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charts/chart31.xml" ContentType="application/vnd.openxmlformats-officedocument.drawingml.chart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91336" documentId="13_ncr:1_{01F1DA7B-4CF4-4513-95E6-0DED6BD0D396}" xr6:coauthVersionLast="47" xr6:coauthVersionMax="47" xr10:uidLastSave="{97097173-4DF4-429C-87BF-2520506AB481}"/>
  <bookViews>
    <workbookView xWindow="-108" yWindow="-108" windowWidth="23256" windowHeight="12456" tabRatio="621" firstSheet="33" activeTab="33" xr2:uid="{5F51E1F5-397C-4C3E-96F1-D86892D054EF}"/>
  </bookViews>
  <sheets>
    <sheet name="DEMAND FREQ SUMMARY" sheetId="177" r:id="rId1"/>
    <sheet name="1" sheetId="351" r:id="rId2"/>
    <sheet name="2" sheetId="352" r:id="rId3"/>
    <sheet name="3" sheetId="353" r:id="rId4"/>
    <sheet name="4" sheetId="354" r:id="rId5"/>
    <sheet name="5" sheetId="355" r:id="rId6"/>
    <sheet name="6" sheetId="356" r:id="rId7"/>
    <sheet name="7" sheetId="357" r:id="rId8"/>
    <sheet name="8" sheetId="358" r:id="rId9"/>
    <sheet name="9" sheetId="359" r:id="rId10"/>
    <sheet name="10" sheetId="361" r:id="rId11"/>
    <sheet name="11" sheetId="362" r:id="rId12"/>
    <sheet name="12" sheetId="363" r:id="rId13"/>
    <sheet name="13" sheetId="364" r:id="rId14"/>
    <sheet name="14" sheetId="365" r:id="rId15"/>
    <sheet name="15" sheetId="366" r:id="rId16"/>
    <sheet name="16" sheetId="367" r:id="rId17"/>
    <sheet name="17" sheetId="368" r:id="rId18"/>
    <sheet name="18" sheetId="369" r:id="rId19"/>
    <sheet name="19" sheetId="370" r:id="rId20"/>
    <sheet name="20" sheetId="371" r:id="rId21"/>
    <sheet name="21" sheetId="372" r:id="rId22"/>
    <sheet name="22" sheetId="373" r:id="rId23"/>
    <sheet name="23" sheetId="374" r:id="rId24"/>
    <sheet name="24" sheetId="375" r:id="rId25"/>
    <sheet name="25" sheetId="376" r:id="rId26"/>
    <sheet name="26" sheetId="377" r:id="rId27"/>
    <sheet name="27" sheetId="378" r:id="rId28"/>
    <sheet name="28" sheetId="379" r:id="rId29"/>
    <sheet name="29" sheetId="380" r:id="rId30"/>
    <sheet name="30" sheetId="381" r:id="rId31"/>
    <sheet name="31" sheetId="382" r:id="rId32"/>
    <sheet name="PARAMETERS" sheetId="260" r:id="rId33"/>
    <sheet name="GEN SWITCHING LOGS" sheetId="88" r:id="rId34"/>
    <sheet name="ACTION LOGS" sheetId="89" r:id="rId35"/>
    <sheet name="BILLING" sheetId="79" r:id="rId36"/>
    <sheet name="EOD REPORT" sheetId="253" r:id="rId37"/>
    <sheet name="DPI 4th Unit (Apr 25 - May 25)" sheetId="299" state="hidden" r:id="rId38"/>
    <sheet name="DPI 4th Unit (March25-April25)" sheetId="254" state="hidden" r:id="rId39"/>
    <sheet name="DPI 4th Unit (Feb25-March25)" sheetId="226" state="hidden" r:id="rId40"/>
    <sheet name="EOD REPORT_v1" sheetId="102" state="hidden" r:id="rId41"/>
    <sheet name="PEAK" sheetId="127" state="hidden" r:id="rId42"/>
    <sheet name="AGG DEMAND" sheetId="112" state="hidden" r:id="rId43"/>
    <sheet name="DPI 4th" sheetId="137" state="hidden" r:id="rId44"/>
    <sheet name="EOD REPORT_v2" sheetId="251" state="hidden" r:id="rId45"/>
    <sheet name="RunDown Time" sheetId="105" state="hidden" r:id="rId46"/>
    <sheet name="Chart1" sheetId="211" state="hidden" r:id="rId47"/>
    <sheet name="Sheet7" sheetId="156" state="hidden" r:id="rId48"/>
  </sheets>
  <definedNames>
    <definedName name="_9_2" localSheetId="32">PARAMETERS!#REF!</definedName>
    <definedName name="_9_2">#REF!</definedName>
    <definedName name="_xlnm._FilterDatabase" localSheetId="1" hidden="1">'1'!$A$11:$A$83</definedName>
    <definedName name="_xlnm._FilterDatabase" localSheetId="10" hidden="1">'10'!$A$11:$A$83</definedName>
    <definedName name="_xlnm._FilterDatabase" localSheetId="11" hidden="1">'11'!$A$11:$A$83</definedName>
    <definedName name="_xlnm._FilterDatabase" localSheetId="12" hidden="1">'12'!$A$11:$A$83</definedName>
    <definedName name="_xlnm._FilterDatabase" localSheetId="13" hidden="1">'13'!$A$11:$A$83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'2'!$A$11:$A$83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'3'!$A$11:$A$83</definedName>
    <definedName name="_xlnm._FilterDatabase" localSheetId="30" hidden="1">'30'!$A$11:$A$83</definedName>
    <definedName name="_xlnm._FilterDatabase" localSheetId="31" hidden="1">'31'!$A$11:$A$83</definedName>
    <definedName name="_xlnm._FilterDatabase" localSheetId="4" hidden="1">'4'!$A$11:$A$83</definedName>
    <definedName name="_xlnm._FilterDatabase" localSheetId="5" hidden="1">'5'!$A$11:$A$83</definedName>
    <definedName name="_xlnm._FilterDatabase" localSheetId="6" hidden="1">'6'!$A$11:$A$83</definedName>
    <definedName name="_xlnm._FilterDatabase" localSheetId="7" hidden="1">'7'!$A$11:$A$83</definedName>
    <definedName name="_xlnm._FilterDatabase" localSheetId="8" hidden="1">'8'!$A$11:$A$83</definedName>
    <definedName name="_xlnm._FilterDatabase" localSheetId="9" hidden="1">'9'!$A$11:$A$83</definedName>
    <definedName name="_xlnm._FilterDatabase" localSheetId="34" hidden="1">'ACTION LOGS'!$A$1:$I$2333</definedName>
    <definedName name="_xlnm._FilterDatabase" localSheetId="33" hidden="1">'GEN SWITCHING LOGS'!$A$1:$L$1221</definedName>
    <definedName name="_xlnm._FilterDatabase" localSheetId="32" hidden="1">PARAMETERS!$A$1:$BX$28</definedName>
    <definedName name="_xlnm._FilterDatabase" localSheetId="45" hidden="1">'RunDown Time'!$A$1:$H$50</definedName>
    <definedName name="_xlnm.Print_Area" localSheetId="1">'1'!$A$1:$AN$159</definedName>
    <definedName name="_xlnm.Print_Area" localSheetId="10">'10'!$A$1:$AN$159</definedName>
    <definedName name="_xlnm.Print_Area" localSheetId="11">'11'!$A$1:$AN$159</definedName>
    <definedName name="_xlnm.Print_Area" localSheetId="12">'12'!$A$1:$AN$159</definedName>
    <definedName name="_xlnm.Print_Area" localSheetId="13">'13'!$A$1:$AN$159</definedName>
    <definedName name="_xlnm.Print_Area" localSheetId="14">'14'!$A$1:$AN$159</definedName>
    <definedName name="_xlnm.Print_Area" localSheetId="15">'15'!$A$1:$AN$159</definedName>
    <definedName name="_xlnm.Print_Area" localSheetId="16">'16'!$A$1:$AN$159</definedName>
    <definedName name="_xlnm.Print_Area" localSheetId="17">'17'!$A$1:$AN$159</definedName>
    <definedName name="_xlnm.Print_Area" localSheetId="18">'18'!$A$1:$AN$159</definedName>
    <definedName name="_xlnm.Print_Area" localSheetId="19">'19'!$A$1:$AN$159</definedName>
    <definedName name="_xlnm.Print_Area" localSheetId="2">'2'!$A$1:$AN$159</definedName>
    <definedName name="_xlnm.Print_Area" localSheetId="20">'20'!$A$1:$AN$159</definedName>
    <definedName name="_xlnm.Print_Area" localSheetId="21">'21'!$A$1:$AN$159</definedName>
    <definedName name="_xlnm.Print_Area" localSheetId="22">'22'!$A$1:$AN$159</definedName>
    <definedName name="_xlnm.Print_Area" localSheetId="23">'23'!$A$1:$AN$159</definedName>
    <definedName name="_xlnm.Print_Area" localSheetId="24">'24'!$A$1:$AN$159</definedName>
    <definedName name="_xlnm.Print_Area" localSheetId="25">'25'!$A$1:$AN$159</definedName>
    <definedName name="_xlnm.Print_Area" localSheetId="26">'26'!$A$1:$AN$159</definedName>
    <definedName name="_xlnm.Print_Area" localSheetId="27">'27'!$A$1:$AN$159</definedName>
    <definedName name="_xlnm.Print_Area" localSheetId="28">'28'!$A$1:$AN$159</definedName>
    <definedName name="_xlnm.Print_Area" localSheetId="29">'29'!$A$1:$AN$159</definedName>
    <definedName name="_xlnm.Print_Area" localSheetId="3">'3'!$A$1:$AN$159</definedName>
    <definedName name="_xlnm.Print_Area" localSheetId="30">'30'!$A$1:$AN$159</definedName>
    <definedName name="_xlnm.Print_Area" localSheetId="31">'31'!$A$1:$AN$159</definedName>
    <definedName name="_xlnm.Print_Area" localSheetId="4">'4'!$A$1:$AN$159</definedName>
    <definedName name="_xlnm.Print_Area" localSheetId="5">'5'!$A$1:$AN$159</definedName>
    <definedName name="_xlnm.Print_Area" localSheetId="6">'6'!$A$1:$AN$159</definedName>
    <definedName name="_xlnm.Print_Area" localSheetId="7">'7'!$A$1:$AN$159</definedName>
    <definedName name="_xlnm.Print_Area" localSheetId="8">'8'!$A$1:$AN$159</definedName>
    <definedName name="_xlnm.Print_Area" localSheetId="9">'9'!$A$1:$AN$159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78" i="260" l="1"/>
  <c r="AC80" i="382"/>
  <c r="F47" i="88"/>
  <c r="F1221" i="88"/>
  <c r="AA777" i="260"/>
  <c r="W777" i="260"/>
  <c r="F1202" i="88"/>
  <c r="AB34" i="382"/>
  <c r="AB96" i="382" s="1"/>
  <c r="F1220" i="88"/>
  <c r="AA64" i="382"/>
  <c r="Z64" i="382"/>
  <c r="F1181" i="88"/>
  <c r="F1204" i="88"/>
  <c r="F1208" i="88"/>
  <c r="AA776" i="260"/>
  <c r="W776" i="260"/>
  <c r="AB65" i="382"/>
  <c r="AB99" i="382" s="1"/>
  <c r="AA63" i="382"/>
  <c r="AA62" i="382"/>
  <c r="Z63" i="382"/>
  <c r="Z62" i="382"/>
  <c r="AA775" i="260"/>
  <c r="W775" i="260"/>
  <c r="F1219" i="88"/>
  <c r="AA774" i="260"/>
  <c r="W774" i="260"/>
  <c r="AA773" i="260"/>
  <c r="W773" i="260"/>
  <c r="F1187" i="88"/>
  <c r="AA772" i="260"/>
  <c r="W772" i="260"/>
  <c r="F1215" i="88"/>
  <c r="F1214" i="88"/>
  <c r="F1212" i="88"/>
  <c r="F1210" i="88"/>
  <c r="F1209" i="88"/>
  <c r="F1216" i="88"/>
  <c r="G17" i="382"/>
  <c r="H17" i="382"/>
  <c r="I17" i="382"/>
  <c r="J17" i="382"/>
  <c r="K17" i="382"/>
  <c r="K83" i="382" s="1"/>
  <c r="L17" i="382"/>
  <c r="L83" i="382" s="1"/>
  <c r="M17" i="382"/>
  <c r="M83" i="382" s="1"/>
  <c r="N17" i="382"/>
  <c r="O17" i="382"/>
  <c r="P17" i="382"/>
  <c r="P91" i="382" s="1"/>
  <c r="Q17" i="382"/>
  <c r="Q91" i="382" s="1"/>
  <c r="Q109" i="382" s="1"/>
  <c r="R17" i="382"/>
  <c r="R91" i="382" s="1"/>
  <c r="S17" i="382"/>
  <c r="S91" i="382" s="1"/>
  <c r="T17" i="382"/>
  <c r="T91" i="382" s="1"/>
  <c r="U17" i="382"/>
  <c r="U91" i="382" s="1"/>
  <c r="V17" i="382"/>
  <c r="W17" i="382"/>
  <c r="W91" i="382" s="1"/>
  <c r="X17" i="382"/>
  <c r="Y17" i="382"/>
  <c r="Y91" i="382" s="1"/>
  <c r="Z17" i="382"/>
  <c r="AA17" i="382"/>
  <c r="AA91" i="382" s="1"/>
  <c r="AB17" i="382"/>
  <c r="AB91" i="382" s="1"/>
  <c r="AC17" i="382"/>
  <c r="G22" i="382"/>
  <c r="H22" i="382"/>
  <c r="I22" i="382"/>
  <c r="J22" i="382"/>
  <c r="K22" i="382"/>
  <c r="L22" i="382"/>
  <c r="M22" i="382"/>
  <c r="N22" i="382"/>
  <c r="N83" i="382" s="1"/>
  <c r="O22" i="382"/>
  <c r="O83" i="382" s="1"/>
  <c r="P22" i="382"/>
  <c r="Q22" i="382"/>
  <c r="Q83" i="382" s="1"/>
  <c r="R22" i="382"/>
  <c r="S22" i="382"/>
  <c r="S89" i="382" s="1"/>
  <c r="T22" i="382"/>
  <c r="T89" i="382" s="1"/>
  <c r="U22" i="382"/>
  <c r="V22" i="382"/>
  <c r="W22" i="382"/>
  <c r="X22" i="382"/>
  <c r="Y22" i="382"/>
  <c r="Z22" i="382"/>
  <c r="AA22" i="382"/>
  <c r="AB22" i="382"/>
  <c r="AC22" i="382"/>
  <c r="AC89" i="382" s="1"/>
  <c r="G25" i="382"/>
  <c r="H25" i="382"/>
  <c r="H83" i="382" s="1"/>
  <c r="I25" i="382"/>
  <c r="J25" i="382"/>
  <c r="K25" i="382"/>
  <c r="L25" i="382"/>
  <c r="M25" i="382"/>
  <c r="N25" i="382"/>
  <c r="O25" i="382"/>
  <c r="P25" i="382"/>
  <c r="P83" i="382" s="1"/>
  <c r="Q25" i="382"/>
  <c r="R25" i="382"/>
  <c r="R83" i="382" s="1"/>
  <c r="S25" i="382"/>
  <c r="T25" i="382"/>
  <c r="U25" i="382"/>
  <c r="V25" i="382"/>
  <c r="W25" i="382"/>
  <c r="X25" i="382"/>
  <c r="Y25" i="382"/>
  <c r="Z25" i="382"/>
  <c r="AA25" i="382"/>
  <c r="AB25" i="382"/>
  <c r="AC25" i="382"/>
  <c r="G34" i="382"/>
  <c r="H34" i="382"/>
  <c r="I34" i="382"/>
  <c r="J34" i="382"/>
  <c r="K34" i="382"/>
  <c r="L34" i="382"/>
  <c r="M34" i="382"/>
  <c r="N34" i="382"/>
  <c r="O34" i="382"/>
  <c r="P34" i="382"/>
  <c r="Q34" i="382"/>
  <c r="R34" i="382"/>
  <c r="S34" i="382"/>
  <c r="T34" i="382"/>
  <c r="T96" i="382" s="1"/>
  <c r="U34" i="382"/>
  <c r="U96" i="382" s="1"/>
  <c r="V34" i="382"/>
  <c r="V96" i="382" s="1"/>
  <c r="W34" i="382"/>
  <c r="W96" i="382" s="1"/>
  <c r="X34" i="382"/>
  <c r="X96" i="382" s="1"/>
  <c r="Y34" i="382"/>
  <c r="Y96" i="382" s="1"/>
  <c r="Z34" i="382"/>
  <c r="Z96" i="382" s="1"/>
  <c r="AA34" i="382"/>
  <c r="AA96" i="382" s="1"/>
  <c r="AC34" i="382"/>
  <c r="G60" i="382"/>
  <c r="H60" i="382"/>
  <c r="I60" i="382"/>
  <c r="J60" i="382"/>
  <c r="K60" i="382"/>
  <c r="L60" i="382"/>
  <c r="M60" i="382"/>
  <c r="N60" i="382"/>
  <c r="O60" i="382"/>
  <c r="O98" i="382" s="1"/>
  <c r="P60" i="382"/>
  <c r="P98" i="382" s="1"/>
  <c r="Q60" i="382"/>
  <c r="Q98" i="382" s="1"/>
  <c r="R60" i="382"/>
  <c r="R98" i="382" s="1"/>
  <c r="S60" i="382"/>
  <c r="T60" i="382"/>
  <c r="T98" i="382" s="1"/>
  <c r="U60" i="382"/>
  <c r="V60" i="382"/>
  <c r="W60" i="382"/>
  <c r="W98" i="382" s="1"/>
  <c r="X60" i="382"/>
  <c r="X98" i="382" s="1"/>
  <c r="Y60" i="382"/>
  <c r="Y98" i="382" s="1"/>
  <c r="Z60" i="382"/>
  <c r="Z98" i="382" s="1"/>
  <c r="AA60" i="382"/>
  <c r="AB60" i="382"/>
  <c r="AB98" i="382" s="1"/>
  <c r="AC60" i="382"/>
  <c r="G65" i="382"/>
  <c r="G83" i="382" s="1"/>
  <c r="H65" i="382"/>
  <c r="I65" i="382"/>
  <c r="J65" i="382"/>
  <c r="K65" i="382"/>
  <c r="L65" i="382"/>
  <c r="M65" i="382"/>
  <c r="N65" i="382"/>
  <c r="O65" i="382"/>
  <c r="P65" i="382"/>
  <c r="P99" i="382" s="1"/>
  <c r="Q65" i="382"/>
  <c r="Q99" i="382" s="1"/>
  <c r="R65" i="382"/>
  <c r="R99" i="382" s="1"/>
  <c r="S65" i="382"/>
  <c r="T65" i="382"/>
  <c r="U65" i="382"/>
  <c r="U99" i="382" s="1"/>
  <c r="V65" i="382"/>
  <c r="V99" i="382" s="1"/>
  <c r="Y65" i="382"/>
  <c r="Z65" i="382"/>
  <c r="Z99" i="382" s="1"/>
  <c r="AA65" i="382"/>
  <c r="AA99" i="382" s="1"/>
  <c r="AC65" i="382"/>
  <c r="AC99" i="382" s="1"/>
  <c r="I83" i="382"/>
  <c r="J83" i="382"/>
  <c r="F83" i="382"/>
  <c r="F103" i="382"/>
  <c r="AA771" i="260"/>
  <c r="V64" i="382"/>
  <c r="V63" i="382"/>
  <c r="V62" i="382"/>
  <c r="AA770" i="260"/>
  <c r="W770" i="260"/>
  <c r="W771" i="260"/>
  <c r="U64" i="382"/>
  <c r="U63" i="382"/>
  <c r="U62" i="382"/>
  <c r="F1193" i="88"/>
  <c r="AA769" i="260"/>
  <c r="W769" i="260"/>
  <c r="T64" i="382"/>
  <c r="T63" i="382"/>
  <c r="T62" i="382"/>
  <c r="W768" i="260"/>
  <c r="S64" i="382"/>
  <c r="S99" i="382" s="1"/>
  <c r="S63" i="382"/>
  <c r="S62" i="382"/>
  <c r="S56" i="382"/>
  <c r="S51" i="382"/>
  <c r="S50" i="382"/>
  <c r="S48" i="382"/>
  <c r="S47" i="382"/>
  <c r="W767" i="260"/>
  <c r="F1213" i="88"/>
  <c r="R64" i="382"/>
  <c r="R63" i="382"/>
  <c r="R62" i="382"/>
  <c r="R56" i="382"/>
  <c r="R50" i="382"/>
  <c r="R48" i="382"/>
  <c r="R47" i="382"/>
  <c r="F1206" i="88"/>
  <c r="W766" i="260"/>
  <c r="Q64" i="382"/>
  <c r="Q63" i="382"/>
  <c r="Q62" i="382"/>
  <c r="Q56" i="382"/>
  <c r="Q51" i="382"/>
  <c r="Q50" i="382"/>
  <c r="Q47" i="382"/>
  <c r="W765" i="260"/>
  <c r="P64" i="382"/>
  <c r="P62" i="382"/>
  <c r="F1205" i="88"/>
  <c r="F1200" i="88"/>
  <c r="F1199" i="88"/>
  <c r="F1201" i="88"/>
  <c r="F1207" i="88"/>
  <c r="W764" i="260"/>
  <c r="O64" i="382"/>
  <c r="O62" i="382"/>
  <c r="O56" i="382"/>
  <c r="O50" i="382"/>
  <c r="O47" i="382"/>
  <c r="F1198" i="88"/>
  <c r="F1197" i="88"/>
  <c r="N64" i="382"/>
  <c r="N99" i="382" s="1"/>
  <c r="N62" i="382"/>
  <c r="F1196" i="88"/>
  <c r="F1195" i="88"/>
  <c r="M62" i="382"/>
  <c r="M64" i="382"/>
  <c r="F1190" i="88"/>
  <c r="F1188" i="88"/>
  <c r="F1165" i="88"/>
  <c r="F1189" i="88"/>
  <c r="F1191" i="88"/>
  <c r="F1192" i="88"/>
  <c r="L64" i="382"/>
  <c r="L62" i="382"/>
  <c r="F1180" i="88"/>
  <c r="K64" i="382"/>
  <c r="K62" i="382"/>
  <c r="F1167" i="88"/>
  <c r="F1142" i="88"/>
  <c r="F1178" i="88"/>
  <c r="F1184" i="88"/>
  <c r="F1183" i="88"/>
  <c r="F1115" i="88"/>
  <c r="AC107" i="382"/>
  <c r="AB107" i="382"/>
  <c r="AA107" i="382"/>
  <c r="Z107" i="382"/>
  <c r="Y107" i="382"/>
  <c r="X107" i="382"/>
  <c r="W107" i="382"/>
  <c r="V107" i="382"/>
  <c r="R107" i="382"/>
  <c r="Q107" i="382"/>
  <c r="P107" i="382"/>
  <c r="O107" i="382"/>
  <c r="N107" i="382"/>
  <c r="M107" i="382"/>
  <c r="L107" i="382"/>
  <c r="K107" i="382"/>
  <c r="J107" i="382"/>
  <c r="I107" i="382"/>
  <c r="H107" i="382"/>
  <c r="G107" i="382"/>
  <c r="F107" i="382"/>
  <c r="U107" i="382"/>
  <c r="T107" i="382"/>
  <c r="S107" i="382"/>
  <c r="AC102" i="382"/>
  <c r="AB102" i="382"/>
  <c r="AA102" i="382"/>
  <c r="Z102" i="382"/>
  <c r="Y102" i="382"/>
  <c r="X102" i="382"/>
  <c r="W102" i="382"/>
  <c r="V102" i="382"/>
  <c r="U102" i="382"/>
  <c r="T102" i="382"/>
  <c r="S102" i="382"/>
  <c r="R102" i="382"/>
  <c r="Q102" i="382"/>
  <c r="P102" i="382"/>
  <c r="O102" i="382"/>
  <c r="N102" i="382"/>
  <c r="M102" i="382"/>
  <c r="L102" i="382"/>
  <c r="K102" i="382"/>
  <c r="J102" i="382"/>
  <c r="I102" i="382"/>
  <c r="H102" i="382"/>
  <c r="G102" i="382"/>
  <c r="F102" i="382"/>
  <c r="Y101" i="382"/>
  <c r="R101" i="382"/>
  <c r="W100" i="382"/>
  <c r="V100" i="382"/>
  <c r="T100" i="382"/>
  <c r="F98" i="382"/>
  <c r="R96" i="382"/>
  <c r="O96" i="382"/>
  <c r="V91" i="382"/>
  <c r="AC101" i="382"/>
  <c r="AB80" i="382"/>
  <c r="AB101" i="382" s="1"/>
  <c r="AA80" i="382"/>
  <c r="AA101" i="382" s="1"/>
  <c r="Z80" i="382"/>
  <c r="Z101" i="382" s="1"/>
  <c r="Y80" i="382"/>
  <c r="X80" i="382"/>
  <c r="X101" i="382" s="1"/>
  <c r="W80" i="382"/>
  <c r="W101" i="382" s="1"/>
  <c r="V80" i="382"/>
  <c r="V101" i="382" s="1"/>
  <c r="U80" i="382"/>
  <c r="U101" i="382" s="1"/>
  <c r="T80" i="382"/>
  <c r="T101" i="382" s="1"/>
  <c r="S80" i="382"/>
  <c r="S101" i="382" s="1"/>
  <c r="R80" i="382"/>
  <c r="Q80" i="382"/>
  <c r="Q101" i="382" s="1"/>
  <c r="P80" i="382"/>
  <c r="P101" i="382" s="1"/>
  <c r="O80" i="382"/>
  <c r="O101" i="382" s="1"/>
  <c r="N80" i="382"/>
  <c r="N101" i="382" s="1"/>
  <c r="M80" i="382"/>
  <c r="M101" i="382" s="1"/>
  <c r="L80" i="382"/>
  <c r="L101" i="382" s="1"/>
  <c r="K80" i="382"/>
  <c r="K101" i="382" s="1"/>
  <c r="J80" i="382"/>
  <c r="J101" i="382" s="1"/>
  <c r="I80" i="382"/>
  <c r="I101" i="382" s="1"/>
  <c r="H80" i="382"/>
  <c r="H101" i="382" s="1"/>
  <c r="G80" i="382"/>
  <c r="G101" i="382" s="1"/>
  <c r="F80" i="382"/>
  <c r="F101" i="382" s="1"/>
  <c r="C80" i="382"/>
  <c r="B80" i="382"/>
  <c r="AH79" i="382"/>
  <c r="AG79" i="382"/>
  <c r="AF79" i="382"/>
  <c r="AH78" i="382"/>
  <c r="AG78" i="382"/>
  <c r="AF78" i="382"/>
  <c r="AI77" i="382"/>
  <c r="AC76" i="382"/>
  <c r="AC100" i="382" s="1"/>
  <c r="AB76" i="382"/>
  <c r="AB100" i="382" s="1"/>
  <c r="AA76" i="382"/>
  <c r="AA100" i="382" s="1"/>
  <c r="Z76" i="382"/>
  <c r="Z100" i="382" s="1"/>
  <c r="Y76" i="382"/>
  <c r="Y100" i="382" s="1"/>
  <c r="X76" i="382"/>
  <c r="X100" i="382" s="1"/>
  <c r="W76" i="382"/>
  <c r="V76" i="382"/>
  <c r="U76" i="382"/>
  <c r="U100" i="382" s="1"/>
  <c r="T76" i="382"/>
  <c r="S76" i="382"/>
  <c r="S100" i="382" s="1"/>
  <c r="R76" i="382"/>
  <c r="R100" i="382" s="1"/>
  <c r="Q76" i="382"/>
  <c r="Q100" i="382" s="1"/>
  <c r="P76" i="382"/>
  <c r="P100" i="382" s="1"/>
  <c r="O76" i="382"/>
  <c r="O100" i="382" s="1"/>
  <c r="N76" i="382"/>
  <c r="N100" i="382" s="1"/>
  <c r="M76" i="382"/>
  <c r="M100" i="382" s="1"/>
  <c r="L76" i="382"/>
  <c r="L100" i="382" s="1"/>
  <c r="K76" i="382"/>
  <c r="K100" i="382" s="1"/>
  <c r="J76" i="382"/>
  <c r="J100" i="382" s="1"/>
  <c r="I76" i="382"/>
  <c r="I100" i="382" s="1"/>
  <c r="H76" i="382"/>
  <c r="H100" i="382" s="1"/>
  <c r="G76" i="382"/>
  <c r="G100" i="382" s="1"/>
  <c r="F76" i="382"/>
  <c r="F100" i="382" s="1"/>
  <c r="C76" i="382"/>
  <c r="B76" i="382"/>
  <c r="AH75" i="382"/>
  <c r="AG75" i="382"/>
  <c r="AF75" i="382"/>
  <c r="AH74" i="382"/>
  <c r="AG74" i="382"/>
  <c r="AF74" i="382"/>
  <c r="AH73" i="382"/>
  <c r="AG73" i="382"/>
  <c r="AF73" i="382"/>
  <c r="AH72" i="382"/>
  <c r="AG72" i="382"/>
  <c r="AF72" i="382"/>
  <c r="AH71" i="382"/>
  <c r="AG71" i="382"/>
  <c r="AF71" i="382"/>
  <c r="AH70" i="382"/>
  <c r="AG70" i="382"/>
  <c r="AF70" i="382"/>
  <c r="AH69" i="382"/>
  <c r="AG69" i="382"/>
  <c r="AF69" i="382"/>
  <c r="AH68" i="382"/>
  <c r="AG68" i="382"/>
  <c r="AF68" i="382"/>
  <c r="AH67" i="382"/>
  <c r="AG67" i="382"/>
  <c r="AF67" i="382"/>
  <c r="AI66" i="382"/>
  <c r="O99" i="382"/>
  <c r="K99" i="382"/>
  <c r="J99" i="382"/>
  <c r="I99" i="382"/>
  <c r="H99" i="382"/>
  <c r="G99" i="382"/>
  <c r="F65" i="382"/>
  <c r="F99" i="382" s="1"/>
  <c r="C65" i="382"/>
  <c r="B65" i="382"/>
  <c r="AG63" i="382"/>
  <c r="AC98" i="382"/>
  <c r="AA98" i="382"/>
  <c r="N98" i="382"/>
  <c r="M98" i="382"/>
  <c r="L98" i="382"/>
  <c r="K98" i="382"/>
  <c r="J98" i="382"/>
  <c r="I98" i="382"/>
  <c r="H98" i="382"/>
  <c r="G98" i="382"/>
  <c r="F60" i="382"/>
  <c r="C60" i="382"/>
  <c r="B60" i="382"/>
  <c r="AH59" i="382"/>
  <c r="AG59" i="382"/>
  <c r="AF59" i="382"/>
  <c r="AH58" i="382"/>
  <c r="AG58" i="382"/>
  <c r="AF58" i="382"/>
  <c r="AH57" i="382"/>
  <c r="AG57" i="382"/>
  <c r="AF57" i="382"/>
  <c r="AF56" i="382"/>
  <c r="AH56" i="382"/>
  <c r="AF51" i="382"/>
  <c r="AG50" i="382"/>
  <c r="AH49" i="382"/>
  <c r="AG49" i="382"/>
  <c r="AF49" i="382"/>
  <c r="AH48" i="382"/>
  <c r="V98" i="382"/>
  <c r="AF47" i="382"/>
  <c r="AH46" i="382"/>
  <c r="AG46" i="382"/>
  <c r="AF46" i="382"/>
  <c r="AH45" i="382"/>
  <c r="AG45" i="382"/>
  <c r="AF45" i="382"/>
  <c r="AH44" i="382"/>
  <c r="AG44" i="382"/>
  <c r="AF44" i="382"/>
  <c r="AH43" i="382"/>
  <c r="AG43" i="382"/>
  <c r="AF43" i="382"/>
  <c r="AH42" i="382"/>
  <c r="AG42" i="382"/>
  <c r="AF42" i="382"/>
  <c r="AH41" i="382"/>
  <c r="AG41" i="382"/>
  <c r="AF41" i="382"/>
  <c r="AH40" i="382"/>
  <c r="AH39" i="382"/>
  <c r="AG39" i="382"/>
  <c r="AF39" i="382"/>
  <c r="AH38" i="382"/>
  <c r="AG38" i="382"/>
  <c r="AF38" i="382"/>
  <c r="AH37" i="382"/>
  <c r="AG37" i="382"/>
  <c r="AF37" i="382"/>
  <c r="AH36" i="382"/>
  <c r="AG36" i="382"/>
  <c r="AF36" i="382"/>
  <c r="AI35" i="382"/>
  <c r="AC96" i="382"/>
  <c r="S96" i="382"/>
  <c r="Q96" i="382"/>
  <c r="P96" i="382"/>
  <c r="N96" i="382"/>
  <c r="M96" i="382"/>
  <c r="L96" i="382"/>
  <c r="K96" i="382"/>
  <c r="J96" i="382"/>
  <c r="I96" i="382"/>
  <c r="H96" i="382"/>
  <c r="G96" i="382"/>
  <c r="F34" i="382"/>
  <c r="F96" i="382" s="1"/>
  <c r="C34" i="382"/>
  <c r="B34" i="382"/>
  <c r="AH33" i="382"/>
  <c r="AG33" i="382"/>
  <c r="AF33" i="382"/>
  <c r="AI32" i="382"/>
  <c r="AC31" i="382"/>
  <c r="AC93" i="382" s="1"/>
  <c r="AB31" i="382"/>
  <c r="AB93" i="382" s="1"/>
  <c r="AA31" i="382"/>
  <c r="AA93" i="382" s="1"/>
  <c r="Z31" i="382"/>
  <c r="Z93" i="382" s="1"/>
  <c r="Y31" i="382"/>
  <c r="Y93" i="382" s="1"/>
  <c r="X31" i="382"/>
  <c r="X93" i="382" s="1"/>
  <c r="W31" i="382"/>
  <c r="W93" i="382" s="1"/>
  <c r="V31" i="382"/>
  <c r="V93" i="382" s="1"/>
  <c r="U31" i="382"/>
  <c r="U93" i="382" s="1"/>
  <c r="T31" i="382"/>
  <c r="T93" i="382" s="1"/>
  <c r="S31" i="382"/>
  <c r="S93" i="382" s="1"/>
  <c r="R31" i="382"/>
  <c r="R93" i="382" s="1"/>
  <c r="Q31" i="382"/>
  <c r="Q93" i="382" s="1"/>
  <c r="P31" i="382"/>
  <c r="P93" i="382" s="1"/>
  <c r="O31" i="382"/>
  <c r="O93" i="382" s="1"/>
  <c r="N31" i="382"/>
  <c r="N93" i="382" s="1"/>
  <c r="M31" i="382"/>
  <c r="M93" i="382" s="1"/>
  <c r="L31" i="382"/>
  <c r="L93" i="382" s="1"/>
  <c r="K31" i="382"/>
  <c r="K93" i="382" s="1"/>
  <c r="J31" i="382"/>
  <c r="J93" i="382" s="1"/>
  <c r="I31" i="382"/>
  <c r="I93" i="382" s="1"/>
  <c r="H31" i="382"/>
  <c r="H93" i="382" s="1"/>
  <c r="G31" i="382"/>
  <c r="G93" i="382" s="1"/>
  <c r="F31" i="382"/>
  <c r="F93" i="382" s="1"/>
  <c r="C31" i="382"/>
  <c r="B31" i="382"/>
  <c r="AI28" i="382"/>
  <c r="AH28" i="382"/>
  <c r="AG28" i="382"/>
  <c r="AF28" i="382"/>
  <c r="AH27" i="382"/>
  <c r="AG27" i="382"/>
  <c r="AF27" i="382"/>
  <c r="AI26" i="382"/>
  <c r="F25" i="382"/>
  <c r="C25" i="382"/>
  <c r="B25" i="382"/>
  <c r="AH24" i="382"/>
  <c r="AG24" i="382"/>
  <c r="AF24" i="382"/>
  <c r="AI23" i="382"/>
  <c r="J89" i="382"/>
  <c r="I89" i="382"/>
  <c r="F22" i="382"/>
  <c r="C22" i="382"/>
  <c r="B22" i="382"/>
  <c r="AH21" i="382"/>
  <c r="AG21" i="382"/>
  <c r="AF21" i="382"/>
  <c r="AH20" i="382"/>
  <c r="AG20" i="382"/>
  <c r="AF20" i="382"/>
  <c r="AH19" i="382"/>
  <c r="AG19" i="382"/>
  <c r="AF19" i="382"/>
  <c r="AI18" i="382"/>
  <c r="N91" i="382"/>
  <c r="N109" i="382" s="1"/>
  <c r="M91" i="382"/>
  <c r="H91" i="382"/>
  <c r="G91" i="382"/>
  <c r="F17" i="382"/>
  <c r="F91" i="382" s="1"/>
  <c r="C17" i="382"/>
  <c r="C83" i="382" s="1"/>
  <c r="B17" i="382"/>
  <c r="B83" i="382" s="1"/>
  <c r="AH16" i="382"/>
  <c r="AG16" i="382"/>
  <c r="AF16" i="382"/>
  <c r="AH15" i="382"/>
  <c r="AG15" i="382"/>
  <c r="AF15" i="382"/>
  <c r="AH14" i="382"/>
  <c r="AG14" i="382"/>
  <c r="AF14" i="382"/>
  <c r="AH13" i="382"/>
  <c r="AG13" i="382"/>
  <c r="AF13" i="382"/>
  <c r="AI12" i="382"/>
  <c r="M9" i="382" a="1"/>
  <c r="M9" i="382" s="1"/>
  <c r="F1157" i="88"/>
  <c r="F1177" i="88"/>
  <c r="W752" i="260"/>
  <c r="F1158" i="88"/>
  <c r="AA63" i="381"/>
  <c r="AA64" i="381"/>
  <c r="AA62" i="381"/>
  <c r="AA751" i="260"/>
  <c r="W751" i="260"/>
  <c r="F1162" i="88"/>
  <c r="F1149" i="88"/>
  <c r="AF64" i="381"/>
  <c r="F1182" i="88"/>
  <c r="Z62" i="381"/>
  <c r="Z63" i="381"/>
  <c r="Z64" i="381"/>
  <c r="AA750" i="260"/>
  <c r="W750" i="260"/>
  <c r="AA749" i="260"/>
  <c r="AA748" i="260"/>
  <c r="W749" i="260"/>
  <c r="W748" i="260"/>
  <c r="Y63" i="381"/>
  <c r="Y62" i="381"/>
  <c r="Y25" i="381"/>
  <c r="F1179" i="88"/>
  <c r="F1143" i="88"/>
  <c r="X63" i="381"/>
  <c r="X62" i="381"/>
  <c r="F1166" i="88"/>
  <c r="F1161" i="88"/>
  <c r="AA747" i="260"/>
  <c r="W747" i="260"/>
  <c r="F1160" i="88"/>
  <c r="F1159" i="88"/>
  <c r="F1163" i="88"/>
  <c r="F1155" i="88"/>
  <c r="F1168" i="88"/>
  <c r="F1176" i="88"/>
  <c r="AA746" i="260"/>
  <c r="W746" i="260"/>
  <c r="W65" i="381"/>
  <c r="W99" i="381" s="1"/>
  <c r="W40" i="381"/>
  <c r="W47" i="381"/>
  <c r="V64" i="381"/>
  <c r="V63" i="381"/>
  <c r="V62" i="381"/>
  <c r="V104" i="381"/>
  <c r="F1175" i="88"/>
  <c r="V107" i="381"/>
  <c r="AA745" i="260"/>
  <c r="V40" i="381"/>
  <c r="V60" i="381" s="1"/>
  <c r="V98" i="381" s="1"/>
  <c r="V47" i="381"/>
  <c r="U104" i="381"/>
  <c r="U64" i="381"/>
  <c r="U63" i="381"/>
  <c r="U62" i="381"/>
  <c r="F1174" i="88"/>
  <c r="F1173" i="88"/>
  <c r="F1172" i="88"/>
  <c r="AA744" i="260"/>
  <c r="F1041" i="88"/>
  <c r="U40" i="381"/>
  <c r="U60" i="381" s="1"/>
  <c r="U98" i="381" s="1"/>
  <c r="U47" i="381"/>
  <c r="T64" i="381"/>
  <c r="T63" i="381"/>
  <c r="T62" i="381"/>
  <c r="T104" i="381"/>
  <c r="F1128" i="88"/>
  <c r="F1169" i="88"/>
  <c r="S104" i="381"/>
  <c r="AA743" i="260"/>
  <c r="S64" i="381"/>
  <c r="S63" i="381"/>
  <c r="S62" i="381"/>
  <c r="S56" i="381"/>
  <c r="S51" i="381"/>
  <c r="S50" i="381"/>
  <c r="S48" i="381"/>
  <c r="S47" i="381"/>
  <c r="S42" i="381"/>
  <c r="S40" i="381"/>
  <c r="AF40" i="381" s="1"/>
  <c r="T40" i="381"/>
  <c r="T47" i="381"/>
  <c r="T48" i="381"/>
  <c r="T50" i="381"/>
  <c r="T60" i="381" s="1"/>
  <c r="T98" i="381" s="1"/>
  <c r="F1145" i="88"/>
  <c r="AA742" i="260"/>
  <c r="R64" i="381"/>
  <c r="R63" i="381"/>
  <c r="R62" i="381"/>
  <c r="R56" i="381"/>
  <c r="R51" i="381"/>
  <c r="R50" i="381"/>
  <c r="R60" i="381" s="1"/>
  <c r="R98" i="381" s="1"/>
  <c r="R48" i="381"/>
  <c r="R47" i="381"/>
  <c r="R42" i="381"/>
  <c r="R40" i="381"/>
  <c r="AA741" i="260"/>
  <c r="Q64" i="381"/>
  <c r="Q63" i="381"/>
  <c r="Q62" i="381"/>
  <c r="Q47" i="381"/>
  <c r="Q48" i="381"/>
  <c r="Q50" i="381"/>
  <c r="Q51" i="381"/>
  <c r="Q56" i="381"/>
  <c r="Q60" i="381" s="1"/>
  <c r="Q98" i="381" s="1"/>
  <c r="Q40" i="381"/>
  <c r="P63" i="381"/>
  <c r="F1138" i="88"/>
  <c r="AA740" i="260"/>
  <c r="P62" i="381"/>
  <c r="P56" i="381"/>
  <c r="P51" i="381"/>
  <c r="P50" i="381"/>
  <c r="P48" i="381"/>
  <c r="P47" i="381"/>
  <c r="P40" i="381"/>
  <c r="AA739" i="260"/>
  <c r="F1164" i="88"/>
  <c r="O62" i="381"/>
  <c r="AA738" i="260"/>
  <c r="N64" i="381"/>
  <c r="N65" i="381" s="1"/>
  <c r="N99" i="381" s="1"/>
  <c r="N62" i="381"/>
  <c r="F1156" i="88"/>
  <c r="M64" i="381"/>
  <c r="M65" i="381" s="1"/>
  <c r="M99" i="381" s="1"/>
  <c r="M62" i="381"/>
  <c r="F1154" i="88"/>
  <c r="F1152" i="88"/>
  <c r="F1153" i="88"/>
  <c r="L64" i="381"/>
  <c r="L62" i="381"/>
  <c r="F1151" i="88"/>
  <c r="F1150" i="88"/>
  <c r="F1139" i="88"/>
  <c r="F1116" i="88"/>
  <c r="F1129" i="88"/>
  <c r="AA730" i="260"/>
  <c r="F1131" i="88"/>
  <c r="AA728" i="260"/>
  <c r="F80" i="381"/>
  <c r="F76" i="381"/>
  <c r="F65" i="381"/>
  <c r="F60" i="381"/>
  <c r="F34" i="381"/>
  <c r="F31" i="381"/>
  <c r="F93" i="381" s="1"/>
  <c r="F25" i="381"/>
  <c r="F22" i="381"/>
  <c r="F17" i="381"/>
  <c r="F83" i="381" s="1"/>
  <c r="F1137" i="88"/>
  <c r="AC107" i="381"/>
  <c r="AB107" i="381"/>
  <c r="AA107" i="381"/>
  <c r="Z107" i="381"/>
  <c r="Y107" i="381"/>
  <c r="X107" i="381"/>
  <c r="W107" i="381"/>
  <c r="U107" i="381"/>
  <c r="T107" i="381"/>
  <c r="S107" i="381"/>
  <c r="R107" i="381"/>
  <c r="Q107" i="381"/>
  <c r="P107" i="381"/>
  <c r="O107" i="381"/>
  <c r="N107" i="381"/>
  <c r="M107" i="381"/>
  <c r="L107" i="381"/>
  <c r="K107" i="381"/>
  <c r="J107" i="381"/>
  <c r="I107" i="381"/>
  <c r="H107" i="381"/>
  <c r="G107" i="381"/>
  <c r="F107" i="381"/>
  <c r="AC102" i="381"/>
  <c r="AB102" i="381"/>
  <c r="AA102" i="381"/>
  <c r="Z102" i="381"/>
  <c r="Y102" i="381"/>
  <c r="X102" i="381"/>
  <c r="W102" i="381"/>
  <c r="V102" i="381"/>
  <c r="U102" i="381"/>
  <c r="T102" i="381"/>
  <c r="S102" i="381"/>
  <c r="R102" i="381"/>
  <c r="Q102" i="381"/>
  <c r="P102" i="381"/>
  <c r="O102" i="381"/>
  <c r="N102" i="381"/>
  <c r="M102" i="381"/>
  <c r="L102" i="381"/>
  <c r="K102" i="381"/>
  <c r="J102" i="381"/>
  <c r="I102" i="381"/>
  <c r="H102" i="381"/>
  <c r="G102" i="381"/>
  <c r="F102" i="381"/>
  <c r="M101" i="381"/>
  <c r="U100" i="381"/>
  <c r="T100" i="381"/>
  <c r="S100" i="381"/>
  <c r="Q100" i="381"/>
  <c r="G99" i="381"/>
  <c r="F99" i="381"/>
  <c r="I98" i="381"/>
  <c r="H98" i="381"/>
  <c r="F98" i="381"/>
  <c r="AC80" i="381"/>
  <c r="AC101" i="381" s="1"/>
  <c r="AB80" i="381"/>
  <c r="AB101" i="381" s="1"/>
  <c r="AA80" i="381"/>
  <c r="AA101" i="381" s="1"/>
  <c r="Z80" i="381"/>
  <c r="Z101" i="381" s="1"/>
  <c r="Y80" i="381"/>
  <c r="Y101" i="381" s="1"/>
  <c r="X80" i="381"/>
  <c r="X101" i="381" s="1"/>
  <c r="W80" i="381"/>
  <c r="W101" i="381" s="1"/>
  <c r="V80" i="381"/>
  <c r="V101" i="381" s="1"/>
  <c r="U80" i="381"/>
  <c r="U101" i="381" s="1"/>
  <c r="T80" i="381"/>
  <c r="T101" i="381" s="1"/>
  <c r="S80" i="381"/>
  <c r="S101" i="381" s="1"/>
  <c r="R80" i="381"/>
  <c r="R101" i="381" s="1"/>
  <c r="Q80" i="381"/>
  <c r="Q101" i="381" s="1"/>
  <c r="P80" i="381"/>
  <c r="P101" i="381" s="1"/>
  <c r="O80" i="381"/>
  <c r="O101" i="381" s="1"/>
  <c r="N80" i="381"/>
  <c r="N101" i="381" s="1"/>
  <c r="M80" i="381"/>
  <c r="L80" i="381"/>
  <c r="L101" i="381" s="1"/>
  <c r="K80" i="381"/>
  <c r="K101" i="381" s="1"/>
  <c r="J80" i="381"/>
  <c r="J101" i="381" s="1"/>
  <c r="I80" i="381"/>
  <c r="I101" i="381" s="1"/>
  <c r="H80" i="381"/>
  <c r="H101" i="381" s="1"/>
  <c r="G80" i="381"/>
  <c r="G101" i="381" s="1"/>
  <c r="F101" i="381"/>
  <c r="C80" i="381"/>
  <c r="AH79" i="381"/>
  <c r="AG79" i="381"/>
  <c r="AF79" i="381"/>
  <c r="AH78" i="381"/>
  <c r="AG78" i="381"/>
  <c r="AF78" i="381"/>
  <c r="AI77" i="381"/>
  <c r="AC76" i="381"/>
  <c r="AC100" i="381" s="1"/>
  <c r="AB76" i="381"/>
  <c r="AB100" i="381" s="1"/>
  <c r="AA76" i="381"/>
  <c r="AA100" i="381" s="1"/>
  <c r="Z76" i="381"/>
  <c r="Z100" i="381" s="1"/>
  <c r="Y76" i="381"/>
  <c r="Y100" i="381" s="1"/>
  <c r="X76" i="381"/>
  <c r="X100" i="381" s="1"/>
  <c r="W76" i="381"/>
  <c r="W100" i="381" s="1"/>
  <c r="V76" i="381"/>
  <c r="V100" i="381" s="1"/>
  <c r="U76" i="381"/>
  <c r="T76" i="381"/>
  <c r="S76" i="381"/>
  <c r="R76" i="381"/>
  <c r="R100" i="381" s="1"/>
  <c r="Q76" i="381"/>
  <c r="P76" i="381"/>
  <c r="P100" i="381" s="1"/>
  <c r="O76" i="381"/>
  <c r="O100" i="381" s="1"/>
  <c r="N76" i="381"/>
  <c r="N100" i="381" s="1"/>
  <c r="M76" i="381"/>
  <c r="M100" i="381" s="1"/>
  <c r="L76" i="381"/>
  <c r="L100" i="381" s="1"/>
  <c r="K76" i="381"/>
  <c r="K100" i="381" s="1"/>
  <c r="J76" i="381"/>
  <c r="J100" i="381" s="1"/>
  <c r="I76" i="381"/>
  <c r="I100" i="381" s="1"/>
  <c r="H76" i="381"/>
  <c r="H100" i="381" s="1"/>
  <c r="G76" i="381"/>
  <c r="G100" i="381" s="1"/>
  <c r="F100" i="381"/>
  <c r="C76" i="381"/>
  <c r="B76" i="381"/>
  <c r="B80" i="381" s="1"/>
  <c r="B25" i="381" s="1"/>
  <c r="AH75" i="381"/>
  <c r="AG75" i="381"/>
  <c r="AF75" i="381"/>
  <c r="AH74" i="381"/>
  <c r="AG74" i="381"/>
  <c r="AF74" i="381"/>
  <c r="AH73" i="381"/>
  <c r="AG73" i="381"/>
  <c r="AF73" i="381"/>
  <c r="AH72" i="381"/>
  <c r="AG72" i="381"/>
  <c r="AF72" i="381"/>
  <c r="AH71" i="381"/>
  <c r="AG71" i="381"/>
  <c r="AF71" i="381"/>
  <c r="AH70" i="381"/>
  <c r="AG70" i="381"/>
  <c r="AF70" i="381"/>
  <c r="AH69" i="381"/>
  <c r="AG69" i="381"/>
  <c r="AF69" i="381"/>
  <c r="AH68" i="381"/>
  <c r="AG68" i="381"/>
  <c r="AF68" i="381"/>
  <c r="AH67" i="381"/>
  <c r="AG67" i="381"/>
  <c r="AF67" i="381"/>
  <c r="AI66" i="381"/>
  <c r="S65" i="381"/>
  <c r="S99" i="381" s="1"/>
  <c r="R65" i="381"/>
  <c r="R99" i="381" s="1"/>
  <c r="P65" i="381"/>
  <c r="P99" i="381" s="1"/>
  <c r="L65" i="381"/>
  <c r="L99" i="381" s="1"/>
  <c r="K65" i="381"/>
  <c r="K99" i="381" s="1"/>
  <c r="J65" i="381"/>
  <c r="J99" i="381" s="1"/>
  <c r="I65" i="381"/>
  <c r="I99" i="381" s="1"/>
  <c r="H65" i="381"/>
  <c r="H99" i="381" s="1"/>
  <c r="G65" i="381"/>
  <c r="C65" i="381"/>
  <c r="B65" i="381"/>
  <c r="AC65" i="381"/>
  <c r="AC99" i="381" s="1"/>
  <c r="AB65" i="381"/>
  <c r="AB99" i="381" s="1"/>
  <c r="X65" i="381"/>
  <c r="X99" i="381" s="1"/>
  <c r="U65" i="381"/>
  <c r="U99" i="381" s="1"/>
  <c r="AA65" i="381"/>
  <c r="Z65" i="381"/>
  <c r="Y65" i="381"/>
  <c r="Q65" i="381"/>
  <c r="Q99" i="381" s="1"/>
  <c r="O65" i="381"/>
  <c r="O99" i="381" s="1"/>
  <c r="AC60" i="381"/>
  <c r="AC98" i="381" s="1"/>
  <c r="AB60" i="381"/>
  <c r="AB98" i="381" s="1"/>
  <c r="AA60" i="381"/>
  <c r="AA98" i="381" s="1"/>
  <c r="Z60" i="381"/>
  <c r="Z98" i="381" s="1"/>
  <c r="Y60" i="381"/>
  <c r="Y98" i="381" s="1"/>
  <c r="X60" i="381"/>
  <c r="X98" i="381" s="1"/>
  <c r="W60" i="381"/>
  <c r="W98" i="381" s="1"/>
  <c r="P60" i="381"/>
  <c r="P98" i="381" s="1"/>
  <c r="O60" i="381"/>
  <c r="O98" i="381" s="1"/>
  <c r="M60" i="381"/>
  <c r="M98" i="381" s="1"/>
  <c r="L60" i="381"/>
  <c r="L98" i="381" s="1"/>
  <c r="K60" i="381"/>
  <c r="K98" i="381" s="1"/>
  <c r="J60" i="381"/>
  <c r="J98" i="381" s="1"/>
  <c r="I60" i="381"/>
  <c r="H60" i="381"/>
  <c r="G60" i="381"/>
  <c r="G98" i="381" s="1"/>
  <c r="C60" i="381"/>
  <c r="C83" i="381" s="1"/>
  <c r="B60" i="381"/>
  <c r="AH59" i="381"/>
  <c r="AG59" i="381"/>
  <c r="AF59" i="381"/>
  <c r="AH58" i="381"/>
  <c r="AG58" i="381"/>
  <c r="AF58" i="381"/>
  <c r="AH57" i="381"/>
  <c r="AG57" i="381"/>
  <c r="AF57" i="381"/>
  <c r="AH49" i="381"/>
  <c r="AG49" i="381"/>
  <c r="AF49" i="381"/>
  <c r="N60" i="381"/>
  <c r="N98" i="381" s="1"/>
  <c r="AH46" i="381"/>
  <c r="AG46" i="381"/>
  <c r="AF46" i="381"/>
  <c r="AH45" i="381"/>
  <c r="AG45" i="381"/>
  <c r="AF45" i="381"/>
  <c r="AH44" i="381"/>
  <c r="AG44" i="381"/>
  <c r="AF44" i="381"/>
  <c r="AH43" i="381"/>
  <c r="AG43" i="381"/>
  <c r="AF43" i="381"/>
  <c r="AG42" i="381"/>
  <c r="AF42" i="381"/>
  <c r="AH41" i="381"/>
  <c r="AG41" i="381"/>
  <c r="AF41" i="381"/>
  <c r="AH39" i="381"/>
  <c r="AG39" i="381"/>
  <c r="AF39" i="381"/>
  <c r="AH38" i="381"/>
  <c r="AG38" i="381"/>
  <c r="AF38" i="381"/>
  <c r="AH37" i="381"/>
  <c r="AG37" i="381"/>
  <c r="AF37" i="381"/>
  <c r="AH36" i="381"/>
  <c r="AG36" i="381"/>
  <c r="AF36" i="381"/>
  <c r="AI35" i="381"/>
  <c r="AC34" i="381"/>
  <c r="AC96" i="381" s="1"/>
  <c r="AB34" i="381"/>
  <c r="AB96" i="381" s="1"/>
  <c r="AA34" i="381"/>
  <c r="AA96" i="381" s="1"/>
  <c r="Z34" i="381"/>
  <c r="Z96" i="381" s="1"/>
  <c r="Y34" i="381"/>
  <c r="Y96" i="381" s="1"/>
  <c r="X34" i="381"/>
  <c r="X96" i="381" s="1"/>
  <c r="W34" i="381"/>
  <c r="W96" i="381" s="1"/>
  <c r="V34" i="381"/>
  <c r="V96" i="381" s="1"/>
  <c r="U34" i="381"/>
  <c r="U96" i="381" s="1"/>
  <c r="T34" i="381"/>
  <c r="T96" i="381" s="1"/>
  <c r="S34" i="381"/>
  <c r="S96" i="381" s="1"/>
  <c r="R34" i="381"/>
  <c r="R96" i="381" s="1"/>
  <c r="Q34" i="381"/>
  <c r="Q96" i="381" s="1"/>
  <c r="P34" i="381"/>
  <c r="P96" i="381" s="1"/>
  <c r="O34" i="381"/>
  <c r="O96" i="381" s="1"/>
  <c r="N34" i="381"/>
  <c r="N96" i="381" s="1"/>
  <c r="M34" i="381"/>
  <c r="M96" i="381" s="1"/>
  <c r="L34" i="381"/>
  <c r="L96" i="381" s="1"/>
  <c r="K34" i="381"/>
  <c r="J34" i="381"/>
  <c r="I34" i="381"/>
  <c r="I96" i="381" s="1"/>
  <c r="H34" i="381"/>
  <c r="H96" i="381" s="1"/>
  <c r="G34" i="381"/>
  <c r="G96" i="381" s="1"/>
  <c r="F96" i="381"/>
  <c r="C34" i="381"/>
  <c r="B34" i="381"/>
  <c r="AH33" i="381"/>
  <c r="AG33" i="381"/>
  <c r="AF33" i="381"/>
  <c r="AI32" i="381"/>
  <c r="AC31" i="381"/>
  <c r="AC93" i="381" s="1"/>
  <c r="AB31" i="381"/>
  <c r="AB93" i="381" s="1"/>
  <c r="AA31" i="381"/>
  <c r="AA93" i="381" s="1"/>
  <c r="Z31" i="381"/>
  <c r="Z93" i="381" s="1"/>
  <c r="Y31" i="381"/>
  <c r="Y93" i="381" s="1"/>
  <c r="X31" i="381"/>
  <c r="X93" i="381" s="1"/>
  <c r="W31" i="381"/>
  <c r="W93" i="381" s="1"/>
  <c r="V31" i="381"/>
  <c r="V93" i="381" s="1"/>
  <c r="U31" i="381"/>
  <c r="U93" i="381" s="1"/>
  <c r="T31" i="381"/>
  <c r="T93" i="381" s="1"/>
  <c r="S31" i="381"/>
  <c r="S93" i="381" s="1"/>
  <c r="R31" i="381"/>
  <c r="R93" i="381" s="1"/>
  <c r="Q31" i="381"/>
  <c r="Q93" i="381" s="1"/>
  <c r="P31" i="381"/>
  <c r="P93" i="381" s="1"/>
  <c r="O31" i="381"/>
  <c r="O93" i="381" s="1"/>
  <c r="N31" i="381"/>
  <c r="N93" i="381" s="1"/>
  <c r="M31" i="381"/>
  <c r="M93" i="381" s="1"/>
  <c r="L31" i="381"/>
  <c r="L93" i="381" s="1"/>
  <c r="K31" i="381"/>
  <c r="K93" i="381" s="1"/>
  <c r="J31" i="381"/>
  <c r="J93" i="381" s="1"/>
  <c r="I31" i="381"/>
  <c r="I93" i="381" s="1"/>
  <c r="H31" i="381"/>
  <c r="H93" i="381" s="1"/>
  <c r="G31" i="381"/>
  <c r="G93" i="381" s="1"/>
  <c r="C31" i="381"/>
  <c r="B31" i="381"/>
  <c r="AI28" i="381"/>
  <c r="AH28" i="381"/>
  <c r="AG28" i="381"/>
  <c r="AF28" i="381"/>
  <c r="AH27" i="381"/>
  <c r="AG27" i="381"/>
  <c r="AF27" i="381"/>
  <c r="AI26" i="381"/>
  <c r="AC25" i="381"/>
  <c r="AB25" i="381"/>
  <c r="AA25" i="381"/>
  <c r="Z25" i="381"/>
  <c r="X25" i="381"/>
  <c r="W25" i="381"/>
  <c r="V25" i="381"/>
  <c r="U25" i="381"/>
  <c r="T25" i="381"/>
  <c r="S25" i="381"/>
  <c r="R25" i="381"/>
  <c r="Q25" i="381"/>
  <c r="P25" i="381"/>
  <c r="O25" i="381"/>
  <c r="N25" i="381"/>
  <c r="M25" i="381"/>
  <c r="L25" i="381"/>
  <c r="K25" i="381"/>
  <c r="J25" i="381"/>
  <c r="I25" i="381"/>
  <c r="H25" i="381"/>
  <c r="G25" i="381"/>
  <c r="C25" i="381"/>
  <c r="AH24" i="381"/>
  <c r="AG24" i="381"/>
  <c r="AF24" i="381"/>
  <c r="AI23" i="381"/>
  <c r="AC22" i="381"/>
  <c r="AC89" i="381" s="1"/>
  <c r="AB22" i="381"/>
  <c r="AA22" i="381"/>
  <c r="Z22" i="381"/>
  <c r="Z89" i="381" s="1"/>
  <c r="Y22" i="381"/>
  <c r="X22" i="381"/>
  <c r="W22" i="381"/>
  <c r="V22" i="381"/>
  <c r="U22" i="381"/>
  <c r="T22" i="381"/>
  <c r="S22" i="381"/>
  <c r="R22" i="381"/>
  <c r="Q22" i="381"/>
  <c r="P22" i="381"/>
  <c r="O22" i="381"/>
  <c r="N22" i="381"/>
  <c r="M22" i="381"/>
  <c r="L22" i="381"/>
  <c r="K22" i="381"/>
  <c r="J22" i="381"/>
  <c r="I22" i="381"/>
  <c r="I89" i="381" s="1"/>
  <c r="H22" i="381"/>
  <c r="H89" i="381" s="1"/>
  <c r="G22" i="381"/>
  <c r="G89" i="381" s="1"/>
  <c r="C22" i="381"/>
  <c r="B22" i="381"/>
  <c r="AH21" i="381"/>
  <c r="AG21" i="381"/>
  <c r="AF21" i="381"/>
  <c r="AH20" i="381"/>
  <c r="AG20" i="381"/>
  <c r="AF20" i="381"/>
  <c r="AH19" i="381"/>
  <c r="AG19" i="381"/>
  <c r="AF19" i="381"/>
  <c r="AI18" i="381"/>
  <c r="AC17" i="381"/>
  <c r="AB17" i="381"/>
  <c r="AA17" i="381"/>
  <c r="Z17" i="381"/>
  <c r="Y17" i="381"/>
  <c r="Y91" i="381" s="1"/>
  <c r="X17" i="381"/>
  <c r="W17" i="381"/>
  <c r="V17" i="381"/>
  <c r="V91" i="381" s="1"/>
  <c r="U17" i="381"/>
  <c r="U91" i="381" s="1"/>
  <c r="T17" i="381"/>
  <c r="S17" i="381"/>
  <c r="R17" i="381"/>
  <c r="Q17" i="381"/>
  <c r="Q91" i="381" s="1"/>
  <c r="P17" i="381"/>
  <c r="P91" i="381" s="1"/>
  <c r="O17" i="381"/>
  <c r="N17" i="381"/>
  <c r="N91" i="381" s="1"/>
  <c r="M17" i="381"/>
  <c r="M91" i="381" s="1"/>
  <c r="L17" i="381"/>
  <c r="L91" i="381" s="1"/>
  <c r="K17" i="381"/>
  <c r="J17" i="381"/>
  <c r="J91" i="381" s="1"/>
  <c r="I17" i="381"/>
  <c r="I91" i="381" s="1"/>
  <c r="H17" i="381"/>
  <c r="G17" i="381"/>
  <c r="C17" i="381"/>
  <c r="B17" i="381"/>
  <c r="AH16" i="381"/>
  <c r="AG16" i="381"/>
  <c r="AF16" i="381"/>
  <c r="AH15" i="381"/>
  <c r="AG15" i="381"/>
  <c r="AF15" i="381"/>
  <c r="AH14" i="381"/>
  <c r="AG14" i="381"/>
  <c r="AF14" i="381"/>
  <c r="AH13" i="381"/>
  <c r="AG13" i="381"/>
  <c r="AF13" i="381"/>
  <c r="AI12" i="381"/>
  <c r="M9" i="381" a="1"/>
  <c r="M9" i="381" s="1"/>
  <c r="AQ727" i="260" a="1"/>
  <c r="Z772" i="260" a="1"/>
  <c r="BJ761" i="260" a="1"/>
  <c r="AC110" i="382" l="1"/>
  <c r="AC83" i="382"/>
  <c r="AB109" i="382"/>
  <c r="AA89" i="382"/>
  <c r="AA103" i="382" s="1"/>
  <c r="AA108" i="382" s="1"/>
  <c r="AA109" i="382"/>
  <c r="AA83" i="382"/>
  <c r="Y109" i="382"/>
  <c r="X65" i="382"/>
  <c r="X83" i="382" s="1"/>
  <c r="Z772" i="260"/>
  <c r="W65" i="382"/>
  <c r="W99" i="382" s="1"/>
  <c r="S83" i="382"/>
  <c r="Z89" i="382"/>
  <c r="AB89" i="382"/>
  <c r="AB83" i="382"/>
  <c r="L89" i="382"/>
  <c r="V83" i="382"/>
  <c r="U83" i="382"/>
  <c r="T83" i="382"/>
  <c r="V103" i="382"/>
  <c r="V108" i="382" s="1"/>
  <c r="G103" i="382"/>
  <c r="H103" i="382"/>
  <c r="H108" i="382" s="1"/>
  <c r="AB103" i="382"/>
  <c r="AB108" i="382" s="1"/>
  <c r="J103" i="382"/>
  <c r="Y83" i="382"/>
  <c r="Z83" i="382"/>
  <c r="Y99" i="382"/>
  <c r="V109" i="382"/>
  <c r="V89" i="382"/>
  <c r="U89" i="382"/>
  <c r="T99" i="382"/>
  <c r="T103" i="382" s="1"/>
  <c r="T108" i="382" s="1"/>
  <c r="R89" i="382"/>
  <c r="R103" i="382" s="1"/>
  <c r="R108" i="382" s="1"/>
  <c r="Q89" i="382"/>
  <c r="Q103" i="382" s="1"/>
  <c r="Q108" i="382" s="1"/>
  <c r="P109" i="382"/>
  <c r="O110" i="382"/>
  <c r="AH64" i="382"/>
  <c r="P89" i="382"/>
  <c r="P103" i="382" s="1"/>
  <c r="AG64" i="382"/>
  <c r="N89" i="382"/>
  <c r="N103" i="382" s="1"/>
  <c r="N108" i="382" s="1"/>
  <c r="M89" i="382"/>
  <c r="BJ761" i="260"/>
  <c r="AI61" i="382"/>
  <c r="K89" i="382"/>
  <c r="K103" i="382" s="1"/>
  <c r="K110" i="382"/>
  <c r="F89" i="382"/>
  <c r="G89" i="382"/>
  <c r="H89" i="382"/>
  <c r="J110" i="382"/>
  <c r="I110" i="382"/>
  <c r="H109" i="382"/>
  <c r="G109" i="382"/>
  <c r="F109" i="382"/>
  <c r="AC91" i="382"/>
  <c r="AC109" i="382" s="1"/>
  <c r="S109" i="382"/>
  <c r="T109" i="382"/>
  <c r="X89" i="382"/>
  <c r="U109" i="382"/>
  <c r="Y89" i="382"/>
  <c r="G108" i="382"/>
  <c r="R109" i="382"/>
  <c r="W89" i="382"/>
  <c r="V110" i="382"/>
  <c r="W110" i="382"/>
  <c r="I91" i="382"/>
  <c r="I109" i="382" s="1"/>
  <c r="X110" i="382"/>
  <c r="F110" i="382"/>
  <c r="X91" i="382"/>
  <c r="X109" i="382" s="1"/>
  <c r="Z110" i="382"/>
  <c r="G110" i="382"/>
  <c r="AA110" i="382"/>
  <c r="Y110" i="382"/>
  <c r="W109" i="382"/>
  <c r="H110" i="382"/>
  <c r="AB110" i="382"/>
  <c r="Z91" i="382"/>
  <c r="Z109" i="382" s="1"/>
  <c r="M109" i="382"/>
  <c r="F108" i="382"/>
  <c r="M110" i="382"/>
  <c r="AF63" i="382"/>
  <c r="S110" i="382"/>
  <c r="AG51" i="382"/>
  <c r="AF62" i="382"/>
  <c r="M99" i="382"/>
  <c r="L91" i="382"/>
  <c r="T110" i="382"/>
  <c r="AF48" i="382"/>
  <c r="AH51" i="382"/>
  <c r="AG62" i="382"/>
  <c r="U110" i="382"/>
  <c r="X99" i="382"/>
  <c r="AG47" i="382"/>
  <c r="N110" i="382"/>
  <c r="AH47" i="382"/>
  <c r="U98" i="382"/>
  <c r="P110" i="382"/>
  <c r="Q110" i="382"/>
  <c r="J91" i="382"/>
  <c r="L99" i="382"/>
  <c r="O89" i="382"/>
  <c r="O103" i="382" s="1"/>
  <c r="K91" i="382"/>
  <c r="AF40" i="382"/>
  <c r="AG48" i="382"/>
  <c r="AH62" i="382"/>
  <c r="AG40" i="382"/>
  <c r="O91" i="382"/>
  <c r="O109" i="382" s="1"/>
  <c r="AI36" i="382"/>
  <c r="L110" i="382"/>
  <c r="S98" i="382"/>
  <c r="AH63" i="382"/>
  <c r="R110" i="382"/>
  <c r="AG56" i="382"/>
  <c r="AF50" i="382"/>
  <c r="AH50" i="382"/>
  <c r="AF64" i="382"/>
  <c r="AB89" i="381"/>
  <c r="AA89" i="381"/>
  <c r="Y89" i="381"/>
  <c r="AH47" i="381"/>
  <c r="X89" i="381"/>
  <c r="AF63" i="381"/>
  <c r="W89" i="381"/>
  <c r="V65" i="381"/>
  <c r="V99" i="381" s="1"/>
  <c r="AH40" i="381"/>
  <c r="AG40" i="381"/>
  <c r="AG51" i="381"/>
  <c r="AH42" i="381"/>
  <c r="AG47" i="381"/>
  <c r="AF47" i="381"/>
  <c r="B83" i="381"/>
  <c r="AH51" i="381"/>
  <c r="S60" i="381"/>
  <c r="S98" i="381" s="1"/>
  <c r="AH50" i="381"/>
  <c r="S89" i="381"/>
  <c r="AH56" i="381"/>
  <c r="Q110" i="381"/>
  <c r="AH62" i="381"/>
  <c r="P110" i="381"/>
  <c r="O89" i="381"/>
  <c r="M89" i="381"/>
  <c r="L89" i="381"/>
  <c r="K89" i="381"/>
  <c r="J89" i="381"/>
  <c r="F89" i="381"/>
  <c r="G83" i="381"/>
  <c r="K110" i="381"/>
  <c r="O110" i="381"/>
  <c r="Q109" i="381"/>
  <c r="U89" i="381"/>
  <c r="U103" i="381" s="1"/>
  <c r="U108" i="381" s="1"/>
  <c r="J83" i="381"/>
  <c r="W83" i="381"/>
  <c r="N89" i="381"/>
  <c r="N103" i="381" s="1"/>
  <c r="N108" i="381" s="1"/>
  <c r="Q89" i="381"/>
  <c r="Q103" i="381" s="1"/>
  <c r="Q108" i="381" s="1"/>
  <c r="N109" i="381"/>
  <c r="R89" i="381"/>
  <c r="F110" i="381"/>
  <c r="G110" i="381"/>
  <c r="H110" i="381"/>
  <c r="M103" i="381"/>
  <c r="M108" i="381" s="1"/>
  <c r="P89" i="381"/>
  <c r="P103" i="381" s="1"/>
  <c r="P108" i="381" s="1"/>
  <c r="M109" i="381"/>
  <c r="I110" i="381"/>
  <c r="AA110" i="381"/>
  <c r="L103" i="381"/>
  <c r="L108" i="381" s="1"/>
  <c r="AC110" i="381"/>
  <c r="P109" i="381"/>
  <c r="T89" i="381"/>
  <c r="K91" i="381"/>
  <c r="K109" i="381" s="1"/>
  <c r="J110" i="381"/>
  <c r="U109" i="381"/>
  <c r="AB110" i="381"/>
  <c r="L83" i="381"/>
  <c r="O91" i="381"/>
  <c r="O109" i="381" s="1"/>
  <c r="K83" i="381"/>
  <c r="Z110" i="381"/>
  <c r="J96" i="381"/>
  <c r="J103" i="381" s="1"/>
  <c r="J108" i="381" s="1"/>
  <c r="K96" i="381"/>
  <c r="R110" i="381"/>
  <c r="V89" i="381"/>
  <c r="V103" i="381" s="1"/>
  <c r="V108" i="381" s="1"/>
  <c r="M83" i="381"/>
  <c r="I83" i="381"/>
  <c r="J109" i="381"/>
  <c r="L109" i="381"/>
  <c r="I109" i="381"/>
  <c r="Y99" i="381"/>
  <c r="Y83" i="381"/>
  <c r="Z83" i="381"/>
  <c r="Z99" i="381"/>
  <c r="AA83" i="381"/>
  <c r="AA99" i="381"/>
  <c r="Q83" i="381"/>
  <c r="AC83" i="381"/>
  <c r="N83" i="381"/>
  <c r="V109" i="381"/>
  <c r="G103" i="381"/>
  <c r="G108" i="381" s="1"/>
  <c r="AA103" i="381"/>
  <c r="AA108" i="381" s="1"/>
  <c r="X83" i="381"/>
  <c r="Y109" i="381"/>
  <c r="I103" i="381"/>
  <c r="I108" i="381" s="1"/>
  <c r="T65" i="381"/>
  <c r="T99" i="381" s="1"/>
  <c r="S91" i="381"/>
  <c r="S109" i="381" s="1"/>
  <c r="H83" i="381"/>
  <c r="AG64" i="381"/>
  <c r="AI36" i="381"/>
  <c r="F91" i="381"/>
  <c r="F109" i="381" s="1"/>
  <c r="AG63" i="381"/>
  <c r="O83" i="381"/>
  <c r="G91" i="381"/>
  <c r="G109" i="381" s="1"/>
  <c r="AA91" i="381"/>
  <c r="AA109" i="381" s="1"/>
  <c r="S110" i="381"/>
  <c r="AC91" i="381"/>
  <c r="AC109" i="381" s="1"/>
  <c r="U110" i="381"/>
  <c r="AH48" i="381"/>
  <c r="AB83" i="381"/>
  <c r="T91" i="381"/>
  <c r="T109" i="381" s="1"/>
  <c r="M110" i="381"/>
  <c r="AH64" i="381"/>
  <c r="N110" i="381"/>
  <c r="W91" i="381"/>
  <c r="W109" i="381" s="1"/>
  <c r="X91" i="381"/>
  <c r="X109" i="381" s="1"/>
  <c r="AG50" i="381"/>
  <c r="AH63" i="381"/>
  <c r="P83" i="381"/>
  <c r="H91" i="381"/>
  <c r="H109" i="381" s="1"/>
  <c r="AB91" i="381"/>
  <c r="AB109" i="381" s="1"/>
  <c r="T110" i="381"/>
  <c r="AF51" i="381"/>
  <c r="R83" i="381"/>
  <c r="V110" i="381"/>
  <c r="W110" i="381"/>
  <c r="X110" i="381"/>
  <c r="Y110" i="381"/>
  <c r="R91" i="381"/>
  <c r="R109" i="381" s="1"/>
  <c r="AF50" i="381"/>
  <c r="AF62" i="381"/>
  <c r="Z91" i="381"/>
  <c r="Z109" i="381" s="1"/>
  <c r="AI61" i="381"/>
  <c r="AF56" i="381"/>
  <c r="U83" i="381"/>
  <c r="AG56" i="381"/>
  <c r="V83" i="381"/>
  <c r="AF48" i="381"/>
  <c r="AG48" i="381"/>
  <c r="L110" i="381"/>
  <c r="AG62" i="381"/>
  <c r="AQ727" i="260"/>
  <c r="AA727" i="260"/>
  <c r="AB64" i="380"/>
  <c r="AB63" i="380"/>
  <c r="AA726" i="260"/>
  <c r="F1144" i="88"/>
  <c r="AA64" i="380"/>
  <c r="AA63" i="380"/>
  <c r="AA62" i="380"/>
  <c r="F1146" i="88"/>
  <c r="F1148" i="88"/>
  <c r="F1147" i="88"/>
  <c r="AA725" i="260"/>
  <c r="R725" i="260" a="1"/>
  <c r="AC103" i="382" l="1"/>
  <c r="AC108" i="382" s="1"/>
  <c r="W83" i="382"/>
  <c r="Z103" i="382"/>
  <c r="Z108" i="382" s="1"/>
  <c r="I103" i="382"/>
  <c r="I108" i="382" s="1"/>
  <c r="L103" i="382"/>
  <c r="W103" i="382"/>
  <c r="W108" i="382" s="1"/>
  <c r="Y103" i="382"/>
  <c r="Y108" i="382" s="1"/>
  <c r="P108" i="382"/>
  <c r="M103" i="382"/>
  <c r="U103" i="382"/>
  <c r="U108" i="382" s="1"/>
  <c r="S103" i="382"/>
  <c r="S108" i="382" s="1"/>
  <c r="X103" i="382"/>
  <c r="X108" i="382" s="1"/>
  <c r="M108" i="382"/>
  <c r="L109" i="382"/>
  <c r="L108" i="382"/>
  <c r="K109" i="382"/>
  <c r="K108" i="382"/>
  <c r="O108" i="382"/>
  <c r="J108" i="382"/>
  <c r="J109" i="382"/>
  <c r="Y103" i="381"/>
  <c r="Y108" i="381" s="1"/>
  <c r="S83" i="381"/>
  <c r="T83" i="381"/>
  <c r="O103" i="381"/>
  <c r="O108" i="381" s="1"/>
  <c r="K103" i="381"/>
  <c r="K108" i="381" s="1"/>
  <c r="X103" i="381"/>
  <c r="X108" i="381" s="1"/>
  <c r="W103" i="381"/>
  <c r="W108" i="381" s="1"/>
  <c r="R103" i="381"/>
  <c r="R108" i="381" s="1"/>
  <c r="T103" i="381"/>
  <c r="T108" i="381" s="1"/>
  <c r="AC103" i="381"/>
  <c r="AC108" i="381" s="1"/>
  <c r="S103" i="381"/>
  <c r="S108" i="381" s="1"/>
  <c r="AB103" i="381"/>
  <c r="AB108" i="381" s="1"/>
  <c r="H103" i="381"/>
  <c r="H108" i="381" s="1"/>
  <c r="Z103" i="381"/>
  <c r="Z108" i="381" s="1"/>
  <c r="F103" i="381"/>
  <c r="F108" i="381" s="1"/>
  <c r="R725" i="260"/>
  <c r="F1085" i="88"/>
  <c r="AA65" i="380"/>
  <c r="AA99" i="380" s="1"/>
  <c r="Z64" i="380"/>
  <c r="Z63" i="380"/>
  <c r="Z62" i="380"/>
  <c r="AA724" i="260"/>
  <c r="Y63" i="380"/>
  <c r="Y64" i="380"/>
  <c r="Y62" i="380"/>
  <c r="AA723" i="260"/>
  <c r="X64" i="380"/>
  <c r="X63" i="380"/>
  <c r="F1121" i="88"/>
  <c r="AA722" i="260"/>
  <c r="F1141" i="88"/>
  <c r="F1140" i="88"/>
  <c r="F1135" i="88"/>
  <c r="F1136" i="88"/>
  <c r="AA721" i="260"/>
  <c r="F1134" i="88"/>
  <c r="F1108" i="88"/>
  <c r="V64" i="380"/>
  <c r="V65" i="380" s="1"/>
  <c r="V99" i="380" s="1"/>
  <c r="V63" i="380"/>
  <c r="V62" i="380"/>
  <c r="AA720" i="260"/>
  <c r="U64" i="380"/>
  <c r="U63" i="380"/>
  <c r="U62" i="380"/>
  <c r="AA719" i="260"/>
  <c r="T64" i="380"/>
  <c r="T63" i="380"/>
  <c r="T62" i="380"/>
  <c r="AA718" i="260"/>
  <c r="S64" i="380"/>
  <c r="S63" i="380"/>
  <c r="S62" i="380"/>
  <c r="AA717" i="260"/>
  <c r="R64" i="380"/>
  <c r="R63" i="380"/>
  <c r="R62" i="380"/>
  <c r="F1118" i="88"/>
  <c r="AA716" i="260"/>
  <c r="Q63" i="380"/>
  <c r="Q62" i="380"/>
  <c r="AA715" i="260"/>
  <c r="P63" i="380"/>
  <c r="P62" i="380"/>
  <c r="F1133" i="88"/>
  <c r="F1132" i="88"/>
  <c r="AA714" i="260"/>
  <c r="O63" i="380"/>
  <c r="O62" i="380"/>
  <c r="F1130" i="88"/>
  <c r="F1127" i="88"/>
  <c r="F1126" i="88"/>
  <c r="F1125" i="88"/>
  <c r="F1124" i="88"/>
  <c r="N63" i="380"/>
  <c r="N65" i="380" s="1"/>
  <c r="N99" i="380" s="1"/>
  <c r="N62" i="380"/>
  <c r="N56" i="380"/>
  <c r="N51" i="380"/>
  <c r="N50" i="380"/>
  <c r="N48" i="380"/>
  <c r="F1123" i="88"/>
  <c r="M63" i="380"/>
  <c r="M62" i="380"/>
  <c r="F1122" i="88"/>
  <c r="F1120" i="88"/>
  <c r="F1119" i="88"/>
  <c r="L63" i="380"/>
  <c r="L62" i="380"/>
  <c r="F1104" i="88"/>
  <c r="F1117" i="88"/>
  <c r="F1099" i="88"/>
  <c r="F1058" i="88"/>
  <c r="F1089" i="88"/>
  <c r="F1111" i="88"/>
  <c r="F1110" i="88"/>
  <c r="F1113" i="88"/>
  <c r="F1112" i="88"/>
  <c r="F1114" i="88"/>
  <c r="F1003" i="88"/>
  <c r="F1103" i="88"/>
  <c r="AC107" i="380"/>
  <c r="AB107" i="380"/>
  <c r="AA107" i="380"/>
  <c r="Z107" i="380"/>
  <c r="Y107" i="380"/>
  <c r="X107" i="380"/>
  <c r="W107" i="380"/>
  <c r="V107" i="380"/>
  <c r="U107" i="380"/>
  <c r="T107" i="380"/>
  <c r="S107" i="380"/>
  <c r="R107" i="380"/>
  <c r="Q107" i="380"/>
  <c r="P107" i="380"/>
  <c r="O107" i="380"/>
  <c r="N107" i="380"/>
  <c r="M107" i="380"/>
  <c r="L107" i="380"/>
  <c r="K107" i="380"/>
  <c r="J107" i="380"/>
  <c r="I107" i="380"/>
  <c r="H107" i="380"/>
  <c r="G107" i="380"/>
  <c r="F107" i="380"/>
  <c r="AC102" i="380"/>
  <c r="AB102" i="380"/>
  <c r="AA102" i="380"/>
  <c r="Z102" i="380"/>
  <c r="Y102" i="380"/>
  <c r="X102" i="380"/>
  <c r="W102" i="380"/>
  <c r="V102" i="380"/>
  <c r="U102" i="380"/>
  <c r="T102" i="380"/>
  <c r="S102" i="380"/>
  <c r="R102" i="380"/>
  <c r="Q102" i="380"/>
  <c r="P102" i="380"/>
  <c r="O102" i="380"/>
  <c r="N102" i="380"/>
  <c r="M102" i="380"/>
  <c r="L102" i="380"/>
  <c r="K102" i="380"/>
  <c r="J102" i="380"/>
  <c r="I102" i="380"/>
  <c r="H102" i="380"/>
  <c r="G102" i="380"/>
  <c r="F102" i="380"/>
  <c r="X100" i="380"/>
  <c r="U100" i="380"/>
  <c r="AB89" i="380"/>
  <c r="AC80" i="380"/>
  <c r="AC101" i="380" s="1"/>
  <c r="AB80" i="380"/>
  <c r="AB101" i="380" s="1"/>
  <c r="AA80" i="380"/>
  <c r="AA101" i="380" s="1"/>
  <c r="Z80" i="380"/>
  <c r="Z101" i="380" s="1"/>
  <c r="Y80" i="380"/>
  <c r="Y101" i="380" s="1"/>
  <c r="X80" i="380"/>
  <c r="X101" i="380" s="1"/>
  <c r="W80" i="380"/>
  <c r="W101" i="380" s="1"/>
  <c r="V80" i="380"/>
  <c r="V101" i="380" s="1"/>
  <c r="U80" i="380"/>
  <c r="U101" i="380" s="1"/>
  <c r="T80" i="380"/>
  <c r="T101" i="380" s="1"/>
  <c r="S80" i="380"/>
  <c r="S101" i="380" s="1"/>
  <c r="R80" i="380"/>
  <c r="R101" i="380" s="1"/>
  <c r="Q80" i="380"/>
  <c r="Q101" i="380" s="1"/>
  <c r="P80" i="380"/>
  <c r="P101" i="380" s="1"/>
  <c r="O80" i="380"/>
  <c r="O101" i="380" s="1"/>
  <c r="N80" i="380"/>
  <c r="N101" i="380" s="1"/>
  <c r="M80" i="380"/>
  <c r="M101" i="380" s="1"/>
  <c r="L80" i="380"/>
  <c r="L101" i="380" s="1"/>
  <c r="K80" i="380"/>
  <c r="K101" i="380" s="1"/>
  <c r="J80" i="380"/>
  <c r="J101" i="380" s="1"/>
  <c r="I80" i="380"/>
  <c r="I101" i="380" s="1"/>
  <c r="H80" i="380"/>
  <c r="H101" i="380" s="1"/>
  <c r="G80" i="380"/>
  <c r="G101" i="380" s="1"/>
  <c r="F80" i="380"/>
  <c r="F101" i="380" s="1"/>
  <c r="C80" i="380"/>
  <c r="B80" i="380"/>
  <c r="AH79" i="380"/>
  <c r="AG79" i="380"/>
  <c r="AF79" i="380"/>
  <c r="AH78" i="380"/>
  <c r="AG78" i="380"/>
  <c r="AF78" i="380"/>
  <c r="AI77" i="380"/>
  <c r="AC76" i="380"/>
  <c r="AC100" i="380" s="1"/>
  <c r="AB76" i="380"/>
  <c r="AB100" i="380" s="1"/>
  <c r="AA76" i="380"/>
  <c r="AA100" i="380" s="1"/>
  <c r="Z76" i="380"/>
  <c r="Z100" i="380" s="1"/>
  <c r="Y76" i="380"/>
  <c r="Y100" i="380" s="1"/>
  <c r="X76" i="380"/>
  <c r="W76" i="380"/>
  <c r="W100" i="380" s="1"/>
  <c r="V76" i="380"/>
  <c r="V100" i="380" s="1"/>
  <c r="U76" i="380"/>
  <c r="T76" i="380"/>
  <c r="T100" i="380" s="1"/>
  <c r="S76" i="380"/>
  <c r="S100" i="380" s="1"/>
  <c r="R76" i="380"/>
  <c r="R100" i="380" s="1"/>
  <c r="Q76" i="380"/>
  <c r="Q100" i="380" s="1"/>
  <c r="P76" i="380"/>
  <c r="P100" i="380" s="1"/>
  <c r="O76" i="380"/>
  <c r="O100" i="380" s="1"/>
  <c r="N76" i="380"/>
  <c r="N100" i="380" s="1"/>
  <c r="M76" i="380"/>
  <c r="M100" i="380" s="1"/>
  <c r="L76" i="380"/>
  <c r="L100" i="380" s="1"/>
  <c r="K76" i="380"/>
  <c r="K100" i="380" s="1"/>
  <c r="J76" i="380"/>
  <c r="J100" i="380" s="1"/>
  <c r="I76" i="380"/>
  <c r="I100" i="380" s="1"/>
  <c r="H76" i="380"/>
  <c r="H100" i="380" s="1"/>
  <c r="G76" i="380"/>
  <c r="G100" i="380" s="1"/>
  <c r="F76" i="380"/>
  <c r="F100" i="380" s="1"/>
  <c r="C76" i="380"/>
  <c r="B76" i="380"/>
  <c r="AH75" i="380"/>
  <c r="AG75" i="380"/>
  <c r="AF75" i="380"/>
  <c r="AH74" i="380"/>
  <c r="AG74" i="380"/>
  <c r="AF74" i="380"/>
  <c r="AH73" i="380"/>
  <c r="AG73" i="380"/>
  <c r="AF73" i="380"/>
  <c r="AH72" i="380"/>
  <c r="AG72" i="380"/>
  <c r="AF72" i="380"/>
  <c r="AH71" i="380"/>
  <c r="AG71" i="380"/>
  <c r="AF71" i="380"/>
  <c r="AH70" i="380"/>
  <c r="AG70" i="380"/>
  <c r="AF70" i="380"/>
  <c r="AH69" i="380"/>
  <c r="AG69" i="380"/>
  <c r="AF69" i="380"/>
  <c r="AH68" i="380"/>
  <c r="AG68" i="380"/>
  <c r="AF68" i="380"/>
  <c r="AH67" i="380"/>
  <c r="AG67" i="380"/>
  <c r="AF67" i="380"/>
  <c r="AI66" i="380"/>
  <c r="S65" i="380"/>
  <c r="S99" i="380" s="1"/>
  <c r="K65" i="380"/>
  <c r="K99" i="380" s="1"/>
  <c r="J65" i="380"/>
  <c r="J99" i="380" s="1"/>
  <c r="I65" i="380"/>
  <c r="I99" i="380" s="1"/>
  <c r="H65" i="380"/>
  <c r="H99" i="380" s="1"/>
  <c r="G65" i="380"/>
  <c r="F65" i="380"/>
  <c r="F99" i="380" s="1"/>
  <c r="C65" i="380"/>
  <c r="B65" i="380"/>
  <c r="AG64" i="380"/>
  <c r="AF64" i="380"/>
  <c r="X65" i="380"/>
  <c r="X99" i="380" s="1"/>
  <c r="Q65" i="380"/>
  <c r="Q99" i="380" s="1"/>
  <c r="AC65" i="380"/>
  <c r="AC99" i="380" s="1"/>
  <c r="Z65" i="380"/>
  <c r="Z99" i="380" s="1"/>
  <c r="U65" i="380"/>
  <c r="U99" i="380" s="1"/>
  <c r="R65" i="380"/>
  <c r="R99" i="380" s="1"/>
  <c r="P65" i="380"/>
  <c r="P99" i="380" s="1"/>
  <c r="O65" i="380"/>
  <c r="O99" i="380" s="1"/>
  <c r="M65" i="380"/>
  <c r="M99" i="380" s="1"/>
  <c r="AC60" i="380"/>
  <c r="AC98" i="380" s="1"/>
  <c r="AB60" i="380"/>
  <c r="AB98" i="380" s="1"/>
  <c r="AA60" i="380"/>
  <c r="AA98" i="380" s="1"/>
  <c r="Z60" i="380"/>
  <c r="Z98" i="380" s="1"/>
  <c r="Y60" i="380"/>
  <c r="Y98" i="380" s="1"/>
  <c r="X60" i="380"/>
  <c r="X98" i="380" s="1"/>
  <c r="W60" i="380"/>
  <c r="W98" i="380" s="1"/>
  <c r="V60" i="380"/>
  <c r="V98" i="380" s="1"/>
  <c r="U60" i="380"/>
  <c r="U98" i="380" s="1"/>
  <c r="T60" i="380"/>
  <c r="T98" i="380" s="1"/>
  <c r="S60" i="380"/>
  <c r="S98" i="380" s="1"/>
  <c r="R60" i="380"/>
  <c r="R98" i="380" s="1"/>
  <c r="O60" i="380"/>
  <c r="O98" i="380" s="1"/>
  <c r="N60" i="380"/>
  <c r="N98" i="380" s="1"/>
  <c r="M60" i="380"/>
  <c r="M98" i="380" s="1"/>
  <c r="L60" i="380"/>
  <c r="L98" i="380" s="1"/>
  <c r="K60" i="380"/>
  <c r="K98" i="380" s="1"/>
  <c r="J60" i="380"/>
  <c r="J98" i="380" s="1"/>
  <c r="I60" i="380"/>
  <c r="I98" i="380" s="1"/>
  <c r="H60" i="380"/>
  <c r="H98" i="380" s="1"/>
  <c r="G60" i="380"/>
  <c r="G98" i="380" s="1"/>
  <c r="F60" i="380"/>
  <c r="F98" i="380" s="1"/>
  <c r="C60" i="380"/>
  <c r="B60" i="380"/>
  <c r="AH59" i="380"/>
  <c r="AG59" i="380"/>
  <c r="AF59" i="380"/>
  <c r="AH58" i="380"/>
  <c r="AG58" i="380"/>
  <c r="AF58" i="380"/>
  <c r="AH57" i="380"/>
  <c r="AG57" i="380"/>
  <c r="AF57" i="380"/>
  <c r="AH56" i="380"/>
  <c r="AH51" i="380"/>
  <c r="AH50" i="380"/>
  <c r="AG50" i="380"/>
  <c r="AF50" i="380"/>
  <c r="AH49" i="380"/>
  <c r="AG49" i="380"/>
  <c r="AF49" i="380"/>
  <c r="AH47" i="380"/>
  <c r="AG47" i="380"/>
  <c r="AF47" i="380"/>
  <c r="P60" i="380"/>
  <c r="P98" i="380" s="1"/>
  <c r="AH46" i="380"/>
  <c r="AG46" i="380"/>
  <c r="AF46" i="380"/>
  <c r="AH45" i="380"/>
  <c r="AG45" i="380"/>
  <c r="AF45" i="380"/>
  <c r="AH44" i="380"/>
  <c r="AG44" i="380"/>
  <c r="AF44" i="380"/>
  <c r="AH43" i="380"/>
  <c r="AG43" i="380"/>
  <c r="AF43" i="380"/>
  <c r="AH42" i="380"/>
  <c r="AG42" i="380"/>
  <c r="AF42" i="380"/>
  <c r="AH41" i="380"/>
  <c r="AG41" i="380"/>
  <c r="AF41" i="380"/>
  <c r="Q60" i="380"/>
  <c r="Q98" i="380" s="1"/>
  <c r="AH39" i="380"/>
  <c r="AG39" i="380"/>
  <c r="AF39" i="380"/>
  <c r="AH38" i="380"/>
  <c r="AG38" i="380"/>
  <c r="AF38" i="380"/>
  <c r="AH37" i="380"/>
  <c r="AG37" i="380"/>
  <c r="AF37" i="380"/>
  <c r="AH36" i="380"/>
  <c r="AG36" i="380"/>
  <c r="AF36" i="380"/>
  <c r="AI35" i="380"/>
  <c r="AC34" i="380"/>
  <c r="AC96" i="380" s="1"/>
  <c r="AB34" i="380"/>
  <c r="AB96" i="380" s="1"/>
  <c r="AA34" i="380"/>
  <c r="AA96" i="380" s="1"/>
  <c r="Z34" i="380"/>
  <c r="Z96" i="380" s="1"/>
  <c r="Y34" i="380"/>
  <c r="Y96" i="380" s="1"/>
  <c r="X34" i="380"/>
  <c r="X96" i="380" s="1"/>
  <c r="W34" i="380"/>
  <c r="W96" i="380" s="1"/>
  <c r="V34" i="380"/>
  <c r="V96" i="380" s="1"/>
  <c r="U34" i="380"/>
  <c r="U96" i="380" s="1"/>
  <c r="T34" i="380"/>
  <c r="T96" i="380" s="1"/>
  <c r="S34" i="380"/>
  <c r="S96" i="380" s="1"/>
  <c r="R34" i="380"/>
  <c r="R96" i="380" s="1"/>
  <c r="Q34" i="380"/>
  <c r="Q96" i="380" s="1"/>
  <c r="P34" i="380"/>
  <c r="P96" i="380" s="1"/>
  <c r="O34" i="380"/>
  <c r="O96" i="380" s="1"/>
  <c r="N34" i="380"/>
  <c r="N96" i="380" s="1"/>
  <c r="M34" i="380"/>
  <c r="M96" i="380" s="1"/>
  <c r="L34" i="380"/>
  <c r="L96" i="380" s="1"/>
  <c r="K34" i="380"/>
  <c r="K96" i="380" s="1"/>
  <c r="J34" i="380"/>
  <c r="J96" i="380" s="1"/>
  <c r="I34" i="380"/>
  <c r="I96" i="380" s="1"/>
  <c r="H34" i="380"/>
  <c r="H96" i="380" s="1"/>
  <c r="G34" i="380"/>
  <c r="G96" i="380" s="1"/>
  <c r="F34" i="380"/>
  <c r="F96" i="380" s="1"/>
  <c r="C34" i="380"/>
  <c r="B34" i="380"/>
  <c r="AH33" i="380"/>
  <c r="AG33" i="380"/>
  <c r="AF33" i="380"/>
  <c r="AI32" i="380"/>
  <c r="AC31" i="380"/>
  <c r="AC93" i="380" s="1"/>
  <c r="AB31" i="380"/>
  <c r="AB93" i="380" s="1"/>
  <c r="AA31" i="380"/>
  <c r="AA93" i="380" s="1"/>
  <c r="Z31" i="380"/>
  <c r="Z93" i="380" s="1"/>
  <c r="Y31" i="380"/>
  <c r="Y93" i="380" s="1"/>
  <c r="X31" i="380"/>
  <c r="X93" i="380" s="1"/>
  <c r="W31" i="380"/>
  <c r="W93" i="380" s="1"/>
  <c r="V31" i="380"/>
  <c r="V93" i="380" s="1"/>
  <c r="U31" i="380"/>
  <c r="U93" i="380" s="1"/>
  <c r="T31" i="380"/>
  <c r="T93" i="380" s="1"/>
  <c r="S31" i="380"/>
  <c r="S93" i="380" s="1"/>
  <c r="R31" i="380"/>
  <c r="R93" i="380" s="1"/>
  <c r="Q31" i="380"/>
  <c r="Q93" i="380" s="1"/>
  <c r="P31" i="380"/>
  <c r="P93" i="380" s="1"/>
  <c r="O31" i="380"/>
  <c r="O93" i="380" s="1"/>
  <c r="N31" i="380"/>
  <c r="N93" i="380" s="1"/>
  <c r="M31" i="380"/>
  <c r="M93" i="380" s="1"/>
  <c r="L31" i="380"/>
  <c r="L93" i="380" s="1"/>
  <c r="K31" i="380"/>
  <c r="K93" i="380" s="1"/>
  <c r="J31" i="380"/>
  <c r="J93" i="380" s="1"/>
  <c r="I31" i="380"/>
  <c r="I93" i="380" s="1"/>
  <c r="H31" i="380"/>
  <c r="H93" i="380" s="1"/>
  <c r="G31" i="380"/>
  <c r="G93" i="380" s="1"/>
  <c r="F31" i="380"/>
  <c r="F93" i="380" s="1"/>
  <c r="C31" i="380"/>
  <c r="B31" i="380"/>
  <c r="AI28" i="380"/>
  <c r="AH28" i="380"/>
  <c r="AG28" i="380"/>
  <c r="AF28" i="380"/>
  <c r="AH27" i="380"/>
  <c r="AG27" i="380"/>
  <c r="AF27" i="380"/>
  <c r="AI26" i="380"/>
  <c r="AC25" i="380"/>
  <c r="AB25" i="380"/>
  <c r="AA25" i="380"/>
  <c r="Z25" i="380"/>
  <c r="Y25" i="380"/>
  <c r="X25" i="380"/>
  <c r="W25" i="380"/>
  <c r="V25" i="380"/>
  <c r="U25" i="380"/>
  <c r="T25" i="380"/>
  <c r="S25" i="380"/>
  <c r="R25" i="380"/>
  <c r="Q25" i="380"/>
  <c r="P25" i="380"/>
  <c r="O25" i="380"/>
  <c r="N25" i="380"/>
  <c r="M25" i="380"/>
  <c r="L25" i="380"/>
  <c r="K25" i="380"/>
  <c r="J25" i="380"/>
  <c r="I25" i="380"/>
  <c r="H25" i="380"/>
  <c r="G25" i="380"/>
  <c r="F25" i="380"/>
  <c r="C25" i="380"/>
  <c r="B25" i="380"/>
  <c r="AH24" i="380"/>
  <c r="AG24" i="380"/>
  <c r="AF24" i="380"/>
  <c r="AI23" i="380"/>
  <c r="AC22" i="380"/>
  <c r="AC89" i="380" s="1"/>
  <c r="AB22" i="380"/>
  <c r="AA22" i="380"/>
  <c r="Z22" i="380"/>
  <c r="Y22" i="380"/>
  <c r="X22" i="380"/>
  <c r="W22" i="380"/>
  <c r="V22" i="380"/>
  <c r="V89" i="380" s="1"/>
  <c r="U22" i="380"/>
  <c r="T22" i="380"/>
  <c r="S22" i="380"/>
  <c r="R22" i="380"/>
  <c r="Q22" i="380"/>
  <c r="P22" i="380"/>
  <c r="O22" i="380"/>
  <c r="N22" i="380"/>
  <c r="M22" i="380"/>
  <c r="M89" i="380" s="1"/>
  <c r="L22" i="380"/>
  <c r="K22" i="380"/>
  <c r="J22" i="380"/>
  <c r="I22" i="380"/>
  <c r="H22" i="380"/>
  <c r="G22" i="380"/>
  <c r="F22" i="380"/>
  <c r="C22" i="380"/>
  <c r="B22" i="380"/>
  <c r="AH21" i="380"/>
  <c r="AG21" i="380"/>
  <c r="AF21" i="380"/>
  <c r="AH20" i="380"/>
  <c r="AG20" i="380"/>
  <c r="AF20" i="380"/>
  <c r="AH19" i="380"/>
  <c r="AG19" i="380"/>
  <c r="AF19" i="380"/>
  <c r="AI18" i="380"/>
  <c r="AC17" i="380"/>
  <c r="AB17" i="380"/>
  <c r="AA17" i="380"/>
  <c r="Z17" i="380"/>
  <c r="Y17" i="380"/>
  <c r="Y91" i="380" s="1"/>
  <c r="X17" i="380"/>
  <c r="X91" i="380" s="1"/>
  <c r="W17" i="380"/>
  <c r="W91" i="380" s="1"/>
  <c r="V17" i="380"/>
  <c r="V91" i="380" s="1"/>
  <c r="U17" i="380"/>
  <c r="U91" i="380" s="1"/>
  <c r="T17" i="380"/>
  <c r="T91" i="380" s="1"/>
  <c r="S17" i="380"/>
  <c r="S91" i="380" s="1"/>
  <c r="R17" i="380"/>
  <c r="R91" i="380" s="1"/>
  <c r="Q17" i="380"/>
  <c r="Q91" i="380" s="1"/>
  <c r="P17" i="380"/>
  <c r="P91" i="380" s="1"/>
  <c r="O17" i="380"/>
  <c r="O91" i="380" s="1"/>
  <c r="N17" i="380"/>
  <c r="N91" i="380" s="1"/>
  <c r="M17" i="380"/>
  <c r="M91" i="380" s="1"/>
  <c r="M109" i="380" s="1"/>
  <c r="L17" i="380"/>
  <c r="L91" i="380" s="1"/>
  <c r="K17" i="380"/>
  <c r="K91" i="380" s="1"/>
  <c r="K109" i="380" s="1"/>
  <c r="J17" i="380"/>
  <c r="J91" i="380" s="1"/>
  <c r="I17" i="380"/>
  <c r="H17" i="380"/>
  <c r="G17" i="380"/>
  <c r="F17" i="380"/>
  <c r="F91" i="380" s="1"/>
  <c r="C17" i="380"/>
  <c r="B17" i="380"/>
  <c r="AH16" i="380"/>
  <c r="AG16" i="380"/>
  <c r="AF16" i="380"/>
  <c r="AH15" i="380"/>
  <c r="AG15" i="380"/>
  <c r="AF15" i="380"/>
  <c r="AH14" i="380"/>
  <c r="AG14" i="380"/>
  <c r="AF14" i="380"/>
  <c r="AH13" i="380"/>
  <c r="AG13" i="380"/>
  <c r="AF13" i="380"/>
  <c r="AI12" i="380"/>
  <c r="M9" i="380" a="1"/>
  <c r="M9" i="380" s="1"/>
  <c r="AA702" i="260"/>
  <c r="F1109" i="88"/>
  <c r="F1096" i="88"/>
  <c r="AB64" i="379"/>
  <c r="AB63" i="379"/>
  <c r="AB62" i="379"/>
  <c r="F1080" i="88"/>
  <c r="F1097" i="88"/>
  <c r="AA701" i="260"/>
  <c r="AA700" i="260"/>
  <c r="AA64" i="379"/>
  <c r="AA63" i="379"/>
  <c r="AA62" i="379"/>
  <c r="Z63" i="379"/>
  <c r="Z64" i="379"/>
  <c r="Z62" i="379"/>
  <c r="F1107" i="88"/>
  <c r="F1105" i="88"/>
  <c r="F1106" i="88"/>
  <c r="AA698" i="260"/>
  <c r="AA699" i="260"/>
  <c r="Y63" i="379"/>
  <c r="Y64" i="379"/>
  <c r="Y62" i="379"/>
  <c r="F1091" i="88"/>
  <c r="X64" i="379"/>
  <c r="X63" i="379"/>
  <c r="F1100" i="88"/>
  <c r="F1098" i="88"/>
  <c r="AA697" i="260"/>
  <c r="F1095" i="88"/>
  <c r="F1094" i="88"/>
  <c r="F1092" i="88"/>
  <c r="F1102" i="88"/>
  <c r="F1101" i="88"/>
  <c r="AA696" i="260"/>
  <c r="V64" i="379"/>
  <c r="V63" i="379"/>
  <c r="V62" i="379"/>
  <c r="AA695" i="260"/>
  <c r="U64" i="379"/>
  <c r="U63" i="379"/>
  <c r="U62" i="379"/>
  <c r="AA694" i="260"/>
  <c r="T64" i="379"/>
  <c r="T63" i="379"/>
  <c r="T62" i="379"/>
  <c r="S40" i="379"/>
  <c r="S56" i="379"/>
  <c r="S51" i="379"/>
  <c r="S50" i="379"/>
  <c r="S48" i="379"/>
  <c r="S47" i="379"/>
  <c r="S64" i="379"/>
  <c r="S63" i="379"/>
  <c r="S62" i="379"/>
  <c r="F1076" i="88"/>
  <c r="T40" i="379"/>
  <c r="T47" i="379"/>
  <c r="T48" i="379"/>
  <c r="T50" i="379"/>
  <c r="T51" i="379"/>
  <c r="T56" i="379"/>
  <c r="R64" i="379"/>
  <c r="R63" i="379"/>
  <c r="R62" i="379"/>
  <c r="R40" i="379"/>
  <c r="R47" i="379"/>
  <c r="R48" i="379"/>
  <c r="R50" i="379"/>
  <c r="R51" i="379"/>
  <c r="R56" i="379"/>
  <c r="Q64" i="379"/>
  <c r="Q63" i="379"/>
  <c r="Q56" i="379"/>
  <c r="Q51" i="379"/>
  <c r="Q50" i="379"/>
  <c r="Q48" i="379"/>
  <c r="Q47" i="379"/>
  <c r="Q40" i="379"/>
  <c r="P63" i="379"/>
  <c r="P62" i="379"/>
  <c r="P51" i="379"/>
  <c r="P50" i="379"/>
  <c r="P48" i="379"/>
  <c r="P47" i="379"/>
  <c r="F1060" i="88"/>
  <c r="F1090" i="88"/>
  <c r="F1088" i="88"/>
  <c r="F1057" i="88"/>
  <c r="O63" i="379"/>
  <c r="N63" i="379"/>
  <c r="M63" i="379"/>
  <c r="L63" i="379"/>
  <c r="O62" i="379"/>
  <c r="F1087" i="88"/>
  <c r="F1086" i="88"/>
  <c r="F1093" i="88"/>
  <c r="F1059" i="88"/>
  <c r="N62" i="379"/>
  <c r="F1083" i="88"/>
  <c r="F1081" i="88"/>
  <c r="F1035" i="88"/>
  <c r="F1067" i="88"/>
  <c r="M62" i="379"/>
  <c r="F1082" i="88"/>
  <c r="F1072" i="88"/>
  <c r="F1079" i="88"/>
  <c r="F1078" i="88"/>
  <c r="F1077" i="88"/>
  <c r="F1073" i="88"/>
  <c r="F1071" i="88"/>
  <c r="F1074" i="88"/>
  <c r="L62" i="379"/>
  <c r="F1075" i="88"/>
  <c r="F1068" i="88"/>
  <c r="F1070" i="88"/>
  <c r="F1069" i="88"/>
  <c r="F1055" i="88"/>
  <c r="F737" i="88"/>
  <c r="F80" i="379"/>
  <c r="F76" i="379"/>
  <c r="F65" i="379"/>
  <c r="F60" i="379"/>
  <c r="F34" i="379"/>
  <c r="F31" i="379"/>
  <c r="F25" i="379"/>
  <c r="F22" i="379"/>
  <c r="F17" i="379"/>
  <c r="AH714" i="260" a="1"/>
  <c r="Z682" i="260" a="1"/>
  <c r="AA89" i="380" l="1"/>
  <c r="AG63" i="380"/>
  <c r="Y65" i="380"/>
  <c r="Y99" i="380" s="1"/>
  <c r="Y109" i="380"/>
  <c r="X89" i="380"/>
  <c r="X109" i="380"/>
  <c r="W65" i="380"/>
  <c r="W99" i="380" s="1"/>
  <c r="AH64" i="380"/>
  <c r="V109" i="380"/>
  <c r="AH714" i="260"/>
  <c r="N89" i="380"/>
  <c r="N103" i="380" s="1"/>
  <c r="N108" i="380" s="1"/>
  <c r="L65" i="380"/>
  <c r="L99" i="380" s="1"/>
  <c r="L109" i="380"/>
  <c r="J109" i="380"/>
  <c r="I83" i="380"/>
  <c r="F109" i="380"/>
  <c r="W89" i="380"/>
  <c r="W103" i="380" s="1"/>
  <c r="W108" i="380" s="1"/>
  <c r="R109" i="380"/>
  <c r="S109" i="380"/>
  <c r="T109" i="380"/>
  <c r="F89" i="380"/>
  <c r="F103" i="380" s="1"/>
  <c r="F108" i="380" s="1"/>
  <c r="W109" i="380"/>
  <c r="R110" i="380"/>
  <c r="I89" i="380"/>
  <c r="T110" i="380"/>
  <c r="K89" i="380"/>
  <c r="K103" i="380" s="1"/>
  <c r="K108" i="380" s="1"/>
  <c r="G89" i="380"/>
  <c r="H89" i="380"/>
  <c r="S110" i="380"/>
  <c r="J89" i="380"/>
  <c r="H83" i="380"/>
  <c r="L89" i="380"/>
  <c r="L103" i="380" s="1"/>
  <c r="L108" i="380" s="1"/>
  <c r="U109" i="380"/>
  <c r="V110" i="380"/>
  <c r="Y89" i="380"/>
  <c r="Y103" i="380" s="1"/>
  <c r="Y108" i="380" s="1"/>
  <c r="F83" i="380"/>
  <c r="Z89" i="380"/>
  <c r="Z103" i="380" s="1"/>
  <c r="Z108" i="380" s="1"/>
  <c r="Q89" i="380"/>
  <c r="Q103" i="380" s="1"/>
  <c r="Q108" i="380" s="1"/>
  <c r="U110" i="380"/>
  <c r="R89" i="380"/>
  <c r="R103" i="380" s="1"/>
  <c r="R108" i="380" s="1"/>
  <c r="P109" i="380"/>
  <c r="T89" i="380"/>
  <c r="S89" i="380"/>
  <c r="S103" i="380" s="1"/>
  <c r="S108" i="380" s="1"/>
  <c r="Q109" i="380"/>
  <c r="U89" i="380"/>
  <c r="U103" i="380" s="1"/>
  <c r="U108" i="380" s="1"/>
  <c r="N109" i="380"/>
  <c r="G83" i="380"/>
  <c r="O109" i="380"/>
  <c r="W110" i="380"/>
  <c r="Q110" i="380"/>
  <c r="X103" i="380"/>
  <c r="X108" i="380" s="1"/>
  <c r="AI61" i="380"/>
  <c r="AH62" i="380"/>
  <c r="AG62" i="380"/>
  <c r="P89" i="380"/>
  <c r="P103" i="380" s="1"/>
  <c r="P108" i="380" s="1"/>
  <c r="P83" i="380"/>
  <c r="V103" i="380"/>
  <c r="V108" i="380" s="1"/>
  <c r="AF63" i="380"/>
  <c r="AF62" i="380"/>
  <c r="U83" i="380"/>
  <c r="T65" i="380"/>
  <c r="T99" i="380" s="1"/>
  <c r="J110" i="380"/>
  <c r="W83" i="380"/>
  <c r="B83" i="380"/>
  <c r="X83" i="380"/>
  <c r="X110" i="380"/>
  <c r="L110" i="380"/>
  <c r="C83" i="380"/>
  <c r="Y83" i="380"/>
  <c r="Y110" i="380"/>
  <c r="AF51" i="380"/>
  <c r="N83" i="380"/>
  <c r="G99" i="380"/>
  <c r="M110" i="380"/>
  <c r="O89" i="380"/>
  <c r="O103" i="380" s="1"/>
  <c r="O108" i="380" s="1"/>
  <c r="O83" i="380"/>
  <c r="V83" i="380"/>
  <c r="K110" i="380"/>
  <c r="AG48" i="380"/>
  <c r="AH48" i="380"/>
  <c r="M83" i="380"/>
  <c r="Z110" i="380"/>
  <c r="Z91" i="380"/>
  <c r="Z109" i="380" s="1"/>
  <c r="AG51" i="380"/>
  <c r="Z83" i="380"/>
  <c r="N110" i="380"/>
  <c r="M103" i="380"/>
  <c r="M108" i="380" s="1"/>
  <c r="K83" i="380"/>
  <c r="G110" i="380"/>
  <c r="G91" i="380"/>
  <c r="AA110" i="380"/>
  <c r="AA91" i="380"/>
  <c r="AA83" i="380"/>
  <c r="O110" i="380"/>
  <c r="AB65" i="380"/>
  <c r="AB99" i="380" s="1"/>
  <c r="J83" i="380"/>
  <c r="AI36" i="380"/>
  <c r="F110" i="380"/>
  <c r="H110" i="380"/>
  <c r="H91" i="380"/>
  <c r="AB110" i="380"/>
  <c r="AB91" i="380"/>
  <c r="P110" i="380"/>
  <c r="J103" i="380"/>
  <c r="J108" i="380" s="1"/>
  <c r="I110" i="380"/>
  <c r="I91" i="380"/>
  <c r="AC110" i="380"/>
  <c r="AC91" i="380"/>
  <c r="AF48" i="380"/>
  <c r="AH63" i="380"/>
  <c r="AC83" i="380"/>
  <c r="Q83" i="380"/>
  <c r="R83" i="380"/>
  <c r="AG40" i="380"/>
  <c r="AG56" i="380"/>
  <c r="S83" i="380"/>
  <c r="AF56" i="380"/>
  <c r="AH40" i="380"/>
  <c r="AF40" i="380"/>
  <c r="Z682" i="260"/>
  <c r="F83" i="379"/>
  <c r="T103" i="380" l="1"/>
  <c r="T108" i="380" s="1"/>
  <c r="L83" i="380"/>
  <c r="T83" i="380"/>
  <c r="I109" i="380"/>
  <c r="I103" i="380"/>
  <c r="I108" i="380" s="1"/>
  <c r="G109" i="380"/>
  <c r="G103" i="380"/>
  <c r="G108" i="380" s="1"/>
  <c r="AB109" i="380"/>
  <c r="AB103" i="380"/>
  <c r="AB108" i="380" s="1"/>
  <c r="H109" i="380"/>
  <c r="H103" i="380"/>
  <c r="H108" i="380" s="1"/>
  <c r="AC109" i="380"/>
  <c r="AC103" i="380"/>
  <c r="AC108" i="380" s="1"/>
  <c r="AA109" i="380"/>
  <c r="AA103" i="380"/>
  <c r="AA108" i="380" s="1"/>
  <c r="AB83" i="380"/>
  <c r="F1064" i="88"/>
  <c r="AC107" i="379"/>
  <c r="AB107" i="379"/>
  <c r="AA107" i="379"/>
  <c r="Z107" i="379"/>
  <c r="Y107" i="379"/>
  <c r="X107" i="379"/>
  <c r="W107" i="379"/>
  <c r="V107" i="379"/>
  <c r="U107" i="379"/>
  <c r="T107" i="379"/>
  <c r="S107" i="379"/>
  <c r="R107" i="379"/>
  <c r="Q107" i="379"/>
  <c r="P107" i="379"/>
  <c r="O107" i="379"/>
  <c r="N107" i="379"/>
  <c r="M107" i="379"/>
  <c r="L107" i="379"/>
  <c r="K107" i="379"/>
  <c r="J107" i="379"/>
  <c r="I107" i="379"/>
  <c r="H107" i="379"/>
  <c r="G107" i="379"/>
  <c r="F107" i="379"/>
  <c r="AC102" i="379"/>
  <c r="AB102" i="379"/>
  <c r="AA102" i="379"/>
  <c r="Z102" i="379"/>
  <c r="Y102" i="379"/>
  <c r="X102" i="379"/>
  <c r="W102" i="379"/>
  <c r="V102" i="379"/>
  <c r="U102" i="379"/>
  <c r="T102" i="379"/>
  <c r="S102" i="379"/>
  <c r="R102" i="379"/>
  <c r="Q102" i="379"/>
  <c r="P102" i="379"/>
  <c r="O102" i="379"/>
  <c r="N102" i="379"/>
  <c r="M102" i="379"/>
  <c r="L102" i="379"/>
  <c r="K102" i="379"/>
  <c r="J102" i="379"/>
  <c r="I102" i="379"/>
  <c r="H102" i="379"/>
  <c r="G102" i="379"/>
  <c r="F102" i="379"/>
  <c r="V101" i="379"/>
  <c r="Y99" i="379"/>
  <c r="X99" i="379"/>
  <c r="X91" i="379"/>
  <c r="AC80" i="379"/>
  <c r="AC101" i="379" s="1"/>
  <c r="AB80" i="379"/>
  <c r="AB101" i="379" s="1"/>
  <c r="AA80" i="379"/>
  <c r="AA101" i="379" s="1"/>
  <c r="Z80" i="379"/>
  <c r="Z101" i="379" s="1"/>
  <c r="Y80" i="379"/>
  <c r="Y101" i="379" s="1"/>
  <c r="X80" i="379"/>
  <c r="X101" i="379" s="1"/>
  <c r="W80" i="379"/>
  <c r="W101" i="379" s="1"/>
  <c r="V80" i="379"/>
  <c r="U80" i="379"/>
  <c r="U101" i="379" s="1"/>
  <c r="T80" i="379"/>
  <c r="T101" i="379" s="1"/>
  <c r="S80" i="379"/>
  <c r="S101" i="379" s="1"/>
  <c r="R80" i="379"/>
  <c r="R101" i="379" s="1"/>
  <c r="Q80" i="379"/>
  <c r="Q101" i="379" s="1"/>
  <c r="P80" i="379"/>
  <c r="P101" i="379" s="1"/>
  <c r="O80" i="379"/>
  <c r="O101" i="379" s="1"/>
  <c r="N80" i="379"/>
  <c r="N101" i="379" s="1"/>
  <c r="M80" i="379"/>
  <c r="M101" i="379" s="1"/>
  <c r="L80" i="379"/>
  <c r="L101" i="379" s="1"/>
  <c r="K80" i="379"/>
  <c r="K101" i="379" s="1"/>
  <c r="J80" i="379"/>
  <c r="J101" i="379" s="1"/>
  <c r="I80" i="379"/>
  <c r="I101" i="379" s="1"/>
  <c r="H80" i="379"/>
  <c r="H101" i="379" s="1"/>
  <c r="G80" i="379"/>
  <c r="G101" i="379" s="1"/>
  <c r="F101" i="379"/>
  <c r="C80" i="379"/>
  <c r="AH79" i="379"/>
  <c r="AG79" i="379"/>
  <c r="AF79" i="379"/>
  <c r="AH78" i="379"/>
  <c r="AG78" i="379"/>
  <c r="AF78" i="379"/>
  <c r="AI77" i="379"/>
  <c r="AC76" i="379"/>
  <c r="AC100" i="379" s="1"/>
  <c r="AB76" i="379"/>
  <c r="AB100" i="379" s="1"/>
  <c r="AA76" i="379"/>
  <c r="AA100" i="379" s="1"/>
  <c r="Z76" i="379"/>
  <c r="Z100" i="379" s="1"/>
  <c r="Y76" i="379"/>
  <c r="Y100" i="379" s="1"/>
  <c r="X76" i="379"/>
  <c r="X100" i="379" s="1"/>
  <c r="W76" i="379"/>
  <c r="W100" i="379" s="1"/>
  <c r="V76" i="379"/>
  <c r="V100" i="379" s="1"/>
  <c r="U76" i="379"/>
  <c r="U100" i="379" s="1"/>
  <c r="T76" i="379"/>
  <c r="T100" i="379" s="1"/>
  <c r="S76" i="379"/>
  <c r="S100" i="379" s="1"/>
  <c r="R76" i="379"/>
  <c r="R100" i="379" s="1"/>
  <c r="Q76" i="379"/>
  <c r="Q100" i="379" s="1"/>
  <c r="P76" i="379"/>
  <c r="P100" i="379" s="1"/>
  <c r="O76" i="379"/>
  <c r="O100" i="379" s="1"/>
  <c r="N76" i="379"/>
  <c r="N100" i="379" s="1"/>
  <c r="M76" i="379"/>
  <c r="M100" i="379" s="1"/>
  <c r="L76" i="379"/>
  <c r="L100" i="379" s="1"/>
  <c r="K76" i="379"/>
  <c r="K100" i="379" s="1"/>
  <c r="J76" i="379"/>
  <c r="J100" i="379" s="1"/>
  <c r="I76" i="379"/>
  <c r="I100" i="379" s="1"/>
  <c r="H76" i="379"/>
  <c r="H100" i="379" s="1"/>
  <c r="G76" i="379"/>
  <c r="G100" i="379" s="1"/>
  <c r="F100" i="379"/>
  <c r="C76" i="379"/>
  <c r="B76" i="379"/>
  <c r="B80" i="379" s="1"/>
  <c r="B25" i="379" s="1"/>
  <c r="AH75" i="379"/>
  <c r="AG75" i="379"/>
  <c r="AF75" i="379"/>
  <c r="AH74" i="379"/>
  <c r="AG74" i="379"/>
  <c r="AF74" i="379"/>
  <c r="AH73" i="379"/>
  <c r="AG73" i="379"/>
  <c r="AF73" i="379"/>
  <c r="AH72" i="379"/>
  <c r="AG72" i="379"/>
  <c r="AF72" i="379"/>
  <c r="AH71" i="379"/>
  <c r="AG71" i="379"/>
  <c r="AF71" i="379"/>
  <c r="AH70" i="379"/>
  <c r="AG70" i="379"/>
  <c r="AF70" i="379"/>
  <c r="AH69" i="379"/>
  <c r="AG69" i="379"/>
  <c r="AF69" i="379"/>
  <c r="AH68" i="379"/>
  <c r="AG68" i="379"/>
  <c r="AF68" i="379"/>
  <c r="AH67" i="379"/>
  <c r="AG67" i="379"/>
  <c r="AF67" i="379"/>
  <c r="AI66" i="379"/>
  <c r="Y65" i="379"/>
  <c r="X65" i="379"/>
  <c r="W65" i="379"/>
  <c r="W99" i="379" s="1"/>
  <c r="V65" i="379"/>
  <c r="V99" i="379" s="1"/>
  <c r="U65" i="379"/>
  <c r="U99" i="379" s="1"/>
  <c r="T65" i="379"/>
  <c r="T99" i="379" s="1"/>
  <c r="S65" i="379"/>
  <c r="S99" i="379" s="1"/>
  <c r="K65" i="379"/>
  <c r="K99" i="379" s="1"/>
  <c r="J65" i="379"/>
  <c r="J99" i="379" s="1"/>
  <c r="G65" i="379"/>
  <c r="G99" i="379" s="1"/>
  <c r="F99" i="379"/>
  <c r="C65" i="379"/>
  <c r="AC65" i="379"/>
  <c r="AC99" i="379" s="1"/>
  <c r="AH64" i="379"/>
  <c r="AB65" i="379"/>
  <c r="AB99" i="379" s="1"/>
  <c r="AA65" i="379"/>
  <c r="Z65" i="379"/>
  <c r="AH63" i="379"/>
  <c r="R65" i="379"/>
  <c r="R99" i="379" s="1"/>
  <c r="Q65" i="379"/>
  <c r="Q99" i="379" s="1"/>
  <c r="P65" i="379"/>
  <c r="P99" i="379" s="1"/>
  <c r="O65" i="379"/>
  <c r="O99" i="379" s="1"/>
  <c r="N65" i="379"/>
  <c r="N99" i="379" s="1"/>
  <c r="M65" i="379"/>
  <c r="M99" i="379" s="1"/>
  <c r="L65" i="379"/>
  <c r="L99" i="379" s="1"/>
  <c r="I65" i="379"/>
  <c r="I99" i="379" s="1"/>
  <c r="AH62" i="379"/>
  <c r="AI61" i="379"/>
  <c r="AC60" i="379"/>
  <c r="AC98" i="379" s="1"/>
  <c r="AB60" i="379"/>
  <c r="AB98" i="379" s="1"/>
  <c r="AA60" i="379"/>
  <c r="AA98" i="379" s="1"/>
  <c r="Z60" i="379"/>
  <c r="Z98" i="379" s="1"/>
  <c r="Y60" i="379"/>
  <c r="Y98" i="379" s="1"/>
  <c r="X60" i="379"/>
  <c r="X98" i="379" s="1"/>
  <c r="W60" i="379"/>
  <c r="W98" i="379" s="1"/>
  <c r="V60" i="379"/>
  <c r="V98" i="379" s="1"/>
  <c r="U60" i="379"/>
  <c r="U98" i="379" s="1"/>
  <c r="T60" i="379"/>
  <c r="T98" i="379" s="1"/>
  <c r="S60" i="379"/>
  <c r="S98" i="379" s="1"/>
  <c r="R60" i="379"/>
  <c r="R98" i="379" s="1"/>
  <c r="Q60" i="379"/>
  <c r="Q98" i="379" s="1"/>
  <c r="P60" i="379"/>
  <c r="P98" i="379" s="1"/>
  <c r="O60" i="379"/>
  <c r="O98" i="379" s="1"/>
  <c r="N60" i="379"/>
  <c r="N98" i="379" s="1"/>
  <c r="M60" i="379"/>
  <c r="M98" i="379" s="1"/>
  <c r="L60" i="379"/>
  <c r="L98" i="379" s="1"/>
  <c r="K60" i="379"/>
  <c r="K98" i="379" s="1"/>
  <c r="J60" i="379"/>
  <c r="J98" i="379" s="1"/>
  <c r="I60" i="379"/>
  <c r="I98" i="379" s="1"/>
  <c r="H60" i="379"/>
  <c r="H98" i="379" s="1"/>
  <c r="G60" i="379"/>
  <c r="G98" i="379" s="1"/>
  <c r="F98" i="379"/>
  <c r="C60" i="379"/>
  <c r="B60" i="379"/>
  <c r="B65" i="379" s="1"/>
  <c r="AH59" i="379"/>
  <c r="AG59" i="379"/>
  <c r="AF59" i="379"/>
  <c r="AH58" i="379"/>
  <c r="AG58" i="379"/>
  <c r="AF58" i="379"/>
  <c r="AH57" i="379"/>
  <c r="AG57" i="379"/>
  <c r="AF57" i="379"/>
  <c r="AH56" i="379"/>
  <c r="AG56" i="379"/>
  <c r="AF56" i="379"/>
  <c r="AH51" i="379"/>
  <c r="AG51" i="379"/>
  <c r="AF51" i="379"/>
  <c r="AH50" i="379"/>
  <c r="AG50" i="379"/>
  <c r="AF50" i="379"/>
  <c r="AH49" i="379"/>
  <c r="AG49" i="379"/>
  <c r="AF49" i="379"/>
  <c r="AH48" i="379"/>
  <c r="AG48" i="379"/>
  <c r="AF48" i="379"/>
  <c r="AH47" i="379"/>
  <c r="AG47" i="379"/>
  <c r="AF47" i="379"/>
  <c r="AH46" i="379"/>
  <c r="AG46" i="379"/>
  <c r="AF46" i="379"/>
  <c r="AH45" i="379"/>
  <c r="AG45" i="379"/>
  <c r="AF45" i="379"/>
  <c r="AH44" i="379"/>
  <c r="AG44" i="379"/>
  <c r="AF44" i="379"/>
  <c r="AH43" i="379"/>
  <c r="AG43" i="379"/>
  <c r="AF43" i="379"/>
  <c r="AH42" i="379"/>
  <c r="AG42" i="379"/>
  <c r="AF42" i="379"/>
  <c r="AH41" i="379"/>
  <c r="AG41" i="379"/>
  <c r="AF41" i="379"/>
  <c r="AH40" i="379"/>
  <c r="AG40" i="379"/>
  <c r="AF40" i="379"/>
  <c r="AH39" i="379"/>
  <c r="AG39" i="379"/>
  <c r="AF39" i="379"/>
  <c r="AH38" i="379"/>
  <c r="AG38" i="379"/>
  <c r="AF38" i="379"/>
  <c r="AH37" i="379"/>
  <c r="AG37" i="379"/>
  <c r="AF37" i="379"/>
  <c r="AI36" i="379"/>
  <c r="AH36" i="379"/>
  <c r="AG36" i="379"/>
  <c r="AF36" i="379"/>
  <c r="AI35" i="379"/>
  <c r="AC34" i="379"/>
  <c r="AC96" i="379" s="1"/>
  <c r="AB34" i="379"/>
  <c r="AB96" i="379" s="1"/>
  <c r="AA34" i="379"/>
  <c r="AA96" i="379" s="1"/>
  <c r="Z34" i="379"/>
  <c r="Z96" i="379" s="1"/>
  <c r="Y34" i="379"/>
  <c r="Y96" i="379" s="1"/>
  <c r="X34" i="379"/>
  <c r="X96" i="379" s="1"/>
  <c r="W34" i="379"/>
  <c r="W96" i="379" s="1"/>
  <c r="V34" i="379"/>
  <c r="V96" i="379" s="1"/>
  <c r="U34" i="379"/>
  <c r="U96" i="379" s="1"/>
  <c r="T34" i="379"/>
  <c r="T96" i="379" s="1"/>
  <c r="S34" i="379"/>
  <c r="S96" i="379" s="1"/>
  <c r="R34" i="379"/>
  <c r="R96" i="379" s="1"/>
  <c r="Q34" i="379"/>
  <c r="Q96" i="379" s="1"/>
  <c r="P34" i="379"/>
  <c r="P96" i="379" s="1"/>
  <c r="O34" i="379"/>
  <c r="O96" i="379" s="1"/>
  <c r="N34" i="379"/>
  <c r="N96" i="379" s="1"/>
  <c r="M34" i="379"/>
  <c r="M96" i="379" s="1"/>
  <c r="L34" i="379"/>
  <c r="L96" i="379" s="1"/>
  <c r="K34" i="379"/>
  <c r="K96" i="379" s="1"/>
  <c r="J34" i="379"/>
  <c r="J96" i="379" s="1"/>
  <c r="I34" i="379"/>
  <c r="I96" i="379" s="1"/>
  <c r="H34" i="379"/>
  <c r="H96" i="379" s="1"/>
  <c r="G34" i="379"/>
  <c r="G96" i="379" s="1"/>
  <c r="F96" i="379"/>
  <c r="C34" i="379"/>
  <c r="B34" i="379"/>
  <c r="AH33" i="379"/>
  <c r="AG33" i="379"/>
  <c r="AF33" i="379"/>
  <c r="AI32" i="379"/>
  <c r="AC31" i="379"/>
  <c r="AC93" i="379" s="1"/>
  <c r="AB31" i="379"/>
  <c r="AB93" i="379" s="1"/>
  <c r="AA31" i="379"/>
  <c r="AA93" i="379" s="1"/>
  <c r="Z31" i="379"/>
  <c r="Z93" i="379" s="1"/>
  <c r="Y31" i="379"/>
  <c r="Y93" i="379" s="1"/>
  <c r="X31" i="379"/>
  <c r="X93" i="379" s="1"/>
  <c r="W31" i="379"/>
  <c r="W93" i="379" s="1"/>
  <c r="V31" i="379"/>
  <c r="V93" i="379" s="1"/>
  <c r="U31" i="379"/>
  <c r="U93" i="379" s="1"/>
  <c r="T31" i="379"/>
  <c r="T93" i="379" s="1"/>
  <c r="S31" i="379"/>
  <c r="S93" i="379" s="1"/>
  <c r="R31" i="379"/>
  <c r="R93" i="379" s="1"/>
  <c r="Q31" i="379"/>
  <c r="Q93" i="379" s="1"/>
  <c r="P31" i="379"/>
  <c r="P93" i="379" s="1"/>
  <c r="O31" i="379"/>
  <c r="O93" i="379" s="1"/>
  <c r="N31" i="379"/>
  <c r="N93" i="379" s="1"/>
  <c r="M31" i="379"/>
  <c r="M93" i="379" s="1"/>
  <c r="L31" i="379"/>
  <c r="L93" i="379" s="1"/>
  <c r="K31" i="379"/>
  <c r="K93" i="379" s="1"/>
  <c r="J31" i="379"/>
  <c r="J93" i="379" s="1"/>
  <c r="I31" i="379"/>
  <c r="I93" i="379" s="1"/>
  <c r="H31" i="379"/>
  <c r="H93" i="379" s="1"/>
  <c r="G31" i="379"/>
  <c r="G93" i="379" s="1"/>
  <c r="F93" i="379"/>
  <c r="C31" i="379"/>
  <c r="B31" i="379"/>
  <c r="AI28" i="379"/>
  <c r="AH28" i="379"/>
  <c r="AG28" i="379"/>
  <c r="AF28" i="379"/>
  <c r="AH27" i="379"/>
  <c r="AG27" i="379"/>
  <c r="AF27" i="379"/>
  <c r="AI26" i="379"/>
  <c r="AC25" i="379"/>
  <c r="AB25" i="379"/>
  <c r="AA25" i="379"/>
  <c r="Z25" i="379"/>
  <c r="Y25" i="379"/>
  <c r="X25" i="379"/>
  <c r="W25" i="379"/>
  <c r="V25" i="379"/>
  <c r="U25" i="379"/>
  <c r="T25" i="379"/>
  <c r="S25" i="379"/>
  <c r="R25" i="379"/>
  <c r="Q25" i="379"/>
  <c r="P25" i="379"/>
  <c r="O25" i="379"/>
  <c r="N25" i="379"/>
  <c r="M25" i="379"/>
  <c r="L25" i="379"/>
  <c r="K25" i="379"/>
  <c r="J25" i="379"/>
  <c r="I25" i="379"/>
  <c r="H25" i="379"/>
  <c r="G25" i="379"/>
  <c r="C25" i="379"/>
  <c r="AH24" i="379"/>
  <c r="AG24" i="379"/>
  <c r="AF24" i="379"/>
  <c r="AI23" i="379"/>
  <c r="AC22" i="379"/>
  <c r="AB22" i="379"/>
  <c r="AA22" i="379"/>
  <c r="Z22" i="379"/>
  <c r="Y22" i="379"/>
  <c r="X22" i="379"/>
  <c r="W22" i="379"/>
  <c r="V22" i="379"/>
  <c r="U22" i="379"/>
  <c r="T22" i="379"/>
  <c r="S22" i="379"/>
  <c r="R22" i="379"/>
  <c r="Q22" i="379"/>
  <c r="P22" i="379"/>
  <c r="O22" i="379"/>
  <c r="N22" i="379"/>
  <c r="M22" i="379"/>
  <c r="L22" i="379"/>
  <c r="K22" i="379"/>
  <c r="J22" i="379"/>
  <c r="I22" i="379"/>
  <c r="H22" i="379"/>
  <c r="G22" i="379"/>
  <c r="C22" i="379"/>
  <c r="B22" i="379"/>
  <c r="AH21" i="379"/>
  <c r="AG21" i="379"/>
  <c r="AF21" i="379"/>
  <c r="AH20" i="379"/>
  <c r="AG20" i="379"/>
  <c r="AF20" i="379"/>
  <c r="AH19" i="379"/>
  <c r="AG19" i="379"/>
  <c r="AF19" i="379"/>
  <c r="AI18" i="379"/>
  <c r="AC17" i="379"/>
  <c r="AB17" i="379"/>
  <c r="AA17" i="379"/>
  <c r="Z17" i="379"/>
  <c r="Z91" i="379" s="1"/>
  <c r="Y17" i="379"/>
  <c r="Y91" i="379" s="1"/>
  <c r="X17" i="379"/>
  <c r="W17" i="379"/>
  <c r="W91" i="379" s="1"/>
  <c r="V17" i="379"/>
  <c r="V91" i="379" s="1"/>
  <c r="U17" i="379"/>
  <c r="U91" i="379" s="1"/>
  <c r="T17" i="379"/>
  <c r="T91" i="379" s="1"/>
  <c r="S17" i="379"/>
  <c r="S91" i="379" s="1"/>
  <c r="R17" i="379"/>
  <c r="R91" i="379" s="1"/>
  <c r="Q17" i="379"/>
  <c r="Q91" i="379" s="1"/>
  <c r="P17" i="379"/>
  <c r="P91" i="379" s="1"/>
  <c r="O17" i="379"/>
  <c r="O91" i="379" s="1"/>
  <c r="N17" i="379"/>
  <c r="N91" i="379" s="1"/>
  <c r="M17" i="379"/>
  <c r="M91" i="379" s="1"/>
  <c r="L17" i="379"/>
  <c r="L91" i="379" s="1"/>
  <c r="K17" i="379"/>
  <c r="J17" i="379"/>
  <c r="I17" i="379"/>
  <c r="H17" i="379"/>
  <c r="G17" i="379"/>
  <c r="C17" i="379"/>
  <c r="B17" i="379"/>
  <c r="AH16" i="379"/>
  <c r="AG16" i="379"/>
  <c r="AF16" i="379"/>
  <c r="AH15" i="379"/>
  <c r="AG15" i="379"/>
  <c r="AF15" i="379"/>
  <c r="AH14" i="379"/>
  <c r="AG14" i="379"/>
  <c r="AF14" i="379"/>
  <c r="AH13" i="379"/>
  <c r="AG13" i="379"/>
  <c r="AF13" i="379"/>
  <c r="AI12" i="379"/>
  <c r="M9" i="379" a="1"/>
  <c r="M9" i="379" s="1"/>
  <c r="F1066" i="88"/>
  <c r="AA677" i="260"/>
  <c r="AB64" i="378"/>
  <c r="AB63" i="378"/>
  <c r="AB62" i="378"/>
  <c r="F1050" i="88"/>
  <c r="AA676" i="260"/>
  <c r="AA64" i="378"/>
  <c r="AA63" i="378"/>
  <c r="AA62" i="378"/>
  <c r="AA675" i="260"/>
  <c r="Z64" i="378"/>
  <c r="Z63" i="378"/>
  <c r="Z62" i="378"/>
  <c r="F1065" i="88"/>
  <c r="F1063" i="88"/>
  <c r="F1062" i="88"/>
  <c r="Y64" i="378"/>
  <c r="Y62" i="378"/>
  <c r="AA674" i="260"/>
  <c r="F1061" i="88"/>
  <c r="X64" i="378"/>
  <c r="X63" i="378"/>
  <c r="F1043" i="88"/>
  <c r="F1044" i="88"/>
  <c r="R670" i="260" a="1"/>
  <c r="B83" i="379" l="1"/>
  <c r="C83" i="379"/>
  <c r="AB89" i="379"/>
  <c r="AC89" i="379"/>
  <c r="H89" i="379"/>
  <c r="R89" i="379"/>
  <c r="X110" i="379"/>
  <c r="W109" i="379"/>
  <c r="V109" i="379"/>
  <c r="U109" i="379"/>
  <c r="S89" i="379"/>
  <c r="S103" i="379" s="1"/>
  <c r="S108" i="379" s="1"/>
  <c r="N110" i="379"/>
  <c r="M109" i="379"/>
  <c r="L109" i="379"/>
  <c r="J83" i="379"/>
  <c r="I89" i="379"/>
  <c r="Z109" i="379"/>
  <c r="G110" i="379"/>
  <c r="AA110" i="379"/>
  <c r="H110" i="379"/>
  <c r="AB110" i="379"/>
  <c r="L89" i="379"/>
  <c r="V89" i="379"/>
  <c r="V103" i="379" s="1"/>
  <c r="V108" i="379" s="1"/>
  <c r="W89" i="379"/>
  <c r="W103" i="379" s="1"/>
  <c r="W108" i="379" s="1"/>
  <c r="K83" i="379"/>
  <c r="Y110" i="379"/>
  <c r="P89" i="379"/>
  <c r="P103" i="379" s="1"/>
  <c r="P108" i="379" s="1"/>
  <c r="F89" i="379"/>
  <c r="Z89" i="379"/>
  <c r="Q89" i="379"/>
  <c r="Q103" i="379" s="1"/>
  <c r="Q108" i="379" s="1"/>
  <c r="G89" i="379"/>
  <c r="AA89" i="379"/>
  <c r="X109" i="379"/>
  <c r="O110" i="379"/>
  <c r="T89" i="379"/>
  <c r="T103" i="379" s="1"/>
  <c r="T108" i="379" s="1"/>
  <c r="J89" i="379"/>
  <c r="N109" i="379"/>
  <c r="R103" i="379"/>
  <c r="R108" i="379" s="1"/>
  <c r="O109" i="379"/>
  <c r="Y109" i="379"/>
  <c r="P109" i="379"/>
  <c r="Q109" i="379"/>
  <c r="U89" i="379"/>
  <c r="K89" i="379"/>
  <c r="AA91" i="379"/>
  <c r="AA109" i="379" s="1"/>
  <c r="S83" i="379"/>
  <c r="V83" i="379"/>
  <c r="W83" i="379"/>
  <c r="X83" i="379"/>
  <c r="Y83" i="379"/>
  <c r="G83" i="379"/>
  <c r="F110" i="379"/>
  <c r="Z110" i="379"/>
  <c r="F91" i="379"/>
  <c r="F109" i="379" s="1"/>
  <c r="G91" i="379"/>
  <c r="G109" i="379" s="1"/>
  <c r="T109" i="379"/>
  <c r="R109" i="379"/>
  <c r="J110" i="379"/>
  <c r="I110" i="379"/>
  <c r="AC110" i="379"/>
  <c r="M110" i="379"/>
  <c r="S109" i="379"/>
  <c r="K110" i="379"/>
  <c r="U103" i="379"/>
  <c r="U108" i="379" s="1"/>
  <c r="AA83" i="379"/>
  <c r="AA99" i="379"/>
  <c r="L103" i="379"/>
  <c r="L108" i="379" s="1"/>
  <c r="Z99" i="379"/>
  <c r="Z83" i="379"/>
  <c r="R83" i="379"/>
  <c r="AB83" i="379"/>
  <c r="L110" i="379"/>
  <c r="AC83" i="379"/>
  <c r="M83" i="379"/>
  <c r="Q110" i="379"/>
  <c r="N83" i="379"/>
  <c r="R110" i="379"/>
  <c r="AF63" i="379"/>
  <c r="P83" i="379"/>
  <c r="H91" i="379"/>
  <c r="H109" i="379" s="1"/>
  <c r="AB91" i="379"/>
  <c r="AB109" i="379" s="1"/>
  <c r="T110" i="379"/>
  <c r="AG63" i="379"/>
  <c r="Q83" i="379"/>
  <c r="M89" i="379"/>
  <c r="M103" i="379" s="1"/>
  <c r="M108" i="379" s="1"/>
  <c r="I91" i="379"/>
  <c r="I109" i="379" s="1"/>
  <c r="AC91" i="379"/>
  <c r="AC109" i="379" s="1"/>
  <c r="U110" i="379"/>
  <c r="N89" i="379"/>
  <c r="N103" i="379" s="1"/>
  <c r="N108" i="379" s="1"/>
  <c r="J91" i="379"/>
  <c r="J109" i="379" s="1"/>
  <c r="V110" i="379"/>
  <c r="O89" i="379"/>
  <c r="O103" i="379" s="1"/>
  <c r="O108" i="379" s="1"/>
  <c r="K91" i="379"/>
  <c r="K109" i="379" s="1"/>
  <c r="W110" i="379"/>
  <c r="X89" i="379"/>
  <c r="X103" i="379" s="1"/>
  <c r="X108" i="379" s="1"/>
  <c r="AG64" i="379"/>
  <c r="I83" i="379"/>
  <c r="Y89" i="379"/>
  <c r="Y103" i="379" s="1"/>
  <c r="Y108" i="379" s="1"/>
  <c r="L83" i="379"/>
  <c r="P110" i="379"/>
  <c r="H65" i="379"/>
  <c r="H99" i="379" s="1"/>
  <c r="O83" i="379"/>
  <c r="S110" i="379"/>
  <c r="T83" i="379"/>
  <c r="AG62" i="379"/>
  <c r="AF62" i="379"/>
  <c r="U83" i="379"/>
  <c r="AF64" i="379"/>
  <c r="R670" i="260"/>
  <c r="F1049" i="88"/>
  <c r="AF64" i="378"/>
  <c r="S64" i="378"/>
  <c r="S63" i="378"/>
  <c r="F1042" i="88"/>
  <c r="R63" i="378"/>
  <c r="R62" i="378"/>
  <c r="F1056" i="88"/>
  <c r="F1053" i="88"/>
  <c r="N110" i="378"/>
  <c r="F1054" i="88"/>
  <c r="AA666" i="260"/>
  <c r="Q63" i="378"/>
  <c r="Q62" i="378"/>
  <c r="F1052" i="88"/>
  <c r="F1051" i="88"/>
  <c r="AA665" i="260"/>
  <c r="F1045" i="88"/>
  <c r="P63" i="378"/>
  <c r="P62" i="378"/>
  <c r="F1001" i="88"/>
  <c r="O63" i="378"/>
  <c r="O62" i="378"/>
  <c r="F1048" i="88"/>
  <c r="F1046" i="88"/>
  <c r="F1047" i="88"/>
  <c r="N63" i="378"/>
  <c r="N62" i="378"/>
  <c r="M63" i="378"/>
  <c r="M62" i="378"/>
  <c r="L62" i="378"/>
  <c r="L63" i="378"/>
  <c r="F1036" i="88"/>
  <c r="F1037" i="88"/>
  <c r="I64" i="378"/>
  <c r="I62" i="378"/>
  <c r="H64" i="378"/>
  <c r="H62" i="378"/>
  <c r="F1021" i="88"/>
  <c r="F1017" i="88"/>
  <c r="F1040" i="88"/>
  <c r="F1033" i="88"/>
  <c r="F1039" i="88"/>
  <c r="F1038" i="88"/>
  <c r="F1008" i="88"/>
  <c r="AC107" i="378"/>
  <c r="AB107" i="378"/>
  <c r="AA107" i="378"/>
  <c r="Z107" i="378"/>
  <c r="Y107" i="378"/>
  <c r="X107" i="378"/>
  <c r="W107" i="378"/>
  <c r="V107" i="378"/>
  <c r="U107" i="378"/>
  <c r="T107" i="378"/>
  <c r="S107" i="378"/>
  <c r="R107" i="378"/>
  <c r="Q107" i="378"/>
  <c r="P107" i="378"/>
  <c r="O107" i="378"/>
  <c r="N107" i="378"/>
  <c r="M107" i="378"/>
  <c r="L107" i="378"/>
  <c r="K107" i="378"/>
  <c r="J107" i="378"/>
  <c r="I107" i="378"/>
  <c r="H107" i="378"/>
  <c r="G107" i="378"/>
  <c r="F107" i="378"/>
  <c r="AC102" i="378"/>
  <c r="AB102" i="378"/>
  <c r="AA102" i="378"/>
  <c r="Z102" i="378"/>
  <c r="Y102" i="378"/>
  <c r="X102" i="378"/>
  <c r="W102" i="378"/>
  <c r="V102" i="378"/>
  <c r="U102" i="378"/>
  <c r="T102" i="378"/>
  <c r="S102" i="378"/>
  <c r="R102" i="378"/>
  <c r="Q102" i="378"/>
  <c r="P102" i="378"/>
  <c r="O102" i="378"/>
  <c r="N102" i="378"/>
  <c r="M102" i="378"/>
  <c r="L102" i="378"/>
  <c r="K102" i="378"/>
  <c r="J102" i="378"/>
  <c r="I102" i="378"/>
  <c r="H102" i="378"/>
  <c r="G102" i="378"/>
  <c r="F102" i="378"/>
  <c r="W101" i="378"/>
  <c r="V101" i="378"/>
  <c r="T101" i="378"/>
  <c r="S101" i="378"/>
  <c r="G100" i="378"/>
  <c r="F100" i="378"/>
  <c r="I98" i="378"/>
  <c r="W93" i="378"/>
  <c r="O91" i="378"/>
  <c r="N91" i="378"/>
  <c r="AC80" i="378"/>
  <c r="AC101" i="378" s="1"/>
  <c r="AB80" i="378"/>
  <c r="AB101" i="378" s="1"/>
  <c r="AA80" i="378"/>
  <c r="AA101" i="378" s="1"/>
  <c r="Z80" i="378"/>
  <c r="Z101" i="378" s="1"/>
  <c r="Y80" i="378"/>
  <c r="Y101" i="378" s="1"/>
  <c r="X80" i="378"/>
  <c r="X101" i="378" s="1"/>
  <c r="W80" i="378"/>
  <c r="V80" i="378"/>
  <c r="U80" i="378"/>
  <c r="U101" i="378" s="1"/>
  <c r="T80" i="378"/>
  <c r="S80" i="378"/>
  <c r="R80" i="378"/>
  <c r="R101" i="378" s="1"/>
  <c r="Q80" i="378"/>
  <c r="Q101" i="378" s="1"/>
  <c r="P80" i="378"/>
  <c r="P101" i="378" s="1"/>
  <c r="O80" i="378"/>
  <c r="O101" i="378" s="1"/>
  <c r="N80" i="378"/>
  <c r="N101" i="378" s="1"/>
  <c r="M80" i="378"/>
  <c r="M101" i="378" s="1"/>
  <c r="L80" i="378"/>
  <c r="L101" i="378" s="1"/>
  <c r="K80" i="378"/>
  <c r="K101" i="378" s="1"/>
  <c r="J80" i="378"/>
  <c r="J101" i="378" s="1"/>
  <c r="I80" i="378"/>
  <c r="I101" i="378" s="1"/>
  <c r="H80" i="378"/>
  <c r="H101" i="378" s="1"/>
  <c r="G80" i="378"/>
  <c r="G101" i="378" s="1"/>
  <c r="F80" i="378"/>
  <c r="F101" i="378" s="1"/>
  <c r="C80" i="378"/>
  <c r="B80" i="378"/>
  <c r="AH79" i="378"/>
  <c r="AG79" i="378"/>
  <c r="AF79" i="378"/>
  <c r="AH78" i="378"/>
  <c r="AG78" i="378"/>
  <c r="AF78" i="378"/>
  <c r="AI77" i="378"/>
  <c r="AC76" i="378"/>
  <c r="AC100" i="378" s="1"/>
  <c r="AB76" i="378"/>
  <c r="AB100" i="378" s="1"/>
  <c r="AA76" i="378"/>
  <c r="AA100" i="378" s="1"/>
  <c r="Z76" i="378"/>
  <c r="Z100" i="378" s="1"/>
  <c r="Y76" i="378"/>
  <c r="Y100" i="378" s="1"/>
  <c r="X76" i="378"/>
  <c r="X100" i="378" s="1"/>
  <c r="W76" i="378"/>
  <c r="W100" i="378" s="1"/>
  <c r="V76" i="378"/>
  <c r="V100" i="378" s="1"/>
  <c r="U76" i="378"/>
  <c r="U100" i="378" s="1"/>
  <c r="T76" i="378"/>
  <c r="T100" i="378" s="1"/>
  <c r="S76" i="378"/>
  <c r="S100" i="378" s="1"/>
  <c r="R76" i="378"/>
  <c r="R100" i="378" s="1"/>
  <c r="Q76" i="378"/>
  <c r="Q100" i="378" s="1"/>
  <c r="P76" i="378"/>
  <c r="P100" i="378" s="1"/>
  <c r="O76" i="378"/>
  <c r="O100" i="378" s="1"/>
  <c r="N76" i="378"/>
  <c r="N100" i="378" s="1"/>
  <c r="M76" i="378"/>
  <c r="M100" i="378" s="1"/>
  <c r="L76" i="378"/>
  <c r="L100" i="378" s="1"/>
  <c r="K76" i="378"/>
  <c r="K100" i="378" s="1"/>
  <c r="J76" i="378"/>
  <c r="J100" i="378" s="1"/>
  <c r="I76" i="378"/>
  <c r="I100" i="378" s="1"/>
  <c r="H76" i="378"/>
  <c r="H100" i="378" s="1"/>
  <c r="G76" i="378"/>
  <c r="F76" i="378"/>
  <c r="C76" i="378"/>
  <c r="B76" i="378"/>
  <c r="AH75" i="378"/>
  <c r="AG75" i="378"/>
  <c r="AF75" i="378"/>
  <c r="AH74" i="378"/>
  <c r="AG74" i="378"/>
  <c r="AF74" i="378"/>
  <c r="AH73" i="378"/>
  <c r="AG73" i="378"/>
  <c r="AF73" i="378"/>
  <c r="AH72" i="378"/>
  <c r="AG72" i="378"/>
  <c r="AF72" i="378"/>
  <c r="AH71" i="378"/>
  <c r="AG71" i="378"/>
  <c r="AF71" i="378"/>
  <c r="AH70" i="378"/>
  <c r="AG70" i="378"/>
  <c r="AF70" i="378"/>
  <c r="AH69" i="378"/>
  <c r="AG69" i="378"/>
  <c r="AF69" i="378"/>
  <c r="AH68" i="378"/>
  <c r="AG68" i="378"/>
  <c r="AF68" i="378"/>
  <c r="AH67" i="378"/>
  <c r="AG67" i="378"/>
  <c r="AF67" i="378"/>
  <c r="AI66" i="378"/>
  <c r="AC65" i="378"/>
  <c r="AC99" i="378" s="1"/>
  <c r="AB65" i="378"/>
  <c r="AB99" i="378" s="1"/>
  <c r="AA65" i="378"/>
  <c r="AA99" i="378" s="1"/>
  <c r="Z65" i="378"/>
  <c r="Z99" i="378" s="1"/>
  <c r="Y65" i="378"/>
  <c r="Y99" i="378" s="1"/>
  <c r="X65" i="378"/>
  <c r="X99" i="378" s="1"/>
  <c r="W65" i="378"/>
  <c r="W99" i="378" s="1"/>
  <c r="V65" i="378"/>
  <c r="V99" i="378" s="1"/>
  <c r="U65" i="378"/>
  <c r="U99" i="378" s="1"/>
  <c r="T65" i="378"/>
  <c r="T99" i="378" s="1"/>
  <c r="N65" i="378"/>
  <c r="N99" i="378" s="1"/>
  <c r="K65" i="378"/>
  <c r="K99" i="378" s="1"/>
  <c r="J65" i="378"/>
  <c r="J99" i="378" s="1"/>
  <c r="I65" i="378"/>
  <c r="I99" i="378" s="1"/>
  <c r="H65" i="378"/>
  <c r="H99" i="378" s="1"/>
  <c r="G65" i="378"/>
  <c r="G99" i="378" s="1"/>
  <c r="F65" i="378"/>
  <c r="F99" i="378" s="1"/>
  <c r="C65" i="378"/>
  <c r="B65" i="378"/>
  <c r="AH64" i="378"/>
  <c r="AG64" i="378"/>
  <c r="R65" i="378"/>
  <c r="R99" i="378" s="1"/>
  <c r="Q65" i="378"/>
  <c r="Q99" i="378" s="1"/>
  <c r="P65" i="378"/>
  <c r="P99" i="378" s="1"/>
  <c r="AC60" i="378"/>
  <c r="AC98" i="378" s="1"/>
  <c r="AB60" i="378"/>
  <c r="AB98" i="378" s="1"/>
  <c r="AA60" i="378"/>
  <c r="AA98" i="378" s="1"/>
  <c r="Z60" i="378"/>
  <c r="Z98" i="378" s="1"/>
  <c r="Y60" i="378"/>
  <c r="Y98" i="378" s="1"/>
  <c r="X60" i="378"/>
  <c r="X98" i="378" s="1"/>
  <c r="W60" i="378"/>
  <c r="W98" i="378" s="1"/>
  <c r="V60" i="378"/>
  <c r="V98" i="378" s="1"/>
  <c r="U60" i="378"/>
  <c r="U98" i="378" s="1"/>
  <c r="T60" i="378"/>
  <c r="T98" i="378" s="1"/>
  <c r="S60" i="378"/>
  <c r="S98" i="378" s="1"/>
  <c r="R60" i="378"/>
  <c r="R98" i="378" s="1"/>
  <c r="Q60" i="378"/>
  <c r="Q98" i="378" s="1"/>
  <c r="P60" i="378"/>
  <c r="P98" i="378" s="1"/>
  <c r="O60" i="378"/>
  <c r="O98" i="378" s="1"/>
  <c r="N60" i="378"/>
  <c r="N98" i="378" s="1"/>
  <c r="M60" i="378"/>
  <c r="M98" i="378" s="1"/>
  <c r="L60" i="378"/>
  <c r="L98" i="378" s="1"/>
  <c r="K60" i="378"/>
  <c r="K98" i="378" s="1"/>
  <c r="J60" i="378"/>
  <c r="J98" i="378" s="1"/>
  <c r="I60" i="378"/>
  <c r="H60" i="378"/>
  <c r="H98" i="378" s="1"/>
  <c r="G60" i="378"/>
  <c r="G98" i="378" s="1"/>
  <c r="F60" i="378"/>
  <c r="F98" i="378" s="1"/>
  <c r="C60" i="378"/>
  <c r="B60" i="378"/>
  <c r="AH59" i="378"/>
  <c r="AG59" i="378"/>
  <c r="AF59" i="378"/>
  <c r="AH58" i="378"/>
  <c r="AG58" i="378"/>
  <c r="AF58" i="378"/>
  <c r="AH57" i="378"/>
  <c r="AG57" i="378"/>
  <c r="AF57" i="378"/>
  <c r="AH56" i="378"/>
  <c r="AG56" i="378"/>
  <c r="AF56" i="378"/>
  <c r="AH51" i="378"/>
  <c r="AG51" i="378"/>
  <c r="AF51" i="378"/>
  <c r="AH50" i="378"/>
  <c r="AG50" i="378"/>
  <c r="AF50" i="378"/>
  <c r="AH49" i="378"/>
  <c r="AG49" i="378"/>
  <c r="AF49" i="378"/>
  <c r="AH48" i="378"/>
  <c r="AG48" i="378"/>
  <c r="AF48" i="378"/>
  <c r="AH47" i="378"/>
  <c r="AG47" i="378"/>
  <c r="AF47" i="378"/>
  <c r="AH46" i="378"/>
  <c r="AG46" i="378"/>
  <c r="AF46" i="378"/>
  <c r="AH45" i="378"/>
  <c r="AG45" i="378"/>
  <c r="AF45" i="378"/>
  <c r="AH44" i="378"/>
  <c r="AG44" i="378"/>
  <c r="AF44" i="378"/>
  <c r="AH43" i="378"/>
  <c r="AG43" i="378"/>
  <c r="AF43" i="378"/>
  <c r="AH42" i="378"/>
  <c r="AG42" i="378"/>
  <c r="AF42" i="378"/>
  <c r="AH41" i="378"/>
  <c r="AG41" i="378"/>
  <c r="AF41" i="378"/>
  <c r="AH40" i="378"/>
  <c r="AG40" i="378"/>
  <c r="AF40" i="378"/>
  <c r="AH39" i="378"/>
  <c r="AG39" i="378"/>
  <c r="AF39" i="378"/>
  <c r="AH38" i="378"/>
  <c r="AG38" i="378"/>
  <c r="AF38" i="378"/>
  <c r="AH37" i="378"/>
  <c r="AG37" i="378"/>
  <c r="AF37" i="378"/>
  <c r="AI36" i="378"/>
  <c r="AH36" i="378"/>
  <c r="AG36" i="378"/>
  <c r="AF36" i="378"/>
  <c r="AI35" i="378"/>
  <c r="AC34" i="378"/>
  <c r="AC96" i="378" s="1"/>
  <c r="AB34" i="378"/>
  <c r="AB96" i="378" s="1"/>
  <c r="AA34" i="378"/>
  <c r="AA96" i="378" s="1"/>
  <c r="Z34" i="378"/>
  <c r="Z96" i="378" s="1"/>
  <c r="Y34" i="378"/>
  <c r="Y96" i="378" s="1"/>
  <c r="X34" i="378"/>
  <c r="X96" i="378" s="1"/>
  <c r="W34" i="378"/>
  <c r="W96" i="378" s="1"/>
  <c r="V34" i="378"/>
  <c r="V96" i="378" s="1"/>
  <c r="U34" i="378"/>
  <c r="U96" i="378" s="1"/>
  <c r="T34" i="378"/>
  <c r="T96" i="378" s="1"/>
  <c r="S34" i="378"/>
  <c r="S96" i="378" s="1"/>
  <c r="R34" i="378"/>
  <c r="R96" i="378" s="1"/>
  <c r="Q34" i="378"/>
  <c r="Q96" i="378" s="1"/>
  <c r="P34" i="378"/>
  <c r="P96" i="378" s="1"/>
  <c r="O34" i="378"/>
  <c r="O96" i="378" s="1"/>
  <c r="N34" i="378"/>
  <c r="N96" i="378" s="1"/>
  <c r="M34" i="378"/>
  <c r="M96" i="378" s="1"/>
  <c r="L34" i="378"/>
  <c r="L96" i="378" s="1"/>
  <c r="K34" i="378"/>
  <c r="K96" i="378" s="1"/>
  <c r="J34" i="378"/>
  <c r="J96" i="378" s="1"/>
  <c r="I34" i="378"/>
  <c r="I96" i="378" s="1"/>
  <c r="H34" i="378"/>
  <c r="H96" i="378" s="1"/>
  <c r="G34" i="378"/>
  <c r="G96" i="378" s="1"/>
  <c r="F34" i="378"/>
  <c r="F96" i="378" s="1"/>
  <c r="C34" i="378"/>
  <c r="B34" i="378"/>
  <c r="AH33" i="378"/>
  <c r="AG33" i="378"/>
  <c r="AF33" i="378"/>
  <c r="AI32" i="378"/>
  <c r="AC31" i="378"/>
  <c r="AC93" i="378" s="1"/>
  <c r="AB31" i="378"/>
  <c r="AB93" i="378" s="1"/>
  <c r="AA31" i="378"/>
  <c r="AA93" i="378" s="1"/>
  <c r="Z31" i="378"/>
  <c r="Z93" i="378" s="1"/>
  <c r="Y31" i="378"/>
  <c r="Y93" i="378" s="1"/>
  <c r="X31" i="378"/>
  <c r="X93" i="378" s="1"/>
  <c r="W31" i="378"/>
  <c r="V31" i="378"/>
  <c r="V93" i="378" s="1"/>
  <c r="U31" i="378"/>
  <c r="U93" i="378" s="1"/>
  <c r="T31" i="378"/>
  <c r="T93" i="378" s="1"/>
  <c r="S31" i="378"/>
  <c r="S93" i="378" s="1"/>
  <c r="R31" i="378"/>
  <c r="R93" i="378" s="1"/>
  <c r="Q31" i="378"/>
  <c r="Q93" i="378" s="1"/>
  <c r="P31" i="378"/>
  <c r="P93" i="378" s="1"/>
  <c r="O31" i="378"/>
  <c r="O93" i="378" s="1"/>
  <c r="N31" i="378"/>
  <c r="N93" i="378" s="1"/>
  <c r="M31" i="378"/>
  <c r="M93" i="378" s="1"/>
  <c r="L31" i="378"/>
  <c r="L93" i="378" s="1"/>
  <c r="K31" i="378"/>
  <c r="K93" i="378" s="1"/>
  <c r="J31" i="378"/>
  <c r="J93" i="378" s="1"/>
  <c r="I31" i="378"/>
  <c r="I93" i="378" s="1"/>
  <c r="H31" i="378"/>
  <c r="H93" i="378" s="1"/>
  <c r="G31" i="378"/>
  <c r="G93" i="378" s="1"/>
  <c r="F31" i="378"/>
  <c r="F93" i="378" s="1"/>
  <c r="C31" i="378"/>
  <c r="B31" i="378"/>
  <c r="AI28" i="378"/>
  <c r="AH28" i="378"/>
  <c r="AG28" i="378"/>
  <c r="AF28" i="378"/>
  <c r="AH27" i="378"/>
  <c r="AG27" i="378"/>
  <c r="AF27" i="378"/>
  <c r="AI26" i="378"/>
  <c r="AC25" i="378"/>
  <c r="AB25" i="378"/>
  <c r="AA25" i="378"/>
  <c r="Z25" i="378"/>
  <c r="Z89" i="378" s="1"/>
  <c r="Y25" i="378"/>
  <c r="Y89" i="378" s="1"/>
  <c r="X25" i="378"/>
  <c r="W25" i="378"/>
  <c r="V25" i="378"/>
  <c r="U25" i="378"/>
  <c r="T25" i="378"/>
  <c r="S25" i="378"/>
  <c r="S89" i="378" s="1"/>
  <c r="R25" i="378"/>
  <c r="Q25" i="378"/>
  <c r="P25" i="378"/>
  <c r="O25" i="378"/>
  <c r="N25" i="378"/>
  <c r="M25" i="378"/>
  <c r="L25" i="378"/>
  <c r="K25" i="378"/>
  <c r="J25" i="378"/>
  <c r="I25" i="378"/>
  <c r="H25" i="378"/>
  <c r="G25" i="378"/>
  <c r="F25" i="378"/>
  <c r="C25" i="378"/>
  <c r="B25" i="378"/>
  <c r="AH24" i="378"/>
  <c r="AG24" i="378"/>
  <c r="AF24" i="378"/>
  <c r="AI23" i="378"/>
  <c r="AC22" i="378"/>
  <c r="AB22" i="378"/>
  <c r="AA22" i="378"/>
  <c r="Z22" i="378"/>
  <c r="Y22" i="378"/>
  <c r="X22" i="378"/>
  <c r="W22" i="378"/>
  <c r="V22" i="378"/>
  <c r="U22" i="378"/>
  <c r="T22" i="378"/>
  <c r="S22" i="378"/>
  <c r="R22" i="378"/>
  <c r="Q22" i="378"/>
  <c r="P22" i="378"/>
  <c r="O22" i="378"/>
  <c r="N22" i="378"/>
  <c r="M22" i="378"/>
  <c r="M89" i="378" s="1"/>
  <c r="L22" i="378"/>
  <c r="K22" i="378"/>
  <c r="J22" i="378"/>
  <c r="I22" i="378"/>
  <c r="H22" i="378"/>
  <c r="G22" i="378"/>
  <c r="F22" i="378"/>
  <c r="F89" i="378" s="1"/>
  <c r="C22" i="378"/>
  <c r="B22" i="378"/>
  <c r="AH21" i="378"/>
  <c r="AG21" i="378"/>
  <c r="AF21" i="378"/>
  <c r="AH20" i="378"/>
  <c r="AG20" i="378"/>
  <c r="AF20" i="378"/>
  <c r="AH19" i="378"/>
  <c r="AG19" i="378"/>
  <c r="AF19" i="378"/>
  <c r="AI18" i="378"/>
  <c r="AC17" i="378"/>
  <c r="AB17" i="378"/>
  <c r="AA17" i="378"/>
  <c r="AA91" i="378" s="1"/>
  <c r="AA109" i="378" s="1"/>
  <c r="Z17" i="378"/>
  <c r="Y17" i="378"/>
  <c r="X17" i="378"/>
  <c r="W17" i="378"/>
  <c r="W91" i="378" s="1"/>
  <c r="V17" i="378"/>
  <c r="V91" i="378" s="1"/>
  <c r="U17" i="378"/>
  <c r="U91" i="378" s="1"/>
  <c r="T17" i="378"/>
  <c r="T91" i="378" s="1"/>
  <c r="S17" i="378"/>
  <c r="S91" i="378" s="1"/>
  <c r="R17" i="378"/>
  <c r="R91" i="378" s="1"/>
  <c r="Q17" i="378"/>
  <c r="Q91" i="378" s="1"/>
  <c r="P17" i="378"/>
  <c r="O17" i="378"/>
  <c r="N17" i="378"/>
  <c r="M17" i="378"/>
  <c r="M91" i="378" s="1"/>
  <c r="L17" i="378"/>
  <c r="L91" i="378" s="1"/>
  <c r="L109" i="378" s="1"/>
  <c r="K17" i="378"/>
  <c r="K91" i="378" s="1"/>
  <c r="J17" i="378"/>
  <c r="J91" i="378" s="1"/>
  <c r="I17" i="378"/>
  <c r="H17" i="378"/>
  <c r="H91" i="378" s="1"/>
  <c r="H109" i="378" s="1"/>
  <c r="G17" i="378"/>
  <c r="F17" i="378"/>
  <c r="F91" i="378" s="1"/>
  <c r="C17" i="378"/>
  <c r="C83" i="378" s="1"/>
  <c r="B17" i="378"/>
  <c r="B83" i="378" s="1"/>
  <c r="AH16" i="378"/>
  <c r="AG16" i="378"/>
  <c r="AF16" i="378"/>
  <c r="AH15" i="378"/>
  <c r="AG15" i="378"/>
  <c r="AF15" i="378"/>
  <c r="AH14" i="378"/>
  <c r="AG14" i="378"/>
  <c r="AF14" i="378"/>
  <c r="AH13" i="378"/>
  <c r="AG13" i="378"/>
  <c r="AF13" i="378"/>
  <c r="AI12" i="378"/>
  <c r="M9" i="378" a="1"/>
  <c r="M9" i="378" s="1"/>
  <c r="F1032" i="88"/>
  <c r="AA64" i="377"/>
  <c r="AA63" i="377"/>
  <c r="F1034" i="88"/>
  <c r="Z64" i="377"/>
  <c r="Z63" i="377"/>
  <c r="F1028" i="88"/>
  <c r="F1030" i="88"/>
  <c r="F1026" i="88"/>
  <c r="F1006" i="88"/>
  <c r="Y63" i="377"/>
  <c r="Y64" i="377"/>
  <c r="F1005" i="88"/>
  <c r="F1027" i="88"/>
  <c r="F1025" i="88"/>
  <c r="F1029" i="88"/>
  <c r="F1031" i="88"/>
  <c r="X106" i="377"/>
  <c r="X63" i="377"/>
  <c r="X62" i="377"/>
  <c r="F1012" i="88"/>
  <c r="F974" i="88"/>
  <c r="W647" i="260"/>
  <c r="W106" i="377"/>
  <c r="W646" i="260"/>
  <c r="F1024" i="88"/>
  <c r="V106" i="377"/>
  <c r="F1022" i="88"/>
  <c r="F1020" i="88"/>
  <c r="W645" i="260"/>
  <c r="F1023" i="88"/>
  <c r="F1007" i="88"/>
  <c r="W644" i="260"/>
  <c r="F1019" i="88"/>
  <c r="F1016" i="88"/>
  <c r="F1018" i="88"/>
  <c r="W643" i="260"/>
  <c r="S63" i="377"/>
  <c r="S62" i="377"/>
  <c r="F1015" i="88"/>
  <c r="F1014" i="88"/>
  <c r="F1013" i="88"/>
  <c r="F1002" i="88"/>
  <c r="W642" i="260"/>
  <c r="R64" i="377"/>
  <c r="R62" i="377"/>
  <c r="D9" i="253"/>
  <c r="E9" i="253"/>
  <c r="W641" i="260"/>
  <c r="Q64" i="377"/>
  <c r="Q62" i="377"/>
  <c r="F1011" i="88"/>
  <c r="P64" i="377"/>
  <c r="P62" i="377"/>
  <c r="F1010" i="88"/>
  <c r="F1009" i="88"/>
  <c r="P65" i="377"/>
  <c r="P99" i="377" s="1"/>
  <c r="O64" i="377"/>
  <c r="O62" i="377"/>
  <c r="F1004" i="88"/>
  <c r="F1000" i="88"/>
  <c r="L64" i="377"/>
  <c r="L63" i="377"/>
  <c r="F999" i="88"/>
  <c r="F929" i="88"/>
  <c r="F989" i="88"/>
  <c r="A678" i="79"/>
  <c r="C678" i="79" s="1"/>
  <c r="A677" i="79"/>
  <c r="C677" i="79" s="1"/>
  <c r="F992" i="88"/>
  <c r="AO641" i="79"/>
  <c r="AN641" i="79"/>
  <c r="AM641" i="79"/>
  <c r="A617" i="79"/>
  <c r="C617" i="79" s="1"/>
  <c r="F80" i="377"/>
  <c r="F76" i="377"/>
  <c r="F60" i="377"/>
  <c r="F98" i="377" s="1"/>
  <c r="F34" i="377"/>
  <c r="F96" i="377" s="1"/>
  <c r="F31" i="377"/>
  <c r="F93" i="377" s="1"/>
  <c r="F25" i="377"/>
  <c r="F22" i="377"/>
  <c r="F89" i="377" s="1"/>
  <c r="F17" i="377"/>
  <c r="AC63" i="376"/>
  <c r="AC62" i="376"/>
  <c r="F901" i="88"/>
  <c r="AC107" i="377"/>
  <c r="AB107" i="377"/>
  <c r="AA107" i="377"/>
  <c r="Z107" i="377"/>
  <c r="Y107" i="377"/>
  <c r="X107" i="377"/>
  <c r="W107" i="377"/>
  <c r="V107" i="377"/>
  <c r="U107" i="377"/>
  <c r="T107" i="377"/>
  <c r="S107" i="377"/>
  <c r="R107" i="377"/>
  <c r="Q107" i="377"/>
  <c r="P107" i="377"/>
  <c r="O107" i="377"/>
  <c r="N107" i="377"/>
  <c r="M107" i="377"/>
  <c r="L107" i="377"/>
  <c r="K107" i="377"/>
  <c r="J107" i="377"/>
  <c r="I107" i="377"/>
  <c r="H107" i="377"/>
  <c r="G107" i="377"/>
  <c r="F107" i="377"/>
  <c r="AC102" i="377"/>
  <c r="AB102" i="377"/>
  <c r="AA102" i="377"/>
  <c r="Z102" i="377"/>
  <c r="Y102" i="377"/>
  <c r="X102" i="377"/>
  <c r="W102" i="377"/>
  <c r="V102" i="377"/>
  <c r="U102" i="377"/>
  <c r="T102" i="377"/>
  <c r="S102" i="377"/>
  <c r="R102" i="377"/>
  <c r="Q102" i="377"/>
  <c r="P102" i="377"/>
  <c r="O102" i="377"/>
  <c r="N102" i="377"/>
  <c r="M102" i="377"/>
  <c r="L102" i="377"/>
  <c r="K102" i="377"/>
  <c r="J102" i="377"/>
  <c r="I102" i="377"/>
  <c r="H102" i="377"/>
  <c r="G102" i="377"/>
  <c r="F102" i="377"/>
  <c r="J96" i="377"/>
  <c r="S93" i="377"/>
  <c r="W91" i="377"/>
  <c r="AC80" i="377"/>
  <c r="AC101" i="377" s="1"/>
  <c r="AB80" i="377"/>
  <c r="AB101" i="377" s="1"/>
  <c r="AA80" i="377"/>
  <c r="AA101" i="377" s="1"/>
  <c r="Z80" i="377"/>
  <c r="Z101" i="377" s="1"/>
  <c r="Y80" i="377"/>
  <c r="Y101" i="377" s="1"/>
  <c r="X80" i="377"/>
  <c r="X101" i="377" s="1"/>
  <c r="W80" i="377"/>
  <c r="W101" i="377" s="1"/>
  <c r="V80" i="377"/>
  <c r="V101" i="377" s="1"/>
  <c r="U80" i="377"/>
  <c r="U101" i="377" s="1"/>
  <c r="T80" i="377"/>
  <c r="T101" i="377" s="1"/>
  <c r="S80" i="377"/>
  <c r="S101" i="377" s="1"/>
  <c r="R80" i="377"/>
  <c r="R101" i="377" s="1"/>
  <c r="Q80" i="377"/>
  <c r="Q101" i="377" s="1"/>
  <c r="P80" i="377"/>
  <c r="P101" i="377" s="1"/>
  <c r="O80" i="377"/>
  <c r="O101" i="377" s="1"/>
  <c r="N80" i="377"/>
  <c r="N101" i="377" s="1"/>
  <c r="M80" i="377"/>
  <c r="M101" i="377" s="1"/>
  <c r="L80" i="377"/>
  <c r="L101" i="377" s="1"/>
  <c r="K80" i="377"/>
  <c r="K101" i="377" s="1"/>
  <c r="J80" i="377"/>
  <c r="J101" i="377" s="1"/>
  <c r="I80" i="377"/>
  <c r="I101" i="377" s="1"/>
  <c r="H80" i="377"/>
  <c r="H101" i="377" s="1"/>
  <c r="G80" i="377"/>
  <c r="G101" i="377" s="1"/>
  <c r="F101" i="377"/>
  <c r="C80" i="377"/>
  <c r="B80" i="377"/>
  <c r="B25" i="377" s="1"/>
  <c r="AH79" i="377"/>
  <c r="AG79" i="377"/>
  <c r="AF79" i="377"/>
  <c r="AH78" i="377"/>
  <c r="AG78" i="377"/>
  <c r="AF78" i="377"/>
  <c r="AI77" i="377"/>
  <c r="AC76" i="377"/>
  <c r="AC100" i="377" s="1"/>
  <c r="AB76" i="377"/>
  <c r="AB100" i="377" s="1"/>
  <c r="AA76" i="377"/>
  <c r="AA100" i="377" s="1"/>
  <c r="Z76" i="377"/>
  <c r="Z100" i="377" s="1"/>
  <c r="Y76" i="377"/>
  <c r="Y100" i="377" s="1"/>
  <c r="X76" i="377"/>
  <c r="X100" i="377" s="1"/>
  <c r="W76" i="377"/>
  <c r="W100" i="377" s="1"/>
  <c r="V76" i="377"/>
  <c r="V100" i="377" s="1"/>
  <c r="U76" i="377"/>
  <c r="U100" i="377" s="1"/>
  <c r="T76" i="377"/>
  <c r="T100" i="377" s="1"/>
  <c r="S76" i="377"/>
  <c r="S100" i="377" s="1"/>
  <c r="R76" i="377"/>
  <c r="R100" i="377" s="1"/>
  <c r="Q76" i="377"/>
  <c r="Q100" i="377" s="1"/>
  <c r="P76" i="377"/>
  <c r="P100" i="377" s="1"/>
  <c r="O76" i="377"/>
  <c r="O100" i="377" s="1"/>
  <c r="N76" i="377"/>
  <c r="N100" i="377" s="1"/>
  <c r="M76" i="377"/>
  <c r="M100" i="377" s="1"/>
  <c r="L76" i="377"/>
  <c r="L100" i="377" s="1"/>
  <c r="K76" i="377"/>
  <c r="K100" i="377" s="1"/>
  <c r="J76" i="377"/>
  <c r="J100" i="377" s="1"/>
  <c r="I76" i="377"/>
  <c r="I100" i="377" s="1"/>
  <c r="H76" i="377"/>
  <c r="H100" i="377" s="1"/>
  <c r="G76" i="377"/>
  <c r="G100" i="377" s="1"/>
  <c r="F100" i="377"/>
  <c r="C76" i="377"/>
  <c r="B76" i="377"/>
  <c r="AH75" i="377"/>
  <c r="AG75" i="377"/>
  <c r="AF75" i="377"/>
  <c r="AH74" i="377"/>
  <c r="AG74" i="377"/>
  <c r="AF74" i="377"/>
  <c r="AH73" i="377"/>
  <c r="AG73" i="377"/>
  <c r="AF73" i="377"/>
  <c r="AH72" i="377"/>
  <c r="AG72" i="377"/>
  <c r="AF72" i="377"/>
  <c r="AH71" i="377"/>
  <c r="AG71" i="377"/>
  <c r="AF71" i="377"/>
  <c r="AH70" i="377"/>
  <c r="AG70" i="377"/>
  <c r="AF70" i="377"/>
  <c r="AH69" i="377"/>
  <c r="AG69" i="377"/>
  <c r="AF69" i="377"/>
  <c r="AH68" i="377"/>
  <c r="AG68" i="377"/>
  <c r="AF68" i="377"/>
  <c r="AH67" i="377"/>
  <c r="AG67" i="377"/>
  <c r="AF67" i="377"/>
  <c r="AI66" i="377"/>
  <c r="AC65" i="377"/>
  <c r="AC99" i="377" s="1"/>
  <c r="AB65" i="377"/>
  <c r="AB99" i="377" s="1"/>
  <c r="Y65" i="377"/>
  <c r="Y99" i="377" s="1"/>
  <c r="X65" i="377"/>
  <c r="X99" i="377" s="1"/>
  <c r="W65" i="377"/>
  <c r="W99" i="377" s="1"/>
  <c r="T65" i="377"/>
  <c r="T99" i="377" s="1"/>
  <c r="Q65" i="377"/>
  <c r="Q99" i="377" s="1"/>
  <c r="M65" i="377"/>
  <c r="M99" i="377" s="1"/>
  <c r="K65" i="377"/>
  <c r="K99" i="377" s="1"/>
  <c r="J65" i="377"/>
  <c r="J99" i="377" s="1"/>
  <c r="H65" i="377"/>
  <c r="H99" i="377" s="1"/>
  <c r="G65" i="377"/>
  <c r="G99" i="377" s="1"/>
  <c r="C65" i="377"/>
  <c r="B65" i="377"/>
  <c r="O65" i="377"/>
  <c r="O99" i="377" s="1"/>
  <c r="N65" i="377"/>
  <c r="N99" i="377" s="1"/>
  <c r="AH63" i="377"/>
  <c r="AA65" i="377"/>
  <c r="AA99" i="377" s="1"/>
  <c r="Z65" i="377"/>
  <c r="V65" i="377"/>
  <c r="V99" i="377" s="1"/>
  <c r="U65" i="377"/>
  <c r="U99" i="377" s="1"/>
  <c r="L65" i="377"/>
  <c r="L99" i="377" s="1"/>
  <c r="AC60" i="377"/>
  <c r="AC98" i="377" s="1"/>
  <c r="AB60" i="377"/>
  <c r="AB98" i="377" s="1"/>
  <c r="AA60" i="377"/>
  <c r="AA98" i="377" s="1"/>
  <c r="Z60" i="377"/>
  <c r="Z98" i="377" s="1"/>
  <c r="Y60" i="377"/>
  <c r="Y98" i="377" s="1"/>
  <c r="X60" i="377"/>
  <c r="X98" i="377" s="1"/>
  <c r="W60" i="377"/>
  <c r="W98" i="377" s="1"/>
  <c r="V60" i="377"/>
  <c r="V98" i="377" s="1"/>
  <c r="U60" i="377"/>
  <c r="U98" i="377" s="1"/>
  <c r="T60" i="377"/>
  <c r="T98" i="377" s="1"/>
  <c r="S60" i="377"/>
  <c r="S98" i="377" s="1"/>
  <c r="R60" i="377"/>
  <c r="R98" i="377" s="1"/>
  <c r="Q60" i="377"/>
  <c r="Q98" i="377" s="1"/>
  <c r="P60" i="377"/>
  <c r="P98" i="377" s="1"/>
  <c r="O60" i="377"/>
  <c r="O98" i="377" s="1"/>
  <c r="M60" i="377"/>
  <c r="M98" i="377" s="1"/>
  <c r="L60" i="377"/>
  <c r="L98" i="377" s="1"/>
  <c r="K60" i="377"/>
  <c r="K98" i="377" s="1"/>
  <c r="J60" i="377"/>
  <c r="J98" i="377" s="1"/>
  <c r="I60" i="377"/>
  <c r="I98" i="377" s="1"/>
  <c r="H60" i="377"/>
  <c r="H98" i="377" s="1"/>
  <c r="G60" i="377"/>
  <c r="G98" i="377" s="1"/>
  <c r="C60" i="377"/>
  <c r="B60" i="377"/>
  <c r="AH59" i="377"/>
  <c r="AG59" i="377"/>
  <c r="AF59" i="377"/>
  <c r="AH58" i="377"/>
  <c r="AG58" i="377"/>
  <c r="AF58" i="377"/>
  <c r="AH57" i="377"/>
  <c r="AG57" i="377"/>
  <c r="AF57" i="377"/>
  <c r="AH56" i="377"/>
  <c r="AH51" i="377"/>
  <c r="AH50" i="377"/>
  <c r="AG50" i="377"/>
  <c r="AF50" i="377"/>
  <c r="AH49" i="377"/>
  <c r="AG49" i="377"/>
  <c r="AF49" i="377"/>
  <c r="AH48" i="377"/>
  <c r="AG47" i="377"/>
  <c r="AH46" i="377"/>
  <c r="AG46" i="377"/>
  <c r="AF46" i="377"/>
  <c r="AH45" i="377"/>
  <c r="AG45" i="377"/>
  <c r="AF45" i="377"/>
  <c r="AH44" i="377"/>
  <c r="AG44" i="377"/>
  <c r="AF44" i="377"/>
  <c r="AH43" i="377"/>
  <c r="AG43" i="377"/>
  <c r="AF43" i="377"/>
  <c r="AH42" i="377"/>
  <c r="AG42" i="377"/>
  <c r="AF42" i="377"/>
  <c r="AH41" i="377"/>
  <c r="AG41" i="377"/>
  <c r="AF41" i="377"/>
  <c r="AH40" i="377"/>
  <c r="AG40" i="377"/>
  <c r="AF40" i="377"/>
  <c r="AH39" i="377"/>
  <c r="AG39" i="377"/>
  <c r="AF39" i="377"/>
  <c r="AH38" i="377"/>
  <c r="AG38" i="377"/>
  <c r="AF38" i="377"/>
  <c r="AH37" i="377"/>
  <c r="AG37" i="377"/>
  <c r="AF37" i="377"/>
  <c r="AH36" i="377"/>
  <c r="AG36" i="377"/>
  <c r="AF36" i="377"/>
  <c r="AI35" i="377"/>
  <c r="AC34" i="377"/>
  <c r="AC96" i="377" s="1"/>
  <c r="AB34" i="377"/>
  <c r="AB96" i="377" s="1"/>
  <c r="AA34" i="377"/>
  <c r="AA96" i="377" s="1"/>
  <c r="Z34" i="377"/>
  <c r="Z96" i="377" s="1"/>
  <c r="Y34" i="377"/>
  <c r="Y96" i="377" s="1"/>
  <c r="X34" i="377"/>
  <c r="X96" i="377" s="1"/>
  <c r="W34" i="377"/>
  <c r="W96" i="377" s="1"/>
  <c r="V34" i="377"/>
  <c r="V96" i="377" s="1"/>
  <c r="U34" i="377"/>
  <c r="U96" i="377" s="1"/>
  <c r="T34" i="377"/>
  <c r="T96" i="377" s="1"/>
  <c r="S34" i="377"/>
  <c r="S96" i="377" s="1"/>
  <c r="R34" i="377"/>
  <c r="R96" i="377" s="1"/>
  <c r="Q34" i="377"/>
  <c r="Q96" i="377" s="1"/>
  <c r="P34" i="377"/>
  <c r="P96" i="377" s="1"/>
  <c r="O34" i="377"/>
  <c r="O96" i="377" s="1"/>
  <c r="N34" i="377"/>
  <c r="N96" i="377" s="1"/>
  <c r="M34" i="377"/>
  <c r="M96" i="377" s="1"/>
  <c r="L34" i="377"/>
  <c r="L96" i="377" s="1"/>
  <c r="K34" i="377"/>
  <c r="K96" i="377" s="1"/>
  <c r="J34" i="377"/>
  <c r="I34" i="377"/>
  <c r="I96" i="377" s="1"/>
  <c r="H34" i="377"/>
  <c r="H96" i="377" s="1"/>
  <c r="G34" i="377"/>
  <c r="G96" i="377" s="1"/>
  <c r="C34" i="377"/>
  <c r="B34" i="377"/>
  <c r="AH33" i="377"/>
  <c r="AG33" i="377"/>
  <c r="AF33" i="377"/>
  <c r="AI32" i="377"/>
  <c r="AC31" i="377"/>
  <c r="AC93" i="377" s="1"/>
  <c r="AB31" i="377"/>
  <c r="AB93" i="377" s="1"/>
  <c r="AA31" i="377"/>
  <c r="AA93" i="377" s="1"/>
  <c r="Z31" i="377"/>
  <c r="Z93" i="377" s="1"/>
  <c r="Y31" i="377"/>
  <c r="Y93" i="377" s="1"/>
  <c r="X31" i="377"/>
  <c r="X93" i="377" s="1"/>
  <c r="W31" i="377"/>
  <c r="W93" i="377" s="1"/>
  <c r="V31" i="377"/>
  <c r="V93" i="377" s="1"/>
  <c r="U31" i="377"/>
  <c r="U93" i="377" s="1"/>
  <c r="T31" i="377"/>
  <c r="T93" i="377" s="1"/>
  <c r="S31" i="377"/>
  <c r="R31" i="377"/>
  <c r="R93" i="377" s="1"/>
  <c r="Q31" i="377"/>
  <c r="Q93" i="377" s="1"/>
  <c r="P31" i="377"/>
  <c r="P93" i="377" s="1"/>
  <c r="O31" i="377"/>
  <c r="O93" i="377" s="1"/>
  <c r="N31" i="377"/>
  <c r="N93" i="377" s="1"/>
  <c r="M31" i="377"/>
  <c r="M93" i="377" s="1"/>
  <c r="L31" i="377"/>
  <c r="L93" i="377" s="1"/>
  <c r="K31" i="377"/>
  <c r="K93" i="377" s="1"/>
  <c r="J31" i="377"/>
  <c r="J93" i="377" s="1"/>
  <c r="I31" i="377"/>
  <c r="I93" i="377" s="1"/>
  <c r="H31" i="377"/>
  <c r="H93" i="377" s="1"/>
  <c r="G31" i="377"/>
  <c r="G93" i="377" s="1"/>
  <c r="C31" i="377"/>
  <c r="B31" i="377"/>
  <c r="AI28" i="377"/>
  <c r="AH28" i="377"/>
  <c r="AG28" i="377"/>
  <c r="AF28" i="377"/>
  <c r="AH27" i="377"/>
  <c r="AG27" i="377"/>
  <c r="AF27" i="377"/>
  <c r="AI26" i="377"/>
  <c r="AC25" i="377"/>
  <c r="AB25" i="377"/>
  <c r="AA25" i="377"/>
  <c r="Z25" i="377"/>
  <c r="Z89" i="377" s="1"/>
  <c r="Y25" i="377"/>
  <c r="Y89" i="377" s="1"/>
  <c r="X25" i="377"/>
  <c r="W25" i="377"/>
  <c r="V25" i="377"/>
  <c r="U25" i="377"/>
  <c r="T25" i="377"/>
  <c r="S25" i="377"/>
  <c r="R25" i="377"/>
  <c r="Q25" i="377"/>
  <c r="P25" i="377"/>
  <c r="O25" i="377"/>
  <c r="N25" i="377"/>
  <c r="M25" i="377"/>
  <c r="L25" i="377"/>
  <c r="K25" i="377"/>
  <c r="J25" i="377"/>
  <c r="I25" i="377"/>
  <c r="H25" i="377"/>
  <c r="G25" i="377"/>
  <c r="C25" i="377"/>
  <c r="AH24" i="377"/>
  <c r="AG24" i="377"/>
  <c r="AF24" i="377"/>
  <c r="AI23" i="377"/>
  <c r="AC22" i="377"/>
  <c r="AB22" i="377"/>
  <c r="AA22" i="377"/>
  <c r="Z22" i="377"/>
  <c r="Y22" i="377"/>
  <c r="X22" i="377"/>
  <c r="W22" i="377"/>
  <c r="V22" i="377"/>
  <c r="U22" i="377"/>
  <c r="T22" i="377"/>
  <c r="S22" i="377"/>
  <c r="R22" i="377"/>
  <c r="Q22" i="377"/>
  <c r="P22" i="377"/>
  <c r="O22" i="377"/>
  <c r="N22" i="377"/>
  <c r="M22" i="377"/>
  <c r="L22" i="377"/>
  <c r="K22" i="377"/>
  <c r="J22" i="377"/>
  <c r="I22" i="377"/>
  <c r="H22" i="377"/>
  <c r="G22" i="377"/>
  <c r="C22" i="377"/>
  <c r="B22" i="377"/>
  <c r="AH21" i="377"/>
  <c r="AG21" i="377"/>
  <c r="AF21" i="377"/>
  <c r="AH20" i="377"/>
  <c r="AG20" i="377"/>
  <c r="AF20" i="377"/>
  <c r="AH19" i="377"/>
  <c r="AG19" i="377"/>
  <c r="AF19" i="377"/>
  <c r="AI18" i="377"/>
  <c r="AC17" i="377"/>
  <c r="AB17" i="377"/>
  <c r="AB91" i="377" s="1"/>
  <c r="AA17" i="377"/>
  <c r="Z17" i="377"/>
  <c r="Y17" i="377"/>
  <c r="Y91" i="377" s="1"/>
  <c r="X17" i="377"/>
  <c r="X91" i="377" s="1"/>
  <c r="W17" i="377"/>
  <c r="V17" i="377"/>
  <c r="V91" i="377" s="1"/>
  <c r="U17" i="377"/>
  <c r="U91" i="377" s="1"/>
  <c r="T17" i="377"/>
  <c r="T91" i="377" s="1"/>
  <c r="S17" i="377"/>
  <c r="S91" i="377" s="1"/>
  <c r="R17" i="377"/>
  <c r="R91" i="377" s="1"/>
  <c r="Q17" i="377"/>
  <c r="Q91" i="377" s="1"/>
  <c r="P17" i="377"/>
  <c r="P91" i="377" s="1"/>
  <c r="O17" i="377"/>
  <c r="O91" i="377" s="1"/>
  <c r="N17" i="377"/>
  <c r="M17" i="377"/>
  <c r="L17" i="377"/>
  <c r="K17" i="377"/>
  <c r="J17" i="377"/>
  <c r="I17" i="377"/>
  <c r="I91" i="377" s="1"/>
  <c r="H17" i="377"/>
  <c r="H91" i="377" s="1"/>
  <c r="G17" i="377"/>
  <c r="G91" i="377" s="1"/>
  <c r="C17" i="377"/>
  <c r="C83" i="377" s="1"/>
  <c r="B17" i="377"/>
  <c r="B83" i="377" s="1"/>
  <c r="AH16" i="377"/>
  <c r="AG16" i="377"/>
  <c r="AF16" i="377"/>
  <c r="AH15" i="377"/>
  <c r="AG15" i="377"/>
  <c r="AF15" i="377"/>
  <c r="AH14" i="377"/>
  <c r="AG14" i="377"/>
  <c r="AF14" i="377"/>
  <c r="AH13" i="377"/>
  <c r="AG13" i="377"/>
  <c r="AF13" i="377"/>
  <c r="AI12" i="377"/>
  <c r="M9" i="377" a="1"/>
  <c r="M9" i="377" s="1"/>
  <c r="Z103" i="379" l="1"/>
  <c r="Z108" i="379" s="1"/>
  <c r="K103" i="379"/>
  <c r="K108" i="379" s="1"/>
  <c r="F103" i="379"/>
  <c r="F108" i="379" s="1"/>
  <c r="G103" i="379"/>
  <c r="G108" i="379" s="1"/>
  <c r="AB103" i="379"/>
  <c r="AB108" i="379" s="1"/>
  <c r="AA103" i="379"/>
  <c r="AA108" i="379" s="1"/>
  <c r="I103" i="379"/>
  <c r="I108" i="379" s="1"/>
  <c r="AC103" i="379"/>
  <c r="AC108" i="379" s="1"/>
  <c r="J103" i="379"/>
  <c r="J108" i="379" s="1"/>
  <c r="H103" i="379"/>
  <c r="H108" i="379" s="1"/>
  <c r="H83" i="379"/>
  <c r="AC89" i="378"/>
  <c r="AB89" i="378"/>
  <c r="AA89" i="378"/>
  <c r="Y83" i="378"/>
  <c r="X83" i="378"/>
  <c r="S65" i="378"/>
  <c r="S99" i="378" s="1"/>
  <c r="R89" i="378"/>
  <c r="R103" i="378" s="1"/>
  <c r="R108" i="378" s="1"/>
  <c r="AH62" i="378"/>
  <c r="AG62" i="378"/>
  <c r="N89" i="378"/>
  <c r="AI61" i="378"/>
  <c r="M65" i="378"/>
  <c r="M99" i="378" s="1"/>
  <c r="AF62" i="378"/>
  <c r="K109" i="378"/>
  <c r="I83" i="378"/>
  <c r="H89" i="378"/>
  <c r="G89" i="378"/>
  <c r="Z83" i="378"/>
  <c r="U109" i="378"/>
  <c r="G83" i="378"/>
  <c r="AC83" i="378"/>
  <c r="V109" i="378"/>
  <c r="AB83" i="378"/>
  <c r="F103" i="378"/>
  <c r="F108" i="378" s="1"/>
  <c r="I110" i="378"/>
  <c r="X91" i="378"/>
  <c r="X109" i="378" s="1"/>
  <c r="Y91" i="378"/>
  <c r="Y109" i="378" s="1"/>
  <c r="I89" i="378"/>
  <c r="AB91" i="378"/>
  <c r="AB109" i="378" s="1"/>
  <c r="P110" i="378"/>
  <c r="J89" i="378"/>
  <c r="J103" i="378" s="1"/>
  <c r="J108" i="378" s="1"/>
  <c r="U89" i="378"/>
  <c r="U103" i="378" s="1"/>
  <c r="U108" i="378" s="1"/>
  <c r="K89" i="378"/>
  <c r="K103" i="378" s="1"/>
  <c r="K108" i="378" s="1"/>
  <c r="R109" i="378"/>
  <c r="V89" i="378"/>
  <c r="V103" i="378" s="1"/>
  <c r="V108" i="378" s="1"/>
  <c r="W89" i="378"/>
  <c r="W103" i="378" s="1"/>
  <c r="W108" i="378" s="1"/>
  <c r="M83" i="378"/>
  <c r="G91" i="378"/>
  <c r="G109" i="378" s="1"/>
  <c r="W109" i="378"/>
  <c r="Z91" i="378"/>
  <c r="Z109" i="378" s="1"/>
  <c r="N109" i="378"/>
  <c r="Q109" i="378"/>
  <c r="T109" i="378"/>
  <c r="X89" i="378"/>
  <c r="T89" i="378"/>
  <c r="T103" i="378" s="1"/>
  <c r="T108" i="378" s="1"/>
  <c r="O89" i="378"/>
  <c r="F83" i="378"/>
  <c r="AA83" i="378"/>
  <c r="H83" i="378"/>
  <c r="AC110" i="378"/>
  <c r="J109" i="378"/>
  <c r="V110" i="378"/>
  <c r="P89" i="378"/>
  <c r="O109" i="378"/>
  <c r="U83" i="378"/>
  <c r="W83" i="378"/>
  <c r="Q89" i="378"/>
  <c r="Q103" i="378" s="1"/>
  <c r="Q108" i="378" s="1"/>
  <c r="H103" i="378"/>
  <c r="H108" i="378" s="1"/>
  <c r="AA103" i="378"/>
  <c r="AA108" i="378" s="1"/>
  <c r="M103" i="378"/>
  <c r="M108" i="378" s="1"/>
  <c r="F109" i="378"/>
  <c r="S103" i="378"/>
  <c r="S108" i="378" s="1"/>
  <c r="S109" i="378"/>
  <c r="N103" i="378"/>
  <c r="N108" i="378" s="1"/>
  <c r="M109" i="378"/>
  <c r="J83" i="378"/>
  <c r="O83" i="378"/>
  <c r="P83" i="378"/>
  <c r="L89" i="378"/>
  <c r="Q110" i="378"/>
  <c r="AF63" i="378"/>
  <c r="Q83" i="378"/>
  <c r="I91" i="378"/>
  <c r="AC91" i="378"/>
  <c r="R110" i="378"/>
  <c r="AG63" i="378"/>
  <c r="R83" i="378"/>
  <c r="S110" i="378"/>
  <c r="J110" i="378"/>
  <c r="K110" i="378"/>
  <c r="K83" i="378"/>
  <c r="L110" i="378"/>
  <c r="M110" i="378"/>
  <c r="O65" i="378"/>
  <c r="O99" i="378" s="1"/>
  <c r="V83" i="378"/>
  <c r="W110" i="378"/>
  <c r="X110" i="378"/>
  <c r="P91" i="378"/>
  <c r="P109" i="378" s="1"/>
  <c r="Y110" i="378"/>
  <c r="F110" i="378"/>
  <c r="Z110" i="378"/>
  <c r="N83" i="378"/>
  <c r="O110" i="378"/>
  <c r="AH63" i="378"/>
  <c r="L65" i="378"/>
  <c r="L99" i="378" s="1"/>
  <c r="T110" i="378"/>
  <c r="G110" i="378"/>
  <c r="AA110" i="378"/>
  <c r="S83" i="378"/>
  <c r="T83" i="378"/>
  <c r="U110" i="378"/>
  <c r="H110" i="378"/>
  <c r="AB110" i="378"/>
  <c r="X89" i="377"/>
  <c r="W89" i="377"/>
  <c r="V89" i="377"/>
  <c r="V103" i="377" s="1"/>
  <c r="V108" i="377" s="1"/>
  <c r="AG64" i="377"/>
  <c r="R65" i="377"/>
  <c r="R99" i="377" s="1"/>
  <c r="S65" i="377"/>
  <c r="S99" i="377" s="1"/>
  <c r="Q89" i="377"/>
  <c r="AI61" i="377"/>
  <c r="AP641" i="79"/>
  <c r="A619" i="79"/>
  <c r="A618" i="79"/>
  <c r="F65" i="377"/>
  <c r="F99" i="377" s="1"/>
  <c r="Z110" i="377"/>
  <c r="L110" i="377"/>
  <c r="AA89" i="377"/>
  <c r="R109" i="377"/>
  <c r="S109" i="377"/>
  <c r="I89" i="377"/>
  <c r="S89" i="377"/>
  <c r="S103" i="377" s="1"/>
  <c r="S108" i="377" s="1"/>
  <c r="W109" i="377"/>
  <c r="X109" i="377"/>
  <c r="K110" i="377"/>
  <c r="G89" i="377"/>
  <c r="G103" i="377" s="1"/>
  <c r="G108" i="377" s="1"/>
  <c r="R89" i="377"/>
  <c r="R103" i="377" s="1"/>
  <c r="R108" i="377" s="1"/>
  <c r="U109" i="377"/>
  <c r="T89" i="377"/>
  <c r="T103" i="377" s="1"/>
  <c r="T108" i="377" s="1"/>
  <c r="Y109" i="377"/>
  <c r="F110" i="377"/>
  <c r="J110" i="377"/>
  <c r="AB89" i="377"/>
  <c r="AB103" i="377" s="1"/>
  <c r="AB108" i="377" s="1"/>
  <c r="T109" i="377"/>
  <c r="V109" i="377"/>
  <c r="AB109" i="377"/>
  <c r="G109" i="377"/>
  <c r="H109" i="377"/>
  <c r="AA110" i="377"/>
  <c r="AC110" i="377"/>
  <c r="Z91" i="377"/>
  <c r="Z109" i="377" s="1"/>
  <c r="J89" i="377"/>
  <c r="AA91" i="377"/>
  <c r="AA109" i="377" s="1"/>
  <c r="P109" i="377"/>
  <c r="O89" i="377"/>
  <c r="O103" i="377" s="1"/>
  <c r="O108" i="377" s="1"/>
  <c r="P89" i="377"/>
  <c r="P103" i="377" s="1"/>
  <c r="P108" i="377" s="1"/>
  <c r="H110" i="377"/>
  <c r="N89" i="377"/>
  <c r="J91" i="377"/>
  <c r="J109" i="377" s="1"/>
  <c r="G110" i="377"/>
  <c r="I110" i="377"/>
  <c r="O109" i="377"/>
  <c r="Q109" i="377"/>
  <c r="U89" i="377"/>
  <c r="U103" i="377" s="1"/>
  <c r="U108" i="377" s="1"/>
  <c r="L89" i="377"/>
  <c r="R110" i="377"/>
  <c r="M89" i="377"/>
  <c r="U110" i="377"/>
  <c r="W83" i="377"/>
  <c r="X83" i="377"/>
  <c r="K91" i="377"/>
  <c r="K109" i="377" s="1"/>
  <c r="M83" i="377"/>
  <c r="AC83" i="377"/>
  <c r="K89" i="377"/>
  <c r="K103" i="377" s="1"/>
  <c r="K108" i="377" s="1"/>
  <c r="AC91" i="377"/>
  <c r="AC109" i="377" s="1"/>
  <c r="F91" i="377"/>
  <c r="F109" i="377" s="1"/>
  <c r="T110" i="377"/>
  <c r="Y83" i="377"/>
  <c r="L91" i="377"/>
  <c r="L109" i="377" s="1"/>
  <c r="X103" i="377"/>
  <c r="X108" i="377" s="1"/>
  <c r="Y103" i="377"/>
  <c r="Y108" i="377" s="1"/>
  <c r="Z99" i="377"/>
  <c r="Z83" i="377"/>
  <c r="I109" i="377"/>
  <c r="Q103" i="377"/>
  <c r="Q108" i="377" s="1"/>
  <c r="W103" i="377"/>
  <c r="W108" i="377" s="1"/>
  <c r="V83" i="377"/>
  <c r="M110" i="377"/>
  <c r="AF56" i="377"/>
  <c r="AA83" i="377"/>
  <c r="AG56" i="377"/>
  <c r="AF64" i="377"/>
  <c r="AF47" i="377"/>
  <c r="N60" i="377"/>
  <c r="N98" i="377" s="1"/>
  <c r="N110" i="377"/>
  <c r="AH47" i="377"/>
  <c r="AF62" i="377"/>
  <c r="H89" i="377"/>
  <c r="H103" i="377" s="1"/>
  <c r="H108" i="377" s="1"/>
  <c r="P110" i="377"/>
  <c r="AF48" i="377"/>
  <c r="AC89" i="377"/>
  <c r="Q110" i="377"/>
  <c r="AG48" i="377"/>
  <c r="S110" i="377"/>
  <c r="P83" i="377"/>
  <c r="AI36" i="377"/>
  <c r="X110" i="377"/>
  <c r="AF63" i="377"/>
  <c r="U83" i="377"/>
  <c r="M91" i="377"/>
  <c r="M109" i="377" s="1"/>
  <c r="Y110" i="377"/>
  <c r="G83" i="377"/>
  <c r="AH64" i="377"/>
  <c r="K83" i="377"/>
  <c r="Q83" i="377"/>
  <c r="V110" i="377"/>
  <c r="W110" i="377"/>
  <c r="N91" i="377"/>
  <c r="N109" i="377" s="1"/>
  <c r="H83" i="377"/>
  <c r="J83" i="377"/>
  <c r="AG63" i="377"/>
  <c r="AB83" i="377"/>
  <c r="L83" i="377"/>
  <c r="O83" i="377"/>
  <c r="R83" i="377"/>
  <c r="T83" i="377"/>
  <c r="AB110" i="377"/>
  <c r="O110" i="377"/>
  <c r="AG62" i="377"/>
  <c r="AH62" i="377"/>
  <c r="I65" i="377"/>
  <c r="I99" i="377" s="1"/>
  <c r="AF51" i="377"/>
  <c r="AG51" i="377"/>
  <c r="AA63" i="376"/>
  <c r="AA62" i="376"/>
  <c r="F980" i="88"/>
  <c r="Z63" i="376"/>
  <c r="Z62" i="376"/>
  <c r="F998" i="88"/>
  <c r="AA624" i="260"/>
  <c r="AA623" i="260"/>
  <c r="F987" i="88"/>
  <c r="F986" i="88"/>
  <c r="AA622" i="260"/>
  <c r="F997" i="88"/>
  <c r="V64" i="376"/>
  <c r="V62" i="376"/>
  <c r="U64" i="376"/>
  <c r="U62" i="376"/>
  <c r="F996" i="88"/>
  <c r="F994" i="88"/>
  <c r="F993" i="88"/>
  <c r="F995" i="88"/>
  <c r="F972" i="88"/>
  <c r="F991" i="88"/>
  <c r="R619" i="260" a="1"/>
  <c r="AB103" i="378" l="1"/>
  <c r="AB108" i="378" s="1"/>
  <c r="Z103" i="378"/>
  <c r="Z108" i="378" s="1"/>
  <c r="X103" i="378"/>
  <c r="X108" i="378" s="1"/>
  <c r="O103" i="378"/>
  <c r="O108" i="378" s="1"/>
  <c r="G103" i="378"/>
  <c r="G108" i="378" s="1"/>
  <c r="Y103" i="378"/>
  <c r="Y108" i="378" s="1"/>
  <c r="L83" i="378"/>
  <c r="AC109" i="378"/>
  <c r="AC103" i="378"/>
  <c r="AC108" i="378" s="1"/>
  <c r="L103" i="378"/>
  <c r="L108" i="378" s="1"/>
  <c r="I109" i="378"/>
  <c r="I103" i="378"/>
  <c r="I108" i="378" s="1"/>
  <c r="P103" i="378"/>
  <c r="P108" i="378" s="1"/>
  <c r="Z103" i="377"/>
  <c r="Z108" i="377" s="1"/>
  <c r="S83" i="377"/>
  <c r="L103" i="377"/>
  <c r="L108" i="377" s="1"/>
  <c r="I103" i="377"/>
  <c r="I108" i="377" s="1"/>
  <c r="F83" i="377"/>
  <c r="C618" i="79"/>
  <c r="A620" i="79"/>
  <c r="A621" i="79"/>
  <c r="C619" i="79"/>
  <c r="N83" i="377"/>
  <c r="N103" i="377"/>
  <c r="N108" i="377" s="1"/>
  <c r="I83" i="377"/>
  <c r="J103" i="377"/>
  <c r="J108" i="377" s="1"/>
  <c r="F103" i="377"/>
  <c r="F108" i="377" s="1"/>
  <c r="AC103" i="377"/>
  <c r="AC108" i="377" s="1"/>
  <c r="AA103" i="377"/>
  <c r="AA108" i="377" s="1"/>
  <c r="M103" i="377"/>
  <c r="M108" i="377" s="1"/>
  <c r="R619" i="260"/>
  <c r="F505" i="88"/>
  <c r="F990" i="88"/>
  <c r="F973" i="88"/>
  <c r="F985" i="88"/>
  <c r="F969" i="88"/>
  <c r="F988" i="88"/>
  <c r="F984" i="88"/>
  <c r="O64" i="376"/>
  <c r="N64" i="376"/>
  <c r="F955" i="88"/>
  <c r="F953" i="88"/>
  <c r="F983" i="88"/>
  <c r="F981" i="88"/>
  <c r="F982" i="88"/>
  <c r="O63" i="376"/>
  <c r="F979" i="88"/>
  <c r="F978" i="88"/>
  <c r="F976" i="88"/>
  <c r="F977" i="88"/>
  <c r="N56" i="376"/>
  <c r="N51" i="376"/>
  <c r="N48" i="376"/>
  <c r="N47" i="376"/>
  <c r="F975" i="88"/>
  <c r="F966" i="88"/>
  <c r="N63" i="376"/>
  <c r="F970" i="88"/>
  <c r="F971" i="88"/>
  <c r="L63" i="376"/>
  <c r="L62" i="376"/>
  <c r="K93" i="376"/>
  <c r="I63" i="376"/>
  <c r="I62" i="376"/>
  <c r="A623" i="79" l="1"/>
  <c r="C621" i="79"/>
  <c r="A622" i="79"/>
  <c r="C620" i="79"/>
  <c r="N60" i="376"/>
  <c r="F949" i="88"/>
  <c r="F947" i="88"/>
  <c r="F943" i="88"/>
  <c r="AC107" i="376"/>
  <c r="AB107" i="376"/>
  <c r="AA107" i="376"/>
  <c r="Z107" i="376"/>
  <c r="Y107" i="376"/>
  <c r="X107" i="376"/>
  <c r="W107" i="376"/>
  <c r="V107" i="376"/>
  <c r="U107" i="376"/>
  <c r="T107" i="376"/>
  <c r="S107" i="376"/>
  <c r="R107" i="376"/>
  <c r="Q107" i="376"/>
  <c r="P107" i="376"/>
  <c r="O107" i="376"/>
  <c r="N107" i="376"/>
  <c r="L107" i="376"/>
  <c r="K107" i="376"/>
  <c r="J107" i="376"/>
  <c r="I107" i="376"/>
  <c r="H107" i="376"/>
  <c r="G107" i="376"/>
  <c r="F107" i="376"/>
  <c r="M107" i="376"/>
  <c r="AC102" i="376"/>
  <c r="AB102" i="376"/>
  <c r="AA102" i="376"/>
  <c r="Z102" i="376"/>
  <c r="Y102" i="376"/>
  <c r="X102" i="376"/>
  <c r="W102" i="376"/>
  <c r="V102" i="376"/>
  <c r="U102" i="376"/>
  <c r="T102" i="376"/>
  <c r="S102" i="376"/>
  <c r="R102" i="376"/>
  <c r="Q102" i="376"/>
  <c r="P102" i="376"/>
  <c r="O102" i="376"/>
  <c r="N102" i="376"/>
  <c r="M102" i="376"/>
  <c r="L102" i="376"/>
  <c r="K102" i="376"/>
  <c r="J102" i="376"/>
  <c r="I102" i="376"/>
  <c r="H102" i="376"/>
  <c r="G102" i="376"/>
  <c r="F102" i="376"/>
  <c r="S101" i="376"/>
  <c r="AB99" i="376"/>
  <c r="AA99" i="376"/>
  <c r="X99" i="376"/>
  <c r="AC98" i="376"/>
  <c r="AB98" i="376"/>
  <c r="U93" i="376"/>
  <c r="AC80" i="376"/>
  <c r="AC101" i="376" s="1"/>
  <c r="AB80" i="376"/>
  <c r="AB101" i="376" s="1"/>
  <c r="AA80" i="376"/>
  <c r="AA101" i="376" s="1"/>
  <c r="Z80" i="376"/>
  <c r="Z101" i="376" s="1"/>
  <c r="Y80" i="376"/>
  <c r="Y101" i="376" s="1"/>
  <c r="X80" i="376"/>
  <c r="X101" i="376" s="1"/>
  <c r="W80" i="376"/>
  <c r="W101" i="376" s="1"/>
  <c r="V80" i="376"/>
  <c r="V101" i="376" s="1"/>
  <c r="U80" i="376"/>
  <c r="U101" i="376" s="1"/>
  <c r="T80" i="376"/>
  <c r="T101" i="376" s="1"/>
  <c r="S80" i="376"/>
  <c r="R80" i="376"/>
  <c r="R101" i="376" s="1"/>
  <c r="Q80" i="376"/>
  <c r="Q101" i="376" s="1"/>
  <c r="P80" i="376"/>
  <c r="P101" i="376" s="1"/>
  <c r="O80" i="376"/>
  <c r="O101" i="376" s="1"/>
  <c r="N80" i="376"/>
  <c r="N101" i="376" s="1"/>
  <c r="M80" i="376"/>
  <c r="M101" i="376" s="1"/>
  <c r="L80" i="376"/>
  <c r="L101" i="376" s="1"/>
  <c r="K80" i="376"/>
  <c r="K101" i="376" s="1"/>
  <c r="J80" i="376"/>
  <c r="J101" i="376" s="1"/>
  <c r="I80" i="376"/>
  <c r="I101" i="376" s="1"/>
  <c r="H80" i="376"/>
  <c r="H101" i="376" s="1"/>
  <c r="G80" i="376"/>
  <c r="G101" i="376" s="1"/>
  <c r="F80" i="376"/>
  <c r="F101" i="376" s="1"/>
  <c r="C80" i="376"/>
  <c r="B80" i="376"/>
  <c r="B25" i="376" s="1"/>
  <c r="AH79" i="376"/>
  <c r="AG79" i="376"/>
  <c r="AF79" i="376"/>
  <c r="AH78" i="376"/>
  <c r="AG78" i="376"/>
  <c r="AF78" i="376"/>
  <c r="AI77" i="376"/>
  <c r="AC76" i="376"/>
  <c r="AC100" i="376" s="1"/>
  <c r="AB76" i="376"/>
  <c r="AB100" i="376" s="1"/>
  <c r="AA76" i="376"/>
  <c r="AA100" i="376" s="1"/>
  <c r="Z76" i="376"/>
  <c r="Z100" i="376" s="1"/>
  <c r="Y76" i="376"/>
  <c r="Y100" i="376" s="1"/>
  <c r="X76" i="376"/>
  <c r="X100" i="376" s="1"/>
  <c r="W76" i="376"/>
  <c r="W100" i="376" s="1"/>
  <c r="V76" i="376"/>
  <c r="V100" i="376" s="1"/>
  <c r="U76" i="376"/>
  <c r="U100" i="376" s="1"/>
  <c r="T76" i="376"/>
  <c r="T100" i="376" s="1"/>
  <c r="S76" i="376"/>
  <c r="S100" i="376" s="1"/>
  <c r="R76" i="376"/>
  <c r="R100" i="376" s="1"/>
  <c r="Q76" i="376"/>
  <c r="Q100" i="376" s="1"/>
  <c r="P76" i="376"/>
  <c r="P100" i="376" s="1"/>
  <c r="O76" i="376"/>
  <c r="O100" i="376" s="1"/>
  <c r="N76" i="376"/>
  <c r="N100" i="376" s="1"/>
  <c r="M76" i="376"/>
  <c r="M100" i="376" s="1"/>
  <c r="L76" i="376"/>
  <c r="L100" i="376" s="1"/>
  <c r="K76" i="376"/>
  <c r="K100" i="376" s="1"/>
  <c r="J76" i="376"/>
  <c r="J100" i="376" s="1"/>
  <c r="I76" i="376"/>
  <c r="I100" i="376" s="1"/>
  <c r="H76" i="376"/>
  <c r="H100" i="376" s="1"/>
  <c r="G76" i="376"/>
  <c r="G100" i="376" s="1"/>
  <c r="F76" i="376"/>
  <c r="F100" i="376" s="1"/>
  <c r="C76" i="376"/>
  <c r="B76" i="376"/>
  <c r="AH75" i="376"/>
  <c r="AG75" i="376"/>
  <c r="AF75" i="376"/>
  <c r="AH74" i="376"/>
  <c r="AG74" i="376"/>
  <c r="AF74" i="376"/>
  <c r="AH73" i="376"/>
  <c r="AG73" i="376"/>
  <c r="AF73" i="376"/>
  <c r="AH72" i="376"/>
  <c r="AG72" i="376"/>
  <c r="AF72" i="376"/>
  <c r="AH71" i="376"/>
  <c r="AG71" i="376"/>
  <c r="AF71" i="376"/>
  <c r="AH70" i="376"/>
  <c r="AG70" i="376"/>
  <c r="AF70" i="376"/>
  <c r="AH69" i="376"/>
  <c r="AG69" i="376"/>
  <c r="AF69" i="376"/>
  <c r="AH68" i="376"/>
  <c r="AG68" i="376"/>
  <c r="AF68" i="376"/>
  <c r="AH67" i="376"/>
  <c r="AG67" i="376"/>
  <c r="AF67" i="376"/>
  <c r="AI66" i="376"/>
  <c r="AC65" i="376"/>
  <c r="AC99" i="376" s="1"/>
  <c r="AB65" i="376"/>
  <c r="AA65" i="376"/>
  <c r="Y65" i="376"/>
  <c r="Y99" i="376" s="1"/>
  <c r="X65" i="376"/>
  <c r="W65" i="376"/>
  <c r="W99" i="376" s="1"/>
  <c r="V65" i="376"/>
  <c r="V99" i="376" s="1"/>
  <c r="U65" i="376"/>
  <c r="U99" i="376" s="1"/>
  <c r="T65" i="376"/>
  <c r="T99" i="376" s="1"/>
  <c r="S65" i="376"/>
  <c r="S99" i="376" s="1"/>
  <c r="R65" i="376"/>
  <c r="R99" i="376" s="1"/>
  <c r="K65" i="376"/>
  <c r="K99" i="376" s="1"/>
  <c r="J65" i="376"/>
  <c r="J99" i="376" s="1"/>
  <c r="I65" i="376"/>
  <c r="I99" i="376" s="1"/>
  <c r="H65" i="376"/>
  <c r="H99" i="376" s="1"/>
  <c r="F65" i="376"/>
  <c r="F99" i="376" s="1"/>
  <c r="C65" i="376"/>
  <c r="AH64" i="376"/>
  <c r="P65" i="376"/>
  <c r="P99" i="376" s="1"/>
  <c r="AG63" i="376"/>
  <c r="Q65" i="376"/>
  <c r="Q99" i="376" s="1"/>
  <c r="O65" i="376"/>
  <c r="O99" i="376" s="1"/>
  <c r="N65" i="376"/>
  <c r="N99" i="376" s="1"/>
  <c r="M65" i="376"/>
  <c r="M99" i="376" s="1"/>
  <c r="L65" i="376"/>
  <c r="L99" i="376" s="1"/>
  <c r="AH62" i="376"/>
  <c r="AC60" i="376"/>
  <c r="AB60" i="376"/>
  <c r="AA60" i="376"/>
  <c r="AA98" i="376" s="1"/>
  <c r="Z60" i="376"/>
  <c r="Z98" i="376" s="1"/>
  <c r="Y60" i="376"/>
  <c r="Y98" i="376" s="1"/>
  <c r="X60" i="376"/>
  <c r="X98" i="376" s="1"/>
  <c r="W60" i="376"/>
  <c r="W98" i="376" s="1"/>
  <c r="S60" i="376"/>
  <c r="S98" i="376" s="1"/>
  <c r="R60" i="376"/>
  <c r="R98" i="376" s="1"/>
  <c r="Q60" i="376"/>
  <c r="Q98" i="376" s="1"/>
  <c r="P60" i="376"/>
  <c r="P98" i="376" s="1"/>
  <c r="O60" i="376"/>
  <c r="O98" i="376" s="1"/>
  <c r="N98" i="376"/>
  <c r="M60" i="376"/>
  <c r="M98" i="376" s="1"/>
  <c r="L60" i="376"/>
  <c r="L98" i="376" s="1"/>
  <c r="K60" i="376"/>
  <c r="K98" i="376" s="1"/>
  <c r="J60" i="376"/>
  <c r="J98" i="376" s="1"/>
  <c r="I60" i="376"/>
  <c r="I98" i="376" s="1"/>
  <c r="H60" i="376"/>
  <c r="H98" i="376" s="1"/>
  <c r="G60" i="376"/>
  <c r="G98" i="376" s="1"/>
  <c r="F60" i="376"/>
  <c r="F98" i="376" s="1"/>
  <c r="C60" i="376"/>
  <c r="B60" i="376"/>
  <c r="B65" i="376" s="1"/>
  <c r="AH59" i="376"/>
  <c r="AG59" i="376"/>
  <c r="AF59" i="376"/>
  <c r="AH58" i="376"/>
  <c r="AG58" i="376"/>
  <c r="AF58" i="376"/>
  <c r="AH57" i="376"/>
  <c r="AG57" i="376"/>
  <c r="AF57" i="376"/>
  <c r="AF56" i="376"/>
  <c r="AH51" i="376"/>
  <c r="AG51" i="376"/>
  <c r="AF51" i="376"/>
  <c r="AH50" i="376"/>
  <c r="AG50" i="376"/>
  <c r="AF50" i="376"/>
  <c r="AH49" i="376"/>
  <c r="AG49" i="376"/>
  <c r="AF49" i="376"/>
  <c r="V60" i="376"/>
  <c r="V98" i="376" s="1"/>
  <c r="AF48" i="376"/>
  <c r="U60" i="376"/>
  <c r="U98" i="376" s="1"/>
  <c r="T60" i="376"/>
  <c r="T98" i="376" s="1"/>
  <c r="AH46" i="376"/>
  <c r="AG46" i="376"/>
  <c r="AF46" i="376"/>
  <c r="AH45" i="376"/>
  <c r="AG45" i="376"/>
  <c r="AF45" i="376"/>
  <c r="AH44" i="376"/>
  <c r="AG44" i="376"/>
  <c r="AF44" i="376"/>
  <c r="AH43" i="376"/>
  <c r="AG43" i="376"/>
  <c r="AF43" i="376"/>
  <c r="AH42" i="376"/>
  <c r="AG42" i="376"/>
  <c r="AF42" i="376"/>
  <c r="AH41" i="376"/>
  <c r="AG41" i="376"/>
  <c r="AF41" i="376"/>
  <c r="AH40" i="376"/>
  <c r="AG40" i="376"/>
  <c r="AF40" i="376"/>
  <c r="AH39" i="376"/>
  <c r="AG39" i="376"/>
  <c r="AF39" i="376"/>
  <c r="AH38" i="376"/>
  <c r="AG38" i="376"/>
  <c r="AF38" i="376"/>
  <c r="AH37" i="376"/>
  <c r="AG37" i="376"/>
  <c r="AF37" i="376"/>
  <c r="AH36" i="376"/>
  <c r="AG36" i="376"/>
  <c r="AF36" i="376"/>
  <c r="AI35" i="376"/>
  <c r="AC34" i="376"/>
  <c r="AC96" i="376" s="1"/>
  <c r="AB34" i="376"/>
  <c r="AB96" i="376" s="1"/>
  <c r="AA34" i="376"/>
  <c r="AA96" i="376" s="1"/>
  <c r="Z34" i="376"/>
  <c r="Z96" i="376" s="1"/>
  <c r="Y34" i="376"/>
  <c r="Y96" i="376" s="1"/>
  <c r="X34" i="376"/>
  <c r="X96" i="376" s="1"/>
  <c r="W34" i="376"/>
  <c r="W96" i="376" s="1"/>
  <c r="V34" i="376"/>
  <c r="V96" i="376" s="1"/>
  <c r="U34" i="376"/>
  <c r="U96" i="376" s="1"/>
  <c r="T34" i="376"/>
  <c r="T96" i="376" s="1"/>
  <c r="S34" i="376"/>
  <c r="S96" i="376" s="1"/>
  <c r="R34" i="376"/>
  <c r="R96" i="376" s="1"/>
  <c r="Q34" i="376"/>
  <c r="Q96" i="376" s="1"/>
  <c r="P34" i="376"/>
  <c r="P96" i="376" s="1"/>
  <c r="O34" i="376"/>
  <c r="O96" i="376" s="1"/>
  <c r="N34" i="376"/>
  <c r="N96" i="376" s="1"/>
  <c r="M34" i="376"/>
  <c r="M96" i="376" s="1"/>
  <c r="L34" i="376"/>
  <c r="L96" i="376" s="1"/>
  <c r="K34" i="376"/>
  <c r="K96" i="376" s="1"/>
  <c r="J34" i="376"/>
  <c r="J96" i="376" s="1"/>
  <c r="I34" i="376"/>
  <c r="I96" i="376" s="1"/>
  <c r="H34" i="376"/>
  <c r="H96" i="376" s="1"/>
  <c r="G34" i="376"/>
  <c r="G96" i="376" s="1"/>
  <c r="F34" i="376"/>
  <c r="F96" i="376" s="1"/>
  <c r="C34" i="376"/>
  <c r="B34" i="376"/>
  <c r="AH33" i="376"/>
  <c r="AG33" i="376"/>
  <c r="AF33" i="376"/>
  <c r="AI32" i="376"/>
  <c r="AC31" i="376"/>
  <c r="AC93" i="376" s="1"/>
  <c r="AB31" i="376"/>
  <c r="AB93" i="376" s="1"/>
  <c r="AA31" i="376"/>
  <c r="AA93" i="376" s="1"/>
  <c r="Z31" i="376"/>
  <c r="Z93" i="376" s="1"/>
  <c r="Y31" i="376"/>
  <c r="Y93" i="376" s="1"/>
  <c r="X31" i="376"/>
  <c r="X93" i="376" s="1"/>
  <c r="W31" i="376"/>
  <c r="W93" i="376" s="1"/>
  <c r="V31" i="376"/>
  <c r="V93" i="376" s="1"/>
  <c r="U31" i="376"/>
  <c r="T31" i="376"/>
  <c r="T93" i="376" s="1"/>
  <c r="S31" i="376"/>
  <c r="S93" i="376" s="1"/>
  <c r="R31" i="376"/>
  <c r="R93" i="376" s="1"/>
  <c r="Q31" i="376"/>
  <c r="Q93" i="376" s="1"/>
  <c r="P31" i="376"/>
  <c r="P93" i="376" s="1"/>
  <c r="O31" i="376"/>
  <c r="O93" i="376" s="1"/>
  <c r="N31" i="376"/>
  <c r="N93" i="376" s="1"/>
  <c r="M31" i="376"/>
  <c r="M93" i="376" s="1"/>
  <c r="L31" i="376"/>
  <c r="L93" i="376" s="1"/>
  <c r="K31" i="376"/>
  <c r="J31" i="376"/>
  <c r="J93" i="376" s="1"/>
  <c r="I31" i="376"/>
  <c r="I93" i="376" s="1"/>
  <c r="H31" i="376"/>
  <c r="H93" i="376" s="1"/>
  <c r="G31" i="376"/>
  <c r="G93" i="376" s="1"/>
  <c r="F31" i="376"/>
  <c r="F93" i="376" s="1"/>
  <c r="C31" i="376"/>
  <c r="B31" i="376"/>
  <c r="AI28" i="376"/>
  <c r="AH28" i="376"/>
  <c r="AG28" i="376"/>
  <c r="AF28" i="376"/>
  <c r="AH27" i="376"/>
  <c r="AG27" i="376"/>
  <c r="AF27" i="376"/>
  <c r="AI26" i="376"/>
  <c r="AC25" i="376"/>
  <c r="AB25" i="376"/>
  <c r="AA25" i="376"/>
  <c r="AA89" i="376" s="1"/>
  <c r="Z25" i="376"/>
  <c r="Y25" i="376"/>
  <c r="X25" i="376"/>
  <c r="W25" i="376"/>
  <c r="V25" i="376"/>
  <c r="U25" i="376"/>
  <c r="T25" i="376"/>
  <c r="S25" i="376"/>
  <c r="R25" i="376"/>
  <c r="Q25" i="376"/>
  <c r="P25" i="376"/>
  <c r="O25" i="376"/>
  <c r="N25" i="376"/>
  <c r="M25" i="376"/>
  <c r="L25" i="376"/>
  <c r="K25" i="376"/>
  <c r="J25" i="376"/>
  <c r="I25" i="376"/>
  <c r="H25" i="376"/>
  <c r="G25" i="376"/>
  <c r="G89" i="376" s="1"/>
  <c r="F25" i="376"/>
  <c r="C25" i="376"/>
  <c r="AH24" i="376"/>
  <c r="AG24" i="376"/>
  <c r="AF24" i="376"/>
  <c r="AI23" i="376"/>
  <c r="AC22" i="376"/>
  <c r="AB22" i="376"/>
  <c r="AA22" i="376"/>
  <c r="Z22" i="376"/>
  <c r="Y22" i="376"/>
  <c r="X22" i="376"/>
  <c r="X89" i="376" s="1"/>
  <c r="W22" i="376"/>
  <c r="W89" i="376" s="1"/>
  <c r="V22" i="376"/>
  <c r="U22" i="376"/>
  <c r="T22" i="376"/>
  <c r="S22" i="376"/>
  <c r="R22" i="376"/>
  <c r="Q22" i="376"/>
  <c r="P22" i="376"/>
  <c r="P89" i="376" s="1"/>
  <c r="O22" i="376"/>
  <c r="O89" i="376" s="1"/>
  <c r="N22" i="376"/>
  <c r="M22" i="376"/>
  <c r="M89" i="376" s="1"/>
  <c r="L22" i="376"/>
  <c r="K22" i="376"/>
  <c r="J22" i="376"/>
  <c r="I22" i="376"/>
  <c r="H22" i="376"/>
  <c r="G22" i="376"/>
  <c r="F22" i="376"/>
  <c r="C22" i="376"/>
  <c r="B22" i="376"/>
  <c r="AH21" i="376"/>
  <c r="AG21" i="376"/>
  <c r="AF21" i="376"/>
  <c r="AH20" i="376"/>
  <c r="AG20" i="376"/>
  <c r="AF20" i="376"/>
  <c r="AH19" i="376"/>
  <c r="AG19" i="376"/>
  <c r="AF19" i="376"/>
  <c r="AI18" i="376"/>
  <c r="AC17" i="376"/>
  <c r="AB17" i="376"/>
  <c r="AA17" i="376"/>
  <c r="Z17" i="376"/>
  <c r="Z91" i="376" s="1"/>
  <c r="Y17" i="376"/>
  <c r="X17" i="376"/>
  <c r="W17" i="376"/>
  <c r="W91" i="376" s="1"/>
  <c r="V17" i="376"/>
  <c r="V91" i="376" s="1"/>
  <c r="U17" i="376"/>
  <c r="U91" i="376" s="1"/>
  <c r="T17" i="376"/>
  <c r="T91" i="376" s="1"/>
  <c r="S17" i="376"/>
  <c r="S91" i="376" s="1"/>
  <c r="R17" i="376"/>
  <c r="R91" i="376" s="1"/>
  <c r="Q17" i="376"/>
  <c r="P17" i="376"/>
  <c r="O17" i="376"/>
  <c r="N17" i="376"/>
  <c r="M17" i="376"/>
  <c r="L17" i="376"/>
  <c r="K17" i="376"/>
  <c r="J17" i="376"/>
  <c r="J91" i="376" s="1"/>
  <c r="I17" i="376"/>
  <c r="I91" i="376" s="1"/>
  <c r="H17" i="376"/>
  <c r="G17" i="376"/>
  <c r="F17" i="376"/>
  <c r="F91" i="376" s="1"/>
  <c r="C17" i="376"/>
  <c r="C83" i="376" s="1"/>
  <c r="B17" i="376"/>
  <c r="AH16" i="376"/>
  <c r="AG16" i="376"/>
  <c r="AF16" i="376"/>
  <c r="AH15" i="376"/>
  <c r="AG15" i="376"/>
  <c r="AF15" i="376"/>
  <c r="AH14" i="376"/>
  <c r="AG14" i="376"/>
  <c r="AF14" i="376"/>
  <c r="AH13" i="376"/>
  <c r="AG13" i="376"/>
  <c r="AF13" i="376"/>
  <c r="AI12" i="376"/>
  <c r="M9" i="376" a="1"/>
  <c r="M9" i="376" s="1"/>
  <c r="F968" i="88"/>
  <c r="F967" i="88"/>
  <c r="F939" i="88"/>
  <c r="W602" i="260"/>
  <c r="F963" i="88"/>
  <c r="F961" i="88"/>
  <c r="F964" i="88"/>
  <c r="F962" i="88"/>
  <c r="F960" i="88"/>
  <c r="W601" i="260"/>
  <c r="F965" i="88"/>
  <c r="F933" i="88"/>
  <c r="W600" i="260"/>
  <c r="F958" i="88"/>
  <c r="R599" i="260" a="1"/>
  <c r="C622" i="79" l="1"/>
  <c r="A624" i="79"/>
  <c r="A625" i="79"/>
  <c r="C623" i="79"/>
  <c r="Z109" i="376"/>
  <c r="Y89" i="376"/>
  <c r="X83" i="376"/>
  <c r="R89" i="376"/>
  <c r="Q89" i="376"/>
  <c r="J109" i="376"/>
  <c r="J110" i="376"/>
  <c r="I109" i="376"/>
  <c r="H83" i="376"/>
  <c r="F109" i="376"/>
  <c r="S109" i="376"/>
  <c r="T109" i="376"/>
  <c r="AC110" i="376"/>
  <c r="Z110" i="376"/>
  <c r="H89" i="376"/>
  <c r="Y83" i="376"/>
  <c r="AA110" i="376"/>
  <c r="AB110" i="376"/>
  <c r="I110" i="376"/>
  <c r="V109" i="376"/>
  <c r="F110" i="376"/>
  <c r="X91" i="376"/>
  <c r="X109" i="376" s="1"/>
  <c r="L83" i="376"/>
  <c r="Y91" i="376"/>
  <c r="Y109" i="376" s="1"/>
  <c r="M83" i="376"/>
  <c r="I83" i="376"/>
  <c r="T89" i="376"/>
  <c r="T103" i="376" s="1"/>
  <c r="T108" i="376" s="1"/>
  <c r="K89" i="376"/>
  <c r="L89" i="376"/>
  <c r="W109" i="376"/>
  <c r="AC89" i="376"/>
  <c r="AA91" i="376"/>
  <c r="AA109" i="376" s="1"/>
  <c r="AA83" i="376"/>
  <c r="AB83" i="376"/>
  <c r="U89" i="376"/>
  <c r="U103" i="376" s="1"/>
  <c r="U108" i="376" s="1"/>
  <c r="G110" i="376"/>
  <c r="U109" i="376"/>
  <c r="AB89" i="376"/>
  <c r="AB103" i="376" s="1"/>
  <c r="AB108" i="376" s="1"/>
  <c r="N110" i="376"/>
  <c r="O110" i="376"/>
  <c r="AC83" i="376"/>
  <c r="V89" i="376"/>
  <c r="V103" i="376" s="1"/>
  <c r="V108" i="376" s="1"/>
  <c r="N89" i="376"/>
  <c r="U110" i="376"/>
  <c r="F83" i="376"/>
  <c r="H110" i="376"/>
  <c r="K110" i="376"/>
  <c r="I89" i="376"/>
  <c r="I103" i="376" s="1"/>
  <c r="I108" i="376" s="1"/>
  <c r="J83" i="376"/>
  <c r="S89" i="376"/>
  <c r="S103" i="376" s="1"/>
  <c r="S108" i="376" s="1"/>
  <c r="G91" i="376"/>
  <c r="J89" i="376"/>
  <c r="J103" i="376" s="1"/>
  <c r="J108" i="376" s="1"/>
  <c r="AB91" i="376"/>
  <c r="AB109" i="376" s="1"/>
  <c r="AC91" i="376"/>
  <c r="AC109" i="376" s="1"/>
  <c r="R109" i="376"/>
  <c r="S110" i="376"/>
  <c r="W83" i="376"/>
  <c r="H91" i="376"/>
  <c r="AA103" i="376"/>
  <c r="AA108" i="376" s="1"/>
  <c r="Q83" i="376"/>
  <c r="H103" i="376"/>
  <c r="H108" i="376" s="1"/>
  <c r="R103" i="376"/>
  <c r="R108" i="376" s="1"/>
  <c r="W103" i="376"/>
  <c r="W108" i="376" s="1"/>
  <c r="V83" i="376"/>
  <c r="B83" i="376"/>
  <c r="G109" i="376"/>
  <c r="P83" i="376"/>
  <c r="T83" i="376"/>
  <c r="H109" i="376"/>
  <c r="AF64" i="376"/>
  <c r="AG64" i="376"/>
  <c r="F89" i="376"/>
  <c r="F103" i="376" s="1"/>
  <c r="F108" i="376" s="1"/>
  <c r="Z89" i="376"/>
  <c r="M110" i="376"/>
  <c r="P110" i="376"/>
  <c r="AG47" i="376"/>
  <c r="G65" i="376"/>
  <c r="N83" i="376"/>
  <c r="Q110" i="376"/>
  <c r="L110" i="376"/>
  <c r="T110" i="376"/>
  <c r="AG48" i="376"/>
  <c r="S83" i="376"/>
  <c r="K91" i="376"/>
  <c r="K109" i="376" s="1"/>
  <c r="V110" i="376"/>
  <c r="AI36" i="376"/>
  <c r="AH48" i="376"/>
  <c r="L91" i="376"/>
  <c r="L109" i="376" s="1"/>
  <c r="W110" i="376"/>
  <c r="U83" i="376"/>
  <c r="M91" i="376"/>
  <c r="M109" i="376" s="1"/>
  <c r="X110" i="376"/>
  <c r="AF62" i="376"/>
  <c r="N91" i="376"/>
  <c r="N109" i="376" s="1"/>
  <c r="Y110" i="376"/>
  <c r="K83" i="376"/>
  <c r="AI61" i="376"/>
  <c r="Z65" i="376"/>
  <c r="Z99" i="376" s="1"/>
  <c r="AH47" i="376"/>
  <c r="O83" i="376"/>
  <c r="AH63" i="376"/>
  <c r="R83" i="376"/>
  <c r="AG62" i="376"/>
  <c r="O91" i="376"/>
  <c r="O109" i="376" s="1"/>
  <c r="P91" i="376"/>
  <c r="P109" i="376" s="1"/>
  <c r="AG56" i="376"/>
  <c r="AH56" i="376"/>
  <c r="Q91" i="376"/>
  <c r="Q109" i="376" s="1"/>
  <c r="AF47" i="376"/>
  <c r="R110" i="376"/>
  <c r="AF63" i="376"/>
  <c r="R599" i="260"/>
  <c r="F956" i="88"/>
  <c r="F959" i="88"/>
  <c r="F954" i="88"/>
  <c r="F952" i="88"/>
  <c r="F957" i="88"/>
  <c r="Z62" i="375"/>
  <c r="Z64" i="375"/>
  <c r="W599" i="260"/>
  <c r="F930" i="88"/>
  <c r="F932" i="88"/>
  <c r="W598" i="260"/>
  <c r="X64" i="375"/>
  <c r="X63" i="375"/>
  <c r="F951" i="88"/>
  <c r="W597" i="260"/>
  <c r="F950" i="88"/>
  <c r="W64" i="375"/>
  <c r="W63" i="375"/>
  <c r="W596" i="260"/>
  <c r="V64" i="375"/>
  <c r="V63" i="375"/>
  <c r="V56" i="375"/>
  <c r="V48" i="375"/>
  <c r="F948" i="88"/>
  <c r="F946" i="88"/>
  <c r="F945" i="88"/>
  <c r="W595" i="260"/>
  <c r="U64" i="375"/>
  <c r="U63" i="375"/>
  <c r="U56" i="375"/>
  <c r="U50" i="375"/>
  <c r="U48" i="375"/>
  <c r="U47" i="375"/>
  <c r="W594" i="260"/>
  <c r="T64" i="375"/>
  <c r="T63" i="375"/>
  <c r="T56" i="375"/>
  <c r="T50" i="375"/>
  <c r="T47" i="375"/>
  <c r="F931" i="88"/>
  <c r="W593" i="260"/>
  <c r="F944" i="88"/>
  <c r="W592" i="260"/>
  <c r="F928" i="88"/>
  <c r="F942" i="88"/>
  <c r="F941" i="88"/>
  <c r="W591" i="260"/>
  <c r="W590" i="260"/>
  <c r="Q62" i="375"/>
  <c r="Q63" i="375"/>
  <c r="F940" i="88"/>
  <c r="F938" i="88"/>
  <c r="F936" i="88"/>
  <c r="W589" i="260"/>
  <c r="P62" i="375"/>
  <c r="P63" i="375"/>
  <c r="O63" i="375"/>
  <c r="O62" i="375"/>
  <c r="F937" i="88"/>
  <c r="C625" i="79" l="1"/>
  <c r="A627" i="79"/>
  <c r="C624" i="79"/>
  <c r="A626" i="79"/>
  <c r="AC103" i="376"/>
  <c r="AC108" i="376" s="1"/>
  <c r="Y103" i="376"/>
  <c r="Y108" i="376" s="1"/>
  <c r="O103" i="376"/>
  <c r="O108" i="376" s="1"/>
  <c r="X103" i="376"/>
  <c r="X108" i="376" s="1"/>
  <c r="K103" i="376"/>
  <c r="K108" i="376" s="1"/>
  <c r="G99" i="376"/>
  <c r="G103" i="376" s="1"/>
  <c r="G108" i="376" s="1"/>
  <c r="G83" i="376"/>
  <c r="M103" i="376"/>
  <c r="M108" i="376" s="1"/>
  <c r="Q103" i="376"/>
  <c r="Q108" i="376" s="1"/>
  <c r="P103" i="376"/>
  <c r="P108" i="376" s="1"/>
  <c r="Z103" i="376"/>
  <c r="Z108" i="376" s="1"/>
  <c r="L103" i="376"/>
  <c r="L108" i="376" s="1"/>
  <c r="N103" i="376"/>
  <c r="N108" i="376" s="1"/>
  <c r="Z83" i="376"/>
  <c r="N63" i="375"/>
  <c r="N62" i="375"/>
  <c r="F935" i="88"/>
  <c r="F934" i="88"/>
  <c r="F919" i="88"/>
  <c r="M106" i="375"/>
  <c r="M107" i="375" s="1"/>
  <c r="M63" i="375"/>
  <c r="M62" i="375"/>
  <c r="F916" i="88"/>
  <c r="F918" i="88"/>
  <c r="L64" i="375"/>
  <c r="L62" i="375"/>
  <c r="AG62" i="375" s="1"/>
  <c r="F782" i="88"/>
  <c r="F894" i="88"/>
  <c r="AF64" i="375"/>
  <c r="G64" i="375"/>
  <c r="G62" i="375"/>
  <c r="F913" i="88"/>
  <c r="F64" i="375"/>
  <c r="F63" i="375"/>
  <c r="AC107" i="375"/>
  <c r="AB107" i="375"/>
  <c r="AA107" i="375"/>
  <c r="Z107" i="375"/>
  <c r="Y107" i="375"/>
  <c r="X107" i="375"/>
  <c r="W107" i="375"/>
  <c r="V107" i="375"/>
  <c r="U107" i="375"/>
  <c r="S107" i="375"/>
  <c r="R107" i="375"/>
  <c r="Q107" i="375"/>
  <c r="P107" i="375"/>
  <c r="O107" i="375"/>
  <c r="N107" i="375"/>
  <c r="L107" i="375"/>
  <c r="K107" i="375"/>
  <c r="J107" i="375"/>
  <c r="I107" i="375"/>
  <c r="H107" i="375"/>
  <c r="G107" i="375"/>
  <c r="F107" i="375"/>
  <c r="T107" i="375"/>
  <c r="AC102" i="375"/>
  <c r="AB102" i="375"/>
  <c r="AA102" i="375"/>
  <c r="Z102" i="375"/>
  <c r="Y102" i="375"/>
  <c r="X102" i="375"/>
  <c r="W102" i="375"/>
  <c r="V102" i="375"/>
  <c r="U102" i="375"/>
  <c r="T102" i="375"/>
  <c r="S102" i="375"/>
  <c r="R102" i="375"/>
  <c r="Q102" i="375"/>
  <c r="P102" i="375"/>
  <c r="O102" i="375"/>
  <c r="N102" i="375"/>
  <c r="M102" i="375"/>
  <c r="L102" i="375"/>
  <c r="K102" i="375"/>
  <c r="J102" i="375"/>
  <c r="I102" i="375"/>
  <c r="H102" i="375"/>
  <c r="G102" i="375"/>
  <c r="F102" i="375"/>
  <c r="W100" i="375"/>
  <c r="W99" i="375"/>
  <c r="Q99" i="375"/>
  <c r="P99" i="375"/>
  <c r="N99" i="375"/>
  <c r="I98" i="375"/>
  <c r="T96" i="375"/>
  <c r="S96" i="375"/>
  <c r="Y93" i="375"/>
  <c r="W93" i="375"/>
  <c r="V93" i="375"/>
  <c r="U93" i="375"/>
  <c r="U91" i="375"/>
  <c r="T91" i="375"/>
  <c r="H91" i="375"/>
  <c r="AC80" i="375"/>
  <c r="AC101" i="375" s="1"/>
  <c r="AB80" i="375"/>
  <c r="AB101" i="375" s="1"/>
  <c r="AA80" i="375"/>
  <c r="AA101" i="375" s="1"/>
  <c r="Z80" i="375"/>
  <c r="Z101" i="375" s="1"/>
  <c r="Y80" i="375"/>
  <c r="Y101" i="375" s="1"/>
  <c r="X80" i="375"/>
  <c r="X101" i="375" s="1"/>
  <c r="W80" i="375"/>
  <c r="W101" i="375" s="1"/>
  <c r="V80" i="375"/>
  <c r="V101" i="375" s="1"/>
  <c r="U80" i="375"/>
  <c r="U101" i="375" s="1"/>
  <c r="T80" i="375"/>
  <c r="T101" i="375" s="1"/>
  <c r="S80" i="375"/>
  <c r="S101" i="375" s="1"/>
  <c r="R80" i="375"/>
  <c r="R101" i="375" s="1"/>
  <c r="Q80" i="375"/>
  <c r="Q101" i="375" s="1"/>
  <c r="P80" i="375"/>
  <c r="P101" i="375" s="1"/>
  <c r="O80" i="375"/>
  <c r="O101" i="375" s="1"/>
  <c r="N80" i="375"/>
  <c r="N101" i="375" s="1"/>
  <c r="M80" i="375"/>
  <c r="M101" i="375" s="1"/>
  <c r="L80" i="375"/>
  <c r="L101" i="375" s="1"/>
  <c r="K80" i="375"/>
  <c r="K101" i="375" s="1"/>
  <c r="J80" i="375"/>
  <c r="J101" i="375" s="1"/>
  <c r="I80" i="375"/>
  <c r="I101" i="375" s="1"/>
  <c r="H80" i="375"/>
  <c r="H101" i="375" s="1"/>
  <c r="G80" i="375"/>
  <c r="G101" i="375" s="1"/>
  <c r="F80" i="375"/>
  <c r="F101" i="375" s="1"/>
  <c r="C80" i="375"/>
  <c r="B80" i="375"/>
  <c r="B25" i="375" s="1"/>
  <c r="AH79" i="375"/>
  <c r="AG79" i="375"/>
  <c r="AF79" i="375"/>
  <c r="AH78" i="375"/>
  <c r="AG78" i="375"/>
  <c r="AF78" i="375"/>
  <c r="AI77" i="375"/>
  <c r="AC76" i="375"/>
  <c r="AC100" i="375" s="1"/>
  <c r="AB76" i="375"/>
  <c r="AB100" i="375" s="1"/>
  <c r="AA76" i="375"/>
  <c r="AA100" i="375" s="1"/>
  <c r="Z76" i="375"/>
  <c r="Z100" i="375" s="1"/>
  <c r="Y76" i="375"/>
  <c r="Y100" i="375" s="1"/>
  <c r="X76" i="375"/>
  <c r="X100" i="375" s="1"/>
  <c r="W76" i="375"/>
  <c r="V76" i="375"/>
  <c r="V100" i="375" s="1"/>
  <c r="U76" i="375"/>
  <c r="U100" i="375" s="1"/>
  <c r="T76" i="375"/>
  <c r="T100" i="375" s="1"/>
  <c r="S76" i="375"/>
  <c r="S100" i="375" s="1"/>
  <c r="R76" i="375"/>
  <c r="R100" i="375" s="1"/>
  <c r="Q76" i="375"/>
  <c r="Q100" i="375" s="1"/>
  <c r="P76" i="375"/>
  <c r="P100" i="375" s="1"/>
  <c r="O76" i="375"/>
  <c r="O100" i="375" s="1"/>
  <c r="N76" i="375"/>
  <c r="N100" i="375" s="1"/>
  <c r="M76" i="375"/>
  <c r="M100" i="375" s="1"/>
  <c r="L76" i="375"/>
  <c r="L100" i="375" s="1"/>
  <c r="K76" i="375"/>
  <c r="K100" i="375" s="1"/>
  <c r="J76" i="375"/>
  <c r="J100" i="375" s="1"/>
  <c r="I76" i="375"/>
  <c r="I100" i="375" s="1"/>
  <c r="H76" i="375"/>
  <c r="H100" i="375" s="1"/>
  <c r="G76" i="375"/>
  <c r="G100" i="375" s="1"/>
  <c r="F76" i="375"/>
  <c r="F100" i="375" s="1"/>
  <c r="C76" i="375"/>
  <c r="B76" i="375"/>
  <c r="AH75" i="375"/>
  <c r="AG75" i="375"/>
  <c r="AF75" i="375"/>
  <c r="AH74" i="375"/>
  <c r="AG74" i="375"/>
  <c r="AF74" i="375"/>
  <c r="AH73" i="375"/>
  <c r="AG73" i="375"/>
  <c r="AF73" i="375"/>
  <c r="AH72" i="375"/>
  <c r="AG72" i="375"/>
  <c r="AF72" i="375"/>
  <c r="AH71" i="375"/>
  <c r="AG71" i="375"/>
  <c r="AF71" i="375"/>
  <c r="AH70" i="375"/>
  <c r="AG70" i="375"/>
  <c r="AF70" i="375"/>
  <c r="AH69" i="375"/>
  <c r="AG69" i="375"/>
  <c r="AF69" i="375"/>
  <c r="AH68" i="375"/>
  <c r="AG68" i="375"/>
  <c r="AF68" i="375"/>
  <c r="AH67" i="375"/>
  <c r="AG67" i="375"/>
  <c r="AF67" i="375"/>
  <c r="AI66" i="375"/>
  <c r="AA65" i="375"/>
  <c r="AA99" i="375" s="1"/>
  <c r="Z65" i="375"/>
  <c r="Z99" i="375" s="1"/>
  <c r="Y65" i="375"/>
  <c r="Y99" i="375" s="1"/>
  <c r="X65" i="375"/>
  <c r="X99" i="375" s="1"/>
  <c r="W65" i="375"/>
  <c r="V65" i="375"/>
  <c r="V99" i="375" s="1"/>
  <c r="U65" i="375"/>
  <c r="U99" i="375" s="1"/>
  <c r="T65" i="375"/>
  <c r="T99" i="375" s="1"/>
  <c r="S65" i="375"/>
  <c r="S99" i="375" s="1"/>
  <c r="R65" i="375"/>
  <c r="R99" i="375" s="1"/>
  <c r="Q65" i="375"/>
  <c r="P65" i="375"/>
  <c r="N65" i="375"/>
  <c r="M65" i="375"/>
  <c r="M99" i="375" s="1"/>
  <c r="G65" i="375"/>
  <c r="G99" i="375" s="1"/>
  <c r="F65" i="375"/>
  <c r="F99" i="375" s="1"/>
  <c r="C65" i="375"/>
  <c r="B65" i="375"/>
  <c r="AB65" i="375"/>
  <c r="AB99" i="375" s="1"/>
  <c r="L65" i="375"/>
  <c r="L99" i="375" s="1"/>
  <c r="K65" i="375"/>
  <c r="K99" i="375" s="1"/>
  <c r="J65" i="375"/>
  <c r="J99" i="375" s="1"/>
  <c r="I65" i="375"/>
  <c r="I99" i="375" s="1"/>
  <c r="AH62" i="375"/>
  <c r="AC60" i="375"/>
  <c r="AC98" i="375" s="1"/>
  <c r="AB60" i="375"/>
  <c r="AB98" i="375" s="1"/>
  <c r="AA60" i="375"/>
  <c r="AA98" i="375" s="1"/>
  <c r="Z60" i="375"/>
  <c r="Z98" i="375" s="1"/>
  <c r="Y60" i="375"/>
  <c r="Y98" i="375" s="1"/>
  <c r="X60" i="375"/>
  <c r="X98" i="375" s="1"/>
  <c r="W60" i="375"/>
  <c r="W98" i="375" s="1"/>
  <c r="V60" i="375"/>
  <c r="V98" i="375" s="1"/>
  <c r="U60" i="375"/>
  <c r="U98" i="375" s="1"/>
  <c r="T60" i="375"/>
  <c r="T98" i="375" s="1"/>
  <c r="S60" i="375"/>
  <c r="S98" i="375" s="1"/>
  <c r="R60" i="375"/>
  <c r="R98" i="375" s="1"/>
  <c r="Q60" i="375"/>
  <c r="Q98" i="375" s="1"/>
  <c r="P60" i="375"/>
  <c r="P98" i="375" s="1"/>
  <c r="O60" i="375"/>
  <c r="O98" i="375" s="1"/>
  <c r="N60" i="375"/>
  <c r="N98" i="375" s="1"/>
  <c r="M60" i="375"/>
  <c r="M98" i="375" s="1"/>
  <c r="L60" i="375"/>
  <c r="L98" i="375" s="1"/>
  <c r="K60" i="375"/>
  <c r="K98" i="375" s="1"/>
  <c r="J60" i="375"/>
  <c r="J98" i="375" s="1"/>
  <c r="I60" i="375"/>
  <c r="H60" i="375"/>
  <c r="H98" i="375" s="1"/>
  <c r="G60" i="375"/>
  <c r="G98" i="375" s="1"/>
  <c r="F60" i="375"/>
  <c r="F98" i="375" s="1"/>
  <c r="C60" i="375"/>
  <c r="B60" i="375"/>
  <c r="AH59" i="375"/>
  <c r="AG59" i="375"/>
  <c r="AF59" i="375"/>
  <c r="AH58" i="375"/>
  <c r="AG58" i="375"/>
  <c r="AF58" i="375"/>
  <c r="AH57" i="375"/>
  <c r="AG57" i="375"/>
  <c r="AF57" i="375"/>
  <c r="AH56" i="375"/>
  <c r="AG56" i="375"/>
  <c r="AF56" i="375"/>
  <c r="AH51" i="375"/>
  <c r="AG51" i="375"/>
  <c r="AF51" i="375"/>
  <c r="AH50" i="375"/>
  <c r="AG50" i="375"/>
  <c r="AF50" i="375"/>
  <c r="AH49" i="375"/>
  <c r="AG49" i="375"/>
  <c r="AF49" i="375"/>
  <c r="AH48" i="375"/>
  <c r="AG48" i="375"/>
  <c r="AF48" i="375"/>
  <c r="AH47" i="375"/>
  <c r="AG47" i="375"/>
  <c r="AF47" i="375"/>
  <c r="AH46" i="375"/>
  <c r="AG46" i="375"/>
  <c r="AF46" i="375"/>
  <c r="AH45" i="375"/>
  <c r="AG45" i="375"/>
  <c r="AF45" i="375"/>
  <c r="AH44" i="375"/>
  <c r="AG44" i="375"/>
  <c r="AF44" i="375"/>
  <c r="AH43" i="375"/>
  <c r="AG43" i="375"/>
  <c r="AF43" i="375"/>
  <c r="AH42" i="375"/>
  <c r="AG42" i="375"/>
  <c r="AF42" i="375"/>
  <c r="AH41" i="375"/>
  <c r="AG41" i="375"/>
  <c r="AF41" i="375"/>
  <c r="AH40" i="375"/>
  <c r="AG40" i="375"/>
  <c r="AF40" i="375"/>
  <c r="AH39" i="375"/>
  <c r="AG39" i="375"/>
  <c r="AF39" i="375"/>
  <c r="AH38" i="375"/>
  <c r="AG38" i="375"/>
  <c r="AF38" i="375"/>
  <c r="AH37" i="375"/>
  <c r="AG37" i="375"/>
  <c r="AF37" i="375"/>
  <c r="AI36" i="375"/>
  <c r="AH36" i="375"/>
  <c r="AG36" i="375"/>
  <c r="AF36" i="375"/>
  <c r="AI35" i="375"/>
  <c r="AC34" i="375"/>
  <c r="AC96" i="375" s="1"/>
  <c r="AB34" i="375"/>
  <c r="AB96" i="375" s="1"/>
  <c r="AA34" i="375"/>
  <c r="AA96" i="375" s="1"/>
  <c r="Z34" i="375"/>
  <c r="Z96" i="375" s="1"/>
  <c r="Y34" i="375"/>
  <c r="Y96" i="375" s="1"/>
  <c r="X34" i="375"/>
  <c r="X96" i="375" s="1"/>
  <c r="W34" i="375"/>
  <c r="W96" i="375" s="1"/>
  <c r="V34" i="375"/>
  <c r="V96" i="375" s="1"/>
  <c r="U34" i="375"/>
  <c r="U96" i="375" s="1"/>
  <c r="T34" i="375"/>
  <c r="S34" i="375"/>
  <c r="R34" i="375"/>
  <c r="R96" i="375" s="1"/>
  <c r="Q34" i="375"/>
  <c r="Q96" i="375" s="1"/>
  <c r="P34" i="375"/>
  <c r="P96" i="375" s="1"/>
  <c r="O34" i="375"/>
  <c r="O96" i="375" s="1"/>
  <c r="N34" i="375"/>
  <c r="N96" i="375" s="1"/>
  <c r="M34" i="375"/>
  <c r="M96" i="375" s="1"/>
  <c r="L34" i="375"/>
  <c r="L96" i="375" s="1"/>
  <c r="K34" i="375"/>
  <c r="K96" i="375" s="1"/>
  <c r="J34" i="375"/>
  <c r="J96" i="375" s="1"/>
  <c r="I34" i="375"/>
  <c r="I96" i="375" s="1"/>
  <c r="H34" i="375"/>
  <c r="H96" i="375" s="1"/>
  <c r="G34" i="375"/>
  <c r="G96" i="375" s="1"/>
  <c r="F34" i="375"/>
  <c r="F96" i="375" s="1"/>
  <c r="C34" i="375"/>
  <c r="B34" i="375"/>
  <c r="AH33" i="375"/>
  <c r="AG33" i="375"/>
  <c r="AF33" i="375"/>
  <c r="AI32" i="375"/>
  <c r="AC31" i="375"/>
  <c r="AC93" i="375" s="1"/>
  <c r="AB31" i="375"/>
  <c r="AB93" i="375" s="1"/>
  <c r="AA31" i="375"/>
  <c r="AA93" i="375" s="1"/>
  <c r="Z31" i="375"/>
  <c r="Z93" i="375" s="1"/>
  <c r="Y31" i="375"/>
  <c r="X31" i="375"/>
  <c r="X93" i="375" s="1"/>
  <c r="W31" i="375"/>
  <c r="V31" i="375"/>
  <c r="U31" i="375"/>
  <c r="T31" i="375"/>
  <c r="T93" i="375" s="1"/>
  <c r="S31" i="375"/>
  <c r="S93" i="375" s="1"/>
  <c r="R31" i="375"/>
  <c r="R93" i="375" s="1"/>
  <c r="Q31" i="375"/>
  <c r="Q93" i="375" s="1"/>
  <c r="P31" i="375"/>
  <c r="P93" i="375" s="1"/>
  <c r="O31" i="375"/>
  <c r="O93" i="375" s="1"/>
  <c r="N31" i="375"/>
  <c r="N93" i="375" s="1"/>
  <c r="M31" i="375"/>
  <c r="M93" i="375" s="1"/>
  <c r="L31" i="375"/>
  <c r="L93" i="375" s="1"/>
  <c r="K31" i="375"/>
  <c r="K93" i="375" s="1"/>
  <c r="J31" i="375"/>
  <c r="J93" i="375" s="1"/>
  <c r="I31" i="375"/>
  <c r="I93" i="375" s="1"/>
  <c r="H31" i="375"/>
  <c r="H93" i="375" s="1"/>
  <c r="G31" i="375"/>
  <c r="G93" i="375" s="1"/>
  <c r="F31" i="375"/>
  <c r="F93" i="375" s="1"/>
  <c r="C31" i="375"/>
  <c r="B31" i="375"/>
  <c r="AI28" i="375"/>
  <c r="AH28" i="375"/>
  <c r="AG28" i="375"/>
  <c r="AF28" i="375"/>
  <c r="AH27" i="375"/>
  <c r="AG27" i="375"/>
  <c r="AF27" i="375"/>
  <c r="AI26" i="375"/>
  <c r="AC25" i="375"/>
  <c r="AB25" i="375"/>
  <c r="AA25" i="375"/>
  <c r="Z25" i="375"/>
  <c r="Y25" i="375"/>
  <c r="X25" i="375"/>
  <c r="W25" i="375"/>
  <c r="V25" i="375"/>
  <c r="U25" i="375"/>
  <c r="T25" i="375"/>
  <c r="S25" i="375"/>
  <c r="R25" i="375"/>
  <c r="Q25" i="375"/>
  <c r="P25" i="375"/>
  <c r="O25" i="375"/>
  <c r="N25" i="375"/>
  <c r="M25" i="375"/>
  <c r="L25" i="375"/>
  <c r="L89" i="375" s="1"/>
  <c r="K25" i="375"/>
  <c r="K89" i="375" s="1"/>
  <c r="J25" i="375"/>
  <c r="I25" i="375"/>
  <c r="I89" i="375" s="1"/>
  <c r="H25" i="375"/>
  <c r="G25" i="375"/>
  <c r="G89" i="375" s="1"/>
  <c r="F25" i="375"/>
  <c r="F89" i="375" s="1"/>
  <c r="C25" i="375"/>
  <c r="AH24" i="375"/>
  <c r="AG24" i="375"/>
  <c r="AF24" i="375"/>
  <c r="AI23" i="375"/>
  <c r="AC22" i="375"/>
  <c r="AB22" i="375"/>
  <c r="AA22" i="375"/>
  <c r="Z22" i="375"/>
  <c r="Y22" i="375"/>
  <c r="X22" i="375"/>
  <c r="X89" i="375" s="1"/>
  <c r="W22" i="375"/>
  <c r="V22" i="375"/>
  <c r="U22" i="375"/>
  <c r="U89" i="375" s="1"/>
  <c r="T22" i="375"/>
  <c r="T89" i="375" s="1"/>
  <c r="S22" i="375"/>
  <c r="R22" i="375"/>
  <c r="Q22" i="375"/>
  <c r="P22" i="375"/>
  <c r="O22" i="375"/>
  <c r="N22" i="375"/>
  <c r="M22" i="375"/>
  <c r="L22" i="375"/>
  <c r="K22" i="375"/>
  <c r="J22" i="375"/>
  <c r="I22" i="375"/>
  <c r="H22" i="375"/>
  <c r="G22" i="375"/>
  <c r="F22" i="375"/>
  <c r="C22" i="375"/>
  <c r="B22" i="375"/>
  <c r="AH21" i="375"/>
  <c r="AG21" i="375"/>
  <c r="AF21" i="375"/>
  <c r="AH20" i="375"/>
  <c r="AG20" i="375"/>
  <c r="AF20" i="375"/>
  <c r="AH19" i="375"/>
  <c r="AG19" i="375"/>
  <c r="AF19" i="375"/>
  <c r="AI18" i="375"/>
  <c r="AC17" i="375"/>
  <c r="AC91" i="375" s="1"/>
  <c r="AB17" i="375"/>
  <c r="AB91" i="375" s="1"/>
  <c r="AA17" i="375"/>
  <c r="AA91" i="375" s="1"/>
  <c r="Z17" i="375"/>
  <c r="Z91" i="375" s="1"/>
  <c r="Y17" i="375"/>
  <c r="Y91" i="375" s="1"/>
  <c r="X17" i="375"/>
  <c r="X91" i="375" s="1"/>
  <c r="W17" i="375"/>
  <c r="W91" i="375" s="1"/>
  <c r="V17" i="375"/>
  <c r="V91" i="375" s="1"/>
  <c r="U17" i="375"/>
  <c r="T17" i="375"/>
  <c r="S17" i="375"/>
  <c r="S91" i="375" s="1"/>
  <c r="R17" i="375"/>
  <c r="Q17" i="375"/>
  <c r="P17" i="375"/>
  <c r="O17" i="375"/>
  <c r="N17" i="375"/>
  <c r="M17" i="375"/>
  <c r="M91" i="375" s="1"/>
  <c r="L17" i="375"/>
  <c r="L91" i="375" s="1"/>
  <c r="K17" i="375"/>
  <c r="K91" i="375" s="1"/>
  <c r="J17" i="375"/>
  <c r="J91" i="375" s="1"/>
  <c r="I17" i="375"/>
  <c r="I91" i="375" s="1"/>
  <c r="H17" i="375"/>
  <c r="G17" i="375"/>
  <c r="F17" i="375"/>
  <c r="C17" i="375"/>
  <c r="B17" i="375"/>
  <c r="AH16" i="375"/>
  <c r="AG16" i="375"/>
  <c r="AF16" i="375"/>
  <c r="AH15" i="375"/>
  <c r="AG15" i="375"/>
  <c r="AF15" i="375"/>
  <c r="AH14" i="375"/>
  <c r="AG14" i="375"/>
  <c r="AF14" i="375"/>
  <c r="AH13" i="375"/>
  <c r="AG13" i="375"/>
  <c r="AF13" i="375"/>
  <c r="AI12" i="375"/>
  <c r="M9" i="375" a="1"/>
  <c r="M9" i="375" s="1"/>
  <c r="AC64" i="374"/>
  <c r="AC63" i="374"/>
  <c r="F924" i="88"/>
  <c r="AB64" i="374"/>
  <c r="AB63" i="374"/>
  <c r="F927" i="88"/>
  <c r="F926" i="88"/>
  <c r="F908" i="88"/>
  <c r="F925" i="88"/>
  <c r="F904" i="88"/>
  <c r="W575" i="260"/>
  <c r="F923" i="88"/>
  <c r="F922" i="88"/>
  <c r="F921" i="88"/>
  <c r="F920" i="88"/>
  <c r="W574" i="260"/>
  <c r="F903" i="88"/>
  <c r="F907" i="88"/>
  <c r="F906" i="88"/>
  <c r="W573" i="260"/>
  <c r="W572" i="260"/>
  <c r="F917" i="88"/>
  <c r="W63" i="374"/>
  <c r="W62" i="374"/>
  <c r="F915" i="88"/>
  <c r="W571" i="260"/>
  <c r="W570" i="260"/>
  <c r="F896" i="88"/>
  <c r="F914" i="88"/>
  <c r="W569" i="260"/>
  <c r="T106" i="374"/>
  <c r="F911" i="88"/>
  <c r="W568" i="260"/>
  <c r="F912" i="88"/>
  <c r="F910" i="88"/>
  <c r="F909" i="88"/>
  <c r="W567" i="260"/>
  <c r="F905" i="88"/>
  <c r="W566" i="260"/>
  <c r="W565" i="260"/>
  <c r="W564" i="260"/>
  <c r="O64" i="374"/>
  <c r="O65" i="374" s="1"/>
  <c r="O99" i="374" s="1"/>
  <c r="O62" i="374"/>
  <c r="F898" i="88"/>
  <c r="F897" i="88"/>
  <c r="F900" i="88"/>
  <c r="F899" i="88"/>
  <c r="F902" i="88"/>
  <c r="F887" i="88"/>
  <c r="F889" i="88"/>
  <c r="N62" i="374"/>
  <c r="N64" i="374"/>
  <c r="L64" i="374"/>
  <c r="K64" i="374"/>
  <c r="J64" i="374"/>
  <c r="J65" i="374" s="1"/>
  <c r="J99" i="374" s="1"/>
  <c r="I64" i="374"/>
  <c r="AH64" i="374" s="1"/>
  <c r="F882" i="88"/>
  <c r="H64" i="374"/>
  <c r="AF63" i="374"/>
  <c r="F895" i="88"/>
  <c r="F881" i="88"/>
  <c r="L63" i="374"/>
  <c r="J63" i="374"/>
  <c r="K65" i="374"/>
  <c r="K99" i="374" s="1"/>
  <c r="K63" i="374"/>
  <c r="I63" i="374"/>
  <c r="F857" i="88"/>
  <c r="H63" i="374"/>
  <c r="F868" i="88"/>
  <c r="F76" i="374"/>
  <c r="F65" i="374"/>
  <c r="F60" i="374"/>
  <c r="F34" i="374"/>
  <c r="F31" i="374"/>
  <c r="F25" i="374"/>
  <c r="F22" i="374"/>
  <c r="F17" i="374"/>
  <c r="F893" i="88"/>
  <c r="F871" i="88"/>
  <c r="AC107" i="374"/>
  <c r="AB107" i="374"/>
  <c r="AA107" i="374"/>
  <c r="Z107" i="374"/>
  <c r="Y107" i="374"/>
  <c r="X107" i="374"/>
  <c r="W107" i="374"/>
  <c r="V107" i="374"/>
  <c r="U107" i="374"/>
  <c r="T107" i="374"/>
  <c r="S107" i="374"/>
  <c r="R107" i="374"/>
  <c r="Q107" i="374"/>
  <c r="P107" i="374"/>
  <c r="O107" i="374"/>
  <c r="N107" i="374"/>
  <c r="M107" i="374"/>
  <c r="L107" i="374"/>
  <c r="K107" i="374"/>
  <c r="J107" i="374"/>
  <c r="I107" i="374"/>
  <c r="H107" i="374"/>
  <c r="G107" i="374"/>
  <c r="F107" i="374"/>
  <c r="AC102" i="374"/>
  <c r="AB102" i="374"/>
  <c r="AA102" i="374"/>
  <c r="Z102" i="374"/>
  <c r="Y102" i="374"/>
  <c r="X102" i="374"/>
  <c r="W102" i="374"/>
  <c r="V102" i="374"/>
  <c r="U102" i="374"/>
  <c r="T102" i="374"/>
  <c r="S102" i="374"/>
  <c r="R102" i="374"/>
  <c r="Q102" i="374"/>
  <c r="P102" i="374"/>
  <c r="O102" i="374"/>
  <c r="N102" i="374"/>
  <c r="M102" i="374"/>
  <c r="L102" i="374"/>
  <c r="K102" i="374"/>
  <c r="J102" i="374"/>
  <c r="I102" i="374"/>
  <c r="H102" i="374"/>
  <c r="G102" i="374"/>
  <c r="F102" i="374"/>
  <c r="AA101" i="374"/>
  <c r="R101" i="374"/>
  <c r="F101" i="374"/>
  <c r="U100" i="374"/>
  <c r="T100" i="374"/>
  <c r="N100" i="374"/>
  <c r="AB99" i="374"/>
  <c r="AA99" i="374"/>
  <c r="H99" i="374"/>
  <c r="O96" i="374"/>
  <c r="N96" i="374"/>
  <c r="L96" i="374"/>
  <c r="Y93" i="374"/>
  <c r="F93" i="374"/>
  <c r="AB91" i="374"/>
  <c r="AC80" i="374"/>
  <c r="AC101" i="374" s="1"/>
  <c r="AB80" i="374"/>
  <c r="AB101" i="374" s="1"/>
  <c r="AA80" i="374"/>
  <c r="Z80" i="374"/>
  <c r="Z101" i="374" s="1"/>
  <c r="Y80" i="374"/>
  <c r="Y101" i="374" s="1"/>
  <c r="X80" i="374"/>
  <c r="X101" i="374" s="1"/>
  <c r="W80" i="374"/>
  <c r="W101" i="374" s="1"/>
  <c r="V80" i="374"/>
  <c r="V101" i="374" s="1"/>
  <c r="U80" i="374"/>
  <c r="U101" i="374" s="1"/>
  <c r="T80" i="374"/>
  <c r="T101" i="374" s="1"/>
  <c r="S80" i="374"/>
  <c r="S101" i="374" s="1"/>
  <c r="R80" i="374"/>
  <c r="Q80" i="374"/>
  <c r="Q101" i="374" s="1"/>
  <c r="P80" i="374"/>
  <c r="P101" i="374" s="1"/>
  <c r="O80" i="374"/>
  <c r="O101" i="374" s="1"/>
  <c r="N80" i="374"/>
  <c r="N101" i="374" s="1"/>
  <c r="M80" i="374"/>
  <c r="M101" i="374" s="1"/>
  <c r="L80" i="374"/>
  <c r="L101" i="374" s="1"/>
  <c r="K80" i="374"/>
  <c r="K101" i="374" s="1"/>
  <c r="J80" i="374"/>
  <c r="J101" i="374" s="1"/>
  <c r="I80" i="374"/>
  <c r="I101" i="374" s="1"/>
  <c r="H80" i="374"/>
  <c r="H101" i="374" s="1"/>
  <c r="G80" i="374"/>
  <c r="G101" i="374" s="1"/>
  <c r="F80" i="374"/>
  <c r="C80" i="374"/>
  <c r="B80" i="374"/>
  <c r="B25" i="374" s="1"/>
  <c r="AH79" i="374"/>
  <c r="AG79" i="374"/>
  <c r="AF79" i="374"/>
  <c r="AH78" i="374"/>
  <c r="AG78" i="374"/>
  <c r="AF78" i="374"/>
  <c r="AI77" i="374"/>
  <c r="AC76" i="374"/>
  <c r="AC100" i="374" s="1"/>
  <c r="AB76" i="374"/>
  <c r="AB100" i="374" s="1"/>
  <c r="AA76" i="374"/>
  <c r="AA100" i="374" s="1"/>
  <c r="Z76" i="374"/>
  <c r="Z100" i="374" s="1"/>
  <c r="Y76" i="374"/>
  <c r="Y100" i="374" s="1"/>
  <c r="X76" i="374"/>
  <c r="X100" i="374" s="1"/>
  <c r="W76" i="374"/>
  <c r="W100" i="374" s="1"/>
  <c r="V76" i="374"/>
  <c r="V100" i="374" s="1"/>
  <c r="U76" i="374"/>
  <c r="T76" i="374"/>
  <c r="S76" i="374"/>
  <c r="S100" i="374" s="1"/>
  <c r="R76" i="374"/>
  <c r="R100" i="374" s="1"/>
  <c r="Q76" i="374"/>
  <c r="Q100" i="374" s="1"/>
  <c r="P76" i="374"/>
  <c r="P100" i="374" s="1"/>
  <c r="O76" i="374"/>
  <c r="O100" i="374" s="1"/>
  <c r="N76" i="374"/>
  <c r="M76" i="374"/>
  <c r="M100" i="374" s="1"/>
  <c r="L76" i="374"/>
  <c r="L100" i="374" s="1"/>
  <c r="K76" i="374"/>
  <c r="K100" i="374" s="1"/>
  <c r="J76" i="374"/>
  <c r="J100" i="374" s="1"/>
  <c r="I76" i="374"/>
  <c r="I100" i="374" s="1"/>
  <c r="H76" i="374"/>
  <c r="H100" i="374" s="1"/>
  <c r="G76" i="374"/>
  <c r="G100" i="374" s="1"/>
  <c r="F100" i="374"/>
  <c r="C76" i="374"/>
  <c r="B76" i="374"/>
  <c r="AH75" i="374"/>
  <c r="AG75" i="374"/>
  <c r="AF75" i="374"/>
  <c r="AH74" i="374"/>
  <c r="AG74" i="374"/>
  <c r="AF74" i="374"/>
  <c r="AH73" i="374"/>
  <c r="AG73" i="374"/>
  <c r="AF73" i="374"/>
  <c r="AH72" i="374"/>
  <c r="AG72" i="374"/>
  <c r="AF72" i="374"/>
  <c r="AH71" i="374"/>
  <c r="AG71" i="374"/>
  <c r="AF71" i="374"/>
  <c r="AH70" i="374"/>
  <c r="AG70" i="374"/>
  <c r="AF70" i="374"/>
  <c r="AH69" i="374"/>
  <c r="AG69" i="374"/>
  <c r="AF69" i="374"/>
  <c r="AH68" i="374"/>
  <c r="AG68" i="374"/>
  <c r="AF68" i="374"/>
  <c r="AH67" i="374"/>
  <c r="AG67" i="374"/>
  <c r="AF67" i="374"/>
  <c r="AI66" i="374"/>
  <c r="AC65" i="374"/>
  <c r="AC99" i="374" s="1"/>
  <c r="AB65" i="374"/>
  <c r="AA65" i="374"/>
  <c r="Z65" i="374"/>
  <c r="Z99" i="374" s="1"/>
  <c r="Y65" i="374"/>
  <c r="Y99" i="374" s="1"/>
  <c r="X65" i="374"/>
  <c r="X99" i="374" s="1"/>
  <c r="W65" i="374"/>
  <c r="W99" i="374" s="1"/>
  <c r="V65" i="374"/>
  <c r="V99" i="374" s="1"/>
  <c r="U65" i="374"/>
  <c r="U99" i="374" s="1"/>
  <c r="T65" i="374"/>
  <c r="T99" i="374" s="1"/>
  <c r="S65" i="374"/>
  <c r="S99" i="374" s="1"/>
  <c r="R65" i="374"/>
  <c r="R99" i="374" s="1"/>
  <c r="Q65" i="374"/>
  <c r="Q99" i="374" s="1"/>
  <c r="P65" i="374"/>
  <c r="P99" i="374" s="1"/>
  <c r="I65" i="374"/>
  <c r="I99" i="374" s="1"/>
  <c r="H65" i="374"/>
  <c r="C65" i="374"/>
  <c r="B65" i="374"/>
  <c r="N65" i="374"/>
  <c r="N99" i="374" s="1"/>
  <c r="M65" i="374"/>
  <c r="M99" i="374" s="1"/>
  <c r="L65" i="374"/>
  <c r="L99" i="374" s="1"/>
  <c r="G65" i="374"/>
  <c r="G99" i="374" s="1"/>
  <c r="AC60" i="374"/>
  <c r="AC98" i="374" s="1"/>
  <c r="AB60" i="374"/>
  <c r="AB98" i="374" s="1"/>
  <c r="AA60" i="374"/>
  <c r="AA98" i="374" s="1"/>
  <c r="Z60" i="374"/>
  <c r="Z98" i="374" s="1"/>
  <c r="Y60" i="374"/>
  <c r="Y98" i="374" s="1"/>
  <c r="W60" i="374"/>
  <c r="W98" i="374" s="1"/>
  <c r="V60" i="374"/>
  <c r="V98" i="374" s="1"/>
  <c r="U60" i="374"/>
  <c r="U98" i="374" s="1"/>
  <c r="T60" i="374"/>
  <c r="T98" i="374" s="1"/>
  <c r="S60" i="374"/>
  <c r="S98" i="374" s="1"/>
  <c r="R60" i="374"/>
  <c r="R98" i="374" s="1"/>
  <c r="Q60" i="374"/>
  <c r="Q98" i="374" s="1"/>
  <c r="P60" i="374"/>
  <c r="P98" i="374" s="1"/>
  <c r="O60" i="374"/>
  <c r="O98" i="374" s="1"/>
  <c r="M60" i="374"/>
  <c r="M98" i="374" s="1"/>
  <c r="L60" i="374"/>
  <c r="L98" i="374" s="1"/>
  <c r="K60" i="374"/>
  <c r="K98" i="374" s="1"/>
  <c r="J60" i="374"/>
  <c r="J98" i="374" s="1"/>
  <c r="I60" i="374"/>
  <c r="I98" i="374" s="1"/>
  <c r="H60" i="374"/>
  <c r="H98" i="374" s="1"/>
  <c r="G60" i="374"/>
  <c r="G98" i="374" s="1"/>
  <c r="F98" i="374"/>
  <c r="C60" i="374"/>
  <c r="B60" i="374"/>
  <c r="AH59" i="374"/>
  <c r="AG59" i="374"/>
  <c r="AF59" i="374"/>
  <c r="AH58" i="374"/>
  <c r="AG58" i="374"/>
  <c r="AF58" i="374"/>
  <c r="AH57" i="374"/>
  <c r="AG57" i="374"/>
  <c r="AF57" i="374"/>
  <c r="AH56" i="374"/>
  <c r="AF51" i="374"/>
  <c r="AF50" i="374"/>
  <c r="AH49" i="374"/>
  <c r="AG49" i="374"/>
  <c r="AF49" i="374"/>
  <c r="AH48" i="374"/>
  <c r="AG48" i="374"/>
  <c r="X60" i="374"/>
  <c r="X98" i="374" s="1"/>
  <c r="AH46" i="374"/>
  <c r="AG46" i="374"/>
  <c r="AF46" i="374"/>
  <c r="AH45" i="374"/>
  <c r="AG45" i="374"/>
  <c r="AF45" i="374"/>
  <c r="AH44" i="374"/>
  <c r="AG44" i="374"/>
  <c r="AF44" i="374"/>
  <c r="AH43" i="374"/>
  <c r="AG43" i="374"/>
  <c r="AF43" i="374"/>
  <c r="AH42" i="374"/>
  <c r="AG42" i="374"/>
  <c r="AF42" i="374"/>
  <c r="AH41" i="374"/>
  <c r="AG41" i="374"/>
  <c r="AF41" i="374"/>
  <c r="AH40" i="374"/>
  <c r="AG40" i="374"/>
  <c r="AF40" i="374"/>
  <c r="AH39" i="374"/>
  <c r="AG39" i="374"/>
  <c r="AF39" i="374"/>
  <c r="AH38" i="374"/>
  <c r="AG38" i="374"/>
  <c r="AF38" i="374"/>
  <c r="AH37" i="374"/>
  <c r="AG37" i="374"/>
  <c r="AF37" i="374"/>
  <c r="AH36" i="374"/>
  <c r="AG36" i="374"/>
  <c r="AF36" i="374"/>
  <c r="AI35" i="374"/>
  <c r="AC34" i="374"/>
  <c r="AC96" i="374" s="1"/>
  <c r="AB34" i="374"/>
  <c r="AB96" i="374" s="1"/>
  <c r="AA34" i="374"/>
  <c r="AA96" i="374" s="1"/>
  <c r="Z34" i="374"/>
  <c r="Z96" i="374" s="1"/>
  <c r="Y34" i="374"/>
  <c r="Y96" i="374" s="1"/>
  <c r="X34" i="374"/>
  <c r="X96" i="374" s="1"/>
  <c r="W34" i="374"/>
  <c r="W96" i="374" s="1"/>
  <c r="V34" i="374"/>
  <c r="V96" i="374" s="1"/>
  <c r="U34" i="374"/>
  <c r="U96" i="374" s="1"/>
  <c r="T34" i="374"/>
  <c r="T96" i="374" s="1"/>
  <c r="S34" i="374"/>
  <c r="S96" i="374" s="1"/>
  <c r="R34" i="374"/>
  <c r="R96" i="374" s="1"/>
  <c r="Q34" i="374"/>
  <c r="Q96" i="374" s="1"/>
  <c r="P34" i="374"/>
  <c r="P96" i="374" s="1"/>
  <c r="O34" i="374"/>
  <c r="N34" i="374"/>
  <c r="M34" i="374"/>
  <c r="M96" i="374" s="1"/>
  <c r="L34" i="374"/>
  <c r="K34" i="374"/>
  <c r="K96" i="374" s="1"/>
  <c r="J34" i="374"/>
  <c r="J96" i="374" s="1"/>
  <c r="I34" i="374"/>
  <c r="I96" i="374" s="1"/>
  <c r="H34" i="374"/>
  <c r="H96" i="374" s="1"/>
  <c r="G34" i="374"/>
  <c r="G96" i="374" s="1"/>
  <c r="F96" i="374"/>
  <c r="C34" i="374"/>
  <c r="B34" i="374"/>
  <c r="AH33" i="374"/>
  <c r="AG33" i="374"/>
  <c r="AF33" i="374"/>
  <c r="AI32" i="374"/>
  <c r="AC31" i="374"/>
  <c r="AC93" i="374" s="1"/>
  <c r="AB31" i="374"/>
  <c r="AB93" i="374" s="1"/>
  <c r="AA31" i="374"/>
  <c r="AA93" i="374" s="1"/>
  <c r="Z31" i="374"/>
  <c r="Z93" i="374" s="1"/>
  <c r="Y31" i="374"/>
  <c r="X31" i="374"/>
  <c r="X93" i="374" s="1"/>
  <c r="W31" i="374"/>
  <c r="W93" i="374" s="1"/>
  <c r="V31" i="374"/>
  <c r="V93" i="374" s="1"/>
  <c r="U31" i="374"/>
  <c r="U93" i="374" s="1"/>
  <c r="T31" i="374"/>
  <c r="T93" i="374" s="1"/>
  <c r="S31" i="374"/>
  <c r="S93" i="374" s="1"/>
  <c r="R31" i="374"/>
  <c r="R93" i="374" s="1"/>
  <c r="Q31" i="374"/>
  <c r="Q93" i="374" s="1"/>
  <c r="P31" i="374"/>
  <c r="P93" i="374" s="1"/>
  <c r="O31" i="374"/>
  <c r="O93" i="374" s="1"/>
  <c r="N31" i="374"/>
  <c r="N93" i="374" s="1"/>
  <c r="M31" i="374"/>
  <c r="M93" i="374" s="1"/>
  <c r="L31" i="374"/>
  <c r="L93" i="374" s="1"/>
  <c r="K31" i="374"/>
  <c r="K93" i="374" s="1"/>
  <c r="J31" i="374"/>
  <c r="J93" i="374" s="1"/>
  <c r="I31" i="374"/>
  <c r="I93" i="374" s="1"/>
  <c r="H31" i="374"/>
  <c r="H93" i="374" s="1"/>
  <c r="G31" i="374"/>
  <c r="G93" i="374" s="1"/>
  <c r="C31" i="374"/>
  <c r="B31" i="374"/>
  <c r="AI28" i="374"/>
  <c r="AH28" i="374"/>
  <c r="AG28" i="374"/>
  <c r="AF28" i="374"/>
  <c r="AH27" i="374"/>
  <c r="AG27" i="374"/>
  <c r="AF27" i="374"/>
  <c r="AI26" i="374"/>
  <c r="AC25" i="374"/>
  <c r="AB25" i="374"/>
  <c r="AA25" i="374"/>
  <c r="Z25" i="374"/>
  <c r="Y25" i="374"/>
  <c r="X25" i="374"/>
  <c r="W25" i="374"/>
  <c r="V25" i="374"/>
  <c r="U25" i="374"/>
  <c r="T25" i="374"/>
  <c r="S25" i="374"/>
  <c r="R25" i="374"/>
  <c r="Q25" i="374"/>
  <c r="P25" i="374"/>
  <c r="O25" i="374"/>
  <c r="N25" i="374"/>
  <c r="M25" i="374"/>
  <c r="L25" i="374"/>
  <c r="L89" i="374" s="1"/>
  <c r="K25" i="374"/>
  <c r="J25" i="374"/>
  <c r="I25" i="374"/>
  <c r="H25" i="374"/>
  <c r="G25" i="374"/>
  <c r="F89" i="374"/>
  <c r="C25" i="374"/>
  <c r="AH24" i="374"/>
  <c r="AG24" i="374"/>
  <c r="AF24" i="374"/>
  <c r="AI23" i="374"/>
  <c r="AC22" i="374"/>
  <c r="AB22" i="374"/>
  <c r="AA22" i="374"/>
  <c r="Z22" i="374"/>
  <c r="Z89" i="374" s="1"/>
  <c r="Y22" i="374"/>
  <c r="Y89" i="374" s="1"/>
  <c r="X22" i="374"/>
  <c r="W22" i="374"/>
  <c r="W89" i="374" s="1"/>
  <c r="V22" i="374"/>
  <c r="U22" i="374"/>
  <c r="T22" i="374"/>
  <c r="S22" i="374"/>
  <c r="R22" i="374"/>
  <c r="Q22" i="374"/>
  <c r="P22" i="374"/>
  <c r="P89" i="374" s="1"/>
  <c r="O22" i="374"/>
  <c r="N22" i="374"/>
  <c r="M22" i="374"/>
  <c r="L22" i="374"/>
  <c r="K22" i="374"/>
  <c r="J22" i="374"/>
  <c r="I22" i="374"/>
  <c r="H22" i="374"/>
  <c r="G22" i="374"/>
  <c r="C22" i="374"/>
  <c r="B22" i="374"/>
  <c r="AH21" i="374"/>
  <c r="AG21" i="374"/>
  <c r="AF21" i="374"/>
  <c r="AH20" i="374"/>
  <c r="AG20" i="374"/>
  <c r="AF20" i="374"/>
  <c r="AH19" i="374"/>
  <c r="AG19" i="374"/>
  <c r="AF19" i="374"/>
  <c r="AI18" i="374"/>
  <c r="AC17" i="374"/>
  <c r="AB17" i="374"/>
  <c r="AA17" i="374"/>
  <c r="Z17" i="374"/>
  <c r="Y17" i="374"/>
  <c r="X17" i="374"/>
  <c r="W17" i="374"/>
  <c r="V17" i="374"/>
  <c r="V91" i="374" s="1"/>
  <c r="U17" i="374"/>
  <c r="U91" i="374" s="1"/>
  <c r="T17" i="374"/>
  <c r="T91" i="374" s="1"/>
  <c r="S17" i="374"/>
  <c r="S91" i="374" s="1"/>
  <c r="R17" i="374"/>
  <c r="R91" i="374" s="1"/>
  <c r="Q17" i="374"/>
  <c r="Q91" i="374" s="1"/>
  <c r="P17" i="374"/>
  <c r="O17" i="374"/>
  <c r="N17" i="374"/>
  <c r="M17" i="374"/>
  <c r="L17" i="374"/>
  <c r="K17" i="374"/>
  <c r="K91" i="374" s="1"/>
  <c r="J17" i="374"/>
  <c r="J91" i="374" s="1"/>
  <c r="I17" i="374"/>
  <c r="I110" i="374" s="1"/>
  <c r="H17" i="374"/>
  <c r="H91" i="374" s="1"/>
  <c r="G17" i="374"/>
  <c r="C17" i="374"/>
  <c r="B17" i="374"/>
  <c r="AH16" i="374"/>
  <c r="AG16" i="374"/>
  <c r="AF16" i="374"/>
  <c r="AH15" i="374"/>
  <c r="AG15" i="374"/>
  <c r="AF15" i="374"/>
  <c r="AH14" i="374"/>
  <c r="AG14" i="374"/>
  <c r="AF14" i="374"/>
  <c r="AH13" i="374"/>
  <c r="AG13" i="374"/>
  <c r="AF13" i="374"/>
  <c r="AI12" i="374"/>
  <c r="M9" i="374" a="1"/>
  <c r="M9" i="374" s="1"/>
  <c r="W552" i="260"/>
  <c r="F872" i="88"/>
  <c r="W551" i="260"/>
  <c r="F892" i="88"/>
  <c r="F891" i="88"/>
  <c r="F890" i="88"/>
  <c r="F888" i="88"/>
  <c r="W550" i="260"/>
  <c r="F876" i="88"/>
  <c r="F875" i="88"/>
  <c r="W549" i="260"/>
  <c r="F863" i="88"/>
  <c r="F874" i="88"/>
  <c r="F885" i="88"/>
  <c r="F886" i="88"/>
  <c r="W548" i="260"/>
  <c r="F861" i="88"/>
  <c r="Y60" i="373"/>
  <c r="Y98" i="373" s="1"/>
  <c r="X56" i="373"/>
  <c r="AF56" i="373" s="1"/>
  <c r="X51" i="373"/>
  <c r="X50" i="373"/>
  <c r="X48" i="373"/>
  <c r="X47" i="373"/>
  <c r="AI547" i="260"/>
  <c r="W547" i="260"/>
  <c r="F879" i="88"/>
  <c r="F880" i="88"/>
  <c r="F883" i="88"/>
  <c r="F884" i="88"/>
  <c r="W546" i="260"/>
  <c r="AI545" i="260"/>
  <c r="W545" i="260"/>
  <c r="AI544" i="260"/>
  <c r="W544" i="260"/>
  <c r="W543" i="260"/>
  <c r="W542" i="260"/>
  <c r="F862" i="88"/>
  <c r="F859" i="88"/>
  <c r="W541" i="260"/>
  <c r="F873" i="88"/>
  <c r="F877" i="88"/>
  <c r="F878" i="88"/>
  <c r="W540" i="260"/>
  <c r="P65" i="373"/>
  <c r="P99" i="373" s="1"/>
  <c r="W539" i="260"/>
  <c r="O64" i="373"/>
  <c r="O63" i="373"/>
  <c r="F869" i="88"/>
  <c r="F867" i="88"/>
  <c r="F866" i="88"/>
  <c r="F865" i="88"/>
  <c r="F870" i="88"/>
  <c r="N47" i="373"/>
  <c r="N51" i="373"/>
  <c r="N50" i="373"/>
  <c r="AG47" i="373"/>
  <c r="N64" i="373"/>
  <c r="N63" i="373"/>
  <c r="AF63" i="373"/>
  <c r="M64" i="373"/>
  <c r="M63" i="373"/>
  <c r="F864" i="88"/>
  <c r="F860" i="88"/>
  <c r="F852" i="88"/>
  <c r="F842" i="88"/>
  <c r="L63" i="373"/>
  <c r="G63" i="373"/>
  <c r="F853" i="88"/>
  <c r="L62" i="373"/>
  <c r="F858" i="88"/>
  <c r="F820" i="88"/>
  <c r="G62" i="373"/>
  <c r="F844" i="88"/>
  <c r="F64" i="373"/>
  <c r="F62" i="373"/>
  <c r="AC107" i="373"/>
  <c r="AB107" i="373"/>
  <c r="AA107" i="373"/>
  <c r="Z107" i="373"/>
  <c r="Y107" i="373"/>
  <c r="X107" i="373"/>
  <c r="W107" i="373"/>
  <c r="V107" i="373"/>
  <c r="U107" i="373"/>
  <c r="T107" i="373"/>
  <c r="S107" i="373"/>
  <c r="R107" i="373"/>
  <c r="Q107" i="373"/>
  <c r="P107" i="373"/>
  <c r="O107" i="373"/>
  <c r="N107" i="373"/>
  <c r="M107" i="373"/>
  <c r="L107" i="373"/>
  <c r="K107" i="373"/>
  <c r="J107" i="373"/>
  <c r="I107" i="373"/>
  <c r="H107" i="373"/>
  <c r="G107" i="373"/>
  <c r="F107" i="373"/>
  <c r="AC102" i="373"/>
  <c r="AB102" i="373"/>
  <c r="AA102" i="373"/>
  <c r="Z102" i="373"/>
  <c r="Y102" i="373"/>
  <c r="X102" i="373"/>
  <c r="W102" i="373"/>
  <c r="V102" i="373"/>
  <c r="U102" i="373"/>
  <c r="T102" i="373"/>
  <c r="S102" i="373"/>
  <c r="R102" i="373"/>
  <c r="Q102" i="373"/>
  <c r="P102" i="373"/>
  <c r="O102" i="373"/>
  <c r="N102" i="373"/>
  <c r="M102" i="373"/>
  <c r="L102" i="373"/>
  <c r="K102" i="373"/>
  <c r="J102" i="373"/>
  <c r="I102" i="373"/>
  <c r="H102" i="373"/>
  <c r="G102" i="373"/>
  <c r="F102" i="373"/>
  <c r="Z101" i="373"/>
  <c r="V100" i="373"/>
  <c r="U100" i="373"/>
  <c r="R100" i="373"/>
  <c r="AC99" i="373"/>
  <c r="AB99" i="373"/>
  <c r="K93" i="373"/>
  <c r="Y91" i="373"/>
  <c r="V91" i="373"/>
  <c r="V109" i="373" s="1"/>
  <c r="I89" i="373"/>
  <c r="H89" i="373"/>
  <c r="G89" i="373"/>
  <c r="AC80" i="373"/>
  <c r="AC101" i="373" s="1"/>
  <c r="AB80" i="373"/>
  <c r="AB101" i="373" s="1"/>
  <c r="AA80" i="373"/>
  <c r="AA101" i="373" s="1"/>
  <c r="Z80" i="373"/>
  <c r="Y80" i="373"/>
  <c r="Y101" i="373" s="1"/>
  <c r="X80" i="373"/>
  <c r="X101" i="373" s="1"/>
  <c r="W80" i="373"/>
  <c r="W101" i="373" s="1"/>
  <c r="V80" i="373"/>
  <c r="V101" i="373" s="1"/>
  <c r="U80" i="373"/>
  <c r="U101" i="373" s="1"/>
  <c r="T80" i="373"/>
  <c r="T101" i="373" s="1"/>
  <c r="S80" i="373"/>
  <c r="S101" i="373" s="1"/>
  <c r="R80" i="373"/>
  <c r="R101" i="373" s="1"/>
  <c r="Q80" i="373"/>
  <c r="Q101" i="373" s="1"/>
  <c r="P80" i="373"/>
  <c r="P101" i="373" s="1"/>
  <c r="O80" i="373"/>
  <c r="O101" i="373" s="1"/>
  <c r="N80" i="373"/>
  <c r="N101" i="373" s="1"/>
  <c r="M80" i="373"/>
  <c r="M101" i="373" s="1"/>
  <c r="L80" i="373"/>
  <c r="L101" i="373" s="1"/>
  <c r="K80" i="373"/>
  <c r="K101" i="373" s="1"/>
  <c r="J80" i="373"/>
  <c r="J101" i="373" s="1"/>
  <c r="I80" i="373"/>
  <c r="I101" i="373" s="1"/>
  <c r="H80" i="373"/>
  <c r="H101" i="373" s="1"/>
  <c r="G80" i="373"/>
  <c r="G101" i="373" s="1"/>
  <c r="F80" i="373"/>
  <c r="F101" i="373" s="1"/>
  <c r="C80" i="373"/>
  <c r="B80" i="373"/>
  <c r="B25" i="373" s="1"/>
  <c r="AH79" i="373"/>
  <c r="AG79" i="373"/>
  <c r="AF79" i="373"/>
  <c r="AH78" i="373"/>
  <c r="AG78" i="373"/>
  <c r="AF78" i="373"/>
  <c r="AI77" i="373"/>
  <c r="AC76" i="373"/>
  <c r="AC100" i="373" s="1"/>
  <c r="AB76" i="373"/>
  <c r="AB100" i="373" s="1"/>
  <c r="AA76" i="373"/>
  <c r="AA100" i="373" s="1"/>
  <c r="Z76" i="373"/>
  <c r="Z100" i="373" s="1"/>
  <c r="Y76" i="373"/>
  <c r="Y100" i="373" s="1"/>
  <c r="X76" i="373"/>
  <c r="X100" i="373" s="1"/>
  <c r="W76" i="373"/>
  <c r="W100" i="373" s="1"/>
  <c r="V76" i="373"/>
  <c r="U76" i="373"/>
  <c r="T76" i="373"/>
  <c r="T100" i="373" s="1"/>
  <c r="S76" i="373"/>
  <c r="S100" i="373" s="1"/>
  <c r="R76" i="373"/>
  <c r="Q76" i="373"/>
  <c r="Q100" i="373" s="1"/>
  <c r="P76" i="373"/>
  <c r="P100" i="373" s="1"/>
  <c r="O76" i="373"/>
  <c r="O100" i="373" s="1"/>
  <c r="N76" i="373"/>
  <c r="N100" i="373" s="1"/>
  <c r="M76" i="373"/>
  <c r="M100" i="373" s="1"/>
  <c r="L76" i="373"/>
  <c r="L100" i="373" s="1"/>
  <c r="K76" i="373"/>
  <c r="K100" i="373" s="1"/>
  <c r="J76" i="373"/>
  <c r="J100" i="373" s="1"/>
  <c r="I76" i="373"/>
  <c r="I100" i="373" s="1"/>
  <c r="H76" i="373"/>
  <c r="H100" i="373" s="1"/>
  <c r="G76" i="373"/>
  <c r="G100" i="373" s="1"/>
  <c r="F76" i="373"/>
  <c r="F100" i="373" s="1"/>
  <c r="C76" i="373"/>
  <c r="B76" i="373"/>
  <c r="AH75" i="373"/>
  <c r="AG75" i="373"/>
  <c r="AF75" i="373"/>
  <c r="AH74" i="373"/>
  <c r="AG74" i="373"/>
  <c r="AF74" i="373"/>
  <c r="AH73" i="373"/>
  <c r="AG73" i="373"/>
  <c r="AF73" i="373"/>
  <c r="AH72" i="373"/>
  <c r="AG72" i="373"/>
  <c r="AF72" i="373"/>
  <c r="AH71" i="373"/>
  <c r="AG71" i="373"/>
  <c r="AF71" i="373"/>
  <c r="AH70" i="373"/>
  <c r="AG70" i="373"/>
  <c r="AF70" i="373"/>
  <c r="AH69" i="373"/>
  <c r="AG69" i="373"/>
  <c r="AF69" i="373"/>
  <c r="AH68" i="373"/>
  <c r="AG68" i="373"/>
  <c r="AF68" i="373"/>
  <c r="AH67" i="373"/>
  <c r="AG67" i="373"/>
  <c r="AF67" i="373"/>
  <c r="AI66" i="373"/>
  <c r="AC65" i="373"/>
  <c r="AB65" i="373"/>
  <c r="AA65" i="373"/>
  <c r="AA99" i="373" s="1"/>
  <c r="Z65" i="373"/>
  <c r="Z99" i="373" s="1"/>
  <c r="Y65" i="373"/>
  <c r="Y99" i="373" s="1"/>
  <c r="X65" i="373"/>
  <c r="X99" i="373" s="1"/>
  <c r="U65" i="373"/>
  <c r="U99" i="373" s="1"/>
  <c r="T65" i="373"/>
  <c r="T99" i="373" s="1"/>
  <c r="S65" i="373"/>
  <c r="S99" i="373" s="1"/>
  <c r="R65" i="373"/>
  <c r="R99" i="373" s="1"/>
  <c r="Q65" i="373"/>
  <c r="Q99" i="373" s="1"/>
  <c r="O65" i="373"/>
  <c r="O99" i="373" s="1"/>
  <c r="L65" i="373"/>
  <c r="L99" i="373" s="1"/>
  <c r="K65" i="373"/>
  <c r="K99" i="373" s="1"/>
  <c r="J65" i="373"/>
  <c r="J99" i="373" s="1"/>
  <c r="I65" i="373"/>
  <c r="I99" i="373" s="1"/>
  <c r="H65" i="373"/>
  <c r="H99" i="373" s="1"/>
  <c r="C65" i="373"/>
  <c r="B65" i="373"/>
  <c r="W65" i="373"/>
  <c r="W99" i="373" s="1"/>
  <c r="V65" i="373"/>
  <c r="V99" i="373" s="1"/>
  <c r="AC60" i="373"/>
  <c r="AC98" i="373" s="1"/>
  <c r="AA60" i="373"/>
  <c r="AA98" i="373" s="1"/>
  <c r="Z60" i="373"/>
  <c r="Z98" i="373" s="1"/>
  <c r="X60" i="373"/>
  <c r="X98" i="373" s="1"/>
  <c r="W60" i="373"/>
  <c r="W98" i="373" s="1"/>
  <c r="V60" i="373"/>
  <c r="V98" i="373" s="1"/>
  <c r="U60" i="373"/>
  <c r="U98" i="373" s="1"/>
  <c r="S60" i="373"/>
  <c r="S98" i="373" s="1"/>
  <c r="R60" i="373"/>
  <c r="R98" i="373" s="1"/>
  <c r="Q60" i="373"/>
  <c r="Q98" i="373" s="1"/>
  <c r="P60" i="373"/>
  <c r="P98" i="373" s="1"/>
  <c r="O60" i="373"/>
  <c r="O98" i="373" s="1"/>
  <c r="M60" i="373"/>
  <c r="M98" i="373" s="1"/>
  <c r="L60" i="373"/>
  <c r="L98" i="373" s="1"/>
  <c r="K60" i="373"/>
  <c r="K98" i="373" s="1"/>
  <c r="J60" i="373"/>
  <c r="J98" i="373" s="1"/>
  <c r="I60" i="373"/>
  <c r="I98" i="373" s="1"/>
  <c r="H60" i="373"/>
  <c r="H98" i="373" s="1"/>
  <c r="G60" i="373"/>
  <c r="G98" i="373" s="1"/>
  <c r="F60" i="373"/>
  <c r="F98" i="373" s="1"/>
  <c r="C60" i="373"/>
  <c r="B60" i="373"/>
  <c r="AH59" i="373"/>
  <c r="AG59" i="373"/>
  <c r="AF59" i="373"/>
  <c r="AH58" i="373"/>
  <c r="AG58" i="373"/>
  <c r="AF58" i="373"/>
  <c r="AH57" i="373"/>
  <c r="AG57" i="373"/>
  <c r="AF57" i="373"/>
  <c r="AG51" i="373"/>
  <c r="AF51" i="373"/>
  <c r="AH51" i="373"/>
  <c r="AB60" i="373"/>
  <c r="AB98" i="373" s="1"/>
  <c r="AH50" i="373"/>
  <c r="AH49" i="373"/>
  <c r="AG49" i="373"/>
  <c r="AF49" i="373"/>
  <c r="AF48" i="373"/>
  <c r="AH46" i="373"/>
  <c r="AG46" i="373"/>
  <c r="AF46" i="373"/>
  <c r="AH45" i="373"/>
  <c r="AG45" i="373"/>
  <c r="AF45" i="373"/>
  <c r="AH44" i="373"/>
  <c r="AG44" i="373"/>
  <c r="AF44" i="373"/>
  <c r="AH43" i="373"/>
  <c r="AG43" i="373"/>
  <c r="AF43" i="373"/>
  <c r="AH42" i="373"/>
  <c r="AG42" i="373"/>
  <c r="AF42" i="373"/>
  <c r="AH41" i="373"/>
  <c r="AG41" i="373"/>
  <c r="AF41" i="373"/>
  <c r="AH40" i="373"/>
  <c r="AG40" i="373"/>
  <c r="AF40" i="373"/>
  <c r="AH39" i="373"/>
  <c r="AG39" i="373"/>
  <c r="AF39" i="373"/>
  <c r="AH38" i="373"/>
  <c r="AG38" i="373"/>
  <c r="AF38" i="373"/>
  <c r="AH37" i="373"/>
  <c r="AG37" i="373"/>
  <c r="AF37" i="373"/>
  <c r="AH36" i="373"/>
  <c r="AG36" i="373"/>
  <c r="AF36" i="373"/>
  <c r="AI35" i="373"/>
  <c r="AC34" i="373"/>
  <c r="AC96" i="373" s="1"/>
  <c r="AB34" i="373"/>
  <c r="AA34" i="373"/>
  <c r="AA96" i="373" s="1"/>
  <c r="Z34" i="373"/>
  <c r="Z96" i="373" s="1"/>
  <c r="Y34" i="373"/>
  <c r="Y96" i="373" s="1"/>
  <c r="X34" i="373"/>
  <c r="X96" i="373" s="1"/>
  <c r="W34" i="373"/>
  <c r="W96" i="373" s="1"/>
  <c r="V34" i="373"/>
  <c r="V96" i="373" s="1"/>
  <c r="U34" i="373"/>
  <c r="U96" i="373" s="1"/>
  <c r="T34" i="373"/>
  <c r="T96" i="373" s="1"/>
  <c r="S34" i="373"/>
  <c r="S96" i="373" s="1"/>
  <c r="R34" i="373"/>
  <c r="R96" i="373" s="1"/>
  <c r="Q34" i="373"/>
  <c r="Q96" i="373" s="1"/>
  <c r="P34" i="373"/>
  <c r="P96" i="373" s="1"/>
  <c r="O34" i="373"/>
  <c r="O96" i="373" s="1"/>
  <c r="N34" i="373"/>
  <c r="N96" i="373" s="1"/>
  <c r="M34" i="373"/>
  <c r="M96" i="373" s="1"/>
  <c r="L34" i="373"/>
  <c r="L96" i="373" s="1"/>
  <c r="K34" i="373"/>
  <c r="K96" i="373" s="1"/>
  <c r="J34" i="373"/>
  <c r="J96" i="373" s="1"/>
  <c r="I34" i="373"/>
  <c r="I96" i="373" s="1"/>
  <c r="H34" i="373"/>
  <c r="H96" i="373" s="1"/>
  <c r="G34" i="373"/>
  <c r="G96" i="373" s="1"/>
  <c r="F34" i="373"/>
  <c r="C34" i="373"/>
  <c r="B34" i="373"/>
  <c r="AH33" i="373"/>
  <c r="AG33" i="373"/>
  <c r="AF33" i="373"/>
  <c r="AI32" i="373"/>
  <c r="AC31" i="373"/>
  <c r="AC93" i="373" s="1"/>
  <c r="AB31" i="373"/>
  <c r="AB93" i="373" s="1"/>
  <c r="AA31" i="373"/>
  <c r="AA93" i="373" s="1"/>
  <c r="Z31" i="373"/>
  <c r="Z93" i="373" s="1"/>
  <c r="Y31" i="373"/>
  <c r="Y93" i="373" s="1"/>
  <c r="X31" i="373"/>
  <c r="X93" i="373" s="1"/>
  <c r="W31" i="373"/>
  <c r="W93" i="373" s="1"/>
  <c r="V31" i="373"/>
  <c r="V93" i="373" s="1"/>
  <c r="U31" i="373"/>
  <c r="U93" i="373" s="1"/>
  <c r="T31" i="373"/>
  <c r="T93" i="373" s="1"/>
  <c r="S31" i="373"/>
  <c r="S93" i="373" s="1"/>
  <c r="R31" i="373"/>
  <c r="R93" i="373" s="1"/>
  <c r="Q31" i="373"/>
  <c r="Q93" i="373" s="1"/>
  <c r="P31" i="373"/>
  <c r="P93" i="373" s="1"/>
  <c r="O31" i="373"/>
  <c r="O93" i="373" s="1"/>
  <c r="N31" i="373"/>
  <c r="N93" i="373" s="1"/>
  <c r="M31" i="373"/>
  <c r="M93" i="373" s="1"/>
  <c r="L31" i="373"/>
  <c r="L93" i="373" s="1"/>
  <c r="K31" i="373"/>
  <c r="J31" i="373"/>
  <c r="J93" i="373" s="1"/>
  <c r="I31" i="373"/>
  <c r="I93" i="373" s="1"/>
  <c r="H31" i="373"/>
  <c r="H93" i="373" s="1"/>
  <c r="G31" i="373"/>
  <c r="G93" i="373" s="1"/>
  <c r="F31" i="373"/>
  <c r="F93" i="373" s="1"/>
  <c r="C31" i="373"/>
  <c r="B31" i="373"/>
  <c r="AI28" i="373"/>
  <c r="AH28" i="373"/>
  <c r="AG28" i="373"/>
  <c r="AF28" i="373"/>
  <c r="AH27" i="373"/>
  <c r="AG27" i="373"/>
  <c r="AF27" i="373"/>
  <c r="AI26" i="373"/>
  <c r="AC25" i="373"/>
  <c r="AB25" i="373"/>
  <c r="AA25" i="373"/>
  <c r="Z25" i="373"/>
  <c r="Y25" i="373"/>
  <c r="X25" i="373"/>
  <c r="W25" i="373"/>
  <c r="V25" i="373"/>
  <c r="U25" i="373"/>
  <c r="T25" i="373"/>
  <c r="S25" i="373"/>
  <c r="R25" i="373"/>
  <c r="Q25" i="373"/>
  <c r="P25" i="373"/>
  <c r="O25" i="373"/>
  <c r="O89" i="373" s="1"/>
  <c r="N25" i="373"/>
  <c r="M25" i="373"/>
  <c r="L25" i="373"/>
  <c r="K25" i="373"/>
  <c r="J25" i="373"/>
  <c r="J89" i="373" s="1"/>
  <c r="I25" i="373"/>
  <c r="H25" i="373"/>
  <c r="G25" i="373"/>
  <c r="F25" i="373"/>
  <c r="C25" i="373"/>
  <c r="AH24" i="373"/>
  <c r="AG24" i="373"/>
  <c r="AF24" i="373"/>
  <c r="AI23" i="373"/>
  <c r="AC22" i="373"/>
  <c r="AB22" i="373"/>
  <c r="AA22" i="373"/>
  <c r="Z22" i="373"/>
  <c r="Z89" i="373" s="1"/>
  <c r="Y22" i="373"/>
  <c r="Y89" i="373" s="1"/>
  <c r="X22" i="373"/>
  <c r="W22" i="373"/>
  <c r="V22" i="373"/>
  <c r="V89" i="373" s="1"/>
  <c r="U22" i="373"/>
  <c r="T22" i="373"/>
  <c r="S22" i="373"/>
  <c r="R22" i="373"/>
  <c r="Q22" i="373"/>
  <c r="P22" i="373"/>
  <c r="O22" i="373"/>
  <c r="N22" i="373"/>
  <c r="M22" i="373"/>
  <c r="L22" i="373"/>
  <c r="K22" i="373"/>
  <c r="J22" i="373"/>
  <c r="I22" i="373"/>
  <c r="H22" i="373"/>
  <c r="G22" i="373"/>
  <c r="F22" i="373"/>
  <c r="F89" i="373" s="1"/>
  <c r="C22" i="373"/>
  <c r="B22" i="373"/>
  <c r="AH21" i="373"/>
  <c r="AG21" i="373"/>
  <c r="AF21" i="373"/>
  <c r="AH20" i="373"/>
  <c r="AG20" i="373"/>
  <c r="AF20" i="373"/>
  <c r="AH19" i="373"/>
  <c r="AG19" i="373"/>
  <c r="AF19" i="373"/>
  <c r="AI18" i="373"/>
  <c r="AC17" i="373"/>
  <c r="AC91" i="373" s="1"/>
  <c r="AB17" i="373"/>
  <c r="AA17" i="373"/>
  <c r="Z17" i="373"/>
  <c r="Z91" i="373" s="1"/>
  <c r="Y17" i="373"/>
  <c r="X17" i="373"/>
  <c r="X91" i="373" s="1"/>
  <c r="W17" i="373"/>
  <c r="W91" i="373" s="1"/>
  <c r="W109" i="373" s="1"/>
  <c r="V17" i="373"/>
  <c r="U17" i="373"/>
  <c r="T17" i="373"/>
  <c r="T91" i="373" s="1"/>
  <c r="S17" i="373"/>
  <c r="R17" i="373"/>
  <c r="R91" i="373" s="1"/>
  <c r="Q17" i="373"/>
  <c r="Q91" i="373" s="1"/>
  <c r="P17" i="373"/>
  <c r="P91" i="373" s="1"/>
  <c r="O17" i="373"/>
  <c r="O91" i="373" s="1"/>
  <c r="N17" i="373"/>
  <c r="N91" i="373" s="1"/>
  <c r="M17" i="373"/>
  <c r="M91" i="373" s="1"/>
  <c r="L17" i="373"/>
  <c r="L91" i="373" s="1"/>
  <c r="K17" i="373"/>
  <c r="K91" i="373" s="1"/>
  <c r="J17" i="373"/>
  <c r="J91" i="373" s="1"/>
  <c r="I17" i="373"/>
  <c r="I91" i="373" s="1"/>
  <c r="H17" i="373"/>
  <c r="G17" i="373"/>
  <c r="F17" i="373"/>
  <c r="C17" i="373"/>
  <c r="C83" i="373" s="1"/>
  <c r="B17" i="373"/>
  <c r="B83" i="373" s="1"/>
  <c r="AH16" i="373"/>
  <c r="AG16" i="373"/>
  <c r="AF16" i="373"/>
  <c r="AH15" i="373"/>
  <c r="AG15" i="373"/>
  <c r="AF15" i="373"/>
  <c r="AH14" i="373"/>
  <c r="AG14" i="373"/>
  <c r="AF14" i="373"/>
  <c r="AH13" i="373"/>
  <c r="AG13" i="373"/>
  <c r="AF13" i="373"/>
  <c r="AI12" i="373"/>
  <c r="M9" i="373" a="1"/>
  <c r="M9" i="373" s="1"/>
  <c r="F855" i="88"/>
  <c r="F856" i="88"/>
  <c r="F854" i="88"/>
  <c r="AQ527" i="260" a="1"/>
  <c r="A628" i="79" l="1"/>
  <c r="C626" i="79"/>
  <c r="C627" i="79"/>
  <c r="A629" i="79"/>
  <c r="AC109" i="375"/>
  <c r="AC89" i="375"/>
  <c r="AB89" i="375"/>
  <c r="AA89" i="375"/>
  <c r="Z89" i="375"/>
  <c r="Y89" i="375"/>
  <c r="W89" i="375"/>
  <c r="V89" i="375"/>
  <c r="S89" i="375"/>
  <c r="S103" i="375" s="1"/>
  <c r="S108" i="375" s="1"/>
  <c r="R89" i="375"/>
  <c r="J89" i="375"/>
  <c r="H89" i="375"/>
  <c r="Z103" i="375"/>
  <c r="Z108" i="375" s="1"/>
  <c r="W103" i="375"/>
  <c r="W108" i="375" s="1"/>
  <c r="AA103" i="375"/>
  <c r="AA108" i="375" s="1"/>
  <c r="I109" i="375"/>
  <c r="I103" i="375"/>
  <c r="I108" i="375" s="1"/>
  <c r="U109" i="375"/>
  <c r="V109" i="375"/>
  <c r="N89" i="375"/>
  <c r="W109" i="375"/>
  <c r="X109" i="375"/>
  <c r="P89" i="375"/>
  <c r="Y109" i="375"/>
  <c r="Q89" i="375"/>
  <c r="Z109" i="375"/>
  <c r="AA109" i="375"/>
  <c r="AB109" i="375"/>
  <c r="H109" i="375"/>
  <c r="AB103" i="375"/>
  <c r="AB108" i="375" s="1"/>
  <c r="T109" i="375"/>
  <c r="F83" i="375"/>
  <c r="K103" i="375"/>
  <c r="K108" i="375" s="1"/>
  <c r="Z83" i="375"/>
  <c r="AA110" i="375"/>
  <c r="H110" i="375"/>
  <c r="AB110" i="375"/>
  <c r="F91" i="375"/>
  <c r="F109" i="375" s="1"/>
  <c r="J103" i="375"/>
  <c r="J108" i="375" s="1"/>
  <c r="O89" i="375"/>
  <c r="G110" i="375"/>
  <c r="I110" i="375"/>
  <c r="AC110" i="375"/>
  <c r="G91" i="375"/>
  <c r="G109" i="375" s="1"/>
  <c r="S109" i="375"/>
  <c r="P83" i="375"/>
  <c r="P91" i="375"/>
  <c r="P109" i="375" s="1"/>
  <c r="P110" i="375"/>
  <c r="T103" i="375"/>
  <c r="T108" i="375" s="1"/>
  <c r="G83" i="375"/>
  <c r="Q91" i="375"/>
  <c r="Q109" i="375" s="1"/>
  <c r="Q83" i="375"/>
  <c r="Q110" i="375"/>
  <c r="U103" i="375"/>
  <c r="U108" i="375" s="1"/>
  <c r="L103" i="375"/>
  <c r="L108" i="375" s="1"/>
  <c r="J109" i="375"/>
  <c r="X103" i="375"/>
  <c r="X108" i="375" s="1"/>
  <c r="AH64" i="375"/>
  <c r="Y103" i="375"/>
  <c r="Y108" i="375" s="1"/>
  <c r="O91" i="375"/>
  <c r="O109" i="375" s="1"/>
  <c r="AC65" i="375"/>
  <c r="AC99" i="375" s="1"/>
  <c r="AC103" i="375" s="1"/>
  <c r="AC108" i="375" s="1"/>
  <c r="K109" i="375"/>
  <c r="AG64" i="375"/>
  <c r="AI61" i="375"/>
  <c r="AH63" i="375"/>
  <c r="AG63" i="375"/>
  <c r="AF63" i="375"/>
  <c r="H65" i="375"/>
  <c r="H99" i="375" s="1"/>
  <c r="N91" i="375"/>
  <c r="N109" i="375" s="1"/>
  <c r="N83" i="375"/>
  <c r="R91" i="375"/>
  <c r="R109" i="375" s="1"/>
  <c r="R83" i="375"/>
  <c r="R110" i="375"/>
  <c r="V103" i="375"/>
  <c r="V108" i="375" s="1"/>
  <c r="M83" i="375"/>
  <c r="M89" i="375"/>
  <c r="M103" i="375" s="1"/>
  <c r="M108" i="375" s="1"/>
  <c r="I83" i="375"/>
  <c r="L109" i="375"/>
  <c r="T83" i="375"/>
  <c r="M109" i="375"/>
  <c r="K110" i="375"/>
  <c r="V83" i="375"/>
  <c r="AA83" i="375"/>
  <c r="L110" i="375"/>
  <c r="W83" i="375"/>
  <c r="AB83" i="375"/>
  <c r="M110" i="375"/>
  <c r="K83" i="375"/>
  <c r="U83" i="375"/>
  <c r="B83" i="375"/>
  <c r="X83" i="375"/>
  <c r="N110" i="375"/>
  <c r="S83" i="375"/>
  <c r="S110" i="375"/>
  <c r="J83" i="375"/>
  <c r="J110" i="375"/>
  <c r="L83" i="375"/>
  <c r="C83" i="375"/>
  <c r="Y83" i="375"/>
  <c r="F103" i="375"/>
  <c r="F108" i="375" s="1"/>
  <c r="O110" i="375"/>
  <c r="T110" i="375"/>
  <c r="U110" i="375"/>
  <c r="V110" i="375"/>
  <c r="W110" i="375"/>
  <c r="X110" i="375"/>
  <c r="O65" i="375"/>
  <c r="O99" i="375" s="1"/>
  <c r="Y110" i="375"/>
  <c r="F110" i="375"/>
  <c r="Z110" i="375"/>
  <c r="AF62" i="375"/>
  <c r="AC110" i="374"/>
  <c r="AB83" i="374"/>
  <c r="AA83" i="374"/>
  <c r="X89" i="374"/>
  <c r="V89" i="374"/>
  <c r="U89" i="374"/>
  <c r="S109" i="374"/>
  <c r="S89" i="374"/>
  <c r="R89" i="374"/>
  <c r="Q89" i="374"/>
  <c r="O89" i="374"/>
  <c r="L110" i="374"/>
  <c r="AH62" i="374"/>
  <c r="H83" i="374"/>
  <c r="G83" i="374"/>
  <c r="J109" i="374"/>
  <c r="T109" i="374"/>
  <c r="U109" i="374"/>
  <c r="V109" i="374"/>
  <c r="R109" i="374"/>
  <c r="J83" i="374"/>
  <c r="K83" i="374"/>
  <c r="Q109" i="374"/>
  <c r="V110" i="374"/>
  <c r="M89" i="374"/>
  <c r="AC91" i="374"/>
  <c r="AC109" i="374" s="1"/>
  <c r="AB109" i="374"/>
  <c r="AC83" i="374"/>
  <c r="N89" i="374"/>
  <c r="N103" i="374" s="1"/>
  <c r="N108" i="374" s="1"/>
  <c r="H109" i="374"/>
  <c r="I91" i="374"/>
  <c r="I109" i="374" s="1"/>
  <c r="X110" i="374"/>
  <c r="W110" i="374"/>
  <c r="L91" i="374"/>
  <c r="L103" i="374" s="1"/>
  <c r="L108" i="374" s="1"/>
  <c r="I83" i="374"/>
  <c r="Z110" i="374"/>
  <c r="K89" i="374"/>
  <c r="K103" i="374" s="1"/>
  <c r="K108" i="374" s="1"/>
  <c r="K110" i="374"/>
  <c r="U83" i="374"/>
  <c r="F110" i="374"/>
  <c r="H110" i="374"/>
  <c r="AB110" i="374"/>
  <c r="AI36" i="374"/>
  <c r="N60" i="374"/>
  <c r="N98" i="374" s="1"/>
  <c r="AH47" i="374"/>
  <c r="AG47" i="374"/>
  <c r="AF47" i="374"/>
  <c r="AF64" i="374"/>
  <c r="O91" i="374"/>
  <c r="O109" i="374" s="1"/>
  <c r="O83" i="374"/>
  <c r="O110" i="374"/>
  <c r="U103" i="374"/>
  <c r="U108" i="374" s="1"/>
  <c r="R83" i="374"/>
  <c r="S83" i="374"/>
  <c r="C83" i="374"/>
  <c r="Y83" i="374"/>
  <c r="I89" i="374"/>
  <c r="AC89" i="374"/>
  <c r="AG51" i="374"/>
  <c r="J110" i="374"/>
  <c r="V103" i="374"/>
  <c r="V108" i="374" s="1"/>
  <c r="M91" i="374"/>
  <c r="M109" i="374" s="1"/>
  <c r="M110" i="374"/>
  <c r="M83" i="374"/>
  <c r="N91" i="374"/>
  <c r="N109" i="374" s="1"/>
  <c r="N83" i="374"/>
  <c r="N110" i="374"/>
  <c r="R103" i="374"/>
  <c r="R108" i="374" s="1"/>
  <c r="AG64" i="374"/>
  <c r="P91" i="374"/>
  <c r="P83" i="374"/>
  <c r="P110" i="374"/>
  <c r="T83" i="374"/>
  <c r="K109" i="374"/>
  <c r="V83" i="374"/>
  <c r="G89" i="374"/>
  <c r="H89" i="374"/>
  <c r="H103" i="374" s="1"/>
  <c r="H108" i="374" s="1"/>
  <c r="J89" i="374"/>
  <c r="J103" i="374" s="1"/>
  <c r="J108" i="374" s="1"/>
  <c r="AH51" i="374"/>
  <c r="Z83" i="374"/>
  <c r="Q103" i="374"/>
  <c r="Q108" i="374" s="1"/>
  <c r="X103" i="374"/>
  <c r="X108" i="374" s="1"/>
  <c r="S103" i="374"/>
  <c r="S108" i="374" s="1"/>
  <c r="T89" i="374"/>
  <c r="T103" i="374" s="1"/>
  <c r="T108" i="374" s="1"/>
  <c r="T110" i="374"/>
  <c r="AI61" i="374"/>
  <c r="AA89" i="374"/>
  <c r="F83" i="374"/>
  <c r="B83" i="374"/>
  <c r="AB89" i="374"/>
  <c r="AB103" i="374" s="1"/>
  <c r="AB108" i="374" s="1"/>
  <c r="G110" i="374"/>
  <c r="AA110" i="374"/>
  <c r="AF56" i="374"/>
  <c r="W91" i="374"/>
  <c r="W109" i="374" s="1"/>
  <c r="AG56" i="374"/>
  <c r="L83" i="374"/>
  <c r="X91" i="374"/>
  <c r="X109" i="374" s="1"/>
  <c r="AF62" i="374"/>
  <c r="F99" i="374"/>
  <c r="Y91" i="374"/>
  <c r="Y109" i="374" s="1"/>
  <c r="Q110" i="374"/>
  <c r="AF48" i="374"/>
  <c r="AG62" i="374"/>
  <c r="F91" i="374"/>
  <c r="Z91" i="374"/>
  <c r="R110" i="374"/>
  <c r="G91" i="374"/>
  <c r="G109" i="374" s="1"/>
  <c r="AA91" i="374"/>
  <c r="AA109" i="374" s="1"/>
  <c r="S110" i="374"/>
  <c r="U110" i="374"/>
  <c r="AG63" i="374"/>
  <c r="AG50" i="374"/>
  <c r="AH63" i="374"/>
  <c r="W83" i="374"/>
  <c r="AH50" i="374"/>
  <c r="X83" i="374"/>
  <c r="Q83" i="374"/>
  <c r="Y110" i="374"/>
  <c r="AC89" i="373"/>
  <c r="AB83" i="373"/>
  <c r="AB89" i="373"/>
  <c r="AA89" i="373"/>
  <c r="X89" i="373"/>
  <c r="X109" i="373"/>
  <c r="W89" i="373"/>
  <c r="W103" i="373" s="1"/>
  <c r="W108" i="373" s="1"/>
  <c r="V103" i="373"/>
  <c r="V108" i="373" s="1"/>
  <c r="U89" i="373"/>
  <c r="T89" i="373"/>
  <c r="N60" i="373"/>
  <c r="N98" i="373" s="1"/>
  <c r="AF47" i="373"/>
  <c r="AH47" i="373"/>
  <c r="AG63" i="373"/>
  <c r="N65" i="373"/>
  <c r="N99" i="373" s="1"/>
  <c r="N103" i="373" s="1"/>
  <c r="N108" i="373" s="1"/>
  <c r="N89" i="373"/>
  <c r="M65" i="373"/>
  <c r="M99" i="373" s="1"/>
  <c r="AI61" i="373"/>
  <c r="M89" i="373"/>
  <c r="AF62" i="373"/>
  <c r="Z109" i="373"/>
  <c r="S89" i="373"/>
  <c r="F110" i="373"/>
  <c r="AA110" i="373"/>
  <c r="H110" i="373"/>
  <c r="AB110" i="373"/>
  <c r="L89" i="373"/>
  <c r="L103" i="373" s="1"/>
  <c r="L108" i="373" s="1"/>
  <c r="I103" i="373"/>
  <c r="I108" i="373" s="1"/>
  <c r="AC103" i="373"/>
  <c r="AC108" i="373" s="1"/>
  <c r="I110" i="373"/>
  <c r="AC110" i="373"/>
  <c r="Z110" i="373"/>
  <c r="F91" i="373"/>
  <c r="F109" i="373" s="1"/>
  <c r="R83" i="373"/>
  <c r="L109" i="373"/>
  <c r="L83" i="373"/>
  <c r="S83" i="373"/>
  <c r="P89" i="373"/>
  <c r="P103" i="373" s="1"/>
  <c r="P108" i="373" s="1"/>
  <c r="S91" i="373"/>
  <c r="S103" i="373" s="1"/>
  <c r="S108" i="373" s="1"/>
  <c r="Q89" i="373"/>
  <c r="Q103" i="373" s="1"/>
  <c r="Q108" i="373" s="1"/>
  <c r="K83" i="373"/>
  <c r="Y109" i="373"/>
  <c r="U110" i="373"/>
  <c r="K109" i="373"/>
  <c r="X83" i="373"/>
  <c r="Y83" i="373"/>
  <c r="O109" i="373"/>
  <c r="G110" i="373"/>
  <c r="K89" i="373"/>
  <c r="K103" i="373" s="1"/>
  <c r="K108" i="373" s="1"/>
  <c r="N109" i="373"/>
  <c r="R89" i="373"/>
  <c r="U91" i="373"/>
  <c r="U103" i="373" s="1"/>
  <c r="U108" i="373" s="1"/>
  <c r="Y103" i="373"/>
  <c r="Y108" i="373" s="1"/>
  <c r="P109" i="373"/>
  <c r="Q109" i="373"/>
  <c r="M103" i="373"/>
  <c r="M108" i="373" s="1"/>
  <c r="V83" i="373"/>
  <c r="AC109" i="373"/>
  <c r="R103" i="373"/>
  <c r="R108" i="373" s="1"/>
  <c r="O103" i="373"/>
  <c r="O108" i="373" s="1"/>
  <c r="I109" i="373"/>
  <c r="R109" i="373"/>
  <c r="X103" i="373"/>
  <c r="X108" i="373" s="1"/>
  <c r="Z103" i="373"/>
  <c r="Z108" i="373" s="1"/>
  <c r="J109" i="373"/>
  <c r="W83" i="373"/>
  <c r="M109" i="373"/>
  <c r="J103" i="373"/>
  <c r="J108" i="373" s="1"/>
  <c r="T109" i="373"/>
  <c r="J110" i="373"/>
  <c r="K110" i="373"/>
  <c r="H83" i="373"/>
  <c r="AG56" i="373"/>
  <c r="I83" i="373"/>
  <c r="N110" i="373"/>
  <c r="F65" i="373"/>
  <c r="F99" i="373" s="1"/>
  <c r="Q110" i="373"/>
  <c r="N83" i="373"/>
  <c r="R110" i="373"/>
  <c r="O83" i="373"/>
  <c r="G91" i="373"/>
  <c r="AA91" i="373"/>
  <c r="S110" i="373"/>
  <c r="T60" i="373"/>
  <c r="T98" i="373" s="1"/>
  <c r="T103" i="373" s="1"/>
  <c r="T108" i="373" s="1"/>
  <c r="P83" i="373"/>
  <c r="H91" i="373"/>
  <c r="AB91" i="373"/>
  <c r="T110" i="373"/>
  <c r="AA83" i="373"/>
  <c r="AF64" i="373"/>
  <c r="L110" i="373"/>
  <c r="AG64" i="373"/>
  <c r="AC83" i="373"/>
  <c r="M110" i="373"/>
  <c r="AH56" i="373"/>
  <c r="AH64" i="373"/>
  <c r="AG48" i="373"/>
  <c r="AH62" i="373"/>
  <c r="O110" i="373"/>
  <c r="P110" i="373"/>
  <c r="AI36" i="373"/>
  <c r="W110" i="373"/>
  <c r="AH63" i="373"/>
  <c r="X110" i="373"/>
  <c r="U83" i="373"/>
  <c r="Y110" i="373"/>
  <c r="Z83" i="373"/>
  <c r="AG62" i="373"/>
  <c r="G65" i="373"/>
  <c r="G99" i="373" s="1"/>
  <c r="Q83" i="373"/>
  <c r="AF50" i="373"/>
  <c r="V110" i="373"/>
  <c r="AG50" i="373"/>
  <c r="F96" i="373"/>
  <c r="AH48" i="373"/>
  <c r="AB96" i="373"/>
  <c r="J83" i="373"/>
  <c r="AQ527" i="260"/>
  <c r="AB56" i="372"/>
  <c r="AB51" i="372"/>
  <c r="AB50" i="372"/>
  <c r="F826" i="88"/>
  <c r="F831" i="88"/>
  <c r="F835" i="88"/>
  <c r="W524" i="260"/>
  <c r="F823" i="88"/>
  <c r="F822" i="88"/>
  <c r="W523" i="260"/>
  <c r="F843" i="88"/>
  <c r="F851" i="88"/>
  <c r="F850" i="88"/>
  <c r="W522" i="260"/>
  <c r="W64" i="372"/>
  <c r="W63" i="372"/>
  <c r="F849" i="88"/>
  <c r="W521" i="260"/>
  <c r="V64" i="372"/>
  <c r="V63" i="372"/>
  <c r="W520" i="260"/>
  <c r="V65" i="372"/>
  <c r="V99" i="372" s="1"/>
  <c r="F839" i="88"/>
  <c r="F838" i="88"/>
  <c r="F846" i="88"/>
  <c r="F845" i="88"/>
  <c r="F847" i="88"/>
  <c r="F848" i="88"/>
  <c r="W519" i="260"/>
  <c r="U64" i="372"/>
  <c r="U63" i="372"/>
  <c r="T64" i="372"/>
  <c r="T63" i="372"/>
  <c r="T65" i="372" s="1"/>
  <c r="T99" i="372" s="1"/>
  <c r="AF47" i="372"/>
  <c r="AH51" i="372"/>
  <c r="T56" i="372"/>
  <c r="T51" i="372"/>
  <c r="T50" i="372"/>
  <c r="T60" i="372" s="1"/>
  <c r="T98" i="372" s="1"/>
  <c r="T48" i="372"/>
  <c r="T47" i="372"/>
  <c r="U65" i="372"/>
  <c r="U99" i="372" s="1"/>
  <c r="F814" i="88"/>
  <c r="W518" i="260"/>
  <c r="AG64" i="372"/>
  <c r="S64" i="372"/>
  <c r="S63" i="372"/>
  <c r="S62" i="372"/>
  <c r="F819" i="88"/>
  <c r="F837" i="88"/>
  <c r="F836" i="88"/>
  <c r="F840" i="88"/>
  <c r="W516" i="260"/>
  <c r="W517" i="260"/>
  <c r="F841" i="88"/>
  <c r="F833" i="88"/>
  <c r="F827" i="88"/>
  <c r="F832" i="88"/>
  <c r="F830" i="88"/>
  <c r="F829" i="88"/>
  <c r="F834" i="88"/>
  <c r="F828" i="88"/>
  <c r="W515" i="260"/>
  <c r="W514" i="260"/>
  <c r="F825" i="88"/>
  <c r="F807" i="88"/>
  <c r="F821" i="88"/>
  <c r="F815" i="88"/>
  <c r="F816" i="88"/>
  <c r="F788" i="88"/>
  <c r="F817" i="88"/>
  <c r="F818" i="88"/>
  <c r="F808" i="88"/>
  <c r="F813" i="88"/>
  <c r="F802" i="88"/>
  <c r="G64" i="372"/>
  <c r="G62" i="372"/>
  <c r="F797" i="88"/>
  <c r="F64" i="372"/>
  <c r="F63" i="372"/>
  <c r="F747" i="88"/>
  <c r="AC107" i="372"/>
  <c r="AB107" i="372"/>
  <c r="AA107" i="372"/>
  <c r="Z107" i="372"/>
  <c r="Y107" i="372"/>
  <c r="X107" i="372"/>
  <c r="W107" i="372"/>
  <c r="V107" i="372"/>
  <c r="U107" i="372"/>
  <c r="T107" i="372"/>
  <c r="S107" i="372"/>
  <c r="R107" i="372"/>
  <c r="Q107" i="372"/>
  <c r="P107" i="372"/>
  <c r="O107" i="372"/>
  <c r="N107" i="372"/>
  <c r="M107" i="372"/>
  <c r="L107" i="372"/>
  <c r="J107" i="372"/>
  <c r="I107" i="372"/>
  <c r="H107" i="372"/>
  <c r="G107" i="372"/>
  <c r="F107" i="372"/>
  <c r="K107" i="372"/>
  <c r="AC102" i="372"/>
  <c r="AB102" i="372"/>
  <c r="AA102" i="372"/>
  <c r="Z102" i="372"/>
  <c r="Y102" i="372"/>
  <c r="X102" i="372"/>
  <c r="W102" i="372"/>
  <c r="V102" i="372"/>
  <c r="U102" i="372"/>
  <c r="T102" i="372"/>
  <c r="S102" i="372"/>
  <c r="R102" i="372"/>
  <c r="Q102" i="372"/>
  <c r="P102" i="372"/>
  <c r="O102" i="372"/>
  <c r="N102" i="372"/>
  <c r="M102" i="372"/>
  <c r="L102" i="372"/>
  <c r="K102" i="372"/>
  <c r="J102" i="372"/>
  <c r="I102" i="372"/>
  <c r="H102" i="372"/>
  <c r="G102" i="372"/>
  <c r="F102" i="372"/>
  <c r="X101" i="372"/>
  <c r="S100" i="372"/>
  <c r="Q100" i="372"/>
  <c r="Z96" i="372"/>
  <c r="M96" i="372"/>
  <c r="J93" i="372"/>
  <c r="AB91" i="372"/>
  <c r="AA91" i="372"/>
  <c r="G91" i="372"/>
  <c r="G109" i="372" s="1"/>
  <c r="AC80" i="372"/>
  <c r="AC101" i="372" s="1"/>
  <c r="AB80" i="372"/>
  <c r="AB101" i="372" s="1"/>
  <c r="AA80" i="372"/>
  <c r="AA101" i="372" s="1"/>
  <c r="Z80" i="372"/>
  <c r="Z101" i="372" s="1"/>
  <c r="Y80" i="372"/>
  <c r="Y101" i="372" s="1"/>
  <c r="X80" i="372"/>
  <c r="W80" i="372"/>
  <c r="W101" i="372" s="1"/>
  <c r="V80" i="372"/>
  <c r="V101" i="372" s="1"/>
  <c r="U80" i="372"/>
  <c r="U101" i="372" s="1"/>
  <c r="T80" i="372"/>
  <c r="T101" i="372" s="1"/>
  <c r="S80" i="372"/>
  <c r="S101" i="372" s="1"/>
  <c r="R80" i="372"/>
  <c r="R101" i="372" s="1"/>
  <c r="Q80" i="372"/>
  <c r="Q101" i="372" s="1"/>
  <c r="P80" i="372"/>
  <c r="P101" i="372" s="1"/>
  <c r="O80" i="372"/>
  <c r="O101" i="372" s="1"/>
  <c r="N80" i="372"/>
  <c r="N101" i="372" s="1"/>
  <c r="M80" i="372"/>
  <c r="M101" i="372" s="1"/>
  <c r="L80" i="372"/>
  <c r="L101" i="372" s="1"/>
  <c r="K80" i="372"/>
  <c r="K101" i="372" s="1"/>
  <c r="J80" i="372"/>
  <c r="J101" i="372" s="1"/>
  <c r="I80" i="372"/>
  <c r="I101" i="372" s="1"/>
  <c r="H80" i="372"/>
  <c r="H101" i="372" s="1"/>
  <c r="G80" i="372"/>
  <c r="G101" i="372" s="1"/>
  <c r="F80" i="372"/>
  <c r="F101" i="372" s="1"/>
  <c r="C80" i="372"/>
  <c r="AH79" i="372"/>
  <c r="AG79" i="372"/>
  <c r="AF79" i="372"/>
  <c r="AH78" i="372"/>
  <c r="AG78" i="372"/>
  <c r="AF78" i="372"/>
  <c r="AI77" i="372"/>
  <c r="AC76" i="372"/>
  <c r="AC100" i="372" s="1"/>
  <c r="AB76" i="372"/>
  <c r="AB100" i="372" s="1"/>
  <c r="AA76" i="372"/>
  <c r="AA100" i="372" s="1"/>
  <c r="Z76" i="372"/>
  <c r="Z100" i="372" s="1"/>
  <c r="Y76" i="372"/>
  <c r="Y100" i="372" s="1"/>
  <c r="X76" i="372"/>
  <c r="X100" i="372" s="1"/>
  <c r="W76" i="372"/>
  <c r="W100" i="372" s="1"/>
  <c r="V76" i="372"/>
  <c r="V100" i="372" s="1"/>
  <c r="U76" i="372"/>
  <c r="U100" i="372" s="1"/>
  <c r="T76" i="372"/>
  <c r="T100" i="372" s="1"/>
  <c r="S76" i="372"/>
  <c r="R76" i="372"/>
  <c r="R100" i="372" s="1"/>
  <c r="Q76" i="372"/>
  <c r="P76" i="372"/>
  <c r="P100" i="372" s="1"/>
  <c r="O76" i="372"/>
  <c r="O100" i="372" s="1"/>
  <c r="N76" i="372"/>
  <c r="N100" i="372" s="1"/>
  <c r="M76" i="372"/>
  <c r="M100" i="372" s="1"/>
  <c r="L76" i="372"/>
  <c r="L100" i="372" s="1"/>
  <c r="K76" i="372"/>
  <c r="K100" i="372" s="1"/>
  <c r="J76" i="372"/>
  <c r="J100" i="372" s="1"/>
  <c r="I76" i="372"/>
  <c r="I100" i="372" s="1"/>
  <c r="H76" i="372"/>
  <c r="H100" i="372" s="1"/>
  <c r="G76" i="372"/>
  <c r="G100" i="372" s="1"/>
  <c r="F76" i="372"/>
  <c r="F100" i="372" s="1"/>
  <c r="C76" i="372"/>
  <c r="B76" i="372"/>
  <c r="B80" i="372" s="1"/>
  <c r="B25" i="372" s="1"/>
  <c r="AH75" i="372"/>
  <c r="AG75" i="372"/>
  <c r="AF75" i="372"/>
  <c r="AH74" i="372"/>
  <c r="AG74" i="372"/>
  <c r="AF74" i="372"/>
  <c r="AH73" i="372"/>
  <c r="AG73" i="372"/>
  <c r="AF73" i="372"/>
  <c r="AH72" i="372"/>
  <c r="AG72" i="372"/>
  <c r="AF72" i="372"/>
  <c r="AH71" i="372"/>
  <c r="AG71" i="372"/>
  <c r="AF71" i="372"/>
  <c r="AH70" i="372"/>
  <c r="AG70" i="372"/>
  <c r="AF70" i="372"/>
  <c r="AH69" i="372"/>
  <c r="AG69" i="372"/>
  <c r="AF69" i="372"/>
  <c r="AH68" i="372"/>
  <c r="AG68" i="372"/>
  <c r="AF68" i="372"/>
  <c r="AH67" i="372"/>
  <c r="AG67" i="372"/>
  <c r="AF67" i="372"/>
  <c r="AI66" i="372"/>
  <c r="AA65" i="372"/>
  <c r="AA99" i="372" s="1"/>
  <c r="Y65" i="372"/>
  <c r="Y99" i="372" s="1"/>
  <c r="S65" i="372"/>
  <c r="S99" i="372" s="1"/>
  <c r="R65" i="372"/>
  <c r="R99" i="372" s="1"/>
  <c r="Q65" i="372"/>
  <c r="Q99" i="372" s="1"/>
  <c r="O65" i="372"/>
  <c r="O99" i="372" s="1"/>
  <c r="N65" i="372"/>
  <c r="N99" i="372" s="1"/>
  <c r="M65" i="372"/>
  <c r="M99" i="372" s="1"/>
  <c r="L65" i="372"/>
  <c r="L99" i="372" s="1"/>
  <c r="H65" i="372"/>
  <c r="H99" i="372" s="1"/>
  <c r="G65" i="372"/>
  <c r="G99" i="372" s="1"/>
  <c r="F65" i="372"/>
  <c r="F99" i="372" s="1"/>
  <c r="C65" i="372"/>
  <c r="Z65" i="372"/>
  <c r="Z99" i="372" s="1"/>
  <c r="AB65" i="372"/>
  <c r="AB99" i="372" s="1"/>
  <c r="X65" i="372"/>
  <c r="X99" i="372" s="1"/>
  <c r="AC60" i="372"/>
  <c r="AC98" i="372" s="1"/>
  <c r="AB60" i="372"/>
  <c r="AB98" i="372" s="1"/>
  <c r="AA60" i="372"/>
  <c r="AA98" i="372" s="1"/>
  <c r="Z60" i="372"/>
  <c r="Z98" i="372" s="1"/>
  <c r="Y60" i="372"/>
  <c r="Y98" i="372" s="1"/>
  <c r="X60" i="372"/>
  <c r="X98" i="372" s="1"/>
  <c r="W60" i="372"/>
  <c r="W98" i="372" s="1"/>
  <c r="V60" i="372"/>
  <c r="V98" i="372" s="1"/>
  <c r="S60" i="372"/>
  <c r="S98" i="372" s="1"/>
  <c r="R60" i="372"/>
  <c r="R98" i="372" s="1"/>
  <c r="Q60" i="372"/>
  <c r="Q98" i="372" s="1"/>
  <c r="P60" i="372"/>
  <c r="P98" i="372" s="1"/>
  <c r="O60" i="372"/>
  <c r="O98" i="372" s="1"/>
  <c r="N60" i="372"/>
  <c r="N98" i="372" s="1"/>
  <c r="M60" i="372"/>
  <c r="M98" i="372" s="1"/>
  <c r="L60" i="372"/>
  <c r="L98" i="372" s="1"/>
  <c r="K60" i="372"/>
  <c r="K98" i="372" s="1"/>
  <c r="J60" i="372"/>
  <c r="J98" i="372" s="1"/>
  <c r="I60" i="372"/>
  <c r="I98" i="372" s="1"/>
  <c r="H60" i="372"/>
  <c r="H98" i="372" s="1"/>
  <c r="G60" i="372"/>
  <c r="G98" i="372" s="1"/>
  <c r="F60" i="372"/>
  <c r="F98" i="372" s="1"/>
  <c r="C60" i="372"/>
  <c r="B60" i="372"/>
  <c r="B65" i="372" s="1"/>
  <c r="AH59" i="372"/>
  <c r="AG59" i="372"/>
  <c r="AF59" i="372"/>
  <c r="AH58" i="372"/>
  <c r="AG58" i="372"/>
  <c r="AF58" i="372"/>
  <c r="AH57" i="372"/>
  <c r="AG57" i="372"/>
  <c r="AF57" i="372"/>
  <c r="AH56" i="372"/>
  <c r="AG56" i="372"/>
  <c r="AF56" i="372"/>
  <c r="AG51" i="372"/>
  <c r="AF51" i="372"/>
  <c r="AG50" i="372"/>
  <c r="AF50" i="372"/>
  <c r="AH49" i="372"/>
  <c r="AG49" i="372"/>
  <c r="AF49" i="372"/>
  <c r="AH48" i="372"/>
  <c r="AG48" i="372"/>
  <c r="AF48" i="372"/>
  <c r="AH46" i="372"/>
  <c r="AG46" i="372"/>
  <c r="AF46" i="372"/>
  <c r="AH45" i="372"/>
  <c r="AG45" i="372"/>
  <c r="AF45" i="372"/>
  <c r="AH44" i="372"/>
  <c r="AG44" i="372"/>
  <c r="AF44" i="372"/>
  <c r="AH43" i="372"/>
  <c r="AG43" i="372"/>
  <c r="AF43" i="372"/>
  <c r="AH42" i="372"/>
  <c r="AG42" i="372"/>
  <c r="AF42" i="372"/>
  <c r="AH41" i="372"/>
  <c r="AG41" i="372"/>
  <c r="AF41" i="372"/>
  <c r="AH40" i="372"/>
  <c r="AG40" i="372"/>
  <c r="AF40" i="372"/>
  <c r="AH39" i="372"/>
  <c r="AG39" i="372"/>
  <c r="AF39" i="372"/>
  <c r="AH38" i="372"/>
  <c r="AG38" i="372"/>
  <c r="AF38" i="372"/>
  <c r="AH37" i="372"/>
  <c r="AG37" i="372"/>
  <c r="AF37" i="372"/>
  <c r="AH36" i="372"/>
  <c r="AG36" i="372"/>
  <c r="AF36" i="372"/>
  <c r="AI35" i="372"/>
  <c r="AC34" i="372"/>
  <c r="AC96" i="372" s="1"/>
  <c r="AB34" i="372"/>
  <c r="AB96" i="372" s="1"/>
  <c r="AA34" i="372"/>
  <c r="AA96" i="372" s="1"/>
  <c r="Z34" i="372"/>
  <c r="Y34" i="372"/>
  <c r="Y96" i="372" s="1"/>
  <c r="X34" i="372"/>
  <c r="X96" i="372" s="1"/>
  <c r="W34" i="372"/>
  <c r="W96" i="372" s="1"/>
  <c r="V34" i="372"/>
  <c r="V96" i="372" s="1"/>
  <c r="U34" i="372"/>
  <c r="U96" i="372" s="1"/>
  <c r="T34" i="372"/>
  <c r="T96" i="372" s="1"/>
  <c r="S34" i="372"/>
  <c r="S96" i="372" s="1"/>
  <c r="R34" i="372"/>
  <c r="R96" i="372" s="1"/>
  <c r="Q34" i="372"/>
  <c r="Q96" i="372" s="1"/>
  <c r="P34" i="372"/>
  <c r="P96" i="372" s="1"/>
  <c r="O34" i="372"/>
  <c r="O96" i="372" s="1"/>
  <c r="N34" i="372"/>
  <c r="N96" i="372" s="1"/>
  <c r="M34" i="372"/>
  <c r="L34" i="372"/>
  <c r="L96" i="372" s="1"/>
  <c r="K34" i="372"/>
  <c r="K96" i="372" s="1"/>
  <c r="J34" i="372"/>
  <c r="J96" i="372" s="1"/>
  <c r="I34" i="372"/>
  <c r="I96" i="372" s="1"/>
  <c r="H34" i="372"/>
  <c r="H96" i="372" s="1"/>
  <c r="G34" i="372"/>
  <c r="G96" i="372" s="1"/>
  <c r="F34" i="372"/>
  <c r="F96" i="372" s="1"/>
  <c r="C34" i="372"/>
  <c r="B34" i="372"/>
  <c r="AH33" i="372"/>
  <c r="AG33" i="372"/>
  <c r="AF33" i="372"/>
  <c r="AI32" i="372"/>
  <c r="AC31" i="372"/>
  <c r="AC93" i="372" s="1"/>
  <c r="AB31" i="372"/>
  <c r="AB93" i="372" s="1"/>
  <c r="AA31" i="372"/>
  <c r="AA93" i="372" s="1"/>
  <c r="Z31" i="372"/>
  <c r="Z93" i="372" s="1"/>
  <c r="Y31" i="372"/>
  <c r="Y93" i="372" s="1"/>
  <c r="X31" i="372"/>
  <c r="X93" i="372" s="1"/>
  <c r="W31" i="372"/>
  <c r="W93" i="372" s="1"/>
  <c r="V31" i="372"/>
  <c r="V93" i="372" s="1"/>
  <c r="U31" i="372"/>
  <c r="U93" i="372" s="1"/>
  <c r="T31" i="372"/>
  <c r="T93" i="372" s="1"/>
  <c r="S31" i="372"/>
  <c r="S93" i="372" s="1"/>
  <c r="R31" i="372"/>
  <c r="R93" i="372" s="1"/>
  <c r="Q31" i="372"/>
  <c r="Q93" i="372" s="1"/>
  <c r="P31" i="372"/>
  <c r="P93" i="372" s="1"/>
  <c r="O31" i="372"/>
  <c r="O93" i="372" s="1"/>
  <c r="N31" i="372"/>
  <c r="N93" i="372" s="1"/>
  <c r="M31" i="372"/>
  <c r="M93" i="372" s="1"/>
  <c r="L31" i="372"/>
  <c r="L93" i="372" s="1"/>
  <c r="K31" i="372"/>
  <c r="K93" i="372" s="1"/>
  <c r="J31" i="372"/>
  <c r="I31" i="372"/>
  <c r="I93" i="372" s="1"/>
  <c r="H31" i="372"/>
  <c r="H93" i="372" s="1"/>
  <c r="G31" i="372"/>
  <c r="G93" i="372" s="1"/>
  <c r="F31" i="372"/>
  <c r="F93" i="372" s="1"/>
  <c r="C31" i="372"/>
  <c r="B31" i="372"/>
  <c r="AI28" i="372"/>
  <c r="AH28" i="372"/>
  <c r="AG28" i="372"/>
  <c r="AF28" i="372"/>
  <c r="AH27" i="372"/>
  <c r="AG27" i="372"/>
  <c r="AF27" i="372"/>
  <c r="AI26" i="372"/>
  <c r="AC25" i="372"/>
  <c r="AB25" i="372"/>
  <c r="AA25" i="372"/>
  <c r="Z25" i="372"/>
  <c r="Y25" i="372"/>
  <c r="X25" i="372"/>
  <c r="W25" i="372"/>
  <c r="V25" i="372"/>
  <c r="U25" i="372"/>
  <c r="T25" i="372"/>
  <c r="S25" i="372"/>
  <c r="R25" i="372"/>
  <c r="Q25" i="372"/>
  <c r="P25" i="372"/>
  <c r="O25" i="372"/>
  <c r="N25" i="372"/>
  <c r="M25" i="372"/>
  <c r="L25" i="372"/>
  <c r="L89" i="372" s="1"/>
  <c r="K25" i="372"/>
  <c r="K89" i="372" s="1"/>
  <c r="J25" i="372"/>
  <c r="J89" i="372" s="1"/>
  <c r="I25" i="372"/>
  <c r="I89" i="372" s="1"/>
  <c r="H25" i="372"/>
  <c r="G25" i="372"/>
  <c r="F25" i="372"/>
  <c r="C25" i="372"/>
  <c r="AH24" i="372"/>
  <c r="AG24" i="372"/>
  <c r="AF24" i="372"/>
  <c r="AI23" i="372"/>
  <c r="AC22" i="372"/>
  <c r="AC89" i="372" s="1"/>
  <c r="AB22" i="372"/>
  <c r="AB89" i="372" s="1"/>
  <c r="AA22" i="372"/>
  <c r="Z22" i="372"/>
  <c r="Z89" i="372" s="1"/>
  <c r="Y22" i="372"/>
  <c r="X22" i="372"/>
  <c r="W22" i="372"/>
  <c r="V22" i="372"/>
  <c r="U22" i="372"/>
  <c r="T22" i="372"/>
  <c r="T89" i="372" s="1"/>
  <c r="S22" i="372"/>
  <c r="R22" i="372"/>
  <c r="Q22" i="372"/>
  <c r="P22" i="372"/>
  <c r="O22" i="372"/>
  <c r="N22" i="372"/>
  <c r="M22" i="372"/>
  <c r="L22" i="372"/>
  <c r="K22" i="372"/>
  <c r="J22" i="372"/>
  <c r="I22" i="372"/>
  <c r="H22" i="372"/>
  <c r="G22" i="372"/>
  <c r="F22" i="372"/>
  <c r="F89" i="372" s="1"/>
  <c r="C22" i="372"/>
  <c r="B22" i="372"/>
  <c r="AH21" i="372"/>
  <c r="AG21" i="372"/>
  <c r="AF21" i="372"/>
  <c r="AH20" i="372"/>
  <c r="AG20" i="372"/>
  <c r="AF20" i="372"/>
  <c r="AH19" i="372"/>
  <c r="AG19" i="372"/>
  <c r="AF19" i="372"/>
  <c r="AI18" i="372"/>
  <c r="AC17" i="372"/>
  <c r="AB17" i="372"/>
  <c r="AA17" i="372"/>
  <c r="Z17" i="372"/>
  <c r="Z91" i="372" s="1"/>
  <c r="Y17" i="372"/>
  <c r="Y91" i="372" s="1"/>
  <c r="X17" i="372"/>
  <c r="X91" i="372" s="1"/>
  <c r="W17" i="372"/>
  <c r="V17" i="372"/>
  <c r="U17" i="372"/>
  <c r="T17" i="372"/>
  <c r="T91" i="372" s="1"/>
  <c r="S17" i="372"/>
  <c r="S91" i="372" s="1"/>
  <c r="R17" i="372"/>
  <c r="Q17" i="372"/>
  <c r="P17" i="372"/>
  <c r="O17" i="372"/>
  <c r="O91" i="372" s="1"/>
  <c r="N17" i="372"/>
  <c r="N91" i="372" s="1"/>
  <c r="M17" i="372"/>
  <c r="M91" i="372" s="1"/>
  <c r="L17" i="372"/>
  <c r="L110" i="372" s="1"/>
  <c r="K17" i="372"/>
  <c r="K91" i="372" s="1"/>
  <c r="J17" i="372"/>
  <c r="J91" i="372" s="1"/>
  <c r="I17" i="372"/>
  <c r="H17" i="372"/>
  <c r="H91" i="372" s="1"/>
  <c r="G17" i="372"/>
  <c r="F17" i="372"/>
  <c r="F91" i="372" s="1"/>
  <c r="C17" i="372"/>
  <c r="B17" i="372"/>
  <c r="AH16" i="372"/>
  <c r="AG16" i="372"/>
  <c r="AF16" i="372"/>
  <c r="AH15" i="372"/>
  <c r="AG15" i="372"/>
  <c r="AF15" i="372"/>
  <c r="AH14" i="372"/>
  <c r="AG14" i="372"/>
  <c r="AF14" i="372"/>
  <c r="AH13" i="372"/>
  <c r="AG13" i="372"/>
  <c r="AF13" i="372"/>
  <c r="AI12" i="372"/>
  <c r="M9" i="372" a="1"/>
  <c r="M9" i="372" s="1"/>
  <c r="AQ503" i="260" a="1"/>
  <c r="A631" i="79" l="1"/>
  <c r="C629" i="79"/>
  <c r="C628" i="79"/>
  <c r="A630" i="79"/>
  <c r="O83" i="375"/>
  <c r="N103" i="375"/>
  <c r="N108" i="375" s="1"/>
  <c r="H103" i="375"/>
  <c r="H108" i="375" s="1"/>
  <c r="P103" i="375"/>
  <c r="P108" i="375" s="1"/>
  <c r="AC83" i="375"/>
  <c r="H83" i="375"/>
  <c r="G103" i="375"/>
  <c r="G108" i="375" s="1"/>
  <c r="R103" i="375"/>
  <c r="R108" i="375" s="1"/>
  <c r="Q103" i="375"/>
  <c r="Q108" i="375" s="1"/>
  <c r="O103" i="375"/>
  <c r="O108" i="375" s="1"/>
  <c r="Y103" i="374"/>
  <c r="Y108" i="374" s="1"/>
  <c r="M103" i="374"/>
  <c r="M108" i="374" s="1"/>
  <c r="L109" i="374"/>
  <c r="I103" i="374"/>
  <c r="I108" i="374" s="1"/>
  <c r="AC103" i="374"/>
  <c r="AC108" i="374" s="1"/>
  <c r="G103" i="374"/>
  <c r="G108" i="374" s="1"/>
  <c r="Z109" i="374"/>
  <c r="Z103" i="374"/>
  <c r="Z108" i="374" s="1"/>
  <c r="F109" i="374"/>
  <c r="F103" i="374"/>
  <c r="F108" i="374" s="1"/>
  <c r="AA103" i="374"/>
  <c r="AA108" i="374" s="1"/>
  <c r="O103" i="374"/>
  <c r="O108" i="374" s="1"/>
  <c r="P103" i="374"/>
  <c r="P108" i="374" s="1"/>
  <c r="P109" i="374"/>
  <c r="W103" i="374"/>
  <c r="W108" i="374" s="1"/>
  <c r="U109" i="373"/>
  <c r="M83" i="373"/>
  <c r="G83" i="373"/>
  <c r="S109" i="373"/>
  <c r="T83" i="373"/>
  <c r="G109" i="373"/>
  <c r="G103" i="373"/>
  <c r="G108" i="373" s="1"/>
  <c r="F103" i="373"/>
  <c r="F108" i="373" s="1"/>
  <c r="F83" i="373"/>
  <c r="AB103" i="373"/>
  <c r="AB108" i="373" s="1"/>
  <c r="AB109" i="373"/>
  <c r="H109" i="373"/>
  <c r="H103" i="373"/>
  <c r="H108" i="373" s="1"/>
  <c r="AA103" i="373"/>
  <c r="AA108" i="373" s="1"/>
  <c r="AA109" i="373"/>
  <c r="C83" i="372"/>
  <c r="AB109" i="372"/>
  <c r="Z109" i="372"/>
  <c r="Y109" i="372"/>
  <c r="X89" i="372"/>
  <c r="W65" i="372"/>
  <c r="W99" i="372" s="1"/>
  <c r="W89" i="372"/>
  <c r="V89" i="372"/>
  <c r="U89" i="372"/>
  <c r="AH47" i="372"/>
  <c r="AG47" i="372"/>
  <c r="AI36" i="372"/>
  <c r="AH50" i="372"/>
  <c r="U60" i="372"/>
  <c r="U98" i="372" s="1"/>
  <c r="S89" i="372"/>
  <c r="R89" i="372"/>
  <c r="Q89" i="372"/>
  <c r="N109" i="372"/>
  <c r="H110" i="372"/>
  <c r="H109" i="372"/>
  <c r="S109" i="372"/>
  <c r="T109" i="372"/>
  <c r="O109" i="372"/>
  <c r="O110" i="372"/>
  <c r="U110" i="372"/>
  <c r="Y83" i="372"/>
  <c r="P89" i="372"/>
  <c r="V110" i="372"/>
  <c r="M83" i="372"/>
  <c r="H89" i="372"/>
  <c r="H103" i="372" s="1"/>
  <c r="H108" i="372" s="1"/>
  <c r="N110" i="372"/>
  <c r="G83" i="372"/>
  <c r="AA109" i="372"/>
  <c r="T103" i="372"/>
  <c r="T108" i="372" s="1"/>
  <c r="L91" i="372"/>
  <c r="L109" i="372" s="1"/>
  <c r="AB110" i="372"/>
  <c r="AA83" i="372"/>
  <c r="M89" i="372"/>
  <c r="M103" i="372" s="1"/>
  <c r="M108" i="372" s="1"/>
  <c r="X110" i="372"/>
  <c r="H83" i="372"/>
  <c r="N89" i="372"/>
  <c r="N103" i="372" s="1"/>
  <c r="N108" i="372" s="1"/>
  <c r="K109" i="372"/>
  <c r="AB103" i="372"/>
  <c r="AB108" i="372" s="1"/>
  <c r="M109" i="372"/>
  <c r="Z103" i="372"/>
  <c r="Z108" i="372" s="1"/>
  <c r="F103" i="372"/>
  <c r="F108" i="372" s="1"/>
  <c r="W83" i="372"/>
  <c r="Y89" i="372"/>
  <c r="Y103" i="372" s="1"/>
  <c r="Y108" i="372" s="1"/>
  <c r="Z83" i="372"/>
  <c r="AA89" i="372"/>
  <c r="AA103" i="372" s="1"/>
  <c r="AA108" i="372" s="1"/>
  <c r="G110" i="372"/>
  <c r="AH64" i="372"/>
  <c r="P91" i="372"/>
  <c r="P109" i="372" s="1"/>
  <c r="P83" i="372"/>
  <c r="U91" i="372"/>
  <c r="AC110" i="372"/>
  <c r="AC91" i="372"/>
  <c r="AC109" i="372" s="1"/>
  <c r="F109" i="372"/>
  <c r="J109" i="372"/>
  <c r="V83" i="372"/>
  <c r="Y110" i="372"/>
  <c r="AF64" i="372"/>
  <c r="AB83" i="372"/>
  <c r="J110" i="372"/>
  <c r="S103" i="372"/>
  <c r="S108" i="372" s="1"/>
  <c r="K65" i="372"/>
  <c r="K99" i="372" s="1"/>
  <c r="K103" i="372" s="1"/>
  <c r="K108" i="372" s="1"/>
  <c r="M110" i="372"/>
  <c r="Q91" i="372"/>
  <c r="Q109" i="372" s="1"/>
  <c r="Q83" i="372"/>
  <c r="Q110" i="372"/>
  <c r="V91" i="372"/>
  <c r="V109" i="372" s="1"/>
  <c r="X103" i="372"/>
  <c r="X108" i="372" s="1"/>
  <c r="X83" i="372"/>
  <c r="L83" i="372"/>
  <c r="F83" i="372"/>
  <c r="AA110" i="372"/>
  <c r="N83" i="372"/>
  <c r="AH62" i="372"/>
  <c r="P65" i="372"/>
  <c r="P99" i="372" s="1"/>
  <c r="AF62" i="372"/>
  <c r="AI61" i="372"/>
  <c r="T83" i="372"/>
  <c r="I110" i="372"/>
  <c r="I91" i="372"/>
  <c r="I109" i="372" s="1"/>
  <c r="AG62" i="372"/>
  <c r="J65" i="372"/>
  <c r="G89" i="372"/>
  <c r="G103" i="372" s="1"/>
  <c r="G108" i="372" s="1"/>
  <c r="R91" i="372"/>
  <c r="R109" i="372" s="1"/>
  <c r="R83" i="372"/>
  <c r="R110" i="372"/>
  <c r="S83" i="372"/>
  <c r="S110" i="372"/>
  <c r="W91" i="372"/>
  <c r="W109" i="372" s="1"/>
  <c r="P110" i="372"/>
  <c r="O89" i="372"/>
  <c r="O103" i="372" s="1"/>
  <c r="O108" i="372" s="1"/>
  <c r="O83" i="372"/>
  <c r="AH63" i="372"/>
  <c r="I65" i="372"/>
  <c r="AG63" i="372"/>
  <c r="AF63" i="372"/>
  <c r="K110" i="372"/>
  <c r="T110" i="372"/>
  <c r="B83" i="372"/>
  <c r="AC65" i="372"/>
  <c r="AC99" i="372" s="1"/>
  <c r="X109" i="372"/>
  <c r="W110" i="372"/>
  <c r="F110" i="372"/>
  <c r="Z110" i="372"/>
  <c r="AQ503" i="260"/>
  <c r="AC64" i="371"/>
  <c r="AC63" i="371"/>
  <c r="AB64" i="371"/>
  <c r="AB63" i="371"/>
  <c r="F811" i="88"/>
  <c r="AA64" i="371"/>
  <c r="AA63" i="371"/>
  <c r="F812" i="88"/>
  <c r="AE500" i="260"/>
  <c r="Z64" i="371"/>
  <c r="Z63" i="371"/>
  <c r="C630" i="79" l="1"/>
  <c r="A632" i="79"/>
  <c r="A633" i="79"/>
  <c r="C631" i="79"/>
  <c r="U83" i="372"/>
  <c r="L103" i="372"/>
  <c r="L108" i="372" s="1"/>
  <c r="W103" i="372"/>
  <c r="W108" i="372" s="1"/>
  <c r="AC103" i="372"/>
  <c r="AC108" i="372" s="1"/>
  <c r="J99" i="372"/>
  <c r="J103" i="372" s="1"/>
  <c r="J108" i="372" s="1"/>
  <c r="J83" i="372"/>
  <c r="I99" i="372"/>
  <c r="I83" i="372"/>
  <c r="Q103" i="372"/>
  <c r="Q108" i="372" s="1"/>
  <c r="V103" i="372"/>
  <c r="V108" i="372" s="1"/>
  <c r="AC83" i="372"/>
  <c r="R103" i="372"/>
  <c r="R108" i="372" s="1"/>
  <c r="P103" i="372"/>
  <c r="P108" i="372" s="1"/>
  <c r="K83" i="372"/>
  <c r="U109" i="372"/>
  <c r="U103" i="372"/>
  <c r="U108" i="372" s="1"/>
  <c r="I103" i="372"/>
  <c r="I108" i="372" s="1"/>
  <c r="AE499" i="260"/>
  <c r="W499" i="260"/>
  <c r="F793" i="88"/>
  <c r="F810" i="88"/>
  <c r="F806" i="88"/>
  <c r="A635" i="79" l="1"/>
  <c r="C633" i="79"/>
  <c r="C632" i="79"/>
  <c r="A634" i="79"/>
  <c r="F809" i="88"/>
  <c r="F805" i="88"/>
  <c r="F781" i="88"/>
  <c r="F804" i="88"/>
  <c r="AE498" i="260"/>
  <c r="W498" i="260"/>
  <c r="X63" i="371"/>
  <c r="X62" i="371"/>
  <c r="F771" i="88"/>
  <c r="W497" i="260"/>
  <c r="W496" i="260"/>
  <c r="F803" i="88"/>
  <c r="W495" i="260"/>
  <c r="F801" i="88"/>
  <c r="F800" i="88"/>
  <c r="F799" i="88"/>
  <c r="F784" i="88"/>
  <c r="F796" i="88"/>
  <c r="W494" i="260"/>
  <c r="F798" i="88"/>
  <c r="W493" i="260"/>
  <c r="F779" i="88"/>
  <c r="W492" i="260"/>
  <c r="F795" i="88"/>
  <c r="F794" i="88"/>
  <c r="F780" i="88"/>
  <c r="Q64" i="371"/>
  <c r="Q62" i="371"/>
  <c r="W491" i="260"/>
  <c r="P64" i="371"/>
  <c r="P62" i="371"/>
  <c r="F792" i="88"/>
  <c r="F790" i="88"/>
  <c r="F789" i="88"/>
  <c r="F787" i="88"/>
  <c r="F786" i="88"/>
  <c r="F785" i="88"/>
  <c r="F791" i="88"/>
  <c r="F783" i="88"/>
  <c r="F702" i="88"/>
  <c r="F778" i="88"/>
  <c r="F748" i="88"/>
  <c r="F763" i="88"/>
  <c r="K106" i="371"/>
  <c r="K64" i="371"/>
  <c r="K63" i="371"/>
  <c r="J64" i="371"/>
  <c r="J63" i="371"/>
  <c r="I64" i="371"/>
  <c r="I63" i="371"/>
  <c r="H64" i="371"/>
  <c r="H63" i="371"/>
  <c r="F756" i="88"/>
  <c r="F757" i="88"/>
  <c r="F767" i="88"/>
  <c r="F76" i="371"/>
  <c r="F65" i="371"/>
  <c r="F60" i="371"/>
  <c r="F34" i="371"/>
  <c r="F31" i="371"/>
  <c r="F25" i="371"/>
  <c r="F22" i="371"/>
  <c r="F17" i="371"/>
  <c r="C634" i="79" l="1"/>
  <c r="A636" i="79"/>
  <c r="A637" i="79"/>
  <c r="C635" i="79"/>
  <c r="F776" i="88"/>
  <c r="H31" i="371"/>
  <c r="H93" i="371" s="1"/>
  <c r="AC107" i="371"/>
  <c r="AB107" i="371"/>
  <c r="AA107" i="371"/>
  <c r="Z107" i="371"/>
  <c r="Y107" i="371"/>
  <c r="X107" i="371"/>
  <c r="W107" i="371"/>
  <c r="V107" i="371"/>
  <c r="T107" i="371"/>
  <c r="S107" i="371"/>
  <c r="R107" i="371"/>
  <c r="P107" i="371"/>
  <c r="O107" i="371"/>
  <c r="N107" i="371"/>
  <c r="M107" i="371"/>
  <c r="L107" i="371"/>
  <c r="K107" i="371"/>
  <c r="J107" i="371"/>
  <c r="I107" i="371"/>
  <c r="H107" i="371"/>
  <c r="G107" i="371"/>
  <c r="F107" i="371"/>
  <c r="U107" i="371"/>
  <c r="Q107" i="371"/>
  <c r="AC102" i="371"/>
  <c r="AB102" i="371"/>
  <c r="AA102" i="371"/>
  <c r="Z102" i="371"/>
  <c r="Y102" i="371"/>
  <c r="X102" i="371"/>
  <c r="W102" i="371"/>
  <c r="V102" i="371"/>
  <c r="U102" i="371"/>
  <c r="T102" i="371"/>
  <c r="S102" i="371"/>
  <c r="R102" i="371"/>
  <c r="Q102" i="371"/>
  <c r="P102" i="371"/>
  <c r="O102" i="371"/>
  <c r="N102" i="371"/>
  <c r="M102" i="371"/>
  <c r="L102" i="371"/>
  <c r="K102" i="371"/>
  <c r="J102" i="371"/>
  <c r="I102" i="371"/>
  <c r="H102" i="371"/>
  <c r="G102" i="371"/>
  <c r="F102" i="371"/>
  <c r="R101" i="371"/>
  <c r="Y100" i="371"/>
  <c r="X100" i="371"/>
  <c r="R100" i="371"/>
  <c r="AC99" i="371"/>
  <c r="AB99" i="371"/>
  <c r="AA99" i="371"/>
  <c r="I99" i="371"/>
  <c r="AB96" i="371"/>
  <c r="Q96" i="371"/>
  <c r="N96" i="371"/>
  <c r="F91" i="371"/>
  <c r="AC80" i="371"/>
  <c r="AC101" i="371" s="1"/>
  <c r="AB80" i="371"/>
  <c r="AB101" i="371" s="1"/>
  <c r="AA80" i="371"/>
  <c r="AA101" i="371" s="1"/>
  <c r="Z80" i="371"/>
  <c r="Z101" i="371" s="1"/>
  <c r="Y80" i="371"/>
  <c r="Y101" i="371" s="1"/>
  <c r="X80" i="371"/>
  <c r="X101" i="371" s="1"/>
  <c r="W80" i="371"/>
  <c r="W101" i="371" s="1"/>
  <c r="V80" i="371"/>
  <c r="V101" i="371" s="1"/>
  <c r="U80" i="371"/>
  <c r="U101" i="371" s="1"/>
  <c r="T80" i="371"/>
  <c r="T101" i="371" s="1"/>
  <c r="S80" i="371"/>
  <c r="S101" i="371" s="1"/>
  <c r="R80" i="371"/>
  <c r="Q80" i="371"/>
  <c r="Q101" i="371" s="1"/>
  <c r="P80" i="371"/>
  <c r="P101" i="371" s="1"/>
  <c r="O80" i="371"/>
  <c r="O101" i="371" s="1"/>
  <c r="N80" i="371"/>
  <c r="N101" i="371" s="1"/>
  <c r="M80" i="371"/>
  <c r="M101" i="371" s="1"/>
  <c r="L80" i="371"/>
  <c r="L101" i="371" s="1"/>
  <c r="K80" i="371"/>
  <c r="K101" i="371" s="1"/>
  <c r="J80" i="371"/>
  <c r="J101" i="371" s="1"/>
  <c r="I80" i="371"/>
  <c r="I101" i="371" s="1"/>
  <c r="H80" i="371"/>
  <c r="H101" i="371" s="1"/>
  <c r="G80" i="371"/>
  <c r="G101" i="371" s="1"/>
  <c r="F80" i="371"/>
  <c r="F101" i="371" s="1"/>
  <c r="C80" i="371"/>
  <c r="AH79" i="371"/>
  <c r="AG79" i="371"/>
  <c r="AF79" i="371"/>
  <c r="AH78" i="371"/>
  <c r="AG78" i="371"/>
  <c r="AF78" i="371"/>
  <c r="AI77" i="371"/>
  <c r="AC76" i="371"/>
  <c r="AC100" i="371" s="1"/>
  <c r="AB76" i="371"/>
  <c r="AB100" i="371" s="1"/>
  <c r="AA76" i="371"/>
  <c r="AA100" i="371" s="1"/>
  <c r="Z76" i="371"/>
  <c r="Z100" i="371" s="1"/>
  <c r="Y76" i="371"/>
  <c r="X76" i="371"/>
  <c r="W76" i="371"/>
  <c r="W100" i="371" s="1"/>
  <c r="V76" i="371"/>
  <c r="V100" i="371" s="1"/>
  <c r="U76" i="371"/>
  <c r="U100" i="371" s="1"/>
  <c r="T76" i="371"/>
  <c r="T100" i="371" s="1"/>
  <c r="S76" i="371"/>
  <c r="S100" i="371" s="1"/>
  <c r="R76" i="371"/>
  <c r="Q76" i="371"/>
  <c r="Q100" i="371" s="1"/>
  <c r="P76" i="371"/>
  <c r="P100" i="371" s="1"/>
  <c r="O76" i="371"/>
  <c r="O100" i="371" s="1"/>
  <c r="N76" i="371"/>
  <c r="N100" i="371" s="1"/>
  <c r="M76" i="371"/>
  <c r="M100" i="371" s="1"/>
  <c r="L76" i="371"/>
  <c r="L100" i="371" s="1"/>
  <c r="K76" i="371"/>
  <c r="K100" i="371" s="1"/>
  <c r="J76" i="371"/>
  <c r="J100" i="371" s="1"/>
  <c r="I76" i="371"/>
  <c r="I100" i="371" s="1"/>
  <c r="H76" i="371"/>
  <c r="H100" i="371" s="1"/>
  <c r="G76" i="371"/>
  <c r="G100" i="371" s="1"/>
  <c r="F100" i="371"/>
  <c r="C76" i="371"/>
  <c r="B76" i="371"/>
  <c r="B80" i="371" s="1"/>
  <c r="AH75" i="371"/>
  <c r="AG75" i="371"/>
  <c r="AF75" i="371"/>
  <c r="AH74" i="371"/>
  <c r="AG74" i="371"/>
  <c r="AF74" i="371"/>
  <c r="AH73" i="371"/>
  <c r="AG73" i="371"/>
  <c r="AF73" i="371"/>
  <c r="AH72" i="371"/>
  <c r="AG72" i="371"/>
  <c r="AF72" i="371"/>
  <c r="AH71" i="371"/>
  <c r="AG71" i="371"/>
  <c r="AF71" i="371"/>
  <c r="AH70" i="371"/>
  <c r="AG70" i="371"/>
  <c r="AF70" i="371"/>
  <c r="AH69" i="371"/>
  <c r="AG69" i="371"/>
  <c r="AF69" i="371"/>
  <c r="AH68" i="371"/>
  <c r="AG68" i="371"/>
  <c r="AF68" i="371"/>
  <c r="AH67" i="371"/>
  <c r="AG67" i="371"/>
  <c r="AF67" i="371"/>
  <c r="AI66" i="371"/>
  <c r="AC65" i="371"/>
  <c r="AB65" i="371"/>
  <c r="AA65" i="371"/>
  <c r="Z65" i="371"/>
  <c r="Z99" i="371" s="1"/>
  <c r="Y65" i="371"/>
  <c r="Y99" i="371" s="1"/>
  <c r="X65" i="371"/>
  <c r="X99" i="371" s="1"/>
  <c r="W65" i="371"/>
  <c r="W99" i="371" s="1"/>
  <c r="V65" i="371"/>
  <c r="V99" i="371" s="1"/>
  <c r="U65" i="371"/>
  <c r="U99" i="371" s="1"/>
  <c r="T65" i="371"/>
  <c r="T99" i="371" s="1"/>
  <c r="R65" i="371"/>
  <c r="R99" i="371" s="1"/>
  <c r="Q65" i="371"/>
  <c r="Q99" i="371" s="1"/>
  <c r="P65" i="371"/>
  <c r="P99" i="371" s="1"/>
  <c r="O65" i="371"/>
  <c r="O99" i="371" s="1"/>
  <c r="N65" i="371"/>
  <c r="N99" i="371" s="1"/>
  <c r="M65" i="371"/>
  <c r="M99" i="371" s="1"/>
  <c r="L65" i="371"/>
  <c r="L99" i="371" s="1"/>
  <c r="K65" i="371"/>
  <c r="K99" i="371" s="1"/>
  <c r="J65" i="371"/>
  <c r="J99" i="371" s="1"/>
  <c r="I65" i="371"/>
  <c r="H65" i="371"/>
  <c r="H99" i="371" s="1"/>
  <c r="G65" i="371"/>
  <c r="G99" i="371" s="1"/>
  <c r="F99" i="371"/>
  <c r="C65" i="371"/>
  <c r="AH64" i="371"/>
  <c r="AG64" i="371"/>
  <c r="AG63" i="371"/>
  <c r="AH63" i="371"/>
  <c r="AH62" i="371"/>
  <c r="AG62" i="371"/>
  <c r="AF62" i="371"/>
  <c r="AI61" i="371"/>
  <c r="AC60" i="371"/>
  <c r="AC98" i="371" s="1"/>
  <c r="AB60" i="371"/>
  <c r="AA60" i="371"/>
  <c r="Z60" i="371"/>
  <c r="Y60" i="371"/>
  <c r="Y98" i="371" s="1"/>
  <c r="X60" i="371"/>
  <c r="X98" i="371" s="1"/>
  <c r="T60" i="371"/>
  <c r="T98" i="371" s="1"/>
  <c r="S60" i="371"/>
  <c r="S98" i="371" s="1"/>
  <c r="R60" i="371"/>
  <c r="R98" i="371" s="1"/>
  <c r="Q60" i="371"/>
  <c r="Q98" i="371" s="1"/>
  <c r="P60" i="371"/>
  <c r="P98" i="371" s="1"/>
  <c r="O60" i="371"/>
  <c r="O98" i="371" s="1"/>
  <c r="N60" i="371"/>
  <c r="N98" i="371" s="1"/>
  <c r="M60" i="371"/>
  <c r="M98" i="371" s="1"/>
  <c r="L60" i="371"/>
  <c r="L98" i="371" s="1"/>
  <c r="K60" i="371"/>
  <c r="K98" i="371" s="1"/>
  <c r="J60" i="371"/>
  <c r="J98" i="371" s="1"/>
  <c r="I60" i="371"/>
  <c r="I98" i="371" s="1"/>
  <c r="H60" i="371"/>
  <c r="H98" i="371" s="1"/>
  <c r="G60" i="371"/>
  <c r="G98" i="371" s="1"/>
  <c r="F98" i="371"/>
  <c r="C60" i="371"/>
  <c r="B60" i="371"/>
  <c r="B65" i="371" s="1"/>
  <c r="AH59" i="371"/>
  <c r="AG59" i="371"/>
  <c r="AF59" i="371"/>
  <c r="AH58" i="371"/>
  <c r="AG58" i="371"/>
  <c r="AF58" i="371"/>
  <c r="AH57" i="371"/>
  <c r="AG57" i="371"/>
  <c r="AF57" i="371"/>
  <c r="V60" i="371"/>
  <c r="V98" i="371" s="1"/>
  <c r="AF51" i="371"/>
  <c r="AH50" i="371"/>
  <c r="AG50" i="371"/>
  <c r="AF50" i="371"/>
  <c r="AH49" i="371"/>
  <c r="AG49" i="371"/>
  <c r="AF49" i="371"/>
  <c r="AH48" i="371"/>
  <c r="AH46" i="371"/>
  <c r="AG46" i="371"/>
  <c r="AF46" i="371"/>
  <c r="AH45" i="371"/>
  <c r="AG45" i="371"/>
  <c r="AF45" i="371"/>
  <c r="AH44" i="371"/>
  <c r="AG44" i="371"/>
  <c r="AF44" i="371"/>
  <c r="AH43" i="371"/>
  <c r="AG43" i="371"/>
  <c r="AF43" i="371"/>
  <c r="AH42" i="371"/>
  <c r="AG42" i="371"/>
  <c r="AF42" i="371"/>
  <c r="AH41" i="371"/>
  <c r="AG41" i="371"/>
  <c r="AF41" i="371"/>
  <c r="AH40" i="371"/>
  <c r="AG40" i="371"/>
  <c r="AF40" i="371"/>
  <c r="AH39" i="371"/>
  <c r="AG39" i="371"/>
  <c r="AF39" i="371"/>
  <c r="AH38" i="371"/>
  <c r="AG38" i="371"/>
  <c r="AF38" i="371"/>
  <c r="AH37" i="371"/>
  <c r="AG37" i="371"/>
  <c r="AF37" i="371"/>
  <c r="AH36" i="371"/>
  <c r="AG36" i="371"/>
  <c r="AF36" i="371"/>
  <c r="AI35" i="371"/>
  <c r="AC34" i="371"/>
  <c r="AC96" i="371" s="1"/>
  <c r="AB34" i="371"/>
  <c r="AA34" i="371"/>
  <c r="AA96" i="371" s="1"/>
  <c r="Z34" i="371"/>
  <c r="Z96" i="371" s="1"/>
  <c r="Y34" i="371"/>
  <c r="Y96" i="371" s="1"/>
  <c r="X34" i="371"/>
  <c r="X96" i="371" s="1"/>
  <c r="W34" i="371"/>
  <c r="W96" i="371" s="1"/>
  <c r="V34" i="371"/>
  <c r="V96" i="371" s="1"/>
  <c r="U34" i="371"/>
  <c r="U96" i="371" s="1"/>
  <c r="T34" i="371"/>
  <c r="T96" i="371" s="1"/>
  <c r="S34" i="371"/>
  <c r="S96" i="371" s="1"/>
  <c r="R34" i="371"/>
  <c r="R96" i="371" s="1"/>
  <c r="Q34" i="371"/>
  <c r="P34" i="371"/>
  <c r="P96" i="371" s="1"/>
  <c r="O34" i="371"/>
  <c r="O96" i="371" s="1"/>
  <c r="N34" i="371"/>
  <c r="M34" i="371"/>
  <c r="M96" i="371" s="1"/>
  <c r="L34" i="371"/>
  <c r="L96" i="371" s="1"/>
  <c r="K34" i="371"/>
  <c r="K96" i="371" s="1"/>
  <c r="J34" i="371"/>
  <c r="J96" i="371" s="1"/>
  <c r="I34" i="371"/>
  <c r="I96" i="371" s="1"/>
  <c r="H34" i="371"/>
  <c r="H96" i="371" s="1"/>
  <c r="G34" i="371"/>
  <c r="G96" i="371" s="1"/>
  <c r="F96" i="371"/>
  <c r="C34" i="371"/>
  <c r="C83" i="371" s="1"/>
  <c r="B34" i="371"/>
  <c r="AH33" i="371"/>
  <c r="AG33" i="371"/>
  <c r="AF33" i="371"/>
  <c r="AI32" i="371"/>
  <c r="AC31" i="371"/>
  <c r="AC93" i="371" s="1"/>
  <c r="AB31" i="371"/>
  <c r="AB93" i="371" s="1"/>
  <c r="AA31" i="371"/>
  <c r="AA93" i="371" s="1"/>
  <c r="Z31" i="371"/>
  <c r="Y31" i="371"/>
  <c r="Y93" i="371" s="1"/>
  <c r="X31" i="371"/>
  <c r="X93" i="371" s="1"/>
  <c r="W31" i="371"/>
  <c r="W93" i="371" s="1"/>
  <c r="V31" i="371"/>
  <c r="V93" i="371" s="1"/>
  <c r="U31" i="371"/>
  <c r="U93" i="371" s="1"/>
  <c r="T31" i="371"/>
  <c r="T93" i="371" s="1"/>
  <c r="S31" i="371"/>
  <c r="S93" i="371" s="1"/>
  <c r="R31" i="371"/>
  <c r="R93" i="371" s="1"/>
  <c r="R109" i="371" s="1"/>
  <c r="Q31" i="371"/>
  <c r="Q93" i="371" s="1"/>
  <c r="Q109" i="371" s="1"/>
  <c r="P31" i="371"/>
  <c r="P93" i="371" s="1"/>
  <c r="P109" i="371" s="1"/>
  <c r="O31" i="371"/>
  <c r="O93" i="371" s="1"/>
  <c r="N31" i="371"/>
  <c r="N93" i="371" s="1"/>
  <c r="M31" i="371"/>
  <c r="M93" i="371" s="1"/>
  <c r="L31" i="371"/>
  <c r="L93" i="371" s="1"/>
  <c r="K31" i="371"/>
  <c r="K93" i="371" s="1"/>
  <c r="J31" i="371"/>
  <c r="J93" i="371" s="1"/>
  <c r="I31" i="371"/>
  <c r="I93" i="371" s="1"/>
  <c r="G31" i="371"/>
  <c r="G93" i="371" s="1"/>
  <c r="F93" i="371"/>
  <c r="C31" i="371"/>
  <c r="B31" i="371"/>
  <c r="AI28" i="371"/>
  <c r="AH28" i="371"/>
  <c r="AG28" i="371"/>
  <c r="AF28" i="371"/>
  <c r="AH27" i="371"/>
  <c r="AG27" i="371"/>
  <c r="AF27" i="371"/>
  <c r="AI26" i="371"/>
  <c r="AC25" i="371"/>
  <c r="AC89" i="371" s="1"/>
  <c r="AB25" i="371"/>
  <c r="AA25" i="371"/>
  <c r="Z25" i="371"/>
  <c r="Y25" i="371"/>
  <c r="X25" i="371"/>
  <c r="W25" i="371"/>
  <c r="V25" i="371"/>
  <c r="U25" i="371"/>
  <c r="T25" i="371"/>
  <c r="S25" i="371"/>
  <c r="R25" i="371"/>
  <c r="Q25" i="371"/>
  <c r="P25" i="371"/>
  <c r="O25" i="371"/>
  <c r="N25" i="371"/>
  <c r="M25" i="371"/>
  <c r="L25" i="371"/>
  <c r="K25" i="371"/>
  <c r="J25" i="371"/>
  <c r="J89" i="371" s="1"/>
  <c r="I25" i="371"/>
  <c r="I89" i="371" s="1"/>
  <c r="H25" i="371"/>
  <c r="G25" i="371"/>
  <c r="F110" i="371"/>
  <c r="C25" i="371"/>
  <c r="B25" i="371"/>
  <c r="AH24" i="371"/>
  <c r="AG24" i="371"/>
  <c r="AF24" i="371"/>
  <c r="AI23" i="371"/>
  <c r="AC22" i="371"/>
  <c r="AB22" i="371"/>
  <c r="AA22" i="371"/>
  <c r="Z22" i="371"/>
  <c r="Y22" i="371"/>
  <c r="X22" i="371"/>
  <c r="W22" i="371"/>
  <c r="V22" i="371"/>
  <c r="U22" i="371"/>
  <c r="T22" i="371"/>
  <c r="S22" i="371"/>
  <c r="S89" i="371" s="1"/>
  <c r="R22" i="371"/>
  <c r="R89" i="371" s="1"/>
  <c r="Q22" i="371"/>
  <c r="Q89" i="371" s="1"/>
  <c r="P22" i="371"/>
  <c r="O22" i="371"/>
  <c r="O89" i="371" s="1"/>
  <c r="N22" i="371"/>
  <c r="N89" i="371" s="1"/>
  <c r="M22" i="371"/>
  <c r="L22" i="371"/>
  <c r="K22" i="371"/>
  <c r="J22" i="371"/>
  <c r="I22" i="371"/>
  <c r="H22" i="371"/>
  <c r="G22" i="371"/>
  <c r="C22" i="371"/>
  <c r="B22" i="371"/>
  <c r="AH21" i="371"/>
  <c r="AG21" i="371"/>
  <c r="AF21" i="371"/>
  <c r="AH20" i="371"/>
  <c r="AG20" i="371"/>
  <c r="AF20" i="371"/>
  <c r="AH19" i="371"/>
  <c r="AG19" i="371"/>
  <c r="AF19" i="371"/>
  <c r="AI18" i="371"/>
  <c r="AC17" i="371"/>
  <c r="AB17" i="371"/>
  <c r="AA17" i="371"/>
  <c r="AA91" i="371" s="1"/>
  <c r="Z17" i="371"/>
  <c r="Z91" i="371" s="1"/>
  <c r="Y17" i="371"/>
  <c r="X17" i="371"/>
  <c r="X91" i="371" s="1"/>
  <c r="X109" i="371" s="1"/>
  <c r="W17" i="371"/>
  <c r="W91" i="371" s="1"/>
  <c r="V17" i="371"/>
  <c r="V91" i="371" s="1"/>
  <c r="U17" i="371"/>
  <c r="U91" i="371" s="1"/>
  <c r="T17" i="371"/>
  <c r="T91" i="371" s="1"/>
  <c r="S17" i="371"/>
  <c r="S91" i="371" s="1"/>
  <c r="R17" i="371"/>
  <c r="R91" i="371" s="1"/>
  <c r="Q17" i="371"/>
  <c r="Q91" i="371" s="1"/>
  <c r="P17" i="371"/>
  <c r="P91" i="371" s="1"/>
  <c r="O17" i="371"/>
  <c r="N17" i="371"/>
  <c r="M17" i="371"/>
  <c r="M91" i="371" s="1"/>
  <c r="L17" i="371"/>
  <c r="L91" i="371" s="1"/>
  <c r="K17" i="371"/>
  <c r="K91" i="371" s="1"/>
  <c r="J17" i="371"/>
  <c r="J91" i="371" s="1"/>
  <c r="I17" i="371"/>
  <c r="H17" i="371"/>
  <c r="G17" i="371"/>
  <c r="G91" i="371" s="1"/>
  <c r="C17" i="371"/>
  <c r="B17" i="371"/>
  <c r="AH16" i="371"/>
  <c r="AG16" i="371"/>
  <c r="AF16" i="371"/>
  <c r="AH15" i="371"/>
  <c r="AG15" i="371"/>
  <c r="AF15" i="371"/>
  <c r="AH14" i="371"/>
  <c r="AG14" i="371"/>
  <c r="AF14" i="371"/>
  <c r="AH13" i="371"/>
  <c r="AG13" i="371"/>
  <c r="AF13" i="371"/>
  <c r="AI12" i="371"/>
  <c r="M9" i="371" a="1"/>
  <c r="M9" i="371" s="1"/>
  <c r="F772" i="88"/>
  <c r="F774" i="88"/>
  <c r="W477" i="260"/>
  <c r="F775" i="88"/>
  <c r="F777" i="88"/>
  <c r="F773" i="88"/>
  <c r="W476" i="260"/>
  <c r="F732" i="88"/>
  <c r="C637" i="79" l="1"/>
  <c r="A639" i="79"/>
  <c r="A638" i="79"/>
  <c r="C636" i="79"/>
  <c r="AB89" i="371"/>
  <c r="AA89" i="371"/>
  <c r="AA83" i="371"/>
  <c r="Z89" i="371"/>
  <c r="B83" i="371"/>
  <c r="Z83" i="371"/>
  <c r="Y89" i="371"/>
  <c r="X89" i="371"/>
  <c r="X103" i="371" s="1"/>
  <c r="X108" i="371" s="1"/>
  <c r="W109" i="371"/>
  <c r="U89" i="371"/>
  <c r="U109" i="371"/>
  <c r="T89" i="371"/>
  <c r="T109" i="371"/>
  <c r="S109" i="371"/>
  <c r="P89" i="371"/>
  <c r="K89" i="371"/>
  <c r="K103" i="371"/>
  <c r="K108" i="371" s="1"/>
  <c r="G83" i="371"/>
  <c r="V109" i="371"/>
  <c r="K83" i="371"/>
  <c r="L83" i="371"/>
  <c r="M83" i="371"/>
  <c r="T103" i="371"/>
  <c r="T108" i="371" s="1"/>
  <c r="L89" i="371"/>
  <c r="L103" i="371" s="1"/>
  <c r="L108" i="371" s="1"/>
  <c r="Y110" i="371"/>
  <c r="Z110" i="371"/>
  <c r="AB83" i="371"/>
  <c r="O110" i="371"/>
  <c r="V89" i="371"/>
  <c r="V103" i="371" s="1"/>
  <c r="V108" i="371" s="1"/>
  <c r="Z98" i="371"/>
  <c r="H83" i="371"/>
  <c r="G110" i="371"/>
  <c r="AA110" i="371"/>
  <c r="AA98" i="371"/>
  <c r="AA103" i="371" s="1"/>
  <c r="AA108" i="371" s="1"/>
  <c r="AB98" i="371"/>
  <c r="H110" i="371"/>
  <c r="AB110" i="371"/>
  <c r="M89" i="371"/>
  <c r="M103" i="371" s="1"/>
  <c r="M108" i="371" s="1"/>
  <c r="W89" i="371"/>
  <c r="Y83" i="371"/>
  <c r="Y91" i="371"/>
  <c r="Y109" i="371" s="1"/>
  <c r="J103" i="371"/>
  <c r="J108" i="371" s="1"/>
  <c r="X83" i="371"/>
  <c r="I110" i="371"/>
  <c r="I91" i="371"/>
  <c r="I109" i="371" s="1"/>
  <c r="AC110" i="371"/>
  <c r="AC91" i="371"/>
  <c r="AC109" i="371" s="1"/>
  <c r="G109" i="371"/>
  <c r="AG51" i="371"/>
  <c r="M109" i="371"/>
  <c r="AI36" i="371"/>
  <c r="N91" i="371"/>
  <c r="N109" i="371" s="1"/>
  <c r="N83" i="371"/>
  <c r="R103" i="371"/>
  <c r="R108" i="371" s="1"/>
  <c r="AF47" i="371"/>
  <c r="G89" i="371"/>
  <c r="G103" i="371" s="1"/>
  <c r="G108" i="371" s="1"/>
  <c r="AG47" i="371"/>
  <c r="J110" i="371"/>
  <c r="Q83" i="371"/>
  <c r="K110" i="371"/>
  <c r="T110" i="371"/>
  <c r="M110" i="371"/>
  <c r="T83" i="371"/>
  <c r="F83" i="371"/>
  <c r="N110" i="371"/>
  <c r="AC83" i="371"/>
  <c r="F89" i="371"/>
  <c r="F103" i="371" s="1"/>
  <c r="F108" i="371" s="1"/>
  <c r="U110" i="371"/>
  <c r="V110" i="371"/>
  <c r="S65" i="371"/>
  <c r="S99" i="371" s="1"/>
  <c r="S103" i="371" s="1"/>
  <c r="S108" i="371" s="1"/>
  <c r="AA109" i="371"/>
  <c r="F109" i="371"/>
  <c r="K109" i="371"/>
  <c r="L109" i="371"/>
  <c r="AH51" i="371"/>
  <c r="Q103" i="371"/>
  <c r="Q108" i="371" s="1"/>
  <c r="AH56" i="371"/>
  <c r="AG56" i="371"/>
  <c r="AF56" i="371"/>
  <c r="P83" i="371"/>
  <c r="H89" i="371"/>
  <c r="V83" i="371"/>
  <c r="W110" i="371"/>
  <c r="U60" i="371"/>
  <c r="U98" i="371" s="1"/>
  <c r="U103" i="371" s="1"/>
  <c r="U108" i="371" s="1"/>
  <c r="P110" i="371"/>
  <c r="J109" i="371"/>
  <c r="P103" i="371"/>
  <c r="P108" i="371" s="1"/>
  <c r="O91" i="371"/>
  <c r="O109" i="371" s="1"/>
  <c r="O83" i="371"/>
  <c r="AH47" i="371"/>
  <c r="S110" i="371"/>
  <c r="X110" i="371"/>
  <c r="AF64" i="371"/>
  <c r="I83" i="371"/>
  <c r="Q110" i="371"/>
  <c r="R83" i="371"/>
  <c r="L110" i="371"/>
  <c r="W60" i="371"/>
  <c r="W98" i="371" s="1"/>
  <c r="J83" i="371"/>
  <c r="R110" i="371"/>
  <c r="H91" i="371"/>
  <c r="H109" i="371" s="1"/>
  <c r="AB91" i="371"/>
  <c r="AB109" i="371" s="1"/>
  <c r="AF48" i="371"/>
  <c r="AG48" i="371"/>
  <c r="Z93" i="371"/>
  <c r="AF63" i="371"/>
  <c r="C638" i="79" l="1"/>
  <c r="A640" i="79"/>
  <c r="A641" i="79"/>
  <c r="C639" i="79"/>
  <c r="Z103" i="371"/>
  <c r="Z108" i="371" s="1"/>
  <c r="W103" i="371"/>
  <c r="W108" i="371" s="1"/>
  <c r="U83" i="371"/>
  <c r="N103" i="371"/>
  <c r="N108" i="371" s="1"/>
  <c r="Y103" i="371"/>
  <c r="Y108" i="371" s="1"/>
  <c r="S83" i="371"/>
  <c r="O103" i="371"/>
  <c r="O108" i="371" s="1"/>
  <c r="Z109" i="371"/>
  <c r="I103" i="371"/>
  <c r="I108" i="371" s="1"/>
  <c r="AB103" i="371"/>
  <c r="AB108" i="371" s="1"/>
  <c r="W83" i="371"/>
  <c r="AC103" i="371"/>
  <c r="AC108" i="371" s="1"/>
  <c r="H103" i="371"/>
  <c r="H108" i="371" s="1"/>
  <c r="F770" i="88"/>
  <c r="F769" i="88"/>
  <c r="F768" i="88"/>
  <c r="AE475" i="260"/>
  <c r="F764" i="88"/>
  <c r="F766" i="88"/>
  <c r="F760" i="88"/>
  <c r="F755" i="88"/>
  <c r="F761" i="88"/>
  <c r="F759" i="88"/>
  <c r="F711" i="88"/>
  <c r="F758" i="88"/>
  <c r="F765" i="88"/>
  <c r="F762" i="88"/>
  <c r="F753" i="88"/>
  <c r="R473" i="260" a="1"/>
  <c r="A643" i="79" l="1"/>
  <c r="C641" i="79"/>
  <c r="C640" i="79"/>
  <c r="A642" i="79"/>
  <c r="R473" i="260"/>
  <c r="Y47" i="370"/>
  <c r="X106" i="370"/>
  <c r="F754" i="88"/>
  <c r="F752" i="88"/>
  <c r="F751" i="88"/>
  <c r="F749" i="88"/>
  <c r="W64" i="370"/>
  <c r="W63" i="370"/>
  <c r="W56" i="370"/>
  <c r="W51" i="370"/>
  <c r="W48" i="370"/>
  <c r="W47" i="370"/>
  <c r="C642" i="79" l="1"/>
  <c r="A644" i="79"/>
  <c r="C643" i="79"/>
  <c r="A645" i="79"/>
  <c r="W106" i="370"/>
  <c r="V106" i="370"/>
  <c r="V48" i="370"/>
  <c r="V51" i="370"/>
  <c r="V56" i="370"/>
  <c r="U56" i="370"/>
  <c r="U51" i="370"/>
  <c r="U48" i="370"/>
  <c r="T106" i="370"/>
  <c r="U106" i="370"/>
  <c r="U63" i="370"/>
  <c r="U64" i="370"/>
  <c r="T64" i="370"/>
  <c r="T63" i="370"/>
  <c r="F750" i="88"/>
  <c r="S106" i="370"/>
  <c r="S64" i="370"/>
  <c r="S63" i="370"/>
  <c r="F740" i="88"/>
  <c r="R106" i="370"/>
  <c r="Q106" i="370"/>
  <c r="F741" i="88"/>
  <c r="F746" i="88"/>
  <c r="F745" i="88"/>
  <c r="F744" i="88"/>
  <c r="F743" i="88"/>
  <c r="P106" i="370"/>
  <c r="F742" i="88"/>
  <c r="F735" i="88"/>
  <c r="F738" i="88"/>
  <c r="M106" i="370"/>
  <c r="N106" i="370"/>
  <c r="F739" i="88"/>
  <c r="F719" i="88"/>
  <c r="F736" i="88"/>
  <c r="F734" i="88"/>
  <c r="F733" i="88"/>
  <c r="F724" i="88"/>
  <c r="L106" i="370"/>
  <c r="F730" i="88"/>
  <c r="I106" i="370"/>
  <c r="I107" i="370" s="1"/>
  <c r="F701" i="88"/>
  <c r="F731" i="88"/>
  <c r="F707" i="88"/>
  <c r="K106" i="370"/>
  <c r="K107" i="370" s="1"/>
  <c r="J106" i="370"/>
  <c r="H106" i="370"/>
  <c r="G106" i="370"/>
  <c r="F106" i="370"/>
  <c r="F107" i="370" s="1"/>
  <c r="F725" i="88"/>
  <c r="F80" i="370"/>
  <c r="F76" i="370"/>
  <c r="F60" i="370"/>
  <c r="F34" i="370"/>
  <c r="F96" i="370" s="1"/>
  <c r="F31" i="370"/>
  <c r="F93" i="370" s="1"/>
  <c r="F25" i="370"/>
  <c r="F22" i="370"/>
  <c r="F17" i="370"/>
  <c r="F100" i="370"/>
  <c r="F91" i="370"/>
  <c r="AC107" i="370"/>
  <c r="AB107" i="370"/>
  <c r="AA107" i="370"/>
  <c r="Z107" i="370"/>
  <c r="Y107" i="370"/>
  <c r="X107" i="370"/>
  <c r="W107" i="370"/>
  <c r="V107" i="370"/>
  <c r="U107" i="370"/>
  <c r="T107" i="370"/>
  <c r="O107" i="370"/>
  <c r="N107" i="370"/>
  <c r="M107" i="370"/>
  <c r="L107" i="370"/>
  <c r="J107" i="370"/>
  <c r="H107" i="370"/>
  <c r="G107" i="370"/>
  <c r="S107" i="370"/>
  <c r="R107" i="370"/>
  <c r="Q107" i="370"/>
  <c r="P107" i="370"/>
  <c r="AC102" i="370"/>
  <c r="AB102" i="370"/>
  <c r="AA102" i="370"/>
  <c r="Z102" i="370"/>
  <c r="Y102" i="370"/>
  <c r="X102" i="370"/>
  <c r="W102" i="370"/>
  <c r="V102" i="370"/>
  <c r="U102" i="370"/>
  <c r="T102" i="370"/>
  <c r="S102" i="370"/>
  <c r="R102" i="370"/>
  <c r="Q102" i="370"/>
  <c r="P102" i="370"/>
  <c r="O102" i="370"/>
  <c r="N102" i="370"/>
  <c r="M102" i="370"/>
  <c r="L102" i="370"/>
  <c r="K102" i="370"/>
  <c r="J102" i="370"/>
  <c r="I102" i="370"/>
  <c r="H102" i="370"/>
  <c r="G102" i="370"/>
  <c r="F102" i="370"/>
  <c r="K101" i="370"/>
  <c r="F101" i="370"/>
  <c r="AB100" i="370"/>
  <c r="Z100" i="370"/>
  <c r="Y100" i="370"/>
  <c r="X100" i="370"/>
  <c r="J100" i="370"/>
  <c r="R99" i="370"/>
  <c r="F98" i="370"/>
  <c r="T96" i="370"/>
  <c r="S96" i="370"/>
  <c r="H93" i="370"/>
  <c r="AA91" i="370"/>
  <c r="Y91" i="370"/>
  <c r="I91" i="370"/>
  <c r="AC80" i="370"/>
  <c r="AC101" i="370" s="1"/>
  <c r="AB80" i="370"/>
  <c r="AB101" i="370" s="1"/>
  <c r="AA80" i="370"/>
  <c r="AA101" i="370" s="1"/>
  <c r="Z80" i="370"/>
  <c r="Z101" i="370" s="1"/>
  <c r="Y80" i="370"/>
  <c r="Y101" i="370" s="1"/>
  <c r="X80" i="370"/>
  <c r="X101" i="370" s="1"/>
  <c r="W80" i="370"/>
  <c r="W101" i="370" s="1"/>
  <c r="V80" i="370"/>
  <c r="V101" i="370" s="1"/>
  <c r="U80" i="370"/>
  <c r="U101" i="370" s="1"/>
  <c r="T80" i="370"/>
  <c r="T101" i="370" s="1"/>
  <c r="S80" i="370"/>
  <c r="S101" i="370" s="1"/>
  <c r="R80" i="370"/>
  <c r="R101" i="370" s="1"/>
  <c r="Q80" i="370"/>
  <c r="Q101" i="370" s="1"/>
  <c r="P80" i="370"/>
  <c r="P101" i="370" s="1"/>
  <c r="O80" i="370"/>
  <c r="O101" i="370" s="1"/>
  <c r="N80" i="370"/>
  <c r="N101" i="370" s="1"/>
  <c r="M80" i="370"/>
  <c r="M101" i="370" s="1"/>
  <c r="L80" i="370"/>
  <c r="L101" i="370" s="1"/>
  <c r="K80" i="370"/>
  <c r="J80" i="370"/>
  <c r="J101" i="370" s="1"/>
  <c r="I80" i="370"/>
  <c r="I101" i="370" s="1"/>
  <c r="H80" i="370"/>
  <c r="H101" i="370" s="1"/>
  <c r="G80" i="370"/>
  <c r="G101" i="370" s="1"/>
  <c r="C80" i="370"/>
  <c r="B80" i="370"/>
  <c r="B25" i="370" s="1"/>
  <c r="AH79" i="370"/>
  <c r="AG79" i="370"/>
  <c r="AF79" i="370"/>
  <c r="AH78" i="370"/>
  <c r="AG78" i="370"/>
  <c r="AF78" i="370"/>
  <c r="AI77" i="370"/>
  <c r="AC76" i="370"/>
  <c r="AC100" i="370" s="1"/>
  <c r="AB76" i="370"/>
  <c r="AA76" i="370"/>
  <c r="AA100" i="370" s="1"/>
  <c r="Z76" i="370"/>
  <c r="Y76" i="370"/>
  <c r="X76" i="370"/>
  <c r="W76" i="370"/>
  <c r="W100" i="370" s="1"/>
  <c r="V76" i="370"/>
  <c r="V100" i="370" s="1"/>
  <c r="U76" i="370"/>
  <c r="U100" i="370" s="1"/>
  <c r="T76" i="370"/>
  <c r="T100" i="370" s="1"/>
  <c r="S76" i="370"/>
  <c r="S100" i="370" s="1"/>
  <c r="R76" i="370"/>
  <c r="R100" i="370" s="1"/>
  <c r="Q76" i="370"/>
  <c r="Q100" i="370" s="1"/>
  <c r="P76" i="370"/>
  <c r="P100" i="370" s="1"/>
  <c r="O76" i="370"/>
  <c r="O100" i="370" s="1"/>
  <c r="N76" i="370"/>
  <c r="N100" i="370" s="1"/>
  <c r="M76" i="370"/>
  <c r="M100" i="370" s="1"/>
  <c r="L76" i="370"/>
  <c r="L100" i="370" s="1"/>
  <c r="K76" i="370"/>
  <c r="K100" i="370" s="1"/>
  <c r="J76" i="370"/>
  <c r="I76" i="370"/>
  <c r="I100" i="370" s="1"/>
  <c r="H76" i="370"/>
  <c r="H100" i="370" s="1"/>
  <c r="G76" i="370"/>
  <c r="G100" i="370" s="1"/>
  <c r="C76" i="370"/>
  <c r="B76" i="370"/>
  <c r="AH75" i="370"/>
  <c r="AG75" i="370"/>
  <c r="AF75" i="370"/>
  <c r="AH74" i="370"/>
  <c r="AG74" i="370"/>
  <c r="AF74" i="370"/>
  <c r="AH73" i="370"/>
  <c r="AG73" i="370"/>
  <c r="AF73" i="370"/>
  <c r="AH72" i="370"/>
  <c r="AG72" i="370"/>
  <c r="AF72" i="370"/>
  <c r="AH71" i="370"/>
  <c r="AG71" i="370"/>
  <c r="AF71" i="370"/>
  <c r="AH70" i="370"/>
  <c r="AG70" i="370"/>
  <c r="AF70" i="370"/>
  <c r="AH69" i="370"/>
  <c r="AG69" i="370"/>
  <c r="AF69" i="370"/>
  <c r="AH68" i="370"/>
  <c r="AG68" i="370"/>
  <c r="AF68" i="370"/>
  <c r="AH67" i="370"/>
  <c r="AG67" i="370"/>
  <c r="AF67" i="370"/>
  <c r="AI66" i="370"/>
  <c r="AC65" i="370"/>
  <c r="AC99" i="370" s="1"/>
  <c r="AB65" i="370"/>
  <c r="AB99" i="370" s="1"/>
  <c r="AA65" i="370"/>
  <c r="AA99" i="370" s="1"/>
  <c r="Z65" i="370"/>
  <c r="Z99" i="370" s="1"/>
  <c r="Y65" i="370"/>
  <c r="Y99" i="370" s="1"/>
  <c r="X65" i="370"/>
  <c r="X99" i="370" s="1"/>
  <c r="W65" i="370"/>
  <c r="W99" i="370" s="1"/>
  <c r="V65" i="370"/>
  <c r="V99" i="370" s="1"/>
  <c r="U65" i="370"/>
  <c r="U99" i="370" s="1"/>
  <c r="T65" i="370"/>
  <c r="T99" i="370" s="1"/>
  <c r="S65" i="370"/>
  <c r="S99" i="370" s="1"/>
  <c r="R65" i="370"/>
  <c r="Q65" i="370"/>
  <c r="Q99" i="370" s="1"/>
  <c r="O65" i="370"/>
  <c r="O99" i="370" s="1"/>
  <c r="N65" i="370"/>
  <c r="N99" i="370" s="1"/>
  <c r="M65" i="370"/>
  <c r="M99" i="370" s="1"/>
  <c r="L65" i="370"/>
  <c r="L99" i="370" s="1"/>
  <c r="K65" i="370"/>
  <c r="K99" i="370" s="1"/>
  <c r="J65" i="370"/>
  <c r="J99" i="370" s="1"/>
  <c r="I65" i="370"/>
  <c r="I99" i="370" s="1"/>
  <c r="H65" i="370"/>
  <c r="H99" i="370" s="1"/>
  <c r="G65" i="370"/>
  <c r="G99" i="370" s="1"/>
  <c r="C65" i="370"/>
  <c r="AG64" i="370"/>
  <c r="AC60" i="370"/>
  <c r="AC98" i="370" s="1"/>
  <c r="AB60" i="370"/>
  <c r="AB98" i="370" s="1"/>
  <c r="Z60" i="370"/>
  <c r="Z98" i="370" s="1"/>
  <c r="Y60" i="370"/>
  <c r="Y98" i="370" s="1"/>
  <c r="X60" i="370"/>
  <c r="X98" i="370" s="1"/>
  <c r="W60" i="370"/>
  <c r="W98" i="370" s="1"/>
  <c r="V60" i="370"/>
  <c r="V98" i="370" s="1"/>
  <c r="U60" i="370"/>
  <c r="U98" i="370" s="1"/>
  <c r="T60" i="370"/>
  <c r="T98" i="370" s="1"/>
  <c r="S60" i="370"/>
  <c r="S98" i="370" s="1"/>
  <c r="R60" i="370"/>
  <c r="R98" i="370" s="1"/>
  <c r="Q60" i="370"/>
  <c r="Q98" i="370" s="1"/>
  <c r="P60" i="370"/>
  <c r="P98" i="370" s="1"/>
  <c r="O60" i="370"/>
  <c r="O98" i="370" s="1"/>
  <c r="N60" i="370"/>
  <c r="N98" i="370" s="1"/>
  <c r="M60" i="370"/>
  <c r="M98" i="370" s="1"/>
  <c r="L60" i="370"/>
  <c r="L98" i="370" s="1"/>
  <c r="K60" i="370"/>
  <c r="K98" i="370" s="1"/>
  <c r="J60" i="370"/>
  <c r="J98" i="370" s="1"/>
  <c r="I60" i="370"/>
  <c r="I98" i="370" s="1"/>
  <c r="H60" i="370"/>
  <c r="H98" i="370" s="1"/>
  <c r="G60" i="370"/>
  <c r="G98" i="370" s="1"/>
  <c r="C60" i="370"/>
  <c r="B60" i="370"/>
  <c r="B65" i="370" s="1"/>
  <c r="AH59" i="370"/>
  <c r="AG59" i="370"/>
  <c r="AF59" i="370"/>
  <c r="AH58" i="370"/>
  <c r="AG58" i="370"/>
  <c r="AF58" i="370"/>
  <c r="AH57" i="370"/>
  <c r="AG57" i="370"/>
  <c r="AF57" i="370"/>
  <c r="AH56" i="370"/>
  <c r="AG56" i="370"/>
  <c r="AF56" i="370"/>
  <c r="AH51" i="370"/>
  <c r="AG51" i="370"/>
  <c r="AF51" i="370"/>
  <c r="AH50" i="370"/>
  <c r="AG50" i="370"/>
  <c r="AF50" i="370"/>
  <c r="AH49" i="370"/>
  <c r="AG49" i="370"/>
  <c r="AF49" i="370"/>
  <c r="AG47" i="370"/>
  <c r="AH46" i="370"/>
  <c r="AG46" i="370"/>
  <c r="AF46" i="370"/>
  <c r="AH45" i="370"/>
  <c r="AG45" i="370"/>
  <c r="AF45" i="370"/>
  <c r="AH44" i="370"/>
  <c r="AG44" i="370"/>
  <c r="AF44" i="370"/>
  <c r="AH43" i="370"/>
  <c r="AG43" i="370"/>
  <c r="AF43" i="370"/>
  <c r="AH42" i="370"/>
  <c r="AG42" i="370"/>
  <c r="AF42" i="370"/>
  <c r="AH41" i="370"/>
  <c r="AG41" i="370"/>
  <c r="AF41" i="370"/>
  <c r="AH40" i="370"/>
  <c r="AG40" i="370"/>
  <c r="AF40" i="370"/>
  <c r="AH39" i="370"/>
  <c r="AG39" i="370"/>
  <c r="AF39" i="370"/>
  <c r="AH38" i="370"/>
  <c r="AG38" i="370"/>
  <c r="AF38" i="370"/>
  <c r="AH37" i="370"/>
  <c r="AG37" i="370"/>
  <c r="AF37" i="370"/>
  <c r="AH36" i="370"/>
  <c r="AG36" i="370"/>
  <c r="AF36" i="370"/>
  <c r="AI35" i="370"/>
  <c r="AC34" i="370"/>
  <c r="AC96" i="370" s="1"/>
  <c r="AB34" i="370"/>
  <c r="AB96" i="370" s="1"/>
  <c r="AA34" i="370"/>
  <c r="AA96" i="370" s="1"/>
  <c r="Z34" i="370"/>
  <c r="Z96" i="370" s="1"/>
  <c r="Y34" i="370"/>
  <c r="Y96" i="370" s="1"/>
  <c r="X34" i="370"/>
  <c r="X96" i="370" s="1"/>
  <c r="W34" i="370"/>
  <c r="W96" i="370" s="1"/>
  <c r="V34" i="370"/>
  <c r="V96" i="370" s="1"/>
  <c r="U34" i="370"/>
  <c r="U96" i="370" s="1"/>
  <c r="T34" i="370"/>
  <c r="S34" i="370"/>
  <c r="R34" i="370"/>
  <c r="R96" i="370" s="1"/>
  <c r="Q34" i="370"/>
  <c r="Q96" i="370" s="1"/>
  <c r="P34" i="370"/>
  <c r="P96" i="370" s="1"/>
  <c r="O34" i="370"/>
  <c r="O96" i="370" s="1"/>
  <c r="N34" i="370"/>
  <c r="N96" i="370" s="1"/>
  <c r="M34" i="370"/>
  <c r="M96" i="370" s="1"/>
  <c r="L34" i="370"/>
  <c r="L96" i="370" s="1"/>
  <c r="K34" i="370"/>
  <c r="K96" i="370" s="1"/>
  <c r="J34" i="370"/>
  <c r="J96" i="370" s="1"/>
  <c r="I34" i="370"/>
  <c r="I96" i="370" s="1"/>
  <c r="H34" i="370"/>
  <c r="H96" i="370" s="1"/>
  <c r="G34" i="370"/>
  <c r="G96" i="370" s="1"/>
  <c r="C34" i="370"/>
  <c r="B34" i="370"/>
  <c r="AH33" i="370"/>
  <c r="AG33" i="370"/>
  <c r="AF33" i="370"/>
  <c r="AI32" i="370"/>
  <c r="AC31" i="370"/>
  <c r="AC93" i="370" s="1"/>
  <c r="AB31" i="370"/>
  <c r="AB93" i="370" s="1"/>
  <c r="AA31" i="370"/>
  <c r="AA93" i="370" s="1"/>
  <c r="Z31" i="370"/>
  <c r="Z93" i="370" s="1"/>
  <c r="Y31" i="370"/>
  <c r="Y93" i="370" s="1"/>
  <c r="X31" i="370"/>
  <c r="X93" i="370" s="1"/>
  <c r="W31" i="370"/>
  <c r="W93" i="370" s="1"/>
  <c r="V31" i="370"/>
  <c r="V93" i="370" s="1"/>
  <c r="U31" i="370"/>
  <c r="U93" i="370" s="1"/>
  <c r="T31" i="370"/>
  <c r="T93" i="370" s="1"/>
  <c r="T109" i="370" s="1"/>
  <c r="S31" i="370"/>
  <c r="S93" i="370" s="1"/>
  <c r="R31" i="370"/>
  <c r="R93" i="370" s="1"/>
  <c r="Q31" i="370"/>
  <c r="Q93" i="370" s="1"/>
  <c r="P31" i="370"/>
  <c r="P93" i="370" s="1"/>
  <c r="P109" i="370" s="1"/>
  <c r="O31" i="370"/>
  <c r="O93" i="370" s="1"/>
  <c r="N31" i="370"/>
  <c r="N93" i="370" s="1"/>
  <c r="M31" i="370"/>
  <c r="M93" i="370" s="1"/>
  <c r="L31" i="370"/>
  <c r="L93" i="370" s="1"/>
  <c r="K31" i="370"/>
  <c r="K93" i="370" s="1"/>
  <c r="J31" i="370"/>
  <c r="J93" i="370" s="1"/>
  <c r="I31" i="370"/>
  <c r="I93" i="370" s="1"/>
  <c r="G31" i="370"/>
  <c r="G93" i="370" s="1"/>
  <c r="C31" i="370"/>
  <c r="B31" i="370"/>
  <c r="AI28" i="370"/>
  <c r="AH28" i="370"/>
  <c r="AG28" i="370"/>
  <c r="AF28" i="370"/>
  <c r="AH27" i="370"/>
  <c r="AG27" i="370"/>
  <c r="AF27" i="370"/>
  <c r="AI26" i="370"/>
  <c r="AC25" i="370"/>
  <c r="AC89" i="370" s="1"/>
  <c r="AB25" i="370"/>
  <c r="AA25" i="370"/>
  <c r="Z25" i="370"/>
  <c r="Y25" i="370"/>
  <c r="X25" i="370"/>
  <c r="W25" i="370"/>
  <c r="V25" i="370"/>
  <c r="U25" i="370"/>
  <c r="T25" i="370"/>
  <c r="S25" i="370"/>
  <c r="R25" i="370"/>
  <c r="Q25" i="370"/>
  <c r="P25" i="370"/>
  <c r="O25" i="370"/>
  <c r="N25" i="370"/>
  <c r="M25" i="370"/>
  <c r="L25" i="370"/>
  <c r="L89" i="370" s="1"/>
  <c r="K25" i="370"/>
  <c r="K89" i="370" s="1"/>
  <c r="J25" i="370"/>
  <c r="I25" i="370"/>
  <c r="H25" i="370"/>
  <c r="H89" i="370" s="1"/>
  <c r="G25" i="370"/>
  <c r="C25" i="370"/>
  <c r="AH24" i="370"/>
  <c r="AG24" i="370"/>
  <c r="AF24" i="370"/>
  <c r="AI23" i="370"/>
  <c r="AC22" i="370"/>
  <c r="AB22" i="370"/>
  <c r="AA22" i="370"/>
  <c r="Z22" i="370"/>
  <c r="Y22" i="370"/>
  <c r="X22" i="370"/>
  <c r="W22" i="370"/>
  <c r="V22" i="370"/>
  <c r="U22" i="370"/>
  <c r="T22" i="370"/>
  <c r="S22" i="370"/>
  <c r="R22" i="370"/>
  <c r="Q22" i="370"/>
  <c r="Q89" i="370" s="1"/>
  <c r="P22" i="370"/>
  <c r="O22" i="370"/>
  <c r="N22" i="370"/>
  <c r="N89" i="370" s="1"/>
  <c r="M22" i="370"/>
  <c r="L22" i="370"/>
  <c r="K22" i="370"/>
  <c r="J22" i="370"/>
  <c r="I22" i="370"/>
  <c r="H22" i="370"/>
  <c r="G22" i="370"/>
  <c r="C22" i="370"/>
  <c r="B22" i="370"/>
  <c r="AH21" i="370"/>
  <c r="AG21" i="370"/>
  <c r="AF21" i="370"/>
  <c r="AH20" i="370"/>
  <c r="AG20" i="370"/>
  <c r="AF20" i="370"/>
  <c r="AH19" i="370"/>
  <c r="AG19" i="370"/>
  <c r="AF19" i="370"/>
  <c r="AI18" i="370"/>
  <c r="AC17" i="370"/>
  <c r="AC91" i="370" s="1"/>
  <c r="AB17" i="370"/>
  <c r="AB91" i="370" s="1"/>
  <c r="AA17" i="370"/>
  <c r="Z17" i="370"/>
  <c r="Z91" i="370" s="1"/>
  <c r="Y17" i="370"/>
  <c r="X17" i="370"/>
  <c r="X91" i="370" s="1"/>
  <c r="W17" i="370"/>
  <c r="W91" i="370" s="1"/>
  <c r="V17" i="370"/>
  <c r="V91" i="370" s="1"/>
  <c r="U17" i="370"/>
  <c r="U91" i="370" s="1"/>
  <c r="T17" i="370"/>
  <c r="T91" i="370" s="1"/>
  <c r="S17" i="370"/>
  <c r="R17" i="370"/>
  <c r="Q17" i="370"/>
  <c r="Q91" i="370" s="1"/>
  <c r="P17" i="370"/>
  <c r="P91" i="370" s="1"/>
  <c r="O17" i="370"/>
  <c r="O91" i="370" s="1"/>
  <c r="N17" i="370"/>
  <c r="N91" i="370" s="1"/>
  <c r="M17" i="370"/>
  <c r="M91" i="370" s="1"/>
  <c r="L17" i="370"/>
  <c r="L91" i="370" s="1"/>
  <c r="K17" i="370"/>
  <c r="K91" i="370" s="1"/>
  <c r="J17" i="370"/>
  <c r="J91" i="370" s="1"/>
  <c r="I17" i="370"/>
  <c r="H17" i="370"/>
  <c r="H91" i="370" s="1"/>
  <c r="H109" i="370" s="1"/>
  <c r="G17" i="370"/>
  <c r="G91" i="370" s="1"/>
  <c r="C17" i="370"/>
  <c r="B17" i="370"/>
  <c r="AL16" i="370"/>
  <c r="AH16" i="370"/>
  <c r="AG16" i="370"/>
  <c r="AF16" i="370"/>
  <c r="AH15" i="370"/>
  <c r="AG15" i="370"/>
  <c r="AF15" i="370"/>
  <c r="AH14" i="370"/>
  <c r="AG14" i="370"/>
  <c r="AF14" i="370"/>
  <c r="AH13" i="370"/>
  <c r="AG13" i="370"/>
  <c r="AF13" i="370"/>
  <c r="AI12" i="370"/>
  <c r="M9" i="370" a="1"/>
  <c r="M9" i="370" s="1"/>
  <c r="AC64" i="369"/>
  <c r="AC65" i="369" s="1"/>
  <c r="AC99" i="369" s="1"/>
  <c r="AC62" i="369"/>
  <c r="F704" i="88"/>
  <c r="AB64" i="369"/>
  <c r="AB62" i="369"/>
  <c r="AB65" i="369" s="1"/>
  <c r="AB99" i="369" s="1"/>
  <c r="AA51" i="369"/>
  <c r="AA48" i="369"/>
  <c r="AA47" i="369"/>
  <c r="Z64" i="369"/>
  <c r="Z62" i="369"/>
  <c r="W449" i="260"/>
  <c r="AE448" i="260"/>
  <c r="F726" i="88"/>
  <c r="F728" i="88"/>
  <c r="F727" i="88"/>
  <c r="F700" i="88"/>
  <c r="AE447" i="260"/>
  <c r="AE446" i="260"/>
  <c r="F723" i="88"/>
  <c r="F722" i="88"/>
  <c r="F721" i="88"/>
  <c r="F720" i="88"/>
  <c r="F696" i="88"/>
  <c r="F695" i="88"/>
  <c r="F718" i="88"/>
  <c r="F716" i="88"/>
  <c r="F712" i="88"/>
  <c r="F714" i="88"/>
  <c r="F715" i="88"/>
  <c r="F713" i="88"/>
  <c r="F717" i="88"/>
  <c r="F703" i="88"/>
  <c r="F699" i="88"/>
  <c r="F710" i="88"/>
  <c r="F709" i="88"/>
  <c r="F708" i="88"/>
  <c r="F706" i="88"/>
  <c r="F705" i="88"/>
  <c r="F6" i="88"/>
  <c r="F682" i="88"/>
  <c r="F697" i="88"/>
  <c r="F694" i="88"/>
  <c r="F698" i="88"/>
  <c r="F649" i="88"/>
  <c r="F679" i="88"/>
  <c r="F683" i="88"/>
  <c r="AE443" i="260"/>
  <c r="S106" i="369"/>
  <c r="F692" i="88"/>
  <c r="R106" i="369"/>
  <c r="AE442" i="260"/>
  <c r="F684" i="88"/>
  <c r="F685" i="88"/>
  <c r="R107" i="369"/>
  <c r="F693" i="88"/>
  <c r="F691" i="88"/>
  <c r="F690" i="88"/>
  <c r="Q106" i="369"/>
  <c r="P106" i="369"/>
  <c r="F689" i="88"/>
  <c r="P64" i="369"/>
  <c r="P63" i="369"/>
  <c r="F688" i="88"/>
  <c r="F686" i="88"/>
  <c r="O106" i="369"/>
  <c r="F687" i="88"/>
  <c r="F681" i="88"/>
  <c r="N106" i="369"/>
  <c r="M107" i="369"/>
  <c r="F680" i="88"/>
  <c r="F677" i="88"/>
  <c r="F666" i="88"/>
  <c r="F670" i="88"/>
  <c r="F678" i="88"/>
  <c r="F655" i="88"/>
  <c r="F672" i="88"/>
  <c r="F321" i="88"/>
  <c r="F671" i="88"/>
  <c r="F64" i="369"/>
  <c r="F63" i="369"/>
  <c r="AC107" i="369"/>
  <c r="AB107" i="369"/>
  <c r="AA107" i="369"/>
  <c r="Z107" i="369"/>
  <c r="Y107" i="369"/>
  <c r="X107" i="369"/>
  <c r="W107" i="369"/>
  <c r="V107" i="369"/>
  <c r="T107" i="369"/>
  <c r="S107" i="369"/>
  <c r="Q107" i="369"/>
  <c r="P107" i="369"/>
  <c r="O107" i="369"/>
  <c r="N107" i="369"/>
  <c r="L107" i="369"/>
  <c r="K107" i="369"/>
  <c r="J107" i="369"/>
  <c r="I107" i="369"/>
  <c r="H107" i="369"/>
  <c r="G107" i="369"/>
  <c r="F107" i="369"/>
  <c r="U107" i="369"/>
  <c r="AC102" i="369"/>
  <c r="AB102" i="369"/>
  <c r="AA102" i="369"/>
  <c r="Z102" i="369"/>
  <c r="Y102" i="369"/>
  <c r="X102" i="369"/>
  <c r="W102" i="369"/>
  <c r="V102" i="369"/>
  <c r="U102" i="369"/>
  <c r="T102" i="369"/>
  <c r="S102" i="369"/>
  <c r="R102" i="369"/>
  <c r="Q102" i="369"/>
  <c r="P102" i="369"/>
  <c r="O102" i="369"/>
  <c r="N102" i="369"/>
  <c r="M102" i="369"/>
  <c r="L102" i="369"/>
  <c r="K102" i="369"/>
  <c r="J102" i="369"/>
  <c r="I102" i="369"/>
  <c r="H102" i="369"/>
  <c r="G102" i="369"/>
  <c r="F102" i="369"/>
  <c r="F101" i="369"/>
  <c r="AC100" i="369"/>
  <c r="AB100" i="369"/>
  <c r="Q100" i="369"/>
  <c r="P100" i="369"/>
  <c r="O100" i="369"/>
  <c r="N100" i="369"/>
  <c r="N98" i="369"/>
  <c r="Y96" i="369"/>
  <c r="J93" i="369"/>
  <c r="I93" i="369"/>
  <c r="H93" i="369"/>
  <c r="F93" i="369"/>
  <c r="C83" i="369"/>
  <c r="B83" i="369"/>
  <c r="AC80" i="369"/>
  <c r="AC101" i="369" s="1"/>
  <c r="AB80" i="369"/>
  <c r="AB101" i="369" s="1"/>
  <c r="AA80" i="369"/>
  <c r="AA101" i="369" s="1"/>
  <c r="Z80" i="369"/>
  <c r="Z101" i="369" s="1"/>
  <c r="Y80" i="369"/>
  <c r="Y101" i="369" s="1"/>
  <c r="X80" i="369"/>
  <c r="X101" i="369" s="1"/>
  <c r="W80" i="369"/>
  <c r="W101" i="369" s="1"/>
  <c r="V80" i="369"/>
  <c r="V101" i="369" s="1"/>
  <c r="U80" i="369"/>
  <c r="U101" i="369" s="1"/>
  <c r="T80" i="369"/>
  <c r="T101" i="369" s="1"/>
  <c r="S80" i="369"/>
  <c r="S101" i="369" s="1"/>
  <c r="R80" i="369"/>
  <c r="R101" i="369" s="1"/>
  <c r="Q80" i="369"/>
  <c r="Q101" i="369" s="1"/>
  <c r="P80" i="369"/>
  <c r="P101" i="369" s="1"/>
  <c r="O80" i="369"/>
  <c r="O101" i="369" s="1"/>
  <c r="N80" i="369"/>
  <c r="N101" i="369" s="1"/>
  <c r="M80" i="369"/>
  <c r="M101" i="369" s="1"/>
  <c r="L80" i="369"/>
  <c r="L101" i="369" s="1"/>
  <c r="K80" i="369"/>
  <c r="K101" i="369" s="1"/>
  <c r="J80" i="369"/>
  <c r="J101" i="369" s="1"/>
  <c r="I80" i="369"/>
  <c r="I101" i="369" s="1"/>
  <c r="H80" i="369"/>
  <c r="H101" i="369" s="1"/>
  <c r="G80" i="369"/>
  <c r="G101" i="369" s="1"/>
  <c r="F80" i="369"/>
  <c r="C80" i="369"/>
  <c r="AH79" i="369"/>
  <c r="AG79" i="369"/>
  <c r="AF79" i="369"/>
  <c r="AH78" i="369"/>
  <c r="AG78" i="369"/>
  <c r="AF78" i="369"/>
  <c r="AI77" i="369"/>
  <c r="AC76" i="369"/>
  <c r="AB76" i="369"/>
  <c r="AA76" i="369"/>
  <c r="AA100" i="369" s="1"/>
  <c r="Z76" i="369"/>
  <c r="Z100" i="369" s="1"/>
  <c r="Y76" i="369"/>
  <c r="Y100" i="369" s="1"/>
  <c r="X76" i="369"/>
  <c r="X100" i="369" s="1"/>
  <c r="W76" i="369"/>
  <c r="W100" i="369" s="1"/>
  <c r="V76" i="369"/>
  <c r="V100" i="369" s="1"/>
  <c r="U76" i="369"/>
  <c r="U100" i="369" s="1"/>
  <c r="T76" i="369"/>
  <c r="T100" i="369" s="1"/>
  <c r="S76" i="369"/>
  <c r="S100" i="369" s="1"/>
  <c r="R76" i="369"/>
  <c r="R100" i="369" s="1"/>
  <c r="Q76" i="369"/>
  <c r="P76" i="369"/>
  <c r="O76" i="369"/>
  <c r="N76" i="369"/>
  <c r="M76" i="369"/>
  <c r="M100" i="369" s="1"/>
  <c r="L76" i="369"/>
  <c r="L100" i="369" s="1"/>
  <c r="K76" i="369"/>
  <c r="K100" i="369" s="1"/>
  <c r="J76" i="369"/>
  <c r="J100" i="369" s="1"/>
  <c r="I76" i="369"/>
  <c r="I100" i="369" s="1"/>
  <c r="H76" i="369"/>
  <c r="H100" i="369" s="1"/>
  <c r="G76" i="369"/>
  <c r="G100" i="369" s="1"/>
  <c r="F76" i="369"/>
  <c r="F100" i="369" s="1"/>
  <c r="C76" i="369"/>
  <c r="B76" i="369"/>
  <c r="B80" i="369" s="1"/>
  <c r="B25" i="369" s="1"/>
  <c r="AH75" i="369"/>
  <c r="AG75" i="369"/>
  <c r="AF75" i="369"/>
  <c r="AH74" i="369"/>
  <c r="AG74" i="369"/>
  <c r="AF74" i="369"/>
  <c r="AH73" i="369"/>
  <c r="AG73" i="369"/>
  <c r="AF73" i="369"/>
  <c r="AH72" i="369"/>
  <c r="AG72" i="369"/>
  <c r="AF72" i="369"/>
  <c r="AH71" i="369"/>
  <c r="AG71" i="369"/>
  <c r="AF71" i="369"/>
  <c r="AH70" i="369"/>
  <c r="AG70" i="369"/>
  <c r="AF70" i="369"/>
  <c r="AH69" i="369"/>
  <c r="AG69" i="369"/>
  <c r="AF69" i="369"/>
  <c r="AH68" i="369"/>
  <c r="AG68" i="369"/>
  <c r="AF68" i="369"/>
  <c r="AH67" i="369"/>
  <c r="AG67" i="369"/>
  <c r="AF67" i="369"/>
  <c r="AI66" i="369"/>
  <c r="AA65" i="369"/>
  <c r="AA99" i="369" s="1"/>
  <c r="Y65" i="369"/>
  <c r="Y99" i="369" s="1"/>
  <c r="X65" i="369"/>
  <c r="X99" i="369" s="1"/>
  <c r="W65" i="369"/>
  <c r="W99" i="369" s="1"/>
  <c r="S65" i="369"/>
  <c r="S99" i="369" s="1"/>
  <c r="R65" i="369"/>
  <c r="R99" i="369" s="1"/>
  <c r="Q65" i="369"/>
  <c r="Q99" i="369" s="1"/>
  <c r="P65" i="369"/>
  <c r="P99" i="369" s="1"/>
  <c r="O65" i="369"/>
  <c r="O99" i="369" s="1"/>
  <c r="N65" i="369"/>
  <c r="N99" i="369" s="1"/>
  <c r="M65" i="369"/>
  <c r="M99" i="369" s="1"/>
  <c r="L65" i="369"/>
  <c r="L99" i="369" s="1"/>
  <c r="K65" i="369"/>
  <c r="K99" i="369" s="1"/>
  <c r="J65" i="369"/>
  <c r="J99" i="369" s="1"/>
  <c r="I65" i="369"/>
  <c r="I99" i="369" s="1"/>
  <c r="H65" i="369"/>
  <c r="H99" i="369" s="1"/>
  <c r="G65" i="369"/>
  <c r="G99" i="369" s="1"/>
  <c r="C65" i="369"/>
  <c r="V65" i="369"/>
  <c r="V99" i="369" s="1"/>
  <c r="U65" i="369"/>
  <c r="U99" i="369" s="1"/>
  <c r="T65" i="369"/>
  <c r="T99" i="369" s="1"/>
  <c r="AC60" i="369"/>
  <c r="AC98" i="369" s="1"/>
  <c r="AB60" i="369"/>
  <c r="AB98" i="369" s="1"/>
  <c r="Z60" i="369"/>
  <c r="Z98" i="369" s="1"/>
  <c r="Y60" i="369"/>
  <c r="Y98" i="369" s="1"/>
  <c r="X60" i="369"/>
  <c r="X98" i="369" s="1"/>
  <c r="W60" i="369"/>
  <c r="W98" i="369" s="1"/>
  <c r="V60" i="369"/>
  <c r="V98" i="369" s="1"/>
  <c r="U60" i="369"/>
  <c r="U98" i="369" s="1"/>
  <c r="T60" i="369"/>
  <c r="T98" i="369" s="1"/>
  <c r="S60" i="369"/>
  <c r="S98" i="369" s="1"/>
  <c r="R60" i="369"/>
  <c r="R98" i="369" s="1"/>
  <c r="Q60" i="369"/>
  <c r="P60" i="369"/>
  <c r="P98" i="369" s="1"/>
  <c r="O60" i="369"/>
  <c r="O98" i="369" s="1"/>
  <c r="N60" i="369"/>
  <c r="M60" i="369"/>
  <c r="M98" i="369" s="1"/>
  <c r="L60" i="369"/>
  <c r="L98" i="369" s="1"/>
  <c r="K60" i="369"/>
  <c r="K98" i="369" s="1"/>
  <c r="J60" i="369"/>
  <c r="J98" i="369" s="1"/>
  <c r="I60" i="369"/>
  <c r="I98" i="369" s="1"/>
  <c r="H60" i="369"/>
  <c r="H98" i="369" s="1"/>
  <c r="G60" i="369"/>
  <c r="G98" i="369" s="1"/>
  <c r="F60" i="369"/>
  <c r="F98" i="369" s="1"/>
  <c r="C60" i="369"/>
  <c r="B60" i="369"/>
  <c r="B65" i="369" s="1"/>
  <c r="AH59" i="369"/>
  <c r="AG59" i="369"/>
  <c r="AF59" i="369"/>
  <c r="AH58" i="369"/>
  <c r="AG58" i="369"/>
  <c r="AF58" i="369"/>
  <c r="AH57" i="369"/>
  <c r="AG57" i="369"/>
  <c r="AF57" i="369"/>
  <c r="AH56" i="369"/>
  <c r="AG56" i="369"/>
  <c r="AF56" i="369"/>
  <c r="AH51" i="369"/>
  <c r="AG51" i="369"/>
  <c r="AF51" i="369"/>
  <c r="AH50" i="369"/>
  <c r="AG50" i="369"/>
  <c r="AF50" i="369"/>
  <c r="AH49" i="369"/>
  <c r="AG49" i="369"/>
  <c r="AF49" i="369"/>
  <c r="AH48" i="369"/>
  <c r="AG48" i="369"/>
  <c r="AF48" i="369"/>
  <c r="AH47" i="369"/>
  <c r="AG47" i="369"/>
  <c r="AF47" i="369"/>
  <c r="AH46" i="369"/>
  <c r="AG46" i="369"/>
  <c r="AF46" i="369"/>
  <c r="AH45" i="369"/>
  <c r="AG45" i="369"/>
  <c r="AF45" i="369"/>
  <c r="AH44" i="369"/>
  <c r="AG44" i="369"/>
  <c r="AF44" i="369"/>
  <c r="AH43" i="369"/>
  <c r="AG43" i="369"/>
  <c r="AF43" i="369"/>
  <c r="AH42" i="369"/>
  <c r="AG42" i="369"/>
  <c r="AF42" i="369"/>
  <c r="AH41" i="369"/>
  <c r="AG41" i="369"/>
  <c r="AF41" i="369"/>
  <c r="AH40" i="369"/>
  <c r="AG40" i="369"/>
  <c r="AF40" i="369"/>
  <c r="AH39" i="369"/>
  <c r="AG39" i="369"/>
  <c r="AF39" i="369"/>
  <c r="AH38" i="369"/>
  <c r="AG38" i="369"/>
  <c r="AF38" i="369"/>
  <c r="AH37" i="369"/>
  <c r="AG37" i="369"/>
  <c r="AF37" i="369"/>
  <c r="AH36" i="369"/>
  <c r="AG36" i="369"/>
  <c r="AF36" i="369"/>
  <c r="AI35" i="369"/>
  <c r="AC34" i="369"/>
  <c r="AC96" i="369" s="1"/>
  <c r="AB34" i="369"/>
  <c r="AB96" i="369" s="1"/>
  <c r="AA34" i="369"/>
  <c r="AA96" i="369" s="1"/>
  <c r="Z34" i="369"/>
  <c r="Z96" i="369" s="1"/>
  <c r="Y34" i="369"/>
  <c r="X34" i="369"/>
  <c r="X96" i="369" s="1"/>
  <c r="W34" i="369"/>
  <c r="W96" i="369" s="1"/>
  <c r="V34" i="369"/>
  <c r="V96" i="369" s="1"/>
  <c r="U34" i="369"/>
  <c r="U96" i="369" s="1"/>
  <c r="T34" i="369"/>
  <c r="T96" i="369" s="1"/>
  <c r="S34" i="369"/>
  <c r="S96" i="369" s="1"/>
  <c r="R34" i="369"/>
  <c r="R96" i="369" s="1"/>
  <c r="Q34" i="369"/>
  <c r="Q96" i="369" s="1"/>
  <c r="P34" i="369"/>
  <c r="P96" i="369" s="1"/>
  <c r="O34" i="369"/>
  <c r="O96" i="369" s="1"/>
  <c r="N34" i="369"/>
  <c r="N96" i="369" s="1"/>
  <c r="M34" i="369"/>
  <c r="M96" i="369" s="1"/>
  <c r="L34" i="369"/>
  <c r="L96" i="369" s="1"/>
  <c r="K34" i="369"/>
  <c r="K96" i="369" s="1"/>
  <c r="J34" i="369"/>
  <c r="J96" i="369" s="1"/>
  <c r="I34" i="369"/>
  <c r="I96" i="369" s="1"/>
  <c r="H34" i="369"/>
  <c r="H96" i="369" s="1"/>
  <c r="G34" i="369"/>
  <c r="G96" i="369" s="1"/>
  <c r="F34" i="369"/>
  <c r="F96" i="369" s="1"/>
  <c r="C34" i="369"/>
  <c r="B34" i="369"/>
  <c r="AH33" i="369"/>
  <c r="AG33" i="369"/>
  <c r="AF33" i="369"/>
  <c r="AI32" i="369"/>
  <c r="AC31" i="369"/>
  <c r="AC93" i="369" s="1"/>
  <c r="AB31" i="369"/>
  <c r="AB93" i="369" s="1"/>
  <c r="AA31" i="369"/>
  <c r="AA93" i="369" s="1"/>
  <c r="Z31" i="369"/>
  <c r="Z93" i="369" s="1"/>
  <c r="Y31" i="369"/>
  <c r="Y93" i="369" s="1"/>
  <c r="X31" i="369"/>
  <c r="X93" i="369" s="1"/>
  <c r="W31" i="369"/>
  <c r="W93" i="369" s="1"/>
  <c r="V31" i="369"/>
  <c r="V93" i="369" s="1"/>
  <c r="U31" i="369"/>
  <c r="U93" i="369" s="1"/>
  <c r="T31" i="369"/>
  <c r="T93" i="369" s="1"/>
  <c r="S31" i="369"/>
  <c r="S93" i="369" s="1"/>
  <c r="R31" i="369"/>
  <c r="R93" i="369" s="1"/>
  <c r="Q31" i="369"/>
  <c r="Q93" i="369" s="1"/>
  <c r="P31" i="369"/>
  <c r="P93" i="369" s="1"/>
  <c r="O31" i="369"/>
  <c r="O93" i="369" s="1"/>
  <c r="N31" i="369"/>
  <c r="N93" i="369" s="1"/>
  <c r="M31" i="369"/>
  <c r="M93" i="369" s="1"/>
  <c r="L31" i="369"/>
  <c r="L93" i="369" s="1"/>
  <c r="K31" i="369"/>
  <c r="K93" i="369" s="1"/>
  <c r="J31" i="369"/>
  <c r="I31" i="369"/>
  <c r="G31" i="369"/>
  <c r="G93" i="369" s="1"/>
  <c r="F31" i="369"/>
  <c r="C31" i="369"/>
  <c r="B31" i="369"/>
  <c r="AI28" i="369"/>
  <c r="AH28" i="369"/>
  <c r="AG28" i="369"/>
  <c r="AF28" i="369"/>
  <c r="AH27" i="369"/>
  <c r="AG27" i="369"/>
  <c r="AF27" i="369"/>
  <c r="AI26" i="369"/>
  <c r="AC25" i="369"/>
  <c r="AB25" i="369"/>
  <c r="AA25" i="369"/>
  <c r="Z25" i="369"/>
  <c r="Y25" i="369"/>
  <c r="X25" i="369"/>
  <c r="W25" i="369"/>
  <c r="V25" i="369"/>
  <c r="U25" i="369"/>
  <c r="T25" i="369"/>
  <c r="S25" i="369"/>
  <c r="R25" i="369"/>
  <c r="Q25" i="369"/>
  <c r="P25" i="369"/>
  <c r="P89" i="369" s="1"/>
  <c r="O25" i="369"/>
  <c r="N25" i="369"/>
  <c r="M25" i="369"/>
  <c r="M110" i="369" s="1"/>
  <c r="L25" i="369"/>
  <c r="K25" i="369"/>
  <c r="J25" i="369"/>
  <c r="I25" i="369"/>
  <c r="H25" i="369"/>
  <c r="G25" i="369"/>
  <c r="F25" i="369"/>
  <c r="C25" i="369"/>
  <c r="AH24" i="369"/>
  <c r="AG24" i="369"/>
  <c r="AF24" i="369"/>
  <c r="AI23" i="369"/>
  <c r="AC22" i="369"/>
  <c r="AB22" i="369"/>
  <c r="AA22" i="369"/>
  <c r="Z22" i="369"/>
  <c r="Z89" i="369" s="1"/>
  <c r="Y22" i="369"/>
  <c r="X22" i="369"/>
  <c r="X89" i="369" s="1"/>
  <c r="W22" i="369"/>
  <c r="W89" i="369" s="1"/>
  <c r="V22" i="369"/>
  <c r="U22" i="369"/>
  <c r="T22" i="369"/>
  <c r="S22" i="369"/>
  <c r="R22" i="369"/>
  <c r="Q22" i="369"/>
  <c r="P22" i="369"/>
  <c r="O22" i="369"/>
  <c r="N22" i="369"/>
  <c r="M22" i="369"/>
  <c r="L22" i="369"/>
  <c r="K22" i="369"/>
  <c r="J22" i="369"/>
  <c r="I22" i="369"/>
  <c r="H22" i="369"/>
  <c r="G22" i="369"/>
  <c r="F22" i="369"/>
  <c r="F89" i="369" s="1"/>
  <c r="C22" i="369"/>
  <c r="B22" i="369"/>
  <c r="AH21" i="369"/>
  <c r="AG21" i="369"/>
  <c r="AF21" i="369"/>
  <c r="AH20" i="369"/>
  <c r="AG20" i="369"/>
  <c r="AF20" i="369"/>
  <c r="AH19" i="369"/>
  <c r="AG19" i="369"/>
  <c r="AF19" i="369"/>
  <c r="AI18" i="369"/>
  <c r="AC17" i="369"/>
  <c r="AB17" i="369"/>
  <c r="AA17" i="369"/>
  <c r="AA91" i="369" s="1"/>
  <c r="Z17" i="369"/>
  <c r="Z91" i="369" s="1"/>
  <c r="Y17" i="369"/>
  <c r="Y91" i="369" s="1"/>
  <c r="X17" i="369"/>
  <c r="W17" i="369"/>
  <c r="V17" i="369"/>
  <c r="U17" i="369"/>
  <c r="T17" i="369"/>
  <c r="S17" i="369"/>
  <c r="R17" i="369"/>
  <c r="Q17" i="369"/>
  <c r="P17" i="369"/>
  <c r="P91" i="369" s="1"/>
  <c r="O17" i="369"/>
  <c r="N17" i="369"/>
  <c r="M17" i="369"/>
  <c r="M91" i="369" s="1"/>
  <c r="L17" i="369"/>
  <c r="L91" i="369" s="1"/>
  <c r="K17" i="369"/>
  <c r="K91" i="369" s="1"/>
  <c r="J17" i="369"/>
  <c r="J91" i="369" s="1"/>
  <c r="I17" i="369"/>
  <c r="I91" i="369" s="1"/>
  <c r="H17" i="369"/>
  <c r="H91" i="369" s="1"/>
  <c r="G17" i="369"/>
  <c r="G91" i="369" s="1"/>
  <c r="F17" i="369"/>
  <c r="F91" i="369" s="1"/>
  <c r="C17" i="369"/>
  <c r="B17" i="369"/>
  <c r="AL16" i="369"/>
  <c r="AH16" i="369"/>
  <c r="AG16" i="369"/>
  <c r="AF16" i="369"/>
  <c r="AH15" i="369"/>
  <c r="AG15" i="369"/>
  <c r="AF15" i="369"/>
  <c r="AH14" i="369"/>
  <c r="AG14" i="369"/>
  <c r="AF14" i="369"/>
  <c r="AH13" i="369"/>
  <c r="AG13" i="369"/>
  <c r="AF13" i="369"/>
  <c r="AI12" i="369"/>
  <c r="M9" i="369" a="1"/>
  <c r="M9" i="369" s="1"/>
  <c r="AC64" i="368"/>
  <c r="AC63" i="368"/>
  <c r="AB64" i="368"/>
  <c r="AB63" i="368"/>
  <c r="F676" i="88"/>
  <c r="F675" i="88"/>
  <c r="F646" i="88"/>
  <c r="F673" i="88"/>
  <c r="F674" i="88"/>
  <c r="F669" i="88"/>
  <c r="F668" i="88"/>
  <c r="F665" i="88"/>
  <c r="X106" i="368"/>
  <c r="F667" i="88"/>
  <c r="F662" i="88"/>
  <c r="F650" i="88"/>
  <c r="F664" i="88"/>
  <c r="F663" i="88"/>
  <c r="F652" i="88"/>
  <c r="W106" i="368"/>
  <c r="V63" i="368"/>
  <c r="V62" i="368"/>
  <c r="G462" i="260" a="1"/>
  <c r="C645" i="79" l="1"/>
  <c r="A647" i="79"/>
  <c r="A646" i="79"/>
  <c r="C644" i="79"/>
  <c r="G462" i="260"/>
  <c r="AB89" i="370"/>
  <c r="X89" i="370"/>
  <c r="S89" i="370"/>
  <c r="S83" i="370"/>
  <c r="R89" i="370"/>
  <c r="R83" i="370"/>
  <c r="Q109" i="370"/>
  <c r="M89" i="370"/>
  <c r="K109" i="370"/>
  <c r="J109" i="370"/>
  <c r="I109" i="370"/>
  <c r="I89" i="370"/>
  <c r="I103" i="370" s="1"/>
  <c r="I108" i="370" s="1"/>
  <c r="F65" i="370"/>
  <c r="F83" i="370" s="1"/>
  <c r="U109" i="370"/>
  <c r="AB103" i="370"/>
  <c r="AB108" i="370" s="1"/>
  <c r="AC103" i="370"/>
  <c r="AC108" i="370" s="1"/>
  <c r="X109" i="370"/>
  <c r="M103" i="370"/>
  <c r="M108" i="370" s="1"/>
  <c r="Z109" i="370"/>
  <c r="AB109" i="370"/>
  <c r="AC109" i="370"/>
  <c r="V109" i="370"/>
  <c r="J83" i="370"/>
  <c r="O83" i="370"/>
  <c r="Q83" i="370"/>
  <c r="I110" i="370"/>
  <c r="AC110" i="370"/>
  <c r="Y109" i="370"/>
  <c r="O89" i="370"/>
  <c r="O103" i="370" s="1"/>
  <c r="O108" i="370" s="1"/>
  <c r="Z110" i="370"/>
  <c r="W109" i="370"/>
  <c r="X110" i="370"/>
  <c r="F110" i="370"/>
  <c r="K83" i="370"/>
  <c r="P89" i="370"/>
  <c r="O109" i="370"/>
  <c r="AH62" i="370"/>
  <c r="N103" i="370"/>
  <c r="N108" i="370" s="1"/>
  <c r="H103" i="370"/>
  <c r="H108" i="370" s="1"/>
  <c r="K103" i="370"/>
  <c r="K108" i="370" s="1"/>
  <c r="Q103" i="370"/>
  <c r="Q108" i="370" s="1"/>
  <c r="R103" i="370"/>
  <c r="R108" i="370" s="1"/>
  <c r="L103" i="370"/>
  <c r="L108" i="370" s="1"/>
  <c r="AH63" i="370"/>
  <c r="AF63" i="370"/>
  <c r="AG63" i="370"/>
  <c r="P65" i="370"/>
  <c r="AA109" i="370"/>
  <c r="N109" i="370"/>
  <c r="N110" i="370"/>
  <c r="M109" i="370"/>
  <c r="AF47" i="370"/>
  <c r="J89" i="370"/>
  <c r="J103" i="370" s="1"/>
  <c r="J108" i="370" s="1"/>
  <c r="R91" i="370"/>
  <c r="R109" i="370" s="1"/>
  <c r="R110" i="370"/>
  <c r="S91" i="370"/>
  <c r="S109" i="370" s="1"/>
  <c r="S110" i="370"/>
  <c r="Y83" i="370"/>
  <c r="G89" i="370"/>
  <c r="G103" i="370" s="1"/>
  <c r="G108" i="370" s="1"/>
  <c r="AA89" i="370"/>
  <c r="L110" i="370"/>
  <c r="AB83" i="370"/>
  <c r="F109" i="370"/>
  <c r="M110" i="370"/>
  <c r="O110" i="370"/>
  <c r="L109" i="370"/>
  <c r="AA60" i="370"/>
  <c r="AA98" i="370" s="1"/>
  <c r="AI36" i="370"/>
  <c r="B83" i="370"/>
  <c r="C83" i="370"/>
  <c r="J110" i="370"/>
  <c r="Z89" i="370"/>
  <c r="Z103" i="370" s="1"/>
  <c r="Z108" i="370" s="1"/>
  <c r="K110" i="370"/>
  <c r="H83" i="370"/>
  <c r="Y110" i="370"/>
  <c r="G109" i="370"/>
  <c r="L83" i="370"/>
  <c r="G110" i="370"/>
  <c r="AA110" i="370"/>
  <c r="AF62" i="370"/>
  <c r="M83" i="370"/>
  <c r="P110" i="370"/>
  <c r="AH47" i="370"/>
  <c r="T89" i="370"/>
  <c r="T103" i="370" s="1"/>
  <c r="T108" i="370" s="1"/>
  <c r="T83" i="370"/>
  <c r="AH48" i="370"/>
  <c r="AG48" i="370"/>
  <c r="AF48" i="370"/>
  <c r="U89" i="370"/>
  <c r="U103" i="370" s="1"/>
  <c r="U108" i="370" s="1"/>
  <c r="U83" i="370"/>
  <c r="V89" i="370"/>
  <c r="V103" i="370" s="1"/>
  <c r="V108" i="370" s="1"/>
  <c r="V83" i="370"/>
  <c r="W89" i="370"/>
  <c r="W103" i="370" s="1"/>
  <c r="W108" i="370" s="1"/>
  <c r="W83" i="370"/>
  <c r="X103" i="370"/>
  <c r="X108" i="370" s="1"/>
  <c r="F89" i="370"/>
  <c r="H110" i="370"/>
  <c r="AB110" i="370"/>
  <c r="AG62" i="370"/>
  <c r="N83" i="370"/>
  <c r="Q110" i="370"/>
  <c r="T110" i="370"/>
  <c r="U110" i="370"/>
  <c r="X83" i="370"/>
  <c r="V110" i="370"/>
  <c r="Z83" i="370"/>
  <c r="G83" i="370"/>
  <c r="I83" i="370"/>
  <c r="AC83" i="370"/>
  <c r="Y89" i="370"/>
  <c r="Y103" i="370" s="1"/>
  <c r="Y108" i="370" s="1"/>
  <c r="W110" i="370"/>
  <c r="AH62" i="369"/>
  <c r="AA60" i="369"/>
  <c r="AA98" i="369" s="1"/>
  <c r="AI36" i="369"/>
  <c r="Z65" i="369"/>
  <c r="Z99" i="369" s="1"/>
  <c r="AI61" i="369"/>
  <c r="AF62" i="369"/>
  <c r="AG62" i="369"/>
  <c r="Y89" i="369"/>
  <c r="Y103" i="369" s="1"/>
  <c r="Y108" i="369" s="1"/>
  <c r="V83" i="369"/>
  <c r="U83" i="369"/>
  <c r="T89" i="369"/>
  <c r="S89" i="369"/>
  <c r="R110" i="369"/>
  <c r="R89" i="369"/>
  <c r="Q110" i="369"/>
  <c r="Q89" i="369"/>
  <c r="P109" i="369"/>
  <c r="O89" i="369"/>
  <c r="N89" i="369"/>
  <c r="L110" i="369"/>
  <c r="U89" i="369"/>
  <c r="P83" i="369"/>
  <c r="H110" i="369"/>
  <c r="I110" i="369"/>
  <c r="Q83" i="369"/>
  <c r="R83" i="369"/>
  <c r="AB110" i="369"/>
  <c r="V89" i="369"/>
  <c r="AC110" i="369"/>
  <c r="O110" i="369"/>
  <c r="S83" i="369"/>
  <c r="J110" i="369"/>
  <c r="AB91" i="369"/>
  <c r="AB109" i="369" s="1"/>
  <c r="T83" i="369"/>
  <c r="K110" i="369"/>
  <c r="AC91" i="369"/>
  <c r="AC109" i="369" s="1"/>
  <c r="P103" i="369"/>
  <c r="P108" i="369" s="1"/>
  <c r="AG63" i="369"/>
  <c r="L109" i="369"/>
  <c r="Q98" i="369"/>
  <c r="O91" i="369"/>
  <c r="O109" i="369" s="1"/>
  <c r="L89" i="369"/>
  <c r="L103" i="369" s="1"/>
  <c r="L108" i="369" s="1"/>
  <c r="Q91" i="369"/>
  <c r="Q109" i="369" s="1"/>
  <c r="H109" i="369"/>
  <c r="V110" i="369"/>
  <c r="V91" i="369"/>
  <c r="V109" i="369" s="1"/>
  <c r="W91" i="369"/>
  <c r="W109" i="369" s="1"/>
  <c r="W110" i="369"/>
  <c r="M89" i="369"/>
  <c r="M103" i="369" s="1"/>
  <c r="M108" i="369" s="1"/>
  <c r="R91" i="369"/>
  <c r="R109" i="369" s="1"/>
  <c r="P110" i="369"/>
  <c r="O83" i="369"/>
  <c r="S91" i="369"/>
  <c r="S109" i="369" s="1"/>
  <c r="S110" i="369"/>
  <c r="W83" i="369"/>
  <c r="Y83" i="369"/>
  <c r="L83" i="369"/>
  <c r="M83" i="369"/>
  <c r="N83" i="369"/>
  <c r="I109" i="369"/>
  <c r="J109" i="369"/>
  <c r="AF63" i="369"/>
  <c r="K109" i="369"/>
  <c r="T91" i="369"/>
  <c r="T109" i="369" s="1"/>
  <c r="T110" i="369"/>
  <c r="AH63" i="369"/>
  <c r="M109" i="369"/>
  <c r="U91" i="369"/>
  <c r="U109" i="369" s="1"/>
  <c r="U110" i="369"/>
  <c r="AG64" i="369"/>
  <c r="AF64" i="369"/>
  <c r="AH64" i="369"/>
  <c r="X83" i="369"/>
  <c r="N91" i="369"/>
  <c r="N109" i="369" s="1"/>
  <c r="Z103" i="369"/>
  <c r="Z108" i="369" s="1"/>
  <c r="G89" i="369"/>
  <c r="G103" i="369" s="1"/>
  <c r="G108" i="369" s="1"/>
  <c r="G83" i="369"/>
  <c r="AA83" i="369"/>
  <c r="AA89" i="369"/>
  <c r="AA103" i="369" s="1"/>
  <c r="AA108" i="369" s="1"/>
  <c r="Z83" i="369"/>
  <c r="N110" i="369"/>
  <c r="X91" i="369"/>
  <c r="X109" i="369" s="1"/>
  <c r="X110" i="369"/>
  <c r="H83" i="369"/>
  <c r="H89" i="369"/>
  <c r="H103" i="369" s="1"/>
  <c r="H108" i="369" s="1"/>
  <c r="AB83" i="369"/>
  <c r="AB89" i="369"/>
  <c r="Y109" i="369"/>
  <c r="I83" i="369"/>
  <c r="AC83" i="369"/>
  <c r="F109" i="369"/>
  <c r="Z109" i="369"/>
  <c r="J89" i="369"/>
  <c r="J103" i="369" s="1"/>
  <c r="J108" i="369" s="1"/>
  <c r="G109" i="369"/>
  <c r="AA109" i="369"/>
  <c r="K89" i="369"/>
  <c r="K103" i="369" s="1"/>
  <c r="K108" i="369" s="1"/>
  <c r="J83" i="369"/>
  <c r="K83" i="369"/>
  <c r="Y110" i="369"/>
  <c r="F65" i="369"/>
  <c r="I89" i="369"/>
  <c r="I103" i="369" s="1"/>
  <c r="I108" i="369" s="1"/>
  <c r="AC89" i="369"/>
  <c r="F110" i="369"/>
  <c r="Z110" i="369"/>
  <c r="G110" i="369"/>
  <c r="AA110" i="369"/>
  <c r="V106" i="368"/>
  <c r="F660" i="88"/>
  <c r="C646" i="79" l="1"/>
  <c r="A648" i="79"/>
  <c r="A649" i="79"/>
  <c r="C647" i="79"/>
  <c r="AA83" i="370"/>
  <c r="S103" i="370"/>
  <c r="S108" i="370" s="1"/>
  <c r="AI61" i="370"/>
  <c r="AF64" i="370"/>
  <c r="AH64" i="370"/>
  <c r="P99" i="370"/>
  <c r="P103" i="370" s="1"/>
  <c r="P108" i="370" s="1"/>
  <c r="P83" i="370"/>
  <c r="AA103" i="370"/>
  <c r="AA108" i="370" s="1"/>
  <c r="W103" i="369"/>
  <c r="W108" i="369" s="1"/>
  <c r="V103" i="369"/>
  <c r="V108" i="369" s="1"/>
  <c r="U103" i="369"/>
  <c r="U108" i="369" s="1"/>
  <c r="AB103" i="369"/>
  <c r="AB108" i="369" s="1"/>
  <c r="AC103" i="369"/>
  <c r="AC108" i="369" s="1"/>
  <c r="X103" i="369"/>
  <c r="X108" i="369" s="1"/>
  <c r="O103" i="369"/>
  <c r="O108" i="369" s="1"/>
  <c r="S103" i="369"/>
  <c r="S108" i="369" s="1"/>
  <c r="N103" i="369"/>
  <c r="N108" i="369" s="1"/>
  <c r="T103" i="369"/>
  <c r="T108" i="369" s="1"/>
  <c r="R103" i="369"/>
  <c r="R108" i="369" s="1"/>
  <c r="F99" i="369"/>
  <c r="F103" i="369" s="1"/>
  <c r="F108" i="369" s="1"/>
  <c r="F83" i="369"/>
  <c r="Q103" i="369"/>
  <c r="Q108" i="369" s="1"/>
  <c r="U63" i="368"/>
  <c r="U62" i="368"/>
  <c r="U106" i="368"/>
  <c r="U107" i="368" s="1"/>
  <c r="U65" i="368"/>
  <c r="U99" i="368" s="1"/>
  <c r="T63" i="368"/>
  <c r="T65" i="368" s="1"/>
  <c r="T99" i="368" s="1"/>
  <c r="T62" i="368"/>
  <c r="R106" i="368"/>
  <c r="Q106" i="368"/>
  <c r="Q107" i="368" s="1"/>
  <c r="F651" i="88"/>
  <c r="F659" i="88"/>
  <c r="AE416" i="260"/>
  <c r="F661" i="88"/>
  <c r="AE415" i="260"/>
  <c r="F653" i="88"/>
  <c r="F658" i="88"/>
  <c r="F657" i="88"/>
  <c r="F656" i="88"/>
  <c r="O106" i="368"/>
  <c r="O107" i="368" s="1"/>
  <c r="N106" i="368"/>
  <c r="N107" i="368" s="1"/>
  <c r="F654" i="88"/>
  <c r="F567" i="88"/>
  <c r="M106" i="368"/>
  <c r="F648" i="88"/>
  <c r="F647" i="88"/>
  <c r="L106" i="368"/>
  <c r="L107" i="368" s="1"/>
  <c r="K106" i="368"/>
  <c r="K107" i="368"/>
  <c r="F645" i="88"/>
  <c r="F530" i="88"/>
  <c r="F637" i="88"/>
  <c r="F635" i="88"/>
  <c r="F642" i="88"/>
  <c r="F643" i="88"/>
  <c r="AG63" i="368"/>
  <c r="F63" i="368"/>
  <c r="F62" i="368"/>
  <c r="AC107" i="368"/>
  <c r="AB107" i="368"/>
  <c r="AA107" i="368"/>
  <c r="Z107" i="368"/>
  <c r="Y107" i="368"/>
  <c r="X107" i="368"/>
  <c r="W107" i="368"/>
  <c r="V107" i="368"/>
  <c r="T107" i="368"/>
  <c r="S107" i="368"/>
  <c r="R107" i="368"/>
  <c r="P107" i="368"/>
  <c r="M107" i="368"/>
  <c r="J107" i="368"/>
  <c r="I107" i="368"/>
  <c r="H107" i="368"/>
  <c r="G107" i="368"/>
  <c r="F107" i="368"/>
  <c r="AC102" i="368"/>
  <c r="AB102" i="368"/>
  <c r="AA102" i="368"/>
  <c r="Z102" i="368"/>
  <c r="Y102" i="368"/>
  <c r="X102" i="368"/>
  <c r="W102" i="368"/>
  <c r="V102" i="368"/>
  <c r="U102" i="368"/>
  <c r="T102" i="368"/>
  <c r="S102" i="368"/>
  <c r="R102" i="368"/>
  <c r="Q102" i="368"/>
  <c r="P102" i="368"/>
  <c r="O102" i="368"/>
  <c r="N102" i="368"/>
  <c r="M102" i="368"/>
  <c r="L102" i="368"/>
  <c r="K102" i="368"/>
  <c r="J102" i="368"/>
  <c r="I102" i="368"/>
  <c r="H102" i="368"/>
  <c r="G102" i="368"/>
  <c r="F102" i="368"/>
  <c r="Z101" i="368"/>
  <c r="Q100" i="368"/>
  <c r="S96" i="368"/>
  <c r="J93" i="368"/>
  <c r="H93" i="368"/>
  <c r="AC80" i="368"/>
  <c r="AC101" i="368" s="1"/>
  <c r="AB80" i="368"/>
  <c r="AB101" i="368" s="1"/>
  <c r="AA80" i="368"/>
  <c r="AA101" i="368" s="1"/>
  <c r="Z80" i="368"/>
  <c r="Y80" i="368"/>
  <c r="Y101" i="368" s="1"/>
  <c r="X80" i="368"/>
  <c r="X101" i="368" s="1"/>
  <c r="W80" i="368"/>
  <c r="W101" i="368" s="1"/>
  <c r="V80" i="368"/>
  <c r="V101" i="368" s="1"/>
  <c r="U80" i="368"/>
  <c r="U101" i="368" s="1"/>
  <c r="T80" i="368"/>
  <c r="T101" i="368" s="1"/>
  <c r="S80" i="368"/>
  <c r="S101" i="368" s="1"/>
  <c r="R80" i="368"/>
  <c r="R101" i="368" s="1"/>
  <c r="Q80" i="368"/>
  <c r="Q101" i="368" s="1"/>
  <c r="P80" i="368"/>
  <c r="P101" i="368" s="1"/>
  <c r="O80" i="368"/>
  <c r="O101" i="368" s="1"/>
  <c r="N80" i="368"/>
  <c r="N101" i="368" s="1"/>
  <c r="M80" i="368"/>
  <c r="M101" i="368" s="1"/>
  <c r="L80" i="368"/>
  <c r="L101" i="368" s="1"/>
  <c r="K80" i="368"/>
  <c r="K101" i="368" s="1"/>
  <c r="J80" i="368"/>
  <c r="J101" i="368" s="1"/>
  <c r="I80" i="368"/>
  <c r="I101" i="368" s="1"/>
  <c r="H80" i="368"/>
  <c r="H101" i="368" s="1"/>
  <c r="G80" i="368"/>
  <c r="G101" i="368" s="1"/>
  <c r="F80" i="368"/>
  <c r="F101" i="368" s="1"/>
  <c r="C80" i="368"/>
  <c r="AH79" i="368"/>
  <c r="AG79" i="368"/>
  <c r="AF79" i="368"/>
  <c r="AH78" i="368"/>
  <c r="AG78" i="368"/>
  <c r="AF78" i="368"/>
  <c r="AI77" i="368"/>
  <c r="AC76" i="368"/>
  <c r="AC100" i="368" s="1"/>
  <c r="AB76" i="368"/>
  <c r="AB100" i="368" s="1"/>
  <c r="AA76" i="368"/>
  <c r="AA100" i="368" s="1"/>
  <c r="Z76" i="368"/>
  <c r="Z100" i="368" s="1"/>
  <c r="Y76" i="368"/>
  <c r="Y100" i="368" s="1"/>
  <c r="X76" i="368"/>
  <c r="X100" i="368" s="1"/>
  <c r="W76" i="368"/>
  <c r="W100" i="368" s="1"/>
  <c r="V76" i="368"/>
  <c r="V100" i="368" s="1"/>
  <c r="U76" i="368"/>
  <c r="U100" i="368" s="1"/>
  <c r="T76" i="368"/>
  <c r="T100" i="368" s="1"/>
  <c r="S76" i="368"/>
  <c r="S100" i="368" s="1"/>
  <c r="R76" i="368"/>
  <c r="R100" i="368" s="1"/>
  <c r="Q76" i="368"/>
  <c r="P76" i="368"/>
  <c r="P100" i="368" s="1"/>
  <c r="O76" i="368"/>
  <c r="O100" i="368" s="1"/>
  <c r="N76" i="368"/>
  <c r="N100" i="368" s="1"/>
  <c r="M76" i="368"/>
  <c r="M100" i="368" s="1"/>
  <c r="L76" i="368"/>
  <c r="L100" i="368" s="1"/>
  <c r="K76" i="368"/>
  <c r="K100" i="368" s="1"/>
  <c r="J76" i="368"/>
  <c r="J100" i="368" s="1"/>
  <c r="I76" i="368"/>
  <c r="I100" i="368" s="1"/>
  <c r="H76" i="368"/>
  <c r="H100" i="368" s="1"/>
  <c r="G76" i="368"/>
  <c r="G100" i="368" s="1"/>
  <c r="F76" i="368"/>
  <c r="F100" i="368" s="1"/>
  <c r="C76" i="368"/>
  <c r="B76" i="368"/>
  <c r="B80" i="368" s="1"/>
  <c r="AH75" i="368"/>
  <c r="AG75" i="368"/>
  <c r="AF75" i="368"/>
  <c r="AH74" i="368"/>
  <c r="AG74" i="368"/>
  <c r="AF74" i="368"/>
  <c r="AH73" i="368"/>
  <c r="AG73" i="368"/>
  <c r="AF73" i="368"/>
  <c r="AH72" i="368"/>
  <c r="AG72" i="368"/>
  <c r="AF72" i="368"/>
  <c r="AH71" i="368"/>
  <c r="AG71" i="368"/>
  <c r="AF71" i="368"/>
  <c r="AH70" i="368"/>
  <c r="AG70" i="368"/>
  <c r="AF70" i="368"/>
  <c r="AH69" i="368"/>
  <c r="AG69" i="368"/>
  <c r="AF69" i="368"/>
  <c r="AH68" i="368"/>
  <c r="AG68" i="368"/>
  <c r="AF68" i="368"/>
  <c r="AH67" i="368"/>
  <c r="AG67" i="368"/>
  <c r="AF67" i="368"/>
  <c r="AI66" i="368"/>
  <c r="AB65" i="368"/>
  <c r="AB99" i="368" s="1"/>
  <c r="AA65" i="368"/>
  <c r="AA99" i="368" s="1"/>
  <c r="Z65" i="368"/>
  <c r="Z99" i="368" s="1"/>
  <c r="Y65" i="368"/>
  <c r="Y99" i="368" s="1"/>
  <c r="X65" i="368"/>
  <c r="X99" i="368" s="1"/>
  <c r="W65" i="368"/>
  <c r="W99" i="368" s="1"/>
  <c r="V65" i="368"/>
  <c r="V99" i="368" s="1"/>
  <c r="S65" i="368"/>
  <c r="S99" i="368" s="1"/>
  <c r="R65" i="368"/>
  <c r="R99" i="368" s="1"/>
  <c r="Q65" i="368"/>
  <c r="Q99" i="368" s="1"/>
  <c r="P65" i="368"/>
  <c r="P99" i="368" s="1"/>
  <c r="N65" i="368"/>
  <c r="N99" i="368" s="1"/>
  <c r="C65" i="368"/>
  <c r="B65" i="368"/>
  <c r="O65" i="368"/>
  <c r="O99" i="368" s="1"/>
  <c r="AG64" i="368"/>
  <c r="AH64" i="368"/>
  <c r="AC65" i="368"/>
  <c r="AC99" i="368" s="1"/>
  <c r="L65" i="368"/>
  <c r="L99" i="368" s="1"/>
  <c r="K65" i="368"/>
  <c r="K99" i="368" s="1"/>
  <c r="J65" i="368"/>
  <c r="J99" i="368" s="1"/>
  <c r="I65" i="368"/>
  <c r="I99" i="368" s="1"/>
  <c r="H65" i="368"/>
  <c r="H99" i="368" s="1"/>
  <c r="AC60" i="368"/>
  <c r="AC98" i="368" s="1"/>
  <c r="AB60" i="368"/>
  <c r="AB98" i="368" s="1"/>
  <c r="AA60" i="368"/>
  <c r="AA98" i="368" s="1"/>
  <c r="Z60" i="368"/>
  <c r="Z98" i="368" s="1"/>
  <c r="Y60" i="368"/>
  <c r="Y98" i="368" s="1"/>
  <c r="X60" i="368"/>
  <c r="X98" i="368" s="1"/>
  <c r="W60" i="368"/>
  <c r="W98" i="368" s="1"/>
  <c r="V60" i="368"/>
  <c r="V98" i="368" s="1"/>
  <c r="U60" i="368"/>
  <c r="U98" i="368" s="1"/>
  <c r="T60" i="368"/>
  <c r="T98" i="368" s="1"/>
  <c r="S60" i="368"/>
  <c r="S98" i="368" s="1"/>
  <c r="R60" i="368"/>
  <c r="R98" i="368" s="1"/>
  <c r="P60" i="368"/>
  <c r="P98" i="368" s="1"/>
  <c r="O60" i="368"/>
  <c r="O98" i="368" s="1"/>
  <c r="N60" i="368"/>
  <c r="N98" i="368" s="1"/>
  <c r="M60" i="368"/>
  <c r="M98" i="368" s="1"/>
  <c r="L60" i="368"/>
  <c r="L98" i="368" s="1"/>
  <c r="K60" i="368"/>
  <c r="K98" i="368" s="1"/>
  <c r="J60" i="368"/>
  <c r="J98" i="368" s="1"/>
  <c r="I60" i="368"/>
  <c r="I98" i="368" s="1"/>
  <c r="H60" i="368"/>
  <c r="H98" i="368" s="1"/>
  <c r="G60" i="368"/>
  <c r="G98" i="368" s="1"/>
  <c r="F60" i="368"/>
  <c r="F98" i="368" s="1"/>
  <c r="C60" i="368"/>
  <c r="B60" i="368"/>
  <c r="AH59" i="368"/>
  <c r="AG59" i="368"/>
  <c r="AF59" i="368"/>
  <c r="AH58" i="368"/>
  <c r="AG58" i="368"/>
  <c r="AF58" i="368"/>
  <c r="AH57" i="368"/>
  <c r="AG57" i="368"/>
  <c r="AF57" i="368"/>
  <c r="AH56" i="368"/>
  <c r="AG56" i="368"/>
  <c r="AF56" i="368"/>
  <c r="AH51" i="368"/>
  <c r="Q60" i="368"/>
  <c r="Q98" i="368" s="1"/>
  <c r="AF50" i="368"/>
  <c r="AH49" i="368"/>
  <c r="AG49" i="368"/>
  <c r="AF49" i="368"/>
  <c r="AH48" i="368"/>
  <c r="AG48" i="368"/>
  <c r="AF48" i="368"/>
  <c r="AH47" i="368"/>
  <c r="AG47" i="368"/>
  <c r="AF47" i="368"/>
  <c r="AH46" i="368"/>
  <c r="AG46" i="368"/>
  <c r="AF46" i="368"/>
  <c r="AH45" i="368"/>
  <c r="AG45" i="368"/>
  <c r="AF45" i="368"/>
  <c r="AH44" i="368"/>
  <c r="AG44" i="368"/>
  <c r="AF44" i="368"/>
  <c r="AH43" i="368"/>
  <c r="AG43" i="368"/>
  <c r="AF43" i="368"/>
  <c r="AH42" i="368"/>
  <c r="AG42" i="368"/>
  <c r="AF42" i="368"/>
  <c r="AH41" i="368"/>
  <c r="AG41" i="368"/>
  <c r="AF41" i="368"/>
  <c r="AH40" i="368"/>
  <c r="AG40" i="368"/>
  <c r="AF40" i="368"/>
  <c r="AH39" i="368"/>
  <c r="AG39" i="368"/>
  <c r="AF39" i="368"/>
  <c r="AH38" i="368"/>
  <c r="AG38" i="368"/>
  <c r="AF38" i="368"/>
  <c r="AH37" i="368"/>
  <c r="AG37" i="368"/>
  <c r="AF37" i="368"/>
  <c r="AI36" i="368"/>
  <c r="AH36" i="368"/>
  <c r="AG36" i="368"/>
  <c r="AF36" i="368"/>
  <c r="AI35" i="368"/>
  <c r="AC34" i="368"/>
  <c r="AC96" i="368" s="1"/>
  <c r="AB34" i="368"/>
  <c r="AB96" i="368" s="1"/>
  <c r="AA34" i="368"/>
  <c r="AA96" i="368" s="1"/>
  <c r="Z34" i="368"/>
  <c r="Z96" i="368" s="1"/>
  <c r="Y34" i="368"/>
  <c r="Y96" i="368" s="1"/>
  <c r="X34" i="368"/>
  <c r="X96" i="368" s="1"/>
  <c r="W34" i="368"/>
  <c r="W96" i="368" s="1"/>
  <c r="V34" i="368"/>
  <c r="V96" i="368" s="1"/>
  <c r="U34" i="368"/>
  <c r="U96" i="368" s="1"/>
  <c r="T34" i="368"/>
  <c r="T96" i="368" s="1"/>
  <c r="S34" i="368"/>
  <c r="R34" i="368"/>
  <c r="R96" i="368" s="1"/>
  <c r="Q34" i="368"/>
  <c r="Q96" i="368" s="1"/>
  <c r="P34" i="368"/>
  <c r="P96" i="368" s="1"/>
  <c r="O34" i="368"/>
  <c r="O96" i="368" s="1"/>
  <c r="N34" i="368"/>
  <c r="N96" i="368" s="1"/>
  <c r="M34" i="368"/>
  <c r="M96" i="368" s="1"/>
  <c r="L34" i="368"/>
  <c r="L96" i="368" s="1"/>
  <c r="K34" i="368"/>
  <c r="K96" i="368" s="1"/>
  <c r="J34" i="368"/>
  <c r="J96" i="368" s="1"/>
  <c r="I34" i="368"/>
  <c r="I96" i="368" s="1"/>
  <c r="H34" i="368"/>
  <c r="H96" i="368" s="1"/>
  <c r="G34" i="368"/>
  <c r="G96" i="368" s="1"/>
  <c r="F34" i="368"/>
  <c r="F96" i="368" s="1"/>
  <c r="C34" i="368"/>
  <c r="B34" i="368"/>
  <c r="AH33" i="368"/>
  <c r="AG33" i="368"/>
  <c r="AF33" i="368"/>
  <c r="AI32" i="368"/>
  <c r="AC31" i="368"/>
  <c r="AC93" i="368" s="1"/>
  <c r="AB31" i="368"/>
  <c r="AB93" i="368" s="1"/>
  <c r="AA31" i="368"/>
  <c r="AA93" i="368" s="1"/>
  <c r="Z31" i="368"/>
  <c r="Z93" i="368" s="1"/>
  <c r="Y31" i="368"/>
  <c r="Y93" i="368" s="1"/>
  <c r="X31" i="368"/>
  <c r="X93" i="368" s="1"/>
  <c r="W31" i="368"/>
  <c r="W93" i="368" s="1"/>
  <c r="V31" i="368"/>
  <c r="V93" i="368" s="1"/>
  <c r="U31" i="368"/>
  <c r="U93" i="368" s="1"/>
  <c r="T31" i="368"/>
  <c r="T93" i="368" s="1"/>
  <c r="S31" i="368"/>
  <c r="S93" i="368" s="1"/>
  <c r="R31" i="368"/>
  <c r="R93" i="368" s="1"/>
  <c r="Q31" i="368"/>
  <c r="Q93" i="368" s="1"/>
  <c r="P31" i="368"/>
  <c r="P93" i="368" s="1"/>
  <c r="O31" i="368"/>
  <c r="O93" i="368" s="1"/>
  <c r="N31" i="368"/>
  <c r="N93" i="368" s="1"/>
  <c r="M31" i="368"/>
  <c r="M93" i="368" s="1"/>
  <c r="L31" i="368"/>
  <c r="L93" i="368" s="1"/>
  <c r="K31" i="368"/>
  <c r="K93" i="368" s="1"/>
  <c r="J31" i="368"/>
  <c r="I31" i="368"/>
  <c r="I93" i="368" s="1"/>
  <c r="G31" i="368"/>
  <c r="G93" i="368" s="1"/>
  <c r="F31" i="368"/>
  <c r="F93" i="368" s="1"/>
  <c r="C31" i="368"/>
  <c r="B31" i="368"/>
  <c r="AI28" i="368"/>
  <c r="AH28" i="368"/>
  <c r="AG28" i="368"/>
  <c r="AF28" i="368"/>
  <c r="AH27" i="368"/>
  <c r="AG27" i="368"/>
  <c r="AF27" i="368"/>
  <c r="AI26" i="368"/>
  <c r="AC25" i="368"/>
  <c r="AB25" i="368"/>
  <c r="AA25" i="368"/>
  <c r="Z25" i="368"/>
  <c r="Y25" i="368"/>
  <c r="Y89" i="368" s="1"/>
  <c r="X25" i="368"/>
  <c r="W25" i="368"/>
  <c r="V25" i="368"/>
  <c r="U25" i="368"/>
  <c r="T25" i="368"/>
  <c r="S25" i="368"/>
  <c r="R25" i="368"/>
  <c r="Q25" i="368"/>
  <c r="P25" i="368"/>
  <c r="O25" i="368"/>
  <c r="N25" i="368"/>
  <c r="M25" i="368"/>
  <c r="L25" i="368"/>
  <c r="K25" i="368"/>
  <c r="J25" i="368"/>
  <c r="I25" i="368"/>
  <c r="H25" i="368"/>
  <c r="G25" i="368"/>
  <c r="F25" i="368"/>
  <c r="C25" i="368"/>
  <c r="B25" i="368"/>
  <c r="AH24" i="368"/>
  <c r="AG24" i="368"/>
  <c r="AF24" i="368"/>
  <c r="AI23" i="368"/>
  <c r="AC22" i="368"/>
  <c r="AB22" i="368"/>
  <c r="AA22" i="368"/>
  <c r="Z22" i="368"/>
  <c r="Y22" i="368"/>
  <c r="X22" i="368"/>
  <c r="W22" i="368"/>
  <c r="V22" i="368"/>
  <c r="U22" i="368"/>
  <c r="T22" i="368"/>
  <c r="S22" i="368"/>
  <c r="R22" i="368"/>
  <c r="Q22" i="368"/>
  <c r="P22" i="368"/>
  <c r="O22" i="368"/>
  <c r="N22" i="368"/>
  <c r="M22" i="368"/>
  <c r="L22" i="368"/>
  <c r="K22" i="368"/>
  <c r="J22" i="368"/>
  <c r="I22" i="368"/>
  <c r="H22" i="368"/>
  <c r="G22" i="368"/>
  <c r="F22" i="368"/>
  <c r="C22" i="368"/>
  <c r="B22" i="368"/>
  <c r="AH21" i="368"/>
  <c r="AG21" i="368"/>
  <c r="AF21" i="368"/>
  <c r="AH20" i="368"/>
  <c r="AG20" i="368"/>
  <c r="AF20" i="368"/>
  <c r="AH19" i="368"/>
  <c r="AG19" i="368"/>
  <c r="AF19" i="368"/>
  <c r="AI18" i="368"/>
  <c r="AC17" i="368"/>
  <c r="AB17" i="368"/>
  <c r="AA17" i="368"/>
  <c r="AA91" i="368" s="1"/>
  <c r="Z17" i="368"/>
  <c r="Z91" i="368" s="1"/>
  <c r="Y17" i="368"/>
  <c r="Y91" i="368" s="1"/>
  <c r="X17" i="368"/>
  <c r="X91" i="368" s="1"/>
  <c r="W17" i="368"/>
  <c r="V17" i="368"/>
  <c r="U17" i="368"/>
  <c r="T17" i="368"/>
  <c r="S17" i="368"/>
  <c r="S91" i="368" s="1"/>
  <c r="R17" i="368"/>
  <c r="R91" i="368" s="1"/>
  <c r="Q17" i="368"/>
  <c r="Q91" i="368" s="1"/>
  <c r="P17" i="368"/>
  <c r="P91" i="368" s="1"/>
  <c r="O17" i="368"/>
  <c r="O91" i="368" s="1"/>
  <c r="N17" i="368"/>
  <c r="N91" i="368" s="1"/>
  <c r="M17" i="368"/>
  <c r="M91" i="368" s="1"/>
  <c r="L17" i="368"/>
  <c r="L91" i="368" s="1"/>
  <c r="K17" i="368"/>
  <c r="K91" i="368" s="1"/>
  <c r="J17" i="368"/>
  <c r="J91" i="368" s="1"/>
  <c r="I17" i="368"/>
  <c r="H17" i="368"/>
  <c r="G17" i="368"/>
  <c r="G91" i="368" s="1"/>
  <c r="F17" i="368"/>
  <c r="F91" i="368" s="1"/>
  <c r="C17" i="368"/>
  <c r="B17" i="368"/>
  <c r="AL16" i="368"/>
  <c r="AH16" i="368"/>
  <c r="AG16" i="368"/>
  <c r="AF16" i="368"/>
  <c r="AH15" i="368"/>
  <c r="AG15" i="368"/>
  <c r="AF15" i="368"/>
  <c r="AH14" i="368"/>
  <c r="AG14" i="368"/>
  <c r="AF14" i="368"/>
  <c r="AH13" i="368"/>
  <c r="AG13" i="368"/>
  <c r="AF13" i="368"/>
  <c r="AI12" i="368"/>
  <c r="M9" i="368" a="1"/>
  <c r="M9" i="368" s="1"/>
  <c r="BF405" i="260" a="1"/>
  <c r="BM403" i="260" a="1"/>
  <c r="A651" i="79" l="1"/>
  <c r="C649" i="79"/>
  <c r="A650" i="79"/>
  <c r="C648" i="79"/>
  <c r="F99" i="370"/>
  <c r="F103" i="370" s="1"/>
  <c r="F108" i="370" s="1"/>
  <c r="Z89" i="368"/>
  <c r="Z103" i="368" s="1"/>
  <c r="Z108" i="368" s="1"/>
  <c r="X89" i="368"/>
  <c r="G89" i="368"/>
  <c r="AA83" i="368"/>
  <c r="X109" i="368"/>
  <c r="H89" i="368"/>
  <c r="AB83" i="368"/>
  <c r="AC83" i="368"/>
  <c r="J89" i="368"/>
  <c r="U89" i="368"/>
  <c r="I89" i="368"/>
  <c r="Z109" i="368"/>
  <c r="T89" i="368"/>
  <c r="AA109" i="368"/>
  <c r="K89" i="368"/>
  <c r="K103" i="368" s="1"/>
  <c r="K108" i="368" s="1"/>
  <c r="V89" i="368"/>
  <c r="Y109" i="368"/>
  <c r="W89" i="368"/>
  <c r="W83" i="368"/>
  <c r="S109" i="368"/>
  <c r="S89" i="368"/>
  <c r="S103" i="368" s="1"/>
  <c r="S108" i="368" s="1"/>
  <c r="S110" i="368"/>
  <c r="R110" i="368"/>
  <c r="R109" i="368"/>
  <c r="Q110" i="368"/>
  <c r="Q109" i="368"/>
  <c r="N109" i="368"/>
  <c r="M109" i="368"/>
  <c r="M89" i="368"/>
  <c r="M110" i="368"/>
  <c r="L89" i="368"/>
  <c r="BF405" i="260"/>
  <c r="G109" i="368"/>
  <c r="AI61" i="368"/>
  <c r="F109" i="368"/>
  <c r="AF63" i="368"/>
  <c r="AH63" i="368"/>
  <c r="L103" i="368"/>
  <c r="L108" i="368" s="1"/>
  <c r="J83" i="368"/>
  <c r="J103" i="368"/>
  <c r="J108" i="368" s="1"/>
  <c r="AA89" i="368"/>
  <c r="AA103" i="368" s="1"/>
  <c r="AA108" i="368" s="1"/>
  <c r="O109" i="368"/>
  <c r="K83" i="368"/>
  <c r="J110" i="368"/>
  <c r="P109" i="368"/>
  <c r="L83" i="368"/>
  <c r="K110" i="368"/>
  <c r="AB89" i="368"/>
  <c r="L109" i="368"/>
  <c r="P110" i="368"/>
  <c r="N83" i="368"/>
  <c r="L110" i="368"/>
  <c r="AC89" i="368"/>
  <c r="F89" i="368"/>
  <c r="AC103" i="368"/>
  <c r="AC108" i="368" s="1"/>
  <c r="O83" i="368"/>
  <c r="X103" i="368"/>
  <c r="X108" i="368" s="1"/>
  <c r="T83" i="368"/>
  <c r="T110" i="368"/>
  <c r="U110" i="368"/>
  <c r="V110" i="368"/>
  <c r="B83" i="368"/>
  <c r="Y83" i="368"/>
  <c r="F110" i="368"/>
  <c r="H110" i="368"/>
  <c r="H91" i="368"/>
  <c r="H109" i="368" s="1"/>
  <c r="AC110" i="368"/>
  <c r="AC91" i="368"/>
  <c r="AC109" i="368" s="1"/>
  <c r="F65" i="368"/>
  <c r="F99" i="368" s="1"/>
  <c r="N110" i="368"/>
  <c r="J109" i="368"/>
  <c r="AG50" i="368"/>
  <c r="G65" i="368"/>
  <c r="G99" i="368" s="1"/>
  <c r="G103" i="368" s="1"/>
  <c r="G108" i="368" s="1"/>
  <c r="O110" i="368"/>
  <c r="K109" i="368"/>
  <c r="O89" i="368"/>
  <c r="O103" i="368" s="1"/>
  <c r="O108" i="368" s="1"/>
  <c r="AH50" i="368"/>
  <c r="V83" i="368"/>
  <c r="AF62" i="368"/>
  <c r="C83" i="368"/>
  <c r="AA110" i="368"/>
  <c r="T91" i="368"/>
  <c r="T109" i="368" s="1"/>
  <c r="Y103" i="368"/>
  <c r="Y108" i="368" s="1"/>
  <c r="U83" i="368"/>
  <c r="AF64" i="368"/>
  <c r="AH62" i="368"/>
  <c r="G110" i="368"/>
  <c r="N89" i="368"/>
  <c r="N103" i="368" s="1"/>
  <c r="N108" i="368" s="1"/>
  <c r="Q83" i="368"/>
  <c r="M65" i="368"/>
  <c r="U91" i="368"/>
  <c r="U109" i="368" s="1"/>
  <c r="X83" i="368"/>
  <c r="AG62" i="368"/>
  <c r="Z83" i="368"/>
  <c r="Z110" i="368"/>
  <c r="P89" i="368"/>
  <c r="P103" i="368" s="1"/>
  <c r="P108" i="368" s="1"/>
  <c r="P83" i="368"/>
  <c r="R83" i="368"/>
  <c r="AF51" i="368"/>
  <c r="H83" i="368"/>
  <c r="Q89" i="368"/>
  <c r="Q103" i="368" s="1"/>
  <c r="Q108" i="368" s="1"/>
  <c r="V91" i="368"/>
  <c r="V109" i="368" s="1"/>
  <c r="X110" i="368"/>
  <c r="W110" i="368"/>
  <c r="AB110" i="368"/>
  <c r="AB91" i="368"/>
  <c r="AB109" i="368" s="1"/>
  <c r="I110" i="368"/>
  <c r="I91" i="368"/>
  <c r="I109" i="368" s="1"/>
  <c r="S83" i="368"/>
  <c r="AG51" i="368"/>
  <c r="I83" i="368"/>
  <c r="R89" i="368"/>
  <c r="R103" i="368" s="1"/>
  <c r="R108" i="368" s="1"/>
  <c r="W91" i="368"/>
  <c r="W109" i="368" s="1"/>
  <c r="Y110" i="368"/>
  <c r="BM403" i="260"/>
  <c r="AC63" i="367"/>
  <c r="AC62" i="367"/>
  <c r="F644" i="88"/>
  <c r="F639" i="88"/>
  <c r="F620" i="88"/>
  <c r="F641" i="88"/>
  <c r="W400" i="260"/>
  <c r="F640" i="88"/>
  <c r="F622" i="88"/>
  <c r="F638" i="88"/>
  <c r="F630" i="88"/>
  <c r="F636" i="88"/>
  <c r="F618" i="88"/>
  <c r="W398" i="260"/>
  <c r="F631" i="88"/>
  <c r="F625" i="88"/>
  <c r="F621" i="88"/>
  <c r="W397" i="260"/>
  <c r="F634" i="88"/>
  <c r="F633" i="88"/>
  <c r="W396" i="260"/>
  <c r="F610" i="88"/>
  <c r="W395" i="260"/>
  <c r="C650" i="79" l="1"/>
  <c r="A652" i="79"/>
  <c r="A653" i="79"/>
  <c r="C651" i="79"/>
  <c r="G83" i="368"/>
  <c r="F103" i="368"/>
  <c r="F108" i="368" s="1"/>
  <c r="F83" i="368"/>
  <c r="W103" i="368"/>
  <c r="W108" i="368" s="1"/>
  <c r="AB103" i="368"/>
  <c r="AB108" i="368" s="1"/>
  <c r="M99" i="368"/>
  <c r="M103" i="368" s="1"/>
  <c r="M108" i="368" s="1"/>
  <c r="M83" i="368"/>
  <c r="I103" i="368"/>
  <c r="I108" i="368" s="1"/>
  <c r="V103" i="368"/>
  <c r="V108" i="368" s="1"/>
  <c r="U103" i="368"/>
  <c r="U108" i="368" s="1"/>
  <c r="T103" i="368"/>
  <c r="T108" i="368" s="1"/>
  <c r="H103" i="368"/>
  <c r="H108" i="368" s="1"/>
  <c r="W394" i="260"/>
  <c r="F632" i="88"/>
  <c r="F629" i="88"/>
  <c r="AE393" i="260"/>
  <c r="W393" i="260"/>
  <c r="AE392" i="260"/>
  <c r="W392" i="260"/>
  <c r="F628" i="88"/>
  <c r="F627" i="88"/>
  <c r="F626" i="88"/>
  <c r="F624" i="88"/>
  <c r="AE391" i="260"/>
  <c r="W391" i="260"/>
  <c r="F614" i="88"/>
  <c r="F609" i="88"/>
  <c r="A655" i="79" l="1"/>
  <c r="C653" i="79"/>
  <c r="C652" i="79"/>
  <c r="A654" i="79"/>
  <c r="AE390" i="260"/>
  <c r="W390" i="260"/>
  <c r="Q48" i="367"/>
  <c r="Q50" i="367"/>
  <c r="Q51" i="367"/>
  <c r="Q56" i="367"/>
  <c r="P56" i="367"/>
  <c r="P51" i="367"/>
  <c r="P50" i="367"/>
  <c r="P48" i="367"/>
  <c r="O106" i="367"/>
  <c r="F623" i="88"/>
  <c r="AE389" i="260"/>
  <c r="W389" i="260"/>
  <c r="O64" i="367"/>
  <c r="O63" i="367"/>
  <c r="F615" i="88"/>
  <c r="F619" i="88"/>
  <c r="F617" i="88"/>
  <c r="F616" i="88"/>
  <c r="AE388" i="260"/>
  <c r="N64" i="367"/>
  <c r="N63" i="367"/>
  <c r="F601" i="88"/>
  <c r="M64" i="367"/>
  <c r="M63" i="367"/>
  <c r="F613" i="88"/>
  <c r="F612" i="88"/>
  <c r="F611" i="88"/>
  <c r="K63" i="367"/>
  <c r="F606" i="88"/>
  <c r="F605" i="88"/>
  <c r="L63" i="367"/>
  <c r="L62" i="367"/>
  <c r="L56" i="367"/>
  <c r="L50" i="367"/>
  <c r="L48" i="367"/>
  <c r="K62" i="367"/>
  <c r="J63" i="367"/>
  <c r="J62" i="367"/>
  <c r="I63" i="367"/>
  <c r="I62" i="367"/>
  <c r="F587" i="88"/>
  <c r="H63" i="367"/>
  <c r="H62" i="367"/>
  <c r="G63" i="367"/>
  <c r="G62" i="367"/>
  <c r="F593" i="88"/>
  <c r="F608" i="88"/>
  <c r="F607" i="88"/>
  <c r="G65" i="367"/>
  <c r="G99" i="367" s="1"/>
  <c r="F64" i="367"/>
  <c r="F62" i="367"/>
  <c r="F603" i="88"/>
  <c r="F580" i="88"/>
  <c r="AE378" i="260"/>
  <c r="AC107" i="367"/>
  <c r="AB107" i="367"/>
  <c r="AA107" i="367"/>
  <c r="Z107" i="367"/>
  <c r="Y107" i="367"/>
  <c r="X107" i="367"/>
  <c r="W107" i="367"/>
  <c r="V107" i="367"/>
  <c r="U107" i="367"/>
  <c r="T107" i="367"/>
  <c r="S107" i="367"/>
  <c r="R107" i="367"/>
  <c r="Q107" i="367"/>
  <c r="P107" i="367"/>
  <c r="O107" i="367"/>
  <c r="N107" i="367"/>
  <c r="M107" i="367"/>
  <c r="L107" i="367"/>
  <c r="K107" i="367"/>
  <c r="J107" i="367"/>
  <c r="I107" i="367"/>
  <c r="H107" i="367"/>
  <c r="G107" i="367"/>
  <c r="F107" i="367"/>
  <c r="AC102" i="367"/>
  <c r="AB102" i="367"/>
  <c r="AA102" i="367"/>
  <c r="Z102" i="367"/>
  <c r="Y102" i="367"/>
  <c r="X102" i="367"/>
  <c r="W102" i="367"/>
  <c r="V102" i="367"/>
  <c r="U102" i="367"/>
  <c r="T102" i="367"/>
  <c r="S102" i="367"/>
  <c r="R102" i="367"/>
  <c r="Q102" i="367"/>
  <c r="P102" i="367"/>
  <c r="O102" i="367"/>
  <c r="N102" i="367"/>
  <c r="M102" i="367"/>
  <c r="L102" i="367"/>
  <c r="K102" i="367"/>
  <c r="J102" i="367"/>
  <c r="I102" i="367"/>
  <c r="H102" i="367"/>
  <c r="G102" i="367"/>
  <c r="F102" i="367"/>
  <c r="H93" i="367"/>
  <c r="AC80" i="367"/>
  <c r="AC101" i="367" s="1"/>
  <c r="AB80" i="367"/>
  <c r="AB101" i="367" s="1"/>
  <c r="AA80" i="367"/>
  <c r="AA101" i="367" s="1"/>
  <c r="Z80" i="367"/>
  <c r="Z101" i="367" s="1"/>
  <c r="Y80" i="367"/>
  <c r="Y101" i="367" s="1"/>
  <c r="X80" i="367"/>
  <c r="X101" i="367" s="1"/>
  <c r="W80" i="367"/>
  <c r="W101" i="367" s="1"/>
  <c r="V80" i="367"/>
  <c r="V101" i="367" s="1"/>
  <c r="U80" i="367"/>
  <c r="U101" i="367" s="1"/>
  <c r="T80" i="367"/>
  <c r="T101" i="367" s="1"/>
  <c r="S80" i="367"/>
  <c r="S101" i="367" s="1"/>
  <c r="R80" i="367"/>
  <c r="R101" i="367" s="1"/>
  <c r="Q80" i="367"/>
  <c r="Q101" i="367" s="1"/>
  <c r="P80" i="367"/>
  <c r="P101" i="367" s="1"/>
  <c r="O80" i="367"/>
  <c r="O101" i="367" s="1"/>
  <c r="N80" i="367"/>
  <c r="N101" i="367" s="1"/>
  <c r="M80" i="367"/>
  <c r="M101" i="367" s="1"/>
  <c r="L80" i="367"/>
  <c r="L101" i="367" s="1"/>
  <c r="K80" i="367"/>
  <c r="K101" i="367" s="1"/>
  <c r="J80" i="367"/>
  <c r="J101" i="367" s="1"/>
  <c r="I80" i="367"/>
  <c r="I101" i="367" s="1"/>
  <c r="H80" i="367"/>
  <c r="H101" i="367" s="1"/>
  <c r="G80" i="367"/>
  <c r="G101" i="367" s="1"/>
  <c r="F80" i="367"/>
  <c r="F101" i="367" s="1"/>
  <c r="C80" i="367"/>
  <c r="B80" i="367"/>
  <c r="AH79" i="367"/>
  <c r="AG79" i="367"/>
  <c r="AF79" i="367"/>
  <c r="AH78" i="367"/>
  <c r="AG78" i="367"/>
  <c r="AF78" i="367"/>
  <c r="AI77" i="367"/>
  <c r="AC76" i="367"/>
  <c r="AC100" i="367" s="1"/>
  <c r="AB76" i="367"/>
  <c r="AB100" i="367" s="1"/>
  <c r="AA76" i="367"/>
  <c r="AA100" i="367" s="1"/>
  <c r="Z76" i="367"/>
  <c r="Z100" i="367" s="1"/>
  <c r="Y76" i="367"/>
  <c r="Y100" i="367" s="1"/>
  <c r="X76" i="367"/>
  <c r="X100" i="367" s="1"/>
  <c r="W76" i="367"/>
  <c r="W100" i="367" s="1"/>
  <c r="V76" i="367"/>
  <c r="V100" i="367" s="1"/>
  <c r="U76" i="367"/>
  <c r="U100" i="367" s="1"/>
  <c r="T76" i="367"/>
  <c r="T100" i="367" s="1"/>
  <c r="S76" i="367"/>
  <c r="S100" i="367" s="1"/>
  <c r="R76" i="367"/>
  <c r="R100" i="367" s="1"/>
  <c r="Q76" i="367"/>
  <c r="Q100" i="367" s="1"/>
  <c r="P76" i="367"/>
  <c r="P100" i="367" s="1"/>
  <c r="O76" i="367"/>
  <c r="O100" i="367" s="1"/>
  <c r="N76" i="367"/>
  <c r="N100" i="367" s="1"/>
  <c r="M76" i="367"/>
  <c r="M100" i="367" s="1"/>
  <c r="L76" i="367"/>
  <c r="L100" i="367" s="1"/>
  <c r="K76" i="367"/>
  <c r="K100" i="367" s="1"/>
  <c r="J76" i="367"/>
  <c r="J100" i="367" s="1"/>
  <c r="I76" i="367"/>
  <c r="I100" i="367" s="1"/>
  <c r="H76" i="367"/>
  <c r="H100" i="367" s="1"/>
  <c r="G76" i="367"/>
  <c r="G100" i="367" s="1"/>
  <c r="F76" i="367"/>
  <c r="F100" i="367" s="1"/>
  <c r="C76" i="367"/>
  <c r="B76" i="367"/>
  <c r="AH75" i="367"/>
  <c r="AG75" i="367"/>
  <c r="AF75" i="367"/>
  <c r="AH74" i="367"/>
  <c r="AG74" i="367"/>
  <c r="AF74" i="367"/>
  <c r="AH73" i="367"/>
  <c r="AG73" i="367"/>
  <c r="AF73" i="367"/>
  <c r="AH72" i="367"/>
  <c r="AG72" i="367"/>
  <c r="AF72" i="367"/>
  <c r="AH71" i="367"/>
  <c r="AG71" i="367"/>
  <c r="AF71" i="367"/>
  <c r="AH70" i="367"/>
  <c r="AG70" i="367"/>
  <c r="AF70" i="367"/>
  <c r="AH69" i="367"/>
  <c r="AG69" i="367"/>
  <c r="AF69" i="367"/>
  <c r="AH68" i="367"/>
  <c r="AG68" i="367"/>
  <c r="AF68" i="367"/>
  <c r="AH67" i="367"/>
  <c r="AG67" i="367"/>
  <c r="AF67" i="367"/>
  <c r="AI66" i="367"/>
  <c r="AA65" i="367"/>
  <c r="AA99" i="367" s="1"/>
  <c r="Z65" i="367"/>
  <c r="Z99" i="367" s="1"/>
  <c r="Y65" i="367"/>
  <c r="Y99" i="367" s="1"/>
  <c r="X65" i="367"/>
  <c r="X99" i="367" s="1"/>
  <c r="W65" i="367"/>
  <c r="W99" i="367" s="1"/>
  <c r="V65" i="367"/>
  <c r="V99" i="367" s="1"/>
  <c r="U65" i="367"/>
  <c r="U99" i="367" s="1"/>
  <c r="S65" i="367"/>
  <c r="S99" i="367" s="1"/>
  <c r="O65" i="367"/>
  <c r="O99" i="367" s="1"/>
  <c r="N65" i="367"/>
  <c r="N99" i="367" s="1"/>
  <c r="M65" i="367"/>
  <c r="M99" i="367" s="1"/>
  <c r="L65" i="367"/>
  <c r="L99" i="367" s="1"/>
  <c r="K65" i="367"/>
  <c r="K99" i="367" s="1"/>
  <c r="J65" i="367"/>
  <c r="J99" i="367" s="1"/>
  <c r="I65" i="367"/>
  <c r="I99" i="367" s="1"/>
  <c r="H65" i="367"/>
  <c r="H99" i="367" s="1"/>
  <c r="C65" i="367"/>
  <c r="AC65" i="367"/>
  <c r="AC99" i="367" s="1"/>
  <c r="AB65" i="367"/>
  <c r="AB99" i="367" s="1"/>
  <c r="T65" i="367"/>
  <c r="T99" i="367" s="1"/>
  <c r="R65" i="367"/>
  <c r="R99" i="367" s="1"/>
  <c r="AH62" i="367"/>
  <c r="AG62" i="367"/>
  <c r="AC60" i="367"/>
  <c r="AC98" i="367" s="1"/>
  <c r="AB60" i="367"/>
  <c r="AB98" i="367" s="1"/>
  <c r="AA60" i="367"/>
  <c r="AA98" i="367" s="1"/>
  <c r="Z60" i="367"/>
  <c r="Z98" i="367" s="1"/>
  <c r="Y60" i="367"/>
  <c r="Y98" i="367" s="1"/>
  <c r="X60" i="367"/>
  <c r="X98" i="367" s="1"/>
  <c r="S60" i="367"/>
  <c r="S98" i="367" s="1"/>
  <c r="R60" i="367"/>
  <c r="R98" i="367" s="1"/>
  <c r="P60" i="367"/>
  <c r="P98" i="367" s="1"/>
  <c r="O60" i="367"/>
  <c r="O98" i="367" s="1"/>
  <c r="N60" i="367"/>
  <c r="N98" i="367" s="1"/>
  <c r="M60" i="367"/>
  <c r="M98" i="367" s="1"/>
  <c r="L60" i="367"/>
  <c r="L98" i="367" s="1"/>
  <c r="K60" i="367"/>
  <c r="K98" i="367" s="1"/>
  <c r="J60" i="367"/>
  <c r="J98" i="367" s="1"/>
  <c r="I60" i="367"/>
  <c r="I98" i="367" s="1"/>
  <c r="H60" i="367"/>
  <c r="H98" i="367" s="1"/>
  <c r="G60" i="367"/>
  <c r="G98" i="367" s="1"/>
  <c r="F60" i="367"/>
  <c r="F98" i="367" s="1"/>
  <c r="C60" i="367"/>
  <c r="B60" i="367"/>
  <c r="B65" i="367" s="1"/>
  <c r="AH59" i="367"/>
  <c r="AG59" i="367"/>
  <c r="AF59" i="367"/>
  <c r="AH58" i="367"/>
  <c r="AG58" i="367"/>
  <c r="AF58" i="367"/>
  <c r="AH57" i="367"/>
  <c r="AG57" i="367"/>
  <c r="AF57" i="367"/>
  <c r="AH56" i="367"/>
  <c r="AH51" i="367"/>
  <c r="AH50" i="367"/>
  <c r="AH49" i="367"/>
  <c r="AG49" i="367"/>
  <c r="AF49" i="367"/>
  <c r="W60" i="367"/>
  <c r="W98" i="367" s="1"/>
  <c r="AF48" i="367"/>
  <c r="T60" i="367"/>
  <c r="T98" i="367" s="1"/>
  <c r="AH47" i="367"/>
  <c r="AH46" i="367"/>
  <c r="AG46" i="367"/>
  <c r="AF46" i="367"/>
  <c r="AH45" i="367"/>
  <c r="AG45" i="367"/>
  <c r="AF45" i="367"/>
  <c r="AH44" i="367"/>
  <c r="AG44" i="367"/>
  <c r="AF44" i="367"/>
  <c r="AH43" i="367"/>
  <c r="AG43" i="367"/>
  <c r="AF43" i="367"/>
  <c r="AH42" i="367"/>
  <c r="AG42" i="367"/>
  <c r="AF42" i="367"/>
  <c r="AH41" i="367"/>
  <c r="AG41" i="367"/>
  <c r="AF41" i="367"/>
  <c r="AH39" i="367"/>
  <c r="AG39" i="367"/>
  <c r="AF39" i="367"/>
  <c r="AH38" i="367"/>
  <c r="AG38" i="367"/>
  <c r="AF38" i="367"/>
  <c r="AH37" i="367"/>
  <c r="AG37" i="367"/>
  <c r="AF37" i="367"/>
  <c r="AH36" i="367"/>
  <c r="AG36" i="367"/>
  <c r="AF36" i="367"/>
  <c r="AI35" i="367"/>
  <c r="AC34" i="367"/>
  <c r="AC96" i="367" s="1"/>
  <c r="AB34" i="367"/>
  <c r="AB96" i="367" s="1"/>
  <c r="AA34" i="367"/>
  <c r="AA96" i="367" s="1"/>
  <c r="Z34" i="367"/>
  <c r="Z96" i="367" s="1"/>
  <c r="Y34" i="367"/>
  <c r="Y96" i="367" s="1"/>
  <c r="X34" i="367"/>
  <c r="X96" i="367" s="1"/>
  <c r="W34" i="367"/>
  <c r="W96" i="367" s="1"/>
  <c r="V34" i="367"/>
  <c r="V96" i="367" s="1"/>
  <c r="U34" i="367"/>
  <c r="U96" i="367" s="1"/>
  <c r="T34" i="367"/>
  <c r="T96" i="367" s="1"/>
  <c r="S34" i="367"/>
  <c r="S96" i="367" s="1"/>
  <c r="R34" i="367"/>
  <c r="R96" i="367" s="1"/>
  <c r="Q34" i="367"/>
  <c r="Q96" i="367" s="1"/>
  <c r="P34" i="367"/>
  <c r="P96" i="367" s="1"/>
  <c r="O34" i="367"/>
  <c r="O96" i="367" s="1"/>
  <c r="N34" i="367"/>
  <c r="N96" i="367" s="1"/>
  <c r="M34" i="367"/>
  <c r="M96" i="367" s="1"/>
  <c r="L34" i="367"/>
  <c r="L96" i="367" s="1"/>
  <c r="K34" i="367"/>
  <c r="K96" i="367" s="1"/>
  <c r="J34" i="367"/>
  <c r="J96" i="367" s="1"/>
  <c r="I34" i="367"/>
  <c r="I96" i="367" s="1"/>
  <c r="H34" i="367"/>
  <c r="H96" i="367" s="1"/>
  <c r="G34" i="367"/>
  <c r="G96" i="367" s="1"/>
  <c r="F34" i="367"/>
  <c r="F96" i="367" s="1"/>
  <c r="C34" i="367"/>
  <c r="B34" i="367"/>
  <c r="AH33" i="367"/>
  <c r="AG33" i="367"/>
  <c r="AF33" i="367"/>
  <c r="AI32" i="367"/>
  <c r="AC31" i="367"/>
  <c r="AC93" i="367" s="1"/>
  <c r="AB31" i="367"/>
  <c r="AB93" i="367" s="1"/>
  <c r="AA31" i="367"/>
  <c r="AA93" i="367" s="1"/>
  <c r="Z31" i="367"/>
  <c r="Z93" i="367" s="1"/>
  <c r="Y31" i="367"/>
  <c r="Y93" i="367" s="1"/>
  <c r="X31" i="367"/>
  <c r="X93" i="367" s="1"/>
  <c r="W31" i="367"/>
  <c r="W93" i="367" s="1"/>
  <c r="V31" i="367"/>
  <c r="V93" i="367" s="1"/>
  <c r="U31" i="367"/>
  <c r="U93" i="367" s="1"/>
  <c r="T31" i="367"/>
  <c r="T93" i="367" s="1"/>
  <c r="S31" i="367"/>
  <c r="S93" i="367" s="1"/>
  <c r="R31" i="367"/>
  <c r="R93" i="367" s="1"/>
  <c r="Q31" i="367"/>
  <c r="Q93" i="367" s="1"/>
  <c r="P31" i="367"/>
  <c r="P93" i="367" s="1"/>
  <c r="O31" i="367"/>
  <c r="O93" i="367" s="1"/>
  <c r="N31" i="367"/>
  <c r="N93" i="367" s="1"/>
  <c r="M31" i="367"/>
  <c r="M93" i="367" s="1"/>
  <c r="L31" i="367"/>
  <c r="L93" i="367" s="1"/>
  <c r="K31" i="367"/>
  <c r="K93" i="367" s="1"/>
  <c r="J31" i="367"/>
  <c r="J93" i="367" s="1"/>
  <c r="I31" i="367"/>
  <c r="I93" i="367" s="1"/>
  <c r="G31" i="367"/>
  <c r="G93" i="367" s="1"/>
  <c r="F31" i="367"/>
  <c r="F93" i="367" s="1"/>
  <c r="C31" i="367"/>
  <c r="B31" i="367"/>
  <c r="AI28" i="367"/>
  <c r="AH28" i="367"/>
  <c r="AG28" i="367"/>
  <c r="AF28" i="367"/>
  <c r="AH27" i="367"/>
  <c r="AG27" i="367"/>
  <c r="AF27" i="367"/>
  <c r="AI26" i="367"/>
  <c r="AC25" i="367"/>
  <c r="AB25" i="367"/>
  <c r="AA25" i="367"/>
  <c r="Z25" i="367"/>
  <c r="Y25" i="367"/>
  <c r="X25" i="367"/>
  <c r="W25" i="367"/>
  <c r="V25" i="367"/>
  <c r="U25" i="367"/>
  <c r="T25" i="367"/>
  <c r="S25" i="367"/>
  <c r="R25" i="367"/>
  <c r="Q25" i="367"/>
  <c r="P25" i="367"/>
  <c r="O25" i="367"/>
  <c r="N25" i="367"/>
  <c r="M25" i="367"/>
  <c r="L25" i="367"/>
  <c r="K25" i="367"/>
  <c r="J25" i="367"/>
  <c r="I25" i="367"/>
  <c r="H25" i="367"/>
  <c r="G25" i="367"/>
  <c r="F25" i="367"/>
  <c r="C25" i="367"/>
  <c r="B25" i="367"/>
  <c r="AH24" i="367"/>
  <c r="AG24" i="367"/>
  <c r="AF24" i="367"/>
  <c r="AI23" i="367"/>
  <c r="AC22" i="367"/>
  <c r="AC89" i="367" s="1"/>
  <c r="AB22" i="367"/>
  <c r="AB89" i="367" s="1"/>
  <c r="AA22" i="367"/>
  <c r="Z22" i="367"/>
  <c r="Y22" i="367"/>
  <c r="X22" i="367"/>
  <c r="V22" i="367"/>
  <c r="U22" i="367"/>
  <c r="T22" i="367"/>
  <c r="S22" i="367"/>
  <c r="R22" i="367"/>
  <c r="Q22" i="367"/>
  <c r="P22" i="367"/>
  <c r="O22" i="367"/>
  <c r="N22" i="367"/>
  <c r="N89" i="367" s="1"/>
  <c r="M22" i="367"/>
  <c r="L22" i="367"/>
  <c r="L110" i="367" s="1"/>
  <c r="K22" i="367"/>
  <c r="J22" i="367"/>
  <c r="I22" i="367"/>
  <c r="I89" i="367" s="1"/>
  <c r="H22" i="367"/>
  <c r="H89" i="367" s="1"/>
  <c r="G22" i="367"/>
  <c r="F22" i="367"/>
  <c r="C22" i="367"/>
  <c r="B22" i="367"/>
  <c r="W22" i="367"/>
  <c r="AH20" i="367"/>
  <c r="AG20" i="367"/>
  <c r="AF20" i="367"/>
  <c r="AH19" i="367"/>
  <c r="AG19" i="367"/>
  <c r="AF19" i="367"/>
  <c r="AI18" i="367"/>
  <c r="AC17" i="367"/>
  <c r="AB17" i="367"/>
  <c r="AA17" i="367"/>
  <c r="Z17" i="367"/>
  <c r="Y17" i="367"/>
  <c r="X17" i="367"/>
  <c r="W17" i="367"/>
  <c r="W91" i="367" s="1"/>
  <c r="V17" i="367"/>
  <c r="V91" i="367" s="1"/>
  <c r="U17" i="367"/>
  <c r="U91" i="367" s="1"/>
  <c r="T17" i="367"/>
  <c r="T91" i="367" s="1"/>
  <c r="S17" i="367"/>
  <c r="S91" i="367" s="1"/>
  <c r="R17" i="367"/>
  <c r="R91" i="367" s="1"/>
  <c r="Q17" i="367"/>
  <c r="Q91" i="367" s="1"/>
  <c r="P17" i="367"/>
  <c r="P91" i="367" s="1"/>
  <c r="O17" i="367"/>
  <c r="O91" i="367" s="1"/>
  <c r="N17" i="367"/>
  <c r="N91" i="367" s="1"/>
  <c r="M17" i="367"/>
  <c r="M91" i="367" s="1"/>
  <c r="L17" i="367"/>
  <c r="L91" i="367" s="1"/>
  <c r="K17" i="367"/>
  <c r="K91" i="367" s="1"/>
  <c r="J17" i="367"/>
  <c r="J91" i="367" s="1"/>
  <c r="I17" i="367"/>
  <c r="H17" i="367"/>
  <c r="G17" i="367"/>
  <c r="F17" i="367"/>
  <c r="C17" i="367"/>
  <c r="B17" i="367"/>
  <c r="AL16" i="367"/>
  <c r="AH16" i="367"/>
  <c r="AG16" i="367"/>
  <c r="AF16" i="367"/>
  <c r="AH15" i="367"/>
  <c r="AG15" i="367"/>
  <c r="AF15" i="367"/>
  <c r="AH14" i="367"/>
  <c r="AG14" i="367"/>
  <c r="AF14" i="367"/>
  <c r="AH13" i="367"/>
  <c r="AG13" i="367"/>
  <c r="AF13" i="367"/>
  <c r="AI12" i="367"/>
  <c r="M9" i="367" a="1"/>
  <c r="M9" i="367" s="1"/>
  <c r="AC64" i="366"/>
  <c r="AC62" i="366"/>
  <c r="F575" i="88"/>
  <c r="AE377" i="260"/>
  <c r="W377" i="260"/>
  <c r="AQ381" i="260" a="1"/>
  <c r="N377" i="260" a="1"/>
  <c r="A656" i="79" l="1"/>
  <c r="C654" i="79"/>
  <c r="C655" i="79"/>
  <c r="A657" i="79"/>
  <c r="AQ381" i="260"/>
  <c r="X89" i="367"/>
  <c r="V89" i="367"/>
  <c r="U109" i="367"/>
  <c r="AF62" i="367"/>
  <c r="F65" i="367"/>
  <c r="F99" i="367" s="1"/>
  <c r="Y89" i="367"/>
  <c r="S109" i="367"/>
  <c r="Z89" i="367"/>
  <c r="T109" i="367"/>
  <c r="AA89" i="367"/>
  <c r="Q110" i="367"/>
  <c r="K110" i="367"/>
  <c r="J89" i="367"/>
  <c r="G89" i="367"/>
  <c r="F89" i="367"/>
  <c r="O109" i="367"/>
  <c r="V109" i="367"/>
  <c r="N109" i="367"/>
  <c r="R109" i="367"/>
  <c r="W109" i="367"/>
  <c r="T110" i="367"/>
  <c r="J103" i="367"/>
  <c r="J108" i="367" s="1"/>
  <c r="G83" i="367"/>
  <c r="P89" i="367"/>
  <c r="O89" i="367"/>
  <c r="O103" i="367" s="1"/>
  <c r="O108" i="367" s="1"/>
  <c r="R110" i="367"/>
  <c r="V110" i="367"/>
  <c r="M110" i="367"/>
  <c r="S110" i="367"/>
  <c r="M83" i="367"/>
  <c r="N110" i="367"/>
  <c r="O110" i="367"/>
  <c r="U110" i="367"/>
  <c r="P109" i="367"/>
  <c r="Q109" i="367"/>
  <c r="W89" i="367"/>
  <c r="P110" i="367"/>
  <c r="W103" i="367"/>
  <c r="W108" i="367" s="1"/>
  <c r="AG64" i="367"/>
  <c r="W83" i="367"/>
  <c r="B83" i="367"/>
  <c r="X91" i="367"/>
  <c r="X109" i="367" s="1"/>
  <c r="X83" i="367"/>
  <c r="X110" i="367"/>
  <c r="Z91" i="367"/>
  <c r="Z109" i="367" s="1"/>
  <c r="Z110" i="367"/>
  <c r="AA110" i="367"/>
  <c r="AA91" i="367"/>
  <c r="AA109" i="367" s="1"/>
  <c r="N103" i="367"/>
  <c r="N108" i="367" s="1"/>
  <c r="I110" i="367"/>
  <c r="I91" i="367"/>
  <c r="I109" i="367" s="1"/>
  <c r="J109" i="367"/>
  <c r="K109" i="367"/>
  <c r="J83" i="367"/>
  <c r="AF64" i="367"/>
  <c r="AH64" i="367"/>
  <c r="C83" i="367"/>
  <c r="Y83" i="367"/>
  <c r="Y91" i="367"/>
  <c r="Y109" i="367" s="1"/>
  <c r="Y110" i="367"/>
  <c r="G91" i="367"/>
  <c r="G109" i="367" s="1"/>
  <c r="G110" i="367"/>
  <c r="J110" i="367"/>
  <c r="AF51" i="367"/>
  <c r="Z83" i="367"/>
  <c r="AI36" i="367"/>
  <c r="K83" i="367"/>
  <c r="K89" i="367"/>
  <c r="K103" i="367" s="1"/>
  <c r="K108" i="367" s="1"/>
  <c r="F110" i="367"/>
  <c r="F91" i="367"/>
  <c r="F109" i="367" s="1"/>
  <c r="AB110" i="367"/>
  <c r="AB91" i="367"/>
  <c r="AB109" i="367" s="1"/>
  <c r="AC110" i="367"/>
  <c r="AC91" i="367"/>
  <c r="AC109" i="367" s="1"/>
  <c r="AG51" i="367"/>
  <c r="AA83" i="367"/>
  <c r="T83" i="367"/>
  <c r="V60" i="367"/>
  <c r="V98" i="367" s="1"/>
  <c r="V103" i="367" s="1"/>
  <c r="V108" i="367" s="1"/>
  <c r="I83" i="367"/>
  <c r="L109" i="367"/>
  <c r="R89" i="367"/>
  <c r="R103" i="367" s="1"/>
  <c r="R108" i="367" s="1"/>
  <c r="M109" i="367"/>
  <c r="S89" i="367"/>
  <c r="S103" i="367" s="1"/>
  <c r="S108" i="367" s="1"/>
  <c r="P65" i="367"/>
  <c r="P99" i="367" s="1"/>
  <c r="T89" i="367"/>
  <c r="T103" i="367" s="1"/>
  <c r="T108" i="367" s="1"/>
  <c r="AH48" i="367"/>
  <c r="AG48" i="367"/>
  <c r="Q65" i="367"/>
  <c r="Q99" i="367" s="1"/>
  <c r="AB83" i="367"/>
  <c r="AG63" i="367"/>
  <c r="AF63" i="367"/>
  <c r="AI61" i="367"/>
  <c r="AH63" i="367"/>
  <c r="L83" i="367"/>
  <c r="L89" i="367"/>
  <c r="L103" i="367" s="1"/>
  <c r="L108" i="367" s="1"/>
  <c r="F83" i="367"/>
  <c r="H110" i="367"/>
  <c r="H91" i="367"/>
  <c r="H109" i="367" s="1"/>
  <c r="H83" i="367"/>
  <c r="U89" i="367"/>
  <c r="U60" i="367"/>
  <c r="U98" i="367" s="1"/>
  <c r="AC83" i="367"/>
  <c r="N83" i="367"/>
  <c r="AF56" i="367"/>
  <c r="O83" i="367"/>
  <c r="AG56" i="367"/>
  <c r="P83" i="367"/>
  <c r="AF40" i="367"/>
  <c r="M89" i="367"/>
  <c r="M103" i="367" s="1"/>
  <c r="M108" i="367" s="1"/>
  <c r="R83" i="367"/>
  <c r="S83" i="367"/>
  <c r="W110" i="367"/>
  <c r="AF21" i="367"/>
  <c r="Q60" i="367"/>
  <c r="Q98" i="367" s="1"/>
  <c r="AG21" i="367"/>
  <c r="AF50" i="367"/>
  <c r="Q89" i="367"/>
  <c r="AH21" i="367"/>
  <c r="AG50" i="367"/>
  <c r="AF47" i="367"/>
  <c r="AG40" i="367"/>
  <c r="AG47" i="367"/>
  <c r="AH40" i="367"/>
  <c r="N377" i="260"/>
  <c r="AB64" i="366"/>
  <c r="AB62" i="366"/>
  <c r="F591" i="88"/>
  <c r="W376" i="260"/>
  <c r="F604" i="88"/>
  <c r="F599" i="88"/>
  <c r="F597" i="88"/>
  <c r="W375" i="260"/>
  <c r="F589" i="88"/>
  <c r="F569" i="88"/>
  <c r="F596" i="88"/>
  <c r="F595" i="88"/>
  <c r="F594" i="88"/>
  <c r="F600" i="88"/>
  <c r="AH64" i="366"/>
  <c r="X60" i="366"/>
  <c r="X98" i="366" s="1"/>
  <c r="AG56" i="366"/>
  <c r="W21" i="366"/>
  <c r="F598" i="88"/>
  <c r="AE372" i="260"/>
  <c r="W372" i="260"/>
  <c r="W64" i="366"/>
  <c r="W63" i="366"/>
  <c r="W56" i="366"/>
  <c r="W51" i="366"/>
  <c r="W50" i="366"/>
  <c r="W48" i="366"/>
  <c r="W47" i="366"/>
  <c r="F602" i="88"/>
  <c r="AF51" i="366"/>
  <c r="AE371" i="260"/>
  <c r="W371" i="260"/>
  <c r="V56" i="366"/>
  <c r="V51" i="366"/>
  <c r="V50" i="366"/>
  <c r="V48" i="366"/>
  <c r="V47" i="366"/>
  <c r="V40" i="366"/>
  <c r="AG40" i="366"/>
  <c r="F592" i="88"/>
  <c r="F547" i="88"/>
  <c r="V63" i="366"/>
  <c r="V64" i="366"/>
  <c r="W370" i="260"/>
  <c r="U64" i="366"/>
  <c r="U63" i="366"/>
  <c r="U47" i="366"/>
  <c r="U48" i="366"/>
  <c r="U50" i="366"/>
  <c r="U51" i="366"/>
  <c r="W369" i="260"/>
  <c r="T64" i="366"/>
  <c r="T63" i="366"/>
  <c r="T51" i="366"/>
  <c r="T50" i="366"/>
  <c r="T48" i="366"/>
  <c r="T47" i="366"/>
  <c r="T60" i="366" s="1"/>
  <c r="T98" i="366" s="1"/>
  <c r="W368" i="260"/>
  <c r="F582" i="88"/>
  <c r="F581" i="88"/>
  <c r="F557" i="88"/>
  <c r="W367" i="260"/>
  <c r="F579" i="88"/>
  <c r="F578" i="88"/>
  <c r="W366" i="260"/>
  <c r="R62" i="366"/>
  <c r="R63" i="366"/>
  <c r="Q63" i="366"/>
  <c r="Q62" i="366"/>
  <c r="Q56" i="366"/>
  <c r="Q51" i="366"/>
  <c r="Q50" i="366"/>
  <c r="AH50" i="366"/>
  <c r="Q47" i="366"/>
  <c r="F577" i="88"/>
  <c r="F583" i="88"/>
  <c r="F571" i="88"/>
  <c r="W365" i="260"/>
  <c r="F584" i="88"/>
  <c r="F588" i="88"/>
  <c r="F586" i="88"/>
  <c r="Q65" i="366"/>
  <c r="Q99" i="366" s="1"/>
  <c r="P63" i="366"/>
  <c r="P62" i="366"/>
  <c r="F590" i="88"/>
  <c r="AI364" i="260"/>
  <c r="W364" i="260"/>
  <c r="F576" i="88"/>
  <c r="F562" i="88"/>
  <c r="F585" i="88"/>
  <c r="F561" i="88"/>
  <c r="AI363" i="260"/>
  <c r="W363" i="260"/>
  <c r="W362" i="260"/>
  <c r="F574" i="88"/>
  <c r="W361" i="260"/>
  <c r="F560" i="88"/>
  <c r="F572" i="88"/>
  <c r="F573" i="88"/>
  <c r="F570" i="88"/>
  <c r="F540" i="88"/>
  <c r="J64" i="366"/>
  <c r="J62" i="366"/>
  <c r="I64" i="366"/>
  <c r="I62" i="366"/>
  <c r="F555" i="88"/>
  <c r="H64" i="366"/>
  <c r="H62" i="366"/>
  <c r="G64" i="366"/>
  <c r="G62" i="366"/>
  <c r="F548" i="88"/>
  <c r="G65" i="366"/>
  <c r="F64" i="366"/>
  <c r="F62" i="366"/>
  <c r="F546" i="88"/>
  <c r="AI353" i="260"/>
  <c r="AI352" i="260"/>
  <c r="W353" i="260"/>
  <c r="W352" i="260"/>
  <c r="AC64" i="365"/>
  <c r="AC62" i="365"/>
  <c r="AC107" i="366"/>
  <c r="AB107" i="366"/>
  <c r="AA107" i="366"/>
  <c r="Z107" i="366"/>
  <c r="Y107" i="366"/>
  <c r="X107" i="366"/>
  <c r="W107" i="366"/>
  <c r="V107" i="366"/>
  <c r="U107" i="366"/>
  <c r="T107" i="366"/>
  <c r="S107" i="366"/>
  <c r="R107" i="366"/>
  <c r="Q107" i="366"/>
  <c r="P107" i="366"/>
  <c r="O107" i="366"/>
  <c r="N107" i="366"/>
  <c r="M107" i="366"/>
  <c r="L107" i="366"/>
  <c r="K107" i="366"/>
  <c r="J107" i="366"/>
  <c r="I107" i="366"/>
  <c r="H107" i="366"/>
  <c r="G107" i="366"/>
  <c r="F107" i="366"/>
  <c r="AC102" i="366"/>
  <c r="AB102" i="366"/>
  <c r="AA102" i="366"/>
  <c r="Z102" i="366"/>
  <c r="Y102" i="366"/>
  <c r="X102" i="366"/>
  <c r="W102" i="366"/>
  <c r="V102" i="366"/>
  <c r="U102" i="366"/>
  <c r="T102" i="366"/>
  <c r="S102" i="366"/>
  <c r="R102" i="366"/>
  <c r="Q102" i="366"/>
  <c r="P102" i="366"/>
  <c r="O102" i="366"/>
  <c r="N102" i="366"/>
  <c r="M102" i="366"/>
  <c r="L102" i="366"/>
  <c r="K102" i="366"/>
  <c r="J102" i="366"/>
  <c r="I102" i="366"/>
  <c r="H102" i="366"/>
  <c r="G102" i="366"/>
  <c r="F102" i="366"/>
  <c r="R101" i="366"/>
  <c r="F101" i="366"/>
  <c r="W100" i="366"/>
  <c r="T100" i="366"/>
  <c r="S100" i="366"/>
  <c r="N99" i="366"/>
  <c r="AC98" i="366"/>
  <c r="P98" i="366"/>
  <c r="F98" i="366"/>
  <c r="T96" i="366"/>
  <c r="H93" i="366"/>
  <c r="AC80" i="366"/>
  <c r="AC101" i="366" s="1"/>
  <c r="AB80" i="366"/>
  <c r="AB101" i="366" s="1"/>
  <c r="AA80" i="366"/>
  <c r="AA101" i="366" s="1"/>
  <c r="Z80" i="366"/>
  <c r="Z101" i="366" s="1"/>
  <c r="Y80" i="366"/>
  <c r="Y101" i="366" s="1"/>
  <c r="X80" i="366"/>
  <c r="X101" i="366" s="1"/>
  <c r="W80" i="366"/>
  <c r="W101" i="366" s="1"/>
  <c r="V80" i="366"/>
  <c r="V101" i="366" s="1"/>
  <c r="U80" i="366"/>
  <c r="U101" i="366" s="1"/>
  <c r="T80" i="366"/>
  <c r="T101" i="366" s="1"/>
  <c r="S80" i="366"/>
  <c r="S101" i="366" s="1"/>
  <c r="R80" i="366"/>
  <c r="Q80" i="366"/>
  <c r="Q101" i="366" s="1"/>
  <c r="P80" i="366"/>
  <c r="P101" i="366" s="1"/>
  <c r="O80" i="366"/>
  <c r="O101" i="366" s="1"/>
  <c r="N80" i="366"/>
  <c r="N101" i="366" s="1"/>
  <c r="M80" i="366"/>
  <c r="M101" i="366" s="1"/>
  <c r="L80" i="366"/>
  <c r="L101" i="366" s="1"/>
  <c r="K80" i="366"/>
  <c r="K101" i="366" s="1"/>
  <c r="J80" i="366"/>
  <c r="J101" i="366" s="1"/>
  <c r="I80" i="366"/>
  <c r="I101" i="366" s="1"/>
  <c r="H80" i="366"/>
  <c r="H101" i="366" s="1"/>
  <c r="G80" i="366"/>
  <c r="G101" i="366" s="1"/>
  <c r="F80" i="366"/>
  <c r="C80" i="366"/>
  <c r="B80" i="366"/>
  <c r="B25" i="366" s="1"/>
  <c r="AH79" i="366"/>
  <c r="AG79" i="366"/>
  <c r="AF79" i="366"/>
  <c r="AH78" i="366"/>
  <c r="AG78" i="366"/>
  <c r="AF78" i="366"/>
  <c r="AI77" i="366"/>
  <c r="AC76" i="366"/>
  <c r="AC100" i="366" s="1"/>
  <c r="AB76" i="366"/>
  <c r="AB100" i="366" s="1"/>
  <c r="AA76" i="366"/>
  <c r="AA100" i="366" s="1"/>
  <c r="Z76" i="366"/>
  <c r="Z100" i="366" s="1"/>
  <c r="Y76" i="366"/>
  <c r="Y100" i="366" s="1"/>
  <c r="X76" i="366"/>
  <c r="X100" i="366" s="1"/>
  <c r="W76" i="366"/>
  <c r="V76" i="366"/>
  <c r="V100" i="366" s="1"/>
  <c r="U76" i="366"/>
  <c r="U100" i="366" s="1"/>
  <c r="T76" i="366"/>
  <c r="S76" i="366"/>
  <c r="R76" i="366"/>
  <c r="R100" i="366" s="1"/>
  <c r="Q76" i="366"/>
  <c r="Q100" i="366" s="1"/>
  <c r="P76" i="366"/>
  <c r="P100" i="366" s="1"/>
  <c r="O76" i="366"/>
  <c r="O100" i="366" s="1"/>
  <c r="N76" i="366"/>
  <c r="N100" i="366" s="1"/>
  <c r="M76" i="366"/>
  <c r="M100" i="366" s="1"/>
  <c r="L76" i="366"/>
  <c r="L100" i="366" s="1"/>
  <c r="K76" i="366"/>
  <c r="K100" i="366" s="1"/>
  <c r="J76" i="366"/>
  <c r="J100" i="366" s="1"/>
  <c r="I76" i="366"/>
  <c r="I100" i="366" s="1"/>
  <c r="H76" i="366"/>
  <c r="H100" i="366" s="1"/>
  <c r="G76" i="366"/>
  <c r="G100" i="366" s="1"/>
  <c r="F76" i="366"/>
  <c r="F100" i="366" s="1"/>
  <c r="C76" i="366"/>
  <c r="B76" i="366"/>
  <c r="AH75" i="366"/>
  <c r="AG75" i="366"/>
  <c r="AF75" i="366"/>
  <c r="AH74" i="366"/>
  <c r="AG74" i="366"/>
  <c r="AF74" i="366"/>
  <c r="AH73" i="366"/>
  <c r="AG73" i="366"/>
  <c r="AF73" i="366"/>
  <c r="AH72" i="366"/>
  <c r="AG72" i="366"/>
  <c r="AF72" i="366"/>
  <c r="AH71" i="366"/>
  <c r="AG71" i="366"/>
  <c r="AF71" i="366"/>
  <c r="AH70" i="366"/>
  <c r="AG70" i="366"/>
  <c r="AF70" i="366"/>
  <c r="AH69" i="366"/>
  <c r="AG69" i="366"/>
  <c r="AF69" i="366"/>
  <c r="AH68" i="366"/>
  <c r="AG68" i="366"/>
  <c r="AF68" i="366"/>
  <c r="AH67" i="366"/>
  <c r="AG67" i="366"/>
  <c r="AF67" i="366"/>
  <c r="AI66" i="366"/>
  <c r="AA65" i="366"/>
  <c r="AA99" i="366" s="1"/>
  <c r="Z65" i="366"/>
  <c r="Z99" i="366" s="1"/>
  <c r="Y65" i="366"/>
  <c r="Y99" i="366" s="1"/>
  <c r="W65" i="366"/>
  <c r="W99" i="366" s="1"/>
  <c r="V65" i="366"/>
  <c r="V99" i="366" s="1"/>
  <c r="U65" i="366"/>
  <c r="U99" i="366" s="1"/>
  <c r="R65" i="366"/>
  <c r="R99" i="366" s="1"/>
  <c r="P65" i="366"/>
  <c r="P99" i="366" s="1"/>
  <c r="O65" i="366"/>
  <c r="O99" i="366" s="1"/>
  <c r="N65" i="366"/>
  <c r="M65" i="366"/>
  <c r="M99" i="366" s="1"/>
  <c r="C65" i="366"/>
  <c r="B65" i="366"/>
  <c r="K65" i="366"/>
  <c r="K99" i="366" s="1"/>
  <c r="AC65" i="366"/>
  <c r="L65" i="366"/>
  <c r="L99" i="366" s="1"/>
  <c r="J65" i="366"/>
  <c r="I65" i="366"/>
  <c r="H65" i="366"/>
  <c r="F65" i="366"/>
  <c r="AC60" i="366"/>
  <c r="AB60" i="366"/>
  <c r="AB98" i="366" s="1"/>
  <c r="AA60" i="366"/>
  <c r="AA98" i="366" s="1"/>
  <c r="Z60" i="366"/>
  <c r="Z98" i="366" s="1"/>
  <c r="Y60" i="366"/>
  <c r="Y98" i="366" s="1"/>
  <c r="W60" i="366"/>
  <c r="W98" i="366" s="1"/>
  <c r="U60" i="366"/>
  <c r="U98" i="366" s="1"/>
  <c r="S60" i="366"/>
  <c r="S98" i="366" s="1"/>
  <c r="R60" i="366"/>
  <c r="R98" i="366" s="1"/>
  <c r="P60" i="366"/>
  <c r="M60" i="366"/>
  <c r="M98" i="366" s="1"/>
  <c r="L60" i="366"/>
  <c r="L98" i="366" s="1"/>
  <c r="K60" i="366"/>
  <c r="K98" i="366" s="1"/>
  <c r="J60" i="366"/>
  <c r="J98" i="366" s="1"/>
  <c r="I60" i="366"/>
  <c r="I98" i="366" s="1"/>
  <c r="H60" i="366"/>
  <c r="H98" i="366" s="1"/>
  <c r="G60" i="366"/>
  <c r="G98" i="366" s="1"/>
  <c r="F60" i="366"/>
  <c r="C60" i="366"/>
  <c r="B60" i="366"/>
  <c r="AH59" i="366"/>
  <c r="AG59" i="366"/>
  <c r="AF59" i="366"/>
  <c r="AH58" i="366"/>
  <c r="AG58" i="366"/>
  <c r="AF58" i="366"/>
  <c r="AH57" i="366"/>
  <c r="AG57" i="366"/>
  <c r="AF57" i="366"/>
  <c r="AG50" i="366"/>
  <c r="AF50" i="366"/>
  <c r="AH49" i="366"/>
  <c r="AG49" i="366"/>
  <c r="AF49" i="366"/>
  <c r="AH48" i="366"/>
  <c r="O60" i="366"/>
  <c r="O98" i="366" s="1"/>
  <c r="N60" i="366"/>
  <c r="N98" i="366" s="1"/>
  <c r="AH46" i="366"/>
  <c r="AG46" i="366"/>
  <c r="AF46" i="366"/>
  <c r="AH45" i="366"/>
  <c r="AG45" i="366"/>
  <c r="AF45" i="366"/>
  <c r="AH44" i="366"/>
  <c r="AG44" i="366"/>
  <c r="AF44" i="366"/>
  <c r="AH43" i="366"/>
  <c r="AG43" i="366"/>
  <c r="AF43" i="366"/>
  <c r="AH42" i="366"/>
  <c r="AG42" i="366"/>
  <c r="AF42" i="366"/>
  <c r="AH41" i="366"/>
  <c r="AG41" i="366"/>
  <c r="AF41" i="366"/>
  <c r="AH39" i="366"/>
  <c r="AG39" i="366"/>
  <c r="AF39" i="366"/>
  <c r="AH38" i="366"/>
  <c r="AG38" i="366"/>
  <c r="AF38" i="366"/>
  <c r="AH37" i="366"/>
  <c r="AG37" i="366"/>
  <c r="AF37" i="366"/>
  <c r="AH36" i="366"/>
  <c r="AG36" i="366"/>
  <c r="AF36" i="366"/>
  <c r="AI35" i="366"/>
  <c r="AC34" i="366"/>
  <c r="AC96" i="366" s="1"/>
  <c r="AB34" i="366"/>
  <c r="AB96" i="366" s="1"/>
  <c r="AA34" i="366"/>
  <c r="AA96" i="366" s="1"/>
  <c r="Z34" i="366"/>
  <c r="Z96" i="366" s="1"/>
  <c r="Y34" i="366"/>
  <c r="Y96" i="366" s="1"/>
  <c r="X34" i="366"/>
  <c r="X96" i="366" s="1"/>
  <c r="W34" i="366"/>
  <c r="W96" i="366" s="1"/>
  <c r="V34" i="366"/>
  <c r="V96" i="366" s="1"/>
  <c r="U34" i="366"/>
  <c r="U96" i="366" s="1"/>
  <c r="T34" i="366"/>
  <c r="S34" i="366"/>
  <c r="S96" i="366" s="1"/>
  <c r="R34" i="366"/>
  <c r="R96" i="366" s="1"/>
  <c r="Q34" i="366"/>
  <c r="Q96" i="366" s="1"/>
  <c r="P34" i="366"/>
  <c r="P96" i="366" s="1"/>
  <c r="O34" i="366"/>
  <c r="O96" i="366" s="1"/>
  <c r="N34" i="366"/>
  <c r="N96" i="366" s="1"/>
  <c r="M34" i="366"/>
  <c r="M96" i="366" s="1"/>
  <c r="L34" i="366"/>
  <c r="L96" i="366" s="1"/>
  <c r="K34" i="366"/>
  <c r="K96" i="366" s="1"/>
  <c r="J34" i="366"/>
  <c r="J96" i="366" s="1"/>
  <c r="I34" i="366"/>
  <c r="I96" i="366" s="1"/>
  <c r="H34" i="366"/>
  <c r="H96" i="366" s="1"/>
  <c r="G34" i="366"/>
  <c r="G96" i="366" s="1"/>
  <c r="F34" i="366"/>
  <c r="F96" i="366" s="1"/>
  <c r="C34" i="366"/>
  <c r="B34" i="366"/>
  <c r="AH33" i="366"/>
  <c r="AG33" i="366"/>
  <c r="AF33" i="366"/>
  <c r="AI32" i="366"/>
  <c r="AC31" i="366"/>
  <c r="AC93" i="366" s="1"/>
  <c r="AB31" i="366"/>
  <c r="AB93" i="366" s="1"/>
  <c r="AA31" i="366"/>
  <c r="AA93" i="366" s="1"/>
  <c r="Z31" i="366"/>
  <c r="Z93" i="366" s="1"/>
  <c r="Y31" i="366"/>
  <c r="Y93" i="366" s="1"/>
  <c r="X31" i="366"/>
  <c r="X93" i="366" s="1"/>
  <c r="W31" i="366"/>
  <c r="W93" i="366" s="1"/>
  <c r="V31" i="366"/>
  <c r="V93" i="366" s="1"/>
  <c r="U31" i="366"/>
  <c r="U93" i="366" s="1"/>
  <c r="T31" i="366"/>
  <c r="T93" i="366" s="1"/>
  <c r="S31" i="366"/>
  <c r="S93" i="366" s="1"/>
  <c r="R31" i="366"/>
  <c r="R93" i="366" s="1"/>
  <c r="Q31" i="366"/>
  <c r="Q93" i="366" s="1"/>
  <c r="P31" i="366"/>
  <c r="P93" i="366" s="1"/>
  <c r="O31" i="366"/>
  <c r="O93" i="366" s="1"/>
  <c r="N31" i="366"/>
  <c r="N93" i="366" s="1"/>
  <c r="M31" i="366"/>
  <c r="M93" i="366" s="1"/>
  <c r="L31" i="366"/>
  <c r="L93" i="366" s="1"/>
  <c r="K31" i="366"/>
  <c r="K93" i="366" s="1"/>
  <c r="J31" i="366"/>
  <c r="J93" i="366" s="1"/>
  <c r="I31" i="366"/>
  <c r="I93" i="366" s="1"/>
  <c r="G31" i="366"/>
  <c r="G93" i="366" s="1"/>
  <c r="F31" i="366"/>
  <c r="F93" i="366" s="1"/>
  <c r="C31" i="366"/>
  <c r="B31" i="366"/>
  <c r="AI28" i="366"/>
  <c r="AH28" i="366"/>
  <c r="AG28" i="366"/>
  <c r="AF28" i="366"/>
  <c r="AH27" i="366"/>
  <c r="AG27" i="366"/>
  <c r="AF27" i="366"/>
  <c r="AI26" i="366"/>
  <c r="AC25" i="366"/>
  <c r="AC89" i="366" s="1"/>
  <c r="AB25" i="366"/>
  <c r="AB89" i="366" s="1"/>
  <c r="AA25" i="366"/>
  <c r="AA89" i="366" s="1"/>
  <c r="Z25" i="366"/>
  <c r="Z89" i="366" s="1"/>
  <c r="Y25" i="366"/>
  <c r="Y89" i="366" s="1"/>
  <c r="X25" i="366"/>
  <c r="X89" i="366" s="1"/>
  <c r="W25" i="366"/>
  <c r="V25" i="366"/>
  <c r="U25" i="366"/>
  <c r="T25" i="366"/>
  <c r="S25" i="366"/>
  <c r="R25" i="366"/>
  <c r="Q25" i="366"/>
  <c r="P25" i="366"/>
  <c r="O25" i="366"/>
  <c r="N25" i="366"/>
  <c r="M25" i="366"/>
  <c r="L25" i="366"/>
  <c r="K25" i="366"/>
  <c r="J25" i="366"/>
  <c r="I25" i="366"/>
  <c r="I89" i="366" s="1"/>
  <c r="H25" i="366"/>
  <c r="G25" i="366"/>
  <c r="F25" i="366"/>
  <c r="C25" i="366"/>
  <c r="AH24" i="366"/>
  <c r="AG24" i="366"/>
  <c r="AF24" i="366"/>
  <c r="AI23" i="366"/>
  <c r="AC22" i="366"/>
  <c r="AB22" i="366"/>
  <c r="AA22" i="366"/>
  <c r="Z22" i="366"/>
  <c r="Y22" i="366"/>
  <c r="X22" i="366"/>
  <c r="W22" i="366"/>
  <c r="V22" i="366"/>
  <c r="U22" i="366"/>
  <c r="T22" i="366"/>
  <c r="S22" i="366"/>
  <c r="R22" i="366"/>
  <c r="Q22" i="366"/>
  <c r="P22" i="366"/>
  <c r="P89" i="366" s="1"/>
  <c r="O22" i="366"/>
  <c r="N22" i="366"/>
  <c r="M22" i="366"/>
  <c r="M89" i="366" s="1"/>
  <c r="L22" i="366"/>
  <c r="K22" i="366"/>
  <c r="J22" i="366"/>
  <c r="I22" i="366"/>
  <c r="H22" i="366"/>
  <c r="G22" i="366"/>
  <c r="F22" i="366"/>
  <c r="C22" i="366"/>
  <c r="B22" i="366"/>
  <c r="AH21" i="366"/>
  <c r="AG21" i="366"/>
  <c r="AF21" i="366"/>
  <c r="AH20" i="366"/>
  <c r="AG20" i="366"/>
  <c r="AF20" i="366"/>
  <c r="AH19" i="366"/>
  <c r="AG19" i="366"/>
  <c r="AF19" i="366"/>
  <c r="AI18" i="366"/>
  <c r="AC17" i="366"/>
  <c r="AB17" i="366"/>
  <c r="AA17" i="366"/>
  <c r="Z17" i="366"/>
  <c r="Y17" i="366"/>
  <c r="X17" i="366"/>
  <c r="W17" i="366"/>
  <c r="V17" i="366"/>
  <c r="U17" i="366"/>
  <c r="T17" i="366"/>
  <c r="S17" i="366"/>
  <c r="R17" i="366"/>
  <c r="R91" i="366" s="1"/>
  <c r="Q17" i="366"/>
  <c r="Q91" i="366" s="1"/>
  <c r="P17" i="366"/>
  <c r="P91" i="366" s="1"/>
  <c r="O17" i="366"/>
  <c r="O91" i="366" s="1"/>
  <c r="N17" i="366"/>
  <c r="N91" i="366" s="1"/>
  <c r="M17" i="366"/>
  <c r="L17" i="366"/>
  <c r="L91" i="366" s="1"/>
  <c r="K17" i="366"/>
  <c r="J17" i="366"/>
  <c r="J91" i="366" s="1"/>
  <c r="I17" i="366"/>
  <c r="H17" i="366"/>
  <c r="G17" i="366"/>
  <c r="G91" i="366" s="1"/>
  <c r="F17" i="366"/>
  <c r="F91" i="366" s="1"/>
  <c r="C17" i="366"/>
  <c r="C83" i="366" s="1"/>
  <c r="B17" i="366"/>
  <c r="B83" i="366" s="1"/>
  <c r="AL16" i="366"/>
  <c r="AH16" i="366"/>
  <c r="AG16" i="366"/>
  <c r="AF16" i="366"/>
  <c r="AH15" i="366"/>
  <c r="AG15" i="366"/>
  <c r="AF15" i="366"/>
  <c r="AH14" i="366"/>
  <c r="AG14" i="366"/>
  <c r="AF14" i="366"/>
  <c r="AH13" i="366"/>
  <c r="AG13" i="366"/>
  <c r="AF13" i="366"/>
  <c r="AI12" i="366"/>
  <c r="M9" i="366" a="1"/>
  <c r="M9" i="366" s="1"/>
  <c r="F568" i="88"/>
  <c r="F549" i="88"/>
  <c r="F545" i="88"/>
  <c r="F544" i="88"/>
  <c r="F552" i="88"/>
  <c r="F543" i="88"/>
  <c r="F564" i="88"/>
  <c r="F565" i="88"/>
  <c r="F566" i="88"/>
  <c r="AB64" i="365"/>
  <c r="AB62" i="365"/>
  <c r="F328" i="88"/>
  <c r="F542" i="88"/>
  <c r="F563" i="88"/>
  <c r="W351" i="260"/>
  <c r="AA47" i="365"/>
  <c r="F550" i="88"/>
  <c r="F533" i="88"/>
  <c r="W350" i="260"/>
  <c r="Y60" i="365"/>
  <c r="W349" i="260"/>
  <c r="F559" i="88"/>
  <c r="F539" i="88"/>
  <c r="F558" i="88"/>
  <c r="W348" i="260"/>
  <c r="X64" i="365"/>
  <c r="X62" i="365"/>
  <c r="F554" i="88"/>
  <c r="W347" i="260"/>
  <c r="N347" i="260" a="1"/>
  <c r="A659" i="79" l="1"/>
  <c r="C657" i="79"/>
  <c r="C656" i="79"/>
  <c r="A658" i="79"/>
  <c r="P103" i="367"/>
  <c r="P108" i="367" s="1"/>
  <c r="Q103" i="367"/>
  <c r="Q108" i="367" s="1"/>
  <c r="I103" i="367"/>
  <c r="I108" i="367" s="1"/>
  <c r="U83" i="367"/>
  <c r="V83" i="367"/>
  <c r="Q83" i="367"/>
  <c r="Z103" i="367"/>
  <c r="Z108" i="367" s="1"/>
  <c r="F103" i="367"/>
  <c r="F108" i="367" s="1"/>
  <c r="AB103" i="367"/>
  <c r="AB108" i="367" s="1"/>
  <c r="AC103" i="367"/>
  <c r="AC108" i="367" s="1"/>
  <c r="X103" i="367"/>
  <c r="X108" i="367" s="1"/>
  <c r="AA103" i="367"/>
  <c r="AA108" i="367" s="1"/>
  <c r="U103" i="367"/>
  <c r="U108" i="367" s="1"/>
  <c r="Y103" i="367"/>
  <c r="Y108" i="367" s="1"/>
  <c r="H103" i="367"/>
  <c r="H108" i="367" s="1"/>
  <c r="G103" i="367"/>
  <c r="G108" i="367" s="1"/>
  <c r="X65" i="366"/>
  <c r="X99" i="366" s="1"/>
  <c r="W89" i="366"/>
  <c r="V60" i="366"/>
  <c r="V98" i="366" s="1"/>
  <c r="AF40" i="366"/>
  <c r="AH40" i="366"/>
  <c r="V89" i="366"/>
  <c r="T65" i="366"/>
  <c r="T99" i="366" s="1"/>
  <c r="AG63" i="366"/>
  <c r="T89" i="366"/>
  <c r="S65" i="366"/>
  <c r="S99" i="366" s="1"/>
  <c r="S89" i="366"/>
  <c r="R89" i="366"/>
  <c r="Q60" i="366"/>
  <c r="Q98" i="366" s="1"/>
  <c r="Q89" i="366"/>
  <c r="Q103" i="366" s="1"/>
  <c r="Q108" i="366" s="1"/>
  <c r="O89" i="366"/>
  <c r="H89" i="366"/>
  <c r="H110" i="366"/>
  <c r="H91" i="366"/>
  <c r="H109" i="366" s="1"/>
  <c r="F89" i="366"/>
  <c r="F110" i="366"/>
  <c r="Z110" i="366"/>
  <c r="AA83" i="366"/>
  <c r="AB110" i="366"/>
  <c r="AC110" i="366"/>
  <c r="N109" i="366"/>
  <c r="O109" i="366"/>
  <c r="G109" i="366"/>
  <c r="P109" i="366"/>
  <c r="Q109" i="366"/>
  <c r="R109" i="366"/>
  <c r="I110" i="366"/>
  <c r="F109" i="366"/>
  <c r="U89" i="366"/>
  <c r="Y83" i="366"/>
  <c r="AA110" i="366"/>
  <c r="K83" i="366"/>
  <c r="M110" i="366"/>
  <c r="J89" i="366"/>
  <c r="K89" i="366"/>
  <c r="L89" i="366"/>
  <c r="L103" i="366" s="1"/>
  <c r="L108" i="366" s="1"/>
  <c r="R83" i="366"/>
  <c r="S83" i="366"/>
  <c r="U83" i="366"/>
  <c r="V83" i="366"/>
  <c r="W83" i="366"/>
  <c r="N89" i="366"/>
  <c r="N103" i="366" s="1"/>
  <c r="N108" i="366" s="1"/>
  <c r="T83" i="366"/>
  <c r="S91" i="366"/>
  <c r="S109" i="366" s="1"/>
  <c r="V91" i="366"/>
  <c r="V109" i="366" s="1"/>
  <c r="AA91" i="366"/>
  <c r="AA109" i="366" s="1"/>
  <c r="G110" i="366"/>
  <c r="AB91" i="366"/>
  <c r="AB109" i="366" s="1"/>
  <c r="R103" i="366"/>
  <c r="R108" i="366" s="1"/>
  <c r="Z83" i="366"/>
  <c r="U91" i="366"/>
  <c r="U109" i="366" s="1"/>
  <c r="W91" i="366"/>
  <c r="W109" i="366" s="1"/>
  <c r="X91" i="366"/>
  <c r="X109" i="366" s="1"/>
  <c r="Y91" i="366"/>
  <c r="Y103" i="366" s="1"/>
  <c r="Y108" i="366" s="1"/>
  <c r="Z91" i="366"/>
  <c r="Z109" i="366" s="1"/>
  <c r="T91" i="366"/>
  <c r="T109" i="366" s="1"/>
  <c r="J110" i="366"/>
  <c r="I99" i="366"/>
  <c r="I83" i="366"/>
  <c r="J109" i="366"/>
  <c r="L109" i="366"/>
  <c r="P103" i="366"/>
  <c r="P108" i="366" s="1"/>
  <c r="G99" i="366"/>
  <c r="G83" i="366"/>
  <c r="H103" i="366"/>
  <c r="H108" i="366" s="1"/>
  <c r="AC99" i="366"/>
  <c r="AC83" i="366"/>
  <c r="J83" i="366"/>
  <c r="J99" i="366"/>
  <c r="J103" i="366" s="1"/>
  <c r="J108" i="366" s="1"/>
  <c r="V103" i="366"/>
  <c r="V108" i="366" s="1"/>
  <c r="O103" i="366"/>
  <c r="O108" i="366" s="1"/>
  <c r="W103" i="366"/>
  <c r="W108" i="366" s="1"/>
  <c r="F99" i="366"/>
  <c r="F83" i="366"/>
  <c r="H99" i="366"/>
  <c r="H83" i="366"/>
  <c r="F103" i="366"/>
  <c r="F108" i="366" s="1"/>
  <c r="AG51" i="366"/>
  <c r="AH51" i="366"/>
  <c r="G89" i="366"/>
  <c r="G103" i="366" s="1"/>
  <c r="G108" i="366" s="1"/>
  <c r="O83" i="366"/>
  <c r="T110" i="366"/>
  <c r="AF48" i="366"/>
  <c r="AF63" i="366"/>
  <c r="Q83" i="366"/>
  <c r="I91" i="366"/>
  <c r="I109" i="366" s="1"/>
  <c r="AC91" i="366"/>
  <c r="AC109" i="366" s="1"/>
  <c r="U110" i="366"/>
  <c r="AF62" i="366"/>
  <c r="K110" i="366"/>
  <c r="AF64" i="366"/>
  <c r="L110" i="366"/>
  <c r="AH62" i="366"/>
  <c r="N110" i="366"/>
  <c r="AF47" i="366"/>
  <c r="M83" i="366"/>
  <c r="AH47" i="366"/>
  <c r="R110" i="366"/>
  <c r="AH56" i="366"/>
  <c r="AB65" i="366"/>
  <c r="S110" i="366"/>
  <c r="P83" i="366"/>
  <c r="AG48" i="366"/>
  <c r="AH63" i="366"/>
  <c r="K91" i="366"/>
  <c r="K109" i="366" s="1"/>
  <c r="M91" i="366"/>
  <c r="M109" i="366" s="1"/>
  <c r="Y110" i="366"/>
  <c r="AG62" i="366"/>
  <c r="AG64" i="366"/>
  <c r="AI61" i="366"/>
  <c r="O110" i="366"/>
  <c r="L83" i="366"/>
  <c r="P110" i="366"/>
  <c r="AF56" i="366"/>
  <c r="Q110" i="366"/>
  <c r="N83" i="366"/>
  <c r="AI36" i="366"/>
  <c r="V110" i="366"/>
  <c r="W110" i="366"/>
  <c r="X110" i="366"/>
  <c r="AG47" i="366"/>
  <c r="N347" i="260"/>
  <c r="W64" i="365"/>
  <c r="W62" i="365"/>
  <c r="F534" i="88"/>
  <c r="W346" i="260"/>
  <c r="V64" i="365"/>
  <c r="V63" i="365"/>
  <c r="V62" i="365"/>
  <c r="W345" i="260"/>
  <c r="U62" i="365"/>
  <c r="U63" i="365"/>
  <c r="U64" i="365"/>
  <c r="W344" i="260"/>
  <c r="T64" i="365"/>
  <c r="T63" i="365"/>
  <c r="T62" i="365"/>
  <c r="W343" i="260"/>
  <c r="S62" i="365"/>
  <c r="W342" i="260"/>
  <c r="F556" i="88"/>
  <c r="W341" i="260"/>
  <c r="F553" i="88"/>
  <c r="W340" i="260"/>
  <c r="P93" i="365"/>
  <c r="F527" i="88"/>
  <c r="F520" i="88"/>
  <c r="F517" i="88"/>
  <c r="F551" i="88"/>
  <c r="F521" i="88"/>
  <c r="F541" i="88"/>
  <c r="W339" i="260"/>
  <c r="O56" i="365"/>
  <c r="O51" i="365"/>
  <c r="O48" i="365"/>
  <c r="O47" i="365"/>
  <c r="N56" i="365"/>
  <c r="N51" i="365"/>
  <c r="N48" i="365"/>
  <c r="N47" i="365"/>
  <c r="F538" i="88"/>
  <c r="A660" i="79" l="1"/>
  <c r="C658" i="79"/>
  <c r="A661" i="79"/>
  <c r="C659" i="79"/>
  <c r="AA103" i="366"/>
  <c r="AA108" i="366" s="1"/>
  <c r="Y109" i="366"/>
  <c r="X83" i="366"/>
  <c r="T103" i="366"/>
  <c r="T108" i="366" s="1"/>
  <c r="S103" i="366"/>
  <c r="S108" i="366" s="1"/>
  <c r="AC103" i="366"/>
  <c r="AC108" i="366" s="1"/>
  <c r="I103" i="366"/>
  <c r="I108" i="366" s="1"/>
  <c r="M103" i="366"/>
  <c r="M108" i="366" s="1"/>
  <c r="U103" i="366"/>
  <c r="U108" i="366" s="1"/>
  <c r="Z103" i="366"/>
  <c r="Z108" i="366" s="1"/>
  <c r="X103" i="366"/>
  <c r="X108" i="366" s="1"/>
  <c r="AB83" i="366"/>
  <c r="AB99" i="366"/>
  <c r="AB103" i="366" s="1"/>
  <c r="AB108" i="366" s="1"/>
  <c r="K103" i="366"/>
  <c r="K108" i="366" s="1"/>
  <c r="F536" i="88"/>
  <c r="F537" i="88"/>
  <c r="F513" i="88"/>
  <c r="F514" i="88"/>
  <c r="L63" i="365"/>
  <c r="L62" i="365"/>
  <c r="F529" i="88"/>
  <c r="F535" i="88"/>
  <c r="K63" i="365"/>
  <c r="I63" i="365"/>
  <c r="H63" i="365"/>
  <c r="F503" i="88"/>
  <c r="F532" i="88"/>
  <c r="F531" i="88"/>
  <c r="K62" i="365"/>
  <c r="L65" i="365"/>
  <c r="L99" i="365" s="1"/>
  <c r="J62" i="365"/>
  <c r="J65" i="365" s="1"/>
  <c r="J99" i="365" s="1"/>
  <c r="I65" i="365"/>
  <c r="I99" i="365" s="1"/>
  <c r="I62" i="365"/>
  <c r="H62" i="365"/>
  <c r="F507" i="88"/>
  <c r="G62" i="365"/>
  <c r="AE330" i="260"/>
  <c r="AE328" i="260"/>
  <c r="F510" i="88"/>
  <c r="F64" i="365"/>
  <c r="F62" i="365"/>
  <c r="AH62" i="365" s="1"/>
  <c r="F528" i="88"/>
  <c r="F506" i="88"/>
  <c r="F80" i="365"/>
  <c r="F101" i="365" s="1"/>
  <c r="F76" i="365"/>
  <c r="F60" i="365"/>
  <c r="F98" i="365" s="1"/>
  <c r="F34" i="365"/>
  <c r="F31" i="365"/>
  <c r="F93" i="365" s="1"/>
  <c r="F25" i="365"/>
  <c r="F22" i="365"/>
  <c r="F17" i="365"/>
  <c r="AC107" i="365"/>
  <c r="AB107" i="365"/>
  <c r="AA107" i="365"/>
  <c r="Z107" i="365"/>
  <c r="Y107" i="365"/>
  <c r="X107" i="365"/>
  <c r="W107" i="365"/>
  <c r="V107" i="365"/>
  <c r="U107" i="365"/>
  <c r="T107" i="365"/>
  <c r="S107" i="365"/>
  <c r="R107" i="365"/>
  <c r="Q107" i="365"/>
  <c r="P107" i="365"/>
  <c r="O107" i="365"/>
  <c r="N107" i="365"/>
  <c r="M107" i="365"/>
  <c r="L107" i="365"/>
  <c r="K107" i="365"/>
  <c r="J107" i="365"/>
  <c r="I107" i="365"/>
  <c r="H107" i="365"/>
  <c r="G107" i="365"/>
  <c r="F107" i="365"/>
  <c r="AC102" i="365"/>
  <c r="AB102" i="365"/>
  <c r="AA102" i="365"/>
  <c r="Z102" i="365"/>
  <c r="Y102" i="365"/>
  <c r="X102" i="365"/>
  <c r="W102" i="365"/>
  <c r="V102" i="365"/>
  <c r="U102" i="365"/>
  <c r="T102" i="365"/>
  <c r="S102" i="365"/>
  <c r="R102" i="365"/>
  <c r="Q102" i="365"/>
  <c r="P102" i="365"/>
  <c r="O102" i="365"/>
  <c r="N102" i="365"/>
  <c r="M102" i="365"/>
  <c r="L102" i="365"/>
  <c r="K102" i="365"/>
  <c r="J102" i="365"/>
  <c r="I102" i="365"/>
  <c r="H102" i="365"/>
  <c r="G102" i="365"/>
  <c r="F102" i="365"/>
  <c r="AC101" i="365"/>
  <c r="AB101" i="365"/>
  <c r="Z101" i="365"/>
  <c r="Y100" i="365"/>
  <c r="X100" i="365"/>
  <c r="V100" i="365"/>
  <c r="U100" i="365"/>
  <c r="T100" i="365"/>
  <c r="S100" i="365"/>
  <c r="Y99" i="365"/>
  <c r="W99" i="365"/>
  <c r="R93" i="365"/>
  <c r="H93" i="365"/>
  <c r="AC80" i="365"/>
  <c r="AB80" i="365"/>
  <c r="AA80" i="365"/>
  <c r="AA101" i="365" s="1"/>
  <c r="Z80" i="365"/>
  <c r="Y80" i="365"/>
  <c r="Y101" i="365" s="1"/>
  <c r="X80" i="365"/>
  <c r="X101" i="365" s="1"/>
  <c r="W80" i="365"/>
  <c r="W101" i="365" s="1"/>
  <c r="V80" i="365"/>
  <c r="V101" i="365" s="1"/>
  <c r="U80" i="365"/>
  <c r="U101" i="365" s="1"/>
  <c r="T80" i="365"/>
  <c r="T101" i="365" s="1"/>
  <c r="S80" i="365"/>
  <c r="S101" i="365" s="1"/>
  <c r="R80" i="365"/>
  <c r="R101" i="365" s="1"/>
  <c r="Q80" i="365"/>
  <c r="Q101" i="365" s="1"/>
  <c r="P80" i="365"/>
  <c r="P101" i="365" s="1"/>
  <c r="O80" i="365"/>
  <c r="O101" i="365" s="1"/>
  <c r="N80" i="365"/>
  <c r="N101" i="365" s="1"/>
  <c r="M80" i="365"/>
  <c r="M101" i="365" s="1"/>
  <c r="L80" i="365"/>
  <c r="L101" i="365" s="1"/>
  <c r="K80" i="365"/>
  <c r="K101" i="365" s="1"/>
  <c r="J80" i="365"/>
  <c r="J101" i="365" s="1"/>
  <c r="I80" i="365"/>
  <c r="I101" i="365" s="1"/>
  <c r="H80" i="365"/>
  <c r="H101" i="365" s="1"/>
  <c r="G80" i="365"/>
  <c r="G101" i="365" s="1"/>
  <c r="C80" i="365"/>
  <c r="AH79" i="365"/>
  <c r="AG79" i="365"/>
  <c r="AF79" i="365"/>
  <c r="AH78" i="365"/>
  <c r="AG78" i="365"/>
  <c r="AF78" i="365"/>
  <c r="AI77" i="365"/>
  <c r="AC76" i="365"/>
  <c r="AC100" i="365" s="1"/>
  <c r="AB76" i="365"/>
  <c r="AB100" i="365" s="1"/>
  <c r="AA76" i="365"/>
  <c r="AA100" i="365" s="1"/>
  <c r="Z76" i="365"/>
  <c r="Z100" i="365" s="1"/>
  <c r="Y76" i="365"/>
  <c r="X76" i="365"/>
  <c r="W76" i="365"/>
  <c r="W100" i="365" s="1"/>
  <c r="V76" i="365"/>
  <c r="U76" i="365"/>
  <c r="T76" i="365"/>
  <c r="S76" i="365"/>
  <c r="R76" i="365"/>
  <c r="R100" i="365" s="1"/>
  <c r="Q76" i="365"/>
  <c r="Q100" i="365" s="1"/>
  <c r="P76" i="365"/>
  <c r="P100" i="365" s="1"/>
  <c r="O76" i="365"/>
  <c r="O100" i="365" s="1"/>
  <c r="N76" i="365"/>
  <c r="N100" i="365" s="1"/>
  <c r="M76" i="365"/>
  <c r="M100" i="365" s="1"/>
  <c r="L76" i="365"/>
  <c r="L100" i="365" s="1"/>
  <c r="K76" i="365"/>
  <c r="K100" i="365" s="1"/>
  <c r="J76" i="365"/>
  <c r="J100" i="365" s="1"/>
  <c r="I76" i="365"/>
  <c r="I100" i="365" s="1"/>
  <c r="H76" i="365"/>
  <c r="H100" i="365" s="1"/>
  <c r="G76" i="365"/>
  <c r="G100" i="365" s="1"/>
  <c r="F100" i="365"/>
  <c r="C76" i="365"/>
  <c r="B76" i="365"/>
  <c r="B80" i="365" s="1"/>
  <c r="B25" i="365" s="1"/>
  <c r="AH75" i="365"/>
  <c r="AG75" i="365"/>
  <c r="AF75" i="365"/>
  <c r="AH74" i="365"/>
  <c r="AG74" i="365"/>
  <c r="AF74" i="365"/>
  <c r="AH73" i="365"/>
  <c r="AG73" i="365"/>
  <c r="AF73" i="365"/>
  <c r="AH72" i="365"/>
  <c r="AG72" i="365"/>
  <c r="AF72" i="365"/>
  <c r="AH71" i="365"/>
  <c r="AG71" i="365"/>
  <c r="AF71" i="365"/>
  <c r="AH70" i="365"/>
  <c r="AG70" i="365"/>
  <c r="AF70" i="365"/>
  <c r="AH69" i="365"/>
  <c r="AG69" i="365"/>
  <c r="AF69" i="365"/>
  <c r="AH68" i="365"/>
  <c r="AG68" i="365"/>
  <c r="AF68" i="365"/>
  <c r="AH67" i="365"/>
  <c r="AG67" i="365"/>
  <c r="AF67" i="365"/>
  <c r="AI66" i="365"/>
  <c r="AB65" i="365"/>
  <c r="AB99" i="365" s="1"/>
  <c r="AA65" i="365"/>
  <c r="AA99" i="365" s="1"/>
  <c r="Z65" i="365"/>
  <c r="Z99" i="365" s="1"/>
  <c r="Y65" i="365"/>
  <c r="X65" i="365"/>
  <c r="X99" i="365" s="1"/>
  <c r="W65" i="365"/>
  <c r="V65" i="365"/>
  <c r="V99" i="365" s="1"/>
  <c r="U65" i="365"/>
  <c r="U99" i="365" s="1"/>
  <c r="T65" i="365"/>
  <c r="T99" i="365" s="1"/>
  <c r="S65" i="365"/>
  <c r="S99" i="365" s="1"/>
  <c r="R65" i="365"/>
  <c r="R99" i="365" s="1"/>
  <c r="Q65" i="365"/>
  <c r="Q99" i="365" s="1"/>
  <c r="P65" i="365"/>
  <c r="P99" i="365" s="1"/>
  <c r="O65" i="365"/>
  <c r="O99" i="365" s="1"/>
  <c r="N65" i="365"/>
  <c r="N99" i="365" s="1"/>
  <c r="M65" i="365"/>
  <c r="M99" i="365" s="1"/>
  <c r="H65" i="365"/>
  <c r="H99" i="365" s="1"/>
  <c r="G65" i="365"/>
  <c r="G99" i="365" s="1"/>
  <c r="C65" i="365"/>
  <c r="AC65" i="365"/>
  <c r="AC99" i="365" s="1"/>
  <c r="AG63" i="365"/>
  <c r="AH63" i="365"/>
  <c r="AG62" i="365"/>
  <c r="AC60" i="365"/>
  <c r="AC98" i="365" s="1"/>
  <c r="AB60" i="365"/>
  <c r="AB98" i="365" s="1"/>
  <c r="AA60" i="365"/>
  <c r="AA98" i="365" s="1"/>
  <c r="Z60" i="365"/>
  <c r="Z98" i="365" s="1"/>
  <c r="Y98" i="365"/>
  <c r="X60" i="365"/>
  <c r="X98" i="365" s="1"/>
  <c r="W60" i="365"/>
  <c r="W98" i="365" s="1"/>
  <c r="V60" i="365"/>
  <c r="V98" i="365" s="1"/>
  <c r="U60" i="365"/>
  <c r="U98" i="365" s="1"/>
  <c r="T60" i="365"/>
  <c r="T98" i="365" s="1"/>
  <c r="S60" i="365"/>
  <c r="S98" i="365" s="1"/>
  <c r="Q60" i="365"/>
  <c r="Q98" i="365" s="1"/>
  <c r="P60" i="365"/>
  <c r="P98" i="365" s="1"/>
  <c r="O60" i="365"/>
  <c r="O98" i="365" s="1"/>
  <c r="N60" i="365"/>
  <c r="N98" i="365" s="1"/>
  <c r="M60" i="365"/>
  <c r="M98" i="365" s="1"/>
  <c r="L60" i="365"/>
  <c r="L98" i="365" s="1"/>
  <c r="K60" i="365"/>
  <c r="K98" i="365" s="1"/>
  <c r="J60" i="365"/>
  <c r="J98" i="365" s="1"/>
  <c r="I60" i="365"/>
  <c r="I98" i="365" s="1"/>
  <c r="H60" i="365"/>
  <c r="H98" i="365" s="1"/>
  <c r="G60" i="365"/>
  <c r="C60" i="365"/>
  <c r="B60" i="365"/>
  <c r="B65" i="365" s="1"/>
  <c r="AH59" i="365"/>
  <c r="AG59" i="365"/>
  <c r="AF59" i="365"/>
  <c r="AH58" i="365"/>
  <c r="AG58" i="365"/>
  <c r="AF58" i="365"/>
  <c r="AH57" i="365"/>
  <c r="AG57" i="365"/>
  <c r="AF57" i="365"/>
  <c r="AH56" i="365"/>
  <c r="AG56" i="365"/>
  <c r="AF56" i="365"/>
  <c r="AH50" i="365"/>
  <c r="AG50" i="365"/>
  <c r="AF50" i="365"/>
  <c r="AH49" i="365"/>
  <c r="AG49" i="365"/>
  <c r="AF49" i="365"/>
  <c r="AH48" i="365"/>
  <c r="AF48" i="365"/>
  <c r="AG48" i="365"/>
  <c r="AH46" i="365"/>
  <c r="AG46" i="365"/>
  <c r="AF46" i="365"/>
  <c r="AH45" i="365"/>
  <c r="AG45" i="365"/>
  <c r="AF45" i="365"/>
  <c r="AH44" i="365"/>
  <c r="AG44" i="365"/>
  <c r="AF44" i="365"/>
  <c r="AH43" i="365"/>
  <c r="AG43" i="365"/>
  <c r="AF43" i="365"/>
  <c r="AH42" i="365"/>
  <c r="AG42" i="365"/>
  <c r="AF42" i="365"/>
  <c r="AH41" i="365"/>
  <c r="AG41" i="365"/>
  <c r="AF41" i="365"/>
  <c r="AH40" i="365"/>
  <c r="AG40" i="365"/>
  <c r="AF40" i="365"/>
  <c r="AH39" i="365"/>
  <c r="AG39" i="365"/>
  <c r="AF39" i="365"/>
  <c r="AH38" i="365"/>
  <c r="AG38" i="365"/>
  <c r="AF38" i="365"/>
  <c r="AH37" i="365"/>
  <c r="AG37" i="365"/>
  <c r="AF37" i="365"/>
  <c r="AI36" i="365"/>
  <c r="AH36" i="365"/>
  <c r="AG36" i="365"/>
  <c r="AF36" i="365"/>
  <c r="AI35" i="365"/>
  <c r="AC34" i="365"/>
  <c r="AC96" i="365" s="1"/>
  <c r="AB34" i="365"/>
  <c r="AB96" i="365" s="1"/>
  <c r="AA34" i="365"/>
  <c r="AA96" i="365" s="1"/>
  <c r="Z34" i="365"/>
  <c r="Z96" i="365" s="1"/>
  <c r="Y34" i="365"/>
  <c r="Y96" i="365" s="1"/>
  <c r="X34" i="365"/>
  <c r="X96" i="365" s="1"/>
  <c r="W34" i="365"/>
  <c r="W96" i="365" s="1"/>
  <c r="V34" i="365"/>
  <c r="V96" i="365" s="1"/>
  <c r="U34" i="365"/>
  <c r="U96" i="365" s="1"/>
  <c r="T34" i="365"/>
  <c r="T96" i="365" s="1"/>
  <c r="S34" i="365"/>
  <c r="S96" i="365" s="1"/>
  <c r="R34" i="365"/>
  <c r="R96" i="365" s="1"/>
  <c r="Q34" i="365"/>
  <c r="Q96" i="365" s="1"/>
  <c r="P34" i="365"/>
  <c r="P96" i="365" s="1"/>
  <c r="O34" i="365"/>
  <c r="O96" i="365" s="1"/>
  <c r="N34" i="365"/>
  <c r="M34" i="365"/>
  <c r="L34" i="365"/>
  <c r="K34" i="365"/>
  <c r="K96" i="365" s="1"/>
  <c r="J34" i="365"/>
  <c r="J96" i="365" s="1"/>
  <c r="I34" i="365"/>
  <c r="I96" i="365" s="1"/>
  <c r="H34" i="365"/>
  <c r="H96" i="365" s="1"/>
  <c r="G34" i="365"/>
  <c r="G96" i="365" s="1"/>
  <c r="F96" i="365"/>
  <c r="C34" i="365"/>
  <c r="B34" i="365"/>
  <c r="AH33" i="365"/>
  <c r="AG33" i="365"/>
  <c r="AF33" i="365"/>
  <c r="AI32" i="365"/>
  <c r="AC31" i="365"/>
  <c r="AC93" i="365" s="1"/>
  <c r="AB31" i="365"/>
  <c r="AB93" i="365" s="1"/>
  <c r="AA31" i="365"/>
  <c r="AA93" i="365" s="1"/>
  <c r="Z31" i="365"/>
  <c r="Z93" i="365" s="1"/>
  <c r="Y31" i="365"/>
  <c r="Y93" i="365" s="1"/>
  <c r="X31" i="365"/>
  <c r="X93" i="365" s="1"/>
  <c r="W31" i="365"/>
  <c r="W93" i="365" s="1"/>
  <c r="V31" i="365"/>
  <c r="V93" i="365" s="1"/>
  <c r="U31" i="365"/>
  <c r="U93" i="365" s="1"/>
  <c r="T31" i="365"/>
  <c r="T93" i="365" s="1"/>
  <c r="S31" i="365"/>
  <c r="S93" i="365" s="1"/>
  <c r="R31" i="365"/>
  <c r="Q31" i="365"/>
  <c r="Q93" i="365" s="1"/>
  <c r="P31" i="365"/>
  <c r="O31" i="365"/>
  <c r="O93" i="365" s="1"/>
  <c r="N31" i="365"/>
  <c r="N93" i="365" s="1"/>
  <c r="M31" i="365"/>
  <c r="M93" i="365" s="1"/>
  <c r="L31" i="365"/>
  <c r="L93" i="365" s="1"/>
  <c r="K31" i="365"/>
  <c r="K93" i="365" s="1"/>
  <c r="J31" i="365"/>
  <c r="J93" i="365" s="1"/>
  <c r="I31" i="365"/>
  <c r="I93" i="365" s="1"/>
  <c r="G31" i="365"/>
  <c r="G93" i="365" s="1"/>
  <c r="C31" i="365"/>
  <c r="B31" i="365"/>
  <c r="AI28" i="365"/>
  <c r="AH28" i="365"/>
  <c r="AG28" i="365"/>
  <c r="AF28" i="365"/>
  <c r="AH27" i="365"/>
  <c r="AG27" i="365"/>
  <c r="AF27" i="365"/>
  <c r="AI26" i="365"/>
  <c r="AC25" i="365"/>
  <c r="AB25" i="365"/>
  <c r="AA25" i="365"/>
  <c r="Z25" i="365"/>
  <c r="Y25" i="365"/>
  <c r="X25" i="365"/>
  <c r="W25" i="365"/>
  <c r="V25" i="365"/>
  <c r="U25" i="365"/>
  <c r="T25" i="365"/>
  <c r="S25" i="365"/>
  <c r="R25" i="365"/>
  <c r="Q25" i="365"/>
  <c r="P25" i="365"/>
  <c r="O25" i="365"/>
  <c r="N25" i="365"/>
  <c r="M25" i="365"/>
  <c r="L25" i="365"/>
  <c r="K25" i="365"/>
  <c r="J25" i="365"/>
  <c r="I25" i="365"/>
  <c r="H25" i="365"/>
  <c r="G25" i="365"/>
  <c r="C25" i="365"/>
  <c r="AH24" i="365"/>
  <c r="AG24" i="365"/>
  <c r="AF24" i="365"/>
  <c r="AI23" i="365"/>
  <c r="AC22" i="365"/>
  <c r="AB22" i="365"/>
  <c r="AA22" i="365"/>
  <c r="Z22" i="365"/>
  <c r="Y22" i="365"/>
  <c r="X22" i="365"/>
  <c r="W22" i="365"/>
  <c r="V22" i="365"/>
  <c r="U22" i="365"/>
  <c r="T22" i="365"/>
  <c r="S22" i="365"/>
  <c r="R22" i="365"/>
  <c r="Q22" i="365"/>
  <c r="P22" i="365"/>
  <c r="O22" i="365"/>
  <c r="N22" i="365"/>
  <c r="M22" i="365"/>
  <c r="L22" i="365"/>
  <c r="K22" i="365"/>
  <c r="K89" i="365" s="1"/>
  <c r="J22" i="365"/>
  <c r="I22" i="365"/>
  <c r="H22" i="365"/>
  <c r="G22" i="365"/>
  <c r="C22" i="365"/>
  <c r="B22" i="365"/>
  <c r="AH21" i="365"/>
  <c r="AG21" i="365"/>
  <c r="AF21" i="365"/>
  <c r="AH20" i="365"/>
  <c r="AG20" i="365"/>
  <c r="AF20" i="365"/>
  <c r="AH19" i="365"/>
  <c r="AG19" i="365"/>
  <c r="AF19" i="365"/>
  <c r="AI18" i="365"/>
  <c r="AC17" i="365"/>
  <c r="AB17" i="365"/>
  <c r="AA17" i="365"/>
  <c r="Z17" i="365"/>
  <c r="Y17" i="365"/>
  <c r="X17" i="365"/>
  <c r="W17" i="365"/>
  <c r="V17" i="365"/>
  <c r="U17" i="365"/>
  <c r="U91" i="365" s="1"/>
  <c r="T17" i="365"/>
  <c r="T91" i="365" s="1"/>
  <c r="S17" i="365"/>
  <c r="S91" i="365" s="1"/>
  <c r="R17" i="365"/>
  <c r="R91" i="365" s="1"/>
  <c r="R109" i="365" s="1"/>
  <c r="Q17" i="365"/>
  <c r="Q91" i="365" s="1"/>
  <c r="P17" i="365"/>
  <c r="P91" i="365" s="1"/>
  <c r="O17" i="365"/>
  <c r="O91" i="365" s="1"/>
  <c r="N17" i="365"/>
  <c r="N91" i="365" s="1"/>
  <c r="M17" i="365"/>
  <c r="M91" i="365" s="1"/>
  <c r="L17" i="365"/>
  <c r="L91" i="365" s="1"/>
  <c r="K17" i="365"/>
  <c r="K91" i="365" s="1"/>
  <c r="J17" i="365"/>
  <c r="J91" i="365" s="1"/>
  <c r="I17" i="365"/>
  <c r="H17" i="365"/>
  <c r="G17" i="365"/>
  <c r="C17" i="365"/>
  <c r="B17" i="365"/>
  <c r="AL16" i="365"/>
  <c r="AH16" i="365"/>
  <c r="AG16" i="365"/>
  <c r="AF16" i="365"/>
  <c r="AH15" i="365"/>
  <c r="AG15" i="365"/>
  <c r="AF15" i="365"/>
  <c r="AH14" i="365"/>
  <c r="AG14" i="365"/>
  <c r="AF14" i="365"/>
  <c r="AH13" i="365"/>
  <c r="AG13" i="365"/>
  <c r="AF13" i="365"/>
  <c r="AI12" i="365"/>
  <c r="M9" i="365" a="1"/>
  <c r="M9" i="365" s="1"/>
  <c r="AC64" i="364"/>
  <c r="AC62" i="364"/>
  <c r="F518" i="88"/>
  <c r="F526" i="88"/>
  <c r="F525" i="88"/>
  <c r="F522" i="88"/>
  <c r="W327" i="260"/>
  <c r="F524" i="88"/>
  <c r="AB64" i="364"/>
  <c r="AB62" i="364"/>
  <c r="F523" i="88"/>
  <c r="F480" i="88"/>
  <c r="F515" i="88"/>
  <c r="F512" i="88"/>
  <c r="F511" i="88"/>
  <c r="F516" i="88"/>
  <c r="F519" i="88"/>
  <c r="F302" i="88"/>
  <c r="F482" i="88"/>
  <c r="F501" i="88"/>
  <c r="AE323" i="260"/>
  <c r="AQ322" i="260" a="1"/>
  <c r="C661" i="79" l="1"/>
  <c r="A663" i="79"/>
  <c r="C660" i="79"/>
  <c r="A662" i="79"/>
  <c r="AB83" i="365"/>
  <c r="X89" i="365"/>
  <c r="W89" i="365"/>
  <c r="V89" i="365"/>
  <c r="T109" i="365"/>
  <c r="S109" i="365"/>
  <c r="Q109" i="365"/>
  <c r="N89" i="365"/>
  <c r="M89" i="365"/>
  <c r="K65" i="365"/>
  <c r="K99" i="365" s="1"/>
  <c r="L89" i="365"/>
  <c r="I83" i="365"/>
  <c r="H83" i="365"/>
  <c r="AF62" i="365"/>
  <c r="F65" i="365"/>
  <c r="O109" i="365"/>
  <c r="P109" i="365"/>
  <c r="N109" i="365"/>
  <c r="AC83" i="365"/>
  <c r="G83" i="365"/>
  <c r="O83" i="365"/>
  <c r="U109" i="365"/>
  <c r="M83" i="365"/>
  <c r="F89" i="365"/>
  <c r="Z89" i="365"/>
  <c r="Q110" i="365"/>
  <c r="N83" i="365"/>
  <c r="Y89" i="365"/>
  <c r="G89" i="365"/>
  <c r="AA89" i="365"/>
  <c r="R110" i="365"/>
  <c r="T110" i="365"/>
  <c r="H89" i="365"/>
  <c r="AC89" i="365"/>
  <c r="J83" i="365"/>
  <c r="L83" i="365"/>
  <c r="K103" i="365"/>
  <c r="K108" i="365" s="1"/>
  <c r="AB89" i="365"/>
  <c r="I89" i="365"/>
  <c r="T83" i="365"/>
  <c r="J89" i="365"/>
  <c r="J103" i="365" s="1"/>
  <c r="J108" i="365" s="1"/>
  <c r="N110" i="365"/>
  <c r="M110" i="365"/>
  <c r="AG51" i="365"/>
  <c r="AF51" i="365"/>
  <c r="AH51" i="365"/>
  <c r="F110" i="365"/>
  <c r="F91" i="365"/>
  <c r="F109" i="365" s="1"/>
  <c r="L109" i="365"/>
  <c r="L110" i="365"/>
  <c r="R89" i="365"/>
  <c r="AF63" i="365"/>
  <c r="G98" i="365"/>
  <c r="X83" i="365"/>
  <c r="X110" i="365"/>
  <c r="C83" i="365"/>
  <c r="Y83" i="365"/>
  <c r="Y110" i="365"/>
  <c r="Z83" i="365"/>
  <c r="Z110" i="365"/>
  <c r="Z91" i="365"/>
  <c r="Z109" i="365" s="1"/>
  <c r="K83" i="365"/>
  <c r="L96" i="365"/>
  <c r="G110" i="365"/>
  <c r="G91" i="365"/>
  <c r="G109" i="365" s="1"/>
  <c r="AA110" i="365"/>
  <c r="AA91" i="365"/>
  <c r="AA109" i="365" s="1"/>
  <c r="M96" i="365"/>
  <c r="M103" i="365" s="1"/>
  <c r="M108" i="365" s="1"/>
  <c r="I110" i="365"/>
  <c r="I91" i="365"/>
  <c r="I109" i="365" s="1"/>
  <c r="AF64" i="365"/>
  <c r="AG64" i="365"/>
  <c r="AA83" i="365"/>
  <c r="O89" i="365"/>
  <c r="O103" i="365" s="1"/>
  <c r="O108" i="365" s="1"/>
  <c r="X91" i="365"/>
  <c r="X109" i="365" s="1"/>
  <c r="Q89" i="365"/>
  <c r="Q103" i="365" s="1"/>
  <c r="Q108" i="365" s="1"/>
  <c r="R60" i="365"/>
  <c r="R98" i="365" s="1"/>
  <c r="O110" i="365"/>
  <c r="U83" i="365"/>
  <c r="U110" i="365"/>
  <c r="P89" i="365"/>
  <c r="P103" i="365" s="1"/>
  <c r="P108" i="365" s="1"/>
  <c r="P83" i="365"/>
  <c r="V83" i="365"/>
  <c r="V110" i="365"/>
  <c r="W110" i="365"/>
  <c r="W83" i="365"/>
  <c r="B83" i="365"/>
  <c r="S83" i="365"/>
  <c r="S110" i="365"/>
  <c r="H110" i="365"/>
  <c r="H91" i="365"/>
  <c r="H109" i="365" s="1"/>
  <c r="AB110" i="365"/>
  <c r="AB91" i="365"/>
  <c r="AB109" i="365" s="1"/>
  <c r="N96" i="365"/>
  <c r="N103" i="365" s="1"/>
  <c r="N108" i="365" s="1"/>
  <c r="AC110" i="365"/>
  <c r="AC91" i="365"/>
  <c r="AC109" i="365" s="1"/>
  <c r="J109" i="365"/>
  <c r="V91" i="365"/>
  <c r="V109" i="365" s="1"/>
  <c r="K109" i="365"/>
  <c r="AH64" i="365"/>
  <c r="W91" i="365"/>
  <c r="W109" i="365" s="1"/>
  <c r="J110" i="365"/>
  <c r="K110" i="365"/>
  <c r="M109" i="365"/>
  <c r="Y91" i="365"/>
  <c r="Y109" i="365" s="1"/>
  <c r="F99" i="365"/>
  <c r="S89" i="365"/>
  <c r="S103" i="365" s="1"/>
  <c r="S108" i="365" s="1"/>
  <c r="T89" i="365"/>
  <c r="T103" i="365" s="1"/>
  <c r="T108" i="365" s="1"/>
  <c r="U89" i="365"/>
  <c r="U103" i="365" s="1"/>
  <c r="U108" i="365" s="1"/>
  <c r="P110" i="365"/>
  <c r="AI61" i="365"/>
  <c r="Q83" i="365"/>
  <c r="AF47" i="365"/>
  <c r="AG47" i="365"/>
  <c r="AH47" i="365"/>
  <c r="AQ322" i="260"/>
  <c r="AE322" i="260"/>
  <c r="W64" i="364"/>
  <c r="W63" i="364"/>
  <c r="F504" i="88"/>
  <c r="F509" i="88"/>
  <c r="AE321" i="260"/>
  <c r="V64" i="364"/>
  <c r="V63" i="364"/>
  <c r="F508" i="88"/>
  <c r="F457" i="88"/>
  <c r="U64" i="364"/>
  <c r="U63" i="364"/>
  <c r="F495" i="88"/>
  <c r="W319" i="260"/>
  <c r="T64" i="364"/>
  <c r="T63" i="364"/>
  <c r="F483" i="88"/>
  <c r="F490" i="88"/>
  <c r="F491" i="88"/>
  <c r="W318" i="260"/>
  <c r="AL16" i="364"/>
  <c r="F502" i="88"/>
  <c r="F492" i="88"/>
  <c r="F500" i="88"/>
  <c r="F497" i="88"/>
  <c r="F496" i="88"/>
  <c r="F479" i="88"/>
  <c r="F499" i="88"/>
  <c r="AA317" i="260"/>
  <c r="W317" i="260"/>
  <c r="AI36" i="364"/>
  <c r="F478" i="88"/>
  <c r="R56" i="364"/>
  <c r="R51" i="364"/>
  <c r="R48" i="364"/>
  <c r="R47" i="364"/>
  <c r="F498" i="88"/>
  <c r="F489" i="88"/>
  <c r="AA316" i="260"/>
  <c r="W316" i="260"/>
  <c r="AA315" i="260"/>
  <c r="W315" i="260"/>
  <c r="F494" i="88"/>
  <c r="F486" i="88"/>
  <c r="F485" i="88"/>
  <c r="F484" i="88"/>
  <c r="F493" i="88"/>
  <c r="F487" i="88"/>
  <c r="O60" i="364"/>
  <c r="F488" i="88"/>
  <c r="F481" i="88"/>
  <c r="F460" i="88"/>
  <c r="K64" i="364"/>
  <c r="K65" i="364" s="1"/>
  <c r="K99" i="364" s="1"/>
  <c r="K62" i="364"/>
  <c r="J64" i="364"/>
  <c r="J62" i="364"/>
  <c r="I64" i="364"/>
  <c r="I62" i="364"/>
  <c r="F468" i="88"/>
  <c r="H64" i="364"/>
  <c r="H62" i="364"/>
  <c r="F466" i="88"/>
  <c r="G64" i="364"/>
  <c r="G62" i="364"/>
  <c r="F477" i="88"/>
  <c r="W305" i="260"/>
  <c r="F64" i="364"/>
  <c r="F63" i="364"/>
  <c r="F467" i="88"/>
  <c r="AC64" i="363"/>
  <c r="AB64" i="363"/>
  <c r="AA64" i="363"/>
  <c r="Z64" i="363"/>
  <c r="F439" i="88"/>
  <c r="F474" i="88"/>
  <c r="W303" i="260"/>
  <c r="F458" i="88"/>
  <c r="AC63" i="363"/>
  <c r="AC107" i="364"/>
  <c r="AB107" i="364"/>
  <c r="AA107" i="364"/>
  <c r="Z107" i="364"/>
  <c r="Y107" i="364"/>
  <c r="X107" i="364"/>
  <c r="W107" i="364"/>
  <c r="V107" i="364"/>
  <c r="U107" i="364"/>
  <c r="T107" i="364"/>
  <c r="S107" i="364"/>
  <c r="R107" i="364"/>
  <c r="Q107" i="364"/>
  <c r="P107" i="364"/>
  <c r="O107" i="364"/>
  <c r="N107" i="364"/>
  <c r="M107" i="364"/>
  <c r="L107" i="364"/>
  <c r="K107" i="364"/>
  <c r="J107" i="364"/>
  <c r="I107" i="364"/>
  <c r="H107" i="364"/>
  <c r="G107" i="364"/>
  <c r="F107" i="364"/>
  <c r="AC102" i="364"/>
  <c r="AB102" i="364"/>
  <c r="AA102" i="364"/>
  <c r="Z102" i="364"/>
  <c r="Y102" i="364"/>
  <c r="X102" i="364"/>
  <c r="W102" i="364"/>
  <c r="V102" i="364"/>
  <c r="U102" i="364"/>
  <c r="T102" i="364"/>
  <c r="S102" i="364"/>
  <c r="R102" i="364"/>
  <c r="Q102" i="364"/>
  <c r="P102" i="364"/>
  <c r="O102" i="364"/>
  <c r="N102" i="364"/>
  <c r="M102" i="364"/>
  <c r="L102" i="364"/>
  <c r="K102" i="364"/>
  <c r="J102" i="364"/>
  <c r="I102" i="364"/>
  <c r="H102" i="364"/>
  <c r="G102" i="364"/>
  <c r="F102" i="364"/>
  <c r="Y100" i="364"/>
  <c r="V100" i="364"/>
  <c r="AC99" i="364"/>
  <c r="AB99" i="364"/>
  <c r="AA99" i="364"/>
  <c r="X99" i="364"/>
  <c r="L99" i="364"/>
  <c r="T98" i="364"/>
  <c r="M98" i="364"/>
  <c r="K98" i="364"/>
  <c r="I98" i="364"/>
  <c r="H93" i="364"/>
  <c r="AC80" i="364"/>
  <c r="AC101" i="364" s="1"/>
  <c r="AB80" i="364"/>
  <c r="AB101" i="364" s="1"/>
  <c r="AA80" i="364"/>
  <c r="AA101" i="364" s="1"/>
  <c r="Z80" i="364"/>
  <c r="Z101" i="364" s="1"/>
  <c r="Y80" i="364"/>
  <c r="Y101" i="364" s="1"/>
  <c r="X80" i="364"/>
  <c r="X101" i="364" s="1"/>
  <c r="W80" i="364"/>
  <c r="W101" i="364" s="1"/>
  <c r="V80" i="364"/>
  <c r="V101" i="364" s="1"/>
  <c r="U80" i="364"/>
  <c r="U101" i="364" s="1"/>
  <c r="T80" i="364"/>
  <c r="T101" i="364" s="1"/>
  <c r="S80" i="364"/>
  <c r="S101" i="364" s="1"/>
  <c r="R80" i="364"/>
  <c r="R101" i="364" s="1"/>
  <c r="Q80" i="364"/>
  <c r="Q101" i="364" s="1"/>
  <c r="P80" i="364"/>
  <c r="P101" i="364" s="1"/>
  <c r="O80" i="364"/>
  <c r="O101" i="364" s="1"/>
  <c r="N80" i="364"/>
  <c r="N101" i="364" s="1"/>
  <c r="M80" i="364"/>
  <c r="M101" i="364" s="1"/>
  <c r="L80" i="364"/>
  <c r="L101" i="364" s="1"/>
  <c r="K80" i="364"/>
  <c r="K101" i="364" s="1"/>
  <c r="J80" i="364"/>
  <c r="J101" i="364" s="1"/>
  <c r="I80" i="364"/>
  <c r="I101" i="364" s="1"/>
  <c r="H80" i="364"/>
  <c r="H101" i="364" s="1"/>
  <c r="G80" i="364"/>
  <c r="G101" i="364" s="1"/>
  <c r="F80" i="364"/>
  <c r="F101" i="364" s="1"/>
  <c r="C80" i="364"/>
  <c r="B80" i="364"/>
  <c r="AH79" i="364"/>
  <c r="AG79" i="364"/>
  <c r="AF79" i="364"/>
  <c r="AH78" i="364"/>
  <c r="AG78" i="364"/>
  <c r="AF78" i="364"/>
  <c r="AI77" i="364"/>
  <c r="AC76" i="364"/>
  <c r="AC100" i="364" s="1"/>
  <c r="AB76" i="364"/>
  <c r="AB100" i="364" s="1"/>
  <c r="AA76" i="364"/>
  <c r="AA100" i="364" s="1"/>
  <c r="Z76" i="364"/>
  <c r="Z100" i="364" s="1"/>
  <c r="Y76" i="364"/>
  <c r="X76" i="364"/>
  <c r="X100" i="364" s="1"/>
  <c r="W76" i="364"/>
  <c r="W100" i="364" s="1"/>
  <c r="V76" i="364"/>
  <c r="U76" i="364"/>
  <c r="U100" i="364" s="1"/>
  <c r="T76" i="364"/>
  <c r="T100" i="364" s="1"/>
  <c r="S76" i="364"/>
  <c r="S100" i="364" s="1"/>
  <c r="R76" i="364"/>
  <c r="R100" i="364" s="1"/>
  <c r="Q76" i="364"/>
  <c r="Q100" i="364" s="1"/>
  <c r="P76" i="364"/>
  <c r="P100" i="364" s="1"/>
  <c r="O76" i="364"/>
  <c r="O100" i="364" s="1"/>
  <c r="N76" i="364"/>
  <c r="N100" i="364" s="1"/>
  <c r="M76" i="364"/>
  <c r="M100" i="364" s="1"/>
  <c r="L76" i="364"/>
  <c r="L100" i="364" s="1"/>
  <c r="K76" i="364"/>
  <c r="K100" i="364" s="1"/>
  <c r="J76" i="364"/>
  <c r="J100" i="364" s="1"/>
  <c r="I76" i="364"/>
  <c r="I100" i="364" s="1"/>
  <c r="H76" i="364"/>
  <c r="H100" i="364" s="1"/>
  <c r="G76" i="364"/>
  <c r="G100" i="364" s="1"/>
  <c r="F76" i="364"/>
  <c r="F100" i="364" s="1"/>
  <c r="C76" i="364"/>
  <c r="B76" i="364"/>
  <c r="AH75" i="364"/>
  <c r="AG75" i="364"/>
  <c r="AF75" i="364"/>
  <c r="AH74" i="364"/>
  <c r="AG74" i="364"/>
  <c r="AF74" i="364"/>
  <c r="AH73" i="364"/>
  <c r="AG73" i="364"/>
  <c r="AF73" i="364"/>
  <c r="AH72" i="364"/>
  <c r="AG72" i="364"/>
  <c r="AF72" i="364"/>
  <c r="AH71" i="364"/>
  <c r="AG71" i="364"/>
  <c r="AF71" i="364"/>
  <c r="AH70" i="364"/>
  <c r="AG70" i="364"/>
  <c r="AF70" i="364"/>
  <c r="AH69" i="364"/>
  <c r="AG69" i="364"/>
  <c r="AF69" i="364"/>
  <c r="AH68" i="364"/>
  <c r="AG68" i="364"/>
  <c r="AF68" i="364"/>
  <c r="AH67" i="364"/>
  <c r="AG67" i="364"/>
  <c r="AF67" i="364"/>
  <c r="AI66" i="364"/>
  <c r="AC65" i="364"/>
  <c r="AB65" i="364"/>
  <c r="AA65" i="364"/>
  <c r="Z65" i="364"/>
  <c r="Z99" i="364" s="1"/>
  <c r="Y65" i="364"/>
  <c r="Y99" i="364" s="1"/>
  <c r="X65" i="364"/>
  <c r="W65" i="364"/>
  <c r="W99" i="364" s="1"/>
  <c r="U65" i="364"/>
  <c r="U99" i="364" s="1"/>
  <c r="T65" i="364"/>
  <c r="T99" i="364" s="1"/>
  <c r="S65" i="364"/>
  <c r="S99" i="364" s="1"/>
  <c r="R65" i="364"/>
  <c r="R99" i="364" s="1"/>
  <c r="Q65" i="364"/>
  <c r="Q99" i="364" s="1"/>
  <c r="P65" i="364"/>
  <c r="P99" i="364" s="1"/>
  <c r="N65" i="364"/>
  <c r="N99" i="364" s="1"/>
  <c r="M65" i="364"/>
  <c r="M99" i="364" s="1"/>
  <c r="L65" i="364"/>
  <c r="C65" i="364"/>
  <c r="J65" i="364"/>
  <c r="J99" i="364" s="1"/>
  <c r="I65" i="364"/>
  <c r="I99" i="364" s="1"/>
  <c r="H65" i="364"/>
  <c r="H99" i="364" s="1"/>
  <c r="AG62" i="364"/>
  <c r="AH62" i="364"/>
  <c r="AC60" i="364"/>
  <c r="AC98" i="364" s="1"/>
  <c r="AB60" i="364"/>
  <c r="AB98" i="364" s="1"/>
  <c r="AA60" i="364"/>
  <c r="AA98" i="364" s="1"/>
  <c r="Z60" i="364"/>
  <c r="Z98" i="364" s="1"/>
  <c r="Y60" i="364"/>
  <c r="Y98" i="364" s="1"/>
  <c r="X60" i="364"/>
  <c r="X98" i="364" s="1"/>
  <c r="W60" i="364"/>
  <c r="W98" i="364" s="1"/>
  <c r="V60" i="364"/>
  <c r="V98" i="364" s="1"/>
  <c r="U60" i="364"/>
  <c r="U98" i="364" s="1"/>
  <c r="T60" i="364"/>
  <c r="S60" i="364"/>
  <c r="S98" i="364" s="1"/>
  <c r="R60" i="364"/>
  <c r="R98" i="364" s="1"/>
  <c r="Q60" i="364"/>
  <c r="Q98" i="364" s="1"/>
  <c r="P60" i="364"/>
  <c r="P98" i="364" s="1"/>
  <c r="O98" i="364"/>
  <c r="N60" i="364"/>
  <c r="N98" i="364" s="1"/>
  <c r="M60" i="364"/>
  <c r="L60" i="364"/>
  <c r="L98" i="364" s="1"/>
  <c r="K60" i="364"/>
  <c r="J60" i="364"/>
  <c r="J98" i="364" s="1"/>
  <c r="I60" i="364"/>
  <c r="H60" i="364"/>
  <c r="H98" i="364" s="1"/>
  <c r="G60" i="364"/>
  <c r="G98" i="364" s="1"/>
  <c r="F60" i="364"/>
  <c r="F98" i="364" s="1"/>
  <c r="C60" i="364"/>
  <c r="B60" i="364"/>
  <c r="B65" i="364" s="1"/>
  <c r="AH59" i="364"/>
  <c r="AG59" i="364"/>
  <c r="AF59" i="364"/>
  <c r="AH58" i="364"/>
  <c r="AG58" i="364"/>
  <c r="AF58" i="364"/>
  <c r="AH57" i="364"/>
  <c r="AG57" i="364"/>
  <c r="AF57" i="364"/>
  <c r="AH56" i="364"/>
  <c r="AG56" i="364"/>
  <c r="AF56" i="364"/>
  <c r="AH51" i="364"/>
  <c r="AG51" i="364"/>
  <c r="AF51" i="364"/>
  <c r="AH50" i="364"/>
  <c r="AG50" i="364"/>
  <c r="AF50" i="364"/>
  <c r="AH49" i="364"/>
  <c r="AG49" i="364"/>
  <c r="AF49" i="364"/>
  <c r="AH48" i="364"/>
  <c r="AG48" i="364"/>
  <c r="AF48" i="364"/>
  <c r="AH47" i="364"/>
  <c r="AG47" i="364"/>
  <c r="AF47" i="364"/>
  <c r="AH46" i="364"/>
  <c r="AG46" i="364"/>
  <c r="AF46" i="364"/>
  <c r="AH45" i="364"/>
  <c r="AG45" i="364"/>
  <c r="AF45" i="364"/>
  <c r="AH44" i="364"/>
  <c r="AG44" i="364"/>
  <c r="AF44" i="364"/>
  <c r="AH43" i="364"/>
  <c r="AG43" i="364"/>
  <c r="AF43" i="364"/>
  <c r="AH42" i="364"/>
  <c r="AG42" i="364"/>
  <c r="AF42" i="364"/>
  <c r="AH41" i="364"/>
  <c r="AG41" i="364"/>
  <c r="AF41" i="364"/>
  <c r="AH40" i="364"/>
  <c r="AG40" i="364"/>
  <c r="AF40" i="364"/>
  <c r="AH39" i="364"/>
  <c r="AG39" i="364"/>
  <c r="AF39" i="364"/>
  <c r="AH38" i="364"/>
  <c r="AG38" i="364"/>
  <c r="AF38" i="364"/>
  <c r="AH37" i="364"/>
  <c r="AG37" i="364"/>
  <c r="AF37" i="364"/>
  <c r="AH36" i="364"/>
  <c r="AG36" i="364"/>
  <c r="AF36" i="364"/>
  <c r="AI35" i="364"/>
  <c r="AC34" i="364"/>
  <c r="AC96" i="364" s="1"/>
  <c r="AB34" i="364"/>
  <c r="AB96" i="364" s="1"/>
  <c r="AA34" i="364"/>
  <c r="AA96" i="364" s="1"/>
  <c r="Z34" i="364"/>
  <c r="Z96" i="364" s="1"/>
  <c r="Y34" i="364"/>
  <c r="Y96" i="364" s="1"/>
  <c r="X34" i="364"/>
  <c r="X96" i="364" s="1"/>
  <c r="W34" i="364"/>
  <c r="W96" i="364" s="1"/>
  <c r="V34" i="364"/>
  <c r="V96" i="364" s="1"/>
  <c r="U34" i="364"/>
  <c r="U96" i="364" s="1"/>
  <c r="T34" i="364"/>
  <c r="T96" i="364" s="1"/>
  <c r="S34" i="364"/>
  <c r="S96" i="364" s="1"/>
  <c r="R34" i="364"/>
  <c r="R96" i="364" s="1"/>
  <c r="Q34" i="364"/>
  <c r="Q96" i="364" s="1"/>
  <c r="P34" i="364"/>
  <c r="P96" i="364" s="1"/>
  <c r="O34" i="364"/>
  <c r="O96" i="364" s="1"/>
  <c r="N34" i="364"/>
  <c r="N96" i="364" s="1"/>
  <c r="M34" i="364"/>
  <c r="M96" i="364" s="1"/>
  <c r="L34" i="364"/>
  <c r="K34" i="364"/>
  <c r="J34" i="364"/>
  <c r="J96" i="364" s="1"/>
  <c r="I34" i="364"/>
  <c r="I96" i="364" s="1"/>
  <c r="H34" i="364"/>
  <c r="H96" i="364" s="1"/>
  <c r="G34" i="364"/>
  <c r="G96" i="364" s="1"/>
  <c r="F34" i="364"/>
  <c r="F96" i="364" s="1"/>
  <c r="C34" i="364"/>
  <c r="B34" i="364"/>
  <c r="AH33" i="364"/>
  <c r="AG33" i="364"/>
  <c r="AF33" i="364"/>
  <c r="AI32" i="364"/>
  <c r="AC31" i="364"/>
  <c r="AC93" i="364" s="1"/>
  <c r="AB31" i="364"/>
  <c r="AB93" i="364" s="1"/>
  <c r="AA31" i="364"/>
  <c r="AA93" i="364" s="1"/>
  <c r="Z31" i="364"/>
  <c r="Z93" i="364" s="1"/>
  <c r="Y31" i="364"/>
  <c r="Y93" i="364" s="1"/>
  <c r="X31" i="364"/>
  <c r="X93" i="364" s="1"/>
  <c r="W31" i="364"/>
  <c r="W93" i="364" s="1"/>
  <c r="V31" i="364"/>
  <c r="V93" i="364" s="1"/>
  <c r="U31" i="364"/>
  <c r="U93" i="364" s="1"/>
  <c r="T31" i="364"/>
  <c r="T93" i="364" s="1"/>
  <c r="S31" i="364"/>
  <c r="S93" i="364" s="1"/>
  <c r="R31" i="364"/>
  <c r="R93" i="364" s="1"/>
  <c r="Q31" i="364"/>
  <c r="Q93" i="364" s="1"/>
  <c r="P31" i="364"/>
  <c r="P93" i="364" s="1"/>
  <c r="O31" i="364"/>
  <c r="O93" i="364" s="1"/>
  <c r="N31" i="364"/>
  <c r="N93" i="364" s="1"/>
  <c r="M31" i="364"/>
  <c r="M93" i="364" s="1"/>
  <c r="L31" i="364"/>
  <c r="L93" i="364" s="1"/>
  <c r="K31" i="364"/>
  <c r="K93" i="364" s="1"/>
  <c r="J31" i="364"/>
  <c r="J93" i="364" s="1"/>
  <c r="I31" i="364"/>
  <c r="I93" i="364" s="1"/>
  <c r="G31" i="364"/>
  <c r="G93" i="364" s="1"/>
  <c r="F31" i="364"/>
  <c r="F93" i="364" s="1"/>
  <c r="C31" i="364"/>
  <c r="B31" i="364"/>
  <c r="AI28" i="364"/>
  <c r="AH28" i="364"/>
  <c r="AG28" i="364"/>
  <c r="AF28" i="364"/>
  <c r="AH27" i="364"/>
  <c r="AG27" i="364"/>
  <c r="AF27" i="364"/>
  <c r="AI26" i="364"/>
  <c r="AC25" i="364"/>
  <c r="AB25" i="364"/>
  <c r="AA25" i="364"/>
  <c r="Z25" i="364"/>
  <c r="Y25" i="364"/>
  <c r="X25" i="364"/>
  <c r="W25" i="364"/>
  <c r="V25" i="364"/>
  <c r="U25" i="364"/>
  <c r="T25" i="364"/>
  <c r="S25" i="364"/>
  <c r="R25" i="364"/>
  <c r="Q25" i="364"/>
  <c r="P25" i="364"/>
  <c r="O25" i="364"/>
  <c r="N25" i="364"/>
  <c r="M25" i="364"/>
  <c r="L25" i="364"/>
  <c r="K25" i="364"/>
  <c r="J25" i="364"/>
  <c r="I25" i="364"/>
  <c r="H25" i="364"/>
  <c r="G25" i="364"/>
  <c r="F25" i="364"/>
  <c r="C25" i="364"/>
  <c r="B25" i="364"/>
  <c r="AH24" i="364"/>
  <c r="AG24" i="364"/>
  <c r="AF24" i="364"/>
  <c r="AI23" i="364"/>
  <c r="AC22" i="364"/>
  <c r="AB22" i="364"/>
  <c r="AA22" i="364"/>
  <c r="Z22" i="364"/>
  <c r="Y22" i="364"/>
  <c r="X22" i="364"/>
  <c r="W22" i="364"/>
  <c r="W89" i="364" s="1"/>
  <c r="V22" i="364"/>
  <c r="U22" i="364"/>
  <c r="T22" i="364"/>
  <c r="T89" i="364" s="1"/>
  <c r="S22" i="364"/>
  <c r="S89" i="364" s="1"/>
  <c r="R22" i="364"/>
  <c r="R89" i="364" s="1"/>
  <c r="Q22" i="364"/>
  <c r="P22" i="364"/>
  <c r="O22" i="364"/>
  <c r="N22" i="364"/>
  <c r="M22" i="364"/>
  <c r="L22" i="364"/>
  <c r="L89" i="364" s="1"/>
  <c r="K22" i="364"/>
  <c r="J22" i="364"/>
  <c r="I22" i="364"/>
  <c r="H22" i="364"/>
  <c r="G22" i="364"/>
  <c r="F22" i="364"/>
  <c r="C22" i="364"/>
  <c r="B22" i="364"/>
  <c r="AH21" i="364"/>
  <c r="AG21" i="364"/>
  <c r="AF21" i="364"/>
  <c r="AH20" i="364"/>
  <c r="AG20" i="364"/>
  <c r="AF20" i="364"/>
  <c r="AH19" i="364"/>
  <c r="AG19" i="364"/>
  <c r="AF19" i="364"/>
  <c r="AI18" i="364"/>
  <c r="AC17" i="364"/>
  <c r="AB17" i="364"/>
  <c r="AA17" i="364"/>
  <c r="AA91" i="364" s="1"/>
  <c r="Z17" i="364"/>
  <c r="Y17" i="364"/>
  <c r="X17" i="364"/>
  <c r="W17" i="364"/>
  <c r="V17" i="364"/>
  <c r="U17" i="364"/>
  <c r="T17" i="364"/>
  <c r="S17" i="364"/>
  <c r="R17" i="364"/>
  <c r="R91" i="364" s="1"/>
  <c r="Q17" i="364"/>
  <c r="Q91" i="364" s="1"/>
  <c r="P17" i="364"/>
  <c r="P91" i="364" s="1"/>
  <c r="O17" i="364"/>
  <c r="O91" i="364" s="1"/>
  <c r="N17" i="364"/>
  <c r="N91" i="364" s="1"/>
  <c r="M17" i="364"/>
  <c r="M91" i="364" s="1"/>
  <c r="L17" i="364"/>
  <c r="L91" i="364" s="1"/>
  <c r="K17" i="364"/>
  <c r="K91" i="364" s="1"/>
  <c r="J17" i="364"/>
  <c r="J91" i="364" s="1"/>
  <c r="I17" i="364"/>
  <c r="H17" i="364"/>
  <c r="G17" i="364"/>
  <c r="F17" i="364"/>
  <c r="C17" i="364"/>
  <c r="B17" i="364"/>
  <c r="AH16" i="364"/>
  <c r="AG16" i="364"/>
  <c r="AF16" i="364"/>
  <c r="AH15" i="364"/>
  <c r="AG15" i="364"/>
  <c r="AF15" i="364"/>
  <c r="AH14" i="364"/>
  <c r="AG14" i="364"/>
  <c r="AF14" i="364"/>
  <c r="AH13" i="364"/>
  <c r="AG13" i="364"/>
  <c r="AF13" i="364"/>
  <c r="AI12" i="364"/>
  <c r="M9" i="364" a="1"/>
  <c r="M9" i="364" s="1"/>
  <c r="F454" i="88"/>
  <c r="W302" i="260"/>
  <c r="AB63" i="363"/>
  <c r="F476" i="88"/>
  <c r="F475" i="88"/>
  <c r="F459" i="88"/>
  <c r="AA301" i="260"/>
  <c r="AA63" i="363"/>
  <c r="AA300" i="260"/>
  <c r="Z63" i="363"/>
  <c r="F473" i="88"/>
  <c r="F472" i="88"/>
  <c r="F471" i="88"/>
  <c r="F470" i="88"/>
  <c r="AA299" i="260"/>
  <c r="Y63" i="363"/>
  <c r="F456" i="88"/>
  <c r="AA298" i="260"/>
  <c r="X63" i="363"/>
  <c r="X62" i="363"/>
  <c r="AA297" i="260"/>
  <c r="AA296" i="260"/>
  <c r="F469" i="88"/>
  <c r="F442" i="88"/>
  <c r="AA294" i="260"/>
  <c r="AA293" i="260"/>
  <c r="F435" i="88"/>
  <c r="F455" i="88"/>
  <c r="F465" i="88"/>
  <c r="W292" i="260"/>
  <c r="F464" i="88"/>
  <c r="F463" i="88"/>
  <c r="F462" i="88"/>
  <c r="W291" i="260"/>
  <c r="F461" i="88"/>
  <c r="F438" i="88"/>
  <c r="Z290" i="260" a="1"/>
  <c r="C662" i="79" l="1"/>
  <c r="A664" i="79"/>
  <c r="A665" i="79"/>
  <c r="C663" i="79"/>
  <c r="L103" i="365"/>
  <c r="L108" i="365" s="1"/>
  <c r="I103" i="365"/>
  <c r="I108" i="365" s="1"/>
  <c r="F83" i="365"/>
  <c r="V103" i="365"/>
  <c r="V108" i="365" s="1"/>
  <c r="F103" i="365"/>
  <c r="F108" i="365" s="1"/>
  <c r="Y103" i="365"/>
  <c r="Y108" i="365" s="1"/>
  <c r="Z103" i="365"/>
  <c r="Z108" i="365" s="1"/>
  <c r="X103" i="365"/>
  <c r="X108" i="365" s="1"/>
  <c r="H103" i="365"/>
  <c r="H108" i="365" s="1"/>
  <c r="R83" i="365"/>
  <c r="AC103" i="365"/>
  <c r="AC108" i="365" s="1"/>
  <c r="G103" i="365"/>
  <c r="G108" i="365" s="1"/>
  <c r="W103" i="365"/>
  <c r="W108" i="365" s="1"/>
  <c r="AA103" i="365"/>
  <c r="AA108" i="365" s="1"/>
  <c r="R103" i="365"/>
  <c r="R108" i="365" s="1"/>
  <c r="AB103" i="365"/>
  <c r="AB108" i="365" s="1"/>
  <c r="X89" i="364"/>
  <c r="V65" i="364"/>
  <c r="V99" i="364" s="1"/>
  <c r="U89" i="364"/>
  <c r="O109" i="364"/>
  <c r="G83" i="364"/>
  <c r="AG64" i="364"/>
  <c r="AH64" i="364"/>
  <c r="AF64" i="364"/>
  <c r="J110" i="364"/>
  <c r="M109" i="364"/>
  <c r="N109" i="364"/>
  <c r="Q109" i="364"/>
  <c r="R109" i="364"/>
  <c r="M83" i="364"/>
  <c r="V89" i="364"/>
  <c r="K83" i="364"/>
  <c r="Y89" i="364"/>
  <c r="L83" i="364"/>
  <c r="F89" i="364"/>
  <c r="Z89" i="364"/>
  <c r="G89" i="364"/>
  <c r="AA89" i="364"/>
  <c r="H89" i="364"/>
  <c r="AB89" i="364"/>
  <c r="I89" i="364"/>
  <c r="AC89" i="364"/>
  <c r="J89" i="364"/>
  <c r="J103" i="364" s="1"/>
  <c r="J108" i="364" s="1"/>
  <c r="K89" i="364"/>
  <c r="K103" i="364" s="1"/>
  <c r="K108" i="364" s="1"/>
  <c r="AA103" i="364"/>
  <c r="AA108" i="364" s="1"/>
  <c r="AB110" i="364"/>
  <c r="H110" i="364"/>
  <c r="I110" i="364"/>
  <c r="AC110" i="364"/>
  <c r="K110" i="364"/>
  <c r="R83" i="364"/>
  <c r="P109" i="364"/>
  <c r="L110" i="364"/>
  <c r="N83" i="364"/>
  <c r="N110" i="364"/>
  <c r="H83" i="364"/>
  <c r="Y83" i="364"/>
  <c r="AA83" i="364"/>
  <c r="AB83" i="364"/>
  <c r="G110" i="364"/>
  <c r="M89" i="364"/>
  <c r="M103" i="364" s="1"/>
  <c r="M108" i="364" s="1"/>
  <c r="J109" i="364"/>
  <c r="N89" i="364"/>
  <c r="N103" i="364" s="1"/>
  <c r="N108" i="364" s="1"/>
  <c r="K109" i="364"/>
  <c r="O89" i="364"/>
  <c r="L109" i="364"/>
  <c r="P89" i="364"/>
  <c r="P103" i="364" s="1"/>
  <c r="P108" i="364" s="1"/>
  <c r="S83" i="364"/>
  <c r="S110" i="364"/>
  <c r="T83" i="364"/>
  <c r="T110" i="364"/>
  <c r="U83" i="364"/>
  <c r="U110" i="364"/>
  <c r="O110" i="364"/>
  <c r="V83" i="364"/>
  <c r="V110" i="364"/>
  <c r="V91" i="364"/>
  <c r="V109" i="364" s="1"/>
  <c r="P83" i="364"/>
  <c r="P110" i="364"/>
  <c r="W83" i="364"/>
  <c r="W110" i="364"/>
  <c r="W91" i="364"/>
  <c r="W109" i="364" s="1"/>
  <c r="Q83" i="364"/>
  <c r="Q110" i="364"/>
  <c r="I83" i="364"/>
  <c r="B83" i="364"/>
  <c r="X83" i="364"/>
  <c r="J83" i="364"/>
  <c r="K96" i="364"/>
  <c r="Z83" i="364"/>
  <c r="L96" i="364"/>
  <c r="L103" i="364" s="1"/>
  <c r="L108" i="364" s="1"/>
  <c r="AA109" i="364"/>
  <c r="AC83" i="364"/>
  <c r="Q89" i="364"/>
  <c r="Q103" i="364" s="1"/>
  <c r="Q108" i="364" s="1"/>
  <c r="S91" i="364"/>
  <c r="S109" i="364" s="1"/>
  <c r="S103" i="364"/>
  <c r="S108" i="364" s="1"/>
  <c r="AF63" i="364"/>
  <c r="F65" i="364"/>
  <c r="F99" i="364" s="1"/>
  <c r="AH63" i="364"/>
  <c r="AI61" i="364"/>
  <c r="T91" i="364"/>
  <c r="T109" i="364" s="1"/>
  <c r="C83" i="364"/>
  <c r="R103" i="364"/>
  <c r="R108" i="364" s="1"/>
  <c r="G65" i="364"/>
  <c r="AG63" i="364"/>
  <c r="U91" i="364"/>
  <c r="U109" i="364" s="1"/>
  <c r="M110" i="364"/>
  <c r="X91" i="364"/>
  <c r="X109" i="364" s="1"/>
  <c r="Y91" i="364"/>
  <c r="Y109" i="364" s="1"/>
  <c r="AB91" i="364"/>
  <c r="AC91" i="364"/>
  <c r="X110" i="364"/>
  <c r="O65" i="364"/>
  <c r="O99" i="364" s="1"/>
  <c r="Y110" i="364"/>
  <c r="F110" i="364"/>
  <c r="Z110" i="364"/>
  <c r="R110" i="364"/>
  <c r="G91" i="364"/>
  <c r="G109" i="364" s="1"/>
  <c r="AF62" i="364"/>
  <c r="AA110" i="364"/>
  <c r="Z91" i="364"/>
  <c r="H91" i="364"/>
  <c r="H109" i="364" s="1"/>
  <c r="I91" i="364"/>
  <c r="I109" i="364" s="1"/>
  <c r="F91" i="364"/>
  <c r="F109" i="364" s="1"/>
  <c r="Z290" i="260"/>
  <c r="W290" i="260"/>
  <c r="F431" i="88"/>
  <c r="F452" i="88"/>
  <c r="F449" i="88"/>
  <c r="F448" i="88"/>
  <c r="F451" i="88"/>
  <c r="F450" i="88"/>
  <c r="F453" i="88"/>
  <c r="F446" i="88"/>
  <c r="AE289" i="260"/>
  <c r="P65" i="363"/>
  <c r="P99" i="363" s="1"/>
  <c r="O64" i="363"/>
  <c r="O62" i="363"/>
  <c r="AH62" i="363" s="1"/>
  <c r="F447" i="88"/>
  <c r="F445" i="88"/>
  <c r="F443" i="88"/>
  <c r="F444" i="88"/>
  <c r="F441" i="88"/>
  <c r="F440" i="88"/>
  <c r="K64" i="363"/>
  <c r="K63" i="363"/>
  <c r="F433" i="88"/>
  <c r="J64" i="363"/>
  <c r="J63" i="363"/>
  <c r="K65" i="363"/>
  <c r="K99" i="363" s="1"/>
  <c r="F402" i="88"/>
  <c r="F437" i="88"/>
  <c r="I64" i="363"/>
  <c r="I63" i="363"/>
  <c r="H64" i="363"/>
  <c r="H63" i="363"/>
  <c r="H65" i="363" s="1"/>
  <c r="H99" i="363" s="1"/>
  <c r="F430" i="88"/>
  <c r="F436" i="88"/>
  <c r="F434" i="88"/>
  <c r="G64" i="363"/>
  <c r="AF64" i="363" s="1"/>
  <c r="G63" i="363"/>
  <c r="F427" i="88"/>
  <c r="F63" i="363"/>
  <c r="F62" i="363"/>
  <c r="F408" i="88"/>
  <c r="AC63" i="362"/>
  <c r="AC62" i="362"/>
  <c r="F80" i="363"/>
  <c r="F76" i="363"/>
  <c r="F65" i="363"/>
  <c r="F60" i="363"/>
  <c r="F98" i="363" s="1"/>
  <c r="F34" i="363"/>
  <c r="F96" i="363" s="1"/>
  <c r="F31" i="363"/>
  <c r="F93" i="363" s="1"/>
  <c r="F25" i="363"/>
  <c r="F22" i="363"/>
  <c r="F17" i="363"/>
  <c r="F91" i="363" s="1"/>
  <c r="AC107" i="363"/>
  <c r="AB107" i="363"/>
  <c r="AA107" i="363"/>
  <c r="Z107" i="363"/>
  <c r="Y107" i="363"/>
  <c r="X107" i="363"/>
  <c r="W107" i="363"/>
  <c r="V107" i="363"/>
  <c r="U107" i="363"/>
  <c r="T107" i="363"/>
  <c r="S107" i="363"/>
  <c r="R107" i="363"/>
  <c r="Q107" i="363"/>
  <c r="P107" i="363"/>
  <c r="O107" i="363"/>
  <c r="N107" i="363"/>
  <c r="M107" i="363"/>
  <c r="L107" i="363"/>
  <c r="K107" i="363"/>
  <c r="J107" i="363"/>
  <c r="I107" i="363"/>
  <c r="H107" i="363"/>
  <c r="G107" i="363"/>
  <c r="F107" i="363"/>
  <c r="AC102" i="363"/>
  <c r="AB102" i="363"/>
  <c r="AA102" i="363"/>
  <c r="Z102" i="363"/>
  <c r="Y102" i="363"/>
  <c r="X102" i="363"/>
  <c r="W102" i="363"/>
  <c r="V102" i="363"/>
  <c r="U102" i="363"/>
  <c r="T102" i="363"/>
  <c r="S102" i="363"/>
  <c r="R102" i="363"/>
  <c r="Q102" i="363"/>
  <c r="P102" i="363"/>
  <c r="O102" i="363"/>
  <c r="N102" i="363"/>
  <c r="M102" i="363"/>
  <c r="L102" i="363"/>
  <c r="K102" i="363"/>
  <c r="J102" i="363"/>
  <c r="I102" i="363"/>
  <c r="H102" i="363"/>
  <c r="G102" i="363"/>
  <c r="F102" i="363"/>
  <c r="W99" i="363"/>
  <c r="P93" i="363"/>
  <c r="H93" i="363"/>
  <c r="AA91" i="363"/>
  <c r="Z91" i="363"/>
  <c r="AC80" i="363"/>
  <c r="AC101" i="363" s="1"/>
  <c r="AB80" i="363"/>
  <c r="AB101" i="363" s="1"/>
  <c r="AA80" i="363"/>
  <c r="AA101" i="363" s="1"/>
  <c r="Z80" i="363"/>
  <c r="Z101" i="363" s="1"/>
  <c r="Y80" i="363"/>
  <c r="Y101" i="363" s="1"/>
  <c r="X80" i="363"/>
  <c r="X101" i="363" s="1"/>
  <c r="W80" i="363"/>
  <c r="W101" i="363" s="1"/>
  <c r="V80" i="363"/>
  <c r="V101" i="363" s="1"/>
  <c r="U80" i="363"/>
  <c r="U101" i="363" s="1"/>
  <c r="T80" i="363"/>
  <c r="T101" i="363" s="1"/>
  <c r="S80" i="363"/>
  <c r="S101" i="363" s="1"/>
  <c r="R80" i="363"/>
  <c r="R101" i="363" s="1"/>
  <c r="Q80" i="363"/>
  <c r="Q101" i="363" s="1"/>
  <c r="P80" i="363"/>
  <c r="P101" i="363" s="1"/>
  <c r="O80" i="363"/>
  <c r="O101" i="363" s="1"/>
  <c r="N80" i="363"/>
  <c r="N101" i="363" s="1"/>
  <c r="M80" i="363"/>
  <c r="M101" i="363" s="1"/>
  <c r="L80" i="363"/>
  <c r="L101" i="363" s="1"/>
  <c r="K80" i="363"/>
  <c r="K101" i="363" s="1"/>
  <c r="J80" i="363"/>
  <c r="J101" i="363" s="1"/>
  <c r="I80" i="363"/>
  <c r="I101" i="363" s="1"/>
  <c r="H80" i="363"/>
  <c r="H101" i="363" s="1"/>
  <c r="G80" i="363"/>
  <c r="G101" i="363" s="1"/>
  <c r="F101" i="363"/>
  <c r="C80" i="363"/>
  <c r="B80" i="363"/>
  <c r="B25" i="363" s="1"/>
  <c r="AH79" i="363"/>
  <c r="AG79" i="363"/>
  <c r="AF79" i="363"/>
  <c r="AH78" i="363"/>
  <c r="AG78" i="363"/>
  <c r="AF78" i="363"/>
  <c r="AI77" i="363"/>
  <c r="AC76" i="363"/>
  <c r="AC100" i="363" s="1"/>
  <c r="AB76" i="363"/>
  <c r="AB100" i="363" s="1"/>
  <c r="AA76" i="363"/>
  <c r="AA100" i="363" s="1"/>
  <c r="Z76" i="363"/>
  <c r="Z100" i="363" s="1"/>
  <c r="Y76" i="363"/>
  <c r="Y100" i="363" s="1"/>
  <c r="X76" i="363"/>
  <c r="X100" i="363" s="1"/>
  <c r="W76" i="363"/>
  <c r="W100" i="363" s="1"/>
  <c r="V76" i="363"/>
  <c r="V100" i="363" s="1"/>
  <c r="U76" i="363"/>
  <c r="U100" i="363" s="1"/>
  <c r="T76" i="363"/>
  <c r="T100" i="363" s="1"/>
  <c r="S76" i="363"/>
  <c r="S100" i="363" s="1"/>
  <c r="R76" i="363"/>
  <c r="R100" i="363" s="1"/>
  <c r="Q76" i="363"/>
  <c r="Q100" i="363" s="1"/>
  <c r="P76" i="363"/>
  <c r="P100" i="363" s="1"/>
  <c r="O76" i="363"/>
  <c r="O100" i="363" s="1"/>
  <c r="N76" i="363"/>
  <c r="N100" i="363" s="1"/>
  <c r="M76" i="363"/>
  <c r="M100" i="363" s="1"/>
  <c r="L76" i="363"/>
  <c r="L100" i="363" s="1"/>
  <c r="K76" i="363"/>
  <c r="K100" i="363" s="1"/>
  <c r="J76" i="363"/>
  <c r="J100" i="363" s="1"/>
  <c r="I76" i="363"/>
  <c r="I100" i="363" s="1"/>
  <c r="H76" i="363"/>
  <c r="H100" i="363" s="1"/>
  <c r="G76" i="363"/>
  <c r="G100" i="363" s="1"/>
  <c r="F100" i="363"/>
  <c r="C76" i="363"/>
  <c r="B76" i="363"/>
  <c r="AH75" i="363"/>
  <c r="AG75" i="363"/>
  <c r="AF75" i="363"/>
  <c r="AH74" i="363"/>
  <c r="AG74" i="363"/>
  <c r="AF74" i="363"/>
  <c r="AH73" i="363"/>
  <c r="AG73" i="363"/>
  <c r="AF73" i="363"/>
  <c r="AH72" i="363"/>
  <c r="AG72" i="363"/>
  <c r="AF72" i="363"/>
  <c r="AH71" i="363"/>
  <c r="AG71" i="363"/>
  <c r="AF71" i="363"/>
  <c r="AH70" i="363"/>
  <c r="AG70" i="363"/>
  <c r="AF70" i="363"/>
  <c r="AH69" i="363"/>
  <c r="AG69" i="363"/>
  <c r="AF69" i="363"/>
  <c r="AH68" i="363"/>
  <c r="AG68" i="363"/>
  <c r="AF68" i="363"/>
  <c r="AH67" i="363"/>
  <c r="AG67" i="363"/>
  <c r="AF67" i="363"/>
  <c r="AI66" i="363"/>
  <c r="X65" i="363"/>
  <c r="X99" i="363" s="1"/>
  <c r="W65" i="363"/>
  <c r="V65" i="363"/>
  <c r="V99" i="363" s="1"/>
  <c r="U65" i="363"/>
  <c r="U99" i="363" s="1"/>
  <c r="T65" i="363"/>
  <c r="T99" i="363" s="1"/>
  <c r="N65" i="363"/>
  <c r="N99" i="363" s="1"/>
  <c r="M65" i="363"/>
  <c r="M99" i="363" s="1"/>
  <c r="L65" i="363"/>
  <c r="L99" i="363" s="1"/>
  <c r="C65" i="363"/>
  <c r="B65" i="363"/>
  <c r="AC65" i="363"/>
  <c r="AC99" i="363" s="1"/>
  <c r="AB65" i="363"/>
  <c r="AB99" i="363" s="1"/>
  <c r="AA65" i="363"/>
  <c r="Z65" i="363"/>
  <c r="Z99" i="363" s="1"/>
  <c r="S65" i="363"/>
  <c r="S99" i="363" s="1"/>
  <c r="R65" i="363"/>
  <c r="R99" i="363" s="1"/>
  <c r="Q65" i="363"/>
  <c r="Q99" i="363" s="1"/>
  <c r="I65" i="363"/>
  <c r="I99" i="363" s="1"/>
  <c r="AC60" i="363"/>
  <c r="AC98" i="363" s="1"/>
  <c r="AB60" i="363"/>
  <c r="AB98" i="363" s="1"/>
  <c r="AA60" i="363"/>
  <c r="AA98" i="363" s="1"/>
  <c r="Z60" i="363"/>
  <c r="Z98" i="363" s="1"/>
  <c r="Y60" i="363"/>
  <c r="Y98" i="363" s="1"/>
  <c r="X60" i="363"/>
  <c r="X98" i="363" s="1"/>
  <c r="W60" i="363"/>
  <c r="W98" i="363" s="1"/>
  <c r="V60" i="363"/>
  <c r="V98" i="363" s="1"/>
  <c r="U60" i="363"/>
  <c r="U98" i="363" s="1"/>
  <c r="T60" i="363"/>
  <c r="T98" i="363" s="1"/>
  <c r="S60" i="363"/>
  <c r="S98" i="363" s="1"/>
  <c r="Q60" i="363"/>
  <c r="Q98" i="363" s="1"/>
  <c r="P60" i="363"/>
  <c r="P98" i="363" s="1"/>
  <c r="O60" i="363"/>
  <c r="O98" i="363" s="1"/>
  <c r="N60" i="363"/>
  <c r="N98" i="363" s="1"/>
  <c r="M60" i="363"/>
  <c r="M98" i="363" s="1"/>
  <c r="L60" i="363"/>
  <c r="L98" i="363" s="1"/>
  <c r="K60" i="363"/>
  <c r="K98" i="363" s="1"/>
  <c r="J60" i="363"/>
  <c r="J98" i="363" s="1"/>
  <c r="I60" i="363"/>
  <c r="I98" i="363" s="1"/>
  <c r="H60" i="363"/>
  <c r="H98" i="363" s="1"/>
  <c r="G60" i="363"/>
  <c r="G98" i="363" s="1"/>
  <c r="C60" i="363"/>
  <c r="B60" i="363"/>
  <c r="AH59" i="363"/>
  <c r="AG59" i="363"/>
  <c r="AF59" i="363"/>
  <c r="AH58" i="363"/>
  <c r="AG58" i="363"/>
  <c r="AF58" i="363"/>
  <c r="AH57" i="363"/>
  <c r="AG57" i="363"/>
  <c r="AF57" i="363"/>
  <c r="AH56" i="363"/>
  <c r="AH51" i="363"/>
  <c r="AG51" i="363"/>
  <c r="AF51" i="363"/>
  <c r="AH50" i="363"/>
  <c r="AG50" i="363"/>
  <c r="AF50" i="363"/>
  <c r="AH49" i="363"/>
  <c r="AG49" i="363"/>
  <c r="AF49" i="363"/>
  <c r="AH48" i="363"/>
  <c r="AG48" i="363"/>
  <c r="AF48" i="363"/>
  <c r="AH47" i="363"/>
  <c r="AH46" i="363"/>
  <c r="AG46" i="363"/>
  <c r="AF46" i="363"/>
  <c r="AH45" i="363"/>
  <c r="AG45" i="363"/>
  <c r="AF45" i="363"/>
  <c r="AH44" i="363"/>
  <c r="AG44" i="363"/>
  <c r="AF44" i="363"/>
  <c r="AH43" i="363"/>
  <c r="AG43" i="363"/>
  <c r="AF43" i="363"/>
  <c r="AH42" i="363"/>
  <c r="AG42" i="363"/>
  <c r="AF42" i="363"/>
  <c r="AH41" i="363"/>
  <c r="AG41" i="363"/>
  <c r="AF41" i="363"/>
  <c r="AH40" i="363"/>
  <c r="AG40" i="363"/>
  <c r="AF40" i="363"/>
  <c r="AH39" i="363"/>
  <c r="AG39" i="363"/>
  <c r="AF39" i="363"/>
  <c r="AH38" i="363"/>
  <c r="AG38" i="363"/>
  <c r="AF38" i="363"/>
  <c r="AH37" i="363"/>
  <c r="AG37" i="363"/>
  <c r="AF37" i="363"/>
  <c r="AH36" i="363"/>
  <c r="AG36" i="363"/>
  <c r="AF36" i="363"/>
  <c r="AI35" i="363"/>
  <c r="AC34" i="363"/>
  <c r="AC96" i="363" s="1"/>
  <c r="AB34" i="363"/>
  <c r="AB96" i="363" s="1"/>
  <c r="AA34" i="363"/>
  <c r="AA96" i="363" s="1"/>
  <c r="Z34" i="363"/>
  <c r="Z96" i="363" s="1"/>
  <c r="Y34" i="363"/>
  <c r="Y96" i="363" s="1"/>
  <c r="X34" i="363"/>
  <c r="X96" i="363" s="1"/>
  <c r="W34" i="363"/>
  <c r="W96" i="363" s="1"/>
  <c r="V34" i="363"/>
  <c r="V96" i="363" s="1"/>
  <c r="U34" i="363"/>
  <c r="U96" i="363" s="1"/>
  <c r="T34" i="363"/>
  <c r="T96" i="363" s="1"/>
  <c r="S34" i="363"/>
  <c r="S96" i="363" s="1"/>
  <c r="R34" i="363"/>
  <c r="R96" i="363" s="1"/>
  <c r="Q34" i="363"/>
  <c r="Q96" i="363" s="1"/>
  <c r="P34" i="363"/>
  <c r="P96" i="363" s="1"/>
  <c r="O34" i="363"/>
  <c r="O96" i="363" s="1"/>
  <c r="N34" i="363"/>
  <c r="N96" i="363" s="1"/>
  <c r="M34" i="363"/>
  <c r="M96" i="363" s="1"/>
  <c r="L34" i="363"/>
  <c r="L96" i="363" s="1"/>
  <c r="K34" i="363"/>
  <c r="K96" i="363" s="1"/>
  <c r="J34" i="363"/>
  <c r="J96" i="363" s="1"/>
  <c r="I34" i="363"/>
  <c r="I96" i="363" s="1"/>
  <c r="H34" i="363"/>
  <c r="H96" i="363" s="1"/>
  <c r="G34" i="363"/>
  <c r="G96" i="363" s="1"/>
  <c r="C34" i="363"/>
  <c r="B34" i="363"/>
  <c r="AH33" i="363"/>
  <c r="AG33" i="363"/>
  <c r="AF33" i="363"/>
  <c r="AI32" i="363"/>
  <c r="AC31" i="363"/>
  <c r="AC93" i="363" s="1"/>
  <c r="AB31" i="363"/>
  <c r="AB93" i="363" s="1"/>
  <c r="AA31" i="363"/>
  <c r="AA93" i="363" s="1"/>
  <c r="Z31" i="363"/>
  <c r="Z93" i="363" s="1"/>
  <c r="Y31" i="363"/>
  <c r="Y93" i="363" s="1"/>
  <c r="X31" i="363"/>
  <c r="X93" i="363" s="1"/>
  <c r="W31" i="363"/>
  <c r="W93" i="363" s="1"/>
  <c r="V31" i="363"/>
  <c r="V93" i="363" s="1"/>
  <c r="U31" i="363"/>
  <c r="U93" i="363" s="1"/>
  <c r="T31" i="363"/>
  <c r="T93" i="363" s="1"/>
  <c r="S31" i="363"/>
  <c r="S93" i="363" s="1"/>
  <c r="R31" i="363"/>
  <c r="R93" i="363" s="1"/>
  <c r="Q31" i="363"/>
  <c r="Q93" i="363" s="1"/>
  <c r="P31" i="363"/>
  <c r="O31" i="363"/>
  <c r="O93" i="363" s="1"/>
  <c r="N31" i="363"/>
  <c r="N93" i="363" s="1"/>
  <c r="M31" i="363"/>
  <c r="M93" i="363" s="1"/>
  <c r="L31" i="363"/>
  <c r="L93" i="363" s="1"/>
  <c r="K31" i="363"/>
  <c r="K93" i="363" s="1"/>
  <c r="J31" i="363"/>
  <c r="J93" i="363" s="1"/>
  <c r="I31" i="363"/>
  <c r="I93" i="363" s="1"/>
  <c r="G31" i="363"/>
  <c r="G93" i="363" s="1"/>
  <c r="C31" i="363"/>
  <c r="B31" i="363"/>
  <c r="AI28" i="363"/>
  <c r="AH28" i="363"/>
  <c r="AG28" i="363"/>
  <c r="AF28" i="363"/>
  <c r="AH27" i="363"/>
  <c r="AG27" i="363"/>
  <c r="AF27" i="363"/>
  <c r="AI26" i="363"/>
  <c r="AC25" i="363"/>
  <c r="AB25" i="363"/>
  <c r="AA25" i="363"/>
  <c r="Z25" i="363"/>
  <c r="Y25" i="363"/>
  <c r="X25" i="363"/>
  <c r="W25" i="363"/>
  <c r="V25" i="363"/>
  <c r="U25" i="363"/>
  <c r="T25" i="363"/>
  <c r="S25" i="363"/>
  <c r="R25" i="363"/>
  <c r="Q25" i="363"/>
  <c r="P25" i="363"/>
  <c r="O25" i="363"/>
  <c r="N25" i="363"/>
  <c r="M25" i="363"/>
  <c r="L25" i="363"/>
  <c r="K25" i="363"/>
  <c r="J25" i="363"/>
  <c r="I25" i="363"/>
  <c r="H25" i="363"/>
  <c r="G25" i="363"/>
  <c r="C25" i="363"/>
  <c r="AH24" i="363"/>
  <c r="AG24" i="363"/>
  <c r="AF24" i="363"/>
  <c r="AI23" i="363"/>
  <c r="AC22" i="363"/>
  <c r="AB22" i="363"/>
  <c r="AA22" i="363"/>
  <c r="Z22" i="363"/>
  <c r="Y22" i="363"/>
  <c r="X22" i="363"/>
  <c r="W22" i="363"/>
  <c r="V22" i="363"/>
  <c r="U22" i="363"/>
  <c r="T22" i="363"/>
  <c r="S22" i="363"/>
  <c r="R22" i="363"/>
  <c r="Q22" i="363"/>
  <c r="P22" i="363"/>
  <c r="O22" i="363"/>
  <c r="N22" i="363"/>
  <c r="M22" i="363"/>
  <c r="L22" i="363"/>
  <c r="K22" i="363"/>
  <c r="J22" i="363"/>
  <c r="I22" i="363"/>
  <c r="H22" i="363"/>
  <c r="G22" i="363"/>
  <c r="C22" i="363"/>
  <c r="B22" i="363"/>
  <c r="AH21" i="363"/>
  <c r="AG21" i="363"/>
  <c r="AF21" i="363"/>
  <c r="AH20" i="363"/>
  <c r="AG20" i="363"/>
  <c r="AF20" i="363"/>
  <c r="AH19" i="363"/>
  <c r="AG19" i="363"/>
  <c r="AF19" i="363"/>
  <c r="AI18" i="363"/>
  <c r="AC17" i="363"/>
  <c r="AB17" i="363"/>
  <c r="AA17" i="363"/>
  <c r="Z17" i="363"/>
  <c r="Y17" i="363"/>
  <c r="Y91" i="363" s="1"/>
  <c r="X17" i="363"/>
  <c r="X91" i="363" s="1"/>
  <c r="W17" i="363"/>
  <c r="W91" i="363" s="1"/>
  <c r="V17" i="363"/>
  <c r="V91" i="363" s="1"/>
  <c r="U17" i="363"/>
  <c r="U91" i="363" s="1"/>
  <c r="T17" i="363"/>
  <c r="S17" i="363"/>
  <c r="S91" i="363" s="1"/>
  <c r="R17" i="363"/>
  <c r="R91" i="363" s="1"/>
  <c r="Q17" i="363"/>
  <c r="Q91" i="363" s="1"/>
  <c r="P17" i="363"/>
  <c r="P91" i="363" s="1"/>
  <c r="O17" i="363"/>
  <c r="O91" i="363" s="1"/>
  <c r="N17" i="363"/>
  <c r="M17" i="363"/>
  <c r="L17" i="363"/>
  <c r="L91" i="363" s="1"/>
  <c r="K17" i="363"/>
  <c r="J17" i="363"/>
  <c r="I17" i="363"/>
  <c r="H17" i="363"/>
  <c r="G17" i="363"/>
  <c r="G91" i="363" s="1"/>
  <c r="C17" i="363"/>
  <c r="B17" i="363"/>
  <c r="AH16" i="363"/>
  <c r="AG16" i="363"/>
  <c r="AF16" i="363"/>
  <c r="AH15" i="363"/>
  <c r="AG15" i="363"/>
  <c r="AF15" i="363"/>
  <c r="AH14" i="363"/>
  <c r="AG14" i="363"/>
  <c r="AF14" i="363"/>
  <c r="AH13" i="363"/>
  <c r="AG13" i="363"/>
  <c r="AF13" i="363"/>
  <c r="AI12" i="363"/>
  <c r="M9" i="363" a="1"/>
  <c r="M9" i="363" s="1"/>
  <c r="AB63" i="362"/>
  <c r="AB62" i="362"/>
  <c r="F424" i="88"/>
  <c r="AE276" i="260"/>
  <c r="AA63" i="362"/>
  <c r="AA62" i="362"/>
  <c r="F419" i="88"/>
  <c r="AE275" i="260"/>
  <c r="Z63" i="362"/>
  <c r="Z62" i="362"/>
  <c r="F414" i="88"/>
  <c r="F406" i="88"/>
  <c r="F432" i="88"/>
  <c r="AE274" i="260"/>
  <c r="W274" i="260"/>
  <c r="Y64" i="362"/>
  <c r="Y62" i="362"/>
  <c r="F420" i="88"/>
  <c r="AE273" i="260"/>
  <c r="W273" i="260"/>
  <c r="X64" i="362"/>
  <c r="X62" i="362"/>
  <c r="F429" i="88"/>
  <c r="F428" i="88"/>
  <c r="F426" i="88"/>
  <c r="F425" i="88"/>
  <c r="F401" i="88"/>
  <c r="F400" i="88"/>
  <c r="AE268" i="260"/>
  <c r="W268" i="260"/>
  <c r="S64" i="362"/>
  <c r="S63" i="362"/>
  <c r="F405" i="88"/>
  <c r="F423" i="88"/>
  <c r="F422" i="88"/>
  <c r="F421" i="88"/>
  <c r="F418" i="88"/>
  <c r="F417" i="88"/>
  <c r="AE267" i="260"/>
  <c r="AA267" i="260"/>
  <c r="W267" i="260"/>
  <c r="R64" i="362"/>
  <c r="R63" i="362"/>
  <c r="R56" i="362"/>
  <c r="R51" i="362"/>
  <c r="R47" i="362"/>
  <c r="F390" i="88"/>
  <c r="AA266" i="260"/>
  <c r="W266" i="260"/>
  <c r="Q64" i="362"/>
  <c r="Q63" i="362"/>
  <c r="F416" i="88"/>
  <c r="F415" i="88"/>
  <c r="C665" i="79" l="1"/>
  <c r="A667" i="79"/>
  <c r="A666" i="79"/>
  <c r="C664" i="79"/>
  <c r="V103" i="364"/>
  <c r="V108" i="364" s="1"/>
  <c r="T103" i="364"/>
  <c r="T108" i="364" s="1"/>
  <c r="M110" i="363"/>
  <c r="B83" i="363"/>
  <c r="C83" i="363"/>
  <c r="L89" i="363"/>
  <c r="AF86" i="364"/>
  <c r="Y103" i="364"/>
  <c r="Y108" i="364" s="1"/>
  <c r="AC109" i="364"/>
  <c r="AC103" i="364"/>
  <c r="AC108" i="364" s="1"/>
  <c r="F83" i="364"/>
  <c r="AB109" i="364"/>
  <c r="AB103" i="364"/>
  <c r="AB108" i="364" s="1"/>
  <c r="O83" i="364"/>
  <c r="W103" i="364"/>
  <c r="W108" i="364" s="1"/>
  <c r="G99" i="364"/>
  <c r="U103" i="364"/>
  <c r="U108" i="364" s="1"/>
  <c r="X103" i="364"/>
  <c r="X108" i="364" s="1"/>
  <c r="G103" i="364"/>
  <c r="G108" i="364" s="1"/>
  <c r="I103" i="364"/>
  <c r="I108" i="364" s="1"/>
  <c r="Z109" i="364"/>
  <c r="Z103" i="364"/>
  <c r="Z108" i="364" s="1"/>
  <c r="H103" i="364"/>
  <c r="H108" i="364" s="1"/>
  <c r="O103" i="364"/>
  <c r="O108" i="364" s="1"/>
  <c r="F103" i="364"/>
  <c r="F108" i="364" s="1"/>
  <c r="T83" i="363"/>
  <c r="P109" i="363"/>
  <c r="O65" i="363"/>
  <c r="O99" i="363" s="1"/>
  <c r="J65" i="363"/>
  <c r="J99" i="363" s="1"/>
  <c r="K110" i="363"/>
  <c r="J110" i="363"/>
  <c r="AF63" i="363"/>
  <c r="G65" i="363"/>
  <c r="G99" i="363" s="1"/>
  <c r="G103" i="363" s="1"/>
  <c r="G108" i="363" s="1"/>
  <c r="F109" i="363"/>
  <c r="Y109" i="363"/>
  <c r="O89" i="363"/>
  <c r="O103" i="363" s="1"/>
  <c r="O108" i="363" s="1"/>
  <c r="Y89" i="363"/>
  <c r="Y103" i="363" s="1"/>
  <c r="Y108" i="363" s="1"/>
  <c r="P89" i="363"/>
  <c r="P103" i="363" s="1"/>
  <c r="P108" i="363" s="1"/>
  <c r="F89" i="363"/>
  <c r="Z89" i="363"/>
  <c r="Z103" i="363" s="1"/>
  <c r="Z108" i="363" s="1"/>
  <c r="M83" i="363"/>
  <c r="Q110" i="363"/>
  <c r="G89" i="363"/>
  <c r="AA89" i="363"/>
  <c r="N83" i="363"/>
  <c r="R89" i="363"/>
  <c r="H89" i="363"/>
  <c r="AB89" i="363"/>
  <c r="U83" i="363"/>
  <c r="V83" i="363"/>
  <c r="V110" i="363"/>
  <c r="O109" i="363"/>
  <c r="S110" i="363"/>
  <c r="I89" i="363"/>
  <c r="AC89" i="363"/>
  <c r="X109" i="363"/>
  <c r="AB110" i="363"/>
  <c r="X89" i="363"/>
  <c r="X103" i="363" s="1"/>
  <c r="X108" i="363" s="1"/>
  <c r="Z109" i="363"/>
  <c r="AC110" i="363"/>
  <c r="J89" i="363"/>
  <c r="K89" i="363"/>
  <c r="G110" i="363"/>
  <c r="Q109" i="363"/>
  <c r="U109" i="363"/>
  <c r="V109" i="363"/>
  <c r="W109" i="363"/>
  <c r="X83" i="363"/>
  <c r="AA109" i="363"/>
  <c r="AA110" i="363"/>
  <c r="H110" i="363"/>
  <c r="I110" i="363"/>
  <c r="W110" i="363"/>
  <c r="N110" i="363"/>
  <c r="T89" i="363"/>
  <c r="U89" i="363"/>
  <c r="U103" i="363" s="1"/>
  <c r="U108" i="363" s="1"/>
  <c r="R109" i="363"/>
  <c r="S109" i="363"/>
  <c r="S83" i="363"/>
  <c r="W83" i="363"/>
  <c r="T91" i="363"/>
  <c r="T109" i="363" s="1"/>
  <c r="Z83" i="363"/>
  <c r="AA99" i="363"/>
  <c r="AA83" i="363"/>
  <c r="K83" i="363"/>
  <c r="L109" i="363"/>
  <c r="L103" i="363"/>
  <c r="L108" i="363" s="1"/>
  <c r="G109" i="363"/>
  <c r="V89" i="363"/>
  <c r="V103" i="363" s="1"/>
  <c r="V108" i="363" s="1"/>
  <c r="AI61" i="363"/>
  <c r="AC83" i="363"/>
  <c r="L110" i="363"/>
  <c r="AG56" i="363"/>
  <c r="L83" i="363"/>
  <c r="O110" i="363"/>
  <c r="F99" i="363"/>
  <c r="P110" i="363"/>
  <c r="AG47" i="363"/>
  <c r="O83" i="363"/>
  <c r="R110" i="363"/>
  <c r="W89" i="363"/>
  <c r="W103" i="363" s="1"/>
  <c r="W108" i="363" s="1"/>
  <c r="AG64" i="363"/>
  <c r="R60" i="363"/>
  <c r="R98" i="363" s="1"/>
  <c r="Q83" i="363"/>
  <c r="H91" i="363"/>
  <c r="H109" i="363" s="1"/>
  <c r="AB91" i="363"/>
  <c r="AB109" i="363" s="1"/>
  <c r="T110" i="363"/>
  <c r="AG63" i="363"/>
  <c r="M89" i="363"/>
  <c r="I91" i="363"/>
  <c r="I109" i="363" s="1"/>
  <c r="U110" i="363"/>
  <c r="N89" i="363"/>
  <c r="N103" i="363" s="1"/>
  <c r="N108" i="363" s="1"/>
  <c r="J91" i="363"/>
  <c r="J109" i="363" s="1"/>
  <c r="K91" i="363"/>
  <c r="K109" i="363" s="1"/>
  <c r="X110" i="363"/>
  <c r="AI36" i="363"/>
  <c r="AF62" i="363"/>
  <c r="Q89" i="363"/>
  <c r="Q103" i="363" s="1"/>
  <c r="Q108" i="363" s="1"/>
  <c r="M91" i="363"/>
  <c r="M109" i="363" s="1"/>
  <c r="Y110" i="363"/>
  <c r="AG62" i="363"/>
  <c r="N91" i="363"/>
  <c r="N109" i="363" s="1"/>
  <c r="F110" i="363"/>
  <c r="Z110" i="363"/>
  <c r="AB83" i="363"/>
  <c r="AF56" i="363"/>
  <c r="Y65" i="363"/>
  <c r="Y99" i="363" s="1"/>
  <c r="AH63" i="363"/>
  <c r="S89" i="363"/>
  <c r="S103" i="363" s="1"/>
  <c r="S108" i="363" s="1"/>
  <c r="H83" i="363"/>
  <c r="AH64" i="363"/>
  <c r="AF47" i="363"/>
  <c r="P83" i="363"/>
  <c r="AC91" i="363"/>
  <c r="AC109" i="363" s="1"/>
  <c r="I83" i="363"/>
  <c r="AA265" i="260"/>
  <c r="W265" i="260"/>
  <c r="P64" i="362"/>
  <c r="P63" i="362"/>
  <c r="W264" i="260"/>
  <c r="F407" i="88"/>
  <c r="F412" i="88"/>
  <c r="F411" i="88"/>
  <c r="F410" i="88"/>
  <c r="F409" i="88"/>
  <c r="F413" i="88"/>
  <c r="AA263" i="260"/>
  <c r="AA262" i="260"/>
  <c r="F388" i="88"/>
  <c r="F387" i="88"/>
  <c r="AA261" i="260"/>
  <c r="F366" i="88"/>
  <c r="F404" i="88"/>
  <c r="F403" i="88"/>
  <c r="F385" i="88"/>
  <c r="K63" i="362"/>
  <c r="K62" i="362"/>
  <c r="J63" i="362"/>
  <c r="J62" i="362"/>
  <c r="I63" i="362"/>
  <c r="I62" i="362"/>
  <c r="H63" i="362"/>
  <c r="H62" i="362"/>
  <c r="AI77" i="362"/>
  <c r="G64" i="362"/>
  <c r="AG64" i="362" s="1"/>
  <c r="G62" i="362"/>
  <c r="F377" i="88"/>
  <c r="F399" i="88"/>
  <c r="F362" i="88"/>
  <c r="F398" i="88"/>
  <c r="W255" i="260"/>
  <c r="F64" i="362"/>
  <c r="AF64" i="362" s="1"/>
  <c r="F62" i="362"/>
  <c r="AH62" i="362" s="1"/>
  <c r="F325" i="88"/>
  <c r="F395" i="88"/>
  <c r="F394" i="88"/>
  <c r="F396" i="88"/>
  <c r="F397" i="88"/>
  <c r="F393" i="88"/>
  <c r="AC107" i="362"/>
  <c r="AB107" i="362"/>
  <c r="AA107" i="362"/>
  <c r="Z107" i="362"/>
  <c r="Y107" i="362"/>
  <c r="X107" i="362"/>
  <c r="W107" i="362"/>
  <c r="V107" i="362"/>
  <c r="U107" i="362"/>
  <c r="T107" i="362"/>
  <c r="S107" i="362"/>
  <c r="P107" i="362"/>
  <c r="O107" i="362"/>
  <c r="N107" i="362"/>
  <c r="M107" i="362"/>
  <c r="L107" i="362"/>
  <c r="K107" i="362"/>
  <c r="J107" i="362"/>
  <c r="I107" i="362"/>
  <c r="H107" i="362"/>
  <c r="G107" i="362"/>
  <c r="F107" i="362"/>
  <c r="R107" i="362"/>
  <c r="Q107" i="362"/>
  <c r="AC102" i="362"/>
  <c r="AB102" i="362"/>
  <c r="AA102" i="362"/>
  <c r="Z102" i="362"/>
  <c r="Y102" i="362"/>
  <c r="X102" i="362"/>
  <c r="W102" i="362"/>
  <c r="V102" i="362"/>
  <c r="U102" i="362"/>
  <c r="T102" i="362"/>
  <c r="S102" i="362"/>
  <c r="R102" i="362"/>
  <c r="Q102" i="362"/>
  <c r="P102" i="362"/>
  <c r="O102" i="362"/>
  <c r="N102" i="362"/>
  <c r="M102" i="362"/>
  <c r="L102" i="362"/>
  <c r="K102" i="362"/>
  <c r="J102" i="362"/>
  <c r="I102" i="362"/>
  <c r="H102" i="362"/>
  <c r="G102" i="362"/>
  <c r="F102" i="362"/>
  <c r="AB101" i="362"/>
  <c r="AA101" i="362"/>
  <c r="Z101" i="362"/>
  <c r="Y101" i="362"/>
  <c r="X101" i="362"/>
  <c r="AA99" i="362"/>
  <c r="Z99" i="362"/>
  <c r="Q93" i="362"/>
  <c r="H93" i="362"/>
  <c r="AC80" i="362"/>
  <c r="AC101" i="362" s="1"/>
  <c r="AB80" i="362"/>
  <c r="AA80" i="362"/>
  <c r="Z80" i="362"/>
  <c r="Y80" i="362"/>
  <c r="X80" i="362"/>
  <c r="W80" i="362"/>
  <c r="W101" i="362" s="1"/>
  <c r="V80" i="362"/>
  <c r="V101" i="362" s="1"/>
  <c r="U80" i="362"/>
  <c r="U101" i="362" s="1"/>
  <c r="T80" i="362"/>
  <c r="T101" i="362" s="1"/>
  <c r="S80" i="362"/>
  <c r="S101" i="362" s="1"/>
  <c r="R80" i="362"/>
  <c r="R101" i="362" s="1"/>
  <c r="Q80" i="362"/>
  <c r="Q101" i="362" s="1"/>
  <c r="P80" i="362"/>
  <c r="P101" i="362" s="1"/>
  <c r="O80" i="362"/>
  <c r="O101" i="362" s="1"/>
  <c r="N80" i="362"/>
  <c r="N101" i="362" s="1"/>
  <c r="M80" i="362"/>
  <c r="M101" i="362" s="1"/>
  <c r="L80" i="362"/>
  <c r="L101" i="362" s="1"/>
  <c r="K80" i="362"/>
  <c r="K101" i="362" s="1"/>
  <c r="J80" i="362"/>
  <c r="J101" i="362" s="1"/>
  <c r="I80" i="362"/>
  <c r="I101" i="362" s="1"/>
  <c r="H80" i="362"/>
  <c r="H101" i="362" s="1"/>
  <c r="G80" i="362"/>
  <c r="G101" i="362" s="1"/>
  <c r="F80" i="362"/>
  <c r="F101" i="362" s="1"/>
  <c r="C80" i="362"/>
  <c r="B80" i="362"/>
  <c r="B25" i="362" s="1"/>
  <c r="AH79" i="362"/>
  <c r="AG79" i="362"/>
  <c r="AF79" i="362"/>
  <c r="AH78" i="362"/>
  <c r="AG78" i="362"/>
  <c r="AF78" i="362"/>
  <c r="AC76" i="362"/>
  <c r="AC100" i="362" s="1"/>
  <c r="AB76" i="362"/>
  <c r="AB100" i="362" s="1"/>
  <c r="AA76" i="362"/>
  <c r="AA100" i="362" s="1"/>
  <c r="Z76" i="362"/>
  <c r="Z100" i="362" s="1"/>
  <c r="Y76" i="362"/>
  <c r="Y100" i="362" s="1"/>
  <c r="X76" i="362"/>
  <c r="X100" i="362" s="1"/>
  <c r="W76" i="362"/>
  <c r="W100" i="362" s="1"/>
  <c r="V76" i="362"/>
  <c r="V100" i="362" s="1"/>
  <c r="U76" i="362"/>
  <c r="U100" i="362" s="1"/>
  <c r="T76" i="362"/>
  <c r="T100" i="362" s="1"/>
  <c r="S76" i="362"/>
  <c r="S100" i="362" s="1"/>
  <c r="R76" i="362"/>
  <c r="R100" i="362" s="1"/>
  <c r="Q76" i="362"/>
  <c r="Q100" i="362" s="1"/>
  <c r="P76" i="362"/>
  <c r="P100" i="362" s="1"/>
  <c r="O76" i="362"/>
  <c r="O100" i="362" s="1"/>
  <c r="N76" i="362"/>
  <c r="N100" i="362" s="1"/>
  <c r="M76" i="362"/>
  <c r="M100" i="362" s="1"/>
  <c r="L76" i="362"/>
  <c r="L100" i="362" s="1"/>
  <c r="K76" i="362"/>
  <c r="K100" i="362" s="1"/>
  <c r="J76" i="362"/>
  <c r="J100" i="362" s="1"/>
  <c r="I76" i="362"/>
  <c r="I100" i="362" s="1"/>
  <c r="H76" i="362"/>
  <c r="H100" i="362" s="1"/>
  <c r="G76" i="362"/>
  <c r="G100" i="362" s="1"/>
  <c r="F76" i="362"/>
  <c r="F100" i="362" s="1"/>
  <c r="C76" i="362"/>
  <c r="B76" i="362"/>
  <c r="AH75" i="362"/>
  <c r="AG75" i="362"/>
  <c r="AF75" i="362"/>
  <c r="AH74" i="362"/>
  <c r="AG74" i="362"/>
  <c r="AF74" i="362"/>
  <c r="AH73" i="362"/>
  <c r="AG73" i="362"/>
  <c r="AF73" i="362"/>
  <c r="AH72" i="362"/>
  <c r="AG72" i="362"/>
  <c r="AF72" i="362"/>
  <c r="AH71" i="362"/>
  <c r="AG71" i="362"/>
  <c r="AF71" i="362"/>
  <c r="AH70" i="362"/>
  <c r="AG70" i="362"/>
  <c r="AF70" i="362"/>
  <c r="AH69" i="362"/>
  <c r="AG69" i="362"/>
  <c r="AF69" i="362"/>
  <c r="AH68" i="362"/>
  <c r="AG68" i="362"/>
  <c r="AF68" i="362"/>
  <c r="AH67" i="362"/>
  <c r="AG67" i="362"/>
  <c r="AF67" i="362"/>
  <c r="AI66" i="362"/>
  <c r="AC65" i="362"/>
  <c r="AC99" i="362" s="1"/>
  <c r="AB65" i="362"/>
  <c r="AB99" i="362" s="1"/>
  <c r="AA65" i="362"/>
  <c r="Z65" i="362"/>
  <c r="Y65" i="362"/>
  <c r="Y99" i="362" s="1"/>
  <c r="X65" i="362"/>
  <c r="X99" i="362" s="1"/>
  <c r="W65" i="362"/>
  <c r="W99" i="362" s="1"/>
  <c r="V65" i="362"/>
  <c r="V99" i="362" s="1"/>
  <c r="S65" i="362"/>
  <c r="S99" i="362" s="1"/>
  <c r="R65" i="362"/>
  <c r="R99" i="362" s="1"/>
  <c r="Q65" i="362"/>
  <c r="Q99" i="362" s="1"/>
  <c r="P65" i="362"/>
  <c r="P99" i="362" s="1"/>
  <c r="O65" i="362"/>
  <c r="O99" i="362" s="1"/>
  <c r="N65" i="362"/>
  <c r="N99" i="362" s="1"/>
  <c r="M65" i="362"/>
  <c r="M99" i="362" s="1"/>
  <c r="L65" i="362"/>
  <c r="L99" i="362" s="1"/>
  <c r="K65" i="362"/>
  <c r="K99" i="362" s="1"/>
  <c r="J65" i="362"/>
  <c r="J99" i="362" s="1"/>
  <c r="I65" i="362"/>
  <c r="I99" i="362" s="1"/>
  <c r="H65" i="362"/>
  <c r="H99" i="362" s="1"/>
  <c r="G65" i="362"/>
  <c r="G99" i="362" s="1"/>
  <c r="C65" i="362"/>
  <c r="U65" i="362"/>
  <c r="U99" i="362" s="1"/>
  <c r="T65" i="362"/>
  <c r="T99" i="362" s="1"/>
  <c r="AB60" i="362"/>
  <c r="AB98" i="362" s="1"/>
  <c r="AA60" i="362"/>
  <c r="AA98" i="362" s="1"/>
  <c r="Z60" i="362"/>
  <c r="Z98" i="362" s="1"/>
  <c r="Y60" i="362"/>
  <c r="Y98" i="362" s="1"/>
  <c r="X60" i="362"/>
  <c r="X98" i="362" s="1"/>
  <c r="W60" i="362"/>
  <c r="W98" i="362" s="1"/>
  <c r="V60" i="362"/>
  <c r="V98" i="362" s="1"/>
  <c r="U60" i="362"/>
  <c r="U98" i="362" s="1"/>
  <c r="T60" i="362"/>
  <c r="T98" i="362" s="1"/>
  <c r="S60" i="362"/>
  <c r="S98" i="362" s="1"/>
  <c r="R60" i="362"/>
  <c r="R98" i="362" s="1"/>
  <c r="Q60" i="362"/>
  <c r="Q98" i="362" s="1"/>
  <c r="P60" i="362"/>
  <c r="P98" i="362" s="1"/>
  <c r="O60" i="362"/>
  <c r="O98" i="362" s="1"/>
  <c r="N60" i="362"/>
  <c r="N98" i="362" s="1"/>
  <c r="M60" i="362"/>
  <c r="M98" i="362" s="1"/>
  <c r="L60" i="362"/>
  <c r="L98" i="362" s="1"/>
  <c r="K60" i="362"/>
  <c r="K98" i="362" s="1"/>
  <c r="J60" i="362"/>
  <c r="J98" i="362" s="1"/>
  <c r="I60" i="362"/>
  <c r="I98" i="362" s="1"/>
  <c r="H60" i="362"/>
  <c r="H98" i="362" s="1"/>
  <c r="G60" i="362"/>
  <c r="G98" i="362" s="1"/>
  <c r="F60" i="362"/>
  <c r="F98" i="362" s="1"/>
  <c r="C60" i="362"/>
  <c r="B60" i="362"/>
  <c r="B65" i="362" s="1"/>
  <c r="AH59" i="362"/>
  <c r="AG59" i="362"/>
  <c r="AF59" i="362"/>
  <c r="AH58" i="362"/>
  <c r="AG58" i="362"/>
  <c r="AF58" i="362"/>
  <c r="AH57" i="362"/>
  <c r="AG57" i="362"/>
  <c r="AF57" i="362"/>
  <c r="AF56" i="362"/>
  <c r="AC60" i="362"/>
  <c r="AH50" i="362"/>
  <c r="AG50" i="362"/>
  <c r="AF50" i="362"/>
  <c r="AH49" i="362"/>
  <c r="AG49" i="362"/>
  <c r="AF49" i="362"/>
  <c r="AH48" i="362"/>
  <c r="AH47" i="362"/>
  <c r="AH46" i="362"/>
  <c r="AG46" i="362"/>
  <c r="AF46" i="362"/>
  <c r="AH45" i="362"/>
  <c r="AG45" i="362"/>
  <c r="AF45" i="362"/>
  <c r="AH44" i="362"/>
  <c r="AG44" i="362"/>
  <c r="AF44" i="362"/>
  <c r="AH43" i="362"/>
  <c r="AG43" i="362"/>
  <c r="AF43" i="362"/>
  <c r="AH42" i="362"/>
  <c r="AG42" i="362"/>
  <c r="AF42" i="362"/>
  <c r="AH41" i="362"/>
  <c r="AG41" i="362"/>
  <c r="AF41" i="362"/>
  <c r="AI36" i="362"/>
  <c r="AH39" i="362"/>
  <c r="AG39" i="362"/>
  <c r="AF39" i="362"/>
  <c r="AH38" i="362"/>
  <c r="AG38" i="362"/>
  <c r="AF38" i="362"/>
  <c r="AH37" i="362"/>
  <c r="AG37" i="362"/>
  <c r="AF37" i="362"/>
  <c r="AH36" i="362"/>
  <c r="AG36" i="362"/>
  <c r="AF36" i="362"/>
  <c r="AI35" i="362"/>
  <c r="AC34" i="362"/>
  <c r="AC96" i="362" s="1"/>
  <c r="AB34" i="362"/>
  <c r="AB96" i="362" s="1"/>
  <c r="AA34" i="362"/>
  <c r="AA96" i="362" s="1"/>
  <c r="Z34" i="362"/>
  <c r="Z96" i="362" s="1"/>
  <c r="Y34" i="362"/>
  <c r="Y96" i="362" s="1"/>
  <c r="X34" i="362"/>
  <c r="X96" i="362" s="1"/>
  <c r="W34" i="362"/>
  <c r="W96" i="362" s="1"/>
  <c r="V34" i="362"/>
  <c r="V96" i="362" s="1"/>
  <c r="U34" i="362"/>
  <c r="U96" i="362" s="1"/>
  <c r="T34" i="362"/>
  <c r="T96" i="362" s="1"/>
  <c r="S34" i="362"/>
  <c r="S96" i="362" s="1"/>
  <c r="R34" i="362"/>
  <c r="R96" i="362" s="1"/>
  <c r="Q34" i="362"/>
  <c r="Q96" i="362" s="1"/>
  <c r="P34" i="362"/>
  <c r="P96" i="362" s="1"/>
  <c r="O34" i="362"/>
  <c r="O96" i="362" s="1"/>
  <c r="N34" i="362"/>
  <c r="N96" i="362" s="1"/>
  <c r="M34" i="362"/>
  <c r="M96" i="362" s="1"/>
  <c r="L34" i="362"/>
  <c r="L96" i="362" s="1"/>
  <c r="K34" i="362"/>
  <c r="K96" i="362" s="1"/>
  <c r="J34" i="362"/>
  <c r="J96" i="362" s="1"/>
  <c r="I34" i="362"/>
  <c r="I96" i="362" s="1"/>
  <c r="H34" i="362"/>
  <c r="H96" i="362" s="1"/>
  <c r="G34" i="362"/>
  <c r="G96" i="362" s="1"/>
  <c r="F34" i="362"/>
  <c r="F96" i="362" s="1"/>
  <c r="C34" i="362"/>
  <c r="B34" i="362"/>
  <c r="AH33" i="362"/>
  <c r="AG33" i="362"/>
  <c r="AF33" i="362"/>
  <c r="AI32" i="362"/>
  <c r="AC31" i="362"/>
  <c r="AC93" i="362" s="1"/>
  <c r="AB31" i="362"/>
  <c r="AB93" i="362" s="1"/>
  <c r="AA31" i="362"/>
  <c r="AA93" i="362" s="1"/>
  <c r="Z31" i="362"/>
  <c r="Z93" i="362" s="1"/>
  <c r="Y31" i="362"/>
  <c r="Y93" i="362" s="1"/>
  <c r="X31" i="362"/>
  <c r="X93" i="362" s="1"/>
  <c r="W31" i="362"/>
  <c r="W93" i="362" s="1"/>
  <c r="V31" i="362"/>
  <c r="V93" i="362" s="1"/>
  <c r="U31" i="362"/>
  <c r="U93" i="362" s="1"/>
  <c r="T31" i="362"/>
  <c r="T93" i="362" s="1"/>
  <c r="S31" i="362"/>
  <c r="S93" i="362" s="1"/>
  <c r="R31" i="362"/>
  <c r="R93" i="362" s="1"/>
  <c r="Q31" i="362"/>
  <c r="P31" i="362"/>
  <c r="P93" i="362" s="1"/>
  <c r="O31" i="362"/>
  <c r="O93" i="362" s="1"/>
  <c r="N31" i="362"/>
  <c r="N93" i="362" s="1"/>
  <c r="M31" i="362"/>
  <c r="M93" i="362" s="1"/>
  <c r="L31" i="362"/>
  <c r="L93" i="362" s="1"/>
  <c r="K31" i="362"/>
  <c r="K93" i="362" s="1"/>
  <c r="J31" i="362"/>
  <c r="J93" i="362" s="1"/>
  <c r="I31" i="362"/>
  <c r="I93" i="362" s="1"/>
  <c r="G31" i="362"/>
  <c r="G93" i="362" s="1"/>
  <c r="F31" i="362"/>
  <c r="F93" i="362" s="1"/>
  <c r="C31" i="362"/>
  <c r="B31" i="362"/>
  <c r="AI28" i="362"/>
  <c r="AH28" i="362"/>
  <c r="AG28" i="362"/>
  <c r="AF28" i="362"/>
  <c r="AH27" i="362"/>
  <c r="AG27" i="362"/>
  <c r="AF27" i="362"/>
  <c r="AI26" i="362"/>
  <c r="AC25" i="362"/>
  <c r="AB25" i="362"/>
  <c r="AA25" i="362"/>
  <c r="Z25" i="362"/>
  <c r="Y25" i="362"/>
  <c r="X25" i="362"/>
  <c r="W25" i="362"/>
  <c r="V25" i="362"/>
  <c r="U25" i="362"/>
  <c r="T25" i="362"/>
  <c r="S25" i="362"/>
  <c r="R25" i="362"/>
  <c r="Q25" i="362"/>
  <c r="P25" i="362"/>
  <c r="O25" i="362"/>
  <c r="N25" i="362"/>
  <c r="M25" i="362"/>
  <c r="L25" i="362"/>
  <c r="K25" i="362"/>
  <c r="J25" i="362"/>
  <c r="I25" i="362"/>
  <c r="H25" i="362"/>
  <c r="G25" i="362"/>
  <c r="F25" i="362"/>
  <c r="C25" i="362"/>
  <c r="AH24" i="362"/>
  <c r="AG24" i="362"/>
  <c r="AF24" i="362"/>
  <c r="AI23" i="362"/>
  <c r="AC22" i="362"/>
  <c r="AB22" i="362"/>
  <c r="AA22" i="362"/>
  <c r="Z22" i="362"/>
  <c r="Y22" i="362"/>
  <c r="X22" i="362"/>
  <c r="X89" i="362" s="1"/>
  <c r="W22" i="362"/>
  <c r="V22" i="362"/>
  <c r="U22" i="362"/>
  <c r="T22" i="362"/>
  <c r="S22" i="362"/>
  <c r="R22" i="362"/>
  <c r="Q22" i="362"/>
  <c r="P22" i="362"/>
  <c r="O22" i="362"/>
  <c r="N22" i="362"/>
  <c r="M22" i="362"/>
  <c r="L22" i="362"/>
  <c r="K22" i="362"/>
  <c r="J22" i="362"/>
  <c r="I22" i="362"/>
  <c r="H22" i="362"/>
  <c r="G22" i="362"/>
  <c r="F22" i="362"/>
  <c r="F89" i="362" s="1"/>
  <c r="C22" i="362"/>
  <c r="B22" i="362"/>
  <c r="AH21" i="362"/>
  <c r="AG21" i="362"/>
  <c r="AF21" i="362"/>
  <c r="AH20" i="362"/>
  <c r="AG20" i="362"/>
  <c r="AF20" i="362"/>
  <c r="AH19" i="362"/>
  <c r="AG19" i="362"/>
  <c r="AF19" i="362"/>
  <c r="AI18" i="362"/>
  <c r="AC17" i="362"/>
  <c r="AB17" i="362"/>
  <c r="AA17" i="362"/>
  <c r="Z17" i="362"/>
  <c r="Y17" i="362"/>
  <c r="X17" i="362"/>
  <c r="W17" i="362"/>
  <c r="V17" i="362"/>
  <c r="V91" i="362" s="1"/>
  <c r="U17" i="362"/>
  <c r="U91" i="362" s="1"/>
  <c r="T17" i="362"/>
  <c r="T91" i="362" s="1"/>
  <c r="S17" i="362"/>
  <c r="S91" i="362" s="1"/>
  <c r="R17" i="362"/>
  <c r="R91" i="362" s="1"/>
  <c r="Q17" i="362"/>
  <c r="Q91" i="362" s="1"/>
  <c r="P17" i="362"/>
  <c r="P91" i="362" s="1"/>
  <c r="O17" i="362"/>
  <c r="O91" i="362" s="1"/>
  <c r="N17" i="362"/>
  <c r="N91" i="362" s="1"/>
  <c r="M17" i="362"/>
  <c r="M91" i="362" s="1"/>
  <c r="L17" i="362"/>
  <c r="L91" i="362" s="1"/>
  <c r="K17" i="362"/>
  <c r="K91" i="362" s="1"/>
  <c r="J17" i="362"/>
  <c r="J91" i="362" s="1"/>
  <c r="I17" i="362"/>
  <c r="H17" i="362"/>
  <c r="G17" i="362"/>
  <c r="F17" i="362"/>
  <c r="F91" i="362" s="1"/>
  <c r="F109" i="362" s="1"/>
  <c r="C17" i="362"/>
  <c r="B17" i="362"/>
  <c r="AH16" i="362"/>
  <c r="AG16" i="362"/>
  <c r="AF16" i="362"/>
  <c r="AH15" i="362"/>
  <c r="AG15" i="362"/>
  <c r="AF15" i="362"/>
  <c r="AH14" i="362"/>
  <c r="AG14" i="362"/>
  <c r="AF14" i="362"/>
  <c r="AH13" i="362"/>
  <c r="AG13" i="362"/>
  <c r="AF13" i="362"/>
  <c r="AI12" i="362"/>
  <c r="M9" i="362" a="1"/>
  <c r="M9" i="362" s="1"/>
  <c r="AA253" i="260"/>
  <c r="AC64" i="361"/>
  <c r="AC62" i="361"/>
  <c r="AC56" i="361"/>
  <c r="AC51" i="361"/>
  <c r="AC48" i="361"/>
  <c r="AC47" i="361"/>
  <c r="AC40" i="361"/>
  <c r="F360" i="88"/>
  <c r="AA252" i="260"/>
  <c r="AB64" i="361"/>
  <c r="AB62" i="361"/>
  <c r="F370" i="88"/>
  <c r="F392" i="88"/>
  <c r="F391" i="88"/>
  <c r="AA251" i="260"/>
  <c r="F389" i="88"/>
  <c r="F368" i="88"/>
  <c r="F364" i="88"/>
  <c r="F386" i="88"/>
  <c r="F384" i="88"/>
  <c r="BM247" i="260" a="1"/>
  <c r="BF262" i="260" a="1"/>
  <c r="C666" i="79" l="1"/>
  <c r="A668" i="79"/>
  <c r="A669" i="79"/>
  <c r="C667" i="79"/>
  <c r="R103" i="363"/>
  <c r="R108" i="363" s="1"/>
  <c r="J83" i="363"/>
  <c r="F103" i="363"/>
  <c r="F108" i="363" s="1"/>
  <c r="G83" i="363"/>
  <c r="AA103" i="363"/>
  <c r="AA108" i="363" s="1"/>
  <c r="T103" i="363"/>
  <c r="T108" i="363" s="1"/>
  <c r="R83" i="363"/>
  <c r="F83" i="363"/>
  <c r="J103" i="363"/>
  <c r="J108" i="363" s="1"/>
  <c r="AC103" i="363"/>
  <c r="AC108" i="363" s="1"/>
  <c r="I103" i="363"/>
  <c r="I108" i="363" s="1"/>
  <c r="AB103" i="363"/>
  <c r="AB108" i="363" s="1"/>
  <c r="K103" i="363"/>
  <c r="K108" i="363" s="1"/>
  <c r="M103" i="363"/>
  <c r="M108" i="363" s="1"/>
  <c r="H103" i="363"/>
  <c r="H108" i="363" s="1"/>
  <c r="Y83" i="363"/>
  <c r="AF86" i="363" s="1"/>
  <c r="Z89" i="362"/>
  <c r="Q89" i="362"/>
  <c r="Q103" i="362" s="1"/>
  <c r="Q108" i="362" s="1"/>
  <c r="AA89" i="362"/>
  <c r="AH64" i="362"/>
  <c r="AB89" i="362"/>
  <c r="Q109" i="362"/>
  <c r="AC89" i="362"/>
  <c r="Y89" i="362"/>
  <c r="W89" i="362"/>
  <c r="V89" i="362"/>
  <c r="V103" i="362" s="1"/>
  <c r="V108" i="362" s="1"/>
  <c r="C83" i="362"/>
  <c r="B83" i="362"/>
  <c r="T89" i="362"/>
  <c r="T103" i="362" s="1"/>
  <c r="T108" i="362" s="1"/>
  <c r="S89" i="362"/>
  <c r="BF262" i="260"/>
  <c r="I89" i="362"/>
  <c r="H89" i="362"/>
  <c r="G89" i="362"/>
  <c r="F65" i="362"/>
  <c r="F99" i="362" s="1"/>
  <c r="F103" i="362" s="1"/>
  <c r="F108" i="362" s="1"/>
  <c r="R83" i="362"/>
  <c r="P109" i="362"/>
  <c r="V109" i="362"/>
  <c r="R109" i="362"/>
  <c r="S109" i="362"/>
  <c r="T109" i="362"/>
  <c r="U109" i="362"/>
  <c r="L83" i="362"/>
  <c r="M83" i="362"/>
  <c r="N89" i="362"/>
  <c r="N103" i="362" s="1"/>
  <c r="N108" i="362" s="1"/>
  <c r="O89" i="362"/>
  <c r="O103" i="362" s="1"/>
  <c r="O108" i="362" s="1"/>
  <c r="J83" i="362"/>
  <c r="K89" i="362"/>
  <c r="P89" i="362"/>
  <c r="P103" i="362" s="1"/>
  <c r="P108" i="362" s="1"/>
  <c r="X83" i="362"/>
  <c r="W83" i="362"/>
  <c r="Y110" i="362"/>
  <c r="AA83" i="362"/>
  <c r="H83" i="362"/>
  <c r="AB83" i="362"/>
  <c r="I110" i="362"/>
  <c r="AC110" i="362"/>
  <c r="Z83" i="362"/>
  <c r="G83" i="362"/>
  <c r="T110" i="362"/>
  <c r="Y91" i="362"/>
  <c r="Y109" i="362" s="1"/>
  <c r="Y83" i="362"/>
  <c r="W91" i="362"/>
  <c r="W109" i="362" s="1"/>
  <c r="I83" i="362"/>
  <c r="U110" i="362"/>
  <c r="V110" i="362"/>
  <c r="X91" i="362"/>
  <c r="X109" i="362" s="1"/>
  <c r="K103" i="362"/>
  <c r="K108" i="362" s="1"/>
  <c r="K109" i="362"/>
  <c r="L109" i="362"/>
  <c r="N109" i="362"/>
  <c r="O109" i="362"/>
  <c r="S103" i="362"/>
  <c r="S108" i="362" s="1"/>
  <c r="J109" i="362"/>
  <c r="M109" i="362"/>
  <c r="U83" i="362"/>
  <c r="AC98" i="362"/>
  <c r="AC83" i="362"/>
  <c r="K110" i="362"/>
  <c r="AF63" i="362"/>
  <c r="M110" i="362"/>
  <c r="N110" i="362"/>
  <c r="AG51" i="362"/>
  <c r="AH63" i="362"/>
  <c r="N83" i="362"/>
  <c r="O110" i="362"/>
  <c r="AI61" i="362"/>
  <c r="J89" i="362"/>
  <c r="J103" i="362" s="1"/>
  <c r="J108" i="362" s="1"/>
  <c r="G91" i="362"/>
  <c r="G109" i="362" s="1"/>
  <c r="AA91" i="362"/>
  <c r="AA109" i="362" s="1"/>
  <c r="Q110" i="362"/>
  <c r="L89" i="362"/>
  <c r="L103" i="362" s="1"/>
  <c r="L108" i="362" s="1"/>
  <c r="H91" i="362"/>
  <c r="AG40" i="362"/>
  <c r="AG56" i="362"/>
  <c r="M89" i="362"/>
  <c r="M103" i="362" s="1"/>
  <c r="M108" i="362" s="1"/>
  <c r="I91" i="362"/>
  <c r="AC91" i="362"/>
  <c r="S110" i="362"/>
  <c r="AH40" i="362"/>
  <c r="AH56" i="362"/>
  <c r="S83" i="362"/>
  <c r="AG47" i="362"/>
  <c r="W110" i="362"/>
  <c r="AF48" i="362"/>
  <c r="AF62" i="362"/>
  <c r="R89" i="362"/>
  <c r="R103" i="362" s="1"/>
  <c r="R108" i="362" s="1"/>
  <c r="X110" i="362"/>
  <c r="AG48" i="362"/>
  <c r="AG62" i="362"/>
  <c r="AH51" i="362"/>
  <c r="Z110" i="362"/>
  <c r="K83" i="362"/>
  <c r="L110" i="362"/>
  <c r="AF51" i="362"/>
  <c r="O83" i="362"/>
  <c r="Z91" i="362"/>
  <c r="Z109" i="362" s="1"/>
  <c r="P83" i="362"/>
  <c r="Q83" i="362"/>
  <c r="AA110" i="362"/>
  <c r="J110" i="362"/>
  <c r="P110" i="362"/>
  <c r="AF40" i="362"/>
  <c r="AB91" i="362"/>
  <c r="AF47" i="362"/>
  <c r="T83" i="362"/>
  <c r="V83" i="362"/>
  <c r="F110" i="362"/>
  <c r="U89" i="362"/>
  <c r="U103" i="362" s="1"/>
  <c r="U108" i="362" s="1"/>
  <c r="G110" i="362"/>
  <c r="H110" i="362"/>
  <c r="AB110" i="362"/>
  <c r="AG63" i="362"/>
  <c r="R110" i="362"/>
  <c r="BM247" i="260"/>
  <c r="AE247" i="260"/>
  <c r="AA247" i="260"/>
  <c r="W64" i="361"/>
  <c r="W63" i="361"/>
  <c r="F381" i="88"/>
  <c r="AE246" i="260"/>
  <c r="AA246" i="260"/>
  <c r="Z246" i="260" a="1"/>
  <c r="C669" i="79" l="1"/>
  <c r="A671" i="79"/>
  <c r="C668" i="79"/>
  <c r="A670" i="79"/>
  <c r="Z103" i="362"/>
  <c r="Z108" i="362" s="1"/>
  <c r="X103" i="362"/>
  <c r="X108" i="362" s="1"/>
  <c r="F83" i="362"/>
  <c r="Y103" i="362"/>
  <c r="Y108" i="362" s="1"/>
  <c r="W103" i="362"/>
  <c r="W108" i="362" s="1"/>
  <c r="AF86" i="362"/>
  <c r="H109" i="362"/>
  <c r="H103" i="362"/>
  <c r="H108" i="362" s="1"/>
  <c r="G103" i="362"/>
  <c r="G108" i="362" s="1"/>
  <c r="AB109" i="362"/>
  <c r="AB103" i="362"/>
  <c r="AB108" i="362" s="1"/>
  <c r="AC103" i="362"/>
  <c r="AC108" i="362" s="1"/>
  <c r="AC109" i="362"/>
  <c r="I103" i="362"/>
  <c r="I108" i="362" s="1"/>
  <c r="I109" i="362"/>
  <c r="AA103" i="362"/>
  <c r="AA108" i="362" s="1"/>
  <c r="Z246" i="260"/>
  <c r="V64" i="361"/>
  <c r="V63" i="361"/>
  <c r="AE245" i="260"/>
  <c r="AA245" i="260"/>
  <c r="U64" i="361"/>
  <c r="U63" i="361"/>
  <c r="F365" i="88"/>
  <c r="F379" i="88"/>
  <c r="F378" i="88"/>
  <c r="AE244" i="260"/>
  <c r="AA244" i="260"/>
  <c r="AE243" i="260"/>
  <c r="AA243" i="260"/>
  <c r="T64" i="361"/>
  <c r="T63" i="361"/>
  <c r="F376" i="88"/>
  <c r="F382" i="88"/>
  <c r="F383" i="88"/>
  <c r="R106" i="361"/>
  <c r="F380" i="88"/>
  <c r="Q106" i="361"/>
  <c r="F375" i="88"/>
  <c r="F357" i="88"/>
  <c r="AA242" i="260"/>
  <c r="R98" i="361"/>
  <c r="F372" i="88"/>
  <c r="F374" i="88"/>
  <c r="F363" i="88"/>
  <c r="AA241" i="260"/>
  <c r="F373" i="88"/>
  <c r="AA240" i="260"/>
  <c r="F371" i="88"/>
  <c r="F369" i="88"/>
  <c r="AE239" i="260"/>
  <c r="AA239" i="260"/>
  <c r="G60" i="361"/>
  <c r="H60" i="361"/>
  <c r="I60" i="361"/>
  <c r="J60" i="361"/>
  <c r="K60" i="361"/>
  <c r="L60" i="361"/>
  <c r="M60" i="361"/>
  <c r="N60" i="361"/>
  <c r="O60" i="361"/>
  <c r="O98" i="361" s="1"/>
  <c r="P60" i="361"/>
  <c r="P98" i="361" s="1"/>
  <c r="Q60" i="361"/>
  <c r="R60" i="361"/>
  <c r="S60" i="361"/>
  <c r="S98" i="361" s="1"/>
  <c r="T60" i="361"/>
  <c r="T98" i="361" s="1"/>
  <c r="U60" i="361"/>
  <c r="U98" i="361" s="1"/>
  <c r="V60" i="361"/>
  <c r="W60" i="361"/>
  <c r="W98" i="361" s="1"/>
  <c r="X60" i="361"/>
  <c r="X98" i="361" s="1"/>
  <c r="Y60" i="361"/>
  <c r="Y98" i="361" s="1"/>
  <c r="Z60" i="361"/>
  <c r="Z98" i="361" s="1"/>
  <c r="AA60" i="361"/>
  <c r="AB60" i="361"/>
  <c r="AB98" i="361" s="1"/>
  <c r="AC60" i="361"/>
  <c r="AC98" i="361" s="1"/>
  <c r="AA238" i="260"/>
  <c r="F367" i="88"/>
  <c r="AA237" i="260"/>
  <c r="F292" i="88"/>
  <c r="F308" i="88"/>
  <c r="F361" i="88"/>
  <c r="AA236" i="260"/>
  <c r="F356" i="88"/>
  <c r="F350" i="88"/>
  <c r="L64" i="361"/>
  <c r="L62" i="361"/>
  <c r="F358" i="88"/>
  <c r="F359" i="88"/>
  <c r="K64" i="361"/>
  <c r="K62" i="361"/>
  <c r="J64" i="361"/>
  <c r="J65" i="361" s="1"/>
  <c r="J99" i="361" s="1"/>
  <c r="J62" i="361"/>
  <c r="I64" i="361"/>
  <c r="I62" i="361"/>
  <c r="H64" i="361"/>
  <c r="H62" i="361"/>
  <c r="F345" i="88"/>
  <c r="AG63" i="361"/>
  <c r="G64" i="361"/>
  <c r="G63" i="361"/>
  <c r="F331" i="88"/>
  <c r="AE228" i="260"/>
  <c r="F64" i="361"/>
  <c r="F63" i="361"/>
  <c r="F326" i="88"/>
  <c r="F76" i="361"/>
  <c r="F65" i="361"/>
  <c r="F60" i="361"/>
  <c r="F34" i="361"/>
  <c r="F31" i="361"/>
  <c r="F93" i="361" s="1"/>
  <c r="F25" i="361"/>
  <c r="F22" i="361"/>
  <c r="F17" i="361"/>
  <c r="F91" i="361" s="1"/>
  <c r="AC107" i="361"/>
  <c r="AB107" i="361"/>
  <c r="AA107" i="361"/>
  <c r="Z107" i="361"/>
  <c r="Y107" i="361"/>
  <c r="X107" i="361"/>
  <c r="W107" i="361"/>
  <c r="V107" i="361"/>
  <c r="T107" i="361"/>
  <c r="R107" i="361"/>
  <c r="P107" i="361"/>
  <c r="O107" i="361"/>
  <c r="N107" i="361"/>
  <c r="M107" i="361"/>
  <c r="L107" i="361"/>
  <c r="K107" i="361"/>
  <c r="J107" i="361"/>
  <c r="I107" i="361"/>
  <c r="H107" i="361"/>
  <c r="G107" i="361"/>
  <c r="F107" i="361"/>
  <c r="U107" i="361"/>
  <c r="S107" i="361"/>
  <c r="Q107" i="361"/>
  <c r="AC102" i="361"/>
  <c r="AB102" i="361"/>
  <c r="AA102" i="361"/>
  <c r="Z102" i="361"/>
  <c r="Y102" i="361"/>
  <c r="X102" i="361"/>
  <c r="W102" i="361"/>
  <c r="V102" i="361"/>
  <c r="U102" i="361"/>
  <c r="T102" i="361"/>
  <c r="S102" i="361"/>
  <c r="R102" i="361"/>
  <c r="Q102" i="361"/>
  <c r="P102" i="361"/>
  <c r="O102" i="361"/>
  <c r="N102" i="361"/>
  <c r="M102" i="361"/>
  <c r="L102" i="361"/>
  <c r="K102" i="361"/>
  <c r="J102" i="361"/>
  <c r="I102" i="361"/>
  <c r="H102" i="361"/>
  <c r="G102" i="361"/>
  <c r="F102" i="361"/>
  <c r="AA101" i="361"/>
  <c r="Z101" i="361"/>
  <c r="J101" i="361"/>
  <c r="I101" i="361"/>
  <c r="O99" i="361"/>
  <c r="N99" i="361"/>
  <c r="AC93" i="361"/>
  <c r="H93" i="361"/>
  <c r="M91" i="361"/>
  <c r="AC80" i="361"/>
  <c r="AC101" i="361" s="1"/>
  <c r="AB80" i="361"/>
  <c r="AB101" i="361" s="1"/>
  <c r="AA80" i="361"/>
  <c r="Z80" i="361"/>
  <c r="Y80" i="361"/>
  <c r="Y101" i="361" s="1"/>
  <c r="X80" i="361"/>
  <c r="X101" i="361" s="1"/>
  <c r="W80" i="361"/>
  <c r="W101" i="361" s="1"/>
  <c r="V80" i="361"/>
  <c r="V101" i="361" s="1"/>
  <c r="U80" i="361"/>
  <c r="U101" i="361" s="1"/>
  <c r="T80" i="361"/>
  <c r="T101" i="361" s="1"/>
  <c r="S80" i="361"/>
  <c r="S101" i="361" s="1"/>
  <c r="R80" i="361"/>
  <c r="R101" i="361" s="1"/>
  <c r="Q80" i="361"/>
  <c r="Q101" i="361" s="1"/>
  <c r="P80" i="361"/>
  <c r="P101" i="361" s="1"/>
  <c r="O80" i="361"/>
  <c r="O101" i="361" s="1"/>
  <c r="N80" i="361"/>
  <c r="N101" i="361" s="1"/>
  <c r="M80" i="361"/>
  <c r="M101" i="361" s="1"/>
  <c r="L80" i="361"/>
  <c r="L101" i="361" s="1"/>
  <c r="K80" i="361"/>
  <c r="K101" i="361" s="1"/>
  <c r="J80" i="361"/>
  <c r="I80" i="361"/>
  <c r="H80" i="361"/>
  <c r="H101" i="361" s="1"/>
  <c r="G80" i="361"/>
  <c r="G101" i="361" s="1"/>
  <c r="F80" i="361"/>
  <c r="F101" i="361" s="1"/>
  <c r="C80" i="361"/>
  <c r="B80" i="361"/>
  <c r="AH79" i="361"/>
  <c r="AG79" i="361"/>
  <c r="AF79" i="361"/>
  <c r="AH78" i="361"/>
  <c r="AG78" i="361"/>
  <c r="AF78" i="361"/>
  <c r="AI77" i="361"/>
  <c r="AC76" i="361"/>
  <c r="AC100" i="361" s="1"/>
  <c r="AB76" i="361"/>
  <c r="AB100" i="361" s="1"/>
  <c r="AA76" i="361"/>
  <c r="AA100" i="361" s="1"/>
  <c r="Z76" i="361"/>
  <c r="Z100" i="361" s="1"/>
  <c r="Y76" i="361"/>
  <c r="Y100" i="361" s="1"/>
  <c r="X76" i="361"/>
  <c r="X100" i="361" s="1"/>
  <c r="W76" i="361"/>
  <c r="W100" i="361" s="1"/>
  <c r="V76" i="361"/>
  <c r="V100" i="361" s="1"/>
  <c r="U76" i="361"/>
  <c r="U100" i="361" s="1"/>
  <c r="T76" i="361"/>
  <c r="T100" i="361" s="1"/>
  <c r="S76" i="361"/>
  <c r="S100" i="361" s="1"/>
  <c r="R76" i="361"/>
  <c r="R100" i="361" s="1"/>
  <c r="Q76" i="361"/>
  <c r="Q100" i="361" s="1"/>
  <c r="P76" i="361"/>
  <c r="P100" i="361" s="1"/>
  <c r="O76" i="361"/>
  <c r="O100" i="361" s="1"/>
  <c r="N76" i="361"/>
  <c r="N100" i="361" s="1"/>
  <c r="M76" i="361"/>
  <c r="M100" i="361" s="1"/>
  <c r="L76" i="361"/>
  <c r="L100" i="361" s="1"/>
  <c r="K76" i="361"/>
  <c r="K100" i="361" s="1"/>
  <c r="J76" i="361"/>
  <c r="J100" i="361" s="1"/>
  <c r="I76" i="361"/>
  <c r="I100" i="361" s="1"/>
  <c r="H76" i="361"/>
  <c r="H100" i="361" s="1"/>
  <c r="G76" i="361"/>
  <c r="G100" i="361" s="1"/>
  <c r="F100" i="361"/>
  <c r="C76" i="361"/>
  <c r="B76" i="361"/>
  <c r="AH75" i="361"/>
  <c r="AG75" i="361"/>
  <c r="AF75" i="361"/>
  <c r="AH74" i="361"/>
  <c r="AG74" i="361"/>
  <c r="AF74" i="361"/>
  <c r="AH73" i="361"/>
  <c r="AG73" i="361"/>
  <c r="AF73" i="361"/>
  <c r="AH72" i="361"/>
  <c r="AG72" i="361"/>
  <c r="AF72" i="361"/>
  <c r="AH71" i="361"/>
  <c r="AG71" i="361"/>
  <c r="AF71" i="361"/>
  <c r="AH70" i="361"/>
  <c r="AG70" i="361"/>
  <c r="AF70" i="361"/>
  <c r="AH69" i="361"/>
  <c r="AG69" i="361"/>
  <c r="AF69" i="361"/>
  <c r="AH68" i="361"/>
  <c r="AG68" i="361"/>
  <c r="AF68" i="361"/>
  <c r="AH67" i="361"/>
  <c r="AG67" i="361"/>
  <c r="AF67" i="361"/>
  <c r="AI66" i="361"/>
  <c r="AC65" i="361"/>
  <c r="AC99" i="361" s="1"/>
  <c r="Y65" i="361"/>
  <c r="Y99" i="361" s="1"/>
  <c r="W65" i="361"/>
  <c r="W99" i="361" s="1"/>
  <c r="V65" i="361"/>
  <c r="V99" i="361" s="1"/>
  <c r="U65" i="361"/>
  <c r="U99" i="361" s="1"/>
  <c r="T65" i="361"/>
  <c r="T99" i="361" s="1"/>
  <c r="R65" i="361"/>
  <c r="R99" i="361" s="1"/>
  <c r="Q65" i="361"/>
  <c r="Q99" i="361" s="1"/>
  <c r="O65" i="361"/>
  <c r="N65" i="361"/>
  <c r="M65" i="361"/>
  <c r="M99" i="361" s="1"/>
  <c r="L65" i="361"/>
  <c r="L99" i="361" s="1"/>
  <c r="K65" i="361"/>
  <c r="K99" i="361" s="1"/>
  <c r="H65" i="361"/>
  <c r="H99" i="361" s="1"/>
  <c r="G65" i="361"/>
  <c r="G99" i="361" s="1"/>
  <c r="F99" i="361"/>
  <c r="C65" i="361"/>
  <c r="AB65" i="361"/>
  <c r="AB99" i="361" s="1"/>
  <c r="AA65" i="361"/>
  <c r="AA99" i="361" s="1"/>
  <c r="X65" i="361"/>
  <c r="X99" i="361" s="1"/>
  <c r="S65" i="361"/>
  <c r="S99" i="361" s="1"/>
  <c r="AA98" i="361"/>
  <c r="N98" i="361"/>
  <c r="M98" i="361"/>
  <c r="L98" i="361"/>
  <c r="K98" i="361"/>
  <c r="J98" i="361"/>
  <c r="I98" i="361"/>
  <c r="H98" i="361"/>
  <c r="G98" i="361"/>
  <c r="F98" i="361"/>
  <c r="C60" i="361"/>
  <c r="B60" i="361"/>
  <c r="B65" i="361" s="1"/>
  <c r="AH59" i="361"/>
  <c r="AG59" i="361"/>
  <c r="AF59" i="361"/>
  <c r="AH58" i="361"/>
  <c r="AG58" i="361"/>
  <c r="AF58" i="361"/>
  <c r="AH57" i="361"/>
  <c r="AG57" i="361"/>
  <c r="AF57" i="361"/>
  <c r="AH56" i="361"/>
  <c r="AG51" i="361"/>
  <c r="AH50" i="361"/>
  <c r="AG50" i="361"/>
  <c r="AF50" i="361"/>
  <c r="AH49" i="361"/>
  <c r="AG49" i="361"/>
  <c r="AF49" i="361"/>
  <c r="AG48" i="361"/>
  <c r="AF48" i="361"/>
  <c r="AH48" i="361"/>
  <c r="AF47" i="361"/>
  <c r="AH46" i="361"/>
  <c r="AG46" i="361"/>
  <c r="AF46" i="361"/>
  <c r="AH45" i="361"/>
  <c r="AG45" i="361"/>
  <c r="AF45" i="361"/>
  <c r="AH44" i="361"/>
  <c r="AG44" i="361"/>
  <c r="AF44" i="361"/>
  <c r="AH43" i="361"/>
  <c r="AG43" i="361"/>
  <c r="AF43" i="361"/>
  <c r="AH42" i="361"/>
  <c r="AG42" i="361"/>
  <c r="AF42" i="361"/>
  <c r="AH41" i="361"/>
  <c r="AG41" i="361"/>
  <c r="AF41" i="361"/>
  <c r="AH40" i="361"/>
  <c r="AG40" i="361"/>
  <c r="AF40" i="361"/>
  <c r="AH39" i="361"/>
  <c r="AG39" i="361"/>
  <c r="AF39" i="361"/>
  <c r="AH38" i="361"/>
  <c r="AG38" i="361"/>
  <c r="AF38" i="361"/>
  <c r="AH37" i="361"/>
  <c r="AG37" i="361"/>
  <c r="AF37" i="361"/>
  <c r="AH36" i="361"/>
  <c r="AG36" i="361"/>
  <c r="AF36" i="361"/>
  <c r="AI35" i="361"/>
  <c r="AC34" i="361"/>
  <c r="AC96" i="361" s="1"/>
  <c r="AB34" i="361"/>
  <c r="AB96" i="361" s="1"/>
  <c r="AA34" i="361"/>
  <c r="AA96" i="361" s="1"/>
  <c r="Z34" i="361"/>
  <c r="Z96" i="361" s="1"/>
  <c r="Y34" i="361"/>
  <c r="Y96" i="361" s="1"/>
  <c r="X34" i="361"/>
  <c r="X96" i="361" s="1"/>
  <c r="W34" i="361"/>
  <c r="W96" i="361" s="1"/>
  <c r="V34" i="361"/>
  <c r="V96" i="361" s="1"/>
  <c r="U34" i="361"/>
  <c r="U96" i="361" s="1"/>
  <c r="T34" i="361"/>
  <c r="T96" i="361" s="1"/>
  <c r="S34" i="361"/>
  <c r="S96" i="361" s="1"/>
  <c r="R34" i="361"/>
  <c r="R96" i="361" s="1"/>
  <c r="Q34" i="361"/>
  <c r="Q96" i="361" s="1"/>
  <c r="P34" i="361"/>
  <c r="P96" i="361" s="1"/>
  <c r="O34" i="361"/>
  <c r="O96" i="361" s="1"/>
  <c r="N34" i="361"/>
  <c r="N96" i="361" s="1"/>
  <c r="M34" i="361"/>
  <c r="M96" i="361" s="1"/>
  <c r="L34" i="361"/>
  <c r="L96" i="361" s="1"/>
  <c r="K34" i="361"/>
  <c r="K96" i="361" s="1"/>
  <c r="J34" i="361"/>
  <c r="J96" i="361" s="1"/>
  <c r="I34" i="361"/>
  <c r="I96" i="361" s="1"/>
  <c r="H34" i="361"/>
  <c r="H96" i="361" s="1"/>
  <c r="G34" i="361"/>
  <c r="G96" i="361" s="1"/>
  <c r="F96" i="361"/>
  <c r="C34" i="361"/>
  <c r="C83" i="361" s="1"/>
  <c r="B34" i="361"/>
  <c r="B83" i="361" s="1"/>
  <c r="AH33" i="361"/>
  <c r="AG33" i="361"/>
  <c r="AF33" i="361"/>
  <c r="AI32" i="361"/>
  <c r="AC31" i="361"/>
  <c r="AB31" i="361"/>
  <c r="AB93" i="361" s="1"/>
  <c r="AA31" i="361"/>
  <c r="AA93" i="361" s="1"/>
  <c r="Z31" i="361"/>
  <c r="Z93" i="361" s="1"/>
  <c r="Y31" i="361"/>
  <c r="Y93" i="361" s="1"/>
  <c r="X31" i="361"/>
  <c r="X93" i="361" s="1"/>
  <c r="W31" i="361"/>
  <c r="W93" i="361" s="1"/>
  <c r="V31" i="361"/>
  <c r="V93" i="361" s="1"/>
  <c r="U31" i="361"/>
  <c r="U93" i="361" s="1"/>
  <c r="T31" i="361"/>
  <c r="T93" i="361" s="1"/>
  <c r="S31" i="361"/>
  <c r="S93" i="361" s="1"/>
  <c r="R31" i="361"/>
  <c r="R93" i="361" s="1"/>
  <c r="Q31" i="361"/>
  <c r="Q93" i="361" s="1"/>
  <c r="P31" i="361"/>
  <c r="P93" i="361" s="1"/>
  <c r="O31" i="361"/>
  <c r="O93" i="361" s="1"/>
  <c r="N31" i="361"/>
  <c r="N93" i="361" s="1"/>
  <c r="M31" i="361"/>
  <c r="M93" i="361" s="1"/>
  <c r="L31" i="361"/>
  <c r="L93" i="361" s="1"/>
  <c r="K31" i="361"/>
  <c r="K93" i="361" s="1"/>
  <c r="J31" i="361"/>
  <c r="J93" i="361" s="1"/>
  <c r="I31" i="361"/>
  <c r="I93" i="361" s="1"/>
  <c r="G31" i="361"/>
  <c r="G93" i="361" s="1"/>
  <c r="C31" i="361"/>
  <c r="B31" i="361"/>
  <c r="AI28" i="361"/>
  <c r="AH28" i="361"/>
  <c r="AG28" i="361"/>
  <c r="AF28" i="361"/>
  <c r="AH27" i="361"/>
  <c r="AG27" i="361"/>
  <c r="AF27" i="361"/>
  <c r="AI26" i="361"/>
  <c r="AC25" i="361"/>
  <c r="AB25" i="361"/>
  <c r="AA25" i="361"/>
  <c r="Z25" i="361"/>
  <c r="Y25" i="361"/>
  <c r="X25" i="361"/>
  <c r="W25" i="361"/>
  <c r="V25" i="361"/>
  <c r="U25" i="361"/>
  <c r="T25" i="361"/>
  <c r="S25" i="361"/>
  <c r="R25" i="361"/>
  <c r="Q25" i="361"/>
  <c r="P25" i="361"/>
  <c r="O25" i="361"/>
  <c r="N25" i="361"/>
  <c r="M25" i="361"/>
  <c r="L25" i="361"/>
  <c r="K25" i="361"/>
  <c r="K89" i="361" s="1"/>
  <c r="J25" i="361"/>
  <c r="I25" i="361"/>
  <c r="H25" i="361"/>
  <c r="G25" i="361"/>
  <c r="C25" i="361"/>
  <c r="B25" i="361"/>
  <c r="AH24" i="361"/>
  <c r="AG24" i="361"/>
  <c r="AF24" i="361"/>
  <c r="AI23" i="361"/>
  <c r="AC22" i="361"/>
  <c r="AB22" i="361"/>
  <c r="AA22" i="361"/>
  <c r="Z22" i="361"/>
  <c r="Y22" i="361"/>
  <c r="X22" i="361"/>
  <c r="W22" i="361"/>
  <c r="V22" i="361"/>
  <c r="U22" i="361"/>
  <c r="T22" i="361"/>
  <c r="S22" i="361"/>
  <c r="R22" i="361"/>
  <c r="Q22" i="361"/>
  <c r="P22" i="361"/>
  <c r="O22" i="361"/>
  <c r="N22" i="361"/>
  <c r="M22" i="361"/>
  <c r="L22" i="361"/>
  <c r="K22" i="361"/>
  <c r="J22" i="361"/>
  <c r="I22" i="361"/>
  <c r="H22" i="361"/>
  <c r="G22" i="361"/>
  <c r="C22" i="361"/>
  <c r="B22" i="361"/>
  <c r="AH21" i="361"/>
  <c r="AG21" i="361"/>
  <c r="AF21" i="361"/>
  <c r="AH20" i="361"/>
  <c r="AG20" i="361"/>
  <c r="AF20" i="361"/>
  <c r="AH19" i="361"/>
  <c r="AG19" i="361"/>
  <c r="AF19" i="361"/>
  <c r="AI18" i="361"/>
  <c r="AC17" i="361"/>
  <c r="AB17" i="361"/>
  <c r="AB91" i="361" s="1"/>
  <c r="AA17" i="361"/>
  <c r="Z17" i="361"/>
  <c r="Z91" i="361" s="1"/>
  <c r="Y17" i="361"/>
  <c r="Y91" i="361" s="1"/>
  <c r="X17" i="361"/>
  <c r="X91" i="361" s="1"/>
  <c r="W17" i="361"/>
  <c r="W91" i="361" s="1"/>
  <c r="V17" i="361"/>
  <c r="V91" i="361" s="1"/>
  <c r="V109" i="361" s="1"/>
  <c r="U17" i="361"/>
  <c r="U91" i="361" s="1"/>
  <c r="T17" i="361"/>
  <c r="T91" i="361" s="1"/>
  <c r="S17" i="361"/>
  <c r="R17" i="361"/>
  <c r="R91" i="361" s="1"/>
  <c r="R109" i="361" s="1"/>
  <c r="Q17" i="361"/>
  <c r="Q91" i="361" s="1"/>
  <c r="P17" i="361"/>
  <c r="P91" i="361" s="1"/>
  <c r="O17" i="361"/>
  <c r="O91" i="361" s="1"/>
  <c r="O109" i="361" s="1"/>
  <c r="N17" i="361"/>
  <c r="N91" i="361" s="1"/>
  <c r="M17" i="361"/>
  <c r="L17" i="361"/>
  <c r="L91" i="361" s="1"/>
  <c r="K17" i="361"/>
  <c r="K91" i="361" s="1"/>
  <c r="J17" i="361"/>
  <c r="I17" i="361"/>
  <c r="H17" i="361"/>
  <c r="G17" i="361"/>
  <c r="G91" i="361" s="1"/>
  <c r="C17" i="361"/>
  <c r="B17" i="361"/>
  <c r="AH16" i="361"/>
  <c r="AG16" i="361"/>
  <c r="AF16" i="361"/>
  <c r="AH15" i="361"/>
  <c r="AG15" i="361"/>
  <c r="AF15" i="361"/>
  <c r="AH14" i="361"/>
  <c r="AG14" i="361"/>
  <c r="AF14" i="361"/>
  <c r="AH13" i="361"/>
  <c r="AG13" i="361"/>
  <c r="AF13" i="361"/>
  <c r="AI12" i="361"/>
  <c r="M9" i="361" a="1"/>
  <c r="M9" i="361" s="1"/>
  <c r="AE227" i="260"/>
  <c r="AB64" i="359"/>
  <c r="AB63" i="359"/>
  <c r="F337" i="88"/>
  <c r="AE226" i="260"/>
  <c r="AA226" i="260"/>
  <c r="AA64" i="359"/>
  <c r="AA63" i="359"/>
  <c r="F344" i="88"/>
  <c r="F329" i="88"/>
  <c r="F353" i="88"/>
  <c r="AQ225" i="260" a="1"/>
  <c r="Z243" i="260" a="1"/>
  <c r="BJ245" i="260" a="1"/>
  <c r="C670" i="79" l="1"/>
  <c r="A672" i="79"/>
  <c r="A673" i="79"/>
  <c r="C671" i="79"/>
  <c r="Z243" i="260"/>
  <c r="BJ245" i="260"/>
  <c r="W109" i="361"/>
  <c r="V83" i="361"/>
  <c r="U109" i="361"/>
  <c r="U89" i="361"/>
  <c r="T109" i="361"/>
  <c r="T89" i="361"/>
  <c r="T103" i="361" s="1"/>
  <c r="T108" i="361" s="1"/>
  <c r="T83" i="361"/>
  <c r="S110" i="361"/>
  <c r="S83" i="361"/>
  <c r="Q109" i="361"/>
  <c r="P109" i="361"/>
  <c r="W83" i="361"/>
  <c r="V98" i="361"/>
  <c r="R83" i="361"/>
  <c r="U103" i="361"/>
  <c r="U108" i="361" s="1"/>
  <c r="U83" i="361"/>
  <c r="N109" i="361"/>
  <c r="M109" i="361"/>
  <c r="L109" i="361"/>
  <c r="I65" i="361"/>
  <c r="I99" i="361" s="1"/>
  <c r="AF63" i="361"/>
  <c r="AH63" i="361"/>
  <c r="AI61" i="361"/>
  <c r="X109" i="361"/>
  <c r="H89" i="361"/>
  <c r="AB89" i="361"/>
  <c r="AB103" i="361" s="1"/>
  <c r="AB108" i="361" s="1"/>
  <c r="Y109" i="361"/>
  <c r="I89" i="361"/>
  <c r="AC89" i="361"/>
  <c r="Z109" i="361"/>
  <c r="AA110" i="361"/>
  <c r="N89" i="361"/>
  <c r="N103" i="361" s="1"/>
  <c r="N108" i="361" s="1"/>
  <c r="AB109" i="361"/>
  <c r="L89" i="361"/>
  <c r="L103" i="361" s="1"/>
  <c r="L108" i="361" s="1"/>
  <c r="V110" i="361"/>
  <c r="AA91" i="361"/>
  <c r="AA109" i="361" s="1"/>
  <c r="M89" i="361"/>
  <c r="M103" i="361" s="1"/>
  <c r="M108" i="361" s="1"/>
  <c r="O89" i="361"/>
  <c r="O103" i="361" s="1"/>
  <c r="O108" i="361" s="1"/>
  <c r="X83" i="361"/>
  <c r="F109" i="361"/>
  <c r="J89" i="361"/>
  <c r="S91" i="361"/>
  <c r="S109" i="361" s="1"/>
  <c r="G110" i="361"/>
  <c r="L110" i="361"/>
  <c r="P89" i="361"/>
  <c r="Q89" i="361"/>
  <c r="G89" i="361"/>
  <c r="AA89" i="361"/>
  <c r="I110" i="361"/>
  <c r="I83" i="361"/>
  <c r="AC110" i="361"/>
  <c r="AC83" i="361"/>
  <c r="W110" i="361"/>
  <c r="W89" i="361"/>
  <c r="W103" i="361" s="1"/>
  <c r="W108" i="361" s="1"/>
  <c r="K83" i="361"/>
  <c r="K103" i="361"/>
  <c r="K108" i="361" s="1"/>
  <c r="AA103" i="361"/>
  <c r="AA108" i="361" s="1"/>
  <c r="AG47" i="361"/>
  <c r="K109" i="361"/>
  <c r="AC103" i="361"/>
  <c r="AC108" i="361" s="1"/>
  <c r="H110" i="361"/>
  <c r="H83" i="361"/>
  <c r="J83" i="361"/>
  <c r="AH51" i="361"/>
  <c r="Y83" i="361"/>
  <c r="F110" i="361"/>
  <c r="F83" i="361"/>
  <c r="G103" i="361"/>
  <c r="G108" i="361" s="1"/>
  <c r="N83" i="361"/>
  <c r="J110" i="361"/>
  <c r="V89" i="361"/>
  <c r="S89" i="361"/>
  <c r="N110" i="361"/>
  <c r="M83" i="361"/>
  <c r="AG56" i="361"/>
  <c r="O83" i="361"/>
  <c r="K110" i="361"/>
  <c r="M110" i="361"/>
  <c r="X89" i="361"/>
  <c r="X103" i="361" s="1"/>
  <c r="X108" i="361" s="1"/>
  <c r="G109" i="361"/>
  <c r="O110" i="361"/>
  <c r="AF51" i="361"/>
  <c r="AH62" i="361"/>
  <c r="AG62" i="361"/>
  <c r="AF62" i="361"/>
  <c r="AH47" i="361"/>
  <c r="AI36" i="361"/>
  <c r="Q98" i="361"/>
  <c r="Y89" i="361"/>
  <c r="Y103" i="361" s="1"/>
  <c r="Y108" i="361" s="1"/>
  <c r="H91" i="361"/>
  <c r="H109" i="361" s="1"/>
  <c r="P110" i="361"/>
  <c r="AB110" i="361"/>
  <c r="AB83" i="361"/>
  <c r="R89" i="361"/>
  <c r="R103" i="361" s="1"/>
  <c r="R108" i="361" s="1"/>
  <c r="Z65" i="361"/>
  <c r="Z99" i="361" s="1"/>
  <c r="F89" i="361"/>
  <c r="F103" i="361" s="1"/>
  <c r="F108" i="361" s="1"/>
  <c r="Z89" i="361"/>
  <c r="Z103" i="361" s="1"/>
  <c r="Z108" i="361" s="1"/>
  <c r="I91" i="361"/>
  <c r="I109" i="361" s="1"/>
  <c r="Q110" i="361"/>
  <c r="AH64" i="361"/>
  <c r="AG64" i="361"/>
  <c r="AF64" i="361"/>
  <c r="L83" i="361"/>
  <c r="AF56" i="361"/>
  <c r="AC91" i="361"/>
  <c r="AC109" i="361" s="1"/>
  <c r="P65" i="361"/>
  <c r="P99" i="361" s="1"/>
  <c r="J91" i="361"/>
  <c r="J109" i="361" s="1"/>
  <c r="R110" i="361"/>
  <c r="T110" i="361"/>
  <c r="G83" i="361"/>
  <c r="AA83" i="361"/>
  <c r="U110" i="361"/>
  <c r="X110" i="361"/>
  <c r="Y110" i="361"/>
  <c r="Z110" i="361"/>
  <c r="AQ225" i="260"/>
  <c r="AE225" i="260"/>
  <c r="AA225" i="260"/>
  <c r="Z64" i="359"/>
  <c r="Z63" i="359"/>
  <c r="Z62" i="359"/>
  <c r="F354" i="88"/>
  <c r="F352" i="88"/>
  <c r="F355" i="88"/>
  <c r="AE224" i="260"/>
  <c r="AA224" i="260"/>
  <c r="Y63" i="359"/>
  <c r="Y62" i="359"/>
  <c r="Y56" i="359"/>
  <c r="Y51" i="359"/>
  <c r="Y48" i="359"/>
  <c r="Y47" i="359"/>
  <c r="F351" i="88"/>
  <c r="F330" i="88"/>
  <c r="AE223" i="260"/>
  <c r="AA223" i="260"/>
  <c r="X63" i="359"/>
  <c r="X62" i="359"/>
  <c r="F349" i="88"/>
  <c r="F347" i="88"/>
  <c r="N219" i="260" a="1"/>
  <c r="A675" i="79" l="1"/>
  <c r="C675" i="79" s="1"/>
  <c r="C673" i="79"/>
  <c r="C672" i="79"/>
  <c r="A674" i="79"/>
  <c r="V103" i="361"/>
  <c r="V108" i="361" s="1"/>
  <c r="Q103" i="361"/>
  <c r="Q108" i="361" s="1"/>
  <c r="P83" i="361"/>
  <c r="P103" i="361"/>
  <c r="P108" i="361" s="1"/>
  <c r="J103" i="361"/>
  <c r="J108" i="361" s="1"/>
  <c r="H103" i="361"/>
  <c r="H108" i="361" s="1"/>
  <c r="S103" i="361"/>
  <c r="S108" i="361" s="1"/>
  <c r="AF86" i="361"/>
  <c r="Q83" i="361"/>
  <c r="I103" i="361"/>
  <c r="I108" i="361" s="1"/>
  <c r="Z83" i="361"/>
  <c r="N219" i="260"/>
  <c r="F346" i="88"/>
  <c r="F348" i="88"/>
  <c r="F342" i="88"/>
  <c r="AE218" i="260"/>
  <c r="AA218" i="260"/>
  <c r="S63" i="359"/>
  <c r="S62" i="359"/>
  <c r="AE217" i="260"/>
  <c r="AA217" i="260"/>
  <c r="F323" i="88"/>
  <c r="F341" i="88"/>
  <c r="F340" i="88"/>
  <c r="F339" i="88"/>
  <c r="F343" i="88"/>
  <c r="AE216" i="260"/>
  <c r="AA216" i="260"/>
  <c r="R62" i="359"/>
  <c r="R64" i="359"/>
  <c r="Q64" i="359"/>
  <c r="Q62" i="359"/>
  <c r="Q56" i="359"/>
  <c r="Q51" i="359"/>
  <c r="Q47" i="359"/>
  <c r="F338" i="88"/>
  <c r="AZ215" i="260" a="1"/>
  <c r="A676" i="79" l="1"/>
  <c r="C676" i="79" s="1"/>
  <c r="C674" i="79"/>
  <c r="AZ215" i="260"/>
  <c r="AE215" i="260"/>
  <c r="AA215" i="260"/>
  <c r="P64" i="359"/>
  <c r="P62" i="359"/>
  <c r="F332" i="88"/>
  <c r="P105" i="359"/>
  <c r="F335" i="88"/>
  <c r="F333" i="88"/>
  <c r="F334" i="88"/>
  <c r="F336" i="88"/>
  <c r="AE214" i="260"/>
  <c r="AE213" i="260"/>
  <c r="AE212" i="260"/>
  <c r="F327" i="88"/>
  <c r="F324" i="88"/>
  <c r="F315" i="88"/>
  <c r="F316" i="88"/>
  <c r="AE211" i="260"/>
  <c r="F322" i="88"/>
  <c r="F283" i="88"/>
  <c r="W206" i="260"/>
  <c r="F307" i="88"/>
  <c r="F304" i="88"/>
  <c r="F318" i="88"/>
  <c r="F293" i="88"/>
  <c r="F319" i="88"/>
  <c r="AE205" i="260"/>
  <c r="W205" i="260"/>
  <c r="F320" i="88"/>
  <c r="F297" i="88"/>
  <c r="AE203" i="260"/>
  <c r="W203" i="260"/>
  <c r="F76" i="359"/>
  <c r="F65" i="359"/>
  <c r="F60" i="359"/>
  <c r="F34" i="359"/>
  <c r="F31" i="359"/>
  <c r="F93" i="359" s="1"/>
  <c r="F25" i="359"/>
  <c r="F22" i="359"/>
  <c r="F89" i="359" s="1"/>
  <c r="F17" i="359"/>
  <c r="F216" i="88"/>
  <c r="AC107" i="359"/>
  <c r="AB107" i="359"/>
  <c r="AA107" i="359"/>
  <c r="Z107" i="359"/>
  <c r="Y107" i="359"/>
  <c r="X107" i="359"/>
  <c r="W107" i="359"/>
  <c r="V107" i="359"/>
  <c r="U107" i="359"/>
  <c r="T107" i="359"/>
  <c r="S107" i="359"/>
  <c r="R107" i="359"/>
  <c r="Q107" i="359"/>
  <c r="P107" i="359"/>
  <c r="O107" i="359"/>
  <c r="N107" i="359"/>
  <c r="M107" i="359"/>
  <c r="L107" i="359"/>
  <c r="K107" i="359"/>
  <c r="J107" i="359"/>
  <c r="I107" i="359"/>
  <c r="H107" i="359"/>
  <c r="G107" i="359"/>
  <c r="F107" i="359"/>
  <c r="AC102" i="359"/>
  <c r="AB102" i="359"/>
  <c r="AA102" i="359"/>
  <c r="Z102" i="359"/>
  <c r="Y102" i="359"/>
  <c r="X102" i="359"/>
  <c r="W102" i="359"/>
  <c r="V102" i="359"/>
  <c r="U102" i="359"/>
  <c r="T102" i="359"/>
  <c r="S102" i="359"/>
  <c r="R102" i="359"/>
  <c r="Q102" i="359"/>
  <c r="P102" i="359"/>
  <c r="O102" i="359"/>
  <c r="N102" i="359"/>
  <c r="M102" i="359"/>
  <c r="L102" i="359"/>
  <c r="K102" i="359"/>
  <c r="J102" i="359"/>
  <c r="I102" i="359"/>
  <c r="H102" i="359"/>
  <c r="G102" i="359"/>
  <c r="F102" i="359"/>
  <c r="AC101" i="359"/>
  <c r="AB101" i="359"/>
  <c r="X101" i="359"/>
  <c r="W101" i="359"/>
  <c r="Q101" i="359"/>
  <c r="P101" i="359"/>
  <c r="U100" i="359"/>
  <c r="R100" i="359"/>
  <c r="N100" i="359"/>
  <c r="F99" i="359"/>
  <c r="H98" i="359"/>
  <c r="X93" i="359"/>
  <c r="W93" i="359"/>
  <c r="O93" i="359"/>
  <c r="N93" i="359"/>
  <c r="H93" i="359"/>
  <c r="X91" i="359"/>
  <c r="AC80" i="359"/>
  <c r="AB80" i="359"/>
  <c r="AA80" i="359"/>
  <c r="AA101" i="359" s="1"/>
  <c r="Z80" i="359"/>
  <c r="Z101" i="359" s="1"/>
  <c r="Y80" i="359"/>
  <c r="Y101" i="359" s="1"/>
  <c r="X80" i="359"/>
  <c r="W80" i="359"/>
  <c r="V80" i="359"/>
  <c r="V101" i="359" s="1"/>
  <c r="U80" i="359"/>
  <c r="U101" i="359" s="1"/>
  <c r="T80" i="359"/>
  <c r="T101" i="359" s="1"/>
  <c r="S80" i="359"/>
  <c r="S101" i="359" s="1"/>
  <c r="R80" i="359"/>
  <c r="R101" i="359" s="1"/>
  <c r="Q80" i="359"/>
  <c r="P80" i="359"/>
  <c r="O80" i="359"/>
  <c r="O101" i="359" s="1"/>
  <c r="N80" i="359"/>
  <c r="N101" i="359" s="1"/>
  <c r="M80" i="359"/>
  <c r="M101" i="359" s="1"/>
  <c r="L80" i="359"/>
  <c r="L101" i="359" s="1"/>
  <c r="K80" i="359"/>
  <c r="K101" i="359" s="1"/>
  <c r="J80" i="359"/>
  <c r="J101" i="359" s="1"/>
  <c r="I80" i="359"/>
  <c r="I101" i="359" s="1"/>
  <c r="H80" i="359"/>
  <c r="H101" i="359" s="1"/>
  <c r="G80" i="359"/>
  <c r="G101" i="359" s="1"/>
  <c r="F80" i="359"/>
  <c r="F101" i="359" s="1"/>
  <c r="C80" i="359"/>
  <c r="AH79" i="359"/>
  <c r="AG79" i="359"/>
  <c r="AF79" i="359"/>
  <c r="AH78" i="359"/>
  <c r="AG78" i="359"/>
  <c r="AF78" i="359"/>
  <c r="AI77" i="359"/>
  <c r="AC76" i="359"/>
  <c r="AC100" i="359" s="1"/>
  <c r="AB76" i="359"/>
  <c r="AB100" i="359" s="1"/>
  <c r="AA76" i="359"/>
  <c r="AA100" i="359" s="1"/>
  <c r="Z76" i="359"/>
  <c r="Z100" i="359" s="1"/>
  <c r="Y76" i="359"/>
  <c r="Y100" i="359" s="1"/>
  <c r="X76" i="359"/>
  <c r="X100" i="359" s="1"/>
  <c r="W76" i="359"/>
  <c r="W100" i="359" s="1"/>
  <c r="V76" i="359"/>
  <c r="V100" i="359" s="1"/>
  <c r="U76" i="359"/>
  <c r="T76" i="359"/>
  <c r="T100" i="359" s="1"/>
  <c r="S76" i="359"/>
  <c r="S100" i="359" s="1"/>
  <c r="R76" i="359"/>
  <c r="Q76" i="359"/>
  <c r="Q100" i="359" s="1"/>
  <c r="P76" i="359"/>
  <c r="P100" i="359" s="1"/>
  <c r="O76" i="359"/>
  <c r="O100" i="359" s="1"/>
  <c r="N76" i="359"/>
  <c r="M76" i="359"/>
  <c r="M100" i="359" s="1"/>
  <c r="L76" i="359"/>
  <c r="L100" i="359" s="1"/>
  <c r="K76" i="359"/>
  <c r="K100" i="359" s="1"/>
  <c r="J76" i="359"/>
  <c r="J100" i="359" s="1"/>
  <c r="I76" i="359"/>
  <c r="I100" i="359" s="1"/>
  <c r="H76" i="359"/>
  <c r="H100" i="359" s="1"/>
  <c r="G76" i="359"/>
  <c r="G100" i="359" s="1"/>
  <c r="F100" i="359"/>
  <c r="C76" i="359"/>
  <c r="B76" i="359"/>
  <c r="B80" i="359" s="1"/>
  <c r="B25" i="359" s="1"/>
  <c r="AH75" i="359"/>
  <c r="AG75" i="359"/>
  <c r="AF75" i="359"/>
  <c r="AH74" i="359"/>
  <c r="AG74" i="359"/>
  <c r="AF74" i="359"/>
  <c r="AH73" i="359"/>
  <c r="AG73" i="359"/>
  <c r="AF73" i="359"/>
  <c r="AH72" i="359"/>
  <c r="AG72" i="359"/>
  <c r="AF72" i="359"/>
  <c r="AH71" i="359"/>
  <c r="AG71" i="359"/>
  <c r="AF71" i="359"/>
  <c r="AH70" i="359"/>
  <c r="AG70" i="359"/>
  <c r="AF70" i="359"/>
  <c r="AH69" i="359"/>
  <c r="AG69" i="359"/>
  <c r="AF69" i="359"/>
  <c r="AH68" i="359"/>
  <c r="AG68" i="359"/>
  <c r="AF68" i="359"/>
  <c r="AH67" i="359"/>
  <c r="AG67" i="359"/>
  <c r="AF67" i="359"/>
  <c r="AI66" i="359"/>
  <c r="AC65" i="359"/>
  <c r="AC99" i="359" s="1"/>
  <c r="AB65" i="359"/>
  <c r="AB99" i="359" s="1"/>
  <c r="X65" i="359"/>
  <c r="X99" i="359" s="1"/>
  <c r="W65" i="359"/>
  <c r="W99" i="359" s="1"/>
  <c r="V65" i="359"/>
  <c r="V99" i="359" s="1"/>
  <c r="U65" i="359"/>
  <c r="U99" i="359" s="1"/>
  <c r="T65" i="359"/>
  <c r="T99" i="359" s="1"/>
  <c r="P65" i="359"/>
  <c r="P99" i="359" s="1"/>
  <c r="O65" i="359"/>
  <c r="O99" i="359" s="1"/>
  <c r="K65" i="359"/>
  <c r="K99" i="359" s="1"/>
  <c r="J65" i="359"/>
  <c r="J99" i="359" s="1"/>
  <c r="I65" i="359"/>
  <c r="I99" i="359" s="1"/>
  <c r="H65" i="359"/>
  <c r="H99" i="359" s="1"/>
  <c r="G65" i="359"/>
  <c r="G99" i="359" s="1"/>
  <c r="C65" i="359"/>
  <c r="B65" i="359"/>
  <c r="AA65" i="359"/>
  <c r="AA99" i="359" s="1"/>
  <c r="Y65" i="359"/>
  <c r="Y99" i="359" s="1"/>
  <c r="S65" i="359"/>
  <c r="S99" i="359" s="1"/>
  <c r="R65" i="359"/>
  <c r="R99" i="359" s="1"/>
  <c r="AH62" i="359"/>
  <c r="AC60" i="359"/>
  <c r="AC98" i="359" s="1"/>
  <c r="AB60" i="359"/>
  <c r="AB98" i="359" s="1"/>
  <c r="AA60" i="359"/>
  <c r="AA98" i="359" s="1"/>
  <c r="Z60" i="359"/>
  <c r="Z98" i="359" s="1"/>
  <c r="Y60" i="359"/>
  <c r="Y98" i="359" s="1"/>
  <c r="X60" i="359"/>
  <c r="X98" i="359" s="1"/>
  <c r="W60" i="359"/>
  <c r="W98" i="359" s="1"/>
  <c r="S60" i="359"/>
  <c r="S98" i="359" s="1"/>
  <c r="R60" i="359"/>
  <c r="R98" i="359" s="1"/>
  <c r="Q60" i="359"/>
  <c r="Q98" i="359" s="1"/>
  <c r="P60" i="359"/>
  <c r="P98" i="359" s="1"/>
  <c r="O60" i="359"/>
  <c r="O98" i="359" s="1"/>
  <c r="N60" i="359"/>
  <c r="N98" i="359" s="1"/>
  <c r="M60" i="359"/>
  <c r="M98" i="359" s="1"/>
  <c r="L60" i="359"/>
  <c r="L98" i="359" s="1"/>
  <c r="K60" i="359"/>
  <c r="K98" i="359" s="1"/>
  <c r="J60" i="359"/>
  <c r="J98" i="359" s="1"/>
  <c r="I60" i="359"/>
  <c r="I98" i="359" s="1"/>
  <c r="H60" i="359"/>
  <c r="G60" i="359"/>
  <c r="G98" i="359" s="1"/>
  <c r="F98" i="359"/>
  <c r="C60" i="359"/>
  <c r="B60" i="359"/>
  <c r="AH59" i="359"/>
  <c r="AG59" i="359"/>
  <c r="AF59" i="359"/>
  <c r="AH58" i="359"/>
  <c r="AG58" i="359"/>
  <c r="AF58" i="359"/>
  <c r="AH57" i="359"/>
  <c r="AG57" i="359"/>
  <c r="AF57" i="359"/>
  <c r="AH56" i="359"/>
  <c r="AG56" i="359"/>
  <c r="AH51" i="359"/>
  <c r="AG51" i="359"/>
  <c r="AH50" i="359"/>
  <c r="AG50" i="359"/>
  <c r="AF50" i="359"/>
  <c r="AH49" i="359"/>
  <c r="AG49" i="359"/>
  <c r="AF49" i="359"/>
  <c r="AH48" i="359"/>
  <c r="U60" i="359"/>
  <c r="U98" i="359" s="1"/>
  <c r="T60" i="359"/>
  <c r="T98" i="359" s="1"/>
  <c r="AH46" i="359"/>
  <c r="AG46" i="359"/>
  <c r="AF46" i="359"/>
  <c r="AH45" i="359"/>
  <c r="AG45" i="359"/>
  <c r="AF45" i="359"/>
  <c r="AH44" i="359"/>
  <c r="AG44" i="359"/>
  <c r="AF44" i="359"/>
  <c r="AH43" i="359"/>
  <c r="AG43" i="359"/>
  <c r="AF43" i="359"/>
  <c r="AH42" i="359"/>
  <c r="AG42" i="359"/>
  <c r="AF42" i="359"/>
  <c r="AH41" i="359"/>
  <c r="AG41" i="359"/>
  <c r="AF41" i="359"/>
  <c r="AH40" i="359"/>
  <c r="AG40" i="359"/>
  <c r="AF40" i="359"/>
  <c r="AH39" i="359"/>
  <c r="AG39" i="359"/>
  <c r="AF39" i="359"/>
  <c r="AH38" i="359"/>
  <c r="AG38" i="359"/>
  <c r="AF38" i="359"/>
  <c r="AH37" i="359"/>
  <c r="AG37" i="359"/>
  <c r="AF37" i="359"/>
  <c r="AH36" i="359"/>
  <c r="AG36" i="359"/>
  <c r="AF36" i="359"/>
  <c r="AI35" i="359"/>
  <c r="AC34" i="359"/>
  <c r="AC96" i="359" s="1"/>
  <c r="AB34" i="359"/>
  <c r="AB96" i="359" s="1"/>
  <c r="AA34" i="359"/>
  <c r="AA96" i="359" s="1"/>
  <c r="Z34" i="359"/>
  <c r="Z96" i="359" s="1"/>
  <c r="Y34" i="359"/>
  <c r="Y96" i="359" s="1"/>
  <c r="X34" i="359"/>
  <c r="X96" i="359" s="1"/>
  <c r="W34" i="359"/>
  <c r="W96" i="359" s="1"/>
  <c r="V34" i="359"/>
  <c r="V96" i="359" s="1"/>
  <c r="U34" i="359"/>
  <c r="U96" i="359" s="1"/>
  <c r="T34" i="359"/>
  <c r="T96" i="359" s="1"/>
  <c r="S34" i="359"/>
  <c r="S96" i="359" s="1"/>
  <c r="R34" i="359"/>
  <c r="R96" i="359" s="1"/>
  <c r="Q34" i="359"/>
  <c r="Q96" i="359" s="1"/>
  <c r="P34" i="359"/>
  <c r="P96" i="359" s="1"/>
  <c r="O34" i="359"/>
  <c r="O96" i="359" s="1"/>
  <c r="N34" i="359"/>
  <c r="N96" i="359" s="1"/>
  <c r="M34" i="359"/>
  <c r="M96" i="359" s="1"/>
  <c r="L34" i="359"/>
  <c r="L96" i="359" s="1"/>
  <c r="K34" i="359"/>
  <c r="K96" i="359" s="1"/>
  <c r="J34" i="359"/>
  <c r="J96" i="359" s="1"/>
  <c r="I34" i="359"/>
  <c r="I96" i="359" s="1"/>
  <c r="H34" i="359"/>
  <c r="H96" i="359" s="1"/>
  <c r="G34" i="359"/>
  <c r="G96" i="359" s="1"/>
  <c r="F96" i="359"/>
  <c r="C34" i="359"/>
  <c r="B34" i="359"/>
  <c r="AH33" i="359"/>
  <c r="AG33" i="359"/>
  <c r="AF33" i="359"/>
  <c r="AI32" i="359"/>
  <c r="AC31" i="359"/>
  <c r="AC93" i="359" s="1"/>
  <c r="AB31" i="359"/>
  <c r="AB93" i="359" s="1"/>
  <c r="AA31" i="359"/>
  <c r="AA93" i="359" s="1"/>
  <c r="Z31" i="359"/>
  <c r="Z93" i="359" s="1"/>
  <c r="Y31" i="359"/>
  <c r="Y93" i="359" s="1"/>
  <c r="X31" i="359"/>
  <c r="W31" i="359"/>
  <c r="V31" i="359"/>
  <c r="V93" i="359" s="1"/>
  <c r="U31" i="359"/>
  <c r="U93" i="359" s="1"/>
  <c r="T31" i="359"/>
  <c r="T93" i="359" s="1"/>
  <c r="S31" i="359"/>
  <c r="S93" i="359" s="1"/>
  <c r="R31" i="359"/>
  <c r="R93" i="359" s="1"/>
  <c r="Q31" i="359"/>
  <c r="Q93" i="359" s="1"/>
  <c r="P31" i="359"/>
  <c r="P93" i="359" s="1"/>
  <c r="O31" i="359"/>
  <c r="N31" i="359"/>
  <c r="M31" i="359"/>
  <c r="M93" i="359" s="1"/>
  <c r="L31" i="359"/>
  <c r="L93" i="359" s="1"/>
  <c r="K31" i="359"/>
  <c r="K93" i="359" s="1"/>
  <c r="J31" i="359"/>
  <c r="J93" i="359" s="1"/>
  <c r="I31" i="359"/>
  <c r="I93" i="359" s="1"/>
  <c r="G31" i="359"/>
  <c r="G93" i="359" s="1"/>
  <c r="C31" i="359"/>
  <c r="B31" i="359"/>
  <c r="AI28" i="359"/>
  <c r="AH28" i="359"/>
  <c r="AG28" i="359"/>
  <c r="AF28" i="359"/>
  <c r="AH27" i="359"/>
  <c r="AG27" i="359"/>
  <c r="AF27" i="359"/>
  <c r="AI26" i="359"/>
  <c r="AC25" i="359"/>
  <c r="AB25" i="359"/>
  <c r="AA25" i="359"/>
  <c r="Z25" i="359"/>
  <c r="Z89" i="359" s="1"/>
  <c r="Y25" i="359"/>
  <c r="X25" i="359"/>
  <c r="W25" i="359"/>
  <c r="V25" i="359"/>
  <c r="U25" i="359"/>
  <c r="T25" i="359"/>
  <c r="S25" i="359"/>
  <c r="R25" i="359"/>
  <c r="Q25" i="359"/>
  <c r="P25" i="359"/>
  <c r="O25" i="359"/>
  <c r="N25" i="359"/>
  <c r="M25" i="359"/>
  <c r="L25" i="359"/>
  <c r="K25" i="359"/>
  <c r="J25" i="359"/>
  <c r="I25" i="359"/>
  <c r="H25" i="359"/>
  <c r="G25" i="359"/>
  <c r="C25" i="359"/>
  <c r="AH24" i="359"/>
  <c r="AG24" i="359"/>
  <c r="AF24" i="359"/>
  <c r="AI23" i="359"/>
  <c r="AC22" i="359"/>
  <c r="AB22" i="359"/>
  <c r="AA22" i="359"/>
  <c r="Z22" i="359"/>
  <c r="Y22" i="359"/>
  <c r="X22" i="359"/>
  <c r="W22" i="359"/>
  <c r="V22" i="359"/>
  <c r="U22" i="359"/>
  <c r="U89" i="359" s="1"/>
  <c r="T22" i="359"/>
  <c r="S22" i="359"/>
  <c r="S89" i="359" s="1"/>
  <c r="R22" i="359"/>
  <c r="R89" i="359" s="1"/>
  <c r="Q22" i="359"/>
  <c r="P22" i="359"/>
  <c r="O22" i="359"/>
  <c r="N22" i="359"/>
  <c r="M22" i="359"/>
  <c r="L22" i="359"/>
  <c r="K22" i="359"/>
  <c r="J22" i="359"/>
  <c r="I22" i="359"/>
  <c r="H22" i="359"/>
  <c r="G22" i="359"/>
  <c r="G89" i="359" s="1"/>
  <c r="C22" i="359"/>
  <c r="B22" i="359"/>
  <c r="AH21" i="359"/>
  <c r="AG21" i="359"/>
  <c r="AF21" i="359"/>
  <c r="AH20" i="359"/>
  <c r="AG20" i="359"/>
  <c r="AF20" i="359"/>
  <c r="AH19" i="359"/>
  <c r="AG19" i="359"/>
  <c r="AF19" i="359"/>
  <c r="AI18" i="359"/>
  <c r="AC17" i="359"/>
  <c r="AB17" i="359"/>
  <c r="AA17" i="359"/>
  <c r="Z17" i="359"/>
  <c r="Y17" i="359"/>
  <c r="X17" i="359"/>
  <c r="W17" i="359"/>
  <c r="V17" i="359"/>
  <c r="V91" i="359" s="1"/>
  <c r="U17" i="359"/>
  <c r="U91" i="359" s="1"/>
  <c r="T17" i="359"/>
  <c r="T91" i="359" s="1"/>
  <c r="S17" i="359"/>
  <c r="S91" i="359" s="1"/>
  <c r="R17" i="359"/>
  <c r="Q17" i="359"/>
  <c r="P17" i="359"/>
  <c r="O17" i="359"/>
  <c r="O91" i="359" s="1"/>
  <c r="N17" i="359"/>
  <c r="N91" i="359" s="1"/>
  <c r="M17" i="359"/>
  <c r="M91" i="359" s="1"/>
  <c r="L17" i="359"/>
  <c r="L91" i="359" s="1"/>
  <c r="K17" i="359"/>
  <c r="K91" i="359" s="1"/>
  <c r="J17" i="359"/>
  <c r="J91" i="359" s="1"/>
  <c r="I17" i="359"/>
  <c r="H17" i="359"/>
  <c r="G17" i="359"/>
  <c r="G91" i="359" s="1"/>
  <c r="C17" i="359"/>
  <c r="C83" i="359" s="1"/>
  <c r="B17" i="359"/>
  <c r="AH16" i="359"/>
  <c r="AG16" i="359"/>
  <c r="AF16" i="359"/>
  <c r="AH15" i="359"/>
  <c r="AG15" i="359"/>
  <c r="AF15" i="359"/>
  <c r="AH14" i="359"/>
  <c r="AG14" i="359"/>
  <c r="AF14" i="359"/>
  <c r="AH13" i="359"/>
  <c r="AG13" i="359"/>
  <c r="AF13" i="359"/>
  <c r="AI12" i="359"/>
  <c r="M9" i="359" a="1"/>
  <c r="M9" i="359" s="1"/>
  <c r="F281" i="88"/>
  <c r="AE202" i="260"/>
  <c r="W202" i="260"/>
  <c r="W201" i="260"/>
  <c r="AA63" i="358"/>
  <c r="AA62" i="358"/>
  <c r="F317" i="88"/>
  <c r="F314" i="88"/>
  <c r="W200" i="260"/>
  <c r="Z64" i="358"/>
  <c r="Z63" i="358"/>
  <c r="Z62" i="358"/>
  <c r="F305" i="88"/>
  <c r="W199" i="260"/>
  <c r="Y63" i="358"/>
  <c r="Y62" i="358"/>
  <c r="W198" i="260"/>
  <c r="F282" i="88"/>
  <c r="F286" i="88"/>
  <c r="X64" i="358"/>
  <c r="X62" i="358"/>
  <c r="F313" i="88"/>
  <c r="F276" i="88"/>
  <c r="W197" i="260"/>
  <c r="W64" i="358"/>
  <c r="W62" i="358"/>
  <c r="F311" i="88"/>
  <c r="F310" i="88"/>
  <c r="F312" i="88"/>
  <c r="W196" i="260"/>
  <c r="V64" i="358"/>
  <c r="V62" i="358"/>
  <c r="V65" i="358" s="1"/>
  <c r="V99" i="358" s="1"/>
  <c r="V56" i="358"/>
  <c r="V51" i="358"/>
  <c r="V48" i="358"/>
  <c r="V47" i="358"/>
  <c r="W65" i="358"/>
  <c r="W99" i="358" s="1"/>
  <c r="V60" i="358"/>
  <c r="V98" i="358" s="1"/>
  <c r="U60" i="358"/>
  <c r="W195" i="260"/>
  <c r="U64" i="358"/>
  <c r="U62" i="358"/>
  <c r="U56" i="358"/>
  <c r="U54" i="358"/>
  <c r="U53" i="358"/>
  <c r="U52" i="358"/>
  <c r="U51" i="358"/>
  <c r="U48" i="358"/>
  <c r="U47" i="358"/>
  <c r="W194" i="260"/>
  <c r="F309" i="88"/>
  <c r="T64" i="358"/>
  <c r="T62" i="358"/>
  <c r="T56" i="358"/>
  <c r="T48" i="358"/>
  <c r="T47" i="358"/>
  <c r="AE193" i="260"/>
  <c r="W193" i="260"/>
  <c r="S64" i="358"/>
  <c r="S62" i="358"/>
  <c r="T65" i="358"/>
  <c r="T99" i="358" s="1"/>
  <c r="F287" i="88"/>
  <c r="AE192" i="260"/>
  <c r="W192" i="260"/>
  <c r="R64" i="358"/>
  <c r="R62" i="358"/>
  <c r="F298" i="88"/>
  <c r="F299" i="88"/>
  <c r="F300" i="88"/>
  <c r="F301" i="88"/>
  <c r="F306" i="88"/>
  <c r="F296" i="88"/>
  <c r="F303" i="88"/>
  <c r="AE191" i="260"/>
  <c r="Q64" i="358"/>
  <c r="Q62" i="358"/>
  <c r="F277" i="88"/>
  <c r="AE190" i="260"/>
  <c r="AE189" i="260"/>
  <c r="F295" i="88"/>
  <c r="F294" i="88"/>
  <c r="F291" i="88"/>
  <c r="F290" i="88"/>
  <c r="F285" i="88"/>
  <c r="W188" i="260"/>
  <c r="N63" i="358"/>
  <c r="N64" i="358" s="1"/>
  <c r="F289" i="88"/>
  <c r="F288" i="88"/>
  <c r="AM580" i="79"/>
  <c r="AO580" i="79"/>
  <c r="AN580" i="79"/>
  <c r="W187" i="260"/>
  <c r="M64" i="358"/>
  <c r="M63" i="358"/>
  <c r="F269" i="88"/>
  <c r="F278" i="88"/>
  <c r="W186" i="260"/>
  <c r="L63" i="358"/>
  <c r="L64" i="358" s="1"/>
  <c r="L65" i="358" s="1"/>
  <c r="L99" i="358" s="1"/>
  <c r="F210" i="88"/>
  <c r="F284" i="88"/>
  <c r="F274" i="88"/>
  <c r="F263" i="88"/>
  <c r="F257" i="88"/>
  <c r="F76" i="358"/>
  <c r="F100" i="358" s="1"/>
  <c r="F65" i="358"/>
  <c r="F99" i="358" s="1"/>
  <c r="F60" i="358"/>
  <c r="F98" i="358" s="1"/>
  <c r="F34" i="358"/>
  <c r="F96" i="358" s="1"/>
  <c r="F31" i="358"/>
  <c r="F93" i="358" s="1"/>
  <c r="F25" i="358"/>
  <c r="F22" i="358"/>
  <c r="F17" i="358"/>
  <c r="F91" i="358" s="1"/>
  <c r="F254" i="88"/>
  <c r="AC107" i="358"/>
  <c r="AB107" i="358"/>
  <c r="AA107" i="358"/>
  <c r="Z107" i="358"/>
  <c r="Y107" i="358"/>
  <c r="X107" i="358"/>
  <c r="W107" i="358"/>
  <c r="V107" i="358"/>
  <c r="U107" i="358"/>
  <c r="T107" i="358"/>
  <c r="S107" i="358"/>
  <c r="R107" i="358"/>
  <c r="Q107" i="358"/>
  <c r="P107" i="358"/>
  <c r="O107" i="358"/>
  <c r="N107" i="358"/>
  <c r="M107" i="358"/>
  <c r="L107" i="358"/>
  <c r="K107" i="358"/>
  <c r="J107" i="358"/>
  <c r="I107" i="358"/>
  <c r="H107" i="358"/>
  <c r="G107" i="358"/>
  <c r="F107" i="358"/>
  <c r="AC102" i="358"/>
  <c r="AB102" i="358"/>
  <c r="AA102" i="358"/>
  <c r="Z102" i="358"/>
  <c r="Y102" i="358"/>
  <c r="X102" i="358"/>
  <c r="W102" i="358"/>
  <c r="V102" i="358"/>
  <c r="U102" i="358"/>
  <c r="T102" i="358"/>
  <c r="S102" i="358"/>
  <c r="R102" i="358"/>
  <c r="Q102" i="358"/>
  <c r="P102" i="358"/>
  <c r="O102" i="358"/>
  <c r="N102" i="358"/>
  <c r="M102" i="358"/>
  <c r="L102" i="358"/>
  <c r="K102" i="358"/>
  <c r="J102" i="358"/>
  <c r="I102" i="358"/>
  <c r="H102" i="358"/>
  <c r="G102" i="358"/>
  <c r="F102" i="358"/>
  <c r="H93" i="358"/>
  <c r="Y91" i="358"/>
  <c r="AC80" i="358"/>
  <c r="AC101" i="358" s="1"/>
  <c r="AB80" i="358"/>
  <c r="AB101" i="358" s="1"/>
  <c r="AA80" i="358"/>
  <c r="AA101" i="358" s="1"/>
  <c r="Z80" i="358"/>
  <c r="Z101" i="358" s="1"/>
  <c r="Y80" i="358"/>
  <c r="Y101" i="358" s="1"/>
  <c r="X80" i="358"/>
  <c r="X101" i="358" s="1"/>
  <c r="W80" i="358"/>
  <c r="W101" i="358" s="1"/>
  <c r="V80" i="358"/>
  <c r="V101" i="358" s="1"/>
  <c r="U80" i="358"/>
  <c r="U101" i="358" s="1"/>
  <c r="T80" i="358"/>
  <c r="T101" i="358" s="1"/>
  <c r="S80" i="358"/>
  <c r="S101" i="358" s="1"/>
  <c r="R80" i="358"/>
  <c r="R101" i="358" s="1"/>
  <c r="Q80" i="358"/>
  <c r="Q101" i="358" s="1"/>
  <c r="P80" i="358"/>
  <c r="P101" i="358" s="1"/>
  <c r="O80" i="358"/>
  <c r="O101" i="358" s="1"/>
  <c r="N80" i="358"/>
  <c r="N101" i="358" s="1"/>
  <c r="M80" i="358"/>
  <c r="M101" i="358" s="1"/>
  <c r="L80" i="358"/>
  <c r="L101" i="358" s="1"/>
  <c r="K80" i="358"/>
  <c r="K101" i="358" s="1"/>
  <c r="J80" i="358"/>
  <c r="J101" i="358" s="1"/>
  <c r="I80" i="358"/>
  <c r="I101" i="358" s="1"/>
  <c r="H80" i="358"/>
  <c r="H101" i="358" s="1"/>
  <c r="G80" i="358"/>
  <c r="G101" i="358" s="1"/>
  <c r="F80" i="358"/>
  <c r="F101" i="358" s="1"/>
  <c r="C80" i="358"/>
  <c r="AH79" i="358"/>
  <c r="AG79" i="358"/>
  <c r="AF79" i="358"/>
  <c r="AH78" i="358"/>
  <c r="AG78" i="358"/>
  <c r="AF78" i="358"/>
  <c r="AI77" i="358"/>
  <c r="AC76" i="358"/>
  <c r="AC100" i="358" s="1"/>
  <c r="AB76" i="358"/>
  <c r="AB100" i="358" s="1"/>
  <c r="AA76" i="358"/>
  <c r="AA100" i="358" s="1"/>
  <c r="Z76" i="358"/>
  <c r="Z100" i="358" s="1"/>
  <c r="Y76" i="358"/>
  <c r="Y100" i="358" s="1"/>
  <c r="X76" i="358"/>
  <c r="X100" i="358" s="1"/>
  <c r="W76" i="358"/>
  <c r="W100" i="358" s="1"/>
  <c r="V76" i="358"/>
  <c r="V100" i="358" s="1"/>
  <c r="U76" i="358"/>
  <c r="U100" i="358" s="1"/>
  <c r="T76" i="358"/>
  <c r="T100" i="358" s="1"/>
  <c r="S76" i="358"/>
  <c r="S100" i="358" s="1"/>
  <c r="R76" i="358"/>
  <c r="R100" i="358" s="1"/>
  <c r="Q76" i="358"/>
  <c r="Q100" i="358" s="1"/>
  <c r="P76" i="358"/>
  <c r="P100" i="358" s="1"/>
  <c r="O76" i="358"/>
  <c r="O100" i="358" s="1"/>
  <c r="N76" i="358"/>
  <c r="N100" i="358" s="1"/>
  <c r="M76" i="358"/>
  <c r="M100" i="358" s="1"/>
  <c r="L76" i="358"/>
  <c r="L100" i="358" s="1"/>
  <c r="K76" i="358"/>
  <c r="K100" i="358" s="1"/>
  <c r="J76" i="358"/>
  <c r="J100" i="358" s="1"/>
  <c r="I76" i="358"/>
  <c r="I100" i="358" s="1"/>
  <c r="H76" i="358"/>
  <c r="H100" i="358" s="1"/>
  <c r="G76" i="358"/>
  <c r="G100" i="358" s="1"/>
  <c r="C76" i="358"/>
  <c r="B76" i="358"/>
  <c r="B80" i="358" s="1"/>
  <c r="B25" i="358" s="1"/>
  <c r="AH75" i="358"/>
  <c r="AG75" i="358"/>
  <c r="AF75" i="358"/>
  <c r="AH74" i="358"/>
  <c r="AG74" i="358"/>
  <c r="AF74" i="358"/>
  <c r="AH73" i="358"/>
  <c r="AG73" i="358"/>
  <c r="AF73" i="358"/>
  <c r="AH72" i="358"/>
  <c r="AG72" i="358"/>
  <c r="AF72" i="358"/>
  <c r="AH71" i="358"/>
  <c r="AG71" i="358"/>
  <c r="AF71" i="358"/>
  <c r="AH70" i="358"/>
  <c r="AG70" i="358"/>
  <c r="AF70" i="358"/>
  <c r="AH69" i="358"/>
  <c r="AG69" i="358"/>
  <c r="AF69" i="358"/>
  <c r="AH68" i="358"/>
  <c r="AG68" i="358"/>
  <c r="AF68" i="358"/>
  <c r="AH67" i="358"/>
  <c r="AG67" i="358"/>
  <c r="AF67" i="358"/>
  <c r="AI66" i="358"/>
  <c r="AC65" i="358"/>
  <c r="AC99" i="358" s="1"/>
  <c r="AB65" i="358"/>
  <c r="AB99" i="358" s="1"/>
  <c r="U65" i="358"/>
  <c r="U99" i="358" s="1"/>
  <c r="P65" i="358"/>
  <c r="P99" i="358" s="1"/>
  <c r="O65" i="358"/>
  <c r="O99" i="358" s="1"/>
  <c r="K65" i="358"/>
  <c r="K99" i="358" s="1"/>
  <c r="J65" i="358"/>
  <c r="J99" i="358" s="1"/>
  <c r="I65" i="358"/>
  <c r="I99" i="358" s="1"/>
  <c r="H65" i="358"/>
  <c r="H99" i="358" s="1"/>
  <c r="G65" i="358"/>
  <c r="G99" i="358" s="1"/>
  <c r="C65" i="358"/>
  <c r="X65" i="358"/>
  <c r="X99" i="358" s="1"/>
  <c r="AA65" i="358"/>
  <c r="Z65" i="358"/>
  <c r="Z99" i="358" s="1"/>
  <c r="Y65" i="358"/>
  <c r="Y99" i="358" s="1"/>
  <c r="R65" i="358"/>
  <c r="R99" i="358" s="1"/>
  <c r="Q65" i="358"/>
  <c r="Q99" i="358" s="1"/>
  <c r="S65" i="358"/>
  <c r="S99" i="358" s="1"/>
  <c r="AC60" i="358"/>
  <c r="AC98" i="358" s="1"/>
  <c r="AB60" i="358"/>
  <c r="AB98" i="358" s="1"/>
  <c r="AA60" i="358"/>
  <c r="AA98" i="358" s="1"/>
  <c r="Z60" i="358"/>
  <c r="Z98" i="358" s="1"/>
  <c r="Y60" i="358"/>
  <c r="Y98" i="358" s="1"/>
  <c r="X60" i="358"/>
  <c r="X98" i="358" s="1"/>
  <c r="W60" i="358"/>
  <c r="W98" i="358" s="1"/>
  <c r="U98" i="358"/>
  <c r="T60" i="358"/>
  <c r="T98" i="358" s="1"/>
  <c r="S60" i="358"/>
  <c r="S98" i="358" s="1"/>
  <c r="Q60" i="358"/>
  <c r="Q98" i="358" s="1"/>
  <c r="P60" i="358"/>
  <c r="P98" i="358" s="1"/>
  <c r="O60" i="358"/>
  <c r="O98" i="358" s="1"/>
  <c r="N60" i="358"/>
  <c r="N98" i="358" s="1"/>
  <c r="M60" i="358"/>
  <c r="M98" i="358" s="1"/>
  <c r="L60" i="358"/>
  <c r="L98" i="358" s="1"/>
  <c r="K60" i="358"/>
  <c r="K98" i="358" s="1"/>
  <c r="J60" i="358"/>
  <c r="J98" i="358" s="1"/>
  <c r="I60" i="358"/>
  <c r="I98" i="358" s="1"/>
  <c r="H60" i="358"/>
  <c r="H98" i="358" s="1"/>
  <c r="G60" i="358"/>
  <c r="G98" i="358" s="1"/>
  <c r="C60" i="358"/>
  <c r="B60" i="358"/>
  <c r="B65" i="358" s="1"/>
  <c r="AH59" i="358"/>
  <c r="AG59" i="358"/>
  <c r="AF59" i="358"/>
  <c r="AH58" i="358"/>
  <c r="AG58" i="358"/>
  <c r="AF58" i="358"/>
  <c r="AH57" i="358"/>
  <c r="AG57" i="358"/>
  <c r="AF57" i="358"/>
  <c r="AH56" i="358"/>
  <c r="AH51" i="358"/>
  <c r="AG51" i="358"/>
  <c r="AH50" i="358"/>
  <c r="AG50" i="358"/>
  <c r="AF50" i="358"/>
  <c r="AH49" i="358"/>
  <c r="AG49" i="358"/>
  <c r="AF49" i="358"/>
  <c r="AG48" i="358"/>
  <c r="AF47" i="358"/>
  <c r="AH47" i="358"/>
  <c r="AH46" i="358"/>
  <c r="AG46" i="358"/>
  <c r="AF46" i="358"/>
  <c r="AH45" i="358"/>
  <c r="AG45" i="358"/>
  <c r="AF45" i="358"/>
  <c r="AH44" i="358"/>
  <c r="AG44" i="358"/>
  <c r="AF44" i="358"/>
  <c r="AH43" i="358"/>
  <c r="AG43" i="358"/>
  <c r="AF43" i="358"/>
  <c r="AH42" i="358"/>
  <c r="AG42" i="358"/>
  <c r="AF42" i="358"/>
  <c r="AH41" i="358"/>
  <c r="AG41" i="358"/>
  <c r="AF41" i="358"/>
  <c r="AH40" i="358"/>
  <c r="AG40" i="358"/>
  <c r="AF40" i="358"/>
  <c r="AH39" i="358"/>
  <c r="AG39" i="358"/>
  <c r="AF39" i="358"/>
  <c r="AH38" i="358"/>
  <c r="AG38" i="358"/>
  <c r="AF38" i="358"/>
  <c r="AH37" i="358"/>
  <c r="AG37" i="358"/>
  <c r="AF37" i="358"/>
  <c r="AH36" i="358"/>
  <c r="AG36" i="358"/>
  <c r="AF36" i="358"/>
  <c r="AI35" i="358"/>
  <c r="AC34" i="358"/>
  <c r="AC96" i="358" s="1"/>
  <c r="AB34" i="358"/>
  <c r="AB96" i="358" s="1"/>
  <c r="AA34" i="358"/>
  <c r="AA96" i="358" s="1"/>
  <c r="Z34" i="358"/>
  <c r="Z96" i="358" s="1"/>
  <c r="Y34" i="358"/>
  <c r="Y96" i="358" s="1"/>
  <c r="X34" i="358"/>
  <c r="X96" i="358" s="1"/>
  <c r="W34" i="358"/>
  <c r="W96" i="358" s="1"/>
  <c r="V34" i="358"/>
  <c r="V96" i="358" s="1"/>
  <c r="U34" i="358"/>
  <c r="U96" i="358" s="1"/>
  <c r="T34" i="358"/>
  <c r="T96" i="358" s="1"/>
  <c r="S34" i="358"/>
  <c r="S96" i="358" s="1"/>
  <c r="R34" i="358"/>
  <c r="R96" i="358" s="1"/>
  <c r="Q34" i="358"/>
  <c r="Q96" i="358" s="1"/>
  <c r="P34" i="358"/>
  <c r="P96" i="358" s="1"/>
  <c r="O34" i="358"/>
  <c r="O96" i="358" s="1"/>
  <c r="N34" i="358"/>
  <c r="N96" i="358" s="1"/>
  <c r="M34" i="358"/>
  <c r="M96" i="358" s="1"/>
  <c r="L34" i="358"/>
  <c r="L96" i="358" s="1"/>
  <c r="K34" i="358"/>
  <c r="K96" i="358" s="1"/>
  <c r="J34" i="358"/>
  <c r="J96" i="358" s="1"/>
  <c r="I34" i="358"/>
  <c r="I96" i="358" s="1"/>
  <c r="H34" i="358"/>
  <c r="H96" i="358" s="1"/>
  <c r="G34" i="358"/>
  <c r="G96" i="358" s="1"/>
  <c r="C34" i="358"/>
  <c r="B34" i="358"/>
  <c r="AH33" i="358"/>
  <c r="AG33" i="358"/>
  <c r="AF33" i="358"/>
  <c r="AI32" i="358"/>
  <c r="AC31" i="358"/>
  <c r="AC93" i="358" s="1"/>
  <c r="AB31" i="358"/>
  <c r="AB93" i="358" s="1"/>
  <c r="AA31" i="358"/>
  <c r="AA93" i="358" s="1"/>
  <c r="Z31" i="358"/>
  <c r="Z93" i="358" s="1"/>
  <c r="Y31" i="358"/>
  <c r="Y93" i="358" s="1"/>
  <c r="X31" i="358"/>
  <c r="X93" i="358" s="1"/>
  <c r="W31" i="358"/>
  <c r="W93" i="358" s="1"/>
  <c r="V31" i="358"/>
  <c r="V93" i="358" s="1"/>
  <c r="U31" i="358"/>
  <c r="U93" i="358" s="1"/>
  <c r="T31" i="358"/>
  <c r="T93" i="358" s="1"/>
  <c r="S31" i="358"/>
  <c r="S93" i="358" s="1"/>
  <c r="R31" i="358"/>
  <c r="R93" i="358" s="1"/>
  <c r="Q31" i="358"/>
  <c r="Q93" i="358" s="1"/>
  <c r="P31" i="358"/>
  <c r="P93" i="358" s="1"/>
  <c r="O31" i="358"/>
  <c r="O93" i="358" s="1"/>
  <c r="N31" i="358"/>
  <c r="N93" i="358" s="1"/>
  <c r="M31" i="358"/>
  <c r="M93" i="358" s="1"/>
  <c r="L31" i="358"/>
  <c r="L93" i="358" s="1"/>
  <c r="K31" i="358"/>
  <c r="K93" i="358" s="1"/>
  <c r="J31" i="358"/>
  <c r="J93" i="358" s="1"/>
  <c r="I31" i="358"/>
  <c r="I93" i="358" s="1"/>
  <c r="G31" i="358"/>
  <c r="G93" i="358" s="1"/>
  <c r="C31" i="358"/>
  <c r="B31" i="358"/>
  <c r="AI28" i="358"/>
  <c r="AH28" i="358"/>
  <c r="AG28" i="358"/>
  <c r="AF28" i="358"/>
  <c r="AH27" i="358"/>
  <c r="AG27" i="358"/>
  <c r="AF27" i="358"/>
  <c r="AI26" i="358"/>
  <c r="AC25" i="358"/>
  <c r="AB25" i="358"/>
  <c r="AA25" i="358"/>
  <c r="Z25" i="358"/>
  <c r="Y25" i="358"/>
  <c r="X25" i="358"/>
  <c r="W25" i="358"/>
  <c r="V25" i="358"/>
  <c r="U25" i="358"/>
  <c r="T25" i="358"/>
  <c r="S25" i="358"/>
  <c r="R25" i="358"/>
  <c r="Q25" i="358"/>
  <c r="P25" i="358"/>
  <c r="O25" i="358"/>
  <c r="N25" i="358"/>
  <c r="M25" i="358"/>
  <c r="L25" i="358"/>
  <c r="K25" i="358"/>
  <c r="J25" i="358"/>
  <c r="I25" i="358"/>
  <c r="H25" i="358"/>
  <c r="G25" i="358"/>
  <c r="C25" i="358"/>
  <c r="AH24" i="358"/>
  <c r="AG24" i="358"/>
  <c r="AF24" i="358"/>
  <c r="AI23" i="358"/>
  <c r="AC22" i="358"/>
  <c r="AB22" i="358"/>
  <c r="AA22" i="358"/>
  <c r="Z22" i="358"/>
  <c r="Y22" i="358"/>
  <c r="X22" i="358"/>
  <c r="W22" i="358"/>
  <c r="V22" i="358"/>
  <c r="U22" i="358"/>
  <c r="T22" i="358"/>
  <c r="S22" i="358"/>
  <c r="R22" i="358"/>
  <c r="Q22" i="358"/>
  <c r="P22" i="358"/>
  <c r="O22" i="358"/>
  <c r="N22" i="358"/>
  <c r="M22" i="358"/>
  <c r="L22" i="358"/>
  <c r="K22" i="358"/>
  <c r="J22" i="358"/>
  <c r="I22" i="358"/>
  <c r="H22" i="358"/>
  <c r="G22" i="358"/>
  <c r="C22" i="358"/>
  <c r="B22" i="358"/>
  <c r="AH21" i="358"/>
  <c r="AG21" i="358"/>
  <c r="AF21" i="358"/>
  <c r="AH20" i="358"/>
  <c r="AG20" i="358"/>
  <c r="AF20" i="358"/>
  <c r="AH19" i="358"/>
  <c r="AG19" i="358"/>
  <c r="AF19" i="358"/>
  <c r="AI18" i="358"/>
  <c r="AC17" i="358"/>
  <c r="AC91" i="358" s="1"/>
  <c r="AB17" i="358"/>
  <c r="AB91" i="358" s="1"/>
  <c r="AA17" i="358"/>
  <c r="AA91" i="358" s="1"/>
  <c r="Z17" i="358"/>
  <c r="Z91" i="358" s="1"/>
  <c r="Y17" i="358"/>
  <c r="X17" i="358"/>
  <c r="W17" i="358"/>
  <c r="W91" i="358" s="1"/>
  <c r="V17" i="358"/>
  <c r="U17" i="358"/>
  <c r="U91" i="358" s="1"/>
  <c r="T17" i="358"/>
  <c r="T91" i="358" s="1"/>
  <c r="S17" i="358"/>
  <c r="S91" i="358" s="1"/>
  <c r="R17" i="358"/>
  <c r="R91" i="358" s="1"/>
  <c r="Q17" i="358"/>
  <c r="Q91" i="358" s="1"/>
  <c r="P17" i="358"/>
  <c r="P91" i="358" s="1"/>
  <c r="O17" i="358"/>
  <c r="N17" i="358"/>
  <c r="N91" i="358" s="1"/>
  <c r="M17" i="358"/>
  <c r="M91" i="358" s="1"/>
  <c r="L17" i="358"/>
  <c r="K17" i="358"/>
  <c r="J17" i="358"/>
  <c r="I17" i="358"/>
  <c r="I91" i="358" s="1"/>
  <c r="H17" i="358"/>
  <c r="H91" i="358" s="1"/>
  <c r="G17" i="358"/>
  <c r="G91" i="358" s="1"/>
  <c r="C17" i="358"/>
  <c r="B17" i="358"/>
  <c r="AH16" i="358"/>
  <c r="AG16" i="358"/>
  <c r="AF16" i="358"/>
  <c r="AH15" i="358"/>
  <c r="AG15" i="358"/>
  <c r="AF15" i="358"/>
  <c r="AH14" i="358"/>
  <c r="AG14" i="358"/>
  <c r="AF14" i="358"/>
  <c r="AH13" i="358"/>
  <c r="AG13" i="358"/>
  <c r="AF13" i="358"/>
  <c r="AI12" i="358"/>
  <c r="M9" i="358" a="1"/>
  <c r="M9" i="358" s="1"/>
  <c r="AE177" i="260"/>
  <c r="F265" i="88"/>
  <c r="AE176" i="260"/>
  <c r="AA63" i="357"/>
  <c r="AA62" i="357"/>
  <c r="F255" i="88"/>
  <c r="W175" i="260"/>
  <c r="Z63" i="357"/>
  <c r="Z62" i="357"/>
  <c r="AG62" i="357" s="1"/>
  <c r="F280" i="88"/>
  <c r="F279" i="88"/>
  <c r="W174" i="260"/>
  <c r="Y63" i="357"/>
  <c r="Y62" i="357"/>
  <c r="F271" i="88"/>
  <c r="F258" i="88"/>
  <c r="F261" i="88"/>
  <c r="W173" i="260"/>
  <c r="X64" i="357"/>
  <c r="X65" i="357" s="1"/>
  <c r="X99" i="357" s="1"/>
  <c r="X62" i="357"/>
  <c r="W172" i="260"/>
  <c r="W64" i="357"/>
  <c r="W62" i="357"/>
  <c r="W171" i="260"/>
  <c r="W170" i="260"/>
  <c r="V64" i="357"/>
  <c r="V62" i="357"/>
  <c r="AH62" i="357" s="1"/>
  <c r="F275" i="88"/>
  <c r="U64" i="357"/>
  <c r="U62" i="357"/>
  <c r="F273" i="88"/>
  <c r="W169" i="260"/>
  <c r="F267" i="88"/>
  <c r="T64" i="357"/>
  <c r="T62" i="357"/>
  <c r="F3" i="88"/>
  <c r="AE168" i="260"/>
  <c r="W168" i="260"/>
  <c r="S64" i="357"/>
  <c r="S62" i="357"/>
  <c r="F268" i="88"/>
  <c r="F264" i="88"/>
  <c r="F270" i="88"/>
  <c r="F272" i="88"/>
  <c r="F243" i="88"/>
  <c r="F266" i="88"/>
  <c r="F262" i="88"/>
  <c r="AE167" i="260"/>
  <c r="AA167" i="260"/>
  <c r="W167" i="260"/>
  <c r="R64" i="357"/>
  <c r="R63" i="357"/>
  <c r="R56" i="357"/>
  <c r="R51" i="357"/>
  <c r="R48" i="357"/>
  <c r="R47" i="357"/>
  <c r="F256" i="88"/>
  <c r="AE166" i="260"/>
  <c r="AA166" i="260"/>
  <c r="W166" i="260"/>
  <c r="Q64" i="357"/>
  <c r="Q63" i="357"/>
  <c r="F259" i="88"/>
  <c r="F212" i="88"/>
  <c r="F260" i="88"/>
  <c r="F253" i="88"/>
  <c r="F252" i="88"/>
  <c r="F248" i="88"/>
  <c r="F247" i="88"/>
  <c r="AE163" i="260"/>
  <c r="F236" i="88"/>
  <c r="F237" i="88"/>
  <c r="F245" i="88"/>
  <c r="F251" i="88"/>
  <c r="N63" i="357"/>
  <c r="N64" i="357"/>
  <c r="M64" i="357"/>
  <c r="M63" i="357"/>
  <c r="F250" i="88"/>
  <c r="F249" i="88"/>
  <c r="L64" i="357"/>
  <c r="L63" i="357"/>
  <c r="F225" i="88"/>
  <c r="F244" i="88"/>
  <c r="F246" i="88"/>
  <c r="F224" i="88"/>
  <c r="F76" i="357"/>
  <c r="F100" i="357" s="1"/>
  <c r="F65" i="357"/>
  <c r="F99" i="357" s="1"/>
  <c r="F60" i="357"/>
  <c r="F98" i="357" s="1"/>
  <c r="F34" i="357"/>
  <c r="F31" i="357"/>
  <c r="F25" i="357"/>
  <c r="F22" i="357"/>
  <c r="F17" i="357"/>
  <c r="AC107" i="357"/>
  <c r="AB107" i="357"/>
  <c r="AA107" i="357"/>
  <c r="Z107" i="357"/>
  <c r="Y107" i="357"/>
  <c r="X107" i="357"/>
  <c r="W107" i="357"/>
  <c r="V107" i="357"/>
  <c r="U107" i="357"/>
  <c r="T107" i="357"/>
  <c r="S107" i="357"/>
  <c r="R107" i="357"/>
  <c r="Q107" i="357"/>
  <c r="P107" i="357"/>
  <c r="O107" i="357"/>
  <c r="N107" i="357"/>
  <c r="M107" i="357"/>
  <c r="L107" i="357"/>
  <c r="K107" i="357"/>
  <c r="J107" i="357"/>
  <c r="I107" i="357"/>
  <c r="H107" i="357"/>
  <c r="G107" i="357"/>
  <c r="F107" i="357"/>
  <c r="AC102" i="357"/>
  <c r="AB102" i="357"/>
  <c r="AA102" i="357"/>
  <c r="Z102" i="357"/>
  <c r="Y102" i="357"/>
  <c r="X102" i="357"/>
  <c r="W102" i="357"/>
  <c r="V102" i="357"/>
  <c r="U102" i="357"/>
  <c r="T102" i="357"/>
  <c r="S102" i="357"/>
  <c r="R102" i="357"/>
  <c r="Q102" i="357"/>
  <c r="P102" i="357"/>
  <c r="O102" i="357"/>
  <c r="N102" i="357"/>
  <c r="M102" i="357"/>
  <c r="L102" i="357"/>
  <c r="K102" i="357"/>
  <c r="J102" i="357"/>
  <c r="I102" i="357"/>
  <c r="H102" i="357"/>
  <c r="G102" i="357"/>
  <c r="F102" i="357"/>
  <c r="L101" i="357"/>
  <c r="I101" i="357"/>
  <c r="Y100" i="357"/>
  <c r="X100" i="357"/>
  <c r="W100" i="357"/>
  <c r="V100" i="357"/>
  <c r="U100" i="357"/>
  <c r="T100" i="357"/>
  <c r="S100" i="357"/>
  <c r="R100" i="357"/>
  <c r="O99" i="357"/>
  <c r="N99" i="357"/>
  <c r="N96" i="357"/>
  <c r="L96" i="357"/>
  <c r="K96" i="357"/>
  <c r="J96" i="357"/>
  <c r="H93" i="357"/>
  <c r="F91" i="357"/>
  <c r="AC80" i="357"/>
  <c r="AC101" i="357" s="1"/>
  <c r="AB80" i="357"/>
  <c r="AB101" i="357" s="1"/>
  <c r="AA80" i="357"/>
  <c r="AA101" i="357" s="1"/>
  <c r="Z80" i="357"/>
  <c r="Z101" i="357" s="1"/>
  <c r="Y80" i="357"/>
  <c r="Y101" i="357" s="1"/>
  <c r="X80" i="357"/>
  <c r="X101" i="357" s="1"/>
  <c r="W80" i="357"/>
  <c r="W101" i="357" s="1"/>
  <c r="V80" i="357"/>
  <c r="V101" i="357" s="1"/>
  <c r="U80" i="357"/>
  <c r="U101" i="357" s="1"/>
  <c r="T80" i="357"/>
  <c r="T101" i="357" s="1"/>
  <c r="S80" i="357"/>
  <c r="S101" i="357" s="1"/>
  <c r="R80" i="357"/>
  <c r="R101" i="357" s="1"/>
  <c r="Q80" i="357"/>
  <c r="Q101" i="357" s="1"/>
  <c r="P80" i="357"/>
  <c r="P101" i="357" s="1"/>
  <c r="O80" i="357"/>
  <c r="O101" i="357" s="1"/>
  <c r="N80" i="357"/>
  <c r="N101" i="357" s="1"/>
  <c r="M80" i="357"/>
  <c r="M101" i="357" s="1"/>
  <c r="L80" i="357"/>
  <c r="K80" i="357"/>
  <c r="K101" i="357" s="1"/>
  <c r="J80" i="357"/>
  <c r="J101" i="357" s="1"/>
  <c r="I80" i="357"/>
  <c r="H80" i="357"/>
  <c r="H101" i="357" s="1"/>
  <c r="G80" i="357"/>
  <c r="G101" i="357" s="1"/>
  <c r="F80" i="357"/>
  <c r="F101" i="357" s="1"/>
  <c r="C80" i="357"/>
  <c r="AH79" i="357"/>
  <c r="AG79" i="357"/>
  <c r="AF79" i="357"/>
  <c r="AH78" i="357"/>
  <c r="AG78" i="357"/>
  <c r="AF78" i="357"/>
  <c r="AI77" i="357"/>
  <c r="AC76" i="357"/>
  <c r="AC100" i="357" s="1"/>
  <c r="AB76" i="357"/>
  <c r="AB100" i="357" s="1"/>
  <c r="AA76" i="357"/>
  <c r="AA100" i="357" s="1"/>
  <c r="Z76" i="357"/>
  <c r="Z100" i="357" s="1"/>
  <c r="Y76" i="357"/>
  <c r="X76" i="357"/>
  <c r="W76" i="357"/>
  <c r="V76" i="357"/>
  <c r="U76" i="357"/>
  <c r="T76" i="357"/>
  <c r="S76" i="357"/>
  <c r="R76" i="357"/>
  <c r="Q76" i="357"/>
  <c r="Q100" i="357" s="1"/>
  <c r="P76" i="357"/>
  <c r="P100" i="357" s="1"/>
  <c r="O76" i="357"/>
  <c r="O100" i="357" s="1"/>
  <c r="N76" i="357"/>
  <c r="N100" i="357" s="1"/>
  <c r="M76" i="357"/>
  <c r="M100" i="357" s="1"/>
  <c r="L76" i="357"/>
  <c r="L100" i="357" s="1"/>
  <c r="K76" i="357"/>
  <c r="K100" i="357" s="1"/>
  <c r="J76" i="357"/>
  <c r="J100" i="357" s="1"/>
  <c r="I76" i="357"/>
  <c r="I100" i="357" s="1"/>
  <c r="H76" i="357"/>
  <c r="H100" i="357" s="1"/>
  <c r="G76" i="357"/>
  <c r="G100" i="357" s="1"/>
  <c r="C76" i="357"/>
  <c r="B76" i="357"/>
  <c r="B80" i="357" s="1"/>
  <c r="B25" i="357" s="1"/>
  <c r="AH75" i="357"/>
  <c r="AG75" i="357"/>
  <c r="AF75" i="357"/>
  <c r="AH74" i="357"/>
  <c r="AG74" i="357"/>
  <c r="AF74" i="357"/>
  <c r="AH73" i="357"/>
  <c r="AG73" i="357"/>
  <c r="AF73" i="357"/>
  <c r="AH72" i="357"/>
  <c r="AG72" i="357"/>
  <c r="AF72" i="357"/>
  <c r="AH71" i="357"/>
  <c r="AG71" i="357"/>
  <c r="AF71" i="357"/>
  <c r="AH70" i="357"/>
  <c r="AG70" i="357"/>
  <c r="AF70" i="357"/>
  <c r="AH69" i="357"/>
  <c r="AG69" i="357"/>
  <c r="AF69" i="357"/>
  <c r="AH68" i="357"/>
  <c r="AG68" i="357"/>
  <c r="AF68" i="357"/>
  <c r="AH67" i="357"/>
  <c r="AG67" i="357"/>
  <c r="AF67" i="357"/>
  <c r="AI66" i="357"/>
  <c r="AC65" i="357"/>
  <c r="AC99" i="357" s="1"/>
  <c r="AB65" i="357"/>
  <c r="AB99" i="357" s="1"/>
  <c r="Y65" i="357"/>
  <c r="Y99" i="357" s="1"/>
  <c r="W65" i="357"/>
  <c r="W99" i="357" s="1"/>
  <c r="V65" i="357"/>
  <c r="V99" i="357" s="1"/>
  <c r="U65" i="357"/>
  <c r="U99" i="357" s="1"/>
  <c r="T65" i="357"/>
  <c r="T99" i="357" s="1"/>
  <c r="P65" i="357"/>
  <c r="P99" i="357" s="1"/>
  <c r="O65" i="357"/>
  <c r="N65" i="357"/>
  <c r="M65" i="357"/>
  <c r="M99" i="357" s="1"/>
  <c r="J65" i="357"/>
  <c r="J99" i="357" s="1"/>
  <c r="I65" i="357"/>
  <c r="I99" i="357" s="1"/>
  <c r="H65" i="357"/>
  <c r="H99" i="357" s="1"/>
  <c r="G65" i="357"/>
  <c r="G99" i="357" s="1"/>
  <c r="C65" i="357"/>
  <c r="AA65" i="357"/>
  <c r="AA99" i="357" s="1"/>
  <c r="Z65" i="357"/>
  <c r="Z99" i="357" s="1"/>
  <c r="Q65" i="357"/>
  <c r="Q99" i="357" s="1"/>
  <c r="S65" i="357"/>
  <c r="S99" i="357" s="1"/>
  <c r="AC60" i="357"/>
  <c r="AC98" i="357" s="1"/>
  <c r="AB60" i="357"/>
  <c r="AB98" i="357" s="1"/>
  <c r="AA60" i="357"/>
  <c r="AA98" i="357" s="1"/>
  <c r="Z60" i="357"/>
  <c r="Z98" i="357" s="1"/>
  <c r="Y60" i="357"/>
  <c r="Y98" i="357" s="1"/>
  <c r="X60" i="357"/>
  <c r="X98" i="357" s="1"/>
  <c r="W60" i="357"/>
  <c r="W98" i="357" s="1"/>
  <c r="V60" i="357"/>
  <c r="V98" i="357" s="1"/>
  <c r="S60" i="357"/>
  <c r="S98" i="357" s="1"/>
  <c r="R60" i="357"/>
  <c r="R98" i="357" s="1"/>
  <c r="Q60" i="357"/>
  <c r="Q98" i="357" s="1"/>
  <c r="P60" i="357"/>
  <c r="P98" i="357" s="1"/>
  <c r="O60" i="357"/>
  <c r="O98" i="357" s="1"/>
  <c r="N60" i="357"/>
  <c r="N98" i="357" s="1"/>
  <c r="M60" i="357"/>
  <c r="M98" i="357" s="1"/>
  <c r="L60" i="357"/>
  <c r="L98" i="357" s="1"/>
  <c r="K60" i="357"/>
  <c r="K98" i="357" s="1"/>
  <c r="J60" i="357"/>
  <c r="J98" i="357" s="1"/>
  <c r="I60" i="357"/>
  <c r="I98" i="357" s="1"/>
  <c r="H60" i="357"/>
  <c r="H98" i="357" s="1"/>
  <c r="G60" i="357"/>
  <c r="G98" i="357" s="1"/>
  <c r="C60" i="357"/>
  <c r="B60" i="357"/>
  <c r="B65" i="357" s="1"/>
  <c r="AH59" i="357"/>
  <c r="AG59" i="357"/>
  <c r="AF59" i="357"/>
  <c r="AH58" i="357"/>
  <c r="AG58" i="357"/>
  <c r="AF58" i="357"/>
  <c r="AH57" i="357"/>
  <c r="AG57" i="357"/>
  <c r="AF57" i="357"/>
  <c r="AH56" i="357"/>
  <c r="AH55" i="357"/>
  <c r="AG55" i="357"/>
  <c r="AF55" i="357"/>
  <c r="AH52" i="357"/>
  <c r="AG52" i="357"/>
  <c r="AF52" i="357"/>
  <c r="AH51" i="357"/>
  <c r="AG51" i="357"/>
  <c r="AF51" i="357"/>
  <c r="AH50" i="357"/>
  <c r="AH49" i="357"/>
  <c r="AG49" i="357"/>
  <c r="AF49" i="357"/>
  <c r="T60" i="357"/>
  <c r="T98" i="357" s="1"/>
  <c r="AH46" i="357"/>
  <c r="AG46" i="357"/>
  <c r="AF46" i="357"/>
  <c r="AH45" i="357"/>
  <c r="AG45" i="357"/>
  <c r="AF45" i="357"/>
  <c r="AH44" i="357"/>
  <c r="AG44" i="357"/>
  <c r="AF44" i="357"/>
  <c r="AH43" i="357"/>
  <c r="AG43" i="357"/>
  <c r="AF43" i="357"/>
  <c r="AH42" i="357"/>
  <c r="AG42" i="357"/>
  <c r="AF42" i="357"/>
  <c r="AH41" i="357"/>
  <c r="AG41" i="357"/>
  <c r="AF41" i="357"/>
  <c r="AH40" i="357"/>
  <c r="AG40" i="357"/>
  <c r="AF40" i="357"/>
  <c r="AH39" i="357"/>
  <c r="AG39" i="357"/>
  <c r="AF39" i="357"/>
  <c r="AH38" i="357"/>
  <c r="AG38" i="357"/>
  <c r="AF38" i="357"/>
  <c r="AH37" i="357"/>
  <c r="AG37" i="357"/>
  <c r="AF37" i="357"/>
  <c r="AH36" i="357"/>
  <c r="AG36" i="357"/>
  <c r="AF36" i="357"/>
  <c r="AI35" i="357"/>
  <c r="AC34" i="357"/>
  <c r="AC96" i="357" s="1"/>
  <c r="AB34" i="357"/>
  <c r="AB96" i="357" s="1"/>
  <c r="AA34" i="357"/>
  <c r="AA96" i="357" s="1"/>
  <c r="Z34" i="357"/>
  <c r="Z96" i="357" s="1"/>
  <c r="Y34" i="357"/>
  <c r="Y96" i="357" s="1"/>
  <c r="X34" i="357"/>
  <c r="X96" i="357" s="1"/>
  <c r="W34" i="357"/>
  <c r="W96" i="357" s="1"/>
  <c r="V34" i="357"/>
  <c r="V96" i="357" s="1"/>
  <c r="U34" i="357"/>
  <c r="U96" i="357" s="1"/>
  <c r="T34" i="357"/>
  <c r="T96" i="357" s="1"/>
  <c r="S34" i="357"/>
  <c r="S96" i="357" s="1"/>
  <c r="R34" i="357"/>
  <c r="R96" i="357" s="1"/>
  <c r="Q34" i="357"/>
  <c r="Q96" i="357" s="1"/>
  <c r="P34" i="357"/>
  <c r="P96" i="357" s="1"/>
  <c r="O34" i="357"/>
  <c r="O96" i="357" s="1"/>
  <c r="N34" i="357"/>
  <c r="M34" i="357"/>
  <c r="M96" i="357" s="1"/>
  <c r="L34" i="357"/>
  <c r="K34" i="357"/>
  <c r="J34" i="357"/>
  <c r="I34" i="357"/>
  <c r="I96" i="357" s="1"/>
  <c r="H34" i="357"/>
  <c r="H96" i="357" s="1"/>
  <c r="G34" i="357"/>
  <c r="G96" i="357" s="1"/>
  <c r="F96" i="357"/>
  <c r="C34" i="357"/>
  <c r="B34" i="357"/>
  <c r="AH33" i="357"/>
  <c r="AG33" i="357"/>
  <c r="AF33" i="357"/>
  <c r="AI32" i="357"/>
  <c r="AC31" i="357"/>
  <c r="AC93" i="357" s="1"/>
  <c r="AB31" i="357"/>
  <c r="AB93" i="357" s="1"/>
  <c r="AA31" i="357"/>
  <c r="AA93" i="357" s="1"/>
  <c r="Z31" i="357"/>
  <c r="Z93" i="357" s="1"/>
  <c r="Y31" i="357"/>
  <c r="Y93" i="357" s="1"/>
  <c r="X31" i="357"/>
  <c r="X93" i="357" s="1"/>
  <c r="W31" i="357"/>
  <c r="V31" i="357"/>
  <c r="U31" i="357"/>
  <c r="U93" i="357" s="1"/>
  <c r="T31" i="357"/>
  <c r="T93" i="357" s="1"/>
  <c r="S31" i="357"/>
  <c r="S93" i="357" s="1"/>
  <c r="R31" i="357"/>
  <c r="R93" i="357" s="1"/>
  <c r="Q31" i="357"/>
  <c r="Q93" i="357" s="1"/>
  <c r="P31" i="357"/>
  <c r="P93" i="357" s="1"/>
  <c r="O31" i="357"/>
  <c r="O93" i="357" s="1"/>
  <c r="N31" i="357"/>
  <c r="N93" i="357" s="1"/>
  <c r="M31" i="357"/>
  <c r="M93" i="357" s="1"/>
  <c r="L31" i="357"/>
  <c r="L93" i="357" s="1"/>
  <c r="K31" i="357"/>
  <c r="K93" i="357" s="1"/>
  <c r="J31" i="357"/>
  <c r="J93" i="357" s="1"/>
  <c r="I31" i="357"/>
  <c r="I93" i="357" s="1"/>
  <c r="G31" i="357"/>
  <c r="G93" i="357" s="1"/>
  <c r="F93" i="357"/>
  <c r="C31" i="357"/>
  <c r="B31" i="357"/>
  <c r="AI28" i="357"/>
  <c r="AH28" i="357"/>
  <c r="AG28" i="357"/>
  <c r="AF28" i="357"/>
  <c r="AH27" i="357"/>
  <c r="AG27" i="357"/>
  <c r="AF27" i="357"/>
  <c r="AI26" i="357"/>
  <c r="AC25" i="357"/>
  <c r="AB25" i="357"/>
  <c r="AA25" i="357"/>
  <c r="Z25" i="357"/>
  <c r="Y25" i="357"/>
  <c r="X25" i="357"/>
  <c r="W25" i="357"/>
  <c r="V25" i="357"/>
  <c r="U25" i="357"/>
  <c r="T25" i="357"/>
  <c r="S25" i="357"/>
  <c r="R25" i="357"/>
  <c r="Q25" i="357"/>
  <c r="P25" i="357"/>
  <c r="O25" i="357"/>
  <c r="N25" i="357"/>
  <c r="M25" i="357"/>
  <c r="L25" i="357"/>
  <c r="K25" i="357"/>
  <c r="J25" i="357"/>
  <c r="I25" i="357"/>
  <c r="H25" i="357"/>
  <c r="G25" i="357"/>
  <c r="C25" i="357"/>
  <c r="AH24" i="357"/>
  <c r="AG24" i="357"/>
  <c r="AF24" i="357"/>
  <c r="AI23" i="357"/>
  <c r="AC22" i="357"/>
  <c r="AB22" i="357"/>
  <c r="AA22" i="357"/>
  <c r="Z22" i="357"/>
  <c r="Y22" i="357"/>
  <c r="Y89" i="357" s="1"/>
  <c r="X22" i="357"/>
  <c r="X110" i="357" s="1"/>
  <c r="W22" i="357"/>
  <c r="W89" i="357" s="1"/>
  <c r="V22" i="357"/>
  <c r="V89" i="357" s="1"/>
  <c r="U22" i="357"/>
  <c r="T22" i="357"/>
  <c r="S22" i="357"/>
  <c r="R22" i="357"/>
  <c r="Q22" i="357"/>
  <c r="P22" i="357"/>
  <c r="O22" i="357"/>
  <c r="N22" i="357"/>
  <c r="M22" i="357"/>
  <c r="L22" i="357"/>
  <c r="K22" i="357"/>
  <c r="J22" i="357"/>
  <c r="I22" i="357"/>
  <c r="H22" i="357"/>
  <c r="G22" i="357"/>
  <c r="F89" i="357"/>
  <c r="C22" i="357"/>
  <c r="B22" i="357"/>
  <c r="AH21" i="357"/>
  <c r="AG21" i="357"/>
  <c r="AF21" i="357"/>
  <c r="AH20" i="357"/>
  <c r="AG20" i="357"/>
  <c r="AF20" i="357"/>
  <c r="AH19" i="357"/>
  <c r="AG19" i="357"/>
  <c r="AF19" i="357"/>
  <c r="AI18" i="357"/>
  <c r="AC17" i="357"/>
  <c r="AB17" i="357"/>
  <c r="AA17" i="357"/>
  <c r="AA91" i="357" s="1"/>
  <c r="Z17" i="357"/>
  <c r="Z91" i="357" s="1"/>
  <c r="Y17" i="357"/>
  <c r="Y91" i="357" s="1"/>
  <c r="X17" i="357"/>
  <c r="X91" i="357" s="1"/>
  <c r="W17" i="357"/>
  <c r="W91" i="357" s="1"/>
  <c r="V17" i="357"/>
  <c r="U17" i="357"/>
  <c r="U91" i="357" s="1"/>
  <c r="T17" i="357"/>
  <c r="T91" i="357" s="1"/>
  <c r="S17" i="357"/>
  <c r="S91" i="357" s="1"/>
  <c r="R17" i="357"/>
  <c r="R91" i="357" s="1"/>
  <c r="Q17" i="357"/>
  <c r="Q91" i="357" s="1"/>
  <c r="P17" i="357"/>
  <c r="O17" i="357"/>
  <c r="N17" i="357"/>
  <c r="M17" i="357"/>
  <c r="L17" i="357"/>
  <c r="K17" i="357"/>
  <c r="K91" i="357" s="1"/>
  <c r="J17" i="357"/>
  <c r="J91" i="357" s="1"/>
  <c r="J109" i="357" s="1"/>
  <c r="I17" i="357"/>
  <c r="H17" i="357"/>
  <c r="G17" i="357"/>
  <c r="G91" i="357" s="1"/>
  <c r="C17" i="357"/>
  <c r="B17" i="357"/>
  <c r="AH16" i="357"/>
  <c r="AG16" i="357"/>
  <c r="AF16" i="357"/>
  <c r="AH15" i="357"/>
  <c r="AG15" i="357"/>
  <c r="AF15" i="357"/>
  <c r="AH14" i="357"/>
  <c r="AG14" i="357"/>
  <c r="AF14" i="357"/>
  <c r="AH13" i="357"/>
  <c r="AG13" i="357"/>
  <c r="AF13" i="357"/>
  <c r="AI12" i="357"/>
  <c r="M9" i="357" a="1"/>
  <c r="M9" i="357" s="1"/>
  <c r="AE152" i="260"/>
  <c r="W152" i="260"/>
  <c r="F241" i="88"/>
  <c r="F240" i="88"/>
  <c r="W151" i="260"/>
  <c r="AA63" i="356"/>
  <c r="AA62" i="356"/>
  <c r="F239" i="88"/>
  <c r="W150" i="260"/>
  <c r="Z64" i="356"/>
  <c r="Z63" i="356"/>
  <c r="Z62" i="356"/>
  <c r="F238" i="88"/>
  <c r="F235" i="88"/>
  <c r="F242" i="88"/>
  <c r="W149" i="260"/>
  <c r="Y64" i="356"/>
  <c r="Y62" i="356"/>
  <c r="F226" i="88"/>
  <c r="AE148" i="260"/>
  <c r="X64" i="356"/>
  <c r="X62" i="356"/>
  <c r="AE147" i="260"/>
  <c r="W64" i="356"/>
  <c r="W62" i="356"/>
  <c r="F234" i="88"/>
  <c r="F232" i="88"/>
  <c r="F233" i="88"/>
  <c r="AE146" i="260"/>
  <c r="V64" i="356"/>
  <c r="V62" i="356"/>
  <c r="F231" i="88"/>
  <c r="F230" i="88"/>
  <c r="AE145" i="260"/>
  <c r="U62" i="356"/>
  <c r="U56" i="356"/>
  <c r="U51" i="356"/>
  <c r="U48" i="356"/>
  <c r="U47" i="356"/>
  <c r="AH47" i="356" s="1"/>
  <c r="F229" i="88"/>
  <c r="V65" i="356"/>
  <c r="V99" i="356" s="1"/>
  <c r="F228" i="88"/>
  <c r="AE144" i="260"/>
  <c r="T64" i="356"/>
  <c r="T62" i="356"/>
  <c r="T56" i="356"/>
  <c r="T50" i="356"/>
  <c r="T48" i="356"/>
  <c r="U64" i="356"/>
  <c r="F227" i="88"/>
  <c r="T65" i="356"/>
  <c r="T99" i="356" s="1"/>
  <c r="AE143" i="260"/>
  <c r="S64" i="356"/>
  <c r="S62" i="356"/>
  <c r="AE142" i="260"/>
  <c r="W142" i="260"/>
  <c r="R64" i="356"/>
  <c r="R62" i="356"/>
  <c r="F223" i="88"/>
  <c r="F218" i="88"/>
  <c r="F211" i="88"/>
  <c r="F202" i="88"/>
  <c r="AE141" i="260"/>
  <c r="Q64" i="356"/>
  <c r="Q63" i="356"/>
  <c r="L64" i="356"/>
  <c r="L63" i="356"/>
  <c r="K64" i="356"/>
  <c r="K63" i="356"/>
  <c r="F177" i="88"/>
  <c r="Z62" i="355"/>
  <c r="Y62" i="355"/>
  <c r="X62" i="355"/>
  <c r="W62" i="355"/>
  <c r="V62" i="355"/>
  <c r="U62" i="355"/>
  <c r="F163" i="88"/>
  <c r="T62" i="355"/>
  <c r="F175" i="88"/>
  <c r="F187" i="88"/>
  <c r="F76" i="356"/>
  <c r="F65" i="356"/>
  <c r="F99" i="356" s="1"/>
  <c r="F60" i="356"/>
  <c r="F34" i="356"/>
  <c r="F96" i="356" s="1"/>
  <c r="F31" i="356"/>
  <c r="F93" i="356" s="1"/>
  <c r="F25" i="356"/>
  <c r="F22" i="356"/>
  <c r="F17" i="356"/>
  <c r="F185" i="88"/>
  <c r="AC107" i="356"/>
  <c r="AB107" i="356"/>
  <c r="AA107" i="356"/>
  <c r="Z107" i="356"/>
  <c r="Y107" i="356"/>
  <c r="X107" i="356"/>
  <c r="W107" i="356"/>
  <c r="V107" i="356"/>
  <c r="U107" i="356"/>
  <c r="T107" i="356"/>
  <c r="S107" i="356"/>
  <c r="R107" i="356"/>
  <c r="Q107" i="356"/>
  <c r="P107" i="356"/>
  <c r="O107" i="356"/>
  <c r="N107" i="356"/>
  <c r="M107" i="356"/>
  <c r="L107" i="356"/>
  <c r="K107" i="356"/>
  <c r="J107" i="356"/>
  <c r="I107" i="356"/>
  <c r="H107" i="356"/>
  <c r="G107" i="356"/>
  <c r="F107" i="356"/>
  <c r="AC102" i="356"/>
  <c r="AB102" i="356"/>
  <c r="AA102" i="356"/>
  <c r="Z102" i="356"/>
  <c r="Y102" i="356"/>
  <c r="X102" i="356"/>
  <c r="W102" i="356"/>
  <c r="V102" i="356"/>
  <c r="U102" i="356"/>
  <c r="T102" i="356"/>
  <c r="S102" i="356"/>
  <c r="R102" i="356"/>
  <c r="Q102" i="356"/>
  <c r="P102" i="356"/>
  <c r="O102" i="356"/>
  <c r="N102" i="356"/>
  <c r="M102" i="356"/>
  <c r="L102" i="356"/>
  <c r="K102" i="356"/>
  <c r="J102" i="356"/>
  <c r="I102" i="356"/>
  <c r="H102" i="356"/>
  <c r="G102" i="356"/>
  <c r="F102" i="356"/>
  <c r="AA101" i="356"/>
  <c r="G101" i="356"/>
  <c r="T100" i="356"/>
  <c r="I98" i="356"/>
  <c r="H98" i="356"/>
  <c r="G98" i="356"/>
  <c r="Y96" i="356"/>
  <c r="Q96" i="356"/>
  <c r="P96" i="356"/>
  <c r="N93" i="356"/>
  <c r="H93" i="356"/>
  <c r="R91" i="356"/>
  <c r="AC80" i="356"/>
  <c r="AC101" i="356" s="1"/>
  <c r="AB80" i="356"/>
  <c r="AB101" i="356" s="1"/>
  <c r="AA80" i="356"/>
  <c r="Z80" i="356"/>
  <c r="Z101" i="356" s="1"/>
  <c r="Y80" i="356"/>
  <c r="Y101" i="356" s="1"/>
  <c r="X80" i="356"/>
  <c r="X101" i="356" s="1"/>
  <c r="W80" i="356"/>
  <c r="W101" i="356" s="1"/>
  <c r="V80" i="356"/>
  <c r="V101" i="356" s="1"/>
  <c r="U80" i="356"/>
  <c r="U101" i="356" s="1"/>
  <c r="T80" i="356"/>
  <c r="T101" i="356" s="1"/>
  <c r="S80" i="356"/>
  <c r="S101" i="356" s="1"/>
  <c r="R80" i="356"/>
  <c r="R101" i="356" s="1"/>
  <c r="Q80" i="356"/>
  <c r="Q101" i="356" s="1"/>
  <c r="P80" i="356"/>
  <c r="P101" i="356" s="1"/>
  <c r="O80" i="356"/>
  <c r="O101" i="356" s="1"/>
  <c r="N80" i="356"/>
  <c r="N101" i="356" s="1"/>
  <c r="M80" i="356"/>
  <c r="M101" i="356" s="1"/>
  <c r="L80" i="356"/>
  <c r="L101" i="356" s="1"/>
  <c r="K80" i="356"/>
  <c r="K101" i="356" s="1"/>
  <c r="J80" i="356"/>
  <c r="J101" i="356" s="1"/>
  <c r="I80" i="356"/>
  <c r="I101" i="356" s="1"/>
  <c r="H80" i="356"/>
  <c r="H101" i="356" s="1"/>
  <c r="G80" i="356"/>
  <c r="F80" i="356"/>
  <c r="F101" i="356" s="1"/>
  <c r="C80" i="356"/>
  <c r="B80" i="356"/>
  <c r="AH79" i="356"/>
  <c r="AG79" i="356"/>
  <c r="AF79" i="356"/>
  <c r="AH78" i="356"/>
  <c r="AG78" i="356"/>
  <c r="AF78" i="356"/>
  <c r="AI77" i="356"/>
  <c r="AC76" i="356"/>
  <c r="AC100" i="356" s="1"/>
  <c r="AB76" i="356"/>
  <c r="AB100" i="356" s="1"/>
  <c r="AA76" i="356"/>
  <c r="AA100" i="356" s="1"/>
  <c r="Z76" i="356"/>
  <c r="Z100" i="356" s="1"/>
  <c r="Y76" i="356"/>
  <c r="Y100" i="356" s="1"/>
  <c r="X76" i="356"/>
  <c r="X100" i="356" s="1"/>
  <c r="W76" i="356"/>
  <c r="W100" i="356" s="1"/>
  <c r="V76" i="356"/>
  <c r="V100" i="356" s="1"/>
  <c r="U76" i="356"/>
  <c r="U100" i="356" s="1"/>
  <c r="T76" i="356"/>
  <c r="S76" i="356"/>
  <c r="S100" i="356" s="1"/>
  <c r="R76" i="356"/>
  <c r="R100" i="356" s="1"/>
  <c r="Q76" i="356"/>
  <c r="Q100" i="356" s="1"/>
  <c r="P76" i="356"/>
  <c r="P100" i="356" s="1"/>
  <c r="O76" i="356"/>
  <c r="O100" i="356" s="1"/>
  <c r="N76" i="356"/>
  <c r="N100" i="356" s="1"/>
  <c r="M76" i="356"/>
  <c r="M100" i="356" s="1"/>
  <c r="L76" i="356"/>
  <c r="L100" i="356" s="1"/>
  <c r="K76" i="356"/>
  <c r="K100" i="356" s="1"/>
  <c r="J76" i="356"/>
  <c r="J100" i="356" s="1"/>
  <c r="I76" i="356"/>
  <c r="I100" i="356" s="1"/>
  <c r="H76" i="356"/>
  <c r="H100" i="356" s="1"/>
  <c r="G76" i="356"/>
  <c r="G100" i="356" s="1"/>
  <c r="F100" i="356"/>
  <c r="C76" i="356"/>
  <c r="B76" i="356"/>
  <c r="AH75" i="356"/>
  <c r="AG75" i="356"/>
  <c r="AF75" i="356"/>
  <c r="AH74" i="356"/>
  <c r="AG74" i="356"/>
  <c r="AF74" i="356"/>
  <c r="AH73" i="356"/>
  <c r="AG73" i="356"/>
  <c r="AF73" i="356"/>
  <c r="AH72" i="356"/>
  <c r="AG72" i="356"/>
  <c r="AF72" i="356"/>
  <c r="AH71" i="356"/>
  <c r="AG71" i="356"/>
  <c r="AF71" i="356"/>
  <c r="AH70" i="356"/>
  <c r="AG70" i="356"/>
  <c r="AF70" i="356"/>
  <c r="AH69" i="356"/>
  <c r="AG69" i="356"/>
  <c r="AF69" i="356"/>
  <c r="AH68" i="356"/>
  <c r="AG68" i="356"/>
  <c r="AF68" i="356"/>
  <c r="AH67" i="356"/>
  <c r="AG67" i="356"/>
  <c r="AF67" i="356"/>
  <c r="AI66" i="356"/>
  <c r="AC65" i="356"/>
  <c r="AC99" i="356" s="1"/>
  <c r="AB65" i="356"/>
  <c r="AB99" i="356" s="1"/>
  <c r="AA65" i="356"/>
  <c r="AA99" i="356" s="1"/>
  <c r="P65" i="356"/>
  <c r="P99" i="356" s="1"/>
  <c r="O65" i="356"/>
  <c r="O99" i="356" s="1"/>
  <c r="K65" i="356"/>
  <c r="K99" i="356" s="1"/>
  <c r="J65" i="356"/>
  <c r="J99" i="356" s="1"/>
  <c r="I65" i="356"/>
  <c r="I99" i="356" s="1"/>
  <c r="H65" i="356"/>
  <c r="H99" i="356" s="1"/>
  <c r="G65" i="356"/>
  <c r="G99" i="356" s="1"/>
  <c r="C65" i="356"/>
  <c r="Q65" i="356"/>
  <c r="Q99" i="356" s="1"/>
  <c r="M65" i="356"/>
  <c r="M99" i="356" s="1"/>
  <c r="L65" i="356"/>
  <c r="L99" i="356" s="1"/>
  <c r="Z65" i="356"/>
  <c r="Z99" i="356" s="1"/>
  <c r="Y65" i="356"/>
  <c r="Y99" i="356" s="1"/>
  <c r="X65" i="356"/>
  <c r="X99" i="356" s="1"/>
  <c r="W65" i="356"/>
  <c r="W99" i="356" s="1"/>
  <c r="AG63" i="356"/>
  <c r="S65" i="356"/>
  <c r="S99" i="356" s="1"/>
  <c r="R65" i="356"/>
  <c r="R99" i="356" s="1"/>
  <c r="AH62" i="356"/>
  <c r="AG62" i="356"/>
  <c r="AF62" i="356"/>
  <c r="AC60" i="356"/>
  <c r="AC98" i="356" s="1"/>
  <c r="AB60" i="356"/>
  <c r="AB98" i="356" s="1"/>
  <c r="AA60" i="356"/>
  <c r="AA98" i="356" s="1"/>
  <c r="Z60" i="356"/>
  <c r="Z98" i="356" s="1"/>
  <c r="Y60" i="356"/>
  <c r="Y98" i="356" s="1"/>
  <c r="X60" i="356"/>
  <c r="X98" i="356" s="1"/>
  <c r="W60" i="356"/>
  <c r="W98" i="356" s="1"/>
  <c r="V60" i="356"/>
  <c r="V98" i="356" s="1"/>
  <c r="U60" i="356"/>
  <c r="U98" i="356" s="1"/>
  <c r="T60" i="356"/>
  <c r="T98" i="356" s="1"/>
  <c r="S60" i="356"/>
  <c r="S98" i="356" s="1"/>
  <c r="P60" i="356"/>
  <c r="P98" i="356" s="1"/>
  <c r="O60" i="356"/>
  <c r="O98" i="356" s="1"/>
  <c r="N60" i="356"/>
  <c r="N98" i="356" s="1"/>
  <c r="M60" i="356"/>
  <c r="M98" i="356" s="1"/>
  <c r="L60" i="356"/>
  <c r="L98" i="356" s="1"/>
  <c r="K60" i="356"/>
  <c r="K98" i="356" s="1"/>
  <c r="J60" i="356"/>
  <c r="J98" i="356" s="1"/>
  <c r="I60" i="356"/>
  <c r="H60" i="356"/>
  <c r="G60" i="356"/>
  <c r="F98" i="356"/>
  <c r="C60" i="356"/>
  <c r="B60" i="356"/>
  <c r="B65" i="356" s="1"/>
  <c r="AH59" i="356"/>
  <c r="AG59" i="356"/>
  <c r="AF59" i="356"/>
  <c r="AH58" i="356"/>
  <c r="AG58" i="356"/>
  <c r="AF58" i="356"/>
  <c r="AH57" i="356"/>
  <c r="AG57" i="356"/>
  <c r="AF57" i="356"/>
  <c r="AG56" i="356"/>
  <c r="AH55" i="356"/>
  <c r="AG55" i="356"/>
  <c r="AF55" i="356"/>
  <c r="AH52" i="356"/>
  <c r="AG52" i="356"/>
  <c r="AF52" i="356"/>
  <c r="AH51" i="356"/>
  <c r="AG51" i="356"/>
  <c r="AF51" i="356"/>
  <c r="AF50" i="356"/>
  <c r="AH49" i="356"/>
  <c r="AG49" i="356"/>
  <c r="AF49" i="356"/>
  <c r="R60" i="356"/>
  <c r="R98" i="356" s="1"/>
  <c r="AG48" i="356"/>
  <c r="AG47" i="356"/>
  <c r="AF47" i="356"/>
  <c r="AH46" i="356"/>
  <c r="AG46" i="356"/>
  <c r="AF46" i="356"/>
  <c r="AH45" i="356"/>
  <c r="AG45" i="356"/>
  <c r="AF45" i="356"/>
  <c r="AH44" i="356"/>
  <c r="AG44" i="356"/>
  <c r="AF44" i="356"/>
  <c r="AH43" i="356"/>
  <c r="AG43" i="356"/>
  <c r="AF43" i="356"/>
  <c r="AH42" i="356"/>
  <c r="AG42" i="356"/>
  <c r="AF42" i="356"/>
  <c r="AH41" i="356"/>
  <c r="AG41" i="356"/>
  <c r="AF41" i="356"/>
  <c r="AH40" i="356"/>
  <c r="AG40" i="356"/>
  <c r="AF40" i="356"/>
  <c r="AH39" i="356"/>
  <c r="AG39" i="356"/>
  <c r="AF39" i="356"/>
  <c r="AH38" i="356"/>
  <c r="AG38" i="356"/>
  <c r="AF38" i="356"/>
  <c r="AH37" i="356"/>
  <c r="AG37" i="356"/>
  <c r="AF37" i="356"/>
  <c r="AH36" i="356"/>
  <c r="AG36" i="356"/>
  <c r="AF36" i="356"/>
  <c r="AI35" i="356"/>
  <c r="AC34" i="356"/>
  <c r="AC96" i="356" s="1"/>
  <c r="AB34" i="356"/>
  <c r="AB96" i="356" s="1"/>
  <c r="AA34" i="356"/>
  <c r="AA96" i="356" s="1"/>
  <c r="Z34" i="356"/>
  <c r="Z96" i="356" s="1"/>
  <c r="Y34" i="356"/>
  <c r="X34" i="356"/>
  <c r="X96" i="356" s="1"/>
  <c r="W34" i="356"/>
  <c r="W96" i="356" s="1"/>
  <c r="V34" i="356"/>
  <c r="V96" i="356" s="1"/>
  <c r="U34" i="356"/>
  <c r="U96" i="356" s="1"/>
  <c r="T34" i="356"/>
  <c r="T96" i="356" s="1"/>
  <c r="S34" i="356"/>
  <c r="S96" i="356" s="1"/>
  <c r="R34" i="356"/>
  <c r="R96" i="356" s="1"/>
  <c r="Q34" i="356"/>
  <c r="P34" i="356"/>
  <c r="O34" i="356"/>
  <c r="O96" i="356" s="1"/>
  <c r="N34" i="356"/>
  <c r="N96" i="356" s="1"/>
  <c r="M34" i="356"/>
  <c r="M96" i="356" s="1"/>
  <c r="L34" i="356"/>
  <c r="L96" i="356" s="1"/>
  <c r="K34" i="356"/>
  <c r="K96" i="356" s="1"/>
  <c r="J34" i="356"/>
  <c r="J96" i="356" s="1"/>
  <c r="I34" i="356"/>
  <c r="I96" i="356" s="1"/>
  <c r="H34" i="356"/>
  <c r="H96" i="356" s="1"/>
  <c r="G34" i="356"/>
  <c r="G96" i="356" s="1"/>
  <c r="C34" i="356"/>
  <c r="B34" i="356"/>
  <c r="AH33" i="356"/>
  <c r="AG33" i="356"/>
  <c r="AF33" i="356"/>
  <c r="AI32" i="356"/>
  <c r="AC31" i="356"/>
  <c r="AC93" i="356" s="1"/>
  <c r="AB31" i="356"/>
  <c r="AB93" i="356" s="1"/>
  <c r="AA31" i="356"/>
  <c r="AA93" i="356" s="1"/>
  <c r="Z31" i="356"/>
  <c r="Z93" i="356" s="1"/>
  <c r="Y31" i="356"/>
  <c r="Y93" i="356" s="1"/>
  <c r="X31" i="356"/>
  <c r="X93" i="356" s="1"/>
  <c r="W31" i="356"/>
  <c r="W93" i="356" s="1"/>
  <c r="V31" i="356"/>
  <c r="V93" i="356" s="1"/>
  <c r="U31" i="356"/>
  <c r="U93" i="356" s="1"/>
  <c r="T31" i="356"/>
  <c r="T93" i="356" s="1"/>
  <c r="S31" i="356"/>
  <c r="S93" i="356" s="1"/>
  <c r="R31" i="356"/>
  <c r="R93" i="356" s="1"/>
  <c r="Q31" i="356"/>
  <c r="Q93" i="356" s="1"/>
  <c r="P31" i="356"/>
  <c r="P93" i="356" s="1"/>
  <c r="O31" i="356"/>
  <c r="O93" i="356" s="1"/>
  <c r="N31" i="356"/>
  <c r="M31" i="356"/>
  <c r="M93" i="356" s="1"/>
  <c r="L31" i="356"/>
  <c r="L93" i="356" s="1"/>
  <c r="K31" i="356"/>
  <c r="K93" i="356" s="1"/>
  <c r="J31" i="356"/>
  <c r="J93" i="356" s="1"/>
  <c r="I31" i="356"/>
  <c r="I93" i="356" s="1"/>
  <c r="G31" i="356"/>
  <c r="G93" i="356" s="1"/>
  <c r="C31" i="356"/>
  <c r="B31" i="356"/>
  <c r="AI28" i="356"/>
  <c r="AH28" i="356"/>
  <c r="AG28" i="356"/>
  <c r="AF28" i="356"/>
  <c r="AH27" i="356"/>
  <c r="AG27" i="356"/>
  <c r="AF27" i="356"/>
  <c r="AI26" i="356"/>
  <c r="AC25" i="356"/>
  <c r="AB25" i="356"/>
  <c r="AA25" i="356"/>
  <c r="Z25" i="356"/>
  <c r="Y25" i="356"/>
  <c r="X25" i="356"/>
  <c r="W25" i="356"/>
  <c r="V25" i="356"/>
  <c r="U25" i="356"/>
  <c r="T25" i="356"/>
  <c r="S25" i="356"/>
  <c r="R25" i="356"/>
  <c r="Q25" i="356"/>
  <c r="P25" i="356"/>
  <c r="P89" i="356" s="1"/>
  <c r="O25" i="356"/>
  <c r="O89" i="356" s="1"/>
  <c r="N25" i="356"/>
  <c r="M25" i="356"/>
  <c r="L25" i="356"/>
  <c r="K25" i="356"/>
  <c r="J25" i="356"/>
  <c r="I25" i="356"/>
  <c r="H25" i="356"/>
  <c r="G25" i="356"/>
  <c r="C25" i="356"/>
  <c r="B25" i="356"/>
  <c r="AH24" i="356"/>
  <c r="AG24" i="356"/>
  <c r="AF24" i="356"/>
  <c r="AI23" i="356"/>
  <c r="AC22" i="356"/>
  <c r="AB22" i="356"/>
  <c r="AB89" i="356" s="1"/>
  <c r="AA22" i="356"/>
  <c r="AA89" i="356" s="1"/>
  <c r="Z22" i="356"/>
  <c r="Y22" i="356"/>
  <c r="Y89" i="356" s="1"/>
  <c r="X22" i="356"/>
  <c r="W22" i="356"/>
  <c r="W89" i="356" s="1"/>
  <c r="V22" i="356"/>
  <c r="V89" i="356" s="1"/>
  <c r="U22" i="356"/>
  <c r="U89" i="356" s="1"/>
  <c r="T22" i="356"/>
  <c r="T89" i="356" s="1"/>
  <c r="S22" i="356"/>
  <c r="R22" i="356"/>
  <c r="Q22" i="356"/>
  <c r="P22" i="356"/>
  <c r="O22" i="356"/>
  <c r="N22" i="356"/>
  <c r="M22" i="356"/>
  <c r="L22" i="356"/>
  <c r="K22" i="356"/>
  <c r="J22" i="356"/>
  <c r="I22" i="356"/>
  <c r="H22" i="356"/>
  <c r="H89" i="356" s="1"/>
  <c r="G22" i="356"/>
  <c r="G89" i="356" s="1"/>
  <c r="F89" i="356"/>
  <c r="C22" i="356"/>
  <c r="B22" i="356"/>
  <c r="AH21" i="356"/>
  <c r="AG21" i="356"/>
  <c r="AF21" i="356"/>
  <c r="AH20" i="356"/>
  <c r="AG20" i="356"/>
  <c r="AF20" i="356"/>
  <c r="AH19" i="356"/>
  <c r="AG19" i="356"/>
  <c r="AF19" i="356"/>
  <c r="AI18" i="356"/>
  <c r="AC17" i="356"/>
  <c r="AB17" i="356"/>
  <c r="AA17" i="356"/>
  <c r="Z17" i="356"/>
  <c r="Y17" i="356"/>
  <c r="X17" i="356"/>
  <c r="W17" i="356"/>
  <c r="V17" i="356"/>
  <c r="U17" i="356"/>
  <c r="U91" i="356" s="1"/>
  <c r="T17" i="356"/>
  <c r="T91" i="356" s="1"/>
  <c r="S17" i="356"/>
  <c r="S91" i="356" s="1"/>
  <c r="R17" i="356"/>
  <c r="Q17" i="356"/>
  <c r="Q91" i="356" s="1"/>
  <c r="P17" i="356"/>
  <c r="P91" i="356" s="1"/>
  <c r="O17" i="356"/>
  <c r="O91" i="356" s="1"/>
  <c r="N17" i="356"/>
  <c r="N91" i="356" s="1"/>
  <c r="M17" i="356"/>
  <c r="M91" i="356" s="1"/>
  <c r="L17" i="356"/>
  <c r="K17" i="356"/>
  <c r="K91" i="356" s="1"/>
  <c r="J17" i="356"/>
  <c r="J91" i="356" s="1"/>
  <c r="I17" i="356"/>
  <c r="H17" i="356"/>
  <c r="G17" i="356"/>
  <c r="C17" i="356"/>
  <c r="C83" i="356" s="1"/>
  <c r="B17" i="356"/>
  <c r="B83" i="356" s="1"/>
  <c r="AH16" i="356"/>
  <c r="AG16" i="356"/>
  <c r="AF16" i="356"/>
  <c r="AH15" i="356"/>
  <c r="AG15" i="356"/>
  <c r="AF15" i="356"/>
  <c r="AH14" i="356"/>
  <c r="AG14" i="356"/>
  <c r="AF14" i="356"/>
  <c r="AH13" i="356"/>
  <c r="AG13" i="356"/>
  <c r="AF13" i="356"/>
  <c r="AI12" i="356"/>
  <c r="M9" i="356" a="1"/>
  <c r="M9" i="356" s="1"/>
  <c r="AE127" i="260"/>
  <c r="AE126" i="260"/>
  <c r="F194" i="88"/>
  <c r="AE125" i="260"/>
  <c r="Z64" i="355"/>
  <c r="F221" i="88"/>
  <c r="F220" i="88"/>
  <c r="F217" i="88"/>
  <c r="AE124" i="260"/>
  <c r="Y64" i="355"/>
  <c r="F219" i="88"/>
  <c r="F215" i="88"/>
  <c r="F222" i="88"/>
  <c r="F214" i="88"/>
  <c r="AE123" i="260"/>
  <c r="AE122" i="260"/>
  <c r="X64" i="355"/>
  <c r="X51" i="355"/>
  <c r="X48" i="355"/>
  <c r="F186" i="88"/>
  <c r="F213" i="88"/>
  <c r="F129" i="88"/>
  <c r="W64" i="355"/>
  <c r="AE121" i="260"/>
  <c r="V64" i="355"/>
  <c r="AE120" i="260"/>
  <c r="F198" i="88"/>
  <c r="AA119" i="260"/>
  <c r="T64" i="355"/>
  <c r="AE118" i="260"/>
  <c r="AA118" i="260"/>
  <c r="S64" i="355"/>
  <c r="S63" i="355"/>
  <c r="F209" i="88"/>
  <c r="F208" i="88"/>
  <c r="F207" i="88"/>
  <c r="AE117" i="260"/>
  <c r="AA117" i="260"/>
  <c r="R64" i="355"/>
  <c r="R63" i="355"/>
  <c r="R56" i="355"/>
  <c r="R51" i="355"/>
  <c r="R50" i="355"/>
  <c r="R48" i="355"/>
  <c r="R47" i="355"/>
  <c r="F205" i="88"/>
  <c r="F204" i="88"/>
  <c r="AH51" i="355"/>
  <c r="F206" i="88"/>
  <c r="F200" i="88"/>
  <c r="AG47" i="355"/>
  <c r="F203" i="88"/>
  <c r="F201" i="88"/>
  <c r="AE116" i="260"/>
  <c r="AA116" i="260"/>
  <c r="Q64" i="355"/>
  <c r="Q63" i="355"/>
  <c r="Q56" i="355"/>
  <c r="Q51" i="355"/>
  <c r="Q50" i="355"/>
  <c r="Q48" i="355"/>
  <c r="F199" i="88"/>
  <c r="AA115" i="260"/>
  <c r="F190" i="88"/>
  <c r="F141" i="88"/>
  <c r="F196" i="88"/>
  <c r="F195" i="88"/>
  <c r="F193" i="88"/>
  <c r="F192" i="88"/>
  <c r="F197" i="88"/>
  <c r="F191" i="88"/>
  <c r="F189" i="88"/>
  <c r="F188" i="88"/>
  <c r="F78" i="88"/>
  <c r="F169" i="88"/>
  <c r="AE113" i="260"/>
  <c r="F184" i="88"/>
  <c r="F183" i="88"/>
  <c r="F178" i="88"/>
  <c r="F156" i="88"/>
  <c r="F182" i="88"/>
  <c r="N63" i="355"/>
  <c r="N64" i="355"/>
  <c r="M64" i="355"/>
  <c r="M63" i="355"/>
  <c r="F180" i="88"/>
  <c r="F181" i="88"/>
  <c r="F173" i="88"/>
  <c r="M65" i="355"/>
  <c r="M99" i="355" s="1"/>
  <c r="L64" i="355"/>
  <c r="L63" i="355"/>
  <c r="F179" i="88"/>
  <c r="F176" i="88"/>
  <c r="F152" i="88"/>
  <c r="F171" i="88"/>
  <c r="F174" i="88"/>
  <c r="F149" i="88"/>
  <c r="F170" i="88"/>
  <c r="F172" i="88"/>
  <c r="F155" i="88"/>
  <c r="F142" i="88"/>
  <c r="AE105" i="260"/>
  <c r="AE103" i="260"/>
  <c r="F145" i="88"/>
  <c r="F76" i="355"/>
  <c r="F65" i="355"/>
  <c r="F60" i="355"/>
  <c r="F98" i="355" s="1"/>
  <c r="F34" i="355"/>
  <c r="F31" i="355"/>
  <c r="F93" i="355" s="1"/>
  <c r="F25" i="355"/>
  <c r="F22" i="355"/>
  <c r="F89" i="355" s="1"/>
  <c r="F17" i="355"/>
  <c r="AC107" i="355"/>
  <c r="AB107" i="355"/>
  <c r="AA107" i="355"/>
  <c r="Z107" i="355"/>
  <c r="Y107" i="355"/>
  <c r="X107" i="355"/>
  <c r="W107" i="355"/>
  <c r="V107" i="355"/>
  <c r="U107" i="355"/>
  <c r="T107" i="355"/>
  <c r="S107" i="355"/>
  <c r="R107" i="355"/>
  <c r="Q107" i="355"/>
  <c r="P107" i="355"/>
  <c r="O107" i="355"/>
  <c r="N107" i="355"/>
  <c r="M107" i="355"/>
  <c r="L107" i="355"/>
  <c r="K107" i="355"/>
  <c r="J107" i="355"/>
  <c r="I107" i="355"/>
  <c r="H107" i="355"/>
  <c r="G107" i="355"/>
  <c r="F107" i="355"/>
  <c r="AC102" i="355"/>
  <c r="AB102" i="355"/>
  <c r="AA102" i="355"/>
  <c r="Z102" i="355"/>
  <c r="Y102" i="355"/>
  <c r="X102" i="355"/>
  <c r="W102" i="355"/>
  <c r="V102" i="355"/>
  <c r="U102" i="355"/>
  <c r="T102" i="355"/>
  <c r="S102" i="355"/>
  <c r="R102" i="355"/>
  <c r="Q102" i="355"/>
  <c r="P102" i="355"/>
  <c r="O102" i="355"/>
  <c r="N102" i="355"/>
  <c r="M102" i="355"/>
  <c r="L102" i="355"/>
  <c r="K102" i="355"/>
  <c r="J102" i="355"/>
  <c r="I102" i="355"/>
  <c r="H102" i="355"/>
  <c r="G102" i="355"/>
  <c r="F102" i="355"/>
  <c r="Y100" i="355"/>
  <c r="X100" i="355"/>
  <c r="W100" i="355"/>
  <c r="U100" i="355"/>
  <c r="R100" i="355"/>
  <c r="N96" i="355"/>
  <c r="J96" i="355"/>
  <c r="T93" i="355"/>
  <c r="I93" i="355"/>
  <c r="H93" i="355"/>
  <c r="U91" i="355"/>
  <c r="L91" i="355"/>
  <c r="AC80" i="355"/>
  <c r="AC101" i="355" s="1"/>
  <c r="AB80" i="355"/>
  <c r="AB101" i="355" s="1"/>
  <c r="AA80" i="355"/>
  <c r="AA101" i="355" s="1"/>
  <c r="Z80" i="355"/>
  <c r="Z101" i="355" s="1"/>
  <c r="Y80" i="355"/>
  <c r="Y101" i="355" s="1"/>
  <c r="X80" i="355"/>
  <c r="X101" i="355" s="1"/>
  <c r="W80" i="355"/>
  <c r="W101" i="355" s="1"/>
  <c r="V80" i="355"/>
  <c r="V101" i="355" s="1"/>
  <c r="U80" i="355"/>
  <c r="U101" i="355" s="1"/>
  <c r="T80" i="355"/>
  <c r="T101" i="355" s="1"/>
  <c r="S80" i="355"/>
  <c r="S101" i="355" s="1"/>
  <c r="R80" i="355"/>
  <c r="R101" i="355" s="1"/>
  <c r="Q80" i="355"/>
  <c r="Q101" i="355" s="1"/>
  <c r="P80" i="355"/>
  <c r="P101" i="355" s="1"/>
  <c r="O80" i="355"/>
  <c r="O101" i="355" s="1"/>
  <c r="N80" i="355"/>
  <c r="N101" i="355" s="1"/>
  <c r="M80" i="355"/>
  <c r="M101" i="355" s="1"/>
  <c r="L80" i="355"/>
  <c r="L101" i="355" s="1"/>
  <c r="K80" i="355"/>
  <c r="K101" i="355" s="1"/>
  <c r="J80" i="355"/>
  <c r="J101" i="355" s="1"/>
  <c r="I80" i="355"/>
  <c r="I101" i="355" s="1"/>
  <c r="H80" i="355"/>
  <c r="H101" i="355" s="1"/>
  <c r="G80" i="355"/>
  <c r="G101" i="355" s="1"/>
  <c r="F80" i="355"/>
  <c r="F101" i="355" s="1"/>
  <c r="C80" i="355"/>
  <c r="B80" i="355"/>
  <c r="B25" i="355" s="1"/>
  <c r="AH79" i="355"/>
  <c r="AG79" i="355"/>
  <c r="AF79" i="355"/>
  <c r="AH78" i="355"/>
  <c r="AG78" i="355"/>
  <c r="AF78" i="355"/>
  <c r="AI77" i="355"/>
  <c r="AC76" i="355"/>
  <c r="AC100" i="355" s="1"/>
  <c r="AB76" i="355"/>
  <c r="AB100" i="355" s="1"/>
  <c r="AA76" i="355"/>
  <c r="AA100" i="355" s="1"/>
  <c r="Z76" i="355"/>
  <c r="Z100" i="355" s="1"/>
  <c r="Y76" i="355"/>
  <c r="X76" i="355"/>
  <c r="W76" i="355"/>
  <c r="V76" i="355"/>
  <c r="V100" i="355" s="1"/>
  <c r="U76" i="355"/>
  <c r="T76" i="355"/>
  <c r="T100" i="355" s="1"/>
  <c r="S76" i="355"/>
  <c r="S100" i="355" s="1"/>
  <c r="R76" i="355"/>
  <c r="Q76" i="355"/>
  <c r="Q100" i="355" s="1"/>
  <c r="P76" i="355"/>
  <c r="P100" i="355" s="1"/>
  <c r="O76" i="355"/>
  <c r="O100" i="355" s="1"/>
  <c r="N76" i="355"/>
  <c r="N100" i="355" s="1"/>
  <c r="M76" i="355"/>
  <c r="M100" i="355" s="1"/>
  <c r="L76" i="355"/>
  <c r="L100" i="355" s="1"/>
  <c r="K76" i="355"/>
  <c r="K100" i="355" s="1"/>
  <c r="J76" i="355"/>
  <c r="J100" i="355" s="1"/>
  <c r="I76" i="355"/>
  <c r="I100" i="355" s="1"/>
  <c r="H76" i="355"/>
  <c r="H100" i="355" s="1"/>
  <c r="G76" i="355"/>
  <c r="G100" i="355" s="1"/>
  <c r="F100" i="355"/>
  <c r="C76" i="355"/>
  <c r="B76" i="355"/>
  <c r="AH75" i="355"/>
  <c r="AG75" i="355"/>
  <c r="AF75" i="355"/>
  <c r="AH74" i="355"/>
  <c r="AG74" i="355"/>
  <c r="AF74" i="355"/>
  <c r="AH73" i="355"/>
  <c r="AG73" i="355"/>
  <c r="AF73" i="355"/>
  <c r="AH72" i="355"/>
  <c r="AG72" i="355"/>
  <c r="AF72" i="355"/>
  <c r="AH71" i="355"/>
  <c r="AG71" i="355"/>
  <c r="AF71" i="355"/>
  <c r="AH70" i="355"/>
  <c r="AG70" i="355"/>
  <c r="AF70" i="355"/>
  <c r="AH69" i="355"/>
  <c r="AG69" i="355"/>
  <c r="AF69" i="355"/>
  <c r="AH68" i="355"/>
  <c r="AG68" i="355"/>
  <c r="AF68" i="355"/>
  <c r="AH67" i="355"/>
  <c r="AG67" i="355"/>
  <c r="AF67" i="355"/>
  <c r="AI66" i="355"/>
  <c r="AC65" i="355"/>
  <c r="AC99" i="355" s="1"/>
  <c r="AB65" i="355"/>
  <c r="AB99" i="355" s="1"/>
  <c r="Z65" i="355"/>
  <c r="Z99" i="355" s="1"/>
  <c r="Y65" i="355"/>
  <c r="Y99" i="355" s="1"/>
  <c r="X65" i="355"/>
  <c r="X99" i="355" s="1"/>
  <c r="W65" i="355"/>
  <c r="W99" i="355" s="1"/>
  <c r="V65" i="355"/>
  <c r="V99" i="355" s="1"/>
  <c r="U65" i="355"/>
  <c r="U99" i="355" s="1"/>
  <c r="T65" i="355"/>
  <c r="T99" i="355" s="1"/>
  <c r="O65" i="355"/>
  <c r="O99" i="355" s="1"/>
  <c r="K65" i="355"/>
  <c r="K99" i="355" s="1"/>
  <c r="H65" i="355"/>
  <c r="H99" i="355" s="1"/>
  <c r="G65" i="355"/>
  <c r="G99" i="355" s="1"/>
  <c r="F99" i="355"/>
  <c r="C65" i="355"/>
  <c r="B65" i="355"/>
  <c r="AA65" i="355"/>
  <c r="AA99" i="355" s="1"/>
  <c r="N65" i="355"/>
  <c r="N99" i="355" s="1"/>
  <c r="L65" i="355"/>
  <c r="L99" i="355" s="1"/>
  <c r="R65" i="355"/>
  <c r="R99" i="355" s="1"/>
  <c r="Q65" i="355"/>
  <c r="Q99" i="355" s="1"/>
  <c r="S65" i="355"/>
  <c r="S99" i="355" s="1"/>
  <c r="J65" i="355"/>
  <c r="J99" i="355" s="1"/>
  <c r="AC60" i="355"/>
  <c r="AC98" i="355" s="1"/>
  <c r="AB60" i="355"/>
  <c r="AB98" i="355" s="1"/>
  <c r="AA60" i="355"/>
  <c r="AA98" i="355" s="1"/>
  <c r="Z60" i="355"/>
  <c r="Z98" i="355" s="1"/>
  <c r="Y60" i="355"/>
  <c r="Y98" i="355" s="1"/>
  <c r="X60" i="355"/>
  <c r="X98" i="355" s="1"/>
  <c r="W60" i="355"/>
  <c r="W98" i="355" s="1"/>
  <c r="V60" i="355"/>
  <c r="V98" i="355" s="1"/>
  <c r="T60" i="355"/>
  <c r="T98" i="355" s="1"/>
  <c r="S60" i="355"/>
  <c r="S98" i="355" s="1"/>
  <c r="Q60" i="355"/>
  <c r="Q98" i="355" s="1"/>
  <c r="P60" i="355"/>
  <c r="P98" i="355" s="1"/>
  <c r="O60" i="355"/>
  <c r="O98" i="355" s="1"/>
  <c r="N60" i="355"/>
  <c r="N98" i="355" s="1"/>
  <c r="M60" i="355"/>
  <c r="M98" i="355" s="1"/>
  <c r="L60" i="355"/>
  <c r="L98" i="355" s="1"/>
  <c r="K60" i="355"/>
  <c r="K98" i="355" s="1"/>
  <c r="J60" i="355"/>
  <c r="J98" i="355" s="1"/>
  <c r="I60" i="355"/>
  <c r="I98" i="355" s="1"/>
  <c r="H60" i="355"/>
  <c r="H98" i="355" s="1"/>
  <c r="G60" i="355"/>
  <c r="G98" i="355" s="1"/>
  <c r="C60" i="355"/>
  <c r="B60" i="355"/>
  <c r="AH59" i="355"/>
  <c r="AG59" i="355"/>
  <c r="AF59" i="355"/>
  <c r="AH58" i="355"/>
  <c r="AG58" i="355"/>
  <c r="AF58" i="355"/>
  <c r="AH57" i="355"/>
  <c r="AG57" i="355"/>
  <c r="AF57" i="355"/>
  <c r="AH55" i="355"/>
  <c r="AG55" i="355"/>
  <c r="AF55" i="355"/>
  <c r="AH52" i="355"/>
  <c r="AG52" i="355"/>
  <c r="AF52" i="355"/>
  <c r="AF51" i="355"/>
  <c r="AH50" i="355"/>
  <c r="AG50" i="355"/>
  <c r="AF50" i="355"/>
  <c r="AH49" i="355"/>
  <c r="AG49" i="355"/>
  <c r="AF49" i="355"/>
  <c r="AH47" i="355"/>
  <c r="AH46" i="355"/>
  <c r="AG46" i="355"/>
  <c r="AF46" i="355"/>
  <c r="AH45" i="355"/>
  <c r="AG45" i="355"/>
  <c r="AF45" i="355"/>
  <c r="AH44" i="355"/>
  <c r="AG44" i="355"/>
  <c r="AF44" i="355"/>
  <c r="AH43" i="355"/>
  <c r="AG43" i="355"/>
  <c r="AF43" i="355"/>
  <c r="AH42" i="355"/>
  <c r="AG42" i="355"/>
  <c r="AF42" i="355"/>
  <c r="AH41" i="355"/>
  <c r="AG41" i="355"/>
  <c r="AF41" i="355"/>
  <c r="AH40" i="355"/>
  <c r="AG40" i="355"/>
  <c r="AF40" i="355"/>
  <c r="AH39" i="355"/>
  <c r="AG39" i="355"/>
  <c r="AF39" i="355"/>
  <c r="AH38" i="355"/>
  <c r="AG38" i="355"/>
  <c r="AF38" i="355"/>
  <c r="AH37" i="355"/>
  <c r="AG37" i="355"/>
  <c r="AF37" i="355"/>
  <c r="AH36" i="355"/>
  <c r="AG36" i="355"/>
  <c r="AF36" i="355"/>
  <c r="AI35" i="355"/>
  <c r="AC34" i="355"/>
  <c r="AC96" i="355" s="1"/>
  <c r="AB34" i="355"/>
  <c r="AB96" i="355" s="1"/>
  <c r="AA34" i="355"/>
  <c r="AA96" i="355" s="1"/>
  <c r="Z34" i="355"/>
  <c r="Z96" i="355" s="1"/>
  <c r="Y34" i="355"/>
  <c r="Y96" i="355" s="1"/>
  <c r="X34" i="355"/>
  <c r="X96" i="355" s="1"/>
  <c r="W34" i="355"/>
  <c r="W96" i="355" s="1"/>
  <c r="V34" i="355"/>
  <c r="V96" i="355" s="1"/>
  <c r="U34" i="355"/>
  <c r="U96" i="355" s="1"/>
  <c r="T34" i="355"/>
  <c r="T96" i="355" s="1"/>
  <c r="S34" i="355"/>
  <c r="S96" i="355" s="1"/>
  <c r="R34" i="355"/>
  <c r="R96" i="355" s="1"/>
  <c r="Q34" i="355"/>
  <c r="Q96" i="355" s="1"/>
  <c r="P34" i="355"/>
  <c r="P96" i="355" s="1"/>
  <c r="O34" i="355"/>
  <c r="O96" i="355" s="1"/>
  <c r="N34" i="355"/>
  <c r="M34" i="355"/>
  <c r="M96" i="355" s="1"/>
  <c r="L34" i="355"/>
  <c r="L96" i="355" s="1"/>
  <c r="K34" i="355"/>
  <c r="K96" i="355" s="1"/>
  <c r="J34" i="355"/>
  <c r="I34" i="355"/>
  <c r="I96" i="355" s="1"/>
  <c r="H34" i="355"/>
  <c r="H96" i="355" s="1"/>
  <c r="G34" i="355"/>
  <c r="G96" i="355" s="1"/>
  <c r="F96" i="355"/>
  <c r="C34" i="355"/>
  <c r="B34" i="355"/>
  <c r="AH33" i="355"/>
  <c r="AG33" i="355"/>
  <c r="AF33" i="355"/>
  <c r="AI32" i="355"/>
  <c r="AC31" i="355"/>
  <c r="AC93" i="355" s="1"/>
  <c r="AB31" i="355"/>
  <c r="AB93" i="355" s="1"/>
  <c r="AA31" i="355"/>
  <c r="AA93" i="355" s="1"/>
  <c r="Z31" i="355"/>
  <c r="Z93" i="355" s="1"/>
  <c r="Y31" i="355"/>
  <c r="Y93" i="355" s="1"/>
  <c r="X31" i="355"/>
  <c r="X93" i="355" s="1"/>
  <c r="W31" i="355"/>
  <c r="W93" i="355" s="1"/>
  <c r="V31" i="355"/>
  <c r="V93" i="355" s="1"/>
  <c r="U31" i="355"/>
  <c r="U93" i="355" s="1"/>
  <c r="T31" i="355"/>
  <c r="S31" i="355"/>
  <c r="S93" i="355" s="1"/>
  <c r="R31" i="355"/>
  <c r="R93" i="355" s="1"/>
  <c r="Q31" i="355"/>
  <c r="Q93" i="355" s="1"/>
  <c r="P31" i="355"/>
  <c r="P93" i="355" s="1"/>
  <c r="O31" i="355"/>
  <c r="O93" i="355" s="1"/>
  <c r="N31" i="355"/>
  <c r="N93" i="355" s="1"/>
  <c r="M31" i="355"/>
  <c r="M93" i="355" s="1"/>
  <c r="L31" i="355"/>
  <c r="L93" i="355" s="1"/>
  <c r="K31" i="355"/>
  <c r="K93" i="355" s="1"/>
  <c r="J31" i="355"/>
  <c r="J93" i="355" s="1"/>
  <c r="I31" i="355"/>
  <c r="G31" i="355"/>
  <c r="G93" i="355" s="1"/>
  <c r="C31" i="355"/>
  <c r="B31" i="355"/>
  <c r="AI28" i="355"/>
  <c r="AH28" i="355"/>
  <c r="AG28" i="355"/>
  <c r="AF28" i="355"/>
  <c r="AH27" i="355"/>
  <c r="AG27" i="355"/>
  <c r="AF27" i="355"/>
  <c r="AI26" i="355"/>
  <c r="AC25" i="355"/>
  <c r="AB25" i="355"/>
  <c r="AA25" i="355"/>
  <c r="AA89" i="355" s="1"/>
  <c r="Z25" i="355"/>
  <c r="Y25" i="355"/>
  <c r="X25" i="355"/>
  <c r="W25" i="355"/>
  <c r="V25" i="355"/>
  <c r="U25" i="355"/>
  <c r="T25" i="355"/>
  <c r="S25" i="355"/>
  <c r="R25" i="355"/>
  <c r="Q25" i="355"/>
  <c r="P25" i="355"/>
  <c r="O25" i="355"/>
  <c r="N25" i="355"/>
  <c r="M25" i="355"/>
  <c r="L25" i="355"/>
  <c r="K25" i="355"/>
  <c r="J25" i="355"/>
  <c r="I25" i="355"/>
  <c r="H25" i="355"/>
  <c r="G25" i="355"/>
  <c r="C25" i="355"/>
  <c r="AH24" i="355"/>
  <c r="AG24" i="355"/>
  <c r="AF24" i="355"/>
  <c r="AI23" i="355"/>
  <c r="AC22" i="355"/>
  <c r="AB22" i="355"/>
  <c r="AA22" i="355"/>
  <c r="Z22" i="355"/>
  <c r="Z89" i="355" s="1"/>
  <c r="Y22" i="355"/>
  <c r="Y89" i="355" s="1"/>
  <c r="X22" i="355"/>
  <c r="X89" i="355" s="1"/>
  <c r="W22" i="355"/>
  <c r="W89" i="355" s="1"/>
  <c r="V22" i="355"/>
  <c r="U22" i="355"/>
  <c r="T22" i="355"/>
  <c r="S22" i="355"/>
  <c r="R22" i="355"/>
  <c r="Q22" i="355"/>
  <c r="Q89" i="355" s="1"/>
  <c r="P22" i="355"/>
  <c r="O22" i="355"/>
  <c r="N22" i="355"/>
  <c r="M22" i="355"/>
  <c r="L22" i="355"/>
  <c r="K22" i="355"/>
  <c r="J22" i="355"/>
  <c r="I22" i="355"/>
  <c r="H22" i="355"/>
  <c r="G22" i="355"/>
  <c r="C22" i="355"/>
  <c r="B22" i="355"/>
  <c r="AH21" i="355"/>
  <c r="AG21" i="355"/>
  <c r="AF21" i="355"/>
  <c r="AH20" i="355"/>
  <c r="AG20" i="355"/>
  <c r="AF20" i="355"/>
  <c r="AH19" i="355"/>
  <c r="AG19" i="355"/>
  <c r="AF19" i="355"/>
  <c r="AI18" i="355"/>
  <c r="AC17" i="355"/>
  <c r="AC91" i="355" s="1"/>
  <c r="AB17" i="355"/>
  <c r="AB91" i="355" s="1"/>
  <c r="AA17" i="355"/>
  <c r="AA91" i="355" s="1"/>
  <c r="Z17" i="355"/>
  <c r="Z91" i="355" s="1"/>
  <c r="Y17" i="355"/>
  <c r="Y91" i="355" s="1"/>
  <c r="X17" i="355"/>
  <c r="X91" i="355" s="1"/>
  <c r="W17" i="355"/>
  <c r="W91" i="355" s="1"/>
  <c r="V17" i="355"/>
  <c r="V91" i="355" s="1"/>
  <c r="U17" i="355"/>
  <c r="T17" i="355"/>
  <c r="T91" i="355" s="1"/>
  <c r="S17" i="355"/>
  <c r="S91" i="355" s="1"/>
  <c r="R17" i="355"/>
  <c r="R91" i="355" s="1"/>
  <c r="Q17" i="355"/>
  <c r="P17" i="355"/>
  <c r="O17" i="355"/>
  <c r="N17" i="355"/>
  <c r="M17" i="355"/>
  <c r="L17" i="355"/>
  <c r="K17" i="355"/>
  <c r="K91" i="355" s="1"/>
  <c r="J17" i="355"/>
  <c r="J91" i="355" s="1"/>
  <c r="I17" i="355"/>
  <c r="I91" i="355" s="1"/>
  <c r="H17" i="355"/>
  <c r="H91" i="355" s="1"/>
  <c r="G17" i="355"/>
  <c r="G91" i="355" s="1"/>
  <c r="F91" i="355"/>
  <c r="C17" i="355"/>
  <c r="B17" i="355"/>
  <c r="AH16" i="355"/>
  <c r="AG16" i="355"/>
  <c r="AF16" i="355"/>
  <c r="AH15" i="355"/>
  <c r="AG15" i="355"/>
  <c r="AF15" i="355"/>
  <c r="AH14" i="355"/>
  <c r="AG14" i="355"/>
  <c r="AF14" i="355"/>
  <c r="AH13" i="355"/>
  <c r="AG13" i="355"/>
  <c r="AF13" i="355"/>
  <c r="AI12" i="355"/>
  <c r="M9" i="355" a="1"/>
  <c r="M9" i="355" s="1"/>
  <c r="AB60" i="354"/>
  <c r="AC60" i="354"/>
  <c r="Z60" i="354"/>
  <c r="AA60" i="354"/>
  <c r="AA98" i="354" s="1"/>
  <c r="AB98" i="354"/>
  <c r="F168" i="88"/>
  <c r="F166" i="88"/>
  <c r="AE102" i="260"/>
  <c r="F164" i="88"/>
  <c r="F165" i="88"/>
  <c r="F167" i="88"/>
  <c r="F41" i="88"/>
  <c r="F130" i="88"/>
  <c r="AE101" i="260"/>
  <c r="AA64" i="354"/>
  <c r="AA62" i="354"/>
  <c r="AE100" i="260"/>
  <c r="AA65" i="354"/>
  <c r="AA99" i="354" s="1"/>
  <c r="AF64" i="354"/>
  <c r="Z65" i="354"/>
  <c r="Z62" i="354"/>
  <c r="F161" i="88"/>
  <c r="F160" i="88"/>
  <c r="F158" i="88"/>
  <c r="F159" i="88"/>
  <c r="F162" i="88"/>
  <c r="F157" i="88"/>
  <c r="AE99" i="260"/>
  <c r="Z64" i="354"/>
  <c r="Y64" i="354"/>
  <c r="Y62" i="354"/>
  <c r="F133" i="88"/>
  <c r="Y65" i="354"/>
  <c r="Y99" i="354" s="1"/>
  <c r="AE98" i="260"/>
  <c r="X64" i="354"/>
  <c r="X62" i="354"/>
  <c r="F143" i="88"/>
  <c r="F132" i="88"/>
  <c r="F154" i="88"/>
  <c r="F153" i="88"/>
  <c r="AE97" i="260"/>
  <c r="W64" i="354"/>
  <c r="W62" i="354"/>
  <c r="AE96" i="260"/>
  <c r="V64" i="354"/>
  <c r="V62" i="354"/>
  <c r="AE95" i="260"/>
  <c r="U64" i="354"/>
  <c r="U62" i="354"/>
  <c r="U56" i="354"/>
  <c r="U48" i="354"/>
  <c r="F151" i="88"/>
  <c r="AE94" i="260"/>
  <c r="T64" i="354"/>
  <c r="T62" i="354"/>
  <c r="AI36" i="354"/>
  <c r="AE93" i="260"/>
  <c r="S64" i="354"/>
  <c r="S62" i="354"/>
  <c r="S65" i="354" s="1"/>
  <c r="S99" i="354" s="1"/>
  <c r="F125" i="88"/>
  <c r="AE92" i="260"/>
  <c r="R64" i="354"/>
  <c r="R63" i="354"/>
  <c r="Q64" i="354"/>
  <c r="Q63" i="354"/>
  <c r="AE91" i="260"/>
  <c r="F139" i="88"/>
  <c r="F138" i="88"/>
  <c r="F137" i="88"/>
  <c r="F136" i="88"/>
  <c r="F150" i="88"/>
  <c r="F148" i="88"/>
  <c r="AE90" i="260"/>
  <c r="F147" i="88"/>
  <c r="P64" i="354"/>
  <c r="P63" i="354"/>
  <c r="P65" i="354" s="1"/>
  <c r="P99" i="354" s="1"/>
  <c r="F146" i="88"/>
  <c r="F144" i="88"/>
  <c r="AE89" i="260"/>
  <c r="F135" i="88"/>
  <c r="F140" i="88"/>
  <c r="F131" i="88"/>
  <c r="F134" i="88"/>
  <c r="N64" i="354"/>
  <c r="F124" i="88"/>
  <c r="F122" i="88"/>
  <c r="M64" i="354"/>
  <c r="L64" i="354"/>
  <c r="L65" i="354"/>
  <c r="L99" i="354" s="1"/>
  <c r="L17" i="354"/>
  <c r="L91" i="354" s="1"/>
  <c r="F106" i="88"/>
  <c r="F117" i="88"/>
  <c r="F118" i="88"/>
  <c r="J63" i="354"/>
  <c r="I63" i="354"/>
  <c r="AA63" i="353"/>
  <c r="T64" i="353"/>
  <c r="U64" i="353"/>
  <c r="V64" i="353"/>
  <c r="W64" i="353"/>
  <c r="X64" i="353"/>
  <c r="Y64" i="353"/>
  <c r="Z64" i="353"/>
  <c r="I65" i="354"/>
  <c r="I99" i="354" s="1"/>
  <c r="J62" i="354"/>
  <c r="I62" i="354"/>
  <c r="F75" i="88"/>
  <c r="F126" i="88"/>
  <c r="F128" i="88"/>
  <c r="F127" i="88"/>
  <c r="F113" i="88"/>
  <c r="F107" i="88"/>
  <c r="F76" i="354"/>
  <c r="F100" i="354" s="1"/>
  <c r="F65" i="354"/>
  <c r="F99" i="354" s="1"/>
  <c r="F60" i="354"/>
  <c r="F98" i="354" s="1"/>
  <c r="F34" i="354"/>
  <c r="F31" i="354"/>
  <c r="F93" i="354" s="1"/>
  <c r="F25" i="354"/>
  <c r="F22" i="354"/>
  <c r="F17" i="354"/>
  <c r="AC107" i="354"/>
  <c r="AB107" i="354"/>
  <c r="AA107" i="354"/>
  <c r="Z107" i="354"/>
  <c r="Y107" i="354"/>
  <c r="X107" i="354"/>
  <c r="W107" i="354"/>
  <c r="V107" i="354"/>
  <c r="U107" i="354"/>
  <c r="S107" i="354"/>
  <c r="R107" i="354"/>
  <c r="Q107" i="354"/>
  <c r="P107" i="354"/>
  <c r="O107" i="354"/>
  <c r="N107" i="354"/>
  <c r="L107" i="354"/>
  <c r="K107" i="354"/>
  <c r="J107" i="354"/>
  <c r="I107" i="354"/>
  <c r="H107" i="354"/>
  <c r="G107" i="354"/>
  <c r="F107" i="354"/>
  <c r="T107" i="354"/>
  <c r="M107" i="354"/>
  <c r="AC102" i="354"/>
  <c r="AB102" i="354"/>
  <c r="AA102" i="354"/>
  <c r="Z102" i="354"/>
  <c r="Y102" i="354"/>
  <c r="X102" i="354"/>
  <c r="W102" i="354"/>
  <c r="V102" i="354"/>
  <c r="U102" i="354"/>
  <c r="T102" i="354"/>
  <c r="S102" i="354"/>
  <c r="R102" i="354"/>
  <c r="Q102" i="354"/>
  <c r="P102" i="354"/>
  <c r="O102" i="354"/>
  <c r="N102" i="354"/>
  <c r="M102" i="354"/>
  <c r="L102" i="354"/>
  <c r="K102" i="354"/>
  <c r="J102" i="354"/>
  <c r="I102" i="354"/>
  <c r="H102" i="354"/>
  <c r="G102" i="354"/>
  <c r="F102" i="354"/>
  <c r="AC101" i="354"/>
  <c r="R101" i="354"/>
  <c r="AA100" i="354"/>
  <c r="X100" i="354"/>
  <c r="U100" i="354"/>
  <c r="G100" i="354"/>
  <c r="U91" i="354"/>
  <c r="H89" i="354"/>
  <c r="AC80" i="354"/>
  <c r="AB80" i="354"/>
  <c r="AB101" i="354" s="1"/>
  <c r="AA80" i="354"/>
  <c r="AA101" i="354" s="1"/>
  <c r="Z80" i="354"/>
  <c r="Z101" i="354" s="1"/>
  <c r="Y80" i="354"/>
  <c r="Y101" i="354" s="1"/>
  <c r="X80" i="354"/>
  <c r="X101" i="354" s="1"/>
  <c r="W80" i="354"/>
  <c r="W101" i="354" s="1"/>
  <c r="V80" i="354"/>
  <c r="V101" i="354" s="1"/>
  <c r="U80" i="354"/>
  <c r="U101" i="354" s="1"/>
  <c r="T80" i="354"/>
  <c r="T101" i="354" s="1"/>
  <c r="S80" i="354"/>
  <c r="S101" i="354" s="1"/>
  <c r="R80" i="354"/>
  <c r="Q80" i="354"/>
  <c r="Q101" i="354" s="1"/>
  <c r="P80" i="354"/>
  <c r="P101" i="354" s="1"/>
  <c r="O80" i="354"/>
  <c r="O101" i="354" s="1"/>
  <c r="N80" i="354"/>
  <c r="N101" i="354" s="1"/>
  <c r="M80" i="354"/>
  <c r="M101" i="354" s="1"/>
  <c r="L80" i="354"/>
  <c r="L101" i="354" s="1"/>
  <c r="K80" i="354"/>
  <c r="K101" i="354" s="1"/>
  <c r="J80" i="354"/>
  <c r="J101" i="354" s="1"/>
  <c r="I80" i="354"/>
  <c r="I101" i="354" s="1"/>
  <c r="H80" i="354"/>
  <c r="H101" i="354" s="1"/>
  <c r="G80" i="354"/>
  <c r="G101" i="354" s="1"/>
  <c r="F80" i="354"/>
  <c r="F101" i="354" s="1"/>
  <c r="C80" i="354"/>
  <c r="B80" i="354"/>
  <c r="AH79" i="354"/>
  <c r="AG79" i="354"/>
  <c r="AF79" i="354"/>
  <c r="AH78" i="354"/>
  <c r="AG78" i="354"/>
  <c r="AF78" i="354"/>
  <c r="AI77" i="354"/>
  <c r="AC76" i="354"/>
  <c r="AC100" i="354" s="1"/>
  <c r="AB76" i="354"/>
  <c r="AB100" i="354" s="1"/>
  <c r="AA76" i="354"/>
  <c r="Z76" i="354"/>
  <c r="Z100" i="354" s="1"/>
  <c r="Y76" i="354"/>
  <c r="Y100" i="354" s="1"/>
  <c r="X76" i="354"/>
  <c r="W76" i="354"/>
  <c r="W100" i="354" s="1"/>
  <c r="V76" i="354"/>
  <c r="V100" i="354" s="1"/>
  <c r="U76" i="354"/>
  <c r="T76" i="354"/>
  <c r="T100" i="354" s="1"/>
  <c r="S76" i="354"/>
  <c r="S100" i="354" s="1"/>
  <c r="R76" i="354"/>
  <c r="R100" i="354" s="1"/>
  <c r="Q76" i="354"/>
  <c r="Q100" i="354" s="1"/>
  <c r="P76" i="354"/>
  <c r="P100" i="354" s="1"/>
  <c r="O76" i="354"/>
  <c r="O100" i="354" s="1"/>
  <c r="N76" i="354"/>
  <c r="N100" i="354" s="1"/>
  <c r="M76" i="354"/>
  <c r="M100" i="354" s="1"/>
  <c r="L76" i="354"/>
  <c r="L100" i="354" s="1"/>
  <c r="K76" i="354"/>
  <c r="K100" i="354" s="1"/>
  <c r="J76" i="354"/>
  <c r="J100" i="354" s="1"/>
  <c r="I76" i="354"/>
  <c r="I100" i="354" s="1"/>
  <c r="H76" i="354"/>
  <c r="H100" i="354" s="1"/>
  <c r="G76" i="354"/>
  <c r="C76" i="354"/>
  <c r="B76" i="354"/>
  <c r="AH75" i="354"/>
  <c r="AG75" i="354"/>
  <c r="AF75" i="354"/>
  <c r="AH74" i="354"/>
  <c r="AG74" i="354"/>
  <c r="AF74" i="354"/>
  <c r="AH73" i="354"/>
  <c r="AG73" i="354"/>
  <c r="AF73" i="354"/>
  <c r="AH72" i="354"/>
  <c r="AG72" i="354"/>
  <c r="AF72" i="354"/>
  <c r="AH71" i="354"/>
  <c r="AG71" i="354"/>
  <c r="AF71" i="354"/>
  <c r="AH70" i="354"/>
  <c r="AG70" i="354"/>
  <c r="AF70" i="354"/>
  <c r="AH69" i="354"/>
  <c r="AG69" i="354"/>
  <c r="AF69" i="354"/>
  <c r="AH68" i="354"/>
  <c r="AG68" i="354"/>
  <c r="AF68" i="354"/>
  <c r="AH67" i="354"/>
  <c r="AG67" i="354"/>
  <c r="AF67" i="354"/>
  <c r="AI66" i="354"/>
  <c r="AC65" i="354"/>
  <c r="AC99" i="354" s="1"/>
  <c r="AB65" i="354"/>
  <c r="AB99" i="354" s="1"/>
  <c r="X65" i="354"/>
  <c r="X99" i="354" s="1"/>
  <c r="W65" i="354"/>
  <c r="W99" i="354" s="1"/>
  <c r="V65" i="354"/>
  <c r="V99" i="354" s="1"/>
  <c r="R65" i="354"/>
  <c r="R99" i="354" s="1"/>
  <c r="Q65" i="354"/>
  <c r="Q99" i="354" s="1"/>
  <c r="N65" i="354"/>
  <c r="N99" i="354" s="1"/>
  <c r="M65" i="354"/>
  <c r="M99" i="354" s="1"/>
  <c r="J65" i="354"/>
  <c r="J99" i="354" s="1"/>
  <c r="H65" i="354"/>
  <c r="H99" i="354" s="1"/>
  <c r="G65" i="354"/>
  <c r="G99" i="354" s="1"/>
  <c r="C65" i="354"/>
  <c r="T65" i="354"/>
  <c r="T99" i="354" s="1"/>
  <c r="O65" i="354"/>
  <c r="O99" i="354" s="1"/>
  <c r="U65" i="354"/>
  <c r="U99" i="354" s="1"/>
  <c r="AC98" i="354"/>
  <c r="Z98" i="354"/>
  <c r="Y60" i="354"/>
  <c r="Y98" i="354" s="1"/>
  <c r="X60" i="354"/>
  <c r="X98" i="354" s="1"/>
  <c r="W60" i="354"/>
  <c r="W98" i="354" s="1"/>
  <c r="V60" i="354"/>
  <c r="V98" i="354" s="1"/>
  <c r="T60" i="354"/>
  <c r="T98" i="354" s="1"/>
  <c r="S60" i="354"/>
  <c r="S98" i="354" s="1"/>
  <c r="R60" i="354"/>
  <c r="R98" i="354" s="1"/>
  <c r="Q60" i="354"/>
  <c r="Q98" i="354" s="1"/>
  <c r="P60" i="354"/>
  <c r="P98" i="354" s="1"/>
  <c r="O60" i="354"/>
  <c r="O98" i="354" s="1"/>
  <c r="M60" i="354"/>
  <c r="M98" i="354" s="1"/>
  <c r="L60" i="354"/>
  <c r="L98" i="354" s="1"/>
  <c r="K60" i="354"/>
  <c r="K98" i="354" s="1"/>
  <c r="J60" i="354"/>
  <c r="J98" i="354" s="1"/>
  <c r="I60" i="354"/>
  <c r="I98" i="354" s="1"/>
  <c r="H60" i="354"/>
  <c r="H98" i="354" s="1"/>
  <c r="G60" i="354"/>
  <c r="G98" i="354" s="1"/>
  <c r="C60" i="354"/>
  <c r="B60" i="354"/>
  <c r="B65" i="354" s="1"/>
  <c r="AH59" i="354"/>
  <c r="AG59" i="354"/>
  <c r="AF59" i="354"/>
  <c r="AH58" i="354"/>
  <c r="AG58" i="354"/>
  <c r="AF58" i="354"/>
  <c r="AH57" i="354"/>
  <c r="AG57" i="354"/>
  <c r="AF57" i="354"/>
  <c r="AH56" i="354"/>
  <c r="AG56" i="354"/>
  <c r="AF56" i="354"/>
  <c r="AH55" i="354"/>
  <c r="AG55" i="354"/>
  <c r="AF55" i="354"/>
  <c r="AH52" i="354"/>
  <c r="AG52" i="354"/>
  <c r="AF52" i="354"/>
  <c r="AH51" i="354"/>
  <c r="AG51" i="354"/>
  <c r="AF51" i="354"/>
  <c r="AH49" i="354"/>
  <c r="AG49" i="354"/>
  <c r="AF49" i="354"/>
  <c r="AH47" i="354"/>
  <c r="AG47" i="354"/>
  <c r="AF47" i="354"/>
  <c r="AH46" i="354"/>
  <c r="AG46" i="354"/>
  <c r="AF46" i="354"/>
  <c r="AH45" i="354"/>
  <c r="AG45" i="354"/>
  <c r="AF45" i="354"/>
  <c r="AH44" i="354"/>
  <c r="AG44" i="354"/>
  <c r="AF44" i="354"/>
  <c r="AH43" i="354"/>
  <c r="AG43" i="354"/>
  <c r="AF43" i="354"/>
  <c r="AH42" i="354"/>
  <c r="AG42" i="354"/>
  <c r="AF42" i="354"/>
  <c r="AH41" i="354"/>
  <c r="AG41" i="354"/>
  <c r="AF41" i="354"/>
  <c r="AH40" i="354"/>
  <c r="AG40" i="354"/>
  <c r="AF40" i="354"/>
  <c r="AH39" i="354"/>
  <c r="AG39" i="354"/>
  <c r="AF39" i="354"/>
  <c r="AH38" i="354"/>
  <c r="AG38" i="354"/>
  <c r="AF38" i="354"/>
  <c r="AH37" i="354"/>
  <c r="AG37" i="354"/>
  <c r="AF37" i="354"/>
  <c r="AH36" i="354"/>
  <c r="AG36" i="354"/>
  <c r="AF36" i="354"/>
  <c r="AI35" i="354"/>
  <c r="AC34" i="354"/>
  <c r="AC96" i="354" s="1"/>
  <c r="AB34" i="354"/>
  <c r="AB96" i="354" s="1"/>
  <c r="AA34" i="354"/>
  <c r="AA96" i="354" s="1"/>
  <c r="Z34" i="354"/>
  <c r="Z96" i="354" s="1"/>
  <c r="Y34" i="354"/>
  <c r="Y96" i="354" s="1"/>
  <c r="X34" i="354"/>
  <c r="X96" i="354" s="1"/>
  <c r="W34" i="354"/>
  <c r="W96" i="354" s="1"/>
  <c r="V34" i="354"/>
  <c r="V96" i="354" s="1"/>
  <c r="U34" i="354"/>
  <c r="U96" i="354" s="1"/>
  <c r="T34" i="354"/>
  <c r="T96" i="354" s="1"/>
  <c r="S34" i="354"/>
  <c r="S96" i="354" s="1"/>
  <c r="R34" i="354"/>
  <c r="R96" i="354" s="1"/>
  <c r="Q34" i="354"/>
  <c r="Q96" i="354" s="1"/>
  <c r="P34" i="354"/>
  <c r="P96" i="354" s="1"/>
  <c r="O34" i="354"/>
  <c r="O96" i="354" s="1"/>
  <c r="N34" i="354"/>
  <c r="N96" i="354" s="1"/>
  <c r="M34" i="354"/>
  <c r="M96" i="354" s="1"/>
  <c r="L34" i="354"/>
  <c r="L96" i="354" s="1"/>
  <c r="K34" i="354"/>
  <c r="K96" i="354" s="1"/>
  <c r="J34" i="354"/>
  <c r="J96" i="354" s="1"/>
  <c r="I34" i="354"/>
  <c r="I96" i="354" s="1"/>
  <c r="H34" i="354"/>
  <c r="H96" i="354" s="1"/>
  <c r="G34" i="354"/>
  <c r="G96" i="354" s="1"/>
  <c r="F96" i="354"/>
  <c r="C34" i="354"/>
  <c r="B34" i="354"/>
  <c r="AH33" i="354"/>
  <c r="AG33" i="354"/>
  <c r="AF33" i="354"/>
  <c r="AI32" i="354"/>
  <c r="AC31" i="354"/>
  <c r="AC93" i="354" s="1"/>
  <c r="AB31" i="354"/>
  <c r="AB93" i="354" s="1"/>
  <c r="AA31" i="354"/>
  <c r="AA93" i="354" s="1"/>
  <c r="Z31" i="354"/>
  <c r="Z93" i="354" s="1"/>
  <c r="Y31" i="354"/>
  <c r="Y93" i="354" s="1"/>
  <c r="X31" i="354"/>
  <c r="X93" i="354" s="1"/>
  <c r="W31" i="354"/>
  <c r="W93" i="354" s="1"/>
  <c r="V31" i="354"/>
  <c r="V93" i="354" s="1"/>
  <c r="U31" i="354"/>
  <c r="U93" i="354" s="1"/>
  <c r="T31" i="354"/>
  <c r="T93" i="354" s="1"/>
  <c r="S31" i="354"/>
  <c r="S93" i="354" s="1"/>
  <c r="R31" i="354"/>
  <c r="R93" i="354" s="1"/>
  <c r="Q31" i="354"/>
  <c r="Q93" i="354" s="1"/>
  <c r="P31" i="354"/>
  <c r="P93" i="354" s="1"/>
  <c r="O31" i="354"/>
  <c r="O93" i="354" s="1"/>
  <c r="N31" i="354"/>
  <c r="N93" i="354" s="1"/>
  <c r="M31" i="354"/>
  <c r="M93" i="354" s="1"/>
  <c r="L31" i="354"/>
  <c r="L93" i="354" s="1"/>
  <c r="K31" i="354"/>
  <c r="K93" i="354" s="1"/>
  <c r="J31" i="354"/>
  <c r="J93" i="354" s="1"/>
  <c r="I31" i="354"/>
  <c r="I93" i="354" s="1"/>
  <c r="H31" i="354"/>
  <c r="H93" i="354" s="1"/>
  <c r="G31" i="354"/>
  <c r="G93" i="354" s="1"/>
  <c r="C31" i="354"/>
  <c r="B31" i="354"/>
  <c r="AI28" i="354"/>
  <c r="AH28" i="354"/>
  <c r="AG28" i="354"/>
  <c r="AF28" i="354"/>
  <c r="AH27" i="354"/>
  <c r="AG27" i="354"/>
  <c r="AF27" i="354"/>
  <c r="AI26" i="354"/>
  <c r="AC25" i="354"/>
  <c r="AB25" i="354"/>
  <c r="AA25" i="354"/>
  <c r="Z25" i="354"/>
  <c r="Y25" i="354"/>
  <c r="X25" i="354"/>
  <c r="W25" i="354"/>
  <c r="V25" i="354"/>
  <c r="U25" i="354"/>
  <c r="T25" i="354"/>
  <c r="S25" i="354"/>
  <c r="R25" i="354"/>
  <c r="Q25" i="354"/>
  <c r="P25" i="354"/>
  <c r="O25" i="354"/>
  <c r="N25" i="354"/>
  <c r="M25" i="354"/>
  <c r="L25" i="354"/>
  <c r="K25" i="354"/>
  <c r="J25" i="354"/>
  <c r="I25" i="354"/>
  <c r="H25" i="354"/>
  <c r="G25" i="354"/>
  <c r="C25" i="354"/>
  <c r="B25" i="354"/>
  <c r="AH24" i="354"/>
  <c r="AG24" i="354"/>
  <c r="AF24" i="354"/>
  <c r="AI23" i="354"/>
  <c r="AC22" i="354"/>
  <c r="AB22" i="354"/>
  <c r="AB89" i="354" s="1"/>
  <c r="AA22" i="354"/>
  <c r="Z22" i="354"/>
  <c r="Y22" i="354"/>
  <c r="Y89" i="354" s="1"/>
  <c r="X22" i="354"/>
  <c r="X89" i="354" s="1"/>
  <c r="W22" i="354"/>
  <c r="W89" i="354" s="1"/>
  <c r="V22" i="354"/>
  <c r="V89" i="354" s="1"/>
  <c r="U22" i="354"/>
  <c r="U89" i="354" s="1"/>
  <c r="T22" i="354"/>
  <c r="T89" i="354" s="1"/>
  <c r="S22" i="354"/>
  <c r="S89" i="354" s="1"/>
  <c r="R22" i="354"/>
  <c r="Q22" i="354"/>
  <c r="P22" i="354"/>
  <c r="P89" i="354" s="1"/>
  <c r="O22" i="354"/>
  <c r="N22" i="354"/>
  <c r="M22" i="354"/>
  <c r="L22" i="354"/>
  <c r="K22" i="354"/>
  <c r="J22" i="354"/>
  <c r="I22" i="354"/>
  <c r="H22" i="354"/>
  <c r="G22" i="354"/>
  <c r="G89" i="354" s="1"/>
  <c r="F89" i="354"/>
  <c r="C22" i="354"/>
  <c r="B22" i="354"/>
  <c r="AH21" i="354"/>
  <c r="AG21" i="354"/>
  <c r="AF21" i="354"/>
  <c r="AH20" i="354"/>
  <c r="AG20" i="354"/>
  <c r="AF20" i="354"/>
  <c r="AH19" i="354"/>
  <c r="AG19" i="354"/>
  <c r="AF19" i="354"/>
  <c r="AI18" i="354"/>
  <c r="AC17" i="354"/>
  <c r="AB17" i="354"/>
  <c r="AA17" i="354"/>
  <c r="Z17" i="354"/>
  <c r="Y17" i="354"/>
  <c r="X17" i="354"/>
  <c r="X91" i="354" s="1"/>
  <c r="W17" i="354"/>
  <c r="W91" i="354" s="1"/>
  <c r="V17" i="354"/>
  <c r="V91" i="354" s="1"/>
  <c r="U17" i="354"/>
  <c r="T17" i="354"/>
  <c r="S17" i="354"/>
  <c r="S91" i="354" s="1"/>
  <c r="R17" i="354"/>
  <c r="R91" i="354" s="1"/>
  <c r="Q17" i="354"/>
  <c r="Q91" i="354" s="1"/>
  <c r="P17" i="354"/>
  <c r="P91" i="354" s="1"/>
  <c r="O17" i="354"/>
  <c r="O91" i="354" s="1"/>
  <c r="N17" i="354"/>
  <c r="N91" i="354" s="1"/>
  <c r="M17" i="354"/>
  <c r="M91" i="354" s="1"/>
  <c r="K17" i="354"/>
  <c r="K91" i="354" s="1"/>
  <c r="J17" i="354"/>
  <c r="J91" i="354" s="1"/>
  <c r="J109" i="354" s="1"/>
  <c r="I17" i="354"/>
  <c r="H17" i="354"/>
  <c r="G17" i="354"/>
  <c r="C17" i="354"/>
  <c r="B17" i="354"/>
  <c r="AH16" i="354"/>
  <c r="AG16" i="354"/>
  <c r="AF16" i="354"/>
  <c r="AH15" i="354"/>
  <c r="AG15" i="354"/>
  <c r="AF15" i="354"/>
  <c r="AH14" i="354"/>
  <c r="AG14" i="354"/>
  <c r="AF14" i="354"/>
  <c r="AH13" i="354"/>
  <c r="AG13" i="354"/>
  <c r="AF13" i="354"/>
  <c r="AI12" i="354"/>
  <c r="M9" i="354" a="1"/>
  <c r="M9" i="354" s="1"/>
  <c r="AA62" i="353"/>
  <c r="F92" i="88"/>
  <c r="AE76" i="260"/>
  <c r="F102" i="88"/>
  <c r="AE75" i="260"/>
  <c r="Z62" i="353"/>
  <c r="AE74" i="260"/>
  <c r="Y62" i="353"/>
  <c r="AE73" i="260"/>
  <c r="X62" i="353"/>
  <c r="AE72" i="260"/>
  <c r="W62" i="353"/>
  <c r="T106" i="353"/>
  <c r="F123" i="88"/>
  <c r="F121" i="88"/>
  <c r="AE71" i="260"/>
  <c r="V62" i="353"/>
  <c r="F120" i="88"/>
  <c r="F116" i="88"/>
  <c r="AE70" i="260"/>
  <c r="AE69" i="260"/>
  <c r="F119" i="88"/>
  <c r="U62" i="353"/>
  <c r="T62" i="353"/>
  <c r="AE68" i="260"/>
  <c r="M106" i="353"/>
  <c r="F97" i="88"/>
  <c r="F101" i="88"/>
  <c r="F115" i="88"/>
  <c r="F114" i="88"/>
  <c r="AE66" i="260"/>
  <c r="AP580" i="79" l="1"/>
  <c r="AC110" i="359"/>
  <c r="AB89" i="359"/>
  <c r="AA89" i="359"/>
  <c r="Y89" i="359"/>
  <c r="X110" i="359"/>
  <c r="V89" i="359"/>
  <c r="W89" i="359"/>
  <c r="U109" i="359"/>
  <c r="T89" i="359"/>
  <c r="T103" i="359" s="1"/>
  <c r="T108" i="359" s="1"/>
  <c r="B83" i="359"/>
  <c r="M89" i="359"/>
  <c r="I110" i="359"/>
  <c r="H89" i="359"/>
  <c r="X89" i="359"/>
  <c r="X103" i="359" s="1"/>
  <c r="X108" i="359" s="1"/>
  <c r="N109" i="359"/>
  <c r="O109" i="359"/>
  <c r="J83" i="359"/>
  <c r="G109" i="359"/>
  <c r="N89" i="359"/>
  <c r="P89" i="359"/>
  <c r="Q89" i="359"/>
  <c r="W83" i="359"/>
  <c r="X83" i="359"/>
  <c r="G103" i="359"/>
  <c r="G108" i="359" s="1"/>
  <c r="M110" i="359"/>
  <c r="O89" i="359"/>
  <c r="O103" i="359" s="1"/>
  <c r="O108" i="359" s="1"/>
  <c r="Y110" i="359"/>
  <c r="I89" i="359"/>
  <c r="I103" i="359" s="1"/>
  <c r="I108" i="359" s="1"/>
  <c r="AC89" i="359"/>
  <c r="W91" i="359"/>
  <c r="W109" i="359" s="1"/>
  <c r="X109" i="359"/>
  <c r="G110" i="359"/>
  <c r="AA110" i="359"/>
  <c r="AA91" i="359"/>
  <c r="AA109" i="359" s="1"/>
  <c r="H110" i="359"/>
  <c r="AB110" i="359"/>
  <c r="W110" i="359"/>
  <c r="AA103" i="359"/>
  <c r="AA108" i="359" s="1"/>
  <c r="U103" i="359"/>
  <c r="U108" i="359" s="1"/>
  <c r="R83" i="359"/>
  <c r="R110" i="359"/>
  <c r="J109" i="359"/>
  <c r="S83" i="359"/>
  <c r="K109" i="359"/>
  <c r="AH47" i="359"/>
  <c r="V60" i="359"/>
  <c r="AI36" i="359"/>
  <c r="S103" i="359"/>
  <c r="S108" i="359" s="1"/>
  <c r="AF47" i="359"/>
  <c r="P83" i="359"/>
  <c r="P91" i="359"/>
  <c r="P109" i="359" s="1"/>
  <c r="P110" i="359"/>
  <c r="K89" i="359"/>
  <c r="K103" i="359" s="1"/>
  <c r="K108" i="359" s="1"/>
  <c r="K83" i="359"/>
  <c r="AG47" i="359"/>
  <c r="Q91" i="359"/>
  <c r="Q109" i="359" s="1"/>
  <c r="Q110" i="359"/>
  <c r="T83" i="359"/>
  <c r="AI61" i="359"/>
  <c r="AH63" i="359"/>
  <c r="AG63" i="359"/>
  <c r="AF63" i="359"/>
  <c r="G83" i="359"/>
  <c r="L109" i="359"/>
  <c r="U83" i="359"/>
  <c r="P103" i="359"/>
  <c r="P108" i="359" s="1"/>
  <c r="M65" i="359"/>
  <c r="H83" i="359"/>
  <c r="M109" i="359"/>
  <c r="N65" i="359"/>
  <c r="I83" i="359"/>
  <c r="R91" i="359"/>
  <c r="AA83" i="359"/>
  <c r="S109" i="359"/>
  <c r="Z65" i="359"/>
  <c r="AB83" i="359"/>
  <c r="T109" i="359"/>
  <c r="AC83" i="359"/>
  <c r="L89" i="359"/>
  <c r="L110" i="359"/>
  <c r="F83" i="359"/>
  <c r="J89" i="359"/>
  <c r="J103" i="359" s="1"/>
  <c r="J108" i="359" s="1"/>
  <c r="V109" i="359"/>
  <c r="J110" i="359"/>
  <c r="V110" i="359"/>
  <c r="K110" i="359"/>
  <c r="N110" i="359"/>
  <c r="O110" i="359"/>
  <c r="AF48" i="359"/>
  <c r="AF56" i="359"/>
  <c r="Y91" i="359"/>
  <c r="Y109" i="359" s="1"/>
  <c r="AG48" i="359"/>
  <c r="O83" i="359"/>
  <c r="F91" i="359"/>
  <c r="Z91" i="359"/>
  <c r="H91" i="359"/>
  <c r="AB91" i="359"/>
  <c r="T110" i="359"/>
  <c r="I91" i="359"/>
  <c r="I109" i="359" s="1"/>
  <c r="AC91" i="359"/>
  <c r="AC109" i="359" s="1"/>
  <c r="U110" i="359"/>
  <c r="Z110" i="359"/>
  <c r="F110" i="359"/>
  <c r="AF62" i="359"/>
  <c r="Q65" i="359"/>
  <c r="Q83" i="359" s="1"/>
  <c r="AF51" i="359"/>
  <c r="AG62" i="359"/>
  <c r="Y83" i="359"/>
  <c r="S110" i="359"/>
  <c r="X89" i="358"/>
  <c r="Y109" i="358"/>
  <c r="Z109" i="358"/>
  <c r="AA109" i="358"/>
  <c r="AB109" i="358"/>
  <c r="AC109" i="358"/>
  <c r="H109" i="358"/>
  <c r="J89" i="358"/>
  <c r="J103" i="358" s="1"/>
  <c r="J108" i="358" s="1"/>
  <c r="S89" i="358"/>
  <c r="K89" i="358"/>
  <c r="T89" i="358"/>
  <c r="U89" i="358"/>
  <c r="V89" i="358"/>
  <c r="W89" i="358"/>
  <c r="W103" i="358" s="1"/>
  <c r="W108" i="358" s="1"/>
  <c r="C83" i="358"/>
  <c r="P109" i="358"/>
  <c r="O83" i="358"/>
  <c r="N89" i="358"/>
  <c r="M89" i="358"/>
  <c r="M109" i="358"/>
  <c r="L89" i="358"/>
  <c r="J110" i="358"/>
  <c r="J91" i="358"/>
  <c r="J109" i="358" s="1"/>
  <c r="G109" i="358"/>
  <c r="S109" i="358"/>
  <c r="T109" i="358"/>
  <c r="W109" i="358"/>
  <c r="R109" i="358"/>
  <c r="U109" i="358"/>
  <c r="I83" i="358"/>
  <c r="AC83" i="358"/>
  <c r="H83" i="358"/>
  <c r="Q109" i="358"/>
  <c r="J83" i="358"/>
  <c r="AB83" i="358"/>
  <c r="V83" i="358"/>
  <c r="H110" i="358"/>
  <c r="AB110" i="358"/>
  <c r="I110" i="358"/>
  <c r="AC110" i="358"/>
  <c r="S110" i="358"/>
  <c r="Y89" i="358"/>
  <c r="K83" i="358"/>
  <c r="O89" i="358"/>
  <c r="F110" i="358"/>
  <c r="Z89" i="358"/>
  <c r="Z103" i="358" s="1"/>
  <c r="Z108" i="358" s="1"/>
  <c r="X83" i="358"/>
  <c r="L110" i="358"/>
  <c r="P89" i="358"/>
  <c r="P103" i="358" s="1"/>
  <c r="P108" i="358" s="1"/>
  <c r="G89" i="358"/>
  <c r="G103" i="358" s="1"/>
  <c r="G108" i="358" s="1"/>
  <c r="AA89" i="358"/>
  <c r="V91" i="358"/>
  <c r="V109" i="358" s="1"/>
  <c r="F109" i="358"/>
  <c r="Q89" i="358"/>
  <c r="Q103" i="358" s="1"/>
  <c r="Q108" i="358" s="1"/>
  <c r="H89" i="358"/>
  <c r="H103" i="358" s="1"/>
  <c r="H108" i="358" s="1"/>
  <c r="AB89" i="358"/>
  <c r="AB103" i="358" s="1"/>
  <c r="AB108" i="358" s="1"/>
  <c r="S103" i="358"/>
  <c r="S108" i="358" s="1"/>
  <c r="T110" i="358"/>
  <c r="U83" i="358"/>
  <c r="W83" i="358"/>
  <c r="F83" i="358"/>
  <c r="G110" i="358"/>
  <c r="AA110" i="358"/>
  <c r="N109" i="358"/>
  <c r="R89" i="358"/>
  <c r="I89" i="358"/>
  <c r="I103" i="358" s="1"/>
  <c r="I108" i="358" s="1"/>
  <c r="AC89" i="358"/>
  <c r="AC103" i="358" s="1"/>
  <c r="AC108" i="358" s="1"/>
  <c r="G83" i="358"/>
  <c r="X91" i="358"/>
  <c r="X109" i="358" s="1"/>
  <c r="B83" i="358"/>
  <c r="I109" i="358"/>
  <c r="T103" i="358"/>
  <c r="T108" i="358" s="1"/>
  <c r="U103" i="358"/>
  <c r="U108" i="358" s="1"/>
  <c r="AA83" i="358"/>
  <c r="AA99" i="358"/>
  <c r="Y83" i="358"/>
  <c r="Z83" i="358"/>
  <c r="Y103" i="358"/>
  <c r="Y108" i="358" s="1"/>
  <c r="AF63" i="358"/>
  <c r="Q110" i="358"/>
  <c r="AF56" i="358"/>
  <c r="R110" i="358"/>
  <c r="AH63" i="358"/>
  <c r="P83" i="358"/>
  <c r="AI61" i="358"/>
  <c r="U110" i="358"/>
  <c r="AI36" i="358"/>
  <c r="N65" i="358"/>
  <c r="S83" i="358"/>
  <c r="V110" i="358"/>
  <c r="M65" i="358"/>
  <c r="T83" i="358"/>
  <c r="K91" i="358"/>
  <c r="K109" i="358" s="1"/>
  <c r="W110" i="358"/>
  <c r="R60" i="358"/>
  <c r="L91" i="358"/>
  <c r="L109" i="358" s="1"/>
  <c r="X110" i="358"/>
  <c r="K110" i="358"/>
  <c r="M110" i="358"/>
  <c r="F89" i="358"/>
  <c r="F103" i="358" s="1"/>
  <c r="F108" i="358" s="1"/>
  <c r="N110" i="358"/>
  <c r="AG47" i="358"/>
  <c r="L83" i="358"/>
  <c r="O110" i="358"/>
  <c r="P110" i="358"/>
  <c r="AG56" i="358"/>
  <c r="Q83" i="358"/>
  <c r="Y110" i="358"/>
  <c r="Z110" i="358"/>
  <c r="AG63" i="358"/>
  <c r="AH48" i="358"/>
  <c r="O91" i="358"/>
  <c r="O109" i="358" s="1"/>
  <c r="AF48" i="358"/>
  <c r="AF62" i="358"/>
  <c r="AG62" i="358"/>
  <c r="AF51" i="358"/>
  <c r="AH62" i="358"/>
  <c r="Z89" i="357"/>
  <c r="Y109" i="357"/>
  <c r="X109" i="357"/>
  <c r="U89" i="357"/>
  <c r="T89" i="357"/>
  <c r="T103" i="357" s="1"/>
  <c r="T108" i="357" s="1"/>
  <c r="P89" i="357"/>
  <c r="O89" i="357"/>
  <c r="N89" i="357"/>
  <c r="L110" i="357"/>
  <c r="L91" i="357"/>
  <c r="L109" i="357" s="1"/>
  <c r="K109" i="357"/>
  <c r="Z103" i="357"/>
  <c r="Z108" i="357" s="1"/>
  <c r="G109" i="357"/>
  <c r="Q109" i="357"/>
  <c r="V110" i="357"/>
  <c r="W110" i="357"/>
  <c r="V83" i="357"/>
  <c r="AA109" i="357"/>
  <c r="V91" i="357"/>
  <c r="V103" i="357" s="1"/>
  <c r="V108" i="357" s="1"/>
  <c r="L89" i="357"/>
  <c r="M89" i="357"/>
  <c r="M103" i="357" s="1"/>
  <c r="M108" i="357" s="1"/>
  <c r="Q89" i="357"/>
  <c r="Q103" i="357" s="1"/>
  <c r="Q108" i="357" s="1"/>
  <c r="H89" i="357"/>
  <c r="AB89" i="357"/>
  <c r="X89" i="357"/>
  <c r="X103" i="357" s="1"/>
  <c r="X108" i="357" s="1"/>
  <c r="F109" i="357"/>
  <c r="G89" i="357"/>
  <c r="G103" i="357" s="1"/>
  <c r="G108" i="357" s="1"/>
  <c r="AA89" i="357"/>
  <c r="AA103" i="357" s="1"/>
  <c r="AA108" i="357" s="1"/>
  <c r="R89" i="357"/>
  <c r="I89" i="357"/>
  <c r="AC89" i="357"/>
  <c r="K110" i="357"/>
  <c r="S89" i="357"/>
  <c r="S103" i="357" s="1"/>
  <c r="S108" i="357" s="1"/>
  <c r="J89" i="357"/>
  <c r="J103" i="357" s="1"/>
  <c r="J108" i="357" s="1"/>
  <c r="F103" i="357"/>
  <c r="F108" i="357" s="1"/>
  <c r="I83" i="357"/>
  <c r="U109" i="357"/>
  <c r="J83" i="357"/>
  <c r="W83" i="357"/>
  <c r="AA83" i="357"/>
  <c r="W109" i="357"/>
  <c r="AB83" i="357"/>
  <c r="G110" i="357"/>
  <c r="AA110" i="357"/>
  <c r="H110" i="357"/>
  <c r="AB110" i="357"/>
  <c r="P91" i="357"/>
  <c r="P109" i="357" s="1"/>
  <c r="P110" i="357"/>
  <c r="P83" i="357"/>
  <c r="U60" i="357"/>
  <c r="AH47" i="357"/>
  <c r="AI36" i="357"/>
  <c r="M91" i="357"/>
  <c r="M109" i="357" s="1"/>
  <c r="M83" i="357"/>
  <c r="M110" i="357"/>
  <c r="AF47" i="357"/>
  <c r="N91" i="357"/>
  <c r="N109" i="357" s="1"/>
  <c r="N83" i="357"/>
  <c r="N110" i="357"/>
  <c r="AG47" i="357"/>
  <c r="O91" i="357"/>
  <c r="O109" i="357" s="1"/>
  <c r="O83" i="357"/>
  <c r="O110" i="357"/>
  <c r="AH63" i="357"/>
  <c r="AG63" i="357"/>
  <c r="AF63" i="357"/>
  <c r="L65" i="357"/>
  <c r="R109" i="357"/>
  <c r="S83" i="357"/>
  <c r="G83" i="357"/>
  <c r="S109" i="357"/>
  <c r="T83" i="357"/>
  <c r="H83" i="357"/>
  <c r="T109" i="357"/>
  <c r="B83" i="357"/>
  <c r="X83" i="357"/>
  <c r="C83" i="357"/>
  <c r="Y83" i="357"/>
  <c r="AC83" i="357"/>
  <c r="F83" i="357"/>
  <c r="Z83" i="357"/>
  <c r="Z109" i="357"/>
  <c r="I110" i="357"/>
  <c r="AC110" i="357"/>
  <c r="J110" i="357"/>
  <c r="Y103" i="357"/>
  <c r="Y108" i="357" s="1"/>
  <c r="V93" i="357"/>
  <c r="R110" i="357"/>
  <c r="AH48" i="357"/>
  <c r="AF56" i="357"/>
  <c r="K89" i="357"/>
  <c r="W93" i="357"/>
  <c r="W103" i="357" s="1"/>
  <c r="W108" i="357" s="1"/>
  <c r="S110" i="357"/>
  <c r="AG56" i="357"/>
  <c r="Q83" i="357"/>
  <c r="H91" i="357"/>
  <c r="H109" i="357" s="1"/>
  <c r="AB91" i="357"/>
  <c r="AB109" i="357" s="1"/>
  <c r="T110" i="357"/>
  <c r="I91" i="357"/>
  <c r="AC91" i="357"/>
  <c r="AC109" i="357" s="1"/>
  <c r="U110" i="357"/>
  <c r="AF48" i="357"/>
  <c r="Q110" i="357"/>
  <c r="AG48" i="357"/>
  <c r="AF50" i="357"/>
  <c r="AG50" i="357"/>
  <c r="Y110" i="357"/>
  <c r="F110" i="357"/>
  <c r="Z110" i="357"/>
  <c r="AF62" i="357"/>
  <c r="R65" i="357"/>
  <c r="AA110" i="356"/>
  <c r="AA83" i="356"/>
  <c r="Z89" i="356"/>
  <c r="X89" i="356"/>
  <c r="T83" i="356"/>
  <c r="U83" i="356"/>
  <c r="Q109" i="356"/>
  <c r="Q89" i="356"/>
  <c r="M109" i="356"/>
  <c r="L110" i="356"/>
  <c r="L83" i="356"/>
  <c r="L91" i="356"/>
  <c r="K83" i="356"/>
  <c r="J109" i="356"/>
  <c r="H110" i="356"/>
  <c r="G83" i="356"/>
  <c r="G110" i="356"/>
  <c r="V83" i="356"/>
  <c r="W83" i="356"/>
  <c r="W91" i="356"/>
  <c r="W109" i="356" s="1"/>
  <c r="X110" i="356"/>
  <c r="X91" i="356"/>
  <c r="X103" i="356" s="1"/>
  <c r="X108" i="356" s="1"/>
  <c r="Y83" i="356"/>
  <c r="Y91" i="356"/>
  <c r="Y103" i="356" s="1"/>
  <c r="Y108" i="356" s="1"/>
  <c r="F83" i="356"/>
  <c r="Z83" i="356"/>
  <c r="Z91" i="356"/>
  <c r="Z109" i="356" s="1"/>
  <c r="M83" i="356"/>
  <c r="H83" i="356"/>
  <c r="O103" i="356"/>
  <c r="O108" i="356" s="1"/>
  <c r="AB83" i="356"/>
  <c r="V91" i="356"/>
  <c r="V103" i="356" s="1"/>
  <c r="V108" i="356" s="1"/>
  <c r="AB110" i="356"/>
  <c r="AC110" i="356"/>
  <c r="P103" i="356"/>
  <c r="P108" i="356" s="1"/>
  <c r="M89" i="356"/>
  <c r="M103" i="356" s="1"/>
  <c r="M108" i="356" s="1"/>
  <c r="J110" i="356"/>
  <c r="F91" i="356"/>
  <c r="F109" i="356" s="1"/>
  <c r="K110" i="356"/>
  <c r="I110" i="356"/>
  <c r="N109" i="356"/>
  <c r="R89" i="356"/>
  <c r="S89" i="356"/>
  <c r="I89" i="356"/>
  <c r="AC89" i="356"/>
  <c r="M110" i="356"/>
  <c r="R110" i="356"/>
  <c r="S83" i="356"/>
  <c r="L89" i="356"/>
  <c r="O109" i="356"/>
  <c r="P109" i="356"/>
  <c r="J83" i="356"/>
  <c r="L109" i="356"/>
  <c r="N110" i="356"/>
  <c r="L103" i="356"/>
  <c r="L108" i="356" s="1"/>
  <c r="R109" i="356"/>
  <c r="U109" i="356"/>
  <c r="R103" i="356"/>
  <c r="R108" i="356" s="1"/>
  <c r="S103" i="356"/>
  <c r="S108" i="356" s="1"/>
  <c r="K109" i="356"/>
  <c r="S109" i="356"/>
  <c r="T109" i="356"/>
  <c r="Y109" i="356"/>
  <c r="T103" i="356"/>
  <c r="T108" i="356" s="1"/>
  <c r="N65" i="356"/>
  <c r="AH64" i="356"/>
  <c r="AF64" i="356"/>
  <c r="AG64" i="356"/>
  <c r="AC83" i="356"/>
  <c r="AI36" i="356"/>
  <c r="AH63" i="356"/>
  <c r="AI61" i="356"/>
  <c r="P83" i="356"/>
  <c r="K89" i="356"/>
  <c r="K103" i="356" s="1"/>
  <c r="K108" i="356" s="1"/>
  <c r="G91" i="356"/>
  <c r="AA91" i="356"/>
  <c r="S110" i="356"/>
  <c r="H91" i="356"/>
  <c r="AB91" i="356"/>
  <c r="T110" i="356"/>
  <c r="AF56" i="356"/>
  <c r="R83" i="356"/>
  <c r="I91" i="356"/>
  <c r="I109" i="356" s="1"/>
  <c r="AC91" i="356"/>
  <c r="AC109" i="356" s="1"/>
  <c r="U110" i="356"/>
  <c r="U65" i="356"/>
  <c r="O110" i="356"/>
  <c r="AF48" i="356"/>
  <c r="AF63" i="356"/>
  <c r="P110" i="356"/>
  <c r="Q110" i="356"/>
  <c r="O83" i="356"/>
  <c r="J89" i="356"/>
  <c r="J103" i="356" s="1"/>
  <c r="J108" i="356" s="1"/>
  <c r="AH56" i="356"/>
  <c r="W110" i="356"/>
  <c r="AG50" i="356"/>
  <c r="Y110" i="356"/>
  <c r="AH50" i="356"/>
  <c r="Q60" i="356"/>
  <c r="F110" i="356"/>
  <c r="Z110" i="356"/>
  <c r="X83" i="356"/>
  <c r="AF86" i="356" s="1"/>
  <c r="I83" i="356"/>
  <c r="AH48" i="356"/>
  <c r="N89" i="356"/>
  <c r="V110" i="356"/>
  <c r="AC109" i="355"/>
  <c r="Z103" i="355"/>
  <c r="Z108" i="355" s="1"/>
  <c r="Y109" i="355"/>
  <c r="X109" i="355"/>
  <c r="V89" i="355"/>
  <c r="AG51" i="355"/>
  <c r="R89" i="355"/>
  <c r="AF47" i="355"/>
  <c r="R60" i="355"/>
  <c r="R109" i="355"/>
  <c r="L110" i="355"/>
  <c r="J109" i="355"/>
  <c r="G89" i="355"/>
  <c r="G103" i="355" s="1"/>
  <c r="G108" i="355" s="1"/>
  <c r="F109" i="355"/>
  <c r="Z109" i="355"/>
  <c r="AA109" i="355"/>
  <c r="AB109" i="355"/>
  <c r="F103" i="355"/>
  <c r="F108" i="355" s="1"/>
  <c r="G109" i="355"/>
  <c r="I109" i="355"/>
  <c r="S109" i="355"/>
  <c r="AA103" i="355"/>
  <c r="AA108" i="355" s="1"/>
  <c r="T109" i="355"/>
  <c r="H89" i="355"/>
  <c r="H103" i="355" s="1"/>
  <c r="H108" i="355" s="1"/>
  <c r="AB89" i="355"/>
  <c r="AB103" i="355" s="1"/>
  <c r="AB108" i="355" s="1"/>
  <c r="U109" i="355"/>
  <c r="AC89" i="355"/>
  <c r="AC103" i="355" s="1"/>
  <c r="AC108" i="355" s="1"/>
  <c r="V109" i="355"/>
  <c r="S89" i="355"/>
  <c r="S103" i="355" s="1"/>
  <c r="S108" i="355" s="1"/>
  <c r="W109" i="355"/>
  <c r="AA83" i="355"/>
  <c r="U89" i="355"/>
  <c r="L89" i="355"/>
  <c r="L103" i="355" s="1"/>
  <c r="L108" i="355" s="1"/>
  <c r="M89" i="355"/>
  <c r="N89" i="355"/>
  <c r="T89" i="355"/>
  <c r="T103" i="355" s="1"/>
  <c r="T108" i="355" s="1"/>
  <c r="K89" i="355"/>
  <c r="K103" i="355" s="1"/>
  <c r="K108" i="355" s="1"/>
  <c r="O89" i="355"/>
  <c r="H109" i="355"/>
  <c r="I89" i="355"/>
  <c r="J89" i="355"/>
  <c r="J103" i="355" s="1"/>
  <c r="J108" i="355" s="1"/>
  <c r="P89" i="355"/>
  <c r="M91" i="355"/>
  <c r="M109" i="355" s="1"/>
  <c r="M83" i="355"/>
  <c r="AH63" i="355"/>
  <c r="V83" i="355"/>
  <c r="AF56" i="355"/>
  <c r="AH56" i="355"/>
  <c r="AG56" i="355"/>
  <c r="AB83" i="355"/>
  <c r="P91" i="355"/>
  <c r="P109" i="355" s="1"/>
  <c r="P110" i="355"/>
  <c r="U60" i="355"/>
  <c r="V103" i="355"/>
  <c r="V108" i="355" s="1"/>
  <c r="W103" i="355"/>
  <c r="W108" i="355" s="1"/>
  <c r="R110" i="355"/>
  <c r="X103" i="355"/>
  <c r="X108" i="355" s="1"/>
  <c r="Y103" i="355"/>
  <c r="Y108" i="355" s="1"/>
  <c r="W83" i="355"/>
  <c r="X83" i="355"/>
  <c r="AF63" i="355"/>
  <c r="AG63" i="355"/>
  <c r="F83" i="355"/>
  <c r="Z83" i="355"/>
  <c r="G83" i="355"/>
  <c r="K109" i="355"/>
  <c r="N91" i="355"/>
  <c r="N109" i="355" s="1"/>
  <c r="N83" i="355"/>
  <c r="N110" i="355"/>
  <c r="T83" i="355"/>
  <c r="G110" i="355"/>
  <c r="AA110" i="355"/>
  <c r="H83" i="355"/>
  <c r="L109" i="355"/>
  <c r="J110" i="355"/>
  <c r="H110" i="355"/>
  <c r="AB110" i="355"/>
  <c r="AF62" i="355"/>
  <c r="AH62" i="355"/>
  <c r="AG62" i="355"/>
  <c r="I65" i="355"/>
  <c r="I83" i="355"/>
  <c r="K110" i="355"/>
  <c r="AC83" i="355"/>
  <c r="O91" i="355"/>
  <c r="O109" i="355" s="1"/>
  <c r="O83" i="355"/>
  <c r="O110" i="355"/>
  <c r="B83" i="355"/>
  <c r="C83" i="355"/>
  <c r="I110" i="355"/>
  <c r="J83" i="355"/>
  <c r="Q91" i="355"/>
  <c r="Q109" i="355" s="1"/>
  <c r="Q83" i="355"/>
  <c r="Q110" i="355"/>
  <c r="S110" i="355"/>
  <c r="Y83" i="355"/>
  <c r="AC110" i="355"/>
  <c r="K83" i="355"/>
  <c r="M110" i="355"/>
  <c r="R83" i="355"/>
  <c r="U110" i="355"/>
  <c r="L83" i="355"/>
  <c r="AF48" i="355"/>
  <c r="AG48" i="355"/>
  <c r="AH48" i="355"/>
  <c r="T110" i="355"/>
  <c r="S83" i="355"/>
  <c r="V110" i="355"/>
  <c r="W110" i="355"/>
  <c r="X110" i="355"/>
  <c r="F110" i="355"/>
  <c r="Z110" i="355"/>
  <c r="AI36" i="355"/>
  <c r="Y110" i="355"/>
  <c r="B83" i="354"/>
  <c r="C83" i="354"/>
  <c r="AA89" i="354"/>
  <c r="Z89" i="354"/>
  <c r="AF62" i="354"/>
  <c r="X109" i="354"/>
  <c r="AG48" i="354"/>
  <c r="AH48" i="354"/>
  <c r="AF48" i="354"/>
  <c r="U60" i="354"/>
  <c r="R89" i="354"/>
  <c r="R103" i="354" s="1"/>
  <c r="R108" i="354" s="1"/>
  <c r="N109" i="354"/>
  <c r="M109" i="354"/>
  <c r="K109" i="354"/>
  <c r="AG64" i="354"/>
  <c r="L109" i="354"/>
  <c r="AH64" i="354"/>
  <c r="K65" i="354"/>
  <c r="U109" i="354"/>
  <c r="V109" i="354"/>
  <c r="W103" i="354"/>
  <c r="W108" i="354" s="1"/>
  <c r="V110" i="354"/>
  <c r="W83" i="354"/>
  <c r="X83" i="354"/>
  <c r="Y83" i="354"/>
  <c r="I89" i="354"/>
  <c r="AC83" i="354"/>
  <c r="F83" i="354"/>
  <c r="J89" i="354"/>
  <c r="J103" i="354" s="1"/>
  <c r="J108" i="354" s="1"/>
  <c r="G83" i="354"/>
  <c r="K83" i="354"/>
  <c r="J110" i="354"/>
  <c r="W109" i="354"/>
  <c r="R109" i="354"/>
  <c r="T83" i="354"/>
  <c r="H83" i="354"/>
  <c r="K110" i="354"/>
  <c r="I110" i="354"/>
  <c r="AC110" i="354"/>
  <c r="M83" i="354"/>
  <c r="L110" i="354"/>
  <c r="M110" i="354"/>
  <c r="S103" i="354"/>
  <c r="S108" i="354" s="1"/>
  <c r="N110" i="354"/>
  <c r="P109" i="354"/>
  <c r="Q109" i="354"/>
  <c r="O89" i="354"/>
  <c r="O103" i="354" s="1"/>
  <c r="O108" i="354" s="1"/>
  <c r="P103" i="354"/>
  <c r="P108" i="354" s="1"/>
  <c r="O110" i="354"/>
  <c r="Q89" i="354"/>
  <c r="Q103" i="354" s="1"/>
  <c r="Q108" i="354" s="1"/>
  <c r="P110" i="354"/>
  <c r="S109" i="354"/>
  <c r="AB83" i="354"/>
  <c r="T91" i="354"/>
  <c r="T109" i="354" s="1"/>
  <c r="Q110" i="354"/>
  <c r="X103" i="354"/>
  <c r="X108" i="354" s="1"/>
  <c r="O109" i="354"/>
  <c r="V103" i="354"/>
  <c r="V108" i="354" s="1"/>
  <c r="U83" i="354"/>
  <c r="AA83" i="354"/>
  <c r="L83" i="354"/>
  <c r="AG62" i="354"/>
  <c r="K89" i="354"/>
  <c r="AA91" i="354"/>
  <c r="AA109" i="354" s="1"/>
  <c r="Q83" i="354"/>
  <c r="L89" i="354"/>
  <c r="L103" i="354" s="1"/>
  <c r="L108" i="354" s="1"/>
  <c r="H91" i="354"/>
  <c r="AB91" i="354"/>
  <c r="R110" i="354"/>
  <c r="O83" i="354"/>
  <c r="AF63" i="354"/>
  <c r="P83" i="354"/>
  <c r="G91" i="354"/>
  <c r="G109" i="354" s="1"/>
  <c r="AG63" i="354"/>
  <c r="AH63" i="354"/>
  <c r="R83" i="354"/>
  <c r="M89" i="354"/>
  <c r="M103" i="354" s="1"/>
  <c r="M108" i="354" s="1"/>
  <c r="I91" i="354"/>
  <c r="I109" i="354" s="1"/>
  <c r="AC91" i="354"/>
  <c r="AC109" i="354" s="1"/>
  <c r="S110" i="354"/>
  <c r="AH62" i="354"/>
  <c r="AC89" i="354"/>
  <c r="S83" i="354"/>
  <c r="N89" i="354"/>
  <c r="T110" i="354"/>
  <c r="J83" i="354"/>
  <c r="AG50" i="354"/>
  <c r="Z91" i="354"/>
  <c r="Z109" i="354" s="1"/>
  <c r="U110" i="354"/>
  <c r="V83" i="354"/>
  <c r="W110" i="354"/>
  <c r="I83" i="354"/>
  <c r="AH50" i="354"/>
  <c r="Y91" i="354"/>
  <c r="Y109" i="354" s="1"/>
  <c r="F91" i="354"/>
  <c r="F109" i="354" s="1"/>
  <c r="AI61" i="354"/>
  <c r="X110" i="354"/>
  <c r="Y110" i="354"/>
  <c r="F110" i="354"/>
  <c r="Z110" i="354"/>
  <c r="G110" i="354"/>
  <c r="AA110" i="354"/>
  <c r="H110" i="354"/>
  <c r="AB110" i="354"/>
  <c r="AF50" i="354"/>
  <c r="N60" i="354"/>
  <c r="F109" i="88"/>
  <c r="F108" i="88"/>
  <c r="P60" i="353"/>
  <c r="P98" i="353" s="1"/>
  <c r="F112" i="88"/>
  <c r="F85" i="88"/>
  <c r="F111" i="88"/>
  <c r="AE64" i="260"/>
  <c r="O64" i="353"/>
  <c r="O63" i="353"/>
  <c r="F104" i="88"/>
  <c r="F103" i="88"/>
  <c r="F100" i="88"/>
  <c r="F110" i="88"/>
  <c r="F96" i="88"/>
  <c r="O60" i="353"/>
  <c r="O98" i="353" s="1"/>
  <c r="F99" i="88"/>
  <c r="F98" i="88"/>
  <c r="F105" i="88"/>
  <c r="AE63" i="260"/>
  <c r="F95" i="88"/>
  <c r="N56" i="353"/>
  <c r="N50" i="353"/>
  <c r="N48" i="353"/>
  <c r="AH48" i="353" s="1"/>
  <c r="F77" i="88"/>
  <c r="AE62" i="260"/>
  <c r="F93" i="88"/>
  <c r="F87" i="88"/>
  <c r="F73" i="88"/>
  <c r="F88" i="88"/>
  <c r="AE61" i="260"/>
  <c r="F90" i="88"/>
  <c r="F91" i="88"/>
  <c r="F94" i="88"/>
  <c r="F79" i="88"/>
  <c r="F74" i="88"/>
  <c r="F89" i="88"/>
  <c r="L63" i="353"/>
  <c r="L62" i="353"/>
  <c r="F86" i="88"/>
  <c r="F56" i="88"/>
  <c r="AE55" i="260"/>
  <c r="F64" i="88"/>
  <c r="F84" i="88"/>
  <c r="F83" i="88"/>
  <c r="F80" i="88"/>
  <c r="F81" i="88"/>
  <c r="F82" i="88"/>
  <c r="AE53" i="260"/>
  <c r="F69" i="88"/>
  <c r="F55" i="88"/>
  <c r="F7" i="88"/>
  <c r="F76" i="353"/>
  <c r="F100" i="353" s="1"/>
  <c r="F65" i="353"/>
  <c r="F99" i="353" s="1"/>
  <c r="F60" i="353"/>
  <c r="F98" i="353" s="1"/>
  <c r="F34" i="353"/>
  <c r="F96" i="353" s="1"/>
  <c r="F31" i="353"/>
  <c r="F25" i="353"/>
  <c r="F22" i="353"/>
  <c r="F89" i="353" s="1"/>
  <c r="F17" i="353"/>
  <c r="F91" i="353" s="1"/>
  <c r="F93" i="353"/>
  <c r="N93" i="353"/>
  <c r="R93" i="353"/>
  <c r="AC107" i="353"/>
  <c r="AB107" i="353"/>
  <c r="AA107" i="353"/>
  <c r="Z107" i="353"/>
  <c r="Y107" i="353"/>
  <c r="X107" i="353"/>
  <c r="W107" i="353"/>
  <c r="V107" i="353"/>
  <c r="U107" i="353"/>
  <c r="T107" i="353"/>
  <c r="S107" i="353"/>
  <c r="R107" i="353"/>
  <c r="Q107" i="353"/>
  <c r="P107" i="353"/>
  <c r="O107" i="353"/>
  <c r="N107" i="353"/>
  <c r="M107" i="353"/>
  <c r="L107" i="353"/>
  <c r="K107" i="353"/>
  <c r="J107" i="353"/>
  <c r="I107" i="353"/>
  <c r="H107" i="353"/>
  <c r="G107" i="353"/>
  <c r="F107" i="353"/>
  <c r="AC102" i="353"/>
  <c r="AB102" i="353"/>
  <c r="AA102" i="353"/>
  <c r="Z102" i="353"/>
  <c r="Y102" i="353"/>
  <c r="X102" i="353"/>
  <c r="W102" i="353"/>
  <c r="V102" i="353"/>
  <c r="U102" i="353"/>
  <c r="T102" i="353"/>
  <c r="S102" i="353"/>
  <c r="R102" i="353"/>
  <c r="Q102" i="353"/>
  <c r="P102" i="353"/>
  <c r="O102" i="353"/>
  <c r="N102" i="353"/>
  <c r="M102" i="353"/>
  <c r="L102" i="353"/>
  <c r="K102" i="353"/>
  <c r="J102" i="353"/>
  <c r="I102" i="353"/>
  <c r="H102" i="353"/>
  <c r="G102" i="353"/>
  <c r="F102" i="353"/>
  <c r="AB101" i="353"/>
  <c r="Z101" i="353"/>
  <c r="Y101" i="353"/>
  <c r="AC99" i="353"/>
  <c r="AA99" i="353"/>
  <c r="AC98" i="353"/>
  <c r="AB98" i="353"/>
  <c r="Z98" i="353"/>
  <c r="M96" i="353"/>
  <c r="AC80" i="353"/>
  <c r="AC101" i="353" s="1"/>
  <c r="AB80" i="353"/>
  <c r="AA80" i="353"/>
  <c r="AA101" i="353" s="1"/>
  <c r="Z80" i="353"/>
  <c r="Y80" i="353"/>
  <c r="X80" i="353"/>
  <c r="X101" i="353" s="1"/>
  <c r="W80" i="353"/>
  <c r="W101" i="353" s="1"/>
  <c r="V80" i="353"/>
  <c r="V101" i="353" s="1"/>
  <c r="U80" i="353"/>
  <c r="U101" i="353" s="1"/>
  <c r="T80" i="353"/>
  <c r="T101" i="353" s="1"/>
  <c r="S80" i="353"/>
  <c r="S101" i="353" s="1"/>
  <c r="R80" i="353"/>
  <c r="R101" i="353" s="1"/>
  <c r="Q80" i="353"/>
  <c r="Q101" i="353" s="1"/>
  <c r="P80" i="353"/>
  <c r="P101" i="353" s="1"/>
  <c r="O80" i="353"/>
  <c r="O101" i="353" s="1"/>
  <c r="N80" i="353"/>
  <c r="N101" i="353" s="1"/>
  <c r="M80" i="353"/>
  <c r="M101" i="353" s="1"/>
  <c r="L80" i="353"/>
  <c r="L101" i="353" s="1"/>
  <c r="K80" i="353"/>
  <c r="K101" i="353" s="1"/>
  <c r="J80" i="353"/>
  <c r="J101" i="353" s="1"/>
  <c r="I80" i="353"/>
  <c r="I101" i="353" s="1"/>
  <c r="H80" i="353"/>
  <c r="H101" i="353" s="1"/>
  <c r="G80" i="353"/>
  <c r="G101" i="353" s="1"/>
  <c r="F80" i="353"/>
  <c r="F101" i="353" s="1"/>
  <c r="C80" i="353"/>
  <c r="B80" i="353"/>
  <c r="AH79" i="353"/>
  <c r="AG79" i="353"/>
  <c r="AF79" i="353"/>
  <c r="AH78" i="353"/>
  <c r="AG78" i="353"/>
  <c r="AF78" i="353"/>
  <c r="AI77" i="353"/>
  <c r="AC76" i="353"/>
  <c r="AC100" i="353" s="1"/>
  <c r="AB76" i="353"/>
  <c r="AB100" i="353" s="1"/>
  <c r="AA76" i="353"/>
  <c r="AA100" i="353" s="1"/>
  <c r="Z76" i="353"/>
  <c r="Z100" i="353" s="1"/>
  <c r="Y76" i="353"/>
  <c r="Y100" i="353" s="1"/>
  <c r="X76" i="353"/>
  <c r="X100" i="353" s="1"/>
  <c r="W76" i="353"/>
  <c r="W100" i="353" s="1"/>
  <c r="V76" i="353"/>
  <c r="V100" i="353" s="1"/>
  <c r="U76" i="353"/>
  <c r="U100" i="353" s="1"/>
  <c r="T76" i="353"/>
  <c r="T100" i="353" s="1"/>
  <c r="S76" i="353"/>
  <c r="S100" i="353" s="1"/>
  <c r="R76" i="353"/>
  <c r="R100" i="353" s="1"/>
  <c r="Q76" i="353"/>
  <c r="Q100" i="353" s="1"/>
  <c r="P76" i="353"/>
  <c r="P100" i="353" s="1"/>
  <c r="O76" i="353"/>
  <c r="O100" i="353" s="1"/>
  <c r="N76" i="353"/>
  <c r="N100" i="353" s="1"/>
  <c r="M76" i="353"/>
  <c r="M100" i="353" s="1"/>
  <c r="L76" i="353"/>
  <c r="L100" i="353" s="1"/>
  <c r="K76" i="353"/>
  <c r="K100" i="353" s="1"/>
  <c r="J76" i="353"/>
  <c r="J100" i="353" s="1"/>
  <c r="I76" i="353"/>
  <c r="I100" i="353" s="1"/>
  <c r="H76" i="353"/>
  <c r="H100" i="353" s="1"/>
  <c r="G76" i="353"/>
  <c r="G100" i="353" s="1"/>
  <c r="C76" i="353"/>
  <c r="B76" i="353"/>
  <c r="AH75" i="353"/>
  <c r="AG75" i="353"/>
  <c r="AF75" i="353"/>
  <c r="AH74" i="353"/>
  <c r="AG74" i="353"/>
  <c r="AF74" i="353"/>
  <c r="AH73" i="353"/>
  <c r="AG73" i="353"/>
  <c r="AF73" i="353"/>
  <c r="AH72" i="353"/>
  <c r="AG72" i="353"/>
  <c r="AF72" i="353"/>
  <c r="AH71" i="353"/>
  <c r="AG71" i="353"/>
  <c r="AF71" i="353"/>
  <c r="AH70" i="353"/>
  <c r="AG70" i="353"/>
  <c r="AF70" i="353"/>
  <c r="AH69" i="353"/>
  <c r="AG69" i="353"/>
  <c r="AF69" i="353"/>
  <c r="AH68" i="353"/>
  <c r="AG68" i="353"/>
  <c r="AF68" i="353"/>
  <c r="AH67" i="353"/>
  <c r="AG67" i="353"/>
  <c r="AF67" i="353"/>
  <c r="AI66" i="353"/>
  <c r="AC65" i="353"/>
  <c r="AB65" i="353"/>
  <c r="AB99" i="353" s="1"/>
  <c r="AA65" i="353"/>
  <c r="Z65" i="353"/>
  <c r="Z99" i="353" s="1"/>
  <c r="Y65" i="353"/>
  <c r="Y99" i="353" s="1"/>
  <c r="X65" i="353"/>
  <c r="X99" i="353" s="1"/>
  <c r="W65" i="353"/>
  <c r="W99" i="353" s="1"/>
  <c r="V65" i="353"/>
  <c r="V99" i="353" s="1"/>
  <c r="U65" i="353"/>
  <c r="U99" i="353" s="1"/>
  <c r="T65" i="353"/>
  <c r="T99" i="353" s="1"/>
  <c r="K65" i="353"/>
  <c r="K99" i="353" s="1"/>
  <c r="J65" i="353"/>
  <c r="J99" i="353" s="1"/>
  <c r="I65" i="353"/>
  <c r="I99" i="353" s="1"/>
  <c r="H65" i="353"/>
  <c r="H99" i="353" s="1"/>
  <c r="G65" i="353"/>
  <c r="G99" i="353" s="1"/>
  <c r="C65" i="353"/>
  <c r="B65" i="353"/>
  <c r="AH64" i="353"/>
  <c r="S65" i="353"/>
  <c r="S99" i="353" s="1"/>
  <c r="R65" i="353"/>
  <c r="R99" i="353" s="1"/>
  <c r="AH63" i="353"/>
  <c r="P65" i="353"/>
  <c r="P99" i="353" s="1"/>
  <c r="O65" i="353"/>
  <c r="O99" i="353" s="1"/>
  <c r="N65" i="353"/>
  <c r="N99" i="353" s="1"/>
  <c r="M65" i="353"/>
  <c r="M99" i="353" s="1"/>
  <c r="AC60" i="353"/>
  <c r="AB60" i="353"/>
  <c r="AA60" i="353"/>
  <c r="AA98" i="353" s="1"/>
  <c r="Z60" i="353"/>
  <c r="Y60" i="353"/>
  <c r="Y98" i="353" s="1"/>
  <c r="X60" i="353"/>
  <c r="X98" i="353" s="1"/>
  <c r="W60" i="353"/>
  <c r="W98" i="353" s="1"/>
  <c r="V60" i="353"/>
  <c r="V98" i="353" s="1"/>
  <c r="U60" i="353"/>
  <c r="U98" i="353" s="1"/>
  <c r="T60" i="353"/>
  <c r="T98" i="353" s="1"/>
  <c r="S60" i="353"/>
  <c r="S98" i="353" s="1"/>
  <c r="N60" i="353"/>
  <c r="M60" i="353"/>
  <c r="L60" i="353"/>
  <c r="L98" i="353" s="1"/>
  <c r="K60" i="353"/>
  <c r="K98" i="353" s="1"/>
  <c r="J60" i="353"/>
  <c r="J98" i="353" s="1"/>
  <c r="I60" i="353"/>
  <c r="I98" i="353" s="1"/>
  <c r="H60" i="353"/>
  <c r="H98" i="353" s="1"/>
  <c r="G60" i="353"/>
  <c r="G98" i="353" s="1"/>
  <c r="C60" i="353"/>
  <c r="B60" i="353"/>
  <c r="AH59" i="353"/>
  <c r="AG59" i="353"/>
  <c r="AF59" i="353"/>
  <c r="AH58" i="353"/>
  <c r="AG58" i="353"/>
  <c r="AF58" i="353"/>
  <c r="AH57" i="353"/>
  <c r="AG57" i="353"/>
  <c r="AF57" i="353"/>
  <c r="AH56" i="353"/>
  <c r="AG56" i="353"/>
  <c r="AF56" i="353"/>
  <c r="AH55" i="353"/>
  <c r="AG55" i="353"/>
  <c r="AF55" i="353"/>
  <c r="AH52" i="353"/>
  <c r="AG52" i="353"/>
  <c r="AF52" i="353"/>
  <c r="AG51" i="353"/>
  <c r="AH51" i="353"/>
  <c r="Q60" i="353"/>
  <c r="Q98" i="353" s="1"/>
  <c r="AH49" i="353"/>
  <c r="AG49" i="353"/>
  <c r="AF49" i="353"/>
  <c r="AG48" i="353"/>
  <c r="AH47" i="353"/>
  <c r="AG47" i="353"/>
  <c r="AF47" i="353"/>
  <c r="AH46" i="353"/>
  <c r="AG46" i="353"/>
  <c r="AF46" i="353"/>
  <c r="AH45" i="353"/>
  <c r="AG45" i="353"/>
  <c r="AF45" i="353"/>
  <c r="AH44" i="353"/>
  <c r="AG44" i="353"/>
  <c r="AF44" i="353"/>
  <c r="AH43" i="353"/>
  <c r="AG43" i="353"/>
  <c r="AF43" i="353"/>
  <c r="AH42" i="353"/>
  <c r="AG42" i="353"/>
  <c r="AF42" i="353"/>
  <c r="AH41" i="353"/>
  <c r="AG41" i="353"/>
  <c r="AF41" i="353"/>
  <c r="AH39" i="353"/>
  <c r="AG39" i="353"/>
  <c r="AF39" i="353"/>
  <c r="AH38" i="353"/>
  <c r="AG38" i="353"/>
  <c r="AF38" i="353"/>
  <c r="AH37" i="353"/>
  <c r="AG37" i="353"/>
  <c r="AF37" i="353"/>
  <c r="AH36" i="353"/>
  <c r="AG36" i="353"/>
  <c r="AF36" i="353"/>
  <c r="AI35" i="353"/>
  <c r="AC34" i="353"/>
  <c r="AC96" i="353" s="1"/>
  <c r="AB34" i="353"/>
  <c r="AB96" i="353" s="1"/>
  <c r="AA34" i="353"/>
  <c r="AA96" i="353" s="1"/>
  <c r="Z34" i="353"/>
  <c r="Z96" i="353" s="1"/>
  <c r="Y34" i="353"/>
  <c r="Y96" i="353" s="1"/>
  <c r="X34" i="353"/>
  <c r="X96" i="353" s="1"/>
  <c r="W34" i="353"/>
  <c r="W96" i="353" s="1"/>
  <c r="V34" i="353"/>
  <c r="V96" i="353" s="1"/>
  <c r="U34" i="353"/>
  <c r="U96" i="353" s="1"/>
  <c r="T34" i="353"/>
  <c r="T96" i="353" s="1"/>
  <c r="S34" i="353"/>
  <c r="S96" i="353" s="1"/>
  <c r="R34" i="353"/>
  <c r="R96" i="353" s="1"/>
  <c r="Q34" i="353"/>
  <c r="Q96" i="353" s="1"/>
  <c r="P34" i="353"/>
  <c r="P96" i="353" s="1"/>
  <c r="O34" i="353"/>
  <c r="O96" i="353" s="1"/>
  <c r="N34" i="353"/>
  <c r="N96" i="353" s="1"/>
  <c r="M34" i="353"/>
  <c r="L34" i="353"/>
  <c r="L96" i="353" s="1"/>
  <c r="K34" i="353"/>
  <c r="K96" i="353" s="1"/>
  <c r="J34" i="353"/>
  <c r="J96" i="353" s="1"/>
  <c r="I34" i="353"/>
  <c r="I96" i="353" s="1"/>
  <c r="H34" i="353"/>
  <c r="H96" i="353" s="1"/>
  <c r="G34" i="353"/>
  <c r="G96" i="353" s="1"/>
  <c r="C34" i="353"/>
  <c r="B34" i="353"/>
  <c r="AH33" i="353"/>
  <c r="AG33" i="353"/>
  <c r="AF33" i="353"/>
  <c r="AI32" i="353"/>
  <c r="AC31" i="353"/>
  <c r="AC93" i="353" s="1"/>
  <c r="AB31" i="353"/>
  <c r="AB93" i="353" s="1"/>
  <c r="AA31" i="353"/>
  <c r="AA93" i="353" s="1"/>
  <c r="Z31" i="353"/>
  <c r="Z93" i="353" s="1"/>
  <c r="Y31" i="353"/>
  <c r="Y93" i="353" s="1"/>
  <c r="X31" i="353"/>
  <c r="X93" i="353" s="1"/>
  <c r="W31" i="353"/>
  <c r="W93" i="353" s="1"/>
  <c r="V31" i="353"/>
  <c r="V93" i="353" s="1"/>
  <c r="U31" i="353"/>
  <c r="U93" i="353" s="1"/>
  <c r="T31" i="353"/>
  <c r="T93" i="353" s="1"/>
  <c r="S31" i="353"/>
  <c r="S93" i="353" s="1"/>
  <c r="R31" i="353"/>
  <c r="Q31" i="353"/>
  <c r="Q93" i="353" s="1"/>
  <c r="P31" i="353"/>
  <c r="P93" i="353" s="1"/>
  <c r="O31" i="353"/>
  <c r="O93" i="353" s="1"/>
  <c r="N31" i="353"/>
  <c r="M31" i="353"/>
  <c r="M93" i="353" s="1"/>
  <c r="L31" i="353"/>
  <c r="L93" i="353" s="1"/>
  <c r="K31" i="353"/>
  <c r="K93" i="353" s="1"/>
  <c r="J31" i="353"/>
  <c r="J93" i="353" s="1"/>
  <c r="I31" i="353"/>
  <c r="I93" i="353" s="1"/>
  <c r="H31" i="353"/>
  <c r="H93" i="353" s="1"/>
  <c r="G31" i="353"/>
  <c r="G93" i="353" s="1"/>
  <c r="C31" i="353"/>
  <c r="B31" i="353"/>
  <c r="AI28" i="353"/>
  <c r="AH28" i="353"/>
  <c r="AG28" i="353"/>
  <c r="AF28" i="353"/>
  <c r="AH27" i="353"/>
  <c r="AG27" i="353"/>
  <c r="AF27" i="353"/>
  <c r="AI26" i="353"/>
  <c r="AC25" i="353"/>
  <c r="AB25" i="353"/>
  <c r="AB89" i="353" s="1"/>
  <c r="AA25" i="353"/>
  <c r="AA89" i="353" s="1"/>
  <c r="Z25" i="353"/>
  <c r="Z89" i="353" s="1"/>
  <c r="Y25" i="353"/>
  <c r="X25" i="353"/>
  <c r="W25" i="353"/>
  <c r="V25" i="353"/>
  <c r="U25" i="353"/>
  <c r="T25" i="353"/>
  <c r="S25" i="353"/>
  <c r="R25" i="353"/>
  <c r="Q25" i="353"/>
  <c r="P25" i="353"/>
  <c r="O25" i="353"/>
  <c r="N25" i="353"/>
  <c r="M25" i="353"/>
  <c r="L25" i="353"/>
  <c r="K25" i="353"/>
  <c r="J25" i="353"/>
  <c r="I25" i="353"/>
  <c r="H25" i="353"/>
  <c r="G25" i="353"/>
  <c r="C25" i="353"/>
  <c r="B25" i="353"/>
  <c r="AH24" i="353"/>
  <c r="AG24" i="353"/>
  <c r="AF24" i="353"/>
  <c r="AI23" i="353"/>
  <c r="AC22" i="353"/>
  <c r="AC89" i="353" s="1"/>
  <c r="AB22" i="353"/>
  <c r="AA22" i="353"/>
  <c r="Z22" i="353"/>
  <c r="Y22" i="353"/>
  <c r="X22" i="353"/>
  <c r="W22" i="353"/>
  <c r="V22" i="353"/>
  <c r="U22" i="353"/>
  <c r="T22" i="353"/>
  <c r="S22" i="353"/>
  <c r="R22" i="353"/>
  <c r="Q22" i="353"/>
  <c r="P22" i="353"/>
  <c r="O22" i="353"/>
  <c r="O89" i="353" s="1"/>
  <c r="N22" i="353"/>
  <c r="M22" i="353"/>
  <c r="L22" i="353"/>
  <c r="K22" i="353"/>
  <c r="J22" i="353"/>
  <c r="I22" i="353"/>
  <c r="H22" i="353"/>
  <c r="G22" i="353"/>
  <c r="C22" i="353"/>
  <c r="B22" i="353"/>
  <c r="AH21" i="353"/>
  <c r="AG21" i="353"/>
  <c r="AF21" i="353"/>
  <c r="AH20" i="353"/>
  <c r="AG20" i="353"/>
  <c r="AF20" i="353"/>
  <c r="AH19" i="353"/>
  <c r="AG19" i="353"/>
  <c r="AF19" i="353"/>
  <c r="AI18" i="353"/>
  <c r="AC17" i="353"/>
  <c r="AB17" i="353"/>
  <c r="AA17" i="353"/>
  <c r="Z17" i="353"/>
  <c r="Z91" i="353" s="1"/>
  <c r="Y17" i="353"/>
  <c r="X17" i="353"/>
  <c r="X91" i="353" s="1"/>
  <c r="W17" i="353"/>
  <c r="V17" i="353"/>
  <c r="V91" i="353" s="1"/>
  <c r="U17" i="353"/>
  <c r="U91" i="353" s="1"/>
  <c r="T17" i="353"/>
  <c r="T91" i="353" s="1"/>
  <c r="S17" i="353"/>
  <c r="S91" i="353" s="1"/>
  <c r="R17" i="353"/>
  <c r="Q17" i="353"/>
  <c r="Q91" i="353" s="1"/>
  <c r="P17" i="353"/>
  <c r="P91" i="353" s="1"/>
  <c r="O17" i="353"/>
  <c r="O91" i="353" s="1"/>
  <c r="N17" i="353"/>
  <c r="N91" i="353" s="1"/>
  <c r="M17" i="353"/>
  <c r="M91" i="353" s="1"/>
  <c r="L17" i="353"/>
  <c r="L91" i="353" s="1"/>
  <c r="K17" i="353"/>
  <c r="K91" i="353" s="1"/>
  <c r="J17" i="353"/>
  <c r="J91" i="353" s="1"/>
  <c r="I17" i="353"/>
  <c r="H17" i="353"/>
  <c r="G17" i="353"/>
  <c r="C17" i="353"/>
  <c r="C83" i="353" s="1"/>
  <c r="B17" i="353"/>
  <c r="AH16" i="353"/>
  <c r="AG16" i="353"/>
  <c r="AF16" i="353"/>
  <c r="AH15" i="353"/>
  <c r="AG15" i="353"/>
  <c r="AF15" i="353"/>
  <c r="AH14" i="353"/>
  <c r="AG14" i="353"/>
  <c r="AF14" i="353"/>
  <c r="AH13" i="353"/>
  <c r="AG13" i="353"/>
  <c r="AF13" i="353"/>
  <c r="AI12" i="353"/>
  <c r="M9" i="353" a="1"/>
  <c r="M9" i="353" s="1"/>
  <c r="AE52" i="260"/>
  <c r="AA64" i="352"/>
  <c r="AA62" i="352"/>
  <c r="F72" i="88"/>
  <c r="AA51" i="260"/>
  <c r="F76" i="88"/>
  <c r="F44" i="88"/>
  <c r="F57" i="88"/>
  <c r="AA50" i="260"/>
  <c r="Z64" i="352"/>
  <c r="Z62" i="352"/>
  <c r="AA49" i="260"/>
  <c r="Y64" i="352"/>
  <c r="Y62" i="352"/>
  <c r="F46" i="88"/>
  <c r="F42" i="88"/>
  <c r="F48" i="88"/>
  <c r="AA48" i="260"/>
  <c r="X64" i="352"/>
  <c r="X63" i="352"/>
  <c r="AE47" i="260"/>
  <c r="W63" i="352"/>
  <c r="AE46" i="260"/>
  <c r="V64" i="352"/>
  <c r="V63" i="352"/>
  <c r="F63" i="88"/>
  <c r="AE45" i="260"/>
  <c r="U64" i="352"/>
  <c r="U63" i="352"/>
  <c r="AC103" i="359" l="1"/>
  <c r="AC108" i="359" s="1"/>
  <c r="Y103" i="359"/>
  <c r="Y108" i="359" s="1"/>
  <c r="M99" i="359"/>
  <c r="M103" i="359" s="1"/>
  <c r="M108" i="359" s="1"/>
  <c r="V98" i="359"/>
  <c r="V103" i="359" s="1"/>
  <c r="V108" i="359" s="1"/>
  <c r="AF86" i="359"/>
  <c r="M83" i="359"/>
  <c r="Z99" i="359"/>
  <c r="Q99" i="359"/>
  <c r="Q103" i="359" s="1"/>
  <c r="Q108" i="359" s="1"/>
  <c r="W103" i="359"/>
  <c r="W108" i="359" s="1"/>
  <c r="N99" i="359"/>
  <c r="N103" i="359" s="1"/>
  <c r="N108" i="359" s="1"/>
  <c r="N83" i="359"/>
  <c r="H109" i="359"/>
  <c r="H103" i="359"/>
  <c r="H108" i="359" s="1"/>
  <c r="Z109" i="359"/>
  <c r="Z103" i="359"/>
  <c r="Z108" i="359" s="1"/>
  <c r="F109" i="359"/>
  <c r="F103" i="359"/>
  <c r="F108" i="359" s="1"/>
  <c r="AB103" i="359"/>
  <c r="AB108" i="359" s="1"/>
  <c r="AB109" i="359"/>
  <c r="AH64" i="359"/>
  <c r="AG64" i="359"/>
  <c r="AF64" i="359"/>
  <c r="V83" i="359"/>
  <c r="R103" i="359"/>
  <c r="R108" i="359" s="1"/>
  <c r="R109" i="359"/>
  <c r="Z83" i="359"/>
  <c r="L65" i="359"/>
  <c r="AA103" i="358"/>
  <c r="AA108" i="358" s="1"/>
  <c r="X103" i="358"/>
  <c r="X108" i="358" s="1"/>
  <c r="AF86" i="358"/>
  <c r="L103" i="358"/>
  <c r="L108" i="358" s="1"/>
  <c r="R98" i="358"/>
  <c r="R103" i="358" s="1"/>
  <c r="R108" i="358" s="1"/>
  <c r="M99" i="358"/>
  <c r="M103" i="358" s="1"/>
  <c r="M108" i="358" s="1"/>
  <c r="V103" i="358"/>
  <c r="V108" i="358" s="1"/>
  <c r="N99" i="358"/>
  <c r="N103" i="358" s="1"/>
  <c r="N108" i="358" s="1"/>
  <c r="N83" i="358"/>
  <c r="O103" i="358"/>
  <c r="O108" i="358" s="1"/>
  <c r="R83" i="358"/>
  <c r="K103" i="358"/>
  <c r="K108" i="358" s="1"/>
  <c r="M83" i="358"/>
  <c r="AG64" i="358"/>
  <c r="AH64" i="358"/>
  <c r="AF64" i="358"/>
  <c r="AC103" i="357"/>
  <c r="AC108" i="357" s="1"/>
  <c r="R99" i="357"/>
  <c r="R103" i="357" s="1"/>
  <c r="R108" i="357" s="1"/>
  <c r="V109" i="357"/>
  <c r="P103" i="357"/>
  <c r="P108" i="357" s="1"/>
  <c r="R83" i="357"/>
  <c r="U98" i="357"/>
  <c r="U103" i="357" s="1"/>
  <c r="U108" i="357" s="1"/>
  <c r="L99" i="357"/>
  <c r="L103" i="357" s="1"/>
  <c r="L108" i="357" s="1"/>
  <c r="L83" i="357"/>
  <c r="N103" i="357"/>
  <c r="N108" i="357" s="1"/>
  <c r="AH64" i="357"/>
  <c r="AG64" i="357"/>
  <c r="AF64" i="357"/>
  <c r="I109" i="357"/>
  <c r="I103" i="357"/>
  <c r="I108" i="357" s="1"/>
  <c r="K65" i="357"/>
  <c r="AI61" i="357"/>
  <c r="AF86" i="357"/>
  <c r="U83" i="357"/>
  <c r="O103" i="357"/>
  <c r="O108" i="357" s="1"/>
  <c r="AB103" i="357"/>
  <c r="AB108" i="357" s="1"/>
  <c r="H103" i="357"/>
  <c r="H108" i="357" s="1"/>
  <c r="AC103" i="356"/>
  <c r="AC108" i="356" s="1"/>
  <c r="Z103" i="356"/>
  <c r="Z108" i="356" s="1"/>
  <c r="W103" i="356"/>
  <c r="W108" i="356" s="1"/>
  <c r="X109" i="356"/>
  <c r="V109" i="356"/>
  <c r="I103" i="356"/>
  <c r="I108" i="356" s="1"/>
  <c r="F103" i="356"/>
  <c r="F108" i="356" s="1"/>
  <c r="Q98" i="356"/>
  <c r="Q103" i="356" s="1"/>
  <c r="Q108" i="356" s="1"/>
  <c r="U99" i="356"/>
  <c r="U103" i="356" s="1"/>
  <c r="U108" i="356" s="1"/>
  <c r="N99" i="356"/>
  <c r="N103" i="356" s="1"/>
  <c r="N108" i="356" s="1"/>
  <c r="N83" i="356"/>
  <c r="AB103" i="356"/>
  <c r="AB108" i="356" s="1"/>
  <c r="AB109" i="356"/>
  <c r="H103" i="356"/>
  <c r="H108" i="356" s="1"/>
  <c r="H109" i="356"/>
  <c r="AA109" i="356"/>
  <c r="AA103" i="356"/>
  <c r="AA108" i="356" s="1"/>
  <c r="G109" i="356"/>
  <c r="G103" i="356"/>
  <c r="G108" i="356" s="1"/>
  <c r="Q83" i="356"/>
  <c r="R98" i="355"/>
  <c r="R103" i="355" s="1"/>
  <c r="R108" i="355" s="1"/>
  <c r="I99" i="355"/>
  <c r="I103" i="355" s="1"/>
  <c r="I108" i="355" s="1"/>
  <c r="U98" i="355"/>
  <c r="U103" i="355" s="1"/>
  <c r="U108" i="355" s="1"/>
  <c r="AF86" i="355"/>
  <c r="M103" i="355"/>
  <c r="M108" i="355" s="1"/>
  <c r="AF64" i="355"/>
  <c r="AH64" i="355"/>
  <c r="AG64" i="355"/>
  <c r="Q103" i="355"/>
  <c r="Q108" i="355" s="1"/>
  <c r="P65" i="355"/>
  <c r="AI61" i="355"/>
  <c r="N103" i="355"/>
  <c r="N108" i="355" s="1"/>
  <c r="U83" i="355"/>
  <c r="O103" i="355"/>
  <c r="O108" i="355" s="1"/>
  <c r="AC103" i="354"/>
  <c r="AC108" i="354" s="1"/>
  <c r="AF86" i="354"/>
  <c r="U98" i="354"/>
  <c r="U103" i="354" s="1"/>
  <c r="U108" i="354" s="1"/>
  <c r="K99" i="354"/>
  <c r="K103" i="354" s="1"/>
  <c r="K108" i="354" s="1"/>
  <c r="N98" i="354"/>
  <c r="N103" i="354" s="1"/>
  <c r="N108" i="354" s="1"/>
  <c r="Z99" i="354"/>
  <c r="Z103" i="354" s="1"/>
  <c r="Z108" i="354" s="1"/>
  <c r="N83" i="354"/>
  <c r="T103" i="354"/>
  <c r="T108" i="354" s="1"/>
  <c r="AA103" i="354"/>
  <c r="AA108" i="354" s="1"/>
  <c r="F103" i="354"/>
  <c r="F108" i="354" s="1"/>
  <c r="Z83" i="354"/>
  <c r="Y103" i="354"/>
  <c r="Y108" i="354" s="1"/>
  <c r="I103" i="354"/>
  <c r="I108" i="354" s="1"/>
  <c r="AB103" i="354"/>
  <c r="AB108" i="354" s="1"/>
  <c r="AB109" i="354"/>
  <c r="H109" i="354"/>
  <c r="H103" i="354"/>
  <c r="H108" i="354" s="1"/>
  <c r="G103" i="354"/>
  <c r="G108" i="354" s="1"/>
  <c r="Y89" i="353"/>
  <c r="R89" i="353"/>
  <c r="R110" i="353"/>
  <c r="Q109" i="353"/>
  <c r="P109" i="353"/>
  <c r="O109" i="353"/>
  <c r="N109" i="353"/>
  <c r="M109" i="353"/>
  <c r="L109" i="353"/>
  <c r="K109" i="353"/>
  <c r="J109" i="353"/>
  <c r="H89" i="353"/>
  <c r="G89" i="353"/>
  <c r="F109" i="353"/>
  <c r="S109" i="353"/>
  <c r="U109" i="353"/>
  <c r="X109" i="353"/>
  <c r="T109" i="353"/>
  <c r="K83" i="353"/>
  <c r="W83" i="353"/>
  <c r="R91" i="353"/>
  <c r="R109" i="353" s="1"/>
  <c r="F103" i="353"/>
  <c r="F108" i="353" s="1"/>
  <c r="I89" i="353"/>
  <c r="K89" i="353"/>
  <c r="K103" i="353" s="1"/>
  <c r="K108" i="353" s="1"/>
  <c r="V89" i="353"/>
  <c r="V103" i="353" s="1"/>
  <c r="V108" i="353" s="1"/>
  <c r="J89" i="353"/>
  <c r="J103" i="353" s="1"/>
  <c r="J108" i="353" s="1"/>
  <c r="H83" i="353"/>
  <c r="L89" i="353"/>
  <c r="AC83" i="353"/>
  <c r="M89" i="353"/>
  <c r="W89" i="353"/>
  <c r="M83" i="353"/>
  <c r="W91" i="353"/>
  <c r="W109" i="353" s="1"/>
  <c r="Q110" i="353"/>
  <c r="N89" i="353"/>
  <c r="X110" i="353"/>
  <c r="N83" i="353"/>
  <c r="Z109" i="353"/>
  <c r="Z103" i="353"/>
  <c r="Z108" i="353" s="1"/>
  <c r="Y83" i="353"/>
  <c r="Y110" i="353"/>
  <c r="F83" i="353"/>
  <c r="F110" i="353"/>
  <c r="M98" i="353"/>
  <c r="G110" i="353"/>
  <c r="G91" i="353"/>
  <c r="G109" i="353" s="1"/>
  <c r="U83" i="353"/>
  <c r="AH50" i="353"/>
  <c r="O83" i="353"/>
  <c r="N98" i="353"/>
  <c r="V109" i="353"/>
  <c r="O103" i="353"/>
  <c r="O108" i="353" s="1"/>
  <c r="AF64" i="353"/>
  <c r="P89" i="353"/>
  <c r="P103" i="353" s="1"/>
  <c r="P108" i="353" s="1"/>
  <c r="P83" i="353"/>
  <c r="AG64" i="353"/>
  <c r="Q89" i="353"/>
  <c r="AI36" i="353"/>
  <c r="Y91" i="353"/>
  <c r="Y109" i="353" s="1"/>
  <c r="J110" i="353"/>
  <c r="S89" i="353"/>
  <c r="S103" i="353" s="1"/>
  <c r="S108" i="353" s="1"/>
  <c r="K110" i="353"/>
  <c r="T89" i="353"/>
  <c r="T103" i="353" s="1"/>
  <c r="T108" i="353" s="1"/>
  <c r="L110" i="353"/>
  <c r="U89" i="353"/>
  <c r="U103" i="353" s="1"/>
  <c r="U108" i="353" s="1"/>
  <c r="AI61" i="353"/>
  <c r="N110" i="353"/>
  <c r="S83" i="353"/>
  <c r="AH62" i="353"/>
  <c r="AG62" i="353"/>
  <c r="L65" i="353"/>
  <c r="AF62" i="353"/>
  <c r="G83" i="353"/>
  <c r="X89" i="353"/>
  <c r="X103" i="353" s="1"/>
  <c r="X108" i="353" s="1"/>
  <c r="O110" i="353"/>
  <c r="I110" i="353"/>
  <c r="I91" i="353"/>
  <c r="I109" i="353" s="1"/>
  <c r="Q65" i="353"/>
  <c r="AG63" i="353"/>
  <c r="M110" i="353"/>
  <c r="T83" i="353"/>
  <c r="B83" i="353"/>
  <c r="X83" i="353"/>
  <c r="AF63" i="353"/>
  <c r="P110" i="353"/>
  <c r="AF50" i="353"/>
  <c r="AA110" i="353"/>
  <c r="AA91" i="353"/>
  <c r="H110" i="353"/>
  <c r="H91" i="353"/>
  <c r="V83" i="353"/>
  <c r="AA83" i="353"/>
  <c r="AC110" i="353"/>
  <c r="AC91" i="353"/>
  <c r="AC109" i="353" s="1"/>
  <c r="I83" i="353"/>
  <c r="Z83" i="353"/>
  <c r="Z110" i="353"/>
  <c r="AG50" i="353"/>
  <c r="AB110" i="353"/>
  <c r="AB91" i="353"/>
  <c r="AB109" i="353" s="1"/>
  <c r="AB83" i="353"/>
  <c r="U110" i="353"/>
  <c r="V110" i="353"/>
  <c r="J83" i="353"/>
  <c r="S110" i="353"/>
  <c r="AF40" i="353"/>
  <c r="T110" i="353"/>
  <c r="AG40" i="353"/>
  <c r="R60" i="353"/>
  <c r="R83" i="353"/>
  <c r="AH40" i="353"/>
  <c r="AF51" i="353"/>
  <c r="W110" i="353"/>
  <c r="AF48" i="353"/>
  <c r="F71" i="88"/>
  <c r="AA44" i="260"/>
  <c r="T64" i="352"/>
  <c r="T63" i="352"/>
  <c r="F70" i="88"/>
  <c r="AE43" i="260"/>
  <c r="S64" i="352"/>
  <c r="S63" i="352"/>
  <c r="F67" i="88"/>
  <c r="F66" i="88"/>
  <c r="F68" i="88"/>
  <c r="AE42" i="260"/>
  <c r="F65" i="88"/>
  <c r="R64" i="352"/>
  <c r="R63" i="352"/>
  <c r="R56" i="352"/>
  <c r="R51" i="352"/>
  <c r="R50" i="352"/>
  <c r="R47" i="352"/>
  <c r="R40" i="352"/>
  <c r="F61" i="88"/>
  <c r="AE41" i="260"/>
  <c r="Q64" i="352"/>
  <c r="Q63" i="352"/>
  <c r="Q56" i="352"/>
  <c r="Q51" i="352"/>
  <c r="Q50" i="352"/>
  <c r="Q47" i="352"/>
  <c r="F62" i="88"/>
  <c r="AE40" i="260"/>
  <c r="P63" i="352"/>
  <c r="P62" i="352"/>
  <c r="P65" i="352" s="1"/>
  <c r="P99" i="352" s="1"/>
  <c r="P51" i="352"/>
  <c r="AI36" i="352" s="1"/>
  <c r="P48" i="352"/>
  <c r="F37" i="88"/>
  <c r="F60" i="88"/>
  <c r="F59" i="88"/>
  <c r="F58" i="88"/>
  <c r="AE39" i="260"/>
  <c r="O63" i="352"/>
  <c r="O62" i="352"/>
  <c r="F39" i="88"/>
  <c r="F52" i="88"/>
  <c r="F53" i="88"/>
  <c r="F51" i="88"/>
  <c r="F50" i="88"/>
  <c r="F49" i="88"/>
  <c r="F54" i="88"/>
  <c r="N63" i="352"/>
  <c r="N62" i="352"/>
  <c r="N56" i="352"/>
  <c r="AF55" i="352"/>
  <c r="N51" i="352"/>
  <c r="N47" i="352"/>
  <c r="F31" i="88"/>
  <c r="M63" i="352"/>
  <c r="M62" i="352"/>
  <c r="F45" i="88"/>
  <c r="L63" i="352"/>
  <c r="L62" i="352"/>
  <c r="F22" i="88"/>
  <c r="F43" i="88"/>
  <c r="F35" i="88"/>
  <c r="F27" i="88"/>
  <c r="F8" i="88"/>
  <c r="F26" i="88"/>
  <c r="F38" i="88"/>
  <c r="AE30" i="260"/>
  <c r="AE28" i="260"/>
  <c r="F76" i="352"/>
  <c r="F65" i="352"/>
  <c r="F99" i="352" s="1"/>
  <c r="F60" i="352"/>
  <c r="F98" i="352" s="1"/>
  <c r="F34" i="352"/>
  <c r="F31" i="352"/>
  <c r="F93" i="352" s="1"/>
  <c r="F25" i="352"/>
  <c r="F22" i="352"/>
  <c r="F17" i="352"/>
  <c r="F28" i="88"/>
  <c r="AC107" i="352"/>
  <c r="AB107" i="352"/>
  <c r="AA107" i="352"/>
  <c r="Z107" i="352"/>
  <c r="Y107" i="352"/>
  <c r="X107" i="352"/>
  <c r="W107" i="352"/>
  <c r="V107" i="352"/>
  <c r="U107" i="352"/>
  <c r="T107" i="352"/>
  <c r="S107" i="352"/>
  <c r="R107" i="352"/>
  <c r="Q107" i="352"/>
  <c r="P107" i="352"/>
  <c r="O107" i="352"/>
  <c r="N107" i="352"/>
  <c r="M107" i="352"/>
  <c r="L107" i="352"/>
  <c r="K107" i="352"/>
  <c r="J107" i="352"/>
  <c r="I107" i="352"/>
  <c r="H107" i="352"/>
  <c r="G107" i="352"/>
  <c r="F107" i="352"/>
  <c r="AC102" i="352"/>
  <c r="AB102" i="352"/>
  <c r="AA102" i="352"/>
  <c r="Z102" i="352"/>
  <c r="Y102" i="352"/>
  <c r="X102" i="352"/>
  <c r="W102" i="352"/>
  <c r="V102" i="352"/>
  <c r="U102" i="352"/>
  <c r="T102" i="352"/>
  <c r="S102" i="352"/>
  <c r="R102" i="352"/>
  <c r="Q102" i="352"/>
  <c r="P102" i="352"/>
  <c r="O102" i="352"/>
  <c r="N102" i="352"/>
  <c r="M102" i="352"/>
  <c r="L102" i="352"/>
  <c r="K102" i="352"/>
  <c r="J102" i="352"/>
  <c r="I102" i="352"/>
  <c r="H102" i="352"/>
  <c r="G102" i="352"/>
  <c r="F102" i="352"/>
  <c r="Z101" i="352"/>
  <c r="O101" i="352"/>
  <c r="R96" i="352"/>
  <c r="N96" i="352"/>
  <c r="F96" i="352"/>
  <c r="Z91" i="352"/>
  <c r="Z109" i="352" s="1"/>
  <c r="F91" i="352"/>
  <c r="AC80" i="352"/>
  <c r="AC101" i="352" s="1"/>
  <c r="AB80" i="352"/>
  <c r="AB101" i="352" s="1"/>
  <c r="AA80" i="352"/>
  <c r="AA101" i="352" s="1"/>
  <c r="Z80" i="352"/>
  <c r="Y80" i="352"/>
  <c r="Y101" i="352" s="1"/>
  <c r="X80" i="352"/>
  <c r="X101" i="352" s="1"/>
  <c r="W80" i="352"/>
  <c r="W101" i="352" s="1"/>
  <c r="V80" i="352"/>
  <c r="V101" i="352" s="1"/>
  <c r="U80" i="352"/>
  <c r="U101" i="352" s="1"/>
  <c r="T80" i="352"/>
  <c r="T101" i="352" s="1"/>
  <c r="S80" i="352"/>
  <c r="S101" i="352" s="1"/>
  <c r="R80" i="352"/>
  <c r="R101" i="352" s="1"/>
  <c r="Q80" i="352"/>
  <c r="Q101" i="352" s="1"/>
  <c r="P80" i="352"/>
  <c r="P101" i="352" s="1"/>
  <c r="O80" i="352"/>
  <c r="N80" i="352"/>
  <c r="N101" i="352" s="1"/>
  <c r="M80" i="352"/>
  <c r="M101" i="352" s="1"/>
  <c r="L80" i="352"/>
  <c r="L101" i="352" s="1"/>
  <c r="K80" i="352"/>
  <c r="K101" i="352" s="1"/>
  <c r="J80" i="352"/>
  <c r="J101" i="352" s="1"/>
  <c r="I80" i="352"/>
  <c r="I101" i="352" s="1"/>
  <c r="H80" i="352"/>
  <c r="H101" i="352" s="1"/>
  <c r="G80" i="352"/>
  <c r="G101" i="352" s="1"/>
  <c r="F80" i="352"/>
  <c r="F101" i="352" s="1"/>
  <c r="C80" i="352"/>
  <c r="AH79" i="352"/>
  <c r="AG79" i="352"/>
  <c r="AF79" i="352"/>
  <c r="AH78" i="352"/>
  <c r="AG78" i="352"/>
  <c r="AF78" i="352"/>
  <c r="AI77" i="352"/>
  <c r="AC76" i="352"/>
  <c r="AC100" i="352" s="1"/>
  <c r="AB76" i="352"/>
  <c r="AB100" i="352" s="1"/>
  <c r="AA76" i="352"/>
  <c r="AA100" i="352" s="1"/>
  <c r="Z76" i="352"/>
  <c r="Z100" i="352" s="1"/>
  <c r="Y76" i="352"/>
  <c r="Y100" i="352" s="1"/>
  <c r="X76" i="352"/>
  <c r="X100" i="352" s="1"/>
  <c r="W76" i="352"/>
  <c r="W100" i="352" s="1"/>
  <c r="V76" i="352"/>
  <c r="V100" i="352" s="1"/>
  <c r="U76" i="352"/>
  <c r="U100" i="352" s="1"/>
  <c r="T76" i="352"/>
  <c r="T100" i="352" s="1"/>
  <c r="S76" i="352"/>
  <c r="S100" i="352" s="1"/>
  <c r="R76" i="352"/>
  <c r="R100" i="352" s="1"/>
  <c r="Q76" i="352"/>
  <c r="Q100" i="352" s="1"/>
  <c r="P76" i="352"/>
  <c r="P100" i="352" s="1"/>
  <c r="O76" i="352"/>
  <c r="O100" i="352" s="1"/>
  <c r="N76" i="352"/>
  <c r="N100" i="352" s="1"/>
  <c r="M76" i="352"/>
  <c r="M100" i="352" s="1"/>
  <c r="L76" i="352"/>
  <c r="L100" i="352" s="1"/>
  <c r="K76" i="352"/>
  <c r="K100" i="352" s="1"/>
  <c r="J76" i="352"/>
  <c r="J100" i="352" s="1"/>
  <c r="I76" i="352"/>
  <c r="I100" i="352" s="1"/>
  <c r="H76" i="352"/>
  <c r="H100" i="352" s="1"/>
  <c r="G76" i="352"/>
  <c r="G100" i="352" s="1"/>
  <c r="F100" i="352"/>
  <c r="C76" i="352"/>
  <c r="B76" i="352"/>
  <c r="B80" i="352" s="1"/>
  <c r="AH75" i="352"/>
  <c r="AG75" i="352"/>
  <c r="AF75" i="352"/>
  <c r="AH74" i="352"/>
  <c r="AG74" i="352"/>
  <c r="AF74" i="352"/>
  <c r="AH73" i="352"/>
  <c r="AG73" i="352"/>
  <c r="AF73" i="352"/>
  <c r="AH72" i="352"/>
  <c r="AG72" i="352"/>
  <c r="AF72" i="352"/>
  <c r="AH71" i="352"/>
  <c r="AG71" i="352"/>
  <c r="AF71" i="352"/>
  <c r="AH70" i="352"/>
  <c r="AG70" i="352"/>
  <c r="AF70" i="352"/>
  <c r="AH69" i="352"/>
  <c r="AG69" i="352"/>
  <c r="AF69" i="352"/>
  <c r="AH68" i="352"/>
  <c r="AG68" i="352"/>
  <c r="AF68" i="352"/>
  <c r="AH67" i="352"/>
  <c r="AG67" i="352"/>
  <c r="AF67" i="352"/>
  <c r="AI66" i="352"/>
  <c r="AC65" i="352"/>
  <c r="AC99" i="352" s="1"/>
  <c r="AB65" i="352"/>
  <c r="AB99" i="352" s="1"/>
  <c r="Z65" i="352"/>
  <c r="Z99" i="352" s="1"/>
  <c r="Y65" i="352"/>
  <c r="Y99" i="352" s="1"/>
  <c r="X65" i="352"/>
  <c r="X99" i="352" s="1"/>
  <c r="W65" i="352"/>
  <c r="W99" i="352" s="1"/>
  <c r="V65" i="352"/>
  <c r="V99" i="352" s="1"/>
  <c r="U65" i="352"/>
  <c r="U99" i="352" s="1"/>
  <c r="T65" i="352"/>
  <c r="T99" i="352" s="1"/>
  <c r="C65" i="352"/>
  <c r="AA65" i="352"/>
  <c r="AA99" i="352" s="1"/>
  <c r="O65" i="352"/>
  <c r="N65" i="352"/>
  <c r="J65" i="352"/>
  <c r="J99" i="352" s="1"/>
  <c r="I65" i="352"/>
  <c r="I99" i="352" s="1"/>
  <c r="H65" i="352"/>
  <c r="H99" i="352" s="1"/>
  <c r="AC60" i="352"/>
  <c r="AB60" i="352"/>
  <c r="AB98" i="352" s="1"/>
  <c r="AA60" i="352"/>
  <c r="AA98" i="352" s="1"/>
  <c r="Z60" i="352"/>
  <c r="Z98" i="352" s="1"/>
  <c r="Y60" i="352"/>
  <c r="Y98" i="352" s="1"/>
  <c r="X60" i="352"/>
  <c r="X98" i="352" s="1"/>
  <c r="W60" i="352"/>
  <c r="W98" i="352" s="1"/>
  <c r="V60" i="352"/>
  <c r="V98" i="352" s="1"/>
  <c r="U60" i="352"/>
  <c r="U98" i="352" s="1"/>
  <c r="T60" i="352"/>
  <c r="T98" i="352" s="1"/>
  <c r="S60" i="352"/>
  <c r="S98" i="352" s="1"/>
  <c r="R60" i="352"/>
  <c r="R98" i="352" s="1"/>
  <c r="Q60" i="352"/>
  <c r="Q98" i="352" s="1"/>
  <c r="P60" i="352"/>
  <c r="P98" i="352" s="1"/>
  <c r="O60" i="352"/>
  <c r="O98" i="352" s="1"/>
  <c r="M60" i="352"/>
  <c r="M98" i="352" s="1"/>
  <c r="L60" i="352"/>
  <c r="L98" i="352" s="1"/>
  <c r="K60" i="352"/>
  <c r="K98" i="352" s="1"/>
  <c r="J60" i="352"/>
  <c r="J98" i="352" s="1"/>
  <c r="I60" i="352"/>
  <c r="I98" i="352" s="1"/>
  <c r="H60" i="352"/>
  <c r="H98" i="352" s="1"/>
  <c r="G60" i="352"/>
  <c r="G98" i="352" s="1"/>
  <c r="C60" i="352"/>
  <c r="B60" i="352"/>
  <c r="B65" i="352" s="1"/>
  <c r="AH59" i="352"/>
  <c r="AG59" i="352"/>
  <c r="AF59" i="352"/>
  <c r="AH58" i="352"/>
  <c r="AG58" i="352"/>
  <c r="AF58" i="352"/>
  <c r="AH57" i="352"/>
  <c r="AG57" i="352"/>
  <c r="AF57" i="352"/>
  <c r="AH56" i="352"/>
  <c r="AG56" i="352"/>
  <c r="AF56" i="352"/>
  <c r="AH55" i="352"/>
  <c r="AG55" i="352"/>
  <c r="AH52" i="352"/>
  <c r="AG52" i="352"/>
  <c r="AF52" i="352"/>
  <c r="AH51" i="352"/>
  <c r="AG51" i="352"/>
  <c r="AF51" i="352"/>
  <c r="AH50" i="352"/>
  <c r="AG50" i="352"/>
  <c r="AF50" i="352"/>
  <c r="AH49" i="352"/>
  <c r="AG49" i="352"/>
  <c r="AF49" i="352"/>
  <c r="AH48" i="352"/>
  <c r="AG48" i="352"/>
  <c r="AF48" i="352"/>
  <c r="AH47" i="352"/>
  <c r="AG47" i="352"/>
  <c r="AF47" i="352"/>
  <c r="AH46" i="352"/>
  <c r="AG46" i="352"/>
  <c r="AF46" i="352"/>
  <c r="AH45" i="352"/>
  <c r="AG45" i="352"/>
  <c r="AF45" i="352"/>
  <c r="AH44" i="352"/>
  <c r="AG44" i="352"/>
  <c r="AF44" i="352"/>
  <c r="AH43" i="352"/>
  <c r="AG43" i="352"/>
  <c r="AF43" i="352"/>
  <c r="AH42" i="352"/>
  <c r="AG42" i="352"/>
  <c r="AF42" i="352"/>
  <c r="AH41" i="352"/>
  <c r="AG41" i="352"/>
  <c r="AF41" i="352"/>
  <c r="AH40" i="352"/>
  <c r="AG40" i="352"/>
  <c r="AF40" i="352"/>
  <c r="AH39" i="352"/>
  <c r="AG39" i="352"/>
  <c r="AF39" i="352"/>
  <c r="AH38" i="352"/>
  <c r="AG38" i="352"/>
  <c r="AF38" i="352"/>
  <c r="AH37" i="352"/>
  <c r="AG37" i="352"/>
  <c r="AF37" i="352"/>
  <c r="AH36" i="352"/>
  <c r="AG36" i="352"/>
  <c r="AF36" i="352"/>
  <c r="AI35" i="352"/>
  <c r="AC34" i="352"/>
  <c r="AC96" i="352" s="1"/>
  <c r="AB34" i="352"/>
  <c r="AB96" i="352" s="1"/>
  <c r="AA34" i="352"/>
  <c r="AA96" i="352" s="1"/>
  <c r="Z34" i="352"/>
  <c r="Z96" i="352" s="1"/>
  <c r="Y34" i="352"/>
  <c r="Y96" i="352" s="1"/>
  <c r="X34" i="352"/>
  <c r="X96" i="352" s="1"/>
  <c r="W34" i="352"/>
  <c r="W96" i="352" s="1"/>
  <c r="V34" i="352"/>
  <c r="V96" i="352" s="1"/>
  <c r="U34" i="352"/>
  <c r="U96" i="352" s="1"/>
  <c r="T34" i="352"/>
  <c r="T96" i="352" s="1"/>
  <c r="S34" i="352"/>
  <c r="S96" i="352" s="1"/>
  <c r="R34" i="352"/>
  <c r="Q34" i="352"/>
  <c r="Q96" i="352" s="1"/>
  <c r="P34" i="352"/>
  <c r="P96" i="352" s="1"/>
  <c r="O34" i="352"/>
  <c r="O96" i="352" s="1"/>
  <c r="N34" i="352"/>
  <c r="M34" i="352"/>
  <c r="M96" i="352" s="1"/>
  <c r="L34" i="352"/>
  <c r="L96" i="352" s="1"/>
  <c r="K34" i="352"/>
  <c r="K96" i="352" s="1"/>
  <c r="J34" i="352"/>
  <c r="J96" i="352" s="1"/>
  <c r="I34" i="352"/>
  <c r="I96" i="352" s="1"/>
  <c r="H34" i="352"/>
  <c r="H96" i="352" s="1"/>
  <c r="G34" i="352"/>
  <c r="G96" i="352" s="1"/>
  <c r="C34" i="352"/>
  <c r="B34" i="352"/>
  <c r="AH33" i="352"/>
  <c r="AG33" i="352"/>
  <c r="AF33" i="352"/>
  <c r="AI32" i="352"/>
  <c r="AC31" i="352"/>
  <c r="AC93" i="352" s="1"/>
  <c r="AB31" i="352"/>
  <c r="AB93" i="352" s="1"/>
  <c r="AA31" i="352"/>
  <c r="AA93" i="352" s="1"/>
  <c r="Z31" i="352"/>
  <c r="Z93" i="352" s="1"/>
  <c r="Y31" i="352"/>
  <c r="Y93" i="352" s="1"/>
  <c r="X31" i="352"/>
  <c r="X93" i="352" s="1"/>
  <c r="W31" i="352"/>
  <c r="W93" i="352" s="1"/>
  <c r="V31" i="352"/>
  <c r="V93" i="352" s="1"/>
  <c r="U31" i="352"/>
  <c r="U93" i="352" s="1"/>
  <c r="T31" i="352"/>
  <c r="T93" i="352" s="1"/>
  <c r="S31" i="352"/>
  <c r="S93" i="352" s="1"/>
  <c r="R31" i="352"/>
  <c r="R93" i="352" s="1"/>
  <c r="Q31" i="352"/>
  <c r="Q93" i="352" s="1"/>
  <c r="P31" i="352"/>
  <c r="P93" i="352" s="1"/>
  <c r="O31" i="352"/>
  <c r="O93" i="352" s="1"/>
  <c r="N31" i="352"/>
  <c r="N93" i="352" s="1"/>
  <c r="M31" i="352"/>
  <c r="M93" i="352" s="1"/>
  <c r="L31" i="352"/>
  <c r="L93" i="352" s="1"/>
  <c r="K31" i="352"/>
  <c r="K93" i="352" s="1"/>
  <c r="J31" i="352"/>
  <c r="J93" i="352" s="1"/>
  <c r="I31" i="352"/>
  <c r="I93" i="352" s="1"/>
  <c r="H31" i="352"/>
  <c r="H93" i="352" s="1"/>
  <c r="G31" i="352"/>
  <c r="G93" i="352" s="1"/>
  <c r="C31" i="352"/>
  <c r="B31" i="352"/>
  <c r="AI28" i="352"/>
  <c r="AH28" i="352"/>
  <c r="AG28" i="352"/>
  <c r="AF28" i="352"/>
  <c r="AH27" i="352"/>
  <c r="AG27" i="352"/>
  <c r="AF27" i="352"/>
  <c r="AI26" i="352"/>
  <c r="AC25" i="352"/>
  <c r="AB25" i="352"/>
  <c r="AA25" i="352"/>
  <c r="Z25" i="352"/>
  <c r="Z110" i="352" s="1"/>
  <c r="Y25" i="352"/>
  <c r="X25" i="352"/>
  <c r="W25" i="352"/>
  <c r="V25" i="352"/>
  <c r="U25" i="352"/>
  <c r="T25" i="352"/>
  <c r="S25" i="352"/>
  <c r="R25" i="352"/>
  <c r="Q25" i="352"/>
  <c r="P25" i="352"/>
  <c r="O25" i="352"/>
  <c r="N25" i="352"/>
  <c r="M25" i="352"/>
  <c r="L25" i="352"/>
  <c r="K25" i="352"/>
  <c r="J25" i="352"/>
  <c r="I25" i="352"/>
  <c r="H25" i="352"/>
  <c r="G25" i="352"/>
  <c r="F89" i="352"/>
  <c r="C25" i="352"/>
  <c r="B25" i="352"/>
  <c r="AH24" i="352"/>
  <c r="AG24" i="352"/>
  <c r="AF24" i="352"/>
  <c r="AI23" i="352"/>
  <c r="AC22" i="352"/>
  <c r="AC89" i="352" s="1"/>
  <c r="AB22" i="352"/>
  <c r="AB89" i="352" s="1"/>
  <c r="AA22" i="352"/>
  <c r="Z22" i="352"/>
  <c r="Y22" i="352"/>
  <c r="X22" i="352"/>
  <c r="X89" i="352" s="1"/>
  <c r="W22" i="352"/>
  <c r="V22" i="352"/>
  <c r="V89" i="352" s="1"/>
  <c r="U22" i="352"/>
  <c r="T22" i="352"/>
  <c r="S22" i="352"/>
  <c r="R22" i="352"/>
  <c r="Q22" i="352"/>
  <c r="P22" i="352"/>
  <c r="P89" i="352" s="1"/>
  <c r="O22" i="352"/>
  <c r="O89" i="352" s="1"/>
  <c r="N22" i="352"/>
  <c r="N89" i="352" s="1"/>
  <c r="M22" i="352"/>
  <c r="L22" i="352"/>
  <c r="K22" i="352"/>
  <c r="J22" i="352"/>
  <c r="I22" i="352"/>
  <c r="I89" i="352" s="1"/>
  <c r="H22" i="352"/>
  <c r="G22" i="352"/>
  <c r="C22" i="352"/>
  <c r="B22" i="352"/>
  <c r="AH21" i="352"/>
  <c r="AG21" i="352"/>
  <c r="AF21" i="352"/>
  <c r="AH20" i="352"/>
  <c r="AG20" i="352"/>
  <c r="AF20" i="352"/>
  <c r="AH19" i="352"/>
  <c r="AG19" i="352"/>
  <c r="AF19" i="352"/>
  <c r="AI18" i="352"/>
  <c r="AC17" i="352"/>
  <c r="AC91" i="352" s="1"/>
  <c r="AB17" i="352"/>
  <c r="AB91" i="352" s="1"/>
  <c r="AA17" i="352"/>
  <c r="AA91" i="352" s="1"/>
  <c r="AA109" i="352" s="1"/>
  <c r="Z17" i="352"/>
  <c r="Y17" i="352"/>
  <c r="Y91" i="352" s="1"/>
  <c r="X17" i="352"/>
  <c r="X91" i="352" s="1"/>
  <c r="W17" i="352"/>
  <c r="V17" i="352"/>
  <c r="U17" i="352"/>
  <c r="U91" i="352" s="1"/>
  <c r="T17" i="352"/>
  <c r="S17" i="352"/>
  <c r="R17" i="352"/>
  <c r="Q17" i="352"/>
  <c r="P17" i="352"/>
  <c r="O17" i="352"/>
  <c r="O91" i="352" s="1"/>
  <c r="N17" i="352"/>
  <c r="N91" i="352" s="1"/>
  <c r="M17" i="352"/>
  <c r="L17" i="352"/>
  <c r="K17" i="352"/>
  <c r="K91" i="352" s="1"/>
  <c r="J17" i="352"/>
  <c r="J91" i="352" s="1"/>
  <c r="I17" i="352"/>
  <c r="I91" i="352" s="1"/>
  <c r="H17" i="352"/>
  <c r="H91" i="352" s="1"/>
  <c r="G17" i="352"/>
  <c r="G91" i="352" s="1"/>
  <c r="C17" i="352"/>
  <c r="B17" i="352"/>
  <c r="AH16" i="352"/>
  <c r="AG16" i="352"/>
  <c r="AF16" i="352"/>
  <c r="AH15" i="352"/>
  <c r="AG15" i="352"/>
  <c r="AF15" i="352"/>
  <c r="AH14" i="352"/>
  <c r="AG14" i="352"/>
  <c r="AF14" i="352"/>
  <c r="AH13" i="352"/>
  <c r="AG13" i="352"/>
  <c r="AF13" i="352"/>
  <c r="AI12" i="352"/>
  <c r="M9" i="352" a="1"/>
  <c r="M9" i="352" s="1"/>
  <c r="AE27" i="260"/>
  <c r="W27" i="260"/>
  <c r="F40" i="88"/>
  <c r="F29" i="88"/>
  <c r="W26" i="260"/>
  <c r="AA64" i="351"/>
  <c r="AA62" i="351"/>
  <c r="F17" i="88"/>
  <c r="W25" i="260"/>
  <c r="Z64" i="351"/>
  <c r="Z62" i="351"/>
  <c r="W24" i="260"/>
  <c r="Y64" i="351"/>
  <c r="Y62" i="351"/>
  <c r="W23" i="260"/>
  <c r="X64" i="351"/>
  <c r="X62" i="351"/>
  <c r="L99" i="359" l="1"/>
  <c r="L103" i="359" s="1"/>
  <c r="L108" i="359" s="1"/>
  <c r="L83" i="359"/>
  <c r="K99" i="357"/>
  <c r="K103" i="357" s="1"/>
  <c r="K108" i="357" s="1"/>
  <c r="K83" i="357"/>
  <c r="P99" i="355"/>
  <c r="P103" i="355" s="1"/>
  <c r="P108" i="355" s="1"/>
  <c r="P83" i="355"/>
  <c r="W103" i="353"/>
  <c r="W108" i="353" s="1"/>
  <c r="N103" i="353"/>
  <c r="N108" i="353" s="1"/>
  <c r="R98" i="353"/>
  <c r="R103" i="353" s="1"/>
  <c r="R108" i="353" s="1"/>
  <c r="M103" i="353"/>
  <c r="M108" i="353" s="1"/>
  <c r="Q99" i="353"/>
  <c r="Q103" i="353" s="1"/>
  <c r="Q108" i="353" s="1"/>
  <c r="AA109" i="353"/>
  <c r="AA103" i="353"/>
  <c r="AA108" i="353" s="1"/>
  <c r="AF86" i="353"/>
  <c r="Y103" i="353"/>
  <c r="Y108" i="353" s="1"/>
  <c r="Q83" i="353"/>
  <c r="AC103" i="353"/>
  <c r="AC108" i="353" s="1"/>
  <c r="AB103" i="353"/>
  <c r="AB108" i="353" s="1"/>
  <c r="G103" i="353"/>
  <c r="G108" i="353" s="1"/>
  <c r="H109" i="353"/>
  <c r="H103" i="353"/>
  <c r="H108" i="353" s="1"/>
  <c r="L99" i="353"/>
  <c r="L103" i="353" s="1"/>
  <c r="L108" i="353" s="1"/>
  <c r="L83" i="353"/>
  <c r="I103" i="353"/>
  <c r="I108" i="353" s="1"/>
  <c r="AC109" i="352"/>
  <c r="AB109" i="352"/>
  <c r="AA110" i="352"/>
  <c r="AA89" i="352"/>
  <c r="Z89" i="352"/>
  <c r="Z103" i="352" s="1"/>
  <c r="Z108" i="352" s="1"/>
  <c r="Y109" i="352"/>
  <c r="Y89" i="352"/>
  <c r="Y110" i="352"/>
  <c r="X109" i="352"/>
  <c r="U109" i="352"/>
  <c r="U89" i="352"/>
  <c r="T89" i="352"/>
  <c r="S89" i="352"/>
  <c r="Q89" i="352"/>
  <c r="AG62" i="352"/>
  <c r="AH62" i="352"/>
  <c r="AF62" i="352"/>
  <c r="B83" i="352"/>
  <c r="V83" i="352"/>
  <c r="N60" i="352"/>
  <c r="N109" i="352"/>
  <c r="L89" i="352"/>
  <c r="K109" i="352"/>
  <c r="K89" i="352"/>
  <c r="J109" i="352"/>
  <c r="J89" i="352"/>
  <c r="H89" i="352"/>
  <c r="G109" i="352"/>
  <c r="G110" i="352"/>
  <c r="F109" i="352"/>
  <c r="AB103" i="352"/>
  <c r="AB108" i="352" s="1"/>
  <c r="AC83" i="352"/>
  <c r="J103" i="352"/>
  <c r="J108" i="352" s="1"/>
  <c r="W89" i="352"/>
  <c r="N110" i="352"/>
  <c r="U83" i="352"/>
  <c r="R89" i="352"/>
  <c r="O110" i="352"/>
  <c r="F103" i="352"/>
  <c r="F108" i="352" s="1"/>
  <c r="I110" i="352"/>
  <c r="O109" i="352"/>
  <c r="AC110" i="352"/>
  <c r="W83" i="352"/>
  <c r="AA103" i="352"/>
  <c r="AA108" i="352" s="1"/>
  <c r="U103" i="352"/>
  <c r="U108" i="352" s="1"/>
  <c r="M89" i="352"/>
  <c r="H110" i="352"/>
  <c r="AB110" i="352"/>
  <c r="O99" i="352"/>
  <c r="O83" i="352"/>
  <c r="N99" i="352"/>
  <c r="N83" i="352"/>
  <c r="H103" i="352"/>
  <c r="H108" i="352" s="1"/>
  <c r="I103" i="352"/>
  <c r="I108" i="352" s="1"/>
  <c r="AB83" i="352"/>
  <c r="P91" i="352"/>
  <c r="P109" i="352" s="1"/>
  <c r="P83" i="352"/>
  <c r="G65" i="352"/>
  <c r="G89" i="352"/>
  <c r="L91" i="352"/>
  <c r="L109" i="352" s="1"/>
  <c r="K110" i="352"/>
  <c r="S110" i="352"/>
  <c r="K65" i="352"/>
  <c r="M91" i="352"/>
  <c r="L110" i="352"/>
  <c r="AH63" i="352"/>
  <c r="AG63" i="352"/>
  <c r="AF63" i="352"/>
  <c r="O103" i="352"/>
  <c r="O108" i="352" s="1"/>
  <c r="F110" i="352"/>
  <c r="Q91" i="352"/>
  <c r="Q109" i="352" s="1"/>
  <c r="J110" i="352"/>
  <c r="T83" i="352"/>
  <c r="T110" i="352"/>
  <c r="L65" i="352"/>
  <c r="AC98" i="352"/>
  <c r="AC103" i="352" s="1"/>
  <c r="AC108" i="352" s="1"/>
  <c r="M110" i="352"/>
  <c r="W110" i="352"/>
  <c r="Q65" i="352"/>
  <c r="I83" i="352"/>
  <c r="S91" i="352"/>
  <c r="S109" i="352" s="1"/>
  <c r="H109" i="352"/>
  <c r="X83" i="352"/>
  <c r="J83" i="352"/>
  <c r="T91" i="352"/>
  <c r="T109" i="352" s="1"/>
  <c r="I109" i="352"/>
  <c r="Q110" i="352"/>
  <c r="R110" i="352"/>
  <c r="V110" i="352"/>
  <c r="H83" i="352"/>
  <c r="R91" i="352"/>
  <c r="R109" i="352" s="1"/>
  <c r="P110" i="352"/>
  <c r="C83" i="352"/>
  <c r="Y83" i="352"/>
  <c r="X110" i="352"/>
  <c r="U110" i="352"/>
  <c r="M65" i="352"/>
  <c r="G83" i="352"/>
  <c r="F83" i="352"/>
  <c r="X103" i="352"/>
  <c r="X108" i="352" s="1"/>
  <c r="Y103" i="352"/>
  <c r="Y108" i="352" s="1"/>
  <c r="AA83" i="352"/>
  <c r="Z83" i="352"/>
  <c r="R65" i="352"/>
  <c r="V91" i="352"/>
  <c r="V109" i="352" s="1"/>
  <c r="S65" i="352"/>
  <c r="W91" i="352"/>
  <c r="W109" i="352" s="1"/>
  <c r="F16" i="88"/>
  <c r="F36" i="88"/>
  <c r="F34" i="88"/>
  <c r="F33" i="88"/>
  <c r="F32" i="88"/>
  <c r="F20" i="88"/>
  <c r="W18" i="260"/>
  <c r="AE18" i="260"/>
  <c r="S64" i="351"/>
  <c r="S63" i="351"/>
  <c r="F30" i="88"/>
  <c r="F21" i="88"/>
  <c r="W17" i="260"/>
  <c r="R64" i="351"/>
  <c r="R63" i="351"/>
  <c r="AE16" i="260"/>
  <c r="W16" i="260"/>
  <c r="Q64" i="351"/>
  <c r="Q63" i="351"/>
  <c r="AE15" i="260"/>
  <c r="W15" i="260"/>
  <c r="P64" i="351"/>
  <c r="P63" i="351"/>
  <c r="F15" i="88"/>
  <c r="AE14" i="260"/>
  <c r="O63" i="351"/>
  <c r="O62" i="351"/>
  <c r="F25" i="88"/>
  <c r="F24" i="88"/>
  <c r="F23" i="88"/>
  <c r="N63" i="351"/>
  <c r="N62" i="351"/>
  <c r="M63" i="351"/>
  <c r="M62" i="351"/>
  <c r="F13" i="88"/>
  <c r="L63" i="351"/>
  <c r="L62" i="351"/>
  <c r="F19" i="88"/>
  <c r="F18" i="88"/>
  <c r="F12" i="88"/>
  <c r="K63" i="351"/>
  <c r="K62" i="351"/>
  <c r="I63" i="351"/>
  <c r="I62" i="351"/>
  <c r="J63" i="351"/>
  <c r="J62" i="351"/>
  <c r="F9" i="88"/>
  <c r="H63" i="351"/>
  <c r="H62" i="351"/>
  <c r="G63" i="351"/>
  <c r="G62" i="351"/>
  <c r="G213" i="260" a="1"/>
  <c r="AQ348" i="260" a="1"/>
  <c r="R290" i="260" a="1"/>
  <c r="J124" i="260" a="1"/>
  <c r="BJ203" i="260" a="1"/>
  <c r="G680" i="260" a="1"/>
  <c r="BQ453" i="260" a="1"/>
  <c r="AQ90" i="260" a="1"/>
  <c r="AH171" i="260" a="1"/>
  <c r="AQ103" i="260" a="1"/>
  <c r="BJ676" i="260" a="1"/>
  <c r="AV535" i="260" a="1"/>
  <c r="BJ136" i="260" a="1"/>
  <c r="AN663" i="260" a="1"/>
  <c r="BF364" i="260" a="1"/>
  <c r="AQ664" i="260" a="1"/>
  <c r="AZ202" i="260" a="1"/>
  <c r="AQ234" i="260" a="1"/>
  <c r="R363" i="260" a="1"/>
  <c r="N130" i="260" a="1"/>
  <c r="AV274" i="260" a="1"/>
  <c r="G719" i="260" a="1"/>
  <c r="R541" i="260" a="1"/>
  <c r="AZ95" i="260" a="1"/>
  <c r="AQ406" i="260" a="1"/>
  <c r="N240" i="260" a="1"/>
  <c r="AV322" i="260" a="1"/>
  <c r="Z151" i="260" a="1"/>
  <c r="V755" i="260" a="1"/>
  <c r="G485" i="260" a="1"/>
  <c r="BF223" i="260" a="1"/>
  <c r="BJ683" i="260" a="1"/>
  <c r="BF616" i="260" a="1"/>
  <c r="G240" i="260" a="1"/>
  <c r="BJ331" i="260" a="1"/>
  <c r="G603" i="260" a="1"/>
  <c r="BJ322" i="260" a="1"/>
  <c r="BF394" i="260" a="1"/>
  <c r="V665" i="260" a="1"/>
  <c r="BU117" i="260" a="1"/>
  <c r="BU464" i="260" a="1"/>
  <c r="BU266" i="260" a="1"/>
  <c r="BF90" i="260" a="1"/>
  <c r="AV230" i="260" a="1"/>
  <c r="G85" i="260" a="1"/>
  <c r="BJ619" i="260" a="1"/>
  <c r="BQ364" i="260" a="1"/>
  <c r="BM563" i="260" a="1"/>
  <c r="BM320" i="260" a="1"/>
  <c r="V538" i="260" a="1"/>
  <c r="BF467" i="260" a="1"/>
  <c r="BU610" i="260" a="1"/>
  <c r="BF524" i="260" a="1"/>
  <c r="AZ466" i="260" a="1"/>
  <c r="BM647" i="260" a="1"/>
  <c r="AZ665" i="260" a="1"/>
  <c r="BQ389" i="260" a="1"/>
  <c r="AH488" i="260" a="1"/>
  <c r="AZ98" i="260" a="1"/>
  <c r="AH486" i="260" a="1"/>
  <c r="AN241" i="260" a="1"/>
  <c r="BQ589" i="260" a="1"/>
  <c r="V275" i="260" a="1"/>
  <c r="BQ715" i="260" a="1"/>
  <c r="AQ271" i="260" a="1"/>
  <c r="R107" i="260" a="1"/>
  <c r="AZ634" i="260" a="1"/>
  <c r="AD264" i="260" a="1"/>
  <c r="BQ387" i="260" a="1"/>
  <c r="BM576" i="260" a="1"/>
  <c r="V314" i="260" a="1"/>
  <c r="Z178" i="260" a="1"/>
  <c r="J503" i="260" a="1"/>
  <c r="G751" i="260" a="1"/>
  <c r="AQ574" i="260" a="1"/>
  <c r="BM564" i="260" a="1"/>
  <c r="N677" i="260" a="1"/>
  <c r="J303" i="260" a="1"/>
  <c r="N582" i="260" a="1"/>
  <c r="AN321" i="260" a="1"/>
  <c r="R224" i="260" a="1"/>
  <c r="V207" i="260" a="1"/>
  <c r="BJ594" i="260" a="1"/>
  <c r="N713" i="260" a="1"/>
  <c r="BU517" i="260" a="1"/>
  <c r="G411" i="260" a="1"/>
  <c r="AH82" i="260" a="1"/>
  <c r="BU512" i="260" a="1"/>
  <c r="BQ682" i="260" a="1"/>
  <c r="AZ101" i="260" a="1"/>
  <c r="AN169" i="260" a="1"/>
  <c r="R89" i="260" a="1"/>
  <c r="AZ453" i="260" a="1"/>
  <c r="G559" i="260" a="1"/>
  <c r="Z82" i="260" a="1"/>
  <c r="AQ615" i="260" a="1"/>
  <c r="N359" i="260" a="1"/>
  <c r="V673" i="260" a="1"/>
  <c r="AH700" i="260" a="1"/>
  <c r="R296" i="260" a="1"/>
  <c r="BM498" i="260" a="1"/>
  <c r="BF465" i="260" a="1"/>
  <c r="AD743" i="260" a="1"/>
  <c r="AV460" i="260" a="1"/>
  <c r="BQ159" i="260" a="1"/>
  <c r="AN172" i="260" a="1"/>
  <c r="AQ750" i="260" a="1"/>
  <c r="AN637" i="260" a="1"/>
  <c r="AZ401" i="260" a="1"/>
  <c r="BJ103" i="260" a="1"/>
  <c r="BF370" i="260" a="1"/>
  <c r="J298" i="260" a="1"/>
  <c r="AV653" i="260" a="1"/>
  <c r="AZ613" i="260" a="1"/>
  <c r="BJ178" i="260" a="1"/>
  <c r="AQ298" i="260" a="1"/>
  <c r="AH742" i="260" a="1"/>
  <c r="V638" i="260" a="1"/>
  <c r="BQ648" i="260" a="1"/>
  <c r="G655" i="260" a="1"/>
  <c r="BJ375" i="260" a="1"/>
  <c r="BQ315" i="260" a="1"/>
  <c r="BF496" i="260" a="1"/>
  <c r="Z87" i="260" a="1"/>
  <c r="AZ427" i="260" a="1"/>
  <c r="BQ619" i="260" a="1"/>
  <c r="Z293" i="260" a="1"/>
  <c r="AV724" i="260" a="1"/>
  <c r="BQ683" i="260" a="1"/>
  <c r="BF415" i="260" a="1"/>
  <c r="BF663" i="260" a="1"/>
  <c r="AZ722" i="260" a="1"/>
  <c r="BJ567" i="260" a="1"/>
  <c r="Z210" i="260" a="1"/>
  <c r="BM471" i="260" a="1"/>
  <c r="R245" i="260" a="1"/>
  <c r="AD193" i="260" a="1"/>
  <c r="AZ113" i="260" a="1"/>
  <c r="AH758" i="260" a="1"/>
  <c r="V148" i="260" a="1"/>
  <c r="R247" i="260" a="1"/>
  <c r="AQ740" i="260" a="1"/>
  <c r="G570" i="260" a="1"/>
  <c r="G152" i="260" a="1"/>
  <c r="R309" i="260" a="1"/>
  <c r="BJ165" i="260" a="1"/>
  <c r="AQ178" i="260" a="1"/>
  <c r="AQ372" i="260" a="1"/>
  <c r="N778" i="260" a="1"/>
  <c r="BM538" i="260" a="1"/>
  <c r="AH93" i="260" a="1"/>
  <c r="AD289" i="260" a="1"/>
  <c r="BM83" i="260" a="1"/>
  <c r="N121" i="260" a="1"/>
  <c r="AH334" i="260" a="1"/>
  <c r="AD401" i="260" a="1"/>
  <c r="G773" i="260" a="1"/>
  <c r="BJ238" i="260" a="1"/>
  <c r="BJ647" i="260" a="1"/>
  <c r="N750" i="260" a="1"/>
  <c r="BM457" i="260" a="1"/>
  <c r="G327" i="260" a="1"/>
  <c r="J472" i="260" a="1"/>
  <c r="V83" i="260" a="1"/>
  <c r="G252" i="260" a="1"/>
  <c r="Z140" i="260" a="1"/>
  <c r="G385" i="260" a="1"/>
  <c r="AZ191" i="260" a="1"/>
  <c r="AD178" i="260" a="1"/>
  <c r="AH143" i="260" a="1"/>
  <c r="AV570" i="260" a="1"/>
  <c r="AD487" i="260" a="1"/>
  <c r="G669" i="260" a="1"/>
  <c r="Z233" i="260" a="1"/>
  <c r="AQ140" i="260" a="1"/>
  <c r="BU310" i="260" a="1"/>
  <c r="BU325" i="260" a="1"/>
  <c r="N443" i="260" a="1"/>
  <c r="AQ688" i="260" a="1"/>
  <c r="R121" i="260" a="1"/>
  <c r="G736" i="260" a="1"/>
  <c r="Z378" i="260" a="1"/>
  <c r="N148" i="260" a="1"/>
  <c r="BU275" i="260" a="1"/>
  <c r="G264" i="260" a="1"/>
  <c r="AQ642" i="260" a="1"/>
  <c r="AZ528" i="260" a="1"/>
  <c r="AQ382" i="260" a="1"/>
  <c r="AV373" i="260" a="1"/>
  <c r="V136" i="260" a="1"/>
  <c r="AZ106" i="260" a="1"/>
  <c r="Z358" i="260" a="1"/>
  <c r="BQ586" i="260" a="1"/>
  <c r="R637" i="260" a="1"/>
  <c r="BJ558" i="260" a="1"/>
  <c r="BJ383" i="260" a="1"/>
  <c r="AQ618" i="260" a="1"/>
  <c r="AQ500" i="260" a="1"/>
  <c r="AN116" i="260" a="1"/>
  <c r="J389" i="260" a="1"/>
  <c r="J428" i="260" a="1"/>
  <c r="AZ523" i="260" a="1"/>
  <c r="BQ756" i="260" a="1"/>
  <c r="AV320" i="260" a="1"/>
  <c r="AQ560" i="260" a="1"/>
  <c r="R302" i="260" a="1"/>
  <c r="N662" i="260" a="1"/>
  <c r="G498" i="260" a="1"/>
  <c r="BJ317" i="260" a="1"/>
  <c r="BJ455" i="260" a="1"/>
  <c r="R387" i="260" a="1"/>
  <c r="AV314" i="260" a="1"/>
  <c r="Z539" i="260" a="1"/>
  <c r="BU531" i="260" a="1"/>
  <c r="AH694" i="260" a="1"/>
  <c r="R621" i="260" a="1"/>
  <c r="BJ206" i="260" a="1"/>
  <c r="AH718" i="260" a="1"/>
  <c r="BJ194" i="260" a="1"/>
  <c r="R646" i="260" a="1"/>
  <c r="BF106" i="260" a="1"/>
  <c r="AZ484" i="260" a="1"/>
  <c r="BJ757" i="260" a="1"/>
  <c r="BM207" i="260" a="1"/>
  <c r="AD751" i="260" a="1"/>
  <c r="AN90" i="260" a="1"/>
  <c r="BQ714" i="260" a="1"/>
  <c r="G668" i="260" a="1"/>
  <c r="AZ584" i="260" a="1"/>
  <c r="G636" i="260" a="1"/>
  <c r="J348" i="260" a="1"/>
  <c r="AN543" i="260" a="1"/>
  <c r="BQ666" i="260" a="1"/>
  <c r="V525" i="260" a="1"/>
  <c r="J141" i="260" a="1"/>
  <c r="BQ627" i="260" a="1"/>
  <c r="J324" i="260" a="1"/>
  <c r="G197" i="260" a="1"/>
  <c r="J482" i="260" a="1"/>
  <c r="BM736" i="260" a="1"/>
  <c r="BF613" i="260" a="1"/>
  <c r="N691" i="260" a="1"/>
  <c r="Z578" i="260" a="1"/>
  <c r="BJ85" i="260" a="1"/>
  <c r="AV425" i="260" a="1"/>
  <c r="R380" i="260" a="1"/>
  <c r="AQ499" i="260" a="1"/>
  <c r="BQ86" i="260" a="1"/>
  <c r="AV371" i="260" a="1"/>
  <c r="AZ176" i="260" a="1"/>
  <c r="J326" i="260" a="1"/>
  <c r="J600" i="260" a="1"/>
  <c r="V745" i="260" a="1"/>
  <c r="R344" i="260" a="1"/>
  <c r="BU586" i="260" a="1"/>
  <c r="AV709" i="260" a="1"/>
  <c r="BM274" i="260" a="1"/>
  <c r="N458" i="260" a="1"/>
  <c r="BQ555" i="260" a="1"/>
  <c r="G502" i="260" a="1"/>
  <c r="AD168" i="260" a="1"/>
  <c r="V740" i="260" a="1"/>
  <c r="V172" i="260" a="1"/>
  <c r="N282" i="260" a="1"/>
  <c r="V595" i="260" a="1"/>
  <c r="BF774" i="260" a="1"/>
  <c r="BU420" i="260" a="1"/>
  <c r="AV249" i="260" a="1"/>
  <c r="AN375" i="260" a="1"/>
  <c r="AZ349" i="260" a="1"/>
  <c r="BU540" i="260" a="1"/>
  <c r="R293" i="260" a="1"/>
  <c r="BF535" i="260" a="1"/>
  <c r="G269" i="260" a="1"/>
  <c r="R491" i="260" a="1"/>
  <c r="R539" i="260" a="1"/>
  <c r="G757" i="260" a="1"/>
  <c r="V312" i="260" a="1"/>
  <c r="AH195" i="260" a="1"/>
  <c r="BF517" i="260" a="1"/>
  <c r="BF636" i="260" a="1"/>
  <c r="Z544" i="260" a="1"/>
  <c r="AQ709" i="260" a="1"/>
  <c r="AQ523" i="260" a="1"/>
  <c r="AN502" i="260" a="1"/>
  <c r="BM473" i="260" a="1"/>
  <c r="J569" i="260" a="1"/>
  <c r="V565" i="260" a="1"/>
  <c r="AQ641" i="260" a="1"/>
  <c r="Z195" i="260" a="1"/>
  <c r="R340" i="260" a="1"/>
  <c r="R606" i="260" a="1"/>
  <c r="Z288" i="260" a="1"/>
  <c r="G624" i="260" a="1"/>
  <c r="AD438" i="260" a="1"/>
  <c r="V138" i="260" a="1"/>
  <c r="BF157" i="260" a="1"/>
  <c r="J770" i="260" a="1"/>
  <c r="AN660" i="260" a="1"/>
  <c r="V89" i="260" a="1"/>
  <c r="Z681" i="260" a="1"/>
  <c r="BU277" i="260" a="1"/>
  <c r="BU515" i="260" a="1"/>
  <c r="N618" i="260" a="1"/>
  <c r="AN453" i="260" a="1"/>
  <c r="Z474" i="260" a="1"/>
  <c r="R517" i="260" a="1"/>
  <c r="AH403" i="260" a="1"/>
  <c r="V743" i="260" a="1"/>
  <c r="V722" i="260" a="1"/>
  <c r="BM628" i="260" a="1"/>
  <c r="AZ620" i="260" a="1"/>
  <c r="V449" i="260" a="1"/>
  <c r="R359" i="260" a="1"/>
  <c r="N510" i="260" a="1"/>
  <c r="AN194" i="260" a="1"/>
  <c r="AZ386" i="260" a="1"/>
  <c r="BU444" i="260" a="1"/>
  <c r="J635" i="260" a="1"/>
  <c r="AN411" i="260" a="1"/>
  <c r="Z760" i="260" a="1"/>
  <c r="AQ626" i="260" a="1"/>
  <c r="V294" i="260" a="1"/>
  <c r="AH485" i="260" a="1"/>
  <c r="AH313" i="260" a="1"/>
  <c r="V183" i="260" a="1"/>
  <c r="AH366" i="260" a="1"/>
  <c r="N718" i="260" a="1"/>
  <c r="J134" i="260" a="1"/>
  <c r="R620" i="260" a="1"/>
  <c r="J122" i="260" a="1"/>
  <c r="AN105" i="260" a="1"/>
  <c r="BQ689" i="260" a="1"/>
  <c r="Z483" i="260" a="1"/>
  <c r="N696" i="260" a="1"/>
  <c r="BJ344" i="260" a="1"/>
  <c r="AV763" i="260" a="1"/>
  <c r="Z216" i="260" a="1"/>
  <c r="BF101" i="260" a="1"/>
  <c r="V659" i="260" a="1"/>
  <c r="AQ588" i="260" a="1"/>
  <c r="AH652" i="260" a="1"/>
  <c r="R688" i="260" a="1"/>
  <c r="BF443" i="260" a="1"/>
  <c r="N201" i="260" a="1"/>
  <c r="N464" i="260" a="1"/>
  <c r="BM363" i="260" a="1"/>
  <c r="G562" i="260" a="1"/>
  <c r="V239" i="260" a="1"/>
  <c r="AV761" i="260" a="1"/>
  <c r="BU535" i="260" a="1"/>
  <c r="G507" i="260" a="1"/>
  <c r="V637" i="260" a="1"/>
  <c r="BJ678" i="260" a="1"/>
  <c r="BJ386" i="260" a="1"/>
  <c r="BU101" i="260" a="1"/>
  <c r="BM136" i="260" a="1"/>
  <c r="AQ768" i="260" a="1"/>
  <c r="BM650" i="260" a="1"/>
  <c r="V367" i="260" a="1"/>
  <c r="G495" i="260" a="1"/>
  <c r="AH152" i="260" a="1"/>
  <c r="AV573" i="260" a="1"/>
  <c r="AQ423" i="260" a="1"/>
  <c r="AD250" i="260" a="1"/>
  <c r="BF383" i="260" a="1"/>
  <c r="G764" i="260" a="1"/>
  <c r="AN641" i="260" a="1"/>
  <c r="BQ595" i="260" a="1"/>
  <c r="AZ688" i="260" a="1"/>
  <c r="AD555" i="260" a="1"/>
  <c r="AD181" i="260" a="1"/>
  <c r="R733" i="260" a="1"/>
  <c r="BU766" i="260" a="1"/>
  <c r="N748" i="260" a="1"/>
  <c r="BJ281" i="260" a="1"/>
  <c r="N470" i="260" a="1"/>
  <c r="G234" i="260" a="1"/>
  <c r="AZ120" i="260" a="1"/>
  <c r="R440" i="260" a="1"/>
  <c r="BQ331" i="260" a="1"/>
  <c r="Z162" i="260" a="1"/>
  <c r="AH619" i="260" a="1"/>
  <c r="AQ459" i="260" a="1"/>
  <c r="Z612" i="260" a="1"/>
  <c r="BM762" i="260" a="1"/>
  <c r="AQ146" i="260" a="1"/>
  <c r="Z128" i="260" a="1"/>
  <c r="BM168" i="260" a="1"/>
  <c r="BJ145" i="260" a="1"/>
  <c r="BQ428" i="260" a="1"/>
  <c r="Z527" i="260" a="1"/>
  <c r="Z516" i="260" a="1"/>
  <c r="G187" i="260" a="1"/>
  <c r="BM630" i="260" a="1"/>
  <c r="R603" i="260" a="1"/>
  <c r="AZ194" i="260" a="1"/>
  <c r="BQ527" i="260" a="1"/>
  <c r="N109" i="260" a="1"/>
  <c r="N452" i="260" a="1"/>
  <c r="AZ247" i="260" a="1"/>
  <c r="AH749" i="260" a="1"/>
  <c r="G622" i="260" a="1"/>
  <c r="BU202" i="260" a="1"/>
  <c r="R350" i="260" a="1"/>
  <c r="R422" i="260" a="1"/>
  <c r="R434" i="260" a="1"/>
  <c r="BM462" i="260" a="1"/>
  <c r="N508" i="260" a="1"/>
  <c r="BJ378" i="260" a="1"/>
  <c r="BU280" i="260" a="1"/>
  <c r="J331" i="260" a="1"/>
  <c r="J394" i="260" a="1"/>
  <c r="BU630" i="260" a="1"/>
  <c r="N399" i="260" a="1"/>
  <c r="AN540" i="260" a="1"/>
  <c r="AD496" i="260" a="1"/>
  <c r="G343" i="260" a="1"/>
  <c r="AH326" i="260" a="1"/>
  <c r="BJ125" i="260" a="1"/>
  <c r="Z295" i="260" a="1"/>
  <c r="AH80" i="260" a="1"/>
  <c r="G701" i="260" a="1"/>
  <c r="G399" i="260" a="1"/>
  <c r="R82" i="260" a="1"/>
  <c r="AH109" i="260" a="1"/>
  <c r="BU721" i="260" a="1"/>
  <c r="G424" i="260" a="1"/>
  <c r="BU84" i="260" a="1"/>
  <c r="AD680" i="260" a="1"/>
  <c r="AN317" i="260" a="1"/>
  <c r="BU88" i="260" a="1"/>
  <c r="AQ530" i="260" a="1"/>
  <c r="V280" i="260" a="1"/>
  <c r="BQ769" i="260" a="1"/>
  <c r="BQ577" i="260" a="1"/>
  <c r="R150" i="260" a="1"/>
  <c r="BF337" i="260" a="1"/>
  <c r="AV424" i="260" a="1"/>
  <c r="AN414" i="260" a="1"/>
  <c r="BF702" i="260" a="1"/>
  <c r="BQ351" i="260" a="1"/>
  <c r="AD516" i="260" a="1"/>
  <c r="Z534" i="260" a="1"/>
  <c r="BQ266" i="260" a="1"/>
  <c r="N418" i="260" a="1"/>
  <c r="J212" i="260" a="1"/>
  <c r="BM723" i="260" a="1"/>
  <c r="J221" i="260" a="1"/>
  <c r="AZ416" i="260" a="1"/>
  <c r="BJ189" i="260" a="1"/>
  <c r="AD457" i="260" a="1"/>
  <c r="G700" i="260" a="1"/>
  <c r="AQ363" i="260" a="1"/>
  <c r="J435" i="260" a="1"/>
  <c r="G262" i="260" a="1"/>
  <c r="BJ406" i="260" a="1"/>
  <c r="BU673" i="260" a="1"/>
  <c r="BM141" i="260" a="1"/>
  <c r="AD117" i="260" a="1"/>
  <c r="J650" i="260" a="1"/>
  <c r="AV402" i="260" a="1"/>
  <c r="V131" i="260" a="1"/>
  <c r="G134" i="260" a="1"/>
  <c r="AD451" i="260" a="1"/>
  <c r="AH551" i="260" a="1"/>
  <c r="V636" i="260" a="1"/>
  <c r="BJ612" i="260" a="1"/>
  <c r="BM589" i="260" a="1"/>
  <c r="R105" i="260" a="1"/>
  <c r="BJ334" i="260" a="1"/>
  <c r="BF600" i="260" a="1"/>
  <c r="BM709" i="260" a="1"/>
  <c r="BM360" i="260" a="1"/>
  <c r="N125" i="260" a="1"/>
  <c r="BF92" i="260" a="1"/>
  <c r="AH599" i="260" a="1"/>
  <c r="AV234" i="260" a="1"/>
  <c r="BF347" i="260" a="1"/>
  <c r="AH267" i="260" a="1"/>
  <c r="BF560" i="260" a="1"/>
  <c r="AN257" i="260" a="1"/>
  <c r="Z323" i="260" a="1"/>
  <c r="AV532" i="260" a="1"/>
  <c r="AH142" i="260" a="1"/>
  <c r="V421" i="260" a="1"/>
  <c r="V360" i="260" a="1"/>
  <c r="AN388" i="260" a="1"/>
  <c r="AV271" i="260" a="1"/>
  <c r="AV764" i="260" a="1"/>
  <c r="BU124" i="260" a="1"/>
  <c r="BU446" i="260" a="1"/>
  <c r="AZ184" i="260" a="1"/>
  <c r="BJ228" i="260" a="1"/>
  <c r="V774" i="260" a="1"/>
  <c r="G690" i="260" a="1"/>
  <c r="V584" i="260" a="1"/>
  <c r="J177" i="260" a="1"/>
  <c r="R495" i="260" a="1"/>
  <c r="V257" i="260" a="1"/>
  <c r="AQ207" i="260" a="1"/>
  <c r="AN282" i="260" a="1"/>
  <c r="V330" i="260" a="1"/>
  <c r="G356" i="260" a="1"/>
  <c r="G310" i="260" a="1"/>
  <c r="AN251" i="260" a="1"/>
  <c r="V113" i="260" a="1"/>
  <c r="BF196" i="260" a="1"/>
  <c r="G647" i="260" a="1"/>
  <c r="Z520" i="260" a="1"/>
  <c r="BJ670" i="260" a="1"/>
  <c r="Z370" i="260" a="1"/>
  <c r="AN727" i="260" a="1"/>
  <c r="J531" i="260" a="1"/>
  <c r="G200" i="260" a="1"/>
  <c r="AZ756" i="260" a="1"/>
  <c r="AN92" i="260" a="1"/>
  <c r="AV742" i="260" a="1"/>
  <c r="AD703" i="260" a="1"/>
  <c r="BJ436" i="260" a="1"/>
  <c r="AN436" i="260" a="1"/>
  <c r="J731" i="260" a="1"/>
  <c r="BF306" i="260" a="1"/>
  <c r="Z537" i="260" a="1"/>
  <c r="Z261" i="260" a="1"/>
  <c r="BU657" i="260" a="1"/>
  <c r="AH370" i="260" a="1"/>
  <c r="Z608" i="260" a="1"/>
  <c r="AZ557" i="260" a="1"/>
  <c r="N274" i="260" a="1"/>
  <c r="V549" i="260" a="1"/>
  <c r="AN435" i="260" a="1"/>
  <c r="Z227" i="260" a="1"/>
  <c r="AD252" i="260" a="1"/>
  <c r="BF593" i="260" a="1"/>
  <c r="BQ765" i="260" a="1"/>
  <c r="BM513" i="260" a="1"/>
  <c r="V430" i="260" a="1"/>
  <c r="R753" i="260" a="1"/>
  <c r="J136" i="260" a="1"/>
  <c r="BJ109" i="260" a="1"/>
  <c r="AZ649" i="260" a="1"/>
  <c r="BQ502" i="260" a="1"/>
  <c r="AQ581" i="260" a="1"/>
  <c r="AH112" i="260" a="1"/>
  <c r="BQ450" i="260" a="1"/>
  <c r="AQ297" i="260" a="1"/>
  <c r="AZ409" i="260" a="1"/>
  <c r="BF588" i="260" a="1"/>
  <c r="J691" i="260" a="1"/>
  <c r="V351" i="260" a="1"/>
  <c r="AN703" i="260" a="1"/>
  <c r="AH660" i="260" a="1"/>
  <c r="BQ373" i="260" a="1"/>
  <c r="AV209" i="260" a="1"/>
  <c r="BF195" i="260" a="1"/>
  <c r="BJ543" i="260" a="1"/>
  <c r="AH643" i="260" a="1"/>
  <c r="BJ312" i="260" a="1"/>
  <c r="AD417" i="260" a="1"/>
  <c r="BU344" i="260" a="1"/>
  <c r="AV539" i="260" a="1"/>
  <c r="BQ369" i="260" a="1"/>
  <c r="R266" i="260" a="1"/>
  <c r="BJ466" i="260" a="1"/>
  <c r="AD330" i="260" a="1"/>
  <c r="AV599" i="260" a="1"/>
  <c r="BJ313" i="260" a="1"/>
  <c r="AD530" i="260" a="1"/>
  <c r="AZ322" i="260" a="1"/>
  <c r="R357" i="260" a="1"/>
  <c r="BJ391" i="260" a="1"/>
  <c r="V265" i="260" a="1"/>
  <c r="AD263" i="260" a="1"/>
  <c r="AV407" i="260" a="1"/>
  <c r="AD300" i="260" a="1"/>
  <c r="AH226" i="260" a="1"/>
  <c r="AZ556" i="260" a="1"/>
  <c r="BM426" i="260" a="1"/>
  <c r="BQ88" i="260" a="1"/>
  <c r="BM573" i="260" a="1"/>
  <c r="R667" i="260" a="1"/>
  <c r="AH747" i="260" a="1"/>
  <c r="BQ612" i="260" a="1"/>
  <c r="AH119" i="260" a="1"/>
  <c r="N606" i="260" a="1"/>
  <c r="N408" i="260" a="1"/>
  <c r="AV153" i="260" a="1"/>
  <c r="R744" i="260" a="1"/>
  <c r="AN117" i="260" a="1"/>
  <c r="G587" i="260" a="1"/>
  <c r="BJ241" i="260" a="1"/>
  <c r="BU637" i="260" a="1"/>
  <c r="BQ778" i="260" a="1"/>
  <c r="BU345" i="260" a="1"/>
  <c r="N516" i="260" a="1"/>
  <c r="AZ86" i="260" a="1"/>
  <c r="G164" i="260" a="1"/>
  <c r="J398" i="260" a="1"/>
  <c r="R680" i="260" a="1"/>
  <c r="AD387" i="260" a="1"/>
  <c r="J561" i="260" a="1"/>
  <c r="AD196" i="260" a="1"/>
  <c r="N503" i="260" a="1"/>
  <c r="R694" i="260" a="1"/>
  <c r="AQ712" i="260" a="1"/>
  <c r="AQ424" i="260" a="1"/>
  <c r="Z256" i="260" a="1"/>
  <c r="BJ198" i="260" a="1"/>
  <c r="BU201" i="260" a="1"/>
  <c r="AQ432" i="260" a="1"/>
  <c r="R685" i="260" a="1"/>
  <c r="BU386" i="260" a="1"/>
  <c r="BU530" i="260" a="1"/>
  <c r="BQ483" i="260" a="1"/>
  <c r="J409" i="260" a="1"/>
  <c r="AN359" i="260" a="1"/>
  <c r="N558" i="260" a="1"/>
  <c r="G769" i="260" a="1"/>
  <c r="R690" i="260" a="1"/>
  <c r="AN214" i="260" a="1"/>
  <c r="AH273" i="260" a="1"/>
  <c r="AD571" i="260" a="1"/>
  <c r="AZ335" i="260" a="1"/>
  <c r="AN512" i="260" a="1"/>
  <c r="AQ663" i="260" a="1"/>
  <c r="AN600" i="260" a="1"/>
  <c r="AV664" i="260" a="1"/>
  <c r="Z569" i="260" a="1"/>
  <c r="BQ725" i="260" a="1"/>
  <c r="V274" i="260" a="1"/>
  <c r="Z611" i="260" a="1"/>
  <c r="G586" i="260" a="1"/>
  <c r="BM282" i="260" a="1"/>
  <c r="AZ209" i="260" a="1"/>
  <c r="V444" i="260" a="1"/>
  <c r="V423" i="260" a="1"/>
  <c r="V156" i="260" a="1"/>
  <c r="AV312" i="260" a="1"/>
  <c r="BF736" i="260" a="1"/>
  <c r="BJ223" i="260" a="1"/>
  <c r="Z603" i="260" a="1"/>
  <c r="R480" i="260" a="1"/>
  <c r="Z484" i="260" a="1"/>
  <c r="AZ711" i="260" a="1"/>
  <c r="G89" i="260" a="1"/>
  <c r="AN649" i="260" a="1"/>
  <c r="R295" i="260" a="1"/>
  <c r="N164" i="260" a="1"/>
  <c r="BJ207" i="260" a="1"/>
  <c r="R270" i="260" a="1"/>
  <c r="G226" i="260" a="1"/>
  <c r="BM178" i="260" a="1"/>
  <c r="V347" i="260" a="1"/>
  <c r="AZ575" i="260" a="1"/>
  <c r="AV157" i="260" a="1"/>
  <c r="AH537" i="260" a="1"/>
  <c r="AD239" i="260" a="1"/>
  <c r="R628" i="260" a="1"/>
  <c r="N306" i="260" a="1"/>
  <c r="N199" i="260" a="1"/>
  <c r="N757" i="260" a="1"/>
  <c r="BF653" i="260" a="1"/>
  <c r="BF776" i="260" a="1"/>
  <c r="BM506" i="260" a="1"/>
  <c r="BU774" i="260" a="1"/>
  <c r="N772" i="260" a="1"/>
  <c r="Z88" i="260" a="1"/>
  <c r="AH320" i="260" a="1"/>
  <c r="AV197" i="260" a="1"/>
  <c r="AD175" i="260" a="1"/>
  <c r="R740" i="260" a="1"/>
  <c r="AD670" i="260" a="1"/>
  <c r="J527" i="260" a="1"/>
  <c r="AD314" i="260" a="1"/>
  <c r="BU209" i="260" a="1"/>
  <c r="AD377" i="260" a="1"/>
  <c r="J555" i="260" a="1"/>
  <c r="AN531" i="260" a="1"/>
  <c r="AQ342" i="260" a="1"/>
  <c r="BJ373" i="260" a="1"/>
  <c r="AV100" i="260" a="1"/>
  <c r="R542" i="260" a="1"/>
  <c r="Z136" i="260" a="1"/>
  <c r="BQ736" i="260" a="1"/>
  <c r="Z317" i="260" a="1"/>
  <c r="J692" i="260" a="1"/>
  <c r="N724" i="260" a="1"/>
  <c r="BJ566" i="260" a="1"/>
  <c r="AZ651" i="260" a="1"/>
  <c r="AQ422" i="260" a="1"/>
  <c r="BU730" i="260" a="1"/>
  <c r="BQ457" i="260" a="1"/>
  <c r="AZ670" i="260" a="1"/>
  <c r="BU690" i="260" a="1"/>
  <c r="AV323" i="260" a="1"/>
  <c r="AH583" i="260" a="1"/>
  <c r="AQ559" i="260" a="1"/>
  <c r="BJ499" i="260" a="1"/>
  <c r="BF691" i="260" a="1"/>
  <c r="AQ575" i="260" a="1"/>
  <c r="R696" i="260" a="1"/>
  <c r="AN681" i="260" a="1"/>
  <c r="BU292" i="260" a="1"/>
  <c r="V642" i="260" a="1"/>
  <c r="BQ581" i="260" a="1"/>
  <c r="BM374" i="260" a="1"/>
  <c r="AH211" i="260" a="1"/>
  <c r="N739" i="260" a="1"/>
  <c r="AD359" i="260" a="1"/>
  <c r="V245" i="260" a="1"/>
  <c r="R167" i="260" a="1"/>
  <c r="AQ593" i="260" a="1"/>
  <c r="BQ108" i="260" a="1"/>
  <c r="AD605" i="260" a="1"/>
  <c r="AV101" i="260" a="1"/>
  <c r="R367" i="260" a="1"/>
  <c r="N387" i="260" a="1"/>
  <c r="BU458" i="260" a="1"/>
  <c r="AZ587" i="260" a="1"/>
  <c r="J684" i="260" a="1"/>
  <c r="AD187" i="260" a="1"/>
  <c r="BF765" i="260" a="1"/>
  <c r="J290" i="260" a="1"/>
  <c r="N556" i="260" a="1"/>
  <c r="V339" i="260" a="1"/>
  <c r="G335" i="260" a="1"/>
  <c r="G511" i="260" a="1"/>
  <c r="G738" i="260" a="1"/>
  <c r="BQ390" i="260" a="1"/>
  <c r="N442" i="260" a="1"/>
  <c r="BQ710" i="260" a="1"/>
  <c r="V600" i="260" a="1"/>
  <c r="BU366" i="260" a="1"/>
  <c r="AN389" i="260" a="1"/>
  <c r="R758" i="260" a="1"/>
  <c r="BM359" i="260" a="1"/>
  <c r="AH361" i="260" a="1"/>
  <c r="AN551" i="260" a="1"/>
  <c r="V480" i="260" a="1"/>
  <c r="R220" i="260" a="1"/>
  <c r="Z715" i="260" a="1"/>
  <c r="AN293" i="260" a="1"/>
  <c r="BU591" i="260" a="1"/>
  <c r="BF381" i="260" a="1"/>
  <c r="G494" i="260" a="1"/>
  <c r="V338" i="260" a="1"/>
  <c r="AZ323" i="260" a="1"/>
  <c r="N760" i="260" a="1"/>
  <c r="AZ228" i="260" a="1"/>
  <c r="BQ437" i="260" a="1"/>
  <c r="R410" i="260" a="1"/>
  <c r="N446" i="260" a="1"/>
  <c r="AN222" i="260" a="1"/>
  <c r="AH681" i="260" a="1"/>
  <c r="Z299" i="260" a="1"/>
  <c r="AD452" i="260" a="1"/>
  <c r="N497" i="260" a="1"/>
  <c r="BQ731" i="260" a="1"/>
  <c r="AV640" i="260" a="1"/>
  <c r="AD427" i="260" a="1"/>
  <c r="BM702" i="260" a="1"/>
  <c r="N351" i="260" a="1"/>
  <c r="N392" i="260" a="1"/>
  <c r="BQ540" i="260" a="1"/>
  <c r="AD474" i="260" a="1"/>
  <c r="BJ743" i="260" a="1"/>
  <c r="AZ177" i="260" a="1"/>
  <c r="N595" i="260" a="1"/>
  <c r="BF295" i="260" a="1"/>
  <c r="Z186" i="260" a="1"/>
  <c r="N185" i="260" a="1"/>
  <c r="AH595" i="260" a="1"/>
  <c r="BF630" i="260" a="1"/>
  <c r="AD240" i="260" a="1"/>
  <c r="AQ272" i="260" a="1"/>
  <c r="AH683" i="260" a="1"/>
  <c r="AV438" i="260" a="1"/>
  <c r="AN735" i="260" a="1"/>
  <c r="AQ320" i="260" a="1"/>
  <c r="AN399" i="260" a="1"/>
  <c r="N435" i="260" a="1"/>
  <c r="J118" i="260" a="1"/>
  <c r="AN425" i="260" a="1"/>
  <c r="AZ360" i="260" a="1"/>
  <c r="N339" i="260" a="1"/>
  <c r="AN689" i="260" a="1"/>
  <c r="BF163" i="260" a="1"/>
  <c r="BU385" i="260" a="1"/>
  <c r="G149" i="260" a="1"/>
  <c r="BM277" i="260" a="1"/>
  <c r="R284" i="260" a="1"/>
  <c r="N276" i="260" a="1"/>
  <c r="AN298" i="260" a="1"/>
  <c r="V371" i="260" a="1"/>
  <c r="BJ475" i="260" a="1"/>
  <c r="BM316" i="260" a="1"/>
  <c r="N534" i="260" a="1"/>
  <c r="BU165" i="260" a="1"/>
  <c r="AV747" i="260" a="1"/>
  <c r="AQ714" i="260" a="1"/>
  <c r="BU676" i="260" a="1"/>
  <c r="AD231" i="260" a="1"/>
  <c r="BU100" i="260" a="1"/>
  <c r="BU284" i="260" a="1"/>
  <c r="N742" i="260" a="1"/>
  <c r="BM367" i="260" a="1"/>
  <c r="AH168" i="260" a="1"/>
  <c r="AV459" i="260" a="1"/>
  <c r="BM411" i="260" a="1"/>
  <c r="R395" i="260" a="1"/>
  <c r="BQ469" i="260" a="1"/>
  <c r="AQ262" i="260" a="1"/>
  <c r="AN719" i="260" a="1"/>
  <c r="V691" i="260" a="1"/>
  <c r="AV716" i="260" a="1"/>
  <c r="V416" i="260" a="1"/>
  <c r="AQ407" i="260" a="1"/>
  <c r="BQ174" i="260" a="1"/>
  <c r="N708" i="260" a="1"/>
  <c r="Z641" i="260" a="1"/>
  <c r="BJ101" i="260" a="1"/>
  <c r="AZ355" i="260" a="1"/>
  <c r="AN430" i="260" a="1"/>
  <c r="BJ310" i="260" a="1"/>
  <c r="AN669" i="260" a="1"/>
  <c r="AV553" i="260" a="1"/>
  <c r="N381" i="260" a="1"/>
  <c r="BQ137" i="260" a="1"/>
  <c r="BU203" i="260" a="1"/>
  <c r="BF468" i="260" a="1"/>
  <c r="BM446" i="260" a="1"/>
  <c r="BJ702" i="260" a="1"/>
  <c r="BU273" i="260" a="1"/>
  <c r="BM201" i="260" a="1"/>
  <c r="BU141" i="260" a="1"/>
  <c r="AV557" i="260" a="1"/>
  <c r="AQ300" i="260" a="1"/>
  <c r="AV461" i="260" a="1"/>
  <c r="J423" i="260" a="1"/>
  <c r="J397" i="260" a="1"/>
  <c r="BJ342" i="260" a="1"/>
  <c r="AD128" i="260" a="1"/>
  <c r="AZ515" i="260" a="1"/>
  <c r="J359" i="260" a="1"/>
  <c r="AD730" i="260" a="1"/>
  <c r="AQ686" i="260" a="1"/>
  <c r="AQ238" i="260" a="1"/>
  <c r="AZ390" i="260" a="1"/>
  <c r="BF171" i="260" a="1"/>
  <c r="N134" i="260" a="1"/>
  <c r="R697" i="260" a="1"/>
  <c r="G766" i="260" a="1"/>
  <c r="R487" i="260" a="1"/>
  <c r="R567" i="260" a="1"/>
  <c r="AN303" i="260" a="1"/>
  <c r="BU355" i="260" a="1"/>
  <c r="BM302" i="260" a="1"/>
  <c r="AN187" i="260" a="1"/>
  <c r="BU575" i="260" a="1"/>
  <c r="AV627" i="260" a="1"/>
  <c r="BF418" i="260" a="1"/>
  <c r="BM606" i="260" a="1"/>
  <c r="AZ391" i="260" a="1"/>
  <c r="N728" i="260" a="1"/>
  <c r="BQ362" i="260" a="1"/>
  <c r="BQ316" i="260" a="1"/>
  <c r="AH633" i="260" a="1"/>
  <c r="J164" i="260" a="1"/>
  <c r="AN530" i="260" a="1"/>
  <c r="BQ557" i="260" a="1"/>
  <c r="BM639" i="260" a="1"/>
  <c r="BM102" i="260" a="1"/>
  <c r="AN264" i="260" a="1"/>
  <c r="BU313" i="260" a="1"/>
  <c r="AZ374" i="260" a="1"/>
  <c r="AD602" i="260" a="1"/>
  <c r="AV137" i="260" a="1"/>
  <c r="V757" i="260" a="1"/>
  <c r="Z652" i="260" a="1"/>
  <c r="V751" i="260" a="1"/>
  <c r="V464" i="260" a="1"/>
  <c r="BJ367" i="260" a="1"/>
  <c r="V744" i="260" a="1"/>
  <c r="R337" i="260" a="1"/>
  <c r="AZ525" i="260" a="1"/>
  <c r="G292" i="260" a="1"/>
  <c r="N326" i="260" a="1"/>
  <c r="AQ230" i="260" a="1"/>
  <c r="AQ442" i="260" a="1"/>
  <c r="AZ524" i="260" a="1"/>
  <c r="AD435" i="260" a="1"/>
  <c r="V369" i="260" a="1"/>
  <c r="BF507" i="260" a="1"/>
  <c r="BQ658" i="260" a="1"/>
  <c r="BQ749" i="260" a="1"/>
  <c r="BU437" i="260" a="1"/>
  <c r="AZ301" i="260" a="1"/>
  <c r="J156" i="260" a="1"/>
  <c r="Z101" i="260" a="1"/>
  <c r="AN477" i="260" a="1"/>
  <c r="BU341" i="260" a="1"/>
  <c r="AH577" i="260" a="1"/>
  <c r="G607" i="260" a="1"/>
  <c r="V716" i="260" a="1"/>
  <c r="BU455" i="260" a="1"/>
  <c r="J694" i="260" a="1"/>
  <c r="R751" i="260" a="1"/>
  <c r="AQ383" i="260" a="1"/>
  <c r="AZ294" i="260" a="1"/>
  <c r="N522" i="260" a="1"/>
  <c r="BM544" i="260" a="1"/>
  <c r="AD748" i="260" a="1"/>
  <c r="V689" i="260" a="1"/>
  <c r="AH778" i="260" a="1"/>
  <c r="BF716" i="260" a="1"/>
  <c r="AV536" i="260" a="1"/>
  <c r="BU253" i="260" a="1"/>
  <c r="BU365" i="260" a="1"/>
  <c r="AZ687" i="260" a="1"/>
  <c r="AD174" i="260" a="1"/>
  <c r="AD480" i="260" a="1"/>
  <c r="AQ444" i="260" a="1"/>
  <c r="N100" i="260" a="1"/>
  <c r="R267" i="260" a="1"/>
  <c r="AZ430" i="260" a="1"/>
  <c r="AV107" i="260" a="1"/>
  <c r="AZ80" i="260" a="1"/>
  <c r="BF346" i="260" a="1"/>
  <c r="AZ683" i="260" a="1"/>
  <c r="G350" i="260" a="1"/>
  <c r="BM147" i="260" a="1"/>
  <c r="AH138" i="260" a="1"/>
  <c r="AN707" i="260" a="1"/>
  <c r="BM333" i="260" a="1"/>
  <c r="AV602" i="260" a="1"/>
  <c r="V731" i="260" a="1"/>
  <c r="N641" i="260" a="1"/>
  <c r="BJ547" i="260" a="1"/>
  <c r="BJ131" i="260" a="1"/>
  <c r="AN393" i="260" a="1"/>
  <c r="AD373" i="260" a="1"/>
  <c r="Z192" i="260" a="1"/>
  <c r="AQ647" i="260" a="1"/>
  <c r="BQ312" i="260" a="1"/>
  <c r="R308" i="260" a="1"/>
  <c r="R568" i="260" a="1"/>
  <c r="Z519" i="260" a="1"/>
  <c r="G664" i="260" a="1"/>
  <c r="BU136" i="260" a="1"/>
  <c r="AQ502" i="260" a="1"/>
  <c r="BM424" i="260" a="1"/>
  <c r="AV741" i="260" a="1"/>
  <c r="BM510" i="260" a="1"/>
  <c r="BJ376" i="260" a="1"/>
  <c r="AN292" i="260" a="1"/>
  <c r="V589" i="260" a="1"/>
  <c r="G621" i="260" a="1"/>
  <c r="AN394" i="260" a="1"/>
  <c r="AZ623" i="260" a="1"/>
  <c r="BJ655" i="260" a="1"/>
  <c r="N157" i="260" a="1"/>
  <c r="AZ702" i="260" a="1"/>
  <c r="AZ128" i="260" a="1"/>
  <c r="G724" i="260" a="1"/>
  <c r="J611" i="260" a="1"/>
  <c r="R678" i="260" a="1"/>
  <c r="R345" i="260" a="1"/>
  <c r="AN119" i="260" a="1"/>
  <c r="V710" i="260" a="1"/>
  <c r="AH383" i="260" a="1"/>
  <c r="Z571" i="260" a="1"/>
  <c r="BJ477" i="260" a="1"/>
  <c r="V285" i="260" a="1"/>
  <c r="AD420" i="260" a="1"/>
  <c r="N456" i="260" a="1"/>
  <c r="AH271" i="260" a="1"/>
  <c r="AH603" i="260" a="1"/>
  <c r="AV158" i="260" a="1"/>
  <c r="V228" i="260" a="1"/>
  <c r="AV542" i="260" a="1"/>
  <c r="BJ478" i="260" a="1"/>
  <c r="N337" i="260" a="1"/>
  <c r="BM197" i="260" a="1"/>
  <c r="Z688" i="260" a="1"/>
  <c r="BJ249" i="260" a="1"/>
  <c r="Z582" i="260" a="1"/>
  <c r="R594" i="260" a="1"/>
  <c r="V707" i="260" a="1"/>
  <c r="BJ98" i="260" a="1"/>
  <c r="J625" i="260" a="1"/>
  <c r="BU397" i="260" a="1"/>
  <c r="AZ369" i="260" a="1"/>
  <c r="AV695" i="260" a="1"/>
  <c r="J509" i="260" a="1"/>
  <c r="Z424" i="260" a="1"/>
  <c r="G683" i="260" a="1"/>
  <c r="BJ635" i="260" a="1"/>
  <c r="BF574" i="260" a="1"/>
  <c r="AQ416" i="260" a="1"/>
  <c r="J521" i="260" a="1"/>
  <c r="G453" i="260" a="1"/>
  <c r="BQ361" i="260" a="1"/>
  <c r="G592" i="260" a="1"/>
  <c r="AN733" i="260" a="1"/>
  <c r="AQ573" i="260" a="1"/>
  <c r="Z388" i="260" a="1"/>
  <c r="V273" i="260" a="1"/>
  <c r="AQ778" i="260" a="1"/>
  <c r="AD495" i="260" a="1"/>
  <c r="R427" i="260" a="1"/>
  <c r="AN603" i="260" a="1"/>
  <c r="G224" i="260" a="1"/>
  <c r="AQ341" i="260" a="1"/>
  <c r="AH352" i="260" a="1"/>
  <c r="R514" i="260" a="1"/>
  <c r="BU447" i="260" a="1"/>
  <c r="R548" i="260" a="1"/>
  <c r="AD715" i="260" a="1"/>
  <c r="AH337" i="260" a="1"/>
  <c r="AQ475" i="260" a="1"/>
  <c r="BM685" i="260" a="1"/>
  <c r="BF758" i="260" a="1"/>
  <c r="R767" i="260" a="1"/>
  <c r="AN527" i="260" a="1"/>
  <c r="Z373" i="260" a="1"/>
  <c r="BQ610" i="260" a="1"/>
  <c r="AZ170" i="260" a="1"/>
  <c r="AQ582" i="260" a="1"/>
  <c r="J648" i="260" a="1"/>
  <c r="AZ538" i="260" a="1"/>
  <c r="AQ339" i="260" a="1"/>
  <c r="N209" i="260" a="1"/>
  <c r="Z693" i="260" a="1"/>
  <c r="V419" i="260" a="1"/>
  <c r="BJ285" i="260" a="1"/>
  <c r="AD624" i="260" a="1"/>
  <c r="BU526" i="260" a="1"/>
  <c r="AZ183" i="260" a="1"/>
  <c r="AN705" i="260" a="1"/>
  <c r="AQ82" i="260" a="1"/>
  <c r="N533" i="260" a="1"/>
  <c r="BQ322" i="260" a="1"/>
  <c r="AN674" i="260" a="1"/>
  <c r="BF228" i="260" a="1"/>
  <c r="AQ651" i="260" a="1"/>
  <c r="AD509" i="260" a="1"/>
  <c r="J196" i="260" a="1"/>
  <c r="V501" i="260" a="1"/>
  <c r="J238" i="260" a="1"/>
  <c r="AQ224" i="260" a="1"/>
  <c r="AH513" i="260" a="1"/>
  <c r="AD298" i="260" a="1"/>
  <c r="AD465" i="260" a="1"/>
  <c r="Z208" i="260" a="1"/>
  <c r="BQ144" i="260" a="1"/>
  <c r="BQ597" i="260" a="1"/>
  <c r="AQ440" i="260" a="1"/>
  <c r="J701" i="260" a="1"/>
  <c r="J139" i="260" a="1"/>
  <c r="AV522" i="260" a="1"/>
  <c r="J464" i="260" a="1"/>
  <c r="N460" i="260" a="1"/>
  <c r="BJ216" i="260" a="1"/>
  <c r="BF366" i="260" a="1"/>
  <c r="BM171" i="260" a="1"/>
  <c r="AD673" i="260" a="1"/>
  <c r="AD535" i="260" a="1"/>
  <c r="AH548" i="260" a="1"/>
  <c r="R257" i="260" a="1"/>
  <c r="AN336" i="260" a="1"/>
  <c r="AV233" i="260" a="1"/>
  <c r="AV767" i="260" a="1"/>
  <c r="AD146" i="260" a="1"/>
  <c r="BU197" i="260" a="1"/>
  <c r="BJ286" i="260" a="1"/>
  <c r="AV308" i="260" a="1"/>
  <c r="BM182" i="260" a="1"/>
  <c r="AQ549" i="260" a="1"/>
  <c r="BQ214" i="260" a="1"/>
  <c r="R248" i="260" a="1"/>
  <c r="AN688" i="260" a="1"/>
  <c r="AZ171" i="260" a="1"/>
  <c r="AH293" i="260" a="1"/>
  <c r="BJ571" i="260" a="1"/>
  <c r="AQ473" i="260" a="1"/>
  <c r="BJ514" i="260" a="1"/>
  <c r="BU723" i="260" a="1"/>
  <c r="BJ718" i="260" a="1"/>
  <c r="AD86" i="260" a="1"/>
  <c r="BF732" i="260" a="1"/>
  <c r="BQ262" i="260" a="1"/>
  <c r="R116" i="260" a="1"/>
  <c r="AQ122" i="260" a="1"/>
  <c r="AD583" i="260" a="1"/>
  <c r="R682" i="260" a="1"/>
  <c r="N89" i="260" a="1"/>
  <c r="Z713" i="260" a="1"/>
  <c r="BM284" i="260" a="1"/>
  <c r="BM657" i="260" a="1"/>
  <c r="AH738" i="260" a="1"/>
  <c r="BU233" i="260" a="1"/>
  <c r="N346" i="260" a="1"/>
  <c r="AN548" i="260" a="1"/>
  <c r="BU402" i="260" a="1"/>
  <c r="BQ550" i="260" a="1"/>
  <c r="R443" i="260" a="1"/>
  <c r="N465" i="260" a="1"/>
  <c r="AH451" i="260" a="1"/>
  <c r="AZ193" i="260" a="1"/>
  <c r="AN220" i="260" a="1"/>
  <c r="J434" i="260" a="1"/>
  <c r="N357" i="260" a="1"/>
  <c r="AH421" i="260" a="1"/>
  <c r="R411" i="260" a="1"/>
  <c r="R283" i="260" a="1"/>
  <c r="AH613" i="260" a="1"/>
  <c r="BQ514" i="260" a="1"/>
  <c r="G632" i="260" a="1"/>
  <c r="G393" i="260" a="1"/>
  <c r="J287" i="260" a="1"/>
  <c r="R162" i="260" a="1"/>
  <c r="BQ513" i="260" a="1"/>
  <c r="BM425" i="260" a="1"/>
  <c r="J676" i="260" a="1"/>
  <c r="V632" i="260" a="1"/>
  <c r="AN281" i="260" a="1"/>
  <c r="G305" i="260" a="1"/>
  <c r="AD774" i="260" a="1"/>
  <c r="AZ533" i="260" a="1"/>
  <c r="J309" i="260" a="1"/>
  <c r="AN766" i="260" a="1"/>
  <c r="BJ374" i="260" a="1"/>
  <c r="BM749" i="260" a="1"/>
  <c r="AN445" i="260" a="1"/>
  <c r="AV447" i="260" a="1"/>
  <c r="V90" i="260" a="1"/>
  <c r="N580" i="260" a="1"/>
  <c r="AQ171" i="260" a="1"/>
  <c r="AZ471" i="260" a="1"/>
  <c r="V582" i="260" a="1"/>
  <c r="V120" i="260" a="1"/>
  <c r="BQ153" i="260" a="1"/>
  <c r="N705" i="260" a="1"/>
  <c r="AH474" i="260" a="1"/>
  <c r="BQ133" i="260" a="1"/>
  <c r="AZ759" i="260" a="1"/>
  <c r="N744" i="260" a="1"/>
  <c r="BJ244" i="260" a="1"/>
  <c r="BQ588" i="260" a="1"/>
  <c r="Z727" i="260" a="1"/>
  <c r="Z331" i="260" a="1"/>
  <c r="BF314" i="260" a="1"/>
  <c r="BU701" i="260" a="1"/>
  <c r="AQ250" i="260" a="1"/>
  <c r="AQ678" i="260" a="1"/>
  <c r="R126" i="260" a="1"/>
  <c r="R584" i="260" a="1"/>
  <c r="BM242" i="260" a="1"/>
  <c r="N103" i="260" a="1"/>
  <c r="AQ232" i="260" a="1"/>
  <c r="AN118" i="260" a="1"/>
  <c r="J519" i="260" a="1"/>
  <c r="R280" i="260" a="1"/>
  <c r="V359" i="260" a="1"/>
  <c r="AH295" i="260" a="1"/>
  <c r="V435" i="260" a="1"/>
  <c r="BU327" i="260" a="1"/>
  <c r="BQ258" i="260" a="1"/>
  <c r="J392" i="260" a="1"/>
  <c r="BF365" i="260" a="1"/>
  <c r="BJ587" i="260" a="1"/>
  <c r="AH156" i="260" a="1"/>
  <c r="J391" i="260" a="1"/>
  <c r="J707" i="260" a="1"/>
  <c r="BU167" i="260" a="1"/>
  <c r="AV691" i="260" a="1"/>
  <c r="AQ399" i="260" a="1"/>
  <c r="AH390" i="260" a="1"/>
  <c r="AH614" i="260" a="1"/>
  <c r="Z445" i="260" a="1"/>
  <c r="N477" i="260" a="1"/>
  <c r="R653" i="260" a="1"/>
  <c r="AZ625" i="260" a="1"/>
  <c r="BJ368" i="260" a="1"/>
  <c r="R353" i="260" a="1"/>
  <c r="AZ319" i="260" a="1"/>
  <c r="J535" i="260" a="1"/>
  <c r="AN82" i="260" a="1"/>
  <c r="R540" i="260" a="1"/>
  <c r="R752" i="260" a="1"/>
  <c r="BU606" i="260" a="1"/>
  <c r="AN748" i="260" a="1"/>
  <c r="AZ624" i="260" a="1"/>
  <c r="J534" i="260" a="1"/>
  <c r="AZ589" i="260" a="1"/>
  <c r="BM307" i="260" a="1"/>
  <c r="BQ547" i="260" a="1"/>
  <c r="BM570" i="260" a="1"/>
  <c r="AH88" i="260" a="1"/>
  <c r="Z538" i="260" a="1"/>
  <c r="AV252" i="260" a="1"/>
  <c r="R428" i="260" a="1"/>
  <c r="AZ627" i="260" a="1"/>
  <c r="AZ173" i="260" a="1"/>
  <c r="Z152" i="260" a="1"/>
  <c r="G258" i="260" a="1"/>
  <c r="N513" i="260" a="1"/>
  <c r="BQ471" i="260" a="1"/>
  <c r="Z507" i="260" a="1"/>
  <c r="AZ565" i="260" a="1"/>
  <c r="AV498" i="260" a="1"/>
  <c r="AZ225" i="260" a="1"/>
  <c r="Z640" i="260" a="1"/>
  <c r="BJ746" i="260" a="1"/>
  <c r="AV451" i="260" a="1"/>
  <c r="AQ659" i="260" a="1"/>
  <c r="BU106" i="260" a="1"/>
  <c r="J269" i="260" a="1"/>
  <c r="J769" i="260" a="1"/>
  <c r="BQ480" i="260" a="1"/>
  <c r="R136" i="260" a="1"/>
  <c r="BJ172" i="260" a="1"/>
  <c r="AV723" i="260" a="1"/>
  <c r="R88" i="260" a="1"/>
  <c r="V692" i="260" a="1"/>
  <c r="AV92" i="260" a="1"/>
  <c r="BF374" i="260" a="1"/>
  <c r="AV590" i="260" a="1"/>
  <c r="AN383" i="260" a="1"/>
  <c r="AV328" i="260" a="1"/>
  <c r="BF748" i="260" a="1"/>
  <c r="BU110" i="260" a="1"/>
  <c r="AH382" i="260" a="1"/>
  <c r="AN557" i="260" a="1"/>
  <c r="BM314" i="260" a="1"/>
  <c r="V656" i="260" a="1"/>
  <c r="AH114" i="260" a="1"/>
  <c r="AD694" i="260" a="1"/>
  <c r="BM156" i="260" a="1"/>
  <c r="BQ573" i="260" a="1"/>
  <c r="AV519" i="260" a="1"/>
  <c r="AN658" i="260" a="1"/>
  <c r="AH560" i="260" a="1"/>
  <c r="AV722" i="260" a="1"/>
  <c r="N617" i="260" a="1"/>
  <c r="BU348" i="260" a="1"/>
  <c r="R168" i="260" a="1"/>
  <c r="BM378" i="260" a="1"/>
  <c r="BQ705" i="260" a="1"/>
  <c r="N186" i="260" a="1"/>
  <c r="G155" i="260" a="1"/>
  <c r="AZ291" i="260" a="1"/>
  <c r="G118" i="260" a="1"/>
  <c r="BM464" i="260" a="1"/>
  <c r="Z531" i="260" a="1"/>
  <c r="BM733" i="260" a="1"/>
  <c r="AQ317" i="260" a="1"/>
  <c r="G755" i="260" a="1"/>
  <c r="Z345" i="260" a="1"/>
  <c r="G720" i="260" a="1"/>
  <c r="J612" i="260" a="1"/>
  <c r="AZ203" i="260" a="1"/>
  <c r="V472" i="260" a="1"/>
  <c r="AN439" i="260" a="1"/>
  <c r="R174" i="260" a="1"/>
  <c r="V114" i="260" a="1"/>
  <c r="AV171" i="260" a="1"/>
  <c r="G437" i="260" a="1"/>
  <c r="BJ575" i="260" a="1"/>
  <c r="BU718" i="260" a="1"/>
  <c r="AD411" i="260" a="1"/>
  <c r="N245" i="260" a="1"/>
  <c r="AH196" i="260" a="1"/>
  <c r="AZ518" i="260" a="1"/>
  <c r="BF769" i="260" a="1"/>
  <c r="J444" i="260" a="1"/>
  <c r="R677" i="260" a="1"/>
  <c r="N471" i="260" a="1"/>
  <c r="G150" i="260" a="1"/>
  <c r="AD655" i="260" a="1"/>
  <c r="AD508" i="260" a="1"/>
  <c r="BJ570" i="260" a="1"/>
  <c r="AZ205" i="260" a="1"/>
  <c r="R342" i="260" a="1"/>
  <c r="AZ219" i="260" a="1"/>
  <c r="AH321" i="260" a="1"/>
  <c r="G402" i="260" a="1"/>
  <c r="AN181" i="260" a="1"/>
  <c r="AH290" i="260" a="1"/>
  <c r="BJ684" i="260" a="1"/>
  <c r="AZ464" i="260" a="1"/>
  <c r="R659" i="260" a="1"/>
  <c r="BM700" i="260" a="1"/>
  <c r="BU220" i="260" a="1"/>
  <c r="AQ233" i="260" a="1"/>
  <c r="AZ550" i="260" a="1"/>
  <c r="N416" i="260" a="1"/>
  <c r="AV190" i="260" a="1"/>
  <c r="G446" i="260" a="1"/>
  <c r="R435" i="260" a="1"/>
  <c r="R414" i="260" a="1"/>
  <c r="BF734" i="260" a="1"/>
  <c r="G189" i="260" a="1"/>
  <c r="AV112" i="260" a="1"/>
  <c r="BQ667" i="260" a="1"/>
  <c r="AZ394" i="260" a="1"/>
  <c r="V242" i="260" a="1"/>
  <c r="AD302" i="260" a="1"/>
  <c r="J463" i="260" a="1"/>
  <c r="G599" i="260" a="1"/>
  <c r="AH246" i="260" a="1"/>
  <c r="BM87" i="260" a="1"/>
  <c r="BM202" i="260" a="1"/>
  <c r="BJ363" i="260" a="1"/>
  <c r="BM542" i="260" a="1"/>
  <c r="Z627" i="260" a="1"/>
  <c r="AD124" i="260" a="1"/>
  <c r="G546" i="260" a="1"/>
  <c r="BQ231" i="260" a="1"/>
  <c r="BM177" i="260" a="1"/>
  <c r="AV509" i="260" a="1"/>
  <c r="BJ508" i="260" a="1"/>
  <c r="BU706" i="260" a="1"/>
  <c r="J318" i="260" a="1"/>
  <c r="BU644" i="260" a="1"/>
  <c r="AH730" i="260" a="1"/>
  <c r="AZ102" i="260" a="1"/>
  <c r="J280" i="260" a="1"/>
  <c r="Z438" i="260" a="1"/>
  <c r="G103" i="260" a="1"/>
  <c r="BQ772" i="260" a="1"/>
  <c r="BM184" i="260" a="1"/>
  <c r="AH528" i="260" a="1"/>
  <c r="BF772" i="260" a="1"/>
  <c r="AQ770" i="260" a="1"/>
  <c r="V669" i="260" a="1"/>
  <c r="AV568" i="260" a="1"/>
  <c r="AZ469" i="260" a="1"/>
  <c r="BF519" i="260" a="1"/>
  <c r="AZ110" i="260" a="1"/>
  <c r="BJ220" i="260" a="1"/>
  <c r="N122" i="260" a="1"/>
  <c r="BF343" i="260" a="1"/>
  <c r="N320" i="260" a="1"/>
  <c r="BQ286" i="260" a="1"/>
  <c r="V661" i="260" a="1"/>
  <c r="AD727" i="260" a="1"/>
  <c r="Z423" i="260" a="1"/>
  <c r="AD747" i="260" a="1"/>
  <c r="N310" i="260" a="1"/>
  <c r="N425" i="260" a="1"/>
  <c r="AV678" i="260" a="1"/>
  <c r="AV140" i="260" a="1"/>
  <c r="BF339" i="260" a="1"/>
  <c r="AH238" i="260" a="1"/>
  <c r="BU108" i="260" a="1"/>
  <c r="BU495" i="260" a="1"/>
  <c r="G567" i="260" a="1"/>
  <c r="AD606" i="260" a="1"/>
  <c r="G711" i="260" a="1"/>
  <c r="V706" i="260" a="1"/>
  <c r="R425" i="260" a="1"/>
  <c r="AV111" i="260" a="1"/>
  <c r="BF598" i="260" a="1"/>
  <c r="AV310" i="260" a="1"/>
  <c r="AQ649" i="260" a="1"/>
  <c r="G141" i="260" a="1"/>
  <c r="V328" i="260" a="1"/>
  <c r="BF305" i="260" a="1"/>
  <c r="BQ503" i="260" a="1"/>
  <c r="R721" i="260" a="1"/>
  <c r="AN158" i="260" a="1"/>
  <c r="AD531" i="260" a="1"/>
  <c r="BU564" i="260" a="1"/>
  <c r="V315" i="260" a="1"/>
  <c r="BM437" i="260" a="1"/>
  <c r="G698" i="260" a="1"/>
  <c r="AQ220" i="260" a="1"/>
  <c r="BU635" i="260" a="1"/>
  <c r="BF141" i="260" a="1"/>
  <c r="BM687" i="260" a="1"/>
  <c r="BJ392" i="260" a="1"/>
  <c r="J247" i="260" a="1"/>
  <c r="BJ765" i="260" a="1"/>
  <c r="Z489" i="260" a="1"/>
  <c r="AQ605" i="260" a="1"/>
  <c r="AD572" i="260" a="1"/>
  <c r="R215" i="260" a="1"/>
  <c r="G596" i="260" a="1"/>
  <c r="J533" i="260" a="1"/>
  <c r="AQ625" i="260" a="1"/>
  <c r="BJ637" i="260" a="1"/>
  <c r="N144" i="260" a="1"/>
  <c r="Z386" i="260" a="1"/>
  <c r="BU95" i="260" a="1"/>
  <c r="Z217" i="260" a="1"/>
  <c r="BJ435" i="260" a="1"/>
  <c r="Z387" i="260" a="1"/>
  <c r="BQ531" i="260" a="1"/>
  <c r="AH461" i="260" a="1"/>
  <c r="J138" i="260" a="1"/>
  <c r="V298" i="260" a="1"/>
  <c r="G509" i="260" a="1"/>
  <c r="N411" i="260" a="1"/>
  <c r="J159" i="260" a="1"/>
  <c r="BU664" i="260" a="1"/>
  <c r="N260" i="260" a="1"/>
  <c r="Z496" i="260" a="1"/>
  <c r="AV635" i="260" a="1"/>
  <c r="AZ407" i="260" a="1"/>
  <c r="AN206" i="260" a="1"/>
  <c r="BF238" i="260" a="1"/>
  <c r="AZ266" i="260" a="1"/>
  <c r="Z236" i="260" a="1"/>
  <c r="Z632" i="260" a="1"/>
  <c r="R335" i="260" a="1"/>
  <c r="BQ349" i="260" a="1"/>
  <c r="R258" i="260" a="1"/>
  <c r="AH410" i="260" a="1"/>
  <c r="BU741" i="260" a="1"/>
  <c r="AN294" i="260" a="1"/>
  <c r="AV370" i="260" a="1"/>
  <c r="AQ538" i="260" a="1"/>
  <c r="AQ247" i="260" a="1"/>
  <c r="J365" i="260" a="1"/>
  <c r="G406" i="260" a="1"/>
  <c r="BJ314" i="260" a="1"/>
  <c r="BJ188" i="260" a="1"/>
  <c r="R202" i="260" a="1"/>
  <c r="G265" i="260" a="1"/>
  <c r="AZ493" i="260" a="1"/>
  <c r="AD514" i="260" a="1"/>
  <c r="BQ735" i="260" a="1"/>
  <c r="N267" i="260" a="1"/>
  <c r="AN607" i="260" a="1"/>
  <c r="BQ350" i="260" a="1"/>
  <c r="J162" i="260" a="1"/>
  <c r="AZ243" i="260" a="1"/>
  <c r="BQ433" i="260" a="1"/>
  <c r="AZ293" i="260" a="1"/>
  <c r="BQ348" i="260" a="1"/>
  <c r="Z112" i="260" a="1"/>
  <c r="AH282" i="260" a="1"/>
  <c r="V445" i="260" a="1"/>
  <c r="AZ402" i="260" a="1"/>
  <c r="BM112" i="260" a="1"/>
  <c r="BF111" i="260" a="1"/>
  <c r="N348" i="260" a="1"/>
  <c r="J664" i="260" a="1"/>
  <c r="N777" i="260" a="1"/>
  <c r="Z223" i="260" a="1"/>
  <c r="Z251" i="260" a="1"/>
  <c r="AV511" i="260" a="1"/>
  <c r="BF477" i="260" a="1"/>
  <c r="N568" i="260" a="1"/>
  <c r="J255" i="260" a="1"/>
  <c r="BF687" i="260" a="1"/>
  <c r="BQ412" i="260" a="1"/>
  <c r="R558" i="260" a="1"/>
  <c r="J300" i="260" a="1"/>
  <c r="BM342" i="260" a="1"/>
  <c r="BJ358" i="260" a="1"/>
  <c r="J425" i="260" a="1"/>
  <c r="G556" i="260" a="1"/>
  <c r="BQ250" i="260" a="1"/>
  <c r="AH644" i="260" a="1"/>
  <c r="BJ709" i="260" a="1"/>
  <c r="J641" i="260" a="1"/>
  <c r="G263" i="260" a="1"/>
  <c r="BM441" i="260" a="1"/>
  <c r="R712" i="260" a="1"/>
  <c r="Z581" i="260" a="1"/>
  <c r="V763" i="260" a="1"/>
  <c r="AH662" i="260" a="1"/>
  <c r="G341" i="260" a="1"/>
  <c r="BU656" i="260" a="1"/>
  <c r="R673" i="260" a="1"/>
  <c r="AZ710" i="260" a="1"/>
  <c r="N653" i="260" a="1"/>
  <c r="AV226" i="260" a="1"/>
  <c r="AZ733" i="260" a="1"/>
  <c r="BQ261" i="260" a="1"/>
  <c r="J412" i="260" a="1"/>
  <c r="AZ741" i="260" a="1"/>
  <c r="AN361" i="260" a="1"/>
  <c r="BJ473" i="260" a="1"/>
  <c r="J700" i="260" a="1"/>
  <c r="R133" i="260" a="1"/>
  <c r="J537" i="260" a="1"/>
  <c r="AV692" i="260" a="1"/>
  <c r="V762" i="260" a="1"/>
  <c r="AH711" i="260" a="1"/>
  <c r="V777" i="260" a="1"/>
  <c r="BJ230" i="260" a="1"/>
  <c r="AH423" i="260" a="1"/>
  <c r="BJ582" i="260" a="1"/>
  <c r="BF185" i="260" a="1"/>
  <c r="AQ455" i="260" a="1"/>
  <c r="BU251" i="260" a="1"/>
  <c r="BM582" i="260" a="1"/>
  <c r="BQ117" i="260" a="1"/>
  <c r="BJ652" i="260" a="1"/>
  <c r="AN651" i="260" a="1"/>
  <c r="N96" i="260" a="1"/>
  <c r="BJ611" i="260" a="1"/>
  <c r="R636" i="260" a="1"/>
  <c r="BU244" i="260" a="1"/>
  <c r="BJ340" i="260" a="1"/>
  <c r="BJ768" i="260" a="1"/>
  <c r="BF525" i="260" a="1"/>
  <c r="R221" i="260" a="1"/>
  <c r="AZ461" i="260" a="1"/>
  <c r="BM688" i="260" a="1"/>
  <c r="V495" i="260" a="1"/>
  <c r="BM381" i="260" a="1"/>
  <c r="AQ426" i="260" a="1"/>
  <c r="AV739" i="260" a="1"/>
  <c r="BF589" i="260" a="1"/>
  <c r="AH570" i="260" a="1"/>
  <c r="BM720" i="260" a="1"/>
  <c r="J242" i="260" a="1"/>
  <c r="BJ770" i="260" a="1"/>
  <c r="BM602" i="260" a="1"/>
  <c r="BU126" i="260" a="1"/>
  <c r="AN327" i="260" a="1"/>
  <c r="AQ587" i="260" a="1"/>
  <c r="AZ198" i="260" a="1"/>
  <c r="AV737" i="260" a="1"/>
  <c r="AZ583" i="260" a="1"/>
  <c r="BJ482" i="260" a="1"/>
  <c r="BQ551" i="260" a="1"/>
  <c r="AQ610" i="260" a="1"/>
  <c r="BU352" i="260" a="1"/>
  <c r="Z548" i="260" a="1"/>
  <c r="BQ307" i="260" a="1"/>
  <c r="AD667" i="260" a="1"/>
  <c r="AZ132" i="260" a="1"/>
  <c r="J360" i="260" a="1"/>
  <c r="AN413" i="260" a="1"/>
  <c r="BQ647" i="260" a="1"/>
  <c r="J771" i="260" a="1"/>
  <c r="AD728" i="260" a="1"/>
  <c r="J455" i="260" a="1"/>
  <c r="BF133" i="260" a="1"/>
  <c r="J239" i="260" a="1"/>
  <c r="BF253" i="260" a="1"/>
  <c r="BM186" i="260" a="1"/>
  <c r="BU181" i="260" a="1"/>
  <c r="N180" i="260" a="1"/>
  <c r="BQ543" i="260" a="1"/>
  <c r="AV332" i="260" a="1"/>
  <c r="J447" i="260" a="1"/>
  <c r="BQ719" i="260" a="1"/>
  <c r="V728" i="260" a="1"/>
  <c r="V493" i="260" a="1"/>
  <c r="N591" i="260" a="1"/>
  <c r="BU356" i="260" a="1"/>
  <c r="AH353" i="260" a="1"/>
  <c r="AD475" i="260" a="1"/>
  <c r="V378" i="260" a="1"/>
  <c r="AH546" i="260" a="1"/>
  <c r="AH251" i="260" a="1"/>
  <c r="AZ496" i="260" a="1"/>
  <c r="Z764" i="260" a="1"/>
  <c r="G578" i="260" a="1"/>
  <c r="BM553" i="260" a="1"/>
  <c r="N572" i="260" a="1"/>
  <c r="G400" i="260" a="1"/>
  <c r="N587" i="260" a="1"/>
  <c r="BQ269" i="260" a="1"/>
  <c r="J470" i="260" a="1"/>
  <c r="G214" i="260" a="1"/>
  <c r="G584" i="260" a="1"/>
  <c r="Z718" i="260" a="1"/>
  <c r="BM384" i="260" a="1"/>
  <c r="AQ100" i="260" a="1"/>
  <c r="BQ230" i="260" a="1"/>
  <c r="N570" i="260" a="1"/>
  <c r="J97" i="260" a="1"/>
  <c r="J335" i="260" a="1"/>
  <c r="AV134" i="260" a="1"/>
  <c r="BU448" i="260" a="1"/>
  <c r="V761" i="260" a="1"/>
  <c r="AQ99" i="260" a="1"/>
  <c r="BF528" i="260" a="1"/>
  <c r="AZ380" i="260" a="1"/>
  <c r="R472" i="260" a="1"/>
  <c r="AD760" i="260" a="1"/>
  <c r="BU258" i="260" a="1"/>
  <c r="BM508" i="260" a="1"/>
  <c r="AH242" i="260" a="1"/>
  <c r="V601" i="260" a="1"/>
  <c r="V189" i="260" a="1"/>
  <c r="BM287" i="260" a="1"/>
  <c r="AQ648" i="260" a="1"/>
  <c r="AN695" i="260" a="1"/>
  <c r="AH101" i="260" a="1"/>
  <c r="AZ695" i="260" a="1"/>
  <c r="V484" i="260" a="1"/>
  <c r="N725" i="260" a="1"/>
  <c r="AQ155" i="260" a="1"/>
  <c r="AH333" i="260" a="1"/>
  <c r="G98" i="260" a="1"/>
  <c r="BQ288" i="260" a="1"/>
  <c r="AD272" i="260" a="1"/>
  <c r="AN725" i="260" a="1"/>
  <c r="AD343" i="260" a="1"/>
  <c r="Z348" i="260" a="1"/>
  <c r="G120" i="260" a="1"/>
  <c r="BU169" i="260" a="1"/>
  <c r="N413" i="260" a="1"/>
  <c r="AH437" i="260" a="1"/>
  <c r="R186" i="260" a="1"/>
  <c r="BJ539" i="260" a="1"/>
  <c r="BJ83" i="260" a="1"/>
  <c r="G748" i="260" a="1"/>
  <c r="G417" i="260" a="1"/>
  <c r="G568" i="260" a="1"/>
  <c r="G560" i="260" a="1"/>
  <c r="BF342" i="260" a="1"/>
  <c r="Z620" i="260" a="1"/>
  <c r="AV360" i="260" a="1"/>
  <c r="AQ698" i="260" a="1"/>
  <c r="AZ115" i="260" a="1"/>
  <c r="G480" i="260" a="1"/>
  <c r="AZ87" i="260" a="1"/>
  <c r="AN575" i="260" a="1"/>
  <c r="BU576" i="260" a="1"/>
  <c r="BM362" i="260" a="1"/>
  <c r="BJ294" i="260" a="1"/>
  <c r="V622" i="260" a="1"/>
  <c r="BF494" i="260" a="1"/>
  <c r="Z285" i="260" a="1"/>
  <c r="AD136" i="260" a="1"/>
  <c r="J520" i="260" a="1"/>
  <c r="BU272" i="260" a="1"/>
  <c r="BU246" i="260" a="1"/>
  <c r="AV607" i="260" a="1"/>
  <c r="BJ237" i="260" a="1"/>
  <c r="G321" i="260" a="1"/>
  <c r="R97" i="260" a="1"/>
  <c r="AN358" i="260" a="1"/>
  <c r="AN260" i="260" a="1"/>
  <c r="BF473" i="260" a="1"/>
  <c r="BU497" i="260" a="1"/>
  <c r="R181" i="260" a="1"/>
  <c r="AV420" i="260" a="1"/>
  <c r="BM567" i="260" a="1"/>
  <c r="BQ413" i="260" a="1"/>
  <c r="AQ633" i="260" a="1"/>
  <c r="AD565" i="260" a="1"/>
  <c r="BM669" i="260" a="1"/>
  <c r="G521" i="260" a="1"/>
  <c r="V356" i="260" a="1"/>
  <c r="BU649" i="260" a="1"/>
  <c r="N224" i="260" a="1"/>
  <c r="V382" i="260" a="1"/>
  <c r="AV144" i="260" a="1"/>
  <c r="AH102" i="260" a="1"/>
  <c r="AH121" i="260" a="1"/>
  <c r="BF488" i="260" a="1"/>
  <c r="J144" i="260" a="1"/>
  <c r="Z724" i="260" a="1"/>
  <c r="AQ565" i="260" a="1"/>
  <c r="R634" i="260" a="1"/>
  <c r="G691" i="260" a="1"/>
  <c r="AQ385" i="260" a="1"/>
  <c r="AZ494" i="260" a="1"/>
  <c r="G483" i="260" a="1"/>
  <c r="BF410" i="260" a="1"/>
  <c r="AN357" i="260" a="1"/>
  <c r="Z399" i="260" a="1"/>
  <c r="AZ616" i="260" a="1"/>
  <c r="Z149" i="260" a="1"/>
  <c r="BU762" i="260" a="1"/>
  <c r="R157" i="260" a="1"/>
  <c r="G274" i="260" a="1"/>
  <c r="G565" i="260" a="1"/>
  <c r="AQ308" i="260" a="1"/>
  <c r="R476" i="260" a="1"/>
  <c r="V590" i="260" a="1"/>
  <c r="G235" i="260" a="1"/>
  <c r="BQ757" i="260" a="1"/>
  <c r="R511" i="260" a="1"/>
  <c r="AH99" i="260" a="1"/>
  <c r="AN682" i="260" a="1"/>
  <c r="V98" i="260" a="1"/>
  <c r="R553" i="260" a="1"/>
  <c r="BF260" i="260" a="1"/>
  <c r="Z701" i="260" a="1"/>
  <c r="BU97" i="260" a="1"/>
  <c r="AQ147" i="260" a="1"/>
  <c r="BU671" i="260" a="1"/>
  <c r="AN240" i="260" a="1"/>
  <c r="R416" i="260" a="1"/>
  <c r="AN565" i="260" a="1"/>
  <c r="BM743" i="260" a="1"/>
  <c r="V126" i="260" a="1"/>
  <c r="R630" i="260" a="1"/>
  <c r="G697" i="260" a="1"/>
  <c r="AH411" i="260" a="1"/>
  <c r="V463" i="260" a="1"/>
  <c r="R291" i="260" a="1"/>
  <c r="N521" i="260" a="1"/>
  <c r="J689" i="260" a="1"/>
  <c r="BU342" i="260" a="1"/>
  <c r="AV743" i="260" a="1"/>
  <c r="BM399" i="260" a="1"/>
  <c r="AZ465" i="260" a="1"/>
  <c r="BQ632" i="260" a="1"/>
  <c r="AD580" i="260" a="1"/>
  <c r="V572" i="260" a="1"/>
  <c r="BQ524" i="260" a="1"/>
  <c r="V363" i="260" a="1"/>
  <c r="BJ308" i="260" a="1"/>
  <c r="AV155" i="260" a="1"/>
  <c r="AQ333" i="260" a="1"/>
  <c r="R569" i="260" a="1"/>
  <c r="AN602" i="260" a="1"/>
  <c r="V471" i="260" a="1"/>
  <c r="AD115" i="260" a="1"/>
  <c r="AH511" i="260" a="1"/>
  <c r="BF302" i="260" a="1"/>
  <c r="BJ516" i="260" a="1"/>
  <c r="AZ478" i="260" a="1"/>
  <c r="AN428" i="260" a="1"/>
  <c r="AH106" i="260" a="1"/>
  <c r="Z214" i="260" a="1"/>
  <c r="BQ285" i="260" a="1"/>
  <c r="R164" i="260" a="1"/>
  <c r="V146" i="260" a="1"/>
  <c r="AV650" i="260" a="1"/>
  <c r="J244" i="260" a="1"/>
  <c r="BM493" i="260" a="1"/>
  <c r="AZ399" i="260" a="1"/>
  <c r="N538" i="260" a="1"/>
  <c r="AV149" i="260" a="1"/>
  <c r="Z493" i="260" a="1"/>
  <c r="AH724" i="260" a="1"/>
  <c r="BU764" i="260" a="1"/>
  <c r="AQ145" i="260" a="1"/>
  <c r="AZ594" i="260" a="1"/>
  <c r="AH500" i="260" a="1"/>
  <c r="BU636" i="260" a="1"/>
  <c r="BJ498" i="260" a="1"/>
  <c r="AZ296" i="260" a="1"/>
  <c r="AH263" i="260" a="1"/>
  <c r="AH314" i="260" a="1"/>
  <c r="AD303" i="260" a="1"/>
  <c r="Z719" i="260" a="1"/>
  <c r="Z189" i="260" a="1"/>
  <c r="R676" i="260" a="1"/>
  <c r="AH332" i="260" a="1"/>
  <c r="AN370" i="260" a="1"/>
  <c r="J201" i="260" a="1"/>
  <c r="BQ426" i="260" a="1"/>
  <c r="BF217" i="260" a="1"/>
  <c r="AN746" i="260" a="1"/>
  <c r="V587" i="260" a="1"/>
  <c r="BF590" i="260" a="1"/>
  <c r="N350" i="260" a="1"/>
  <c r="AH600" i="260" a="1"/>
  <c r="BU678" i="260" a="1"/>
  <c r="AN755" i="260" a="1"/>
  <c r="AZ257" i="260" a="1"/>
  <c r="G418" i="260" a="1"/>
  <c r="AZ472" i="260" a="1"/>
  <c r="V436" i="260" a="1"/>
  <c r="BM224" i="260" a="1"/>
  <c r="AZ400" i="260" a="1"/>
  <c r="AZ352" i="260" a="1"/>
  <c r="BF626" i="260" a="1"/>
  <c r="BU501" i="260" a="1"/>
  <c r="BJ277" i="260" a="1"/>
  <c r="AV193" i="260" a="1"/>
  <c r="AD90" i="260" a="1"/>
  <c r="V406" i="260" a="1"/>
  <c r="AN133" i="260" a="1"/>
  <c r="BM699" i="260" a="1"/>
  <c r="N291" i="260" a="1"/>
  <c r="G776" i="260" a="1"/>
  <c r="BM339" i="260" a="1"/>
  <c r="BF155" i="260" a="1"/>
  <c r="AZ348" i="260" a="1"/>
  <c r="AQ640" i="260" a="1"/>
  <c r="N768" i="260" a="1"/>
  <c r="BJ182" i="260" a="1"/>
  <c r="AZ189" i="260" a="1"/>
  <c r="AH303" i="260" a="1"/>
  <c r="R507" i="260" a="1"/>
  <c r="AD444" i="260" a="1"/>
  <c r="R415" i="260" a="1"/>
  <c r="BU520" i="260" a="1"/>
  <c r="Z198" i="260" a="1"/>
  <c r="R100" i="260" a="1"/>
  <c r="BJ451" i="260" a="1"/>
  <c r="V344" i="260" a="1"/>
  <c r="BM455" i="260" a="1"/>
  <c r="BJ483" i="260" a="1"/>
  <c r="BQ545" i="260" a="1"/>
  <c r="AN98" i="260" a="1"/>
  <c r="J746" i="260" a="1"/>
  <c r="AQ710" i="260" a="1"/>
  <c r="BU561" i="260" a="1"/>
  <c r="AD599" i="260" a="1"/>
  <c r="J271" i="260" a="1"/>
  <c r="J258" i="260" a="1"/>
  <c r="J395" i="260" a="1"/>
  <c r="BJ487" i="260" a="1"/>
  <c r="AV341" i="260" a="1"/>
  <c r="BJ289" i="260" a="1"/>
  <c r="AQ126" i="260" a="1"/>
  <c r="V602" i="260" a="1"/>
  <c r="AV281" i="260" a="1"/>
  <c r="G210" i="260" a="1"/>
  <c r="BM706" i="260" a="1"/>
  <c r="J265" i="260" a="1"/>
  <c r="AD248" i="260" a="1"/>
  <c r="AH118" i="260" a="1"/>
  <c r="J636" i="260" a="1"/>
  <c r="BJ485" i="260" a="1"/>
  <c r="AQ323" i="260" a="1"/>
  <c r="AH388" i="260" a="1"/>
  <c r="AV198" i="260" a="1"/>
  <c r="AN630" i="260" a="1"/>
  <c r="BF191" i="260" a="1"/>
  <c r="N321" i="260" a="1"/>
  <c r="BU684" i="260" a="1"/>
  <c r="AZ463" i="260" a="1"/>
  <c r="AN190" i="260" a="1"/>
  <c r="BF708" i="260" a="1"/>
  <c r="BU653" i="260" a="1"/>
  <c r="BU308" i="260" a="1"/>
  <c r="Z306" i="260" a="1"/>
  <c r="AD311" i="260" a="1"/>
  <c r="AD563" i="260" a="1"/>
  <c r="BQ693" i="260" a="1"/>
  <c r="AQ192" i="260" a="1"/>
  <c r="BJ366" i="260" a="1"/>
  <c r="V103" i="260" a="1"/>
  <c r="AZ730" i="260" a="1"/>
  <c r="N374" i="260" a="1"/>
  <c r="BQ751" i="260" a="1"/>
  <c r="Z425" i="260" a="1"/>
  <c r="BJ500" i="260" a="1"/>
  <c r="R274" i="260" a="1"/>
  <c r="J726" i="260" a="1"/>
  <c r="AH233" i="260" a="1"/>
  <c r="AQ181" i="260" a="1"/>
  <c r="BM623" i="260" a="1"/>
  <c r="V437" i="260" a="1"/>
  <c r="V739" i="260" a="1"/>
  <c r="R749" i="260" a="1"/>
  <c r="J267" i="260" a="1"/>
  <c r="N643" i="260" a="1"/>
  <c r="AV501" i="260" a="1"/>
  <c r="Z414" i="260" a="1"/>
  <c r="BU270" i="260" a="1"/>
  <c r="AN566" i="260" a="1"/>
  <c r="G108" i="260" a="1"/>
  <c r="BJ764" i="260" a="1"/>
  <c r="BF353" i="260" a="1"/>
  <c r="V545" i="260" a="1"/>
  <c r="AV389" i="260" a="1"/>
  <c r="BQ506" i="260" a="1"/>
  <c r="V588" i="260" a="1"/>
  <c r="AN487" i="260" a="1"/>
  <c r="J146" i="260" a="1"/>
  <c r="N532" i="260" a="1"/>
  <c r="J681" i="260" a="1"/>
  <c r="J160" i="260" a="1"/>
  <c r="BM194" i="260" a="1"/>
  <c r="AQ291" i="260" a="1"/>
  <c r="V627" i="260" a="1"/>
  <c r="BQ743" i="260" a="1"/>
  <c r="AN195" i="260" a="1"/>
  <c r="AV665" i="260" a="1"/>
  <c r="BU221" i="260" a="1"/>
  <c r="BQ575" i="260" a="1"/>
  <c r="Z617" i="260" a="1"/>
  <c r="G515" i="260" a="1"/>
  <c r="BM526" i="260" a="1"/>
  <c r="BM445" i="260" a="1"/>
  <c r="Z613" i="260" a="1"/>
  <c r="R759" i="260" a="1"/>
  <c r="AD213" i="260" a="1"/>
  <c r="AD665" i="260" a="1"/>
  <c r="N491" i="260" a="1"/>
  <c r="R246" i="260" a="1"/>
  <c r="AZ387" i="260" a="1"/>
  <c r="AQ367" i="260" a="1"/>
  <c r="N117" i="260" a="1"/>
  <c r="J88" i="260" a="1"/>
  <c r="BQ521" i="260" a="1"/>
  <c r="AV456" i="260" a="1"/>
  <c r="BM677" i="260" a="1"/>
  <c r="AQ462" i="260" a="1"/>
  <c r="BF764" i="260" a="1"/>
  <c r="J674" i="260" a="1"/>
  <c r="R201" i="260" a="1"/>
  <c r="BQ297" i="260" a="1"/>
  <c r="V440" i="260" a="1"/>
  <c r="Z146" i="260" a="1"/>
  <c r="AV340" i="260" a="1"/>
  <c r="BJ167" i="260" a="1"/>
  <c r="AZ735" i="260" a="1"/>
  <c r="BM291" i="260" a="1"/>
  <c r="BU296" i="260" a="1"/>
  <c r="BM740" i="260" a="1"/>
  <c r="BF575" i="260" a="1"/>
  <c r="BQ646" i="260" a="1"/>
  <c r="J149" i="260" a="1"/>
  <c r="AH163" i="260" a="1"/>
  <c r="G203" i="260" a="1"/>
  <c r="J275" i="260" a="1"/>
  <c r="BJ348" i="260" a="1"/>
  <c r="J682" i="260" a="1"/>
  <c r="AD348" i="260" a="1"/>
  <c r="AQ269" i="260" a="1"/>
  <c r="BJ168" i="260" a="1"/>
  <c r="BF446" i="260" a="1"/>
  <c r="N369" i="260" a="1"/>
  <c r="G528" i="260" a="1"/>
  <c r="N686" i="260" a="1"/>
  <c r="BJ625" i="260" a="1"/>
  <c r="AV187" i="260" a="1"/>
  <c r="BJ126" i="260" a="1"/>
  <c r="BQ695" i="260" a="1"/>
  <c r="AV136" i="260" a="1"/>
  <c r="V491" i="260" a="1"/>
  <c r="R583" i="260" a="1"/>
  <c r="Z748" i="260" a="1"/>
  <c r="V147" i="260" a="1"/>
  <c r="BF294" i="260" a="1"/>
  <c r="G718" i="260" a="1"/>
  <c r="AD150" i="260" a="1"/>
  <c r="V459" i="260" a="1"/>
  <c r="Z222" i="260" a="1"/>
  <c r="AH137" i="260" a="1"/>
  <c r="BU621" i="260" a="1"/>
  <c r="AQ134" i="260" a="1"/>
  <c r="N421" i="260" a="1"/>
  <c r="AD620" i="260" a="1"/>
  <c r="N162" i="260" a="1"/>
  <c r="J336" i="260" a="1"/>
  <c r="V209" i="260" a="1"/>
  <c r="BU450" i="260" a="1"/>
  <c r="G100" i="260" a="1"/>
  <c r="AZ580" i="260" a="1"/>
  <c r="AD638" i="260" a="1"/>
  <c r="AD486" i="260" a="1"/>
  <c r="AH408" i="260" a="1"/>
  <c r="BJ762" i="260" a="1"/>
  <c r="AN307" i="260" a="1"/>
  <c r="R609" i="260" a="1"/>
  <c r="BU391" i="260" a="1"/>
  <c r="AV288" i="260" a="1"/>
  <c r="BU748" i="260" a="1"/>
  <c r="BF86" i="260" a="1"/>
  <c r="J477" i="260" a="1"/>
  <c r="AV680" i="260" a="1"/>
  <c r="V678" i="260" a="1"/>
  <c r="AD505" i="260" a="1"/>
  <c r="G434" i="260" a="1"/>
  <c r="AH584" i="260" a="1"/>
  <c r="BJ380" i="260" a="1"/>
  <c r="AQ246" i="260" a="1"/>
  <c r="BM728" i="260" a="1"/>
  <c r="R214" i="260" a="1"/>
  <c r="BJ533" i="260" a="1"/>
  <c r="BM760" i="260" a="1"/>
  <c r="V316" i="260" a="1"/>
  <c r="BQ590" i="260" a="1"/>
  <c r="AQ389" i="260" a="1"/>
  <c r="AZ178" i="260" a="1"/>
  <c r="G302" i="260" a="1"/>
  <c r="BM517" i="260" a="1"/>
  <c r="AV343" i="260" a="1"/>
  <c r="BU605" i="260" a="1"/>
  <c r="BF369" i="260" a="1"/>
  <c r="G427" i="260" a="1"/>
  <c r="V223" i="260" a="1"/>
  <c r="AQ775" i="260" a="1"/>
  <c r="AN613" i="260" a="1"/>
  <c r="J405" i="260" a="1"/>
  <c r="AN585" i="260" a="1"/>
  <c r="BU236" i="260" a="1"/>
  <c r="BM283" i="260" a="1"/>
  <c r="BJ259" i="260" a="1"/>
  <c r="BJ672" i="260" a="1"/>
  <c r="AZ212" i="260" a="1"/>
  <c r="AZ418" i="260" a="1"/>
  <c r="Z102" i="260" a="1"/>
  <c r="R114" i="260" a="1"/>
  <c r="BU238" i="260" a="1"/>
  <c r="BM124" i="260" a="1"/>
  <c r="AV346" i="260" a="1"/>
  <c r="BF93" i="260" a="1"/>
  <c r="N367" i="260" a="1"/>
  <c r="AQ351" i="260" a="1"/>
  <c r="AH240" i="260" a="1"/>
  <c r="G261" i="260" a="1"/>
  <c r="AN638" i="260" a="1"/>
  <c r="J656" i="260" a="1"/>
  <c r="V292" i="260" a="1"/>
  <c r="BU190" i="260" a="1"/>
  <c r="AQ283" i="260" a="1"/>
  <c r="J137" i="260" a="1"/>
  <c r="N571" i="260" a="1"/>
  <c r="V244" i="260" a="1"/>
  <c r="Z524" i="260" a="1"/>
  <c r="BJ778" i="260" a="1"/>
  <c r="J407" i="260" a="1"/>
  <c r="BM317" i="260" a="1"/>
  <c r="AQ476" i="260" a="1"/>
  <c r="AN267" i="260" a="1"/>
  <c r="AD617" i="260" a="1"/>
  <c r="AZ731" i="260" a="1"/>
  <c r="AD689" i="260" a="1"/>
  <c r="R147" i="260" a="1"/>
  <c r="BF203" i="260" a="1"/>
  <c r="J93" i="260" a="1"/>
  <c r="BQ616" i="260" a="1"/>
  <c r="V400" i="260" a="1"/>
  <c r="BJ422" i="260" a="1"/>
  <c r="BM237" i="260" a="1"/>
  <c r="BU658" i="260" a="1"/>
  <c r="AN89" i="260" a="1"/>
  <c r="J283" i="260" a="1"/>
  <c r="AN577" i="260" a="1"/>
  <c r="AZ693" i="260" a="1"/>
  <c r="BF361" i="260" a="1"/>
  <c r="AZ673" i="260" a="1"/>
  <c r="N590" i="260" a="1"/>
  <c r="Z337" i="260" a="1"/>
  <c r="V324" i="260" a="1"/>
  <c r="AH161" i="260" a="1"/>
  <c r="J564" i="260" a="1"/>
  <c r="AN532" i="260" a="1"/>
  <c r="AH558" i="260" a="1"/>
  <c r="AQ374" i="260" a="1"/>
  <c r="N455" i="260" a="1"/>
  <c r="BU565" i="260" a="1"/>
  <c r="AZ342" i="260" a="1"/>
  <c r="BF214" i="260" a="1"/>
  <c r="BQ631" i="260" a="1"/>
  <c r="BQ659" i="260" a="1"/>
  <c r="BJ257" i="260" a="1"/>
  <c r="J530" i="260" a="1"/>
  <c r="AH477" i="260" a="1"/>
  <c r="AD630" i="260" a="1"/>
  <c r="G561" i="260" a="1"/>
  <c r="AH212" i="260" a="1"/>
  <c r="AH468" i="260" a="1"/>
  <c r="BF138" i="260" a="1"/>
  <c r="V723" i="260" a="1"/>
  <c r="BU218" i="260" a="1"/>
  <c r="AV357" i="260" a="1"/>
  <c r="BQ143" i="260" a="1"/>
  <c r="G699" i="260" a="1"/>
  <c r="BM305" i="260" a="1"/>
  <c r="BJ323" i="260" a="1"/>
  <c r="AH230" i="260" a="1"/>
  <c r="AD372" i="260" a="1"/>
  <c r="Z258" i="260" a="1"/>
  <c r="AZ310" i="260" a="1"/>
  <c r="AH452" i="260" a="1"/>
  <c r="Z407" i="260" a="1"/>
  <c r="AQ544" i="260" a="1"/>
  <c r="BU150" i="260" a="1"/>
  <c r="AN556" i="260" a="1"/>
  <c r="AQ213" i="260" a="1"/>
  <c r="AQ176" i="260" a="1"/>
  <c r="BU105" i="260" a="1"/>
  <c r="N495" i="260" a="1"/>
  <c r="G672" i="260" a="1"/>
  <c r="AQ170" i="260" a="1"/>
  <c r="Z616" i="260" a="1"/>
  <c r="BM175" i="260" a="1"/>
  <c r="AH127" i="260" a="1"/>
  <c r="BM481" i="260" a="1"/>
  <c r="AQ616" i="260" a="1"/>
  <c r="Z167" i="260" a="1"/>
  <c r="AH217" i="260" a="1"/>
  <c r="AZ336" i="260" a="1"/>
  <c r="AN85" i="260" a="1"/>
  <c r="BM318" i="260" a="1"/>
  <c r="N450" i="260" a="1"/>
  <c r="AV109" i="260" a="1"/>
  <c r="BF135" i="260" a="1"/>
  <c r="BQ305" i="260" a="1"/>
  <c r="BU651" i="260" a="1"/>
  <c r="BU192" i="260" a="1"/>
  <c r="AV384" i="260" a="1"/>
  <c r="R298" i="260" a="1"/>
  <c r="Z619" i="260" a="1"/>
  <c r="N616" i="260" a="1"/>
  <c r="AV644" i="260" a="1"/>
  <c r="G722" i="260" a="1"/>
  <c r="AN474" i="260" a="1"/>
  <c r="BM248" i="260" a="1"/>
  <c r="BM351" i="260" a="1"/>
  <c r="BJ283" i="260" a="1"/>
  <c r="BF219" i="260" a="1"/>
  <c r="J609" i="260" a="1"/>
  <c r="BJ686" i="260" a="1"/>
  <c r="Z646" i="260" a="1"/>
  <c r="AZ246" i="260" a="1"/>
  <c r="AH732" i="260" a="1"/>
  <c r="AQ210" i="260" a="1"/>
  <c r="BQ570" i="260" a="1"/>
  <c r="BF741" i="260" a="1"/>
  <c r="AZ435" i="260" a="1"/>
  <c r="Z742" i="260" a="1"/>
  <c r="Z367" i="260" a="1"/>
  <c r="J638" i="260" a="1"/>
  <c r="G157" i="260" a="1"/>
  <c r="R611" i="260" a="1"/>
  <c r="AH542" i="260" a="1"/>
  <c r="AQ521" i="260" a="1"/>
  <c r="AZ487" i="260" a="1"/>
  <c r="Z172" i="260" a="1"/>
  <c r="N493" i="260" a="1"/>
  <c r="AQ325" i="260" a="1"/>
  <c r="BQ206" i="260" a="1"/>
  <c r="BM523" i="260" a="1"/>
  <c r="V470" i="260" a="1"/>
  <c r="BM376" i="260" a="1"/>
  <c r="BF577" i="260" a="1"/>
  <c r="AV480" i="260" a="1"/>
  <c r="Z303" i="260" a="1"/>
  <c r="AZ712" i="260" a="1"/>
  <c r="AV228" i="260" a="1"/>
  <c r="AH389" i="260" a="1"/>
  <c r="J517" i="260" a="1"/>
  <c r="BF543" i="260" a="1"/>
  <c r="V194" i="260" a="1"/>
  <c r="BJ274" i="260" a="1"/>
  <c r="V695" i="260" a="1"/>
  <c r="AD593" i="260" a="1"/>
  <c r="AN633" i="260" a="1"/>
  <c r="BJ175" i="260" a="1"/>
  <c r="AH567" i="260" a="1"/>
  <c r="BQ168" i="260" a="1"/>
  <c r="V173" i="260" a="1"/>
  <c r="V461" i="260" a="1"/>
  <c r="BU278" i="260" a="1"/>
  <c r="AV558" i="260" a="1"/>
  <c r="BM267" i="260" a="1"/>
  <c r="J599" i="260" a="1"/>
  <c r="N113" i="260" a="1"/>
  <c r="BF614" i="260" a="1"/>
  <c r="Z481" i="260" a="1"/>
  <c r="J130" i="260" a="1"/>
  <c r="J341" i="260" a="1"/>
  <c r="BF236" i="260" a="1"/>
  <c r="AQ445" i="260" a="1"/>
  <c r="J587" i="260" a="1"/>
  <c r="AQ634" i="260" a="1"/>
  <c r="BM461" i="260" a="1"/>
  <c r="BQ489" i="260" a="1"/>
  <c r="BJ324" i="260" a="1"/>
  <c r="V94" i="260" a="1"/>
  <c r="BQ421" i="260" a="1"/>
  <c r="AN333" i="260" a="1"/>
  <c r="AQ84" i="260" a="1"/>
  <c r="Z171" i="260" a="1"/>
  <c r="AN475" i="260" a="1"/>
  <c r="R508" i="260" a="1"/>
  <c r="AH495" i="260" a="1"/>
  <c r="BU234" i="260" a="1"/>
  <c r="BQ344" i="260" a="1"/>
  <c r="BU249" i="260" a="1"/>
  <c r="BJ399" i="260" a="1"/>
  <c r="N703" i="260" a="1"/>
  <c r="AH443" i="260" a="1"/>
  <c r="AD340" i="260" a="1"/>
  <c r="N670" i="260" a="1"/>
  <c r="AN290" i="260" a="1"/>
  <c r="BU612" i="260" a="1"/>
  <c r="V321" i="260" a="1"/>
  <c r="BJ118" i="260" a="1"/>
  <c r="R400" i="260" a="1"/>
  <c r="BU525" i="260" a="1"/>
  <c r="N633" i="260" a="1"/>
  <c r="V527" i="260" a="1"/>
  <c r="AZ412" i="260" a="1"/>
  <c r="AD312" i="260" a="1"/>
  <c r="AZ656" i="260" a="1"/>
  <c r="V206" i="260" a="1"/>
  <c r="G382" i="260" a="1"/>
  <c r="V451" i="260" a="1"/>
  <c r="R582" i="260" a="1"/>
  <c r="AH566" i="260" a="1"/>
  <c r="R774" i="260" a="1"/>
  <c r="AD646" i="260" a="1"/>
  <c r="Z267" i="260" a="1"/>
  <c r="BU80" i="260" a="1"/>
  <c r="BM398" i="260" a="1"/>
  <c r="BM164" i="260" a="1"/>
  <c r="AD749" i="260" a="1"/>
  <c r="V335" i="260" a="1"/>
  <c r="R750" i="260" a="1"/>
  <c r="AH610" i="260" a="1"/>
  <c r="AQ434" i="260" a="1"/>
  <c r="AZ438" i="260" a="1"/>
  <c r="V758" i="260" a="1"/>
  <c r="BU557" i="260" a="1"/>
  <c r="AH343" i="260" a="1"/>
  <c r="AD396" i="260" a="1"/>
  <c r="BQ112" i="260" a="1"/>
  <c r="G573" i="260" a="1"/>
  <c r="R778" i="260" a="1"/>
  <c r="AN188" i="260" a="1"/>
  <c r="AQ590" i="260" a="1"/>
  <c r="BM262" i="260" a="1"/>
  <c r="AH158" i="260" a="1"/>
  <c r="AN185" i="260" a="1"/>
  <c r="BM410" i="260" a="1"/>
  <c r="AV319" i="260" a="1"/>
  <c r="N712" i="260" a="1"/>
  <c r="BU305" i="260" a="1"/>
  <c r="Z257" i="260" a="1"/>
  <c r="BJ528" i="260" a="1"/>
  <c r="N562" i="260" a="1"/>
  <c r="BQ394" i="260" a="1"/>
  <c r="AV113" i="260" a="1"/>
  <c r="V323" i="260" a="1"/>
  <c r="AN306" i="260" a="1"/>
  <c r="AD653" i="260" a="1"/>
  <c r="AV410" i="260" a="1"/>
  <c r="BM467" i="260" a="1"/>
  <c r="BU705" i="260" a="1"/>
  <c r="AN101" i="260" a="1"/>
  <c r="AN687" i="260" a="1"/>
  <c r="J582" i="260" a="1"/>
  <c r="BF143" i="260" a="1"/>
  <c r="G671" i="260" a="1"/>
  <c r="BJ409" i="260" a="1"/>
  <c r="N525" i="260" a="1"/>
  <c r="N126" i="260" a="1"/>
  <c r="G732" i="260" a="1"/>
  <c r="AQ377" i="260" a="1"/>
  <c r="BF293" i="260" a="1"/>
  <c r="V196" i="260" a="1"/>
  <c r="BQ732" i="260" a="1"/>
  <c r="G649" i="260" a="1"/>
  <c r="G451" i="260" a="1"/>
  <c r="AD577" i="260" a="1"/>
  <c r="N741" i="260" a="1"/>
  <c r="AV138" i="260" a="1"/>
  <c r="R610" i="260" a="1"/>
  <c r="AN312" i="260" a="1"/>
  <c r="Z563" i="260" a="1"/>
  <c r="AD355" i="260" a="1"/>
  <c r="AD470" i="260" a="1"/>
  <c r="AZ771" i="260" a="1"/>
  <c r="R771" i="260" a="1"/>
  <c r="BM280" i="260" a="1"/>
  <c r="R538" i="260" a="1"/>
  <c r="G744" i="260" a="1"/>
  <c r="AV556" i="260" a="1"/>
  <c r="J207" i="260" a="1"/>
  <c r="V640" i="260" a="1"/>
  <c r="AQ639" i="260" a="1"/>
  <c r="AN175" i="260" a="1"/>
  <c r="R500" i="260" a="1"/>
  <c r="BJ581" i="260" a="1"/>
  <c r="V603" i="260" a="1"/>
  <c r="Z653" i="260" a="1"/>
  <c r="AH725" i="260" a="1"/>
  <c r="BU486" i="260" a="1"/>
  <c r="J155" i="260" a="1"/>
  <c r="AD773" i="260" a="1"/>
  <c r="G391" i="260" a="1"/>
  <c r="BM708" i="260" a="1"/>
  <c r="AD325" i="260" a="1"/>
  <c r="BJ290" i="260" a="1"/>
  <c r="AN443" i="260" a="1"/>
  <c r="AZ674" i="260" a="1"/>
  <c r="BM372" i="260" a="1"/>
  <c r="BM195" i="260" a="1"/>
  <c r="BM81" i="260" a="1"/>
  <c r="AN192" i="260" a="1"/>
  <c r="AH286" i="260" a="1"/>
  <c r="R375" i="260" a="1"/>
  <c r="Z255" i="260" a="1"/>
  <c r="BQ492" i="260" a="1"/>
  <c r="BJ460" i="260" a="1"/>
  <c r="AN415" i="260" a="1"/>
  <c r="AN737" i="260" a="1"/>
  <c r="AZ378" i="260" a="1"/>
  <c r="J285" i="260" a="1"/>
  <c r="AD158" i="260" a="1"/>
  <c r="BJ583" i="260" a="1"/>
  <c r="V690" i="260" a="1"/>
  <c r="BU490" i="260" a="1"/>
  <c r="G602" i="260" a="1"/>
  <c r="J99" i="260" a="1"/>
  <c r="R520" i="260" a="1"/>
  <c r="J340" i="260" a="1"/>
  <c r="AZ643" i="260" a="1"/>
  <c r="AQ769" i="260" a="1"/>
  <c r="BQ583" i="260" a="1"/>
  <c r="G169" i="260" a="1"/>
  <c r="BF122" i="260" a="1"/>
  <c r="BJ452" i="260" a="1"/>
  <c r="AQ113" i="260" a="1"/>
  <c r="AD675" i="260" a="1"/>
  <c r="J205" i="260" a="1"/>
  <c r="Z737" i="260" a="1"/>
  <c r="N773" i="260" a="1"/>
  <c r="BF227" i="260" a="1"/>
  <c r="AD155" i="260" a="1"/>
  <c r="BM165" i="260" a="1"/>
  <c r="AN261" i="260" a="1"/>
  <c r="AD382" i="260" a="1"/>
  <c r="Z205" i="260" a="1"/>
  <c r="BQ538" i="260" a="1"/>
  <c r="N409" i="260" a="1"/>
  <c r="BM586" i="260" a="1"/>
  <c r="Z160" i="260" a="1"/>
  <c r="G638" i="260" a="1"/>
  <c r="AZ353" i="260" a="1"/>
  <c r="BQ103" i="260" a="1"/>
  <c r="AN201" i="260" a="1"/>
  <c r="BJ255" i="260" a="1"/>
  <c r="BQ216" i="260" a="1"/>
  <c r="BU488" i="260" a="1"/>
  <c r="AQ465" i="260" a="1"/>
  <c r="BQ481" i="260" a="1"/>
  <c r="V711" i="260" a="1"/>
  <c r="BF373" i="260" a="1"/>
  <c r="J560" i="260" a="1"/>
  <c r="BU290" i="260" a="1"/>
  <c r="G184" i="260" a="1"/>
  <c r="Z660" i="260" a="1"/>
  <c r="AQ707" i="260" a="1"/>
  <c r="AD297" i="260" a="1"/>
  <c r="BU302" i="260" a="1"/>
  <c r="N81" i="260" a="1"/>
  <c r="Z196" i="260" a="1"/>
  <c r="BM735" i="260" a="1"/>
  <c r="J327" i="260" a="1"/>
  <c r="AZ364" i="260" a="1"/>
  <c r="AZ211" i="260" a="1"/>
  <c r="BM185" i="260" a="1"/>
  <c r="AN178" i="260" a="1"/>
  <c r="R549" i="260" a="1"/>
  <c r="BM192" i="260" a="1"/>
  <c r="AD705" i="260" a="1"/>
  <c r="AV121" i="260" a="1"/>
  <c r="AD608" i="260" a="1"/>
  <c r="BF352" i="260" a="1"/>
  <c r="BF592" i="260" a="1"/>
  <c r="BM163" i="260" a="1"/>
  <c r="G97" i="260" a="1"/>
  <c r="AH166" i="260" a="1"/>
  <c r="BU286" i="260" a="1"/>
  <c r="AV638" i="260" a="1"/>
  <c r="BU499" i="260" a="1"/>
  <c r="R402" i="260" a="1"/>
  <c r="BU573" i="260" a="1"/>
  <c r="R714" i="260" a="1"/>
  <c r="AZ682" i="260" a="1"/>
  <c r="G614" i="260" a="1"/>
  <c r="R555" i="260" a="1"/>
  <c r="AQ265" i="260" a="1"/>
  <c r="BM396" i="260" a="1"/>
  <c r="J172" i="260" a="1"/>
  <c r="AD126" i="260" a="1"/>
  <c r="AQ438" i="260" a="1"/>
  <c r="G581" i="260" a="1"/>
  <c r="AD518" i="260" a="1"/>
  <c r="N552" i="260" a="1"/>
  <c r="BF140" i="260" a="1"/>
  <c r="G219" i="260" a="1"/>
  <c r="G489" i="260" a="1"/>
  <c r="AQ392" i="260" a="1"/>
  <c r="AZ190" i="260" a="1"/>
  <c r="BF285" i="260" a="1"/>
  <c r="V701" i="260" a="1"/>
  <c r="BF531" i="260" a="1"/>
  <c r="AV751" i="260" a="1"/>
  <c r="AH191" i="260" a="1"/>
  <c r="N427" i="260" a="1"/>
  <c r="BU758" i="260" a="1"/>
  <c r="J218" i="260" a="1"/>
  <c r="AZ174" i="260" a="1"/>
  <c r="BQ111" i="260" a="1"/>
  <c r="BJ177" i="260" a="1"/>
  <c r="AH532" i="260" a="1"/>
  <c r="BU619" i="260" a="1"/>
  <c r="AQ418" i="260" a="1"/>
  <c r="V465" i="260" a="1"/>
  <c r="BF170" i="260" a="1"/>
  <c r="V511" i="260" a="1"/>
  <c r="AQ627" i="260" a="1"/>
  <c r="AN305" i="260" a="1"/>
  <c r="AH393" i="260" a="1"/>
  <c r="AH672" i="260" a="1"/>
  <c r="AQ172" i="260" a="1"/>
  <c r="BF561" i="260" a="1"/>
  <c r="BQ688" i="260" a="1"/>
  <c r="N685" i="260" a="1"/>
  <c r="BQ314" i="260" a="1"/>
  <c r="BF268" i="260" a="1"/>
  <c r="AD335" i="260" a="1"/>
  <c r="N473" i="260" a="1"/>
  <c r="G378" i="260" a="1"/>
  <c r="BJ693" i="260" a="1"/>
  <c r="R352" i="260" a="1"/>
  <c r="BQ718" i="260" a="1"/>
  <c r="BM624" i="260" a="1"/>
  <c r="AQ211" i="260" a="1"/>
  <c r="Z655" i="260" a="1"/>
  <c r="J461" i="260" a="1"/>
  <c r="R602" i="260" a="1"/>
  <c r="V243" i="260" a="1"/>
  <c r="BM620" i="260" a="1"/>
  <c r="BM608" i="260" a="1"/>
  <c r="AZ417" i="260" a="1"/>
  <c r="AZ563" i="260" a="1"/>
  <c r="AH515" i="260" a="1"/>
  <c r="G616" i="260" a="1"/>
  <c r="BF727" i="260" a="1"/>
  <c r="AZ166" i="260" a="1"/>
  <c r="J657" i="260" a="1"/>
  <c r="AH157" i="260" a="1"/>
  <c r="AZ90" i="260" a="1"/>
  <c r="AZ317" i="260" a="1"/>
  <c r="AZ622" i="260" a="1"/>
  <c r="AH707" i="260" a="1"/>
  <c r="BJ681" i="260" a="1"/>
  <c r="AV677" i="260" a="1"/>
  <c r="BJ333" i="260" a="1"/>
  <c r="BJ680" i="260" a="1"/>
  <c r="BM402" i="260" a="1"/>
  <c r="AQ480" i="260" a="1"/>
  <c r="AD549" i="260" a="1"/>
  <c r="AH299" i="260" a="1"/>
  <c r="AN693" i="260" a="1"/>
  <c r="BQ92" i="260" a="1"/>
  <c r="J422" i="260" a="1"/>
  <c r="V414" i="260" a="1"/>
  <c r="BQ768" i="260" a="1"/>
  <c r="R766" i="260" a="1"/>
  <c r="BF235" i="260" a="1"/>
  <c r="AN299" i="260" a="1"/>
  <c r="AV339" i="260" a="1"/>
  <c r="BJ461" i="260" a="1"/>
  <c r="BM566" i="260" a="1"/>
  <c r="V269" i="260" a="1"/>
  <c r="BQ455" i="260" a="1"/>
  <c r="AQ498" i="260" a="1"/>
  <c r="AH98" i="260" a="1"/>
  <c r="Z736" i="260" a="1"/>
  <c r="BQ267" i="260" a="1"/>
  <c r="G298" i="260" a="1"/>
  <c r="BJ753" i="260" a="1"/>
  <c r="BF461" i="260" a="1"/>
  <c r="AN283" i="260" a="1"/>
  <c r="R562" i="260" a="1"/>
  <c r="J249" i="260" a="1"/>
  <c r="AQ508" i="260" a="1"/>
  <c r="BU152" i="260" a="1"/>
  <c r="AN665" i="260" a="1"/>
  <c r="BJ630" i="260" a="1"/>
  <c r="N569" i="260" a="1"/>
  <c r="BQ582" i="260" a="1"/>
  <c r="J778" i="260" a="1"/>
  <c r="BU132" i="260" a="1"/>
  <c r="BQ321" i="260" a="1"/>
  <c r="AZ667" i="260" a="1"/>
  <c r="BM371" i="260" a="1"/>
  <c r="AQ733" i="260" a="1"/>
  <c r="AD96" i="260" a="1"/>
  <c r="Z318" i="260" a="1"/>
  <c r="AN466" i="260" a="1"/>
  <c r="N136" i="260" a="1"/>
  <c r="BF559" i="260" a="1"/>
  <c r="AQ219" i="260" a="1"/>
  <c r="AD369" i="260" a="1"/>
  <c r="BU239" i="260" a="1"/>
  <c r="AV117" i="260" a="1"/>
  <c r="AZ768" i="260" a="1"/>
  <c r="J132" i="260" a="1"/>
  <c r="BU212" i="260" a="1"/>
  <c r="G320" i="260" a="1"/>
  <c r="J485" i="260" a="1"/>
  <c r="N174" i="260" a="1"/>
  <c r="AN535" i="260" a="1"/>
  <c r="AQ343" i="260" a="1"/>
  <c r="AV731" i="260" a="1"/>
  <c r="AQ106" i="260" a="1"/>
  <c r="BF148" i="260" a="1"/>
  <c r="R718" i="260" a="1"/>
  <c r="AH550" i="260" a="1"/>
  <c r="R700" i="260" a="1"/>
  <c r="BU422" i="260" a="1"/>
  <c r="AV248" i="260" a="1"/>
  <c r="BJ524" i="260" a="1"/>
  <c r="BF324" i="260" a="1"/>
  <c r="J741" i="260" a="1"/>
  <c r="J559" i="260" a="1"/>
  <c r="J717" i="260" a="1"/>
  <c r="AN664" i="260" a="1"/>
  <c r="J453" i="260" a="1"/>
  <c r="AZ566" i="260" a="1"/>
  <c r="G326" i="260" a="1"/>
  <c r="AH722" i="260" a="1"/>
  <c r="BJ400" i="260" a="1"/>
  <c r="AV321" i="260" a="1"/>
  <c r="N482" i="260" a="1"/>
  <c r="V674" i="260" a="1"/>
  <c r="AV673" i="260" a="1"/>
  <c r="AH661" i="260" a="1"/>
  <c r="R84" i="260" a="1"/>
  <c r="R764" i="260" a="1"/>
  <c r="N203" i="260" a="1"/>
  <c r="V749" i="260" a="1"/>
  <c r="R544" i="260" a="1"/>
  <c r="BJ397" i="260" a="1"/>
  <c r="AV81" i="260" a="1"/>
  <c r="BJ470" i="260" a="1"/>
  <c r="BQ334" i="260" a="1"/>
  <c r="V535" i="260" a="1"/>
  <c r="N283" i="260" a="1"/>
  <c r="G444" i="260" a="1"/>
  <c r="BM578" i="260" a="1"/>
  <c r="BQ343" i="260" a="1"/>
  <c r="G733" i="260" a="1"/>
  <c r="AH360" i="260" a="1"/>
  <c r="AV141" i="260" a="1"/>
  <c r="AD603" i="260" a="1"/>
  <c r="BU476" i="260" a="1"/>
  <c r="AD135" i="260" a="1"/>
  <c r="BF701" i="260" a="1"/>
  <c r="AH751" i="260" a="1"/>
  <c r="G146" i="260" a="1"/>
  <c r="G442" i="260" a="1"/>
  <c r="AN598" i="260" a="1"/>
  <c r="BJ618" i="260" a="1"/>
  <c r="BJ139" i="260" a="1"/>
  <c r="AD334" i="260" a="1"/>
  <c r="R695" i="260" a="1"/>
  <c r="N263" i="260" a="1"/>
  <c r="J301" i="260" a="1"/>
  <c r="BU85" i="260" a="1"/>
  <c r="BF390" i="260" a="1"/>
  <c r="AQ344" i="260" a="1"/>
  <c r="AN384" i="260" a="1"/>
  <c r="AZ367" i="260" a="1"/>
  <c r="G631" i="260" a="1"/>
  <c r="AQ684" i="260" a="1"/>
  <c r="AD160" i="260" a="1"/>
  <c r="AD186" i="260" a="1"/>
  <c r="J115" i="260" a="1"/>
  <c r="AD478" i="260" a="1"/>
  <c r="BM519" i="260" a="1"/>
  <c r="BF540" i="260" a="1"/>
  <c r="Z505" i="260" a="1"/>
  <c r="AN726" i="260" a="1"/>
  <c r="BM746" i="260" a="1"/>
  <c r="AN212" i="260" a="1"/>
  <c r="AH291" i="260" a="1"/>
  <c r="BF618" i="260" a="1"/>
  <c r="AQ311" i="260" a="1"/>
  <c r="AH744" i="260" a="1"/>
  <c r="BM95" i="260" a="1"/>
  <c r="R268" i="260" a="1"/>
  <c r="BF172" i="260" a="1"/>
  <c r="G371" i="260" a="1"/>
  <c r="G506" i="260" a="1"/>
  <c r="BF511" i="260" a="1"/>
  <c r="BJ699" i="260" a="1"/>
  <c r="V202" i="260" a="1"/>
  <c r="R152" i="260" a="1"/>
  <c r="N598" i="260" a="1"/>
  <c r="AN108" i="260" a="1"/>
  <c r="BQ723" i="260" a="1"/>
  <c r="G656" i="260" a="1"/>
  <c r="BJ316" i="260" a="1"/>
  <c r="BM646" i="260" a="1"/>
  <c r="AD683" i="260" a="1"/>
  <c r="BQ571" i="260" a="1"/>
  <c r="AD584" i="260" a="1"/>
  <c r="J484" i="260" a="1"/>
  <c r="BU219" i="260" a="1"/>
  <c r="AV765" i="260" a="1"/>
  <c r="BU449" i="260" a="1"/>
  <c r="R775" i="260" a="1"/>
  <c r="BM773" i="260" a="1"/>
  <c r="G712" i="260" a="1"/>
  <c r="AN762" i="260" a="1"/>
  <c r="R728" i="260" a="1"/>
  <c r="AN496" i="260" a="1"/>
  <c r="BF481" i="260" a="1"/>
  <c r="AZ690" i="260" a="1"/>
  <c r="BQ766" i="260" a="1"/>
  <c r="V544" i="260" a="1"/>
  <c r="J631" i="260" a="1"/>
  <c r="AQ570" i="260" a="1"/>
  <c r="AN113" i="260" a="1"/>
  <c r="BQ651" i="260" a="1"/>
  <c r="BJ176" i="260" a="1"/>
  <c r="Z410" i="260" a="1"/>
  <c r="BU131" i="260" a="1"/>
  <c r="BQ80" i="260" a="1"/>
  <c r="N138" i="260" a="1"/>
  <c r="BM521" i="260" a="1"/>
  <c r="R305" i="260" a="1"/>
  <c r="AV674" i="260" a="1"/>
  <c r="AN763" i="260" a="1"/>
  <c r="AN767" i="260" a="1"/>
  <c r="V271" i="260" a="1"/>
  <c r="Z644" i="260" a="1"/>
  <c r="BF448" i="260" a="1"/>
  <c r="V200" i="260" a="1"/>
  <c r="N436" i="260" a="1"/>
  <c r="BJ696" i="260" a="1"/>
  <c r="BF553" i="260" a="1"/>
  <c r="BF684" i="260" a="1"/>
  <c r="BQ340" i="260" a="1"/>
  <c r="V680" i="260" a="1"/>
  <c r="AZ410" i="260" a="1"/>
  <c r="J759" i="260" a="1"/>
  <c r="AV595" i="260" a="1"/>
  <c r="AZ721" i="260" a="1"/>
  <c r="AH301" i="260" a="1"/>
  <c r="J697" i="260" a="1"/>
  <c r="BQ424" i="260" a="1"/>
  <c r="BJ669" i="260" a="1"/>
  <c r="G405" i="260" a="1"/>
  <c r="BQ553" i="260" a="1"/>
  <c r="AH245" i="260" a="1"/>
  <c r="AZ281" i="260" a="1"/>
  <c r="AZ610" i="260" a="1"/>
  <c r="AH531" i="260" a="1"/>
  <c r="N395" i="260" a="1"/>
  <c r="G730" i="260" a="1"/>
  <c r="G271" i="260" a="1"/>
  <c r="AN457" i="260" a="1"/>
  <c r="AV201" i="260" a="1"/>
  <c r="AV778" i="260" a="1"/>
  <c r="AN721" i="260" a="1"/>
  <c r="BU340" i="260" a="1"/>
  <c r="V95" i="260" a="1"/>
  <c r="AH124" i="260" a="1"/>
  <c r="AQ235" i="260" a="1"/>
  <c r="G692" i="260" a="1"/>
  <c r="BJ258" i="260" a="1"/>
  <c r="AN363" i="260" a="1"/>
  <c r="BU405" i="260" a="1"/>
  <c r="BF689" i="260" a="1"/>
  <c r="J377" i="260" a="1"/>
  <c r="AV453" i="260" a="1"/>
  <c r="R726" i="260" a="1"/>
  <c r="G357" i="260" a="1"/>
  <c r="AD363" i="260" a="1"/>
  <c r="AD405" i="260" a="1"/>
  <c r="BF635" i="260" a="1"/>
  <c r="N376" i="260" a="1"/>
  <c r="AD134" i="260" a="1"/>
  <c r="G686" i="260" a="1"/>
  <c r="G430" i="260" a="1"/>
  <c r="AQ242" i="260" a="1"/>
  <c r="V191" i="260" a="1"/>
  <c r="BJ687" i="260" a="1"/>
  <c r="AD162" i="260" a="1"/>
  <c r="J384" i="260" a="1"/>
  <c r="BU180" i="260" a="1"/>
  <c r="V631" i="260" a="1"/>
  <c r="BM153" i="260" a="1"/>
  <c r="G239" i="260" a="1"/>
  <c r="R389" i="260" a="1"/>
  <c r="BU685" i="260" a="1"/>
  <c r="V672" i="260" a="1"/>
  <c r="Z755" i="260" a="1"/>
  <c r="AH342" i="260" a="1"/>
  <c r="J580" i="260" a="1"/>
  <c r="AD595" i="260" a="1"/>
  <c r="V593" i="260" a="1"/>
  <c r="BJ371" i="260" a="1"/>
  <c r="BM727" i="260" a="1"/>
  <c r="AN410" i="260" a="1"/>
  <c r="J264" i="260" a="1"/>
  <c r="N236" i="260" a="1"/>
  <c r="N441" i="260" a="1"/>
  <c r="BJ727" i="260" a="1"/>
  <c r="AN138" i="260" a="1"/>
  <c r="N292" i="260" a="1"/>
  <c r="BQ116" i="260" a="1"/>
  <c r="V134" i="260" a="1"/>
  <c r="BF563" i="260" a="1"/>
  <c r="BU82" i="260" a="1"/>
  <c r="R299" i="260" a="1"/>
  <c r="AH128" i="260" a="1"/>
  <c r="N697" i="260" a="1"/>
  <c r="J200" i="260" a="1"/>
  <c r="G227" i="260" a="1"/>
  <c r="G456" i="260" a="1"/>
  <c r="AD246" i="260" a="1"/>
  <c r="BM377" i="260" a="1"/>
  <c r="V375" i="260" a="1"/>
  <c r="BM132" i="260" a="1"/>
  <c r="R306" i="260" a="1"/>
  <c r="Z350" i="260" a="1"/>
  <c r="AH519" i="260" a="1"/>
  <c r="AZ362" i="260" a="1"/>
  <c r="AN337" i="260" a="1"/>
  <c r="Z371" i="260" a="1"/>
  <c r="AN720" i="260" a="1"/>
  <c r="Z305" i="260" a="1"/>
  <c r="V186" i="260" a="1"/>
  <c r="AD367" i="260" a="1"/>
  <c r="BF424" i="260" a="1"/>
  <c r="BQ664" i="260" a="1"/>
  <c r="Z287" i="260" a="1"/>
  <c r="N142" i="260" a="1"/>
  <c r="BM252" i="260" a="1"/>
  <c r="G505" i="260" a="1"/>
  <c r="G770" i="260" a="1"/>
  <c r="G174" i="260" a="1"/>
  <c r="R463" i="260" a="1"/>
  <c r="AN743" i="260" a="1"/>
  <c r="BM691" i="260" a="1"/>
  <c r="AV216" i="260" a="1"/>
  <c r="R444" i="260" a="1"/>
  <c r="G232" i="260" a="1"/>
  <c r="BU724" i="260" a="1"/>
  <c r="Z761" i="260" a="1"/>
  <c r="AH467" i="260" a="1"/>
  <c r="G768" i="260" a="1"/>
  <c r="N398" i="260" a="1"/>
  <c r="AH339" i="260" a="1"/>
  <c r="BM412" i="260" a="1"/>
  <c r="BQ561" i="260" a="1"/>
  <c r="J402" i="260" a="1"/>
  <c r="G315" i="260" a="1"/>
  <c r="BF117" i="260" a="1"/>
  <c r="AV426" i="260" a="1"/>
  <c r="AN221" i="260" a="1"/>
  <c r="N483" i="260" a="1"/>
  <c r="V432" i="260" a="1"/>
  <c r="BJ246" i="260" a="1"/>
  <c r="AZ274" i="260" a="1"/>
  <c r="V568" i="260" a="1"/>
  <c r="BM253" i="260" a="1"/>
  <c r="AQ449" i="260" a="1"/>
  <c r="AD611" i="260" a="1"/>
  <c r="AH207" i="260" a="1"/>
  <c r="AQ287" i="260" a="1"/>
  <c r="BU739" i="260" a="1"/>
  <c r="BJ357" i="260" a="1"/>
  <c r="J578" i="260" a="1"/>
  <c r="Z732" i="260" a="1"/>
  <c r="Z193" i="260" a="1"/>
  <c r="BM655" i="260" a="1"/>
  <c r="AN159" i="260" a="1"/>
  <c r="Z250" i="260" a="1"/>
  <c r="J297" i="260" a="1"/>
  <c r="R374" i="260" a="1"/>
  <c r="AQ772" i="260" a="1"/>
  <c r="AH401" i="260" a="1"/>
  <c r="N660" i="260" a="1"/>
  <c r="BQ105" i="260" a="1"/>
  <c r="BQ722" i="260" a="1"/>
  <c r="AV582" i="260" a="1"/>
  <c r="R91" i="260" a="1"/>
  <c r="BU640" i="260" a="1"/>
  <c r="BF711" i="260" a="1"/>
  <c r="BF173" i="260" a="1"/>
  <c r="BQ272" i="260" a="1"/>
  <c r="BF622" i="260" a="1"/>
  <c r="AZ669" i="260" a="1"/>
  <c r="AQ539" i="260" a="1"/>
  <c r="AZ263" i="260" a="1"/>
  <c r="R671" i="260" a="1"/>
  <c r="AN480" i="260" a="1"/>
  <c r="BM392" i="260" a="1"/>
  <c r="AZ448" i="260" a="1"/>
  <c r="AZ703" i="260" a="1"/>
  <c r="AD542" i="260" a="1"/>
  <c r="AD770" i="260" a="1"/>
  <c r="AQ301" i="260" a="1"/>
  <c r="BF333" i="260" a="1"/>
  <c r="BF447" i="260" a="1"/>
  <c r="AV280" i="260" a="1"/>
  <c r="BU572" i="260" a="1"/>
  <c r="BM584" i="260" a="1"/>
  <c r="AQ446" i="260" a="1"/>
  <c r="V730" i="260" a="1"/>
  <c r="AV749" i="260" a="1"/>
  <c r="N577" i="260" a="1"/>
  <c r="G545" i="260" a="1"/>
  <c r="AZ145" i="260" a="1"/>
  <c r="G374" i="260" a="1"/>
  <c r="BQ700" i="260" a="1"/>
  <c r="AZ143" i="260" a="1"/>
  <c r="BU675" i="260" a="1"/>
  <c r="BF272" i="260" a="1"/>
  <c r="BM423" i="260" a="1"/>
  <c r="AD161" i="260" a="1"/>
  <c r="AQ83" i="260" a="1"/>
  <c r="N701" i="260" a="1"/>
  <c r="BQ249" i="260" a="1"/>
  <c r="BU601" i="260" a="1"/>
  <c r="Z120" i="260" a="1"/>
  <c r="AN667" i="260" a="1"/>
  <c r="G644" i="260" a="1"/>
  <c r="AN538" i="260" a="1"/>
  <c r="BQ148" i="260" a="1"/>
  <c r="AD664" i="260" a="1"/>
  <c r="Z495" i="260" a="1"/>
  <c r="BU728" i="260" a="1"/>
  <c r="R522" i="260" a="1"/>
  <c r="BU491" i="260" a="1"/>
  <c r="AZ141" i="260" a="1"/>
  <c r="AN112" i="260" a="1"/>
  <c r="G381" i="260" a="1"/>
  <c r="AZ773" i="260" a="1"/>
  <c r="BF256" i="260" a="1"/>
  <c r="BU775" i="260" a="1"/>
  <c r="AZ84" i="260" a="1"/>
  <c r="AV520" i="260" a="1"/>
  <c r="G278" i="260" a="1"/>
  <c r="BF460" i="260" a="1"/>
  <c r="BQ593" i="260" a="1"/>
  <c r="AH617" i="260" a="1"/>
  <c r="AV366" i="260" a="1"/>
  <c r="V144" i="260" a="1"/>
  <c r="AQ124" i="260" a="1"/>
  <c r="Z83" i="260" a="1"/>
  <c r="AZ366" i="260" a="1"/>
  <c r="BU235" i="260" a="1"/>
  <c r="AV205" i="260" a="1"/>
  <c r="BQ740" i="260" a="1"/>
  <c r="BQ225" i="260" a="1"/>
  <c r="AH557" i="260" a="1"/>
  <c r="BJ226" i="260" a="1"/>
  <c r="AZ381" i="260" a="1"/>
  <c r="BM310" i="260" a="1"/>
  <c r="BF522" i="260" a="1"/>
  <c r="BM716" i="260" a="1"/>
  <c r="N272" i="260" a="1"/>
  <c r="J388" i="260" a="1"/>
  <c r="AD441" i="260" a="1"/>
  <c r="Z328" i="260" a="1"/>
  <c r="AQ691" i="260" a="1"/>
  <c r="BJ688" i="260" a="1"/>
  <c r="AV551" i="260" a="1"/>
  <c r="BU594" i="260" a="1"/>
  <c r="AV603" i="260" a="1"/>
  <c r="AD626" i="260" a="1"/>
  <c r="R240" i="260" a="1"/>
  <c r="BJ740" i="260" a="1"/>
  <c r="BM777" i="260" a="1"/>
  <c r="AD771" i="260" a="1"/>
  <c r="AN456" i="260" a="1"/>
  <c r="BU559" i="260" a="1"/>
  <c r="G590" i="260" a="1"/>
  <c r="G771" i="260" a="1"/>
  <c r="AV258" i="260" a="1"/>
  <c r="V492" i="260" a="1"/>
  <c r="J248" i="260" a="1"/>
  <c r="V770" i="260" a="1"/>
  <c r="AV166" i="260" a="1"/>
  <c r="AQ638" i="260" a="1"/>
  <c r="BJ691" i="260" a="1"/>
  <c r="R135" i="260" a="1"/>
  <c r="J693" i="260" a="1"/>
  <c r="BU162" i="260" a="1"/>
  <c r="J621" i="260" a="1"/>
  <c r="BJ420" i="260" a="1"/>
  <c r="Z666" i="260" a="1"/>
  <c r="AV175" i="260" a="1"/>
  <c r="AN619" i="260" a="1"/>
  <c r="BF368" i="260" a="1"/>
  <c r="AV102" i="260" a="1"/>
  <c r="BJ271" i="260" a="1"/>
  <c r="AH502" i="260" a="1"/>
  <c r="Z559" i="260" a="1"/>
  <c r="G342" i="260" a="1"/>
  <c r="N368" i="260" a="1"/>
  <c r="V715" i="260" a="1"/>
  <c r="AH183" i="260" a="1"/>
  <c r="AN287" i="260" a="1"/>
  <c r="AH466" i="260" a="1"/>
  <c r="V542" i="260" a="1"/>
  <c r="J158" i="260" a="1"/>
  <c r="AD510" i="260" a="1"/>
  <c r="BQ759" i="260" a="1"/>
  <c r="AV256" i="260" a="1"/>
  <c r="AN433" i="260" a="1"/>
  <c r="BM155" i="260" a="1"/>
  <c r="AV508" i="260" a="1"/>
  <c r="AQ526" i="260" a="1"/>
  <c r="AN93" i="260" a="1"/>
  <c r="BF349" i="260" a="1"/>
  <c r="N573" i="260" a="1"/>
  <c r="N769" i="260" a="1"/>
  <c r="N767" i="260" a="1"/>
  <c r="AZ497" i="260" a="1"/>
  <c r="BM369" i="260" a="1"/>
  <c r="AQ644" i="260" a="1"/>
  <c r="J508" i="260" a="1"/>
  <c r="BJ593" i="260" a="1"/>
  <c r="AZ144" i="260" a="1"/>
  <c r="BF385" i="260" a="1"/>
  <c r="R398" i="260" a="1"/>
  <c r="G674" i="260" a="1"/>
  <c r="AD403" i="260" a="1"/>
  <c r="AQ495" i="260" a="1"/>
  <c r="AQ726" i="260" a="1"/>
  <c r="V305" i="260" a="1"/>
  <c r="N389" i="260" a="1"/>
  <c r="BM330" i="260" a="1"/>
  <c r="BM496" i="260" a="1"/>
  <c r="AV514" i="260" a="1"/>
  <c r="BU753" i="260" a="1"/>
  <c r="Z717" i="260" a="1"/>
  <c r="BU376" i="260" a="1"/>
  <c r="AH686" i="260" a="1"/>
  <c r="V732" i="260" a="1"/>
  <c r="BJ589" i="260" a="1"/>
  <c r="BF625" i="260" a="1"/>
  <c r="V108" i="260" a="1"/>
  <c r="AN507" i="260" a="1"/>
  <c r="J147" i="260" a="1"/>
  <c r="BM236" i="260" a="1"/>
  <c r="AN634" i="260" a="1"/>
  <c r="J363" i="260" a="1"/>
  <c r="AV613" i="260" a="1"/>
  <c r="G739" i="260" a="1"/>
  <c r="BF144" i="260" a="1"/>
  <c r="BF439" i="260" a="1"/>
  <c r="AV210" i="260" a="1"/>
  <c r="BU466" i="260" a="1"/>
  <c r="BM750" i="260" a="1"/>
  <c r="BM114" i="260" a="1"/>
  <c r="Z228" i="260" a="1"/>
  <c r="AZ222" i="260" a="1"/>
  <c r="AH438" i="260" a="1"/>
  <c r="BF289" i="260" a="1"/>
  <c r="BM246" i="260" a="1"/>
  <c r="BF403" i="260" a="1"/>
  <c r="AV123" i="260" a="1"/>
  <c r="J416" i="260" a="1"/>
  <c r="AV398" i="260" a="1"/>
  <c r="BU261" i="260" a="1"/>
  <c r="AQ469" i="260" a="1"/>
  <c r="N108" i="260" a="1"/>
  <c r="N294" i="260" a="1"/>
  <c r="G344" i="260" a="1"/>
  <c r="V139" i="260" a="1"/>
  <c r="R727" i="260" a="1"/>
  <c r="AZ140" i="260" a="1"/>
  <c r="AH194" i="260" a="1"/>
  <c r="J224" i="260" a="1"/>
  <c r="AH412" i="260" a="1"/>
  <c r="J401" i="260" a="1"/>
  <c r="AH252" i="260" a="1"/>
  <c r="N622" i="260" a="1"/>
  <c r="BU747" i="260" a="1"/>
  <c r="Z477" i="260" a="1"/>
  <c r="N711" i="260" a="1"/>
  <c r="V693" i="260" a="1"/>
  <c r="R490" i="260" a="1"/>
  <c r="G209" i="260" a="1"/>
  <c r="V211" i="260" a="1"/>
  <c r="BM717" i="260" a="1"/>
  <c r="V441" i="260" a="1"/>
  <c r="V557" i="260" a="1"/>
  <c r="J773" i="260" a="1"/>
  <c r="Z723" i="260" a="1"/>
  <c r="BF445" i="260" a="1"/>
  <c r="AD527" i="260" a="1"/>
  <c r="G347" i="260" a="1"/>
  <c r="Z500" i="260" a="1"/>
  <c r="AH589" i="260" a="1"/>
  <c r="N253" i="260" a="1"/>
  <c r="BU153" i="260" a="1"/>
  <c r="AN757" i="260" a="1"/>
  <c r="G492" i="260" a="1"/>
  <c r="AH740" i="260" a="1"/>
  <c r="N235" i="260" a="1"/>
  <c r="Z555" i="260" a="1"/>
  <c r="BU336" i="260" a="1"/>
  <c r="BF239" i="260" a="1"/>
  <c r="AD106" i="260" a="1"/>
  <c r="BM577" i="260" a="1"/>
  <c r="R698" i="260" a="1"/>
  <c r="N378" i="260" a="1"/>
  <c r="AN168" i="260" a="1"/>
  <c r="BF165" i="260" a="1"/>
  <c r="N627" i="260" a="1"/>
  <c r="AZ588" i="260" a="1"/>
  <c r="BM549" i="260" a="1"/>
  <c r="BF683" i="260" a="1"/>
  <c r="BU103" i="260" a="1"/>
  <c r="AH298" i="260" a="1"/>
  <c r="AN174" i="260" a="1"/>
  <c r="AV698" i="260" a="1"/>
  <c r="J185" i="260" a="1"/>
  <c r="R497" i="260" a="1"/>
  <c r="AV411" i="260" a="1"/>
  <c r="AD550" i="260" a="1"/>
  <c r="J456" i="260" a="1"/>
  <c r="AQ431" i="260" a="1"/>
  <c r="R618" i="260" a="1"/>
  <c r="BF91" i="260" a="1"/>
  <c r="Z372" i="260" a="1"/>
  <c r="AQ252" i="260" a="1"/>
  <c r="BM294" i="260" a="1"/>
  <c r="AQ681" i="260" a="1"/>
  <c r="R259" i="260" a="1"/>
  <c r="AQ665" i="260" a="1"/>
  <c r="N775" i="260" a="1"/>
  <c r="V514" i="260" a="1"/>
  <c r="BF280" i="260" a="1"/>
  <c r="AH356" i="260" a="1"/>
  <c r="AD662" i="260" a="1"/>
  <c r="BJ292" i="260" a="1"/>
  <c r="BF187" i="260" a="1"/>
  <c r="AV240" i="260" a="1"/>
  <c r="J646" i="260" a="1"/>
  <c r="BM500" i="260" a="1"/>
  <c r="BQ419" i="260" a="1"/>
  <c r="AV307" i="260" a="1"/>
  <c r="AZ748" i="260" a="1"/>
  <c r="BU518" i="260" a="1"/>
  <c r="AD214" i="260" a="1"/>
  <c r="AD102" i="260" a="1"/>
  <c r="BF609" i="260" a="1"/>
  <c r="R503" i="260" a="1"/>
  <c r="AN272" i="260" a="1"/>
  <c r="AV99" i="260" a="1"/>
  <c r="AD688" i="260" a="1"/>
  <c r="R326" i="260" a="1"/>
  <c r="AH523" i="260" a="1"/>
  <c r="BM644" i="260" a="1"/>
  <c r="AD255" i="260" a="1"/>
  <c r="R722" i="260" a="1"/>
  <c r="AD285" i="260" a="1"/>
  <c r="BM120" i="260" a="1"/>
  <c r="BQ760" i="260" a="1"/>
  <c r="AN573" i="260" a="1"/>
  <c r="R573" i="260" a="1"/>
  <c r="Z212" i="260" a="1"/>
  <c r="J458" i="260" a="1"/>
  <c r="BM321" i="260" a="1"/>
  <c r="AZ573" i="260" a="1"/>
  <c r="Z533" i="260" a="1"/>
  <c r="R177" i="260" a="1"/>
  <c r="R312" i="260" a="1"/>
  <c r="G156" i="260" a="1"/>
  <c r="BF193" i="260" a="1"/>
  <c r="AN420" i="260" a="1"/>
  <c r="BQ218" i="260" a="1"/>
  <c r="AQ274" i="260" a="1"/>
  <c r="J223" i="260" a="1"/>
  <c r="AQ299" i="260" a="1"/>
  <c r="G206" i="260" a="1"/>
  <c r="AN246" i="260" a="1"/>
  <c r="BQ244" i="260" a="1"/>
  <c r="AH257" i="260" a="1"/>
  <c r="AH239" i="260" a="1"/>
  <c r="AZ477" i="260" a="1"/>
  <c r="BU487" i="260" a="1"/>
  <c r="J441" i="260" a="1"/>
  <c r="AN483" i="260" a="1"/>
  <c r="BJ384" i="260" a="1"/>
  <c r="BF142" i="260" a="1"/>
  <c r="G267" i="260" a="1"/>
  <c r="G87" i="260" a="1"/>
  <c r="N702" i="260" a="1"/>
  <c r="AD133" i="260" a="1"/>
  <c r="Z123" i="260" a="1"/>
  <c r="BF84" i="260" a="1"/>
  <c r="AV618" i="260" a="1"/>
  <c r="R624" i="260" a="1"/>
  <c r="AH510" i="260" a="1"/>
  <c r="AN441" i="260" a="1"/>
  <c r="BM286" i="260" a="1"/>
  <c r="BU301" i="260" a="1"/>
  <c r="BF177" i="260" a="1"/>
  <c r="J500" i="260" a="1"/>
  <c r="J113" i="260" a="1"/>
  <c r="BJ755" i="260" a="1"/>
  <c r="BJ734" i="260" a="1"/>
  <c r="N246" i="260" a="1"/>
  <c r="R588" i="260" a="1"/>
  <c r="Z768" i="260" a="1"/>
  <c r="AD541" i="260" a="1"/>
  <c r="AZ747" i="260" a="1"/>
  <c r="AD497" i="260" a="1"/>
  <c r="AZ568" i="260" a="1"/>
  <c r="BJ171" i="260" a="1"/>
  <c r="BF514" i="260" a="1"/>
  <c r="BU494" i="260" a="1"/>
  <c r="BF584" i="260" a="1"/>
  <c r="AZ615" i="260" a="1"/>
  <c r="R334" i="260" a="1"/>
  <c r="AV442" i="260" a="1"/>
  <c r="AQ624" i="260" a="1"/>
  <c r="AQ700" i="260" a="1"/>
  <c r="AN685" i="260" a="1"/>
  <c r="AQ150" i="260" a="1"/>
  <c r="R175" i="260" a="1"/>
  <c r="Z498" i="260" a="1"/>
  <c r="BQ303" i="260" a="1"/>
  <c r="J551" i="260" a="1"/>
  <c r="AZ150" i="260" a="1"/>
  <c r="BM599" i="260" a="1"/>
  <c r="AQ645" i="260" a="1"/>
  <c r="BM447" i="260" a="1"/>
  <c r="J294" i="260" a="1"/>
  <c r="AH512" i="260" a="1"/>
  <c r="BQ308" i="260" a="1"/>
  <c r="AN547" i="260" a="1"/>
  <c r="BF611" i="260" a="1"/>
  <c r="R418" i="260" a="1"/>
  <c r="Z618" i="260" a="1"/>
  <c r="AD386" i="260" a="1"/>
  <c r="AD547" i="260" a="1"/>
  <c r="AN510" i="260" a="1"/>
  <c r="G415" i="260" a="1"/>
  <c r="G144" i="260" a="1"/>
  <c r="N315" i="260" a="1"/>
  <c r="R701" i="260" a="1"/>
  <c r="BJ502" i="260" a="1"/>
  <c r="BF480" i="260" a="1"/>
  <c r="BF660" i="260" a="1"/>
  <c r="BF137" i="260" a="1"/>
  <c r="AV118" i="260" a="1"/>
  <c r="AV160" i="260" a="1"/>
  <c r="N318" i="260" a="1"/>
  <c r="Z670" i="260" a="1"/>
  <c r="R451" i="260" a="1"/>
  <c r="R702" i="260" a="1"/>
  <c r="AD322" i="260" a="1"/>
  <c r="AN345" i="260" a="1"/>
  <c r="AH457" i="260" a="1"/>
  <c r="G740" i="260" a="1"/>
  <c r="AN482" i="260" a="1"/>
  <c r="AV499" i="260" a="1"/>
  <c r="BU434" i="260" a="1"/>
  <c r="G610" i="260" a="1"/>
  <c r="G677" i="260" a="1"/>
  <c r="BU439" i="260" a="1"/>
  <c r="R666" i="260" a="1"/>
  <c r="J719" i="260" a="1"/>
  <c r="BF102" i="260" a="1"/>
  <c r="BM670" i="260" a="1"/>
  <c r="R614" i="260" a="1"/>
  <c r="AN300" i="260" a="1"/>
  <c r="Z416" i="260" a="1"/>
  <c r="V226" i="260" a="1"/>
  <c r="J711" i="260" a="1"/>
  <c r="AH606" i="260" a="1"/>
  <c r="J96" i="260" a="1"/>
  <c r="BU309" i="260" a="1"/>
  <c r="Z763" i="260" a="1"/>
  <c r="AV639" i="260" a="1"/>
  <c r="BJ535" i="260" a="1"/>
  <c r="BM695" i="260" a="1"/>
  <c r="AZ561" i="260" a="1"/>
  <c r="AH174" i="260" a="1"/>
  <c r="J572" i="260" a="1"/>
  <c r="AQ507" i="260" a="1"/>
  <c r="Z432" i="260" a="1"/>
  <c r="AD548" i="260" a="1"/>
  <c r="AD91" i="260" a="1"/>
  <c r="BU225" i="260" a="1"/>
  <c r="BQ711" i="260" a="1"/>
  <c r="AN248" i="260" a="1"/>
  <c r="AQ463" i="260" a="1"/>
  <c r="R222" i="260" a="1"/>
  <c r="BQ306" i="260" a="1"/>
  <c r="AQ198" i="260" a="1"/>
  <c r="BM698" i="260" a="1"/>
  <c r="AV358" i="260" a="1"/>
  <c r="AH539" i="260" a="1"/>
  <c r="BF645" i="260" a="1"/>
  <c r="BF632" i="260" a="1"/>
  <c r="AD350" i="260" a="1"/>
  <c r="BU396" i="260" a="1"/>
  <c r="AH247" i="260" a="1"/>
  <c r="BF94" i="260" a="1"/>
  <c r="Z81" i="260" a="1"/>
  <c r="N95" i="260" a="1"/>
  <c r="AD519" i="260" a="1"/>
  <c r="R381" i="260" a="1"/>
  <c r="R165" i="260" a="1"/>
  <c r="V685" i="260" a="1"/>
  <c r="BQ742" i="260" a="1"/>
  <c r="BF696" i="260" a="1"/>
  <c r="AN745" i="260" a="1"/>
  <c r="Z390" i="260" a="1"/>
  <c r="AQ394" i="260" a="1"/>
  <c r="BF442" i="260" a="1"/>
  <c r="AD268" i="260" a="1"/>
  <c r="BJ585" i="260" a="1"/>
  <c r="AD640" i="260" a="1"/>
  <c r="G127" i="260" a="1"/>
  <c r="AD430" i="260" a="1"/>
  <c r="AN571" i="260" a="1"/>
  <c r="BJ110" i="260" a="1"/>
  <c r="AD431" i="260" a="1"/>
  <c r="AD616" i="260" a="1"/>
  <c r="R122" i="260" a="1"/>
  <c r="J148" i="260" a="1"/>
  <c r="AN615" i="260" a="1"/>
  <c r="BJ706" i="260" a="1"/>
  <c r="V380" i="260" a="1"/>
  <c r="Z421" i="260" a="1"/>
  <c r="N343" i="260" a="1"/>
  <c r="J81" i="260" a="1"/>
  <c r="N535" i="260" a="1"/>
  <c r="V773" i="260" a="1"/>
  <c r="N172" i="260" a="1"/>
  <c r="BM221" i="260" a="1"/>
  <c r="AH324" i="260" a="1"/>
  <c r="J424" i="260" a="1"/>
  <c r="BQ236" i="260" a="1"/>
  <c r="AD676" i="260" a="1"/>
  <c r="N689" i="260" a="1"/>
  <c r="BJ336" i="260" a="1"/>
  <c r="BM198" i="260" a="1"/>
  <c r="BF714" i="260" a="1"/>
  <c r="BM128" i="260" a="1"/>
  <c r="AZ314" i="260" a="1"/>
  <c r="AN595" i="260" a="1"/>
  <c r="V698" i="260" a="1"/>
  <c r="R117" i="260" a="1"/>
  <c r="AH380" i="260" a="1"/>
  <c r="BM298" i="260" a="1"/>
  <c r="Z403" i="260" a="1"/>
  <c r="J488" i="260" a="1"/>
  <c r="N431" i="260" a="1"/>
  <c r="J505" i="260" a="1"/>
  <c r="Z115" i="260" a="1"/>
  <c r="BJ609" i="260" a="1"/>
  <c r="N298" i="260" a="1"/>
  <c r="J372" i="260" a="1"/>
  <c r="BQ255" i="260" a="1"/>
  <c r="G81" i="260" a="1"/>
  <c r="Z274" i="260" a="1"/>
  <c r="AZ714" i="260" a="1"/>
  <c r="N774" i="260" a="1"/>
  <c r="N195" i="260" a="1"/>
  <c r="BM394" i="260" a="1"/>
  <c r="V477" i="260" a="1"/>
  <c r="AH459" i="260" a="1"/>
  <c r="AH498" i="260" a="1"/>
  <c r="AD610" i="260" a="1"/>
  <c r="AH418" i="260" a="1"/>
  <c r="BF82" i="260" a="1"/>
  <c r="G421" i="260" a="1"/>
  <c r="BU390" i="260" a="1"/>
  <c r="BM214" i="260" a="1"/>
  <c r="BQ156" i="260" a="1"/>
  <c r="G124" i="260" a="1"/>
  <c r="Z497" i="260" a="1"/>
  <c r="AD538" i="260" a="1"/>
  <c r="AQ730" i="260" a="1"/>
  <c r="BQ166" i="260" a="1"/>
  <c r="N358" i="260" a="1"/>
  <c r="AH573" i="260" a="1"/>
  <c r="R755" i="260" a="1"/>
  <c r="AD540" i="260" a="1"/>
  <c r="R625" i="260" a="1"/>
  <c r="AZ320" i="260" a="1"/>
  <c r="AD740" i="260" a="1"/>
  <c r="AQ494" i="260" a="1"/>
  <c r="BM619" i="260" a="1"/>
  <c r="AV694" i="260" a="1"/>
  <c r="V446" i="260" a="1"/>
  <c r="BQ525" i="260" a="1"/>
  <c r="AN268" i="260" a="1"/>
  <c r="AD569" i="260" a="1"/>
  <c r="AN642" i="260" a="1"/>
  <c r="BJ427" i="260" a="1"/>
  <c r="BQ456" i="260" a="1"/>
  <c r="BQ145" i="260" a="1"/>
  <c r="AH250" i="260" a="1"/>
  <c r="AQ201" i="260" a="1"/>
  <c r="BJ544" i="260" a="1"/>
  <c r="AH216" i="260" a="1"/>
  <c r="BJ665" i="260" a="1"/>
  <c r="N375" i="260" a="1"/>
  <c r="AV661" i="260" a="1"/>
  <c r="AD351" i="260" a="1"/>
  <c r="BF149" i="260" a="1"/>
  <c r="J353" i="260" a="1"/>
  <c r="Z389" i="260" a="1"/>
  <c r="AQ551" i="260" a="1"/>
  <c r="N625" i="260" a="1"/>
  <c r="AN249" i="260" a="1"/>
  <c r="AN157" i="260" a="1"/>
  <c r="Z238" i="260" a="1"/>
  <c r="AZ107" i="260" a="1"/>
  <c r="AQ386" i="260" a="1"/>
  <c r="AN165" i="260" a="1"/>
  <c r="AD222" i="260" a="1"/>
  <c r="BF95" i="260" a="1"/>
  <c r="BU650" i="260" a="1"/>
  <c r="J685" i="260" a="1"/>
  <c r="AD183" i="260" a="1"/>
  <c r="V658" i="260" a="1"/>
  <c r="AD113" i="260" a="1"/>
  <c r="AQ453" i="260" a="1"/>
  <c r="G370" i="260" a="1"/>
  <c r="BM117" i="260" a="1"/>
  <c r="N166" i="260" a="1"/>
  <c r="G182" i="260" a="1"/>
  <c r="AH650" i="260" a="1"/>
  <c r="Z706" i="260" a="1"/>
  <c r="BF230" i="260" a="1"/>
  <c r="AH663" i="260" a="1"/>
  <c r="BU176" i="260" a="1"/>
  <c r="AH149" i="260" a="1"/>
  <c r="BF515" i="260" a="1"/>
  <c r="N666" i="260" a="1"/>
  <c r="G756" i="260" a="1"/>
  <c r="BU547" i="260" a="1"/>
  <c r="AZ612" i="260" a="1"/>
  <c r="BU727" i="260" a="1"/>
  <c r="V343" i="260" a="1"/>
  <c r="N603" i="260" a="1"/>
  <c r="BJ703" i="260" a="1"/>
  <c r="AD284" i="260" a="1"/>
  <c r="V714" i="260" a="1"/>
  <c r="AQ203" i="260" a="1"/>
  <c r="N280" i="260" a="1"/>
  <c r="J278" i="260" a="1"/>
  <c r="BQ141" i="260" a="1"/>
  <c r="BM149" i="260" a="1"/>
  <c r="AQ439" i="260" a="1"/>
  <c r="AH556" i="260" a="1"/>
  <c r="AN574" i="260" a="1"/>
  <c r="N184" i="260" a="1"/>
  <c r="BJ184" i="260" a="1"/>
  <c r="R205" i="260" a="1"/>
  <c r="BQ423" i="260" a="1"/>
  <c r="BU483" i="260" a="1"/>
  <c r="AZ240" i="260" a="1"/>
  <c r="BJ164" i="260" a="1"/>
  <c r="AH278" i="260" a="1"/>
  <c r="BJ137" i="260" a="1"/>
  <c r="R732" i="260" a="1"/>
  <c r="G496" i="260" a="1"/>
  <c r="BJ135" i="260" a="1"/>
  <c r="BJ144" i="260" a="1"/>
  <c r="R252" i="260" a="1"/>
  <c r="Z420" i="260" a="1"/>
  <c r="AV675" i="260" a="1"/>
  <c r="BQ645" i="260" a="1"/>
  <c r="BU710" i="260" a="1"/>
  <c r="AV110" i="260" a="1"/>
  <c r="BF668" i="260" a="1"/>
  <c r="R436" i="260" a="1"/>
  <c r="AH87" i="260" a="1"/>
  <c r="AV185" i="260" a="1"/>
  <c r="BJ730" i="260" a="1"/>
  <c r="BJ155" i="260" a="1"/>
  <c r="AQ702" i="260" a="1"/>
  <c r="BU326" i="260" a="1"/>
  <c r="AH122" i="260" a="1"/>
  <c r="J83" i="260" a="1"/>
  <c r="BQ393" i="260" a="1"/>
  <c r="N327" i="260" a="1"/>
  <c r="AH86" i="260" a="1"/>
  <c r="AQ689" i="260" a="1"/>
  <c r="Z266" i="260" a="1"/>
  <c r="N313" i="260" a="1"/>
  <c r="AH710" i="260" a="1"/>
  <c r="R561" i="260" a="1"/>
  <c r="AN586" i="260" a="1"/>
  <c r="G205" i="260" a="1"/>
  <c r="AZ262" i="260" a="1"/>
  <c r="BQ441" i="260" a="1"/>
  <c r="BF571" i="260" a="1"/>
  <c r="BF237" i="260" a="1"/>
  <c r="AV139" i="260" a="1"/>
  <c r="BQ528" i="260" a="1"/>
  <c r="N302" i="260" a="1"/>
  <c r="AH649" i="260" a="1"/>
  <c r="AD89" i="260" a="1"/>
  <c r="AV396" i="260" a="1"/>
  <c r="BJ751" i="260" a="1"/>
  <c r="G643" i="260" a="1"/>
  <c r="N574" i="260" a="1"/>
  <c r="BF695" i="260" a="1"/>
  <c r="J216" i="260" a="1"/>
  <c r="AD397" i="260" a="1"/>
  <c r="BU617" i="260" a="1"/>
  <c r="BU144" i="260" a="1"/>
  <c r="AN716" i="260" a="1"/>
  <c r="J182" i="260" a="1"/>
  <c r="Z684" i="260" a="1"/>
  <c r="BF501" i="260" a="1"/>
  <c r="Z600" i="260" a="1"/>
  <c r="N312" i="260" a="1"/>
  <c r="V727" i="260" a="1"/>
  <c r="V142" i="260" a="1"/>
  <c r="BM324" i="260" a="1"/>
  <c r="R333" i="260" a="1"/>
  <c r="AZ234" i="260" a="1"/>
  <c r="J546" i="260" a="1"/>
  <c r="N589" i="260" a="1"/>
  <c r="AN489" i="260" a="1"/>
  <c r="G682" i="260" a="1"/>
  <c r="BM652" i="260" a="1"/>
  <c r="J553" i="260" a="1"/>
  <c r="AD333" i="260" a="1"/>
  <c r="AZ148" i="260" a="1"/>
  <c r="AV774" i="260" a="1"/>
  <c r="AN314" i="260" a="1"/>
  <c r="AZ537" i="260" a="1"/>
  <c r="BQ486" i="260" a="1"/>
  <c r="AN127" i="260" a="1"/>
  <c r="N758" i="260" a="1"/>
  <c r="AD241" i="260" a="1"/>
  <c r="V570" i="260" a="1"/>
  <c r="Z459" i="260" a="1"/>
  <c r="AZ338" i="260" a="1"/>
  <c r="BJ112" i="260" a="1"/>
  <c r="R563" i="260" a="1"/>
  <c r="V457" i="260" a="1"/>
  <c r="V652" i="260" a="1"/>
  <c r="G735" i="260" a="1"/>
  <c r="AH132" i="260" a="1"/>
  <c r="BF344" i="260" a="1"/>
  <c r="G609" i="260" a="1"/>
  <c r="AQ435" i="260" a="1"/>
  <c r="BM180" i="260" a="1"/>
  <c r="AD469" i="260" a="1"/>
  <c r="BU571" i="260" a="1"/>
  <c r="BQ566" i="260" a="1"/>
  <c r="AZ485" i="260" a="1"/>
  <c r="N206" i="260" a="1"/>
  <c r="V227" i="260" a="1"/>
  <c r="BJ205" i="260" a="1"/>
  <c r="AV605" i="260" a="1"/>
  <c r="AV762" i="260" a="1"/>
  <c r="BJ433" i="260" a="1"/>
  <c r="AQ762" i="260" a="1"/>
  <c r="BQ717" i="260" a="1"/>
  <c r="AD722" i="260" a="1"/>
  <c r="BQ680" i="260" a="1"/>
  <c r="R757" i="260" a="1"/>
  <c r="Z597" i="260" a="1"/>
  <c r="N152" i="260" a="1"/>
  <c r="BJ501" i="260" a="1"/>
  <c r="AZ99" i="260" a="1"/>
  <c r="BF738" i="260" a="1"/>
  <c r="BJ166" i="260" a="1"/>
  <c r="BU521" i="260" a="1"/>
  <c r="AZ250" i="260" a="1"/>
  <c r="BF213" i="260" a="1"/>
  <c r="BM348" i="260" a="1"/>
  <c r="AD651" i="260" a="1"/>
  <c r="BF224" i="260" a="1"/>
  <c r="AD691" i="260" a="1"/>
  <c r="BJ675" i="260" a="1"/>
  <c r="N551" i="260" a="1"/>
  <c r="AH135" i="260" a="1"/>
  <c r="BJ90" i="260" a="1"/>
  <c r="AV766" i="260" a="1"/>
  <c r="AD512" i="260" a="1"/>
  <c r="N615" i="260" a="1"/>
  <c r="G186" i="260" a="1"/>
  <c r="N549" i="260" a="1"/>
  <c r="G116" i="260" a="1"/>
  <c r="BJ507" i="260" a="1"/>
  <c r="BF693" i="260" a="1"/>
  <c r="Z664" i="260" a="1"/>
  <c r="Z694" i="260" a="1"/>
  <c r="AV469" i="260" a="1"/>
  <c r="AQ646" i="260" a="1"/>
  <c r="BM715" i="260" a="1"/>
  <c r="BU625" i="260" a="1"/>
  <c r="AV147" i="260" a="1"/>
  <c r="BQ328" i="260" a="1"/>
  <c r="BJ315" i="260" a="1"/>
  <c r="BQ603" i="260" a="1"/>
  <c r="BJ549" i="260" a="1"/>
  <c r="BQ265" i="260" a="1"/>
  <c r="N97" i="260" a="1"/>
  <c r="AD245" i="260" a="1"/>
  <c r="AN416" i="260" a="1"/>
  <c r="BQ85" i="260" a="1"/>
  <c r="AV541" i="260" a="1"/>
  <c r="J292" i="260" a="1"/>
  <c r="AV502" i="260" a="1"/>
  <c r="R341" i="260" a="1"/>
  <c r="R419" i="260" a="1"/>
  <c r="BJ262" i="260" a="1"/>
  <c r="BM428" i="260" a="1"/>
  <c r="BQ475" i="260" a="1"/>
  <c r="BU597" i="260" a="1"/>
  <c r="BM150" i="260" a="1"/>
  <c r="BQ771" i="260" a="1"/>
  <c r="BU300" i="260" a="1"/>
  <c r="BU198" i="260" a="1"/>
  <c r="N740" i="260" a="1"/>
  <c r="AN365" i="260" a="1"/>
  <c r="AZ252" i="260" a="1"/>
  <c r="V541" i="260" a="1"/>
  <c r="N498" i="260" a="1"/>
  <c r="BF431" i="260" a="1"/>
  <c r="AH648" i="260" a="1"/>
  <c r="AV273" i="260" a="1"/>
  <c r="AD93" i="260" a="1"/>
  <c r="BJ486" i="260" a="1"/>
  <c r="AD597" i="260" a="1"/>
  <c r="AV127" i="260" a="1"/>
  <c r="Z411" i="260" a="1"/>
  <c r="BF744" i="260" a="1"/>
  <c r="AN322" i="260" a="1"/>
  <c r="AD466" i="260" a="1"/>
  <c r="BM465" i="260" a="1"/>
  <c r="V372" i="260" a="1"/>
  <c r="BF323" i="260" a="1"/>
  <c r="AZ299" i="260" a="1"/>
  <c r="AH705" i="260" a="1"/>
  <c r="AD226" i="260" a="1"/>
  <c r="J228" i="260" a="1"/>
  <c r="AH234" i="260" a="1"/>
  <c r="BU252" i="260" a="1"/>
  <c r="BF718" i="260" a="1"/>
  <c r="J668" i="260" a="1"/>
  <c r="AZ571" i="260" a="1"/>
  <c r="BQ497" i="260" a="1"/>
  <c r="G474" i="260" a="1"/>
  <c r="AV93" i="260" a="1"/>
  <c r="AH750" i="260" a="1"/>
  <c r="G277" i="260" a="1"/>
  <c r="J768" i="260" a="1"/>
  <c r="Z168" i="260" a="1"/>
  <c r="Z118" i="260" a="1"/>
  <c r="N94" i="260" a="1"/>
  <c r="BM551" i="260" a="1"/>
  <c r="BU451" i="260" a="1"/>
  <c r="BQ498" i="260" a="1"/>
  <c r="AN123" i="260" a="1"/>
  <c r="Z744" i="260" a="1"/>
  <c r="BJ430" i="260" a="1"/>
  <c r="BF136" i="260" a="1"/>
  <c r="BQ320" i="260" a="1"/>
  <c r="G145" i="260" a="1"/>
  <c r="BM511" i="260" a="1"/>
  <c r="AN362" i="260" a="1"/>
  <c r="J438" i="260" a="1"/>
  <c r="AD587" i="260" a="1"/>
  <c r="BM388" i="260" a="1"/>
  <c r="G574" i="260" a="1"/>
  <c r="BQ599" i="260" a="1"/>
  <c r="AV588" i="260" a="1"/>
  <c r="AQ143" i="260" a="1"/>
  <c r="G475" i="260" a="1"/>
  <c r="BJ711" i="260" a="1"/>
  <c r="V277" i="260" a="1"/>
  <c r="BF547" i="260" a="1"/>
  <c r="AV589" i="260" a="1"/>
  <c r="R377" i="260" a="1"/>
  <c r="AN778" i="260" a="1"/>
  <c r="V620" i="260" a="1"/>
  <c r="BF441" i="260" a="1"/>
  <c r="Z583" i="260" a="1"/>
  <c r="R485" i="260" a="1"/>
  <c r="AD94" i="260" a="1"/>
  <c r="AZ181" i="260" a="1"/>
  <c r="AQ716" i="260" a="1"/>
  <c r="AD392" i="260" a="1"/>
  <c r="G207" i="260" a="1"/>
  <c r="V383" i="260" a="1"/>
  <c r="BM601" i="260" a="1"/>
  <c r="BQ402" i="260" a="1"/>
  <c r="BF212" i="260" a="1"/>
  <c r="BF210" i="260" a="1"/>
  <c r="AD88" i="260" a="1"/>
  <c r="AH497" i="260" a="1"/>
  <c r="Z463" i="260" a="1"/>
  <c r="V418" i="260" a="1"/>
  <c r="AN605" i="260" a="1"/>
  <c r="AV291" i="260" a="1"/>
  <c r="AQ335" i="260" a="1"/>
  <c r="G747" i="260" a="1"/>
  <c r="AD575" i="260" a="1"/>
  <c r="AV85" i="260" a="1"/>
  <c r="V569" i="260" a="1"/>
  <c r="BJ553" i="260" a="1"/>
  <c r="J713" i="260" a="1"/>
  <c r="J678" i="260" a="1"/>
  <c r="AD295" i="260" a="1"/>
  <c r="G369" i="260" a="1"/>
  <c r="Z574" i="260" a="1"/>
  <c r="BQ562" i="260" a="1"/>
  <c r="BU519" i="260" a="1"/>
  <c r="BM662" i="260" a="1"/>
  <c r="AQ270" i="260" a="1"/>
  <c r="N277" i="260" a="1"/>
  <c r="V402" i="260" a="1"/>
  <c r="J260" i="260" a="1"/>
  <c r="G390" i="260" a="1"/>
  <c r="R349" i="260" a="1"/>
  <c r="BU669" i="260" a="1"/>
  <c r="BJ506" i="260" a="1"/>
  <c r="J225" i="260" a="1"/>
  <c r="N373" i="260" a="1"/>
  <c r="AQ696" i="260" a="1"/>
  <c r="BM327" i="260" a="1"/>
  <c r="BM193" i="260" a="1"/>
  <c r="AV547" i="260" a="1"/>
  <c r="BJ450" i="260" a="1"/>
  <c r="AH598" i="260" a="1"/>
  <c r="V720" i="260" a="1"/>
  <c r="G225" i="260" a="1"/>
  <c r="AD663" i="260" a="1"/>
  <c r="AN402" i="260" a="1"/>
  <c r="R669" i="260" a="1"/>
  <c r="BQ490" i="260" a="1"/>
  <c r="BF392" i="260" a="1"/>
  <c r="BM133" i="260" a="1"/>
  <c r="BU473" i="260" a="1"/>
  <c r="N295" i="260" a="1"/>
  <c r="BM420" i="260" a="1"/>
  <c r="G217" i="260" a="1"/>
  <c r="BF462" i="260" a="1"/>
  <c r="BQ378" i="260" a="1"/>
  <c r="BF624" i="260" a="1"/>
  <c r="BQ239" i="260" a="1"/>
  <c r="AQ116" i="260" a="1"/>
  <c r="AH507" i="260" a="1"/>
  <c r="G195" i="260" a="1"/>
  <c r="AV496" i="260" a="1"/>
  <c r="BF452" i="260" a="1"/>
  <c r="AD317" i="260" a="1"/>
  <c r="BQ330" i="260" a="1"/>
  <c r="BM456" i="260" a="1"/>
  <c r="AQ105" i="260" a="1"/>
  <c r="BF721" i="260" a="1"/>
  <c r="BF555" i="260" a="1"/>
  <c r="AZ425" i="260" a="1"/>
  <c r="BF318" i="260" a="1"/>
  <c r="AQ253" i="260" a="1"/>
  <c r="AD261" i="260" a="1"/>
  <c r="AZ398" i="260" a="1"/>
  <c r="G619" i="260" a="1"/>
  <c r="AD570" i="260" a="1"/>
  <c r="BU400" i="260" a="1"/>
  <c r="AQ468" i="260" a="1"/>
  <c r="R300" i="260" a="1"/>
  <c r="R322" i="260" a="1"/>
  <c r="Z658" i="260" a="1"/>
  <c r="BU542" i="260" a="1"/>
  <c r="BF538" i="260" a="1"/>
  <c r="BJ660" i="260" a="1"/>
  <c r="AQ506" i="260" a="1"/>
  <c r="AQ257" i="260" a="1"/>
  <c r="AV219" i="260" a="1"/>
  <c r="AV152" i="260" a="1"/>
  <c r="BU632" i="260" a="1"/>
  <c r="N755" i="260" a="1"/>
  <c r="BU315" i="260" a="1"/>
  <c r="BU247" i="260" a="1"/>
  <c r="G409" i="260" a="1"/>
  <c r="R263" i="260" a="1"/>
  <c r="J211" i="260" a="1"/>
  <c r="Z338" i="260" a="1"/>
  <c r="AQ745" i="260" a="1"/>
  <c r="N220" i="260" a="1"/>
  <c r="R550" i="260" a="1"/>
  <c r="J305" i="260" a="1"/>
  <c r="AH178" i="260" a="1"/>
  <c r="BF752" i="260" a="1"/>
  <c r="BU158" i="260" a="1"/>
  <c r="AH640" i="260" a="1"/>
  <c r="N517" i="260" a="1"/>
  <c r="BF670" i="260" a="1"/>
  <c r="G759" i="260" a="1"/>
  <c r="AZ705" i="260" a="1"/>
  <c r="V252" i="260" a="1"/>
  <c r="BM470" i="260" a="1"/>
  <c r="AN590" i="260" a="1"/>
  <c r="BF766" i="260" a="1"/>
  <c r="AD227" i="260" a="1"/>
  <c r="AZ439" i="260" a="1"/>
  <c r="BF641" i="260" a="1"/>
  <c r="AD139" i="260" a="1"/>
  <c r="BQ409" i="260" a="1"/>
  <c r="AV86" i="260" a="1"/>
  <c r="BJ264" i="260" a="1"/>
  <c r="BM610" i="260" a="1"/>
  <c r="AD232" i="260" a="1"/>
  <c r="J589" i="260" a="1"/>
  <c r="AV759" i="260" a="1"/>
  <c r="N385" i="260" a="1"/>
  <c r="N307" i="260" a="1"/>
  <c r="AQ413" i="260" a="1"/>
  <c r="BU194" i="260" a="1"/>
  <c r="BF498" i="260" a="1"/>
  <c r="AD422" i="260" a="1"/>
  <c r="AN189" i="260" a="1"/>
  <c r="V586" i="260" a="1"/>
  <c r="BF281" i="260" a="1"/>
  <c r="AQ603" i="260" a="1"/>
  <c r="AD601" i="260" a="1"/>
  <c r="V306" i="260" a="1"/>
  <c r="AZ619" i="260" a="1"/>
  <c r="N355" i="260" a="1"/>
  <c r="BJ605" i="260" a="1"/>
  <c r="G208" i="260" a="1"/>
  <c r="N424" i="260" a="1"/>
  <c r="BF145" i="260" a="1"/>
  <c r="G597" i="260" a="1"/>
  <c r="AZ603" i="260" a="1"/>
  <c r="BM459" i="260" a="1"/>
  <c r="BQ436" i="260" a="1"/>
  <c r="AH621" i="260" a="1"/>
  <c r="BJ664" i="260" a="1"/>
  <c r="BU413" i="260" a="1"/>
  <c r="Z656" i="260" a="1"/>
  <c r="AD332" i="260" a="1"/>
  <c r="AV566" i="260" a="1"/>
  <c r="BU648" i="260" a="1"/>
  <c r="AV699" i="260" a="1"/>
  <c r="BF277" i="260" a="1"/>
  <c r="AV169" i="260" a="1"/>
  <c r="V718" i="260" a="1"/>
  <c r="V466" i="260" a="1"/>
  <c r="V717" i="260" a="1"/>
  <c r="BF128" i="260" a="1"/>
  <c r="AH264" i="260" a="1"/>
  <c r="AQ720" i="260" a="1"/>
  <c r="BF633" i="260" a="1"/>
  <c r="AD735" i="260" a="1"/>
  <c r="AH95" i="260" a="1"/>
  <c r="BM686" i="260" a="1"/>
  <c r="R464" i="260" a="1"/>
  <c r="N196" i="260" a="1"/>
  <c r="G435" i="260" a="1"/>
  <c r="J250" i="260" a="1"/>
  <c r="BU469" i="260" a="1"/>
  <c r="BM713" i="260" a="1"/>
  <c r="BJ311" i="260" a="1"/>
  <c r="BM722" i="260" a="1"/>
  <c r="BM487" i="260" a="1"/>
  <c r="AQ578" i="260" a="1"/>
  <c r="AD105" i="260" a="1"/>
  <c r="BM701" i="260" a="1"/>
  <c r="R394" i="260" a="1"/>
  <c r="G466" i="260" a="1"/>
  <c r="N255" i="260" a="1"/>
  <c r="AD406" i="260" a="1"/>
  <c r="R403" i="260" a="1"/>
  <c r="AH170" i="260" a="1"/>
  <c r="BQ345" i="260" a="1"/>
  <c r="AV264" i="260" a="1"/>
  <c r="BJ600" i="260" a="1"/>
  <c r="V110" i="260" a="1"/>
  <c r="N370" i="260" a="1"/>
  <c r="AN225" i="260" a="1"/>
  <c r="BQ90" i="260" a="1"/>
  <c r="BU756" i="260" a="1"/>
  <c r="BJ173" i="260" a="1"/>
  <c r="BQ671" i="260" a="1"/>
  <c r="BU411" i="260" a="1"/>
  <c r="AQ585" i="260" a="1"/>
  <c r="BU615" i="260" a="1"/>
  <c r="BJ349" i="260" a="1"/>
  <c r="AQ89" i="260" a="1"/>
  <c r="AV90" i="260" a="1"/>
  <c r="N650" i="260" a="1"/>
  <c r="V482" i="260" a="1"/>
  <c r="AH759" i="260" a="1"/>
  <c r="BQ468" i="260" a="1"/>
  <c r="AV223" i="260" a="1"/>
  <c r="Z283" i="260" a="1"/>
  <c r="N309" i="260" a="1"/>
  <c r="R657" i="260" a="1"/>
  <c r="G351" i="260" a="1"/>
  <c r="R571" i="260" a="1"/>
  <c r="G519" i="260" a="1"/>
  <c r="BJ446" i="260" a="1"/>
  <c r="BF490" i="260" a="1"/>
  <c r="BF585" i="260" a="1"/>
  <c r="BJ766" i="260" a="1"/>
  <c r="BU743" i="260" a="1"/>
  <c r="R706" i="260" a="1"/>
  <c r="AH386" i="260" a="1"/>
  <c r="BJ617" i="260" a="1"/>
  <c r="AV224" i="260" a="1"/>
  <c r="AN751" i="260" a="1"/>
  <c r="R386" i="260" a="1"/>
  <c r="AD156" i="260" a="1"/>
  <c r="G389" i="260" a="1"/>
  <c r="G646" i="260" a="1"/>
  <c r="R332" i="260" a="1"/>
  <c r="BM126" i="260" a="1"/>
  <c r="AZ432" i="260" a="1"/>
  <c r="G413" i="260" a="1"/>
  <c r="AQ731" i="260" a="1"/>
  <c r="BQ99" i="260" a="1"/>
  <c r="J460" i="260" a="1"/>
  <c r="AD310" i="260" a="1"/>
  <c r="BF325" i="260" a="1"/>
  <c r="G338" i="260" a="1"/>
  <c r="BJ607" i="260" a="1"/>
  <c r="BQ405" i="260" a="1"/>
  <c r="AH769" i="260" a="1"/>
  <c r="AQ548" i="260" a="1"/>
  <c r="N722" i="260" a="1"/>
  <c r="N417" i="260" a="1"/>
  <c r="AN153" i="260" a="1"/>
  <c r="Z594" i="260" a="1"/>
  <c r="AV326" i="260" a="1"/>
  <c r="J433" i="260" a="1"/>
  <c r="AN717" i="260" a="1"/>
  <c r="AQ758" i="260" a="1"/>
  <c r="N469" i="260" a="1"/>
  <c r="AH125" i="260" a="1"/>
  <c r="AH481" i="260" a="1"/>
  <c r="BM545" i="260" a="1"/>
  <c r="AZ339" i="260" a="1"/>
  <c r="AN244" i="260" a="1"/>
  <c r="N628" i="260" a="1"/>
  <c r="AV463" i="260" a="1"/>
  <c r="AN686" i="260" a="1"/>
  <c r="N514" i="260" a="1"/>
  <c r="BU343" i="260" a="1"/>
  <c r="AQ482" i="260" a="1"/>
  <c r="AD598" i="260" a="1"/>
  <c r="AH169" i="260" a="1"/>
  <c r="G472" i="260" a="1"/>
  <c r="BM416" i="260" a="1"/>
  <c r="BQ119" i="260" a="1"/>
  <c r="BJ410" i="260" a="1"/>
  <c r="BF334" i="260" a="1"/>
  <c r="BQ131" i="260" a="1"/>
  <c r="AQ378" i="260" a="1"/>
  <c r="AD468" i="260" a="1"/>
  <c r="N515" i="260" a="1"/>
  <c r="BF378" i="260" a="1"/>
  <c r="AH253" i="260" a="1"/>
  <c r="AD109" i="260" a="1"/>
  <c r="J513" i="260" a="1"/>
  <c r="BF222" i="260" a="1"/>
  <c r="Z347" i="260" a="1"/>
  <c r="AD423" i="260" a="1"/>
  <c r="Z292" i="260" a="1"/>
  <c r="AZ268" i="260" a="1"/>
  <c r="G290" i="260" a="1"/>
  <c r="Z200" i="260" a="1"/>
  <c r="BF753" i="260" a="1"/>
  <c r="AN332" i="260" a="1"/>
  <c r="BU267" i="260" a="1"/>
  <c r="AD143" i="260" a="1"/>
  <c r="AD503" i="260" a="1"/>
  <c r="BF582" i="260" a="1"/>
  <c r="N210" i="260" a="1"/>
  <c r="BM319" i="260" a="1"/>
  <c r="Z105" i="260" a="1"/>
  <c r="AV686" i="260" a="1"/>
  <c r="AN210" i="260" a="1"/>
  <c r="AZ384" i="260" a="1"/>
  <c r="G266" i="260" a="1"/>
  <c r="BM406" i="260" a="1"/>
  <c r="J775" i="260" a="1"/>
  <c r="Z249" i="260" a="1"/>
  <c r="Z131" i="260" a="1"/>
  <c r="J544" i="260" a="1"/>
  <c r="AQ188" i="260" a="1"/>
  <c r="N92" i="260" a="1"/>
  <c r="AN612" i="260" a="1"/>
  <c r="BF667" i="260" a="1"/>
  <c r="AQ443" i="260" a="1"/>
  <c r="J734" i="260" a="1"/>
  <c r="BQ641" i="260" a="1"/>
  <c r="Z512" i="260" a="1"/>
  <c r="G615" i="260" a="1"/>
  <c r="AH400" i="260" a="1"/>
  <c r="AQ586" i="260" a="1"/>
  <c r="AD573" i="260" a="1"/>
  <c r="BM125" i="260" a="1"/>
  <c r="AZ275" i="260" a="1"/>
  <c r="AV212" i="260" a="1"/>
  <c r="N202" i="260" a="1"/>
  <c r="BM341" i="260" a="1"/>
  <c r="AH347" i="260" a="1"/>
  <c r="AD618" i="260" a="1"/>
  <c r="AZ719" i="260" a="1"/>
  <c r="BU161" i="260" a="1"/>
  <c r="V766" i="260" a="1"/>
  <c r="BF317" i="260" a="1"/>
  <c r="AZ596" i="260" a="1"/>
  <c r="BQ609" i="260" a="1"/>
  <c r="BJ128" i="260" a="1"/>
  <c r="Z311" i="260" a="1"/>
  <c r="AZ224" i="260" a="1"/>
  <c r="BQ222" i="260" a="1"/>
  <c r="G580" i="260" a="1"/>
  <c r="AQ216" i="260" a="1"/>
  <c r="AD483" i="260" a="1"/>
  <c r="AQ167" i="260" a="1"/>
  <c r="BJ415" i="260" a="1"/>
  <c r="BU430" i="260" a="1"/>
  <c r="BJ412" i="260" a="1"/>
  <c r="AV621" i="260" a="1"/>
  <c r="AZ359" i="260" a="1"/>
  <c r="AN140" i="260" a="1"/>
  <c r="J598" i="260" a="1"/>
  <c r="V726" i="260" a="1"/>
  <c r="BF282" i="260" a="1"/>
  <c r="BQ128" i="260" a="1"/>
  <c r="BM595" i="260" a="1"/>
  <c r="R598" i="260" a="1"/>
  <c r="J716" i="260" a="1"/>
  <c r="AV587" i="260" a="1"/>
  <c r="AZ681" i="260" a="1"/>
  <c r="V616" i="260" a="1"/>
  <c r="BU432" i="260" a="1"/>
  <c r="J610" i="260" a="1"/>
  <c r="BJ638" i="260" a="1"/>
  <c r="AQ365" i="260" a="1"/>
  <c r="G594" i="260" a="1"/>
  <c r="BU661" i="260" a="1"/>
  <c r="BQ672" i="260" a="1"/>
  <c r="AZ698" i="260" a="1"/>
  <c r="AZ157" i="260" a="1"/>
  <c r="G288" i="260" a="1"/>
  <c r="BQ158" i="260" a="1"/>
  <c r="BU230" i="260" a="1"/>
  <c r="BJ153" i="260" a="1"/>
  <c r="AD270" i="260" a="1"/>
  <c r="N234" i="260" a="1"/>
  <c r="AD393" i="260" a="1"/>
  <c r="BU595" i="260" a="1"/>
  <c r="BF638" i="260" a="1"/>
  <c r="Z751" i="260" a="1"/>
  <c r="BQ178" i="260" a="1"/>
  <c r="AH225" i="260" a="1"/>
  <c r="AD180" i="260" a="1"/>
  <c r="AV414" i="260" a="1"/>
  <c r="AV718" i="260" a="1"/>
  <c r="AH328" i="260" a="1"/>
  <c r="AZ155" i="260" a="1"/>
  <c r="G283" i="260" a="1"/>
  <c r="BU112" i="260" a="1"/>
  <c r="N657" i="260" a="1"/>
  <c r="AZ541" i="260" a="1"/>
  <c r="BF737" i="260" a="1"/>
  <c r="N541" i="260" a="1"/>
  <c r="BU175" i="260" a="1"/>
  <c r="V550" i="260" a="1"/>
  <c r="BF455" i="260" a="1"/>
  <c r="BM761" i="260" a="1"/>
  <c r="AH384" i="260" a="1"/>
  <c r="AZ653" i="260" a="1"/>
  <c r="BQ601" i="260" a="1"/>
  <c r="BJ282" i="260" a="1"/>
  <c r="BM676" i="260" a="1"/>
  <c r="V521" i="260" a="1"/>
  <c r="V140" i="260" a="1"/>
  <c r="R449" i="260" a="1"/>
  <c r="V168" i="260" a="1"/>
  <c r="BM485" i="260" a="1"/>
  <c r="BU470" i="260" a="1"/>
  <c r="AQ497" i="260" a="1"/>
  <c r="G215" i="260" a="1"/>
  <c r="V364" i="260" a="1"/>
  <c r="J106" i="260" a="1"/>
  <c r="AD142" i="260" a="1"/>
  <c r="AH289" i="260" a="1"/>
  <c r="BQ139" i="260" a="1"/>
  <c r="R556" i="260" a="1"/>
  <c r="R424" i="260" a="1"/>
  <c r="AD258" i="260" a="1"/>
  <c r="R261" i="260" a="1"/>
  <c r="BU626" i="260" a="1"/>
  <c r="BU694" i="260" a="1"/>
  <c r="AZ421" i="260" a="1"/>
  <c r="BU222" i="260" a="1"/>
  <c r="BU312" i="260" a="1"/>
  <c r="J198" i="260" a="1"/>
  <c r="AH698" i="260" a="1"/>
  <c r="AN228" i="260" a="1"/>
  <c r="G161" i="260" a="1"/>
  <c r="R142" i="260" a="1"/>
  <c r="V639" i="260" a="1"/>
  <c r="AH184" i="260" a="1"/>
  <c r="G695" i="260" a="1"/>
  <c r="G328" i="260" a="1"/>
  <c r="BU746" i="260" a="1"/>
  <c r="BF550" i="260" a="1"/>
  <c r="V155" i="260" a="1"/>
  <c r="J245" i="260" a="1"/>
  <c r="N634" i="260" a="1"/>
  <c r="R123" i="260" a="1"/>
  <c r="Z426" i="260" a="1"/>
  <c r="Z707" i="260" a="1"/>
  <c r="N727" i="260" a="1"/>
  <c r="BJ616" i="260" a="1"/>
  <c r="AV245" i="260" a="1"/>
  <c r="BF309" i="260" a="1"/>
  <c r="AV143" i="260" a="1"/>
  <c r="BJ496" i="260" a="1"/>
  <c r="AH521" i="260" a="1"/>
  <c r="N332" i="260" a="1"/>
  <c r="J658" i="260" a="1"/>
  <c r="V317" i="260" a="1"/>
  <c r="BM90" i="260" a="1"/>
  <c r="AN156" i="260" a="1"/>
  <c r="AV641" i="260" a="1"/>
  <c r="AD197" i="260" a="1"/>
  <c r="R647" i="260" a="1"/>
  <c r="R112" i="260" a="1"/>
  <c r="AZ513" i="260" a="1"/>
  <c r="AZ680" i="260" a="1"/>
  <c r="N449" i="260" a="1"/>
  <c r="BU155" i="260" a="1"/>
  <c r="AD114" i="260" a="1"/>
  <c r="Z447" i="260" a="1"/>
  <c r="AH405" i="260" a="1"/>
  <c r="BJ132" i="260" a="1"/>
  <c r="BM494" i="260" a="1"/>
  <c r="AQ133" i="260" a="1"/>
  <c r="Z440" i="260" a="1"/>
  <c r="G194" i="260" a="1"/>
  <c r="AZ470" i="260" a="1"/>
  <c r="BQ585" i="260" a="1"/>
  <c r="AZ510" i="260" a="1"/>
  <c r="BF672" i="260" a="1"/>
  <c r="BU114" i="260" a="1"/>
  <c r="Z488" i="260" a="1"/>
  <c r="BJ222" i="260" a="1"/>
  <c r="AZ716" i="260" a="1"/>
  <c r="N290" i="260" a="1"/>
  <c r="AH688" i="260" a="1"/>
  <c r="AZ91" i="260" a="1"/>
  <c r="BM737" i="260" a="1"/>
  <c r="AV148" i="260" a="1"/>
  <c r="AN584" i="260" a="1"/>
  <c r="BJ268" i="260" a="1"/>
  <c r="AH666" i="260" a="1"/>
  <c r="BF246" i="260" a="1"/>
  <c r="BF710" i="260" a="1"/>
  <c r="AH232" i="260" a="1"/>
  <c r="BM196" i="260" a="1"/>
  <c r="AV700" i="260" a="1"/>
  <c r="BU763" i="260" a="1"/>
  <c r="R192" i="260" a="1"/>
  <c r="BQ242" i="260" a="1"/>
  <c r="AN231" i="260" a="1"/>
  <c r="BF211" i="260" a="1"/>
  <c r="G563" i="260" a="1"/>
  <c r="AQ119" i="260" a="1"/>
  <c r="BM482" i="260" a="1"/>
  <c r="V509" i="260" a="1"/>
  <c r="AV350" i="260" a="1"/>
  <c r="AV662" i="260" a="1"/>
  <c r="BU226" i="260" a="1"/>
  <c r="BU86" i="260" a="1"/>
  <c r="AZ661" i="260" a="1"/>
  <c r="BJ462" i="260" a="1"/>
  <c r="AV441" i="260" a="1"/>
  <c r="V289" i="260" a="1"/>
  <c r="N507" i="260" a="1"/>
  <c r="Z636" i="260" a="1"/>
  <c r="BU750" i="260" a="1"/>
  <c r="AH209" i="260" a="1"/>
  <c r="V278" i="260" a="1"/>
  <c r="AZ671" i="260" a="1"/>
  <c r="BF350" i="260" a="1"/>
  <c r="BF147" i="260" a="1"/>
  <c r="V768" i="260" a="1"/>
  <c r="AQ285" i="260" a="1"/>
  <c r="G352" i="260" a="1"/>
  <c r="N426" i="260" a="1"/>
  <c r="BQ442" i="260" a="1"/>
  <c r="BM278" i="260" a="1"/>
  <c r="AQ685" i="260" a="1"/>
  <c r="AV284" i="260" a="1"/>
  <c r="AZ609" i="260" a="1"/>
  <c r="BQ549" i="260" a="1"/>
  <c r="BU570" i="260" a="1"/>
  <c r="AZ152" i="260" a="1"/>
  <c r="N217" i="260" a="1"/>
  <c r="AV349" i="260" a="1"/>
  <c r="BU555" i="260" a="1"/>
  <c r="AV727" i="260" a="1"/>
  <c r="Z691" i="260" a="1"/>
  <c r="V286" i="260" a="1"/>
  <c r="V238" i="260" a="1"/>
  <c r="R437" i="260" a="1"/>
  <c r="AV576" i="260" a="1"/>
  <c r="AD190" i="260" a="1"/>
  <c r="AQ398" i="260" a="1"/>
  <c r="J510" i="260" a="1"/>
  <c r="BU143" i="260" a="1"/>
  <c r="BJ512" i="260" a="1"/>
  <c r="BQ281" i="260" a="1"/>
  <c r="BF338" i="260" a="1"/>
  <c r="AQ520" i="260" a="1"/>
  <c r="R264" i="260" a="1"/>
  <c r="BJ592" i="260" a="1"/>
  <c r="G501" i="260" a="1"/>
  <c r="AH741" i="260" a="1"/>
  <c r="BM512" i="260" a="1"/>
  <c r="J705" i="260" a="1"/>
  <c r="AN581" i="260" a="1"/>
  <c r="Z677" i="260" a="1"/>
  <c r="AN171" i="260" a="1"/>
  <c r="AH214" i="260" a="1"/>
  <c r="AZ592" i="260" a="1"/>
  <c r="AN403" i="260" a="1"/>
  <c r="BU642" i="260" a="1"/>
  <c r="BJ708" i="260" a="1"/>
  <c r="BU472" i="260" a="1"/>
  <c r="AD756" i="260" a="1"/>
  <c r="AQ370" i="260" a="1"/>
  <c r="R763" i="260" a="1"/>
  <c r="G448" i="260" a="1"/>
  <c r="BM764" i="260" a="1"/>
  <c r="V185" i="260" a="1"/>
  <c r="BF620" i="260" a="1"/>
  <c r="AZ167" i="260" a="1"/>
  <c r="AN155" i="260" a="1"/>
  <c r="BJ476" i="260" a="1"/>
  <c r="V453" i="260" a="1"/>
  <c r="AQ564" i="260" a="1"/>
  <c r="Z490" i="260" a="1"/>
  <c r="AD305" i="260" a="1"/>
  <c r="BJ527" i="260" a="1"/>
  <c r="J512" i="260" a="1"/>
  <c r="AH545" i="260" a="1"/>
  <c r="BU549" i="260" a="1"/>
  <c r="V309" i="260" a="1"/>
  <c r="V697" i="260" a="1"/>
  <c r="AZ271" i="260" a="1"/>
  <c r="V201" i="260" a="1"/>
  <c r="BJ261" i="260" a="1"/>
  <c r="AQ724" i="260" a="1"/>
  <c r="BF724" i="260" a="1"/>
  <c r="BM643" i="260" a="1"/>
  <c r="AV575" i="260" a="1"/>
  <c r="AV325" i="260" a="1"/>
  <c r="G113" i="260" a="1"/>
  <c r="AN86" i="260" a="1"/>
  <c r="AV584" i="260" a="1"/>
  <c r="Z322" i="260" a="1"/>
  <c r="AV591" i="260" a="1"/>
  <c r="AD696" i="260" a="1"/>
  <c r="AV683" i="260" a="1"/>
  <c r="V141" i="260" a="1"/>
  <c r="BQ233" i="260" a="1"/>
  <c r="AN83" i="260" a="1"/>
  <c r="AV703" i="260" a="1"/>
  <c r="AH471" i="260" a="1"/>
  <c r="BM226" i="260" a="1"/>
  <c r="R319" i="260" a="1"/>
  <c r="J370" i="260" a="1"/>
  <c r="J142" i="260" a="1"/>
  <c r="G708" i="260" a="1"/>
  <c r="AZ396" i="260" a="1"/>
  <c r="AN245" i="260" a="1"/>
  <c r="AD306" i="260" a="1"/>
  <c r="BJ362" i="260" a="1"/>
  <c r="AZ777" i="260" a="1"/>
  <c r="G337" i="260" a="1"/>
  <c r="BU681" i="260" a="1"/>
  <c r="AH736" i="260" a="1"/>
  <c r="AH424" i="260" a="1"/>
  <c r="J226" i="260" a="1"/>
  <c r="Z374" i="260" a="1"/>
  <c r="AH676" i="260" a="1"/>
  <c r="J743" i="260" a="1"/>
  <c r="AZ289" i="260" a="1"/>
  <c r="AN559" i="260" a="1"/>
  <c r="AN498" i="260" a="1"/>
  <c r="V543" i="260" a="1"/>
  <c r="Z462" i="260" a="1"/>
  <c r="AV492" i="260" a="1"/>
  <c r="BF259" i="260" a="1"/>
  <c r="AV527" i="260" a="1"/>
  <c r="V346" i="260" a="1"/>
  <c r="R127" i="260" a="1"/>
  <c r="AQ711" i="260" a="1"/>
  <c r="R475" i="260" a="1"/>
  <c r="BQ499" i="260" a="1"/>
  <c r="AH215" i="260" a="1"/>
  <c r="R665" i="260" a="1"/>
  <c r="V178" i="260" a="1"/>
  <c r="Z765" i="260" a="1"/>
  <c r="V92" i="260" a="1"/>
  <c r="BU647" i="260" a="1"/>
  <c r="N448" i="260" a="1"/>
  <c r="AQ376" i="260" a="1"/>
  <c r="BF158" i="260" a="1"/>
  <c r="BF623" i="260" a="1"/>
  <c r="AQ592" i="260" a="1"/>
  <c r="AV432" i="260" a="1"/>
  <c r="AN623" i="260" a="1"/>
  <c r="BM273" i="260" a="1"/>
  <c r="BF697" i="260" a="1"/>
  <c r="N676" i="260" a="1"/>
  <c r="R156" i="260" a="1"/>
  <c r="BU714" i="260" a="1"/>
  <c r="AN714" i="260" a="1"/>
  <c r="BU146" i="260" a="1"/>
  <c r="Z396" i="260" a="1"/>
  <c r="N501" i="260" a="1"/>
  <c r="BJ695" i="260" a="1"/>
  <c r="R151" i="260" a="1"/>
  <c r="AD419" i="260" a="1"/>
  <c r="BF178" i="260" a="1"/>
  <c r="AQ602" i="260" a="1"/>
  <c r="V193" i="260" a="1"/>
  <c r="BJ489" i="260" a="1"/>
  <c r="AQ132" i="260" a="1"/>
  <c r="BJ518" i="260" a="1"/>
  <c r="AH508" i="260" a="1"/>
  <c r="N153" i="260" a="1"/>
  <c r="AQ360" i="260" a="1"/>
  <c r="AD418" i="260" a="1"/>
  <c r="AV415" i="260" a="1"/>
  <c r="BJ94" i="260" a="1"/>
  <c r="G170" i="260" a="1"/>
  <c r="AV180" i="260" a="1"/>
  <c r="BU733" i="260" a="1"/>
  <c r="J94" i="260" a="1"/>
  <c r="AV283" i="260" a="1"/>
  <c r="Z225" i="260" a="1"/>
  <c r="AH270" i="260" a="1"/>
  <c r="Z647" i="260" a="1"/>
  <c r="V80" i="260" a="1"/>
  <c r="AZ324" i="260" a="1"/>
  <c r="AN316" i="260" a="1"/>
  <c r="J431" i="260" a="1"/>
  <c r="AH309" i="260" a="1"/>
  <c r="G426" i="260" a="1"/>
  <c r="Z545" i="260" a="1"/>
  <c r="AH636" i="260" a="1"/>
  <c r="J417" i="260" a="1"/>
  <c r="R138" i="260" a="1"/>
  <c r="N208" i="260" a="1"/>
  <c r="BJ337" i="260" a="1"/>
  <c r="Z745" i="260" a="1"/>
  <c r="BQ302" i="260" a="1"/>
  <c r="AZ168" i="260" a="1"/>
  <c r="BQ121" i="260" a="1"/>
  <c r="AD522" i="260" a="1"/>
  <c r="AH236" i="260" a="1"/>
  <c r="BU761" i="260" a="1"/>
  <c r="R361" i="260" a="1"/>
  <c r="AV95" i="260" a="1"/>
  <c r="Z739" i="260" a="1"/>
  <c r="AQ725" i="260" a="1"/>
  <c r="BF728" i="260" a="1"/>
  <c r="AQ302" i="260" a="1"/>
  <c r="N626" i="260" a="1"/>
  <c r="BU265" i="260" a="1"/>
  <c r="AV84" i="260" a="1"/>
  <c r="BJ742" i="260" a="1"/>
  <c r="AZ395" i="260" a="1"/>
  <c r="R253" i="260" a="1"/>
  <c r="AH775" i="260" a="1"/>
  <c r="AZ172" i="260" a="1"/>
  <c r="AV215" i="260" a="1"/>
  <c r="BQ460" i="260" a="1"/>
  <c r="AZ326" i="260" a="1"/>
  <c r="J351" i="260" a="1"/>
  <c r="Z542" i="260" a="1"/>
  <c r="BQ522" i="260" a="1"/>
  <c r="BF402" i="260" a="1"/>
  <c r="V231" i="260" a="1"/>
  <c r="BM539" i="260" a="1"/>
  <c r="BF573" i="260" a="1"/>
  <c r="BU421" i="260" a="1"/>
  <c r="V518" i="260" a="1"/>
  <c r="AZ290" i="260" a="1"/>
  <c r="AN100" i="260" a="1"/>
  <c r="N637" i="260" a="1"/>
  <c r="N457" i="260" a="1"/>
  <c r="AV455" i="260" a="1"/>
  <c r="G316" i="260" a="1"/>
  <c r="N420" i="260" a="1"/>
  <c r="BQ335" i="260" a="1"/>
  <c r="AQ319" i="260" a="1"/>
  <c r="BU374" i="260" a="1"/>
  <c r="AN106" i="260" a="1"/>
  <c r="BU298" i="260" a="1"/>
  <c r="G484" i="260" a="1"/>
  <c r="AZ606" i="260" a="1"/>
  <c r="AQ655" i="260" a="1"/>
  <c r="AD613" i="260" a="1"/>
  <c r="BM306" i="260" a="1"/>
  <c r="AZ370" i="260" a="1"/>
  <c r="G557" i="260" a="1"/>
  <c r="BJ715" i="260" a="1"/>
  <c r="BQ273" i="260" a="1"/>
  <c r="AH667" i="260" a="1"/>
  <c r="AV513" i="260" a="1"/>
  <c r="AD461" i="260" a="1"/>
  <c r="AN125" i="260" a="1"/>
  <c r="V287" i="260" a="1"/>
  <c r="BQ372" i="260" a="1"/>
  <c r="AN740" i="260" a="1"/>
  <c r="AZ356" i="260" a="1"/>
  <c r="BU113" i="260" a="1"/>
  <c r="AV771" i="260" a="1"/>
  <c r="R313" i="260" a="1"/>
  <c r="AV239" i="260" a="1"/>
  <c r="AQ752" i="260" a="1"/>
  <c r="AZ607" i="260" a="1"/>
  <c r="AZ94" i="260" a="1"/>
  <c r="AH323" i="260" a="1"/>
  <c r="AV182" i="260" a="1"/>
  <c r="BM385" i="260" a="1"/>
  <c r="Z502" i="260" a="1"/>
  <c r="AH399" i="260" a="1"/>
  <c r="BF261" i="260" a="1"/>
  <c r="J352" i="260" a="1"/>
  <c r="AQ182" i="260" a="1"/>
  <c r="R686" i="260" a="1"/>
  <c r="G763" i="260" a="1"/>
  <c r="Z762" i="260" a="1"/>
  <c r="N227" i="260" a="1"/>
  <c r="BQ628" i="260" a="1"/>
  <c r="AZ617" i="260" a="1"/>
  <c r="V478" i="260" a="1"/>
  <c r="BQ707" i="260" a="1"/>
  <c r="AV196" i="260" a="1"/>
  <c r="AQ540" i="260" a="1"/>
  <c r="AQ643" i="260" a="1"/>
  <c r="AH695" i="260" a="1"/>
  <c r="BJ777" i="260" a="1"/>
  <c r="R160" i="260" a="1"/>
  <c r="AN492" i="260" a="1"/>
  <c r="AD407" i="260" a="1"/>
  <c r="AZ292" i="260" a="1"/>
  <c r="AD777" i="260" a="1"/>
  <c r="BM555" i="260" a="1"/>
  <c r="AQ717" i="260" a="1"/>
  <c r="BQ377" i="260" a="1"/>
  <c r="AQ676" i="260" a="1"/>
  <c r="AZ260" i="260" a="1"/>
  <c r="BJ298" i="260" a="1"/>
  <c r="AD559" i="260" a="1"/>
  <c r="BU189" i="260" a="1"/>
  <c r="AN274" i="260" a="1"/>
  <c r="AZ239" i="260" a="1"/>
  <c r="AZ570" i="260" a="1"/>
  <c r="AD460" i="260" a="1"/>
  <c r="BU600" i="260" a="1"/>
  <c r="AD450" i="260" a="1"/>
  <c r="R458" i="260" a="1"/>
  <c r="AV567" i="260" a="1"/>
  <c r="AQ417" i="260" a="1"/>
  <c r="AV660" i="260" a="1"/>
  <c r="AH576" i="260" a="1"/>
  <c r="AH151" i="260" a="1"/>
  <c r="N393" i="260" a="1"/>
  <c r="J286" i="260" a="1"/>
  <c r="BU319" i="260" a="1"/>
  <c r="BF433" i="260" a="1"/>
  <c r="J687" i="260" a="1"/>
  <c r="AN742" i="260" a="1"/>
  <c r="BU377" i="260" a="1"/>
  <c r="AV87" i="260" a="1"/>
  <c r="R474" i="260" a="1"/>
  <c r="BJ369" i="260" a="1"/>
  <c r="R226" i="260" a="1"/>
  <c r="AH632" i="260" a="1"/>
  <c r="AH305" i="260" a="1"/>
  <c r="BU96" i="260" a="1"/>
  <c r="AH105" i="260" a="1"/>
  <c r="R269" i="260" a="1"/>
  <c r="AV512" i="260" a="1"/>
  <c r="BM626" i="260" a="1"/>
  <c r="J680" i="260" a="1"/>
  <c r="AH208" i="260" a="1"/>
  <c r="AH160" i="260" a="1"/>
  <c r="R373" i="260" a="1"/>
  <c r="V166" i="260" a="1"/>
  <c r="AV592" i="260" a="1"/>
  <c r="AH465" i="260" a="1"/>
  <c r="V217" i="260" a="1"/>
  <c r="BM527" i="260" a="1"/>
  <c r="AH696" i="260" a="1"/>
  <c r="G651" i="260" a="1"/>
  <c r="BF168" i="260" a="1"/>
  <c r="AZ358" i="260" a="1"/>
  <c r="BJ555" i="260" a="1"/>
  <c r="G284" i="260" a="1"/>
  <c r="R242" i="260" a="1"/>
  <c r="J617" i="260" a="1"/>
  <c r="G407" i="260" a="1"/>
  <c r="BQ96" i="260" a="1"/>
  <c r="AN107" i="260" a="1"/>
  <c r="BJ674" i="260" a="1"/>
  <c r="AD138" i="260" a="1"/>
  <c r="BQ282" i="260" a="1"/>
  <c r="V415" i="260" a="1"/>
  <c r="AV250" i="260" a="1"/>
  <c r="R327" i="260" a="1"/>
  <c r="BM322" i="260" a="1"/>
  <c r="AQ141" i="260" a="1"/>
  <c r="BU213" i="260" a="1"/>
  <c r="BU536" i="260" a="1"/>
  <c r="BQ136" i="260" a="1"/>
  <c r="AV659" i="260" a="1"/>
  <c r="AV394" i="260" a="1"/>
  <c r="AV409" i="260" a="1"/>
  <c r="V182" i="260" a="1"/>
  <c r="AV597" i="260" a="1"/>
  <c r="BF225" i="260" a="1"/>
  <c r="AN599" i="260" a="1"/>
  <c r="BJ122" i="260" a="1"/>
  <c r="AQ409" i="260" a="1"/>
  <c r="AD701" i="260" a="1"/>
  <c r="BF699" i="260" a="1"/>
  <c r="AH657" i="260" a="1"/>
  <c r="R303" i="260" a="1"/>
  <c r="BM533" i="260" a="1"/>
  <c r="R661" i="260" a="1"/>
  <c r="J451" i="260" a="1"/>
  <c r="N658" i="260" a="1"/>
  <c r="BQ171" i="260" a="1"/>
  <c r="BM621" i="260" a="1"/>
  <c r="AN95" i="260" a="1"/>
  <c r="AH221" i="260" a="1"/>
  <c r="AD500" i="260" a="1"/>
  <c r="BF674" i="260" a="1"/>
  <c r="J344" i="260" a="1"/>
  <c r="AV770" i="260" a="1"/>
  <c r="AD684" i="260" a="1"/>
  <c r="AZ621" i="260" a="1"/>
  <c r="AH635" i="260" a="1"/>
  <c r="AZ532" i="260" a="1"/>
  <c r="Z335" i="260" a="1"/>
  <c r="BU149" i="260" a="1"/>
  <c r="R526" i="260" a="1"/>
  <c r="BF189" i="260" a="1"/>
  <c r="BF132" i="260" a="1"/>
  <c r="AV444" i="260" a="1"/>
  <c r="BJ712" i="260" a="1"/>
  <c r="BQ665" i="260" a="1"/>
  <c r="N539" i="260" a="1"/>
  <c r="J536" i="260" a="1"/>
  <c r="BF420" i="260" a="1"/>
  <c r="R108" i="260" a="1"/>
  <c r="BF518" i="260" a="1"/>
  <c r="AV315" i="260" a="1"/>
  <c r="AQ693" i="260" a="1"/>
  <c r="AV670" i="260" a="1"/>
  <c r="J695" i="260" a="1"/>
  <c r="BU489" i="260" a="1"/>
  <c r="BU424" i="260" a="1"/>
  <c r="BM592" i="260" a="1"/>
  <c r="G433" i="260" a="1"/>
  <c r="BM256" i="260" a="1"/>
  <c r="AV484" i="260" a="1"/>
  <c r="BF199" i="260" a="1"/>
  <c r="V119" i="260" a="1"/>
  <c r="AV382" i="260" a="1"/>
  <c r="BF98" i="260" a="1"/>
  <c r="N207" i="260" a="1"/>
  <c r="AZ709" i="260" a="1"/>
  <c r="V735" i="260" a="1"/>
  <c r="Z158" i="260" a="1"/>
  <c r="AH762" i="260" a="1"/>
  <c r="BM693" i="260" a="1"/>
  <c r="AZ542" i="260" a="1"/>
  <c r="BQ611" i="260" a="1"/>
  <c r="N765" i="260" a="1"/>
  <c r="AQ286" i="260" a="1"/>
  <c r="J91" i="260" a="1"/>
  <c r="N738" i="260" a="1"/>
  <c r="AN334" i="260" a="1"/>
  <c r="Z541" i="260" a="1"/>
  <c r="BU210" i="260" a="1"/>
  <c r="G675" i="260" a="1"/>
  <c r="AQ168" i="260" a="1"/>
  <c r="J406" i="260" a="1"/>
  <c r="V561" i="260" a="1"/>
  <c r="AH534" i="260" a="1"/>
  <c r="R738" i="260" a="1"/>
  <c r="BU87" i="260" a="1"/>
  <c r="Z334" i="260" a="1"/>
  <c r="AQ356" i="260" a="1"/>
  <c r="N91" i="260" a="1"/>
  <c r="V713" i="260" a="1"/>
  <c r="AH766" i="260" a="1"/>
  <c r="AD639" i="260" a="1"/>
  <c r="G312" i="260" a="1"/>
  <c r="BJ602" i="260" a="1"/>
  <c r="J623" i="260" a="1"/>
  <c r="AV208" i="260" a="1"/>
  <c r="BM587" i="260" a="1"/>
  <c r="BF458" i="260" a="1"/>
  <c r="N228" i="260" a="1"/>
  <c r="V117" i="260" a="1"/>
  <c r="BF503" i="260" a="1"/>
  <c r="N270" i="260" a="1"/>
  <c r="N188" i="260" a="1"/>
  <c r="Z307" i="260" a="1"/>
  <c r="G294" i="260" a="1"/>
  <c r="AQ191" i="260" a="1"/>
  <c r="G709" i="260" a="1"/>
  <c r="AN209" i="260" a="1"/>
  <c r="V645" i="260" a="1"/>
  <c r="Z494" i="260" a="1"/>
  <c r="AZ490" i="260" a="1"/>
  <c r="R368" i="260" a="1"/>
  <c r="BQ268" i="260" a="1"/>
  <c r="AN134" i="260" a="1"/>
  <c r="AZ696" i="260" a="1"/>
  <c r="R315" i="260" a="1"/>
  <c r="BQ289" i="260" a="1"/>
  <c r="AD585" i="260" a="1"/>
  <c r="BF568" i="260" a="1"/>
  <c r="BF464" i="260" a="1"/>
  <c r="BQ228" i="260" a="1"/>
  <c r="AD614" i="260" a="1"/>
  <c r="AQ542" i="260" a="1"/>
  <c r="BU134" i="260" a="1"/>
  <c r="BF299" i="260" a="1"/>
  <c r="BM776" i="260" a="1"/>
  <c r="V84" i="260" a="1"/>
  <c r="AD182" i="260" a="1"/>
  <c r="AD439" i="260" a="1"/>
  <c r="AN386" i="260" a="1"/>
  <c r="BQ385" i="260" a="1"/>
  <c r="R672" i="260" a="1"/>
  <c r="AV188" i="260" a="1"/>
  <c r="BU320" i="260" a="1"/>
  <c r="BM413" i="260" a="1"/>
  <c r="N384" i="260" a="1"/>
  <c r="G309" i="260" a="1"/>
  <c r="AQ221" i="260" a="1"/>
  <c r="N317" i="260" a="1"/>
  <c r="Z624" i="260" a="1"/>
  <c r="BM355" i="260" a="1"/>
  <c r="AQ619" i="260" a="1"/>
  <c r="R212" i="260" a="1"/>
  <c r="BM580" i="260" a="1"/>
  <c r="BU99" i="260" a="1"/>
  <c r="BM370" i="260" a="1"/>
  <c r="AV412" i="260" a="1"/>
  <c r="AD449" i="260" a="1"/>
  <c r="J721" i="260" a="1"/>
  <c r="AD661" i="260" a="1"/>
  <c r="BM516" i="260" a="1"/>
  <c r="J492" i="260" a="1"/>
  <c r="BU324" i="260" a="1"/>
  <c r="AZ751" i="260" a="1"/>
  <c r="R139" i="260" a="1"/>
  <c r="AH167" i="260" a="1"/>
  <c r="R467" i="260" a="1"/>
  <c r="BJ445" i="260" a="1"/>
  <c r="N360" i="260" a="1"/>
  <c r="V390" i="260" a="1"/>
  <c r="Z97" i="260" a="1"/>
  <c r="BJ736" i="260" a="1"/>
  <c r="AD656" i="260" a="1"/>
  <c r="Z689" i="260" a="1"/>
  <c r="AD112" i="260" a="1"/>
  <c r="J168" i="260" a="1"/>
  <c r="J494" i="260" a="1"/>
  <c r="N158" i="260" a="1"/>
  <c r="Z657" i="260" a="1"/>
  <c r="V91" i="260" a="1"/>
  <c r="Z291" i="260" a="1"/>
  <c r="BJ301" i="260" a="1"/>
  <c r="AZ446" i="260" a="1"/>
  <c r="N159" i="260" a="1"/>
  <c r="BJ187" i="260" a="1"/>
  <c r="N285" i="260" a="1"/>
  <c r="Z368" i="260" a="1"/>
  <c r="AV241" i="260" a="1"/>
  <c r="AH224" i="260" a="1"/>
  <c r="N709" i="260" a="1"/>
  <c r="BU228" i="260" a="1"/>
  <c r="AQ251" i="260" a="1"/>
  <c r="Z114" i="260" a="1"/>
  <c r="Z596" i="260" a="1"/>
  <c r="AZ160" i="260" a="1"/>
  <c r="BQ367" i="260" a="1"/>
  <c r="BU262" i="260" a="1"/>
  <c r="BF183" i="260" a="1"/>
  <c r="BU467" i="260" a="1"/>
  <c r="AN366" i="260" a="1"/>
  <c r="BF649" i="260" a="1"/>
  <c r="BU322" i="260" a="1"/>
  <c r="BJ552" i="260" a="1"/>
  <c r="BQ494" i="260" a="1"/>
  <c r="AD331" i="260" a="1"/>
  <c r="V124" i="260" a="1"/>
  <c r="BM583" i="260" a="1"/>
  <c r="BU217" i="260" a="1"/>
  <c r="G133" i="260" a="1"/>
  <c r="Z239" i="260" a="1"/>
  <c r="BQ694" i="260" a="1"/>
  <c r="N371" i="260" a="1"/>
  <c r="AZ388" i="260" a="1"/>
  <c r="G765" i="260" a="1"/>
  <c r="AQ514" i="260" a="1"/>
  <c r="BF255" i="260" a="1"/>
  <c r="AZ713" i="260" a="1"/>
  <c r="BF513" i="260" a="1"/>
  <c r="AD545" i="260" a="1"/>
  <c r="AH590" i="260" a="1"/>
  <c r="BM607" i="260" a="1"/>
  <c r="BQ365" i="260" a="1"/>
  <c r="AH701" i="260" a="1"/>
  <c r="J82" i="260" a="1"/>
  <c r="AQ81" i="260" a="1"/>
  <c r="J427" i="260" a="1"/>
  <c r="BM768" i="260" a="1"/>
  <c r="AV421" i="260" a="1"/>
  <c r="AQ613" i="260" a="1"/>
  <c r="BQ644" i="260" a="1"/>
  <c r="BQ160" i="260" a="1"/>
  <c r="G216" i="260" a="1"/>
  <c r="BJ127" i="260" a="1"/>
  <c r="BM692" i="260" a="1"/>
  <c r="BF731" i="260" a="1"/>
  <c r="V475" i="260" a="1"/>
  <c r="BJ596" i="260" a="1"/>
  <c r="V262" i="260" a="1"/>
  <c r="AV598" i="260" a="1"/>
  <c r="Z486" i="260" a="1"/>
  <c r="BM88" i="260" a="1"/>
  <c r="BJ143" i="260" a="1"/>
  <c r="BJ394" i="260" a="1"/>
  <c r="G468" i="260" a="1"/>
  <c r="AV545" i="260" a="1"/>
  <c r="BQ770" i="260" a="1"/>
  <c r="N289" i="260" a="1"/>
  <c r="G306" i="260" a="1"/>
  <c r="J127" i="260" a="1"/>
  <c r="Z769" i="260" a="1"/>
  <c r="AZ422" i="260" a="1"/>
  <c r="AH134" i="260" a="1"/>
  <c r="BF570" i="260" a="1"/>
  <c r="G670" i="260" a="1"/>
  <c r="N642" i="260" a="1"/>
  <c r="BU624" i="260" a="1"/>
  <c r="AQ138" i="260" a="1"/>
  <c r="AH431" i="260" a="1"/>
  <c r="BU677" i="260" a="1"/>
  <c r="G212" i="260" a="1"/>
  <c r="AN764" i="260" a="1"/>
  <c r="J506" i="260" a="1"/>
  <c r="AH587" i="260" a="1"/>
  <c r="Z521" i="260" a="1"/>
  <c r="R331" i="260" a="1"/>
  <c r="N602" i="260" a="1"/>
  <c r="R632" i="260" a="1"/>
  <c r="AQ448" i="260" a="1"/>
  <c r="BQ758" i="260" a="1"/>
  <c r="V580" i="260" a="1"/>
  <c r="G639" i="260" a="1"/>
  <c r="R163" i="260" a="1"/>
  <c r="BQ294" i="260" a="1"/>
  <c r="BU182" i="260" a="1"/>
  <c r="AN541" i="260" a="1"/>
  <c r="AH182" i="260" a="1"/>
  <c r="BJ302" i="260" a="1"/>
  <c r="AV671" i="260" a="1"/>
  <c r="AV707" i="260" a="1"/>
  <c r="V81" i="260" a="1"/>
  <c r="BM640" i="260" a="1"/>
  <c r="G172" i="260" a="1"/>
  <c r="AN166" i="260" a="1"/>
  <c r="BQ774" i="260" a="1"/>
  <c r="N474" i="260" a="1"/>
  <c r="AV255" i="260" a="1"/>
  <c r="G151" i="260" a="1"/>
  <c r="G536" i="260" a="1"/>
  <c r="R172" i="260" a="1"/>
  <c r="AQ722" i="260" a="1"/>
  <c r="AH173" i="260" a="1"/>
  <c r="BJ689" i="260" a="1"/>
  <c r="BJ557" i="260" a="1"/>
  <c r="J616" i="260" a="1"/>
  <c r="N200" i="260" a="1"/>
  <c r="Z446" i="260" a="1"/>
  <c r="V688" i="260" a="1"/>
  <c r="AN673" i="260" a="1"/>
  <c r="BQ95" i="260" a="1"/>
  <c r="J195" i="260" a="1"/>
  <c r="AD725" i="260" a="1"/>
  <c r="BQ298" i="260" a="1"/>
  <c r="R420" i="260" a="1"/>
  <c r="AQ660" i="260" a="1"/>
  <c r="AH153" i="260" a="1"/>
  <c r="BJ569" i="260" a="1"/>
  <c r="BM92" i="260" a="1"/>
  <c r="J449" i="260" a="1"/>
  <c r="AV525" i="260" a="1"/>
  <c r="AH348" i="260" a="1"/>
  <c r="J284" i="260" a="1"/>
  <c r="AQ227" i="260" a="1"/>
  <c r="BQ458" i="260" a="1"/>
  <c r="BF642" i="260" a="1"/>
  <c r="BJ661" i="260" a="1"/>
  <c r="BJ453" i="260" a="1"/>
  <c r="AZ383" i="260" a="1"/>
  <c r="AN208" i="260" a="1"/>
  <c r="AD619" i="260" a="1"/>
  <c r="BM661" i="260" a="1"/>
  <c r="V310" i="260" a="1"/>
  <c r="R494" i="260" a="1"/>
  <c r="J325" i="260" a="1"/>
  <c r="AH733" i="260" a="1"/>
  <c r="V442" i="260" a="1"/>
  <c r="J246" i="260" a="1"/>
  <c r="AV106" i="260" a="1"/>
  <c r="AQ263" i="260" a="1"/>
  <c r="J295" i="260" a="1"/>
  <c r="AH628" i="260" a="1"/>
  <c r="R251" i="260" a="1"/>
  <c r="AD697" i="260" a="1"/>
  <c r="BM450" i="260" a="1"/>
  <c r="N440" i="260" a="1"/>
  <c r="BJ152" i="260" a="1"/>
  <c r="BF119" i="260" a="1"/>
  <c r="AH442" i="260" a="1"/>
  <c r="N237" i="260" a="1"/>
  <c r="AD398" i="260" a="1"/>
  <c r="G143" i="260" a="1"/>
  <c r="BJ89" i="260" a="1"/>
  <c r="R188" i="260" a="1"/>
  <c r="AH322" i="260" a="1"/>
  <c r="BM593" i="260" a="1"/>
  <c r="AN647" i="260" a="1"/>
  <c r="R409" i="260" a="1"/>
  <c r="AH761" i="260" a="1"/>
  <c r="AH743" i="260" a="1"/>
  <c r="BM451" i="260" a="1"/>
  <c r="BQ391" i="260" a="1"/>
  <c r="BF326" i="260" a="1"/>
  <c r="AZ328" i="260" a="1"/>
  <c r="AD658" i="260" a="1"/>
  <c r="Z314" i="260" a="1"/>
  <c r="AD92" i="260" a="1"/>
  <c r="BM271" i="260" a="1"/>
  <c r="BQ301" i="260" a="1"/>
  <c r="BQ339" i="260" a="1"/>
  <c r="AD337" i="260" a="1"/>
  <c r="AQ751" i="260" a="1"/>
  <c r="AD83" i="260" a="1"/>
  <c r="AN295" i="260" a="1"/>
  <c r="BF310" i="260" a="1"/>
  <c r="Z606" i="260" a="1"/>
  <c r="BQ290" i="260" a="1"/>
  <c r="BJ287" i="260" a="1"/>
  <c r="J749" i="260" a="1"/>
  <c r="AH449" i="260" a="1"/>
  <c r="BM227" i="260" a="1"/>
  <c r="J256" i="260" a="1"/>
  <c r="AD326" i="260" a="1"/>
  <c r="BF428" i="260" a="1"/>
  <c r="AD481" i="260" a="1"/>
  <c r="V617" i="260" a="1"/>
  <c r="N776" i="260" a="1"/>
  <c r="AQ318" i="260" a="1"/>
  <c r="R484" i="260" a="1"/>
  <c r="BJ606" i="260" a="1"/>
  <c r="BU178" i="260" a="1"/>
  <c r="N147" i="260" a="1"/>
  <c r="R239" i="260" a="1"/>
  <c r="BM122" i="260" a="1"/>
  <c r="BU403" i="260" a="1"/>
  <c r="AV457" i="260" a="1"/>
  <c r="AZ134" i="260" a="1"/>
  <c r="AZ286" i="260" a="1"/>
  <c r="BM472" i="260" a="1"/>
  <c r="Z757" i="260" a="1"/>
  <c r="Z650" i="260" a="1"/>
  <c r="AD220" i="260" a="1"/>
  <c r="AN570" i="260" a="1"/>
  <c r="AV769" i="260" a="1"/>
  <c r="AN523" i="260" a="1"/>
  <c r="Z398" i="260" a="1"/>
  <c r="BF745" i="260" a="1"/>
  <c r="AN552" i="260" a="1"/>
  <c r="N143" i="260" a="1"/>
  <c r="N415" i="260" a="1"/>
  <c r="AH596" i="260" a="1"/>
  <c r="AZ486" i="260" a="1"/>
  <c r="N649" i="260" a="1"/>
  <c r="N112" i="260" a="1"/>
  <c r="G432" i="260" a="1"/>
  <c r="BF551" i="260" a="1"/>
  <c r="R564" i="260" a="1"/>
  <c r="V598" i="260" a="1"/>
  <c r="AZ480" i="260" a="1"/>
  <c r="AQ180" i="260" a="1"/>
  <c r="AQ183" i="260" a="1"/>
  <c r="AN758" i="260" a="1"/>
  <c r="N287" i="260" a="1"/>
  <c r="BQ674" i="260" a="1"/>
  <c r="N85" i="260" a="1"/>
  <c r="AD677" i="260" a="1"/>
  <c r="AN639" i="260" a="1"/>
  <c r="G652" i="260" a="1"/>
  <c r="BM468" i="260" a="1"/>
  <c r="AD666" i="260" a="1"/>
  <c r="BF288" i="260" a="1"/>
  <c r="AV476" i="260" a="1"/>
  <c r="AN121" i="260" a="1"/>
  <c r="AQ359" i="260" a="1"/>
  <c r="AZ337" i="260" a="1"/>
  <c r="Z90" i="260" a="1"/>
  <c r="BF257" i="260" a="1"/>
  <c r="AH413" i="260" a="1"/>
  <c r="BQ560" i="260" a="1"/>
  <c r="AZ600" i="260" a="1"/>
  <c r="AZ605" i="260" a="1"/>
  <c r="AZ770" i="260" a="1"/>
  <c r="V151" i="260" a="1"/>
  <c r="BJ240" i="260" a="1"/>
  <c r="BU92" i="260" a="1"/>
  <c r="V428" i="260" a="1"/>
  <c r="AD502" i="260" a="1"/>
  <c r="BM507" i="260" a="1"/>
  <c r="AZ717" i="260" a="1"/>
  <c r="G166" i="260" a="1"/>
  <c r="J442" i="260" a="1"/>
  <c r="AZ428" i="260" a="1"/>
  <c r="BF266" i="260" a="1"/>
  <c r="J712" i="260" a="1"/>
  <c r="BF436" i="260" a="1"/>
  <c r="BF476" i="260" a="1"/>
  <c r="BF85" i="260" a="1"/>
  <c r="BM681" i="260" a="1"/>
  <c r="J688" i="260" a="1"/>
  <c r="AZ689" i="260" a="1"/>
  <c r="AQ408" i="260" a="1"/>
  <c r="J637" i="260" a="1"/>
  <c r="G346" i="260" a="1"/>
  <c r="R210" i="260" a="1"/>
  <c r="BJ732" i="260" a="1"/>
  <c r="BU652" i="260" a="1"/>
  <c r="BM452" i="260" a="1"/>
  <c r="Z628" i="260" a="1"/>
  <c r="N135" i="260" a="1"/>
  <c r="BU611" i="260" a="1"/>
  <c r="AH499" i="260" a="1"/>
  <c r="V99" i="260" a="1"/>
  <c r="AD568" i="260" a="1"/>
  <c r="BJ520" i="260" a="1"/>
  <c r="V220" i="260" a="1"/>
  <c r="BU83" i="260" a="1"/>
  <c r="AD244" i="260" a="1"/>
  <c r="AV521" i="260" a="1"/>
  <c r="AD148" i="260" a="1"/>
  <c r="AD385" i="260" a="1"/>
  <c r="BF719" i="260" a="1"/>
  <c r="BU140" i="260" a="1"/>
  <c r="AV733" i="260" a="1"/>
  <c r="BU686" i="260" a="1"/>
  <c r="V748" i="260" a="1"/>
  <c r="R183" i="260" a="1"/>
  <c r="BQ164" i="260" a="1"/>
  <c r="J381" i="260" a="1"/>
  <c r="AV578" i="260" a="1"/>
  <c r="N502" i="260" a="1"/>
  <c r="Z601" i="260" a="1"/>
  <c r="BM389" i="260" a="1"/>
  <c r="BU655" i="260" a="1"/>
  <c r="BU242" i="260" a="1"/>
  <c r="J765" i="260" a="1"/>
  <c r="BF675" i="260" a="1"/>
  <c r="AD713" i="260" a="1"/>
  <c r="N561" i="260" a="1"/>
  <c r="AH476" i="260" a="1"/>
  <c r="AH419" i="260" a="1"/>
  <c r="N512" i="260" a="1"/>
  <c r="BF631" i="260" a="1"/>
  <c r="Z766" i="260" a="1"/>
  <c r="AD408" i="260" a="1"/>
  <c r="J592" i="260" a="1"/>
  <c r="BF692" i="260" a="1"/>
  <c r="J418" i="260" a="1"/>
  <c r="V609" i="260" a="1"/>
  <c r="Z709" i="260" a="1"/>
  <c r="AD87" i="260" a="1"/>
  <c r="J670" i="260" a="1"/>
  <c r="BU524" i="260" a="1"/>
  <c r="AQ597" i="260" a="1"/>
  <c r="Z711" i="260" a="1"/>
  <c r="AN464" i="260" a="1"/>
  <c r="N394" i="260" a="1"/>
  <c r="AD660" i="260" a="1"/>
  <c r="BM86" i="260" a="1"/>
  <c r="BM651" i="260" a="1"/>
  <c r="BQ132" i="260" a="1"/>
  <c r="AQ671" i="260" a="1"/>
  <c r="BU593" i="260" a="1"/>
  <c r="AH458" i="260" a="1"/>
  <c r="BJ372" i="260" a="1"/>
  <c r="BJ481" i="260" a="1"/>
  <c r="AN309" i="260" a="1"/>
  <c r="V496" i="260" a="1"/>
  <c r="BU631" i="260" a="1"/>
  <c r="BF389" i="260" a="1"/>
  <c r="AV89" i="260" a="1"/>
  <c r="Z686" i="260" a="1"/>
  <c r="R203" i="260" a="1"/>
  <c r="G524" i="260" a="1"/>
  <c r="AZ318" i="260" a="1"/>
  <c r="AZ403" i="260" a="1"/>
  <c r="Z384" i="260" a="1"/>
  <c r="V128" i="260" a="1"/>
  <c r="AH520" i="260" a="1"/>
  <c r="BU460" i="260" a="1"/>
  <c r="AQ157" i="260" a="1"/>
  <c r="J367" i="260" a="1"/>
  <c r="J117" i="260" a="1"/>
  <c r="Z401" i="260" a="1"/>
  <c r="V176" i="260" a="1"/>
  <c r="Z461" i="260" a="1"/>
  <c r="G577" i="260" a="1"/>
  <c r="AV596" i="260" a="1"/>
  <c r="V224" i="260" a="1"/>
  <c r="BJ442" i="260" a="1"/>
  <c r="AV365" i="260" a="1"/>
  <c r="G201" i="260" a="1"/>
  <c r="Z134" i="260" a="1"/>
  <c r="BM235" i="260" a="1"/>
  <c r="BQ746" i="260" a="1"/>
  <c r="AQ622" i="260" a="1"/>
  <c r="AZ512" i="260" a="1"/>
  <c r="AN486" i="260" a="1"/>
  <c r="BJ737" i="260" a="1"/>
  <c r="BQ726" i="260" a="1"/>
  <c r="BF665" i="260" a="1"/>
  <c r="BU337" i="260" a="1"/>
  <c r="R535" i="260" a="1"/>
  <c r="AQ327" i="260" a="1"/>
  <c r="BM157" i="260" a="1"/>
  <c r="V510" i="260" a="1"/>
  <c r="R478" i="260" a="1"/>
  <c r="AV652" i="260" a="1"/>
  <c r="J100" i="260" a="1"/>
  <c r="G637" i="260" a="1"/>
  <c r="AV418" i="260" a="1"/>
  <c r="J307" i="260" a="1"/>
  <c r="N412" i="260" a="1"/>
  <c r="AQ487" i="260" a="1"/>
  <c r="R273" i="260" a="1"/>
  <c r="AN661" i="260" a="1"/>
  <c r="BM148" i="260" a="1"/>
  <c r="BQ223" i="260" a="1"/>
  <c r="BF124" i="260" a="1"/>
  <c r="AN132" i="260" a="1"/>
  <c r="V177" i="260" a="1"/>
  <c r="Z671" i="260" a="1"/>
  <c r="BQ472" i="260" a="1"/>
  <c r="AD442" i="260" a="1"/>
  <c r="N406" i="260" a="1"/>
  <c r="BM556" i="260" a="1"/>
  <c r="BU589" i="260" a="1"/>
  <c r="V157" i="260" a="1"/>
  <c r="R184" i="260" a="1"/>
  <c r="BF407" i="260" a="1"/>
  <c r="AN750" i="260" a="1"/>
  <c r="Z245" i="260" a="1"/>
  <c r="AN749" i="260" a="1"/>
  <c r="N661" i="260" a="1"/>
  <c r="BM751" i="260" a="1"/>
  <c r="AN697" i="260" a="1"/>
  <c r="AH615" i="260" a="1"/>
  <c r="J733" i="260" a="1"/>
  <c r="BM107" i="260" a="1"/>
  <c r="AV114" i="260" a="1"/>
  <c r="AV275" i="260" a="1"/>
  <c r="AD195" i="260" a="1"/>
  <c r="R287" i="260" a="1"/>
  <c r="R756" i="260" a="1"/>
  <c r="Z310" i="260" a="1"/>
  <c r="AH292" i="260" a="1"/>
  <c r="G431" i="260" a="1"/>
  <c r="AD600" i="260" a="1"/>
  <c r="J597" i="260" a="1"/>
  <c r="AV648" i="260" a="1"/>
  <c r="BM222" i="260" a="1"/>
  <c r="AH514" i="260" a="1"/>
  <c r="J302" i="260" a="1"/>
  <c r="Z510" i="260" a="1"/>
  <c r="N252" i="260" a="1"/>
  <c r="Z242" i="260" a="1"/>
  <c r="G222" i="260" a="1"/>
  <c r="AQ255" i="260" a="1"/>
  <c r="AZ501" i="260" a="1"/>
  <c r="AD763" i="260" a="1"/>
  <c r="J723" i="260" a="1"/>
  <c r="BU720" i="260" a="1"/>
  <c r="AD176" i="260" a="1"/>
  <c r="J577" i="260" a="1"/>
  <c r="V506" i="260" a="1"/>
  <c r="N566" i="260" a="1"/>
  <c r="V468" i="260" a="1"/>
  <c r="G218" i="260" a="1"/>
  <c r="J669" i="260" a="1"/>
  <c r="BJ300" i="260" a="1"/>
  <c r="AZ236" i="260" a="1"/>
  <c r="BQ374" i="260" a="1"/>
  <c r="AD378" i="260" a="1"/>
  <c r="AN732" i="260" a="1"/>
  <c r="BU372" i="260" a="1"/>
  <c r="R196" i="260" a="1"/>
  <c r="V153" i="260" a="1"/>
  <c r="AV272" i="260" a="1"/>
  <c r="AV133" i="260" a="1"/>
  <c r="G553" i="260" a="1"/>
  <c r="BF89" i="260" a="1"/>
  <c r="AD434" i="260" a="1"/>
  <c r="AV775" i="260" a="1"/>
  <c r="J545" i="260" a="1"/>
  <c r="N735" i="260" a="1"/>
  <c r="AQ719" i="260" a="1"/>
  <c r="V724" i="260" a="1"/>
  <c r="R607" i="260" a="1"/>
  <c r="BQ741" i="260" a="1"/>
  <c r="AN503" i="260" a="1"/>
  <c r="BM234" i="260" a="1"/>
  <c r="R143" i="260" a="1"/>
  <c r="J135" i="260" a="1"/>
  <c r="J272" i="260" a="1"/>
  <c r="BF423" i="260" a="1"/>
  <c r="AD236" i="260" a="1"/>
  <c r="BM431" i="260" a="1"/>
  <c r="Z393" i="260" a="1"/>
  <c r="V606" i="260" a="1"/>
  <c r="BF359" i="260" a="1"/>
  <c r="BM390" i="260" a="1"/>
  <c r="R390" i="260" a="1"/>
  <c r="BQ733" i="260" a="1"/>
  <c r="BQ130" i="260" a="1"/>
  <c r="AQ594" i="260" a="1"/>
  <c r="N286" i="260" a="1"/>
  <c r="AQ567" i="260" a="1"/>
  <c r="AV564" i="260" a="1"/>
  <c r="AZ752" i="260" a="1"/>
  <c r="AV546" i="260" a="1"/>
  <c r="AZ481" i="260" a="1"/>
  <c r="AZ197" i="260" a="1"/>
  <c r="BQ151" i="260" a="1"/>
  <c r="AH501" i="260" a="1"/>
  <c r="Z264" i="260" a="1"/>
  <c r="BU465" i="260" a="1"/>
  <c r="BQ347" i="260" a="1"/>
  <c r="BJ219" i="260" a="1"/>
  <c r="AN385" i="260" a="1"/>
  <c r="BJ503" i="260" a="1"/>
  <c r="BM747" i="260" a="1"/>
  <c r="AZ419" i="260" a="1"/>
  <c r="AN285" i="260" a="1"/>
  <c r="V299" i="260" a="1"/>
  <c r="AD375" i="260" a="1"/>
  <c r="V326" i="260" a="1"/>
  <c r="AQ110" i="260" a="1"/>
  <c r="J698" i="260" a="1"/>
  <c r="AQ334" i="260" a="1"/>
  <c r="Z469" i="260" a="1"/>
  <c r="AD428" i="260" a="1"/>
  <c r="BJ318" i="260" a="1"/>
  <c r="AD166" i="260" a="1"/>
  <c r="AQ675" i="260" a="1"/>
  <c r="Z336" i="260" a="1"/>
  <c r="R523" i="260" a="1"/>
  <c r="G436" i="260" a="1"/>
  <c r="N752" i="260" a="1"/>
  <c r="N262" i="260" a="1"/>
  <c r="AN339" i="260" a="1"/>
  <c r="BF362" i="260" a="1"/>
  <c r="AQ635" i="260" a="1"/>
  <c r="AQ760" i="260" a="1"/>
  <c r="Z197" i="260" a="1"/>
  <c r="J314" i="260" a="1"/>
  <c r="G650" i="260" a="1"/>
  <c r="BJ591" i="260" a="1"/>
  <c r="R710" i="260" a="1"/>
  <c r="AQ485" i="260" a="1"/>
  <c r="R652" i="260" a="1"/>
  <c r="BM80" i="260" a="1"/>
  <c r="AQ164" i="260" a="1"/>
  <c r="J511" i="260" a="1"/>
  <c r="AZ270" i="260" a="1"/>
  <c r="AD710" i="260" a="1"/>
  <c r="BM775" i="260" a="1"/>
  <c r="AQ127" i="260" a="1"/>
  <c r="BM469" i="260" a="1"/>
  <c r="BJ418" i="260" a="1"/>
  <c r="J539" i="260" a="1"/>
  <c r="AD562" i="260" a="1"/>
  <c r="AH315" i="260" a="1"/>
  <c r="BM276" i="260" a="1"/>
  <c r="AQ403" i="260" a="1"/>
  <c r="G774" i="260" a="1"/>
  <c r="N548" i="260" a="1"/>
  <c r="J166" i="260" a="1"/>
  <c r="AZ300" i="260" a="1"/>
  <c r="BJ774" i="260" a="1"/>
  <c r="Z577" i="260" a="1"/>
  <c r="J230" i="260" a="1"/>
  <c r="AH145" i="260" a="1"/>
  <c r="BQ215" i="260" a="1"/>
  <c r="R272" i="260" a="1"/>
  <c r="AV313" i="260" a="1"/>
  <c r="BU440" i="260" a="1"/>
  <c r="BJ111" i="260" a="1"/>
  <c r="R460" i="260" a="1"/>
  <c r="AD189" i="260" a="1"/>
  <c r="BM270" i="260" a="1"/>
  <c r="BQ626" i="260" a="1"/>
  <c r="AV217" i="260" a="1"/>
  <c r="BM98" i="260" a="1"/>
  <c r="BQ669" i="260" a="1"/>
  <c r="G285" i="260" a="1"/>
  <c r="G173" i="260" a="1"/>
  <c r="BF546" i="260" a="1"/>
  <c r="V396" i="260" a="1"/>
  <c r="AH764" i="260" a="1"/>
  <c r="BU328" i="260" a="1"/>
  <c r="BF319" i="260" a="1"/>
  <c r="AN549" i="260" a="1"/>
  <c r="BJ472" i="260" a="1"/>
  <c r="N319" i="260" a="1"/>
  <c r="BU614" i="260" a="1"/>
  <c r="V100" i="260" a="1"/>
  <c r="J586" i="260" a="1"/>
  <c r="BF453" i="260" a="1"/>
  <c r="Z237" i="260" a="1"/>
  <c r="N407" i="260" a="1"/>
  <c r="V345" i="260" a="1"/>
  <c r="BQ384" i="260" a="1"/>
  <c r="BU333" i="260" a="1"/>
  <c r="AV368" i="260" a="1"/>
  <c r="N297" i="260" a="1"/>
  <c r="J468" i="260" a="1"/>
  <c r="BJ161" i="260" a="1"/>
  <c r="BQ260" i="260" a="1"/>
  <c r="AH483" i="260" a="1"/>
  <c r="BM658" i="260" a="1"/>
  <c r="BJ573" i="260" a="1"/>
  <c r="AD633" i="260" a="1"/>
  <c r="BQ473" i="260" a="1"/>
  <c r="G583" i="260" a="1"/>
  <c r="Z86" i="260" a="1"/>
  <c r="BF315" i="260" a="1"/>
  <c r="AQ85" i="260" a="1"/>
  <c r="AZ738" i="260" a="1"/>
  <c r="BM337" i="260" a="1"/>
  <c r="BU567" i="260" a="1"/>
  <c r="AV186" i="260" a="1"/>
  <c r="N645" i="260" a="1"/>
  <c r="BJ419" i="260" a="1"/>
  <c r="Z589" i="260" a="1"/>
  <c r="BF682" i="260" a="1"/>
  <c r="Z702" i="260" a="1"/>
  <c r="BU709" i="260" a="1"/>
  <c r="G84" i="260" a="1"/>
  <c r="BF160" i="260" a="1"/>
  <c r="BJ493" i="260" a="1"/>
  <c r="AD413" i="260" a="1"/>
  <c r="G223" i="260" a="1"/>
  <c r="BQ401" i="260" a="1"/>
  <c r="BQ110" i="260" a="1"/>
  <c r="J140" i="260" a="1"/>
  <c r="R213" i="260" a="1"/>
  <c r="AH373" i="260" a="1"/>
  <c r="AH594" i="260" a="1"/>
  <c r="AD717" i="260" a="1"/>
  <c r="AD266" i="260" a="1"/>
  <c r="AH433" i="260" a="1"/>
  <c r="BU425" i="260" a="1"/>
  <c r="G467" i="260" a="1"/>
  <c r="AZ685" i="260" a="1"/>
  <c r="AQ158" i="260" a="1"/>
  <c r="Z433" i="260" a="1"/>
  <c r="AH692" i="260" a="1"/>
  <c r="AN207" i="260" a="1"/>
  <c r="AH540" i="260" a="1"/>
  <c r="BJ133" i="260" a="1"/>
  <c r="BJ642" i="260" a="1"/>
  <c r="BF493" i="260" a="1"/>
  <c r="AD499" i="260" a="1"/>
  <c r="R102" i="260" a="1"/>
  <c r="BQ518" i="260" a="1"/>
  <c r="Z492" i="260" a="1"/>
  <c r="BU369" i="260" a="1"/>
  <c r="AN398" i="260" a="1"/>
  <c r="BM263" i="260" a="1"/>
  <c r="N745" i="260" a="1"/>
  <c r="AN741" i="260" a="1"/>
  <c r="AV311" i="260" a="1"/>
  <c r="BJ159" i="260" a="1"/>
  <c r="AD513" i="260" a="1"/>
  <c r="BQ173" i="260" a="1"/>
  <c r="AD205" i="260" a="1"/>
  <c r="BM137" i="260" a="1"/>
  <c r="G715" i="260" a="1"/>
  <c r="G753" i="260" a="1"/>
  <c r="AQ206" i="260" a="1"/>
  <c r="AH768" i="260" a="1"/>
  <c r="AH391" i="260" a="1"/>
  <c r="BQ568" i="260" a="1"/>
  <c r="AD714" i="260" a="1"/>
  <c r="J642" i="260" a="1"/>
  <c r="BM634" i="260" a="1"/>
  <c r="AQ612" i="260" a="1"/>
  <c r="AH103" i="260" a="1"/>
  <c r="AQ509" i="260" a="1"/>
  <c r="AZ647" i="260" a="1"/>
  <c r="BJ265" i="260" a="1"/>
  <c r="BJ288" i="260" a="1"/>
  <c r="BJ278" i="260" a="1"/>
  <c r="R103" i="260" a="1"/>
  <c r="R641" i="260" a="1"/>
  <c r="AV80" i="260" a="1"/>
  <c r="N275" i="260" a="1"/>
  <c r="BQ370" i="260" a="1"/>
  <c r="Z663" i="260" a="1"/>
  <c r="AV286" i="260" a="1"/>
  <c r="AH190" i="260" a="1"/>
  <c r="BU507" i="260" a="1"/>
  <c r="AV362" i="260" a="1"/>
  <c r="BQ533" i="260" a="1"/>
  <c r="BF419" i="260" a="1"/>
  <c r="G693" i="260" a="1"/>
  <c r="AD536" i="260" a="1"/>
  <c r="BF478" i="260" a="1"/>
  <c r="AV401" i="260" a="1"/>
  <c r="AN768" i="260" a="1"/>
  <c r="BQ252" i="260" a="1"/>
  <c r="V597" i="260" a="1"/>
  <c r="AN739" i="260" a="1"/>
  <c r="AZ158" i="260" a="1"/>
  <c r="BF345" i="260" a="1"/>
  <c r="J622" i="260" a="1"/>
  <c r="AQ387" i="260" a="1"/>
  <c r="AN247" i="260" a="1"/>
  <c r="AN624" i="260" a="1"/>
  <c r="R742" i="260" a="1"/>
  <c r="N388" i="260" a="1"/>
  <c r="R158" i="260" a="1"/>
  <c r="AQ452" i="260" a="1"/>
  <c r="AD594" i="260" a="1"/>
  <c r="BQ697" i="260" a="1"/>
  <c r="J102" i="260" a="1"/>
  <c r="BU563" i="260" a="1"/>
  <c r="AH394" i="260" a="1"/>
  <c r="J237" i="260" a="1"/>
  <c r="V353" i="260" a="1"/>
  <c r="G460" i="260" a="1"/>
  <c r="AZ118" i="260" a="1"/>
  <c r="BM600" i="260" a="1"/>
  <c r="BU307" i="260" a="1"/>
  <c r="V712" i="260" a="1"/>
  <c r="J593" i="260" a="1"/>
  <c r="AV617" i="260" a="1"/>
  <c r="BQ449" i="260" a="1"/>
  <c r="V473" i="260" a="1"/>
  <c r="Z731" i="260" a="1"/>
  <c r="J497" i="260" a="1"/>
  <c r="AH592" i="260" a="1"/>
  <c r="V625" i="260" a="1"/>
  <c r="AV124" i="260" a="1"/>
  <c r="J293" i="260" a="1"/>
  <c r="BM191" i="260" a="1"/>
  <c r="V272" i="260" a="1"/>
  <c r="BF572" i="260" a="1"/>
  <c r="J277" i="260" a="1"/>
  <c r="Z327" i="260" a="1"/>
  <c r="BF375" i="260" a="1"/>
  <c r="AV419" i="260" a="1"/>
  <c r="N88" i="260" a="1"/>
  <c r="V232" i="260" a="1"/>
  <c r="R423" i="260" a="1"/>
  <c r="V276" i="260" a="1"/>
  <c r="J543" i="260" a="1"/>
  <c r="AQ600" i="260" a="1"/>
  <c r="AQ400" i="260" a="1"/>
  <c r="N128" i="260" a="1"/>
  <c r="AZ517" i="260" a="1"/>
  <c r="V213" i="260" a="1"/>
  <c r="BU608" i="260" a="1"/>
  <c r="AN471" i="260" a="1"/>
  <c r="BJ775" i="260" a="1"/>
  <c r="BQ511" i="260" a="1"/>
  <c r="BJ598" i="260" a="1"/>
  <c r="AH746" i="260" a="1"/>
  <c r="AZ85" i="260" a="1"/>
  <c r="BF197" i="260" a="1"/>
  <c r="AN346" i="260" a="1"/>
  <c r="AN149" i="260" a="1"/>
  <c r="R351" i="260" a="1"/>
  <c r="AD543" i="260" a="1"/>
  <c r="AH480" i="260" a="1"/>
  <c r="AZ121" i="260" a="1"/>
  <c r="R311" i="260" a="1"/>
  <c r="Z623" i="260" a="1"/>
  <c r="AZ761" i="260" a="1"/>
  <c r="AQ652" i="260" a="1"/>
  <c r="AD764" i="260" a="1"/>
  <c r="V358" i="260" a="1"/>
  <c r="N251" i="260" a="1"/>
  <c r="AN141" i="260" a="1"/>
  <c r="BQ146" i="260" a="1"/>
  <c r="N390" i="260" a="1"/>
  <c r="BQ122" i="260" a="1"/>
  <c r="AQ305" i="260" a="1"/>
  <c r="V109" i="260" a="1"/>
  <c r="N610" i="260" a="1"/>
  <c r="AD103" i="260" a="1"/>
  <c r="R716" i="260" a="1"/>
  <c r="BJ151" i="260" a="1"/>
  <c r="J736" i="260" a="1"/>
  <c r="AZ423" i="260" a="1"/>
  <c r="N663" i="260" a="1"/>
  <c r="N133" i="260" a="1"/>
  <c r="R552" i="260" a="1"/>
  <c r="AN280" i="260" a="1"/>
  <c r="BQ245" i="260" a="1"/>
  <c r="R197" i="260" a="1"/>
  <c r="R141" i="260" a="1"/>
  <c r="AQ516" i="260" a="1"/>
  <c r="J231" i="260" a="1"/>
  <c r="AD169" i="260" a="1"/>
  <c r="BF263" i="260" a="1"/>
  <c r="J568" i="260" a="1"/>
  <c r="BU696" i="260" a="1"/>
  <c r="AN338" i="260" a="1"/>
  <c r="AN276" i="260" a="1"/>
  <c r="BM656" i="260" a="1"/>
  <c r="AD218" i="260" a="1"/>
  <c r="AQ266" i="260" a="1"/>
  <c r="BQ163" i="260" a="1"/>
  <c r="AV581" i="260" a="1"/>
  <c r="Z125" i="260" a="1"/>
  <c r="AH146" i="260" a="1"/>
  <c r="BJ359" i="260" a="1"/>
  <c r="AQ135" i="260" a="1"/>
  <c r="G408" i="260" a="1"/>
  <c r="G634" i="260" a="1"/>
  <c r="BQ624" i="260" a="1"/>
  <c r="J386" i="260" a="1"/>
  <c r="BQ356" i="260" a="1"/>
  <c r="G313" i="260" a="1"/>
  <c r="BF466" i="260" a="1"/>
  <c r="AD711" i="260" a="1"/>
  <c r="G758" i="260" a="1"/>
  <c r="V750" i="260" a="1"/>
  <c r="BF258" i="260" a="1"/>
  <c r="G130" i="260" a="1"/>
  <c r="Z518" i="260" a="1"/>
  <c r="BM375" i="260" a="1"/>
  <c r="R382" i="260" a="1"/>
  <c r="AH205" i="260" a="1"/>
  <c r="BQ232" i="260" a="1"/>
  <c r="BM401" i="260" a="1"/>
  <c r="AD184" i="260" a="1"/>
  <c r="AV687" i="260" a="1"/>
  <c r="R724" i="260" a="1"/>
  <c r="AD282" i="260" a="1"/>
  <c r="AN465" i="260" a="1"/>
  <c r="V756" i="260" a="1"/>
  <c r="AZ746" i="260" a="1"/>
  <c r="Z260" i="260" a="1"/>
  <c r="Z188" i="260" a="1"/>
  <c r="AH357" i="260" a="1"/>
  <c r="R717" i="260" a="1"/>
  <c r="AN213" i="260" a="1"/>
  <c r="BF83" i="260" a="1"/>
  <c r="AQ222" i="260" a="1"/>
  <c r="BF491" i="260" a="1"/>
  <c r="AD108" i="260" a="1"/>
  <c r="G552" i="260" a="1"/>
  <c r="AQ543" i="260" a="1"/>
  <c r="Z262" i="260" a="1"/>
  <c r="G272" i="260" a="1"/>
  <c r="BJ546" i="260" a="1"/>
  <c r="AH653" i="260" a="1"/>
  <c r="AV298" i="260" a="1"/>
  <c r="V249" i="260" a="1"/>
  <c r="V469" i="260" a="1"/>
  <c r="V530" i="260" a="1"/>
  <c r="AZ547" i="260" a="1"/>
  <c r="AN391" i="260" a="1"/>
  <c r="V577" i="260" a="1"/>
  <c r="AN115" i="260" a="1"/>
  <c r="G177" i="260" a="1"/>
  <c r="AN122" i="260" a="1"/>
  <c r="AN284" i="260" a="1"/>
  <c r="AD358" i="260" a="1"/>
  <c r="N156" i="260" a="1"/>
  <c r="AZ569" i="260" a="1"/>
  <c r="BQ318" i="260" a="1"/>
  <c r="BJ631" i="260" a="1"/>
  <c r="BQ650" i="260" a="1"/>
  <c r="Z94" i="260" a="1"/>
  <c r="N181" i="260" a="1"/>
  <c r="J411" i="260" a="1"/>
  <c r="AV593" i="260" a="1"/>
  <c r="BJ299" i="260" a="1"/>
  <c r="AV685" i="260" a="1"/>
  <c r="BQ274" i="260" a="1"/>
  <c r="BM346" i="260" a="1"/>
  <c r="AH374" i="260" a="1"/>
  <c r="BU737" i="260" a="1"/>
  <c r="BU163" i="260" a="1"/>
  <c r="AH673" i="260" a="1"/>
  <c r="AV517" i="260" a="1"/>
  <c r="AD631" i="260" a="1"/>
  <c r="Z525" i="260" a="1"/>
  <c r="AN277" i="260" a="1"/>
  <c r="AD287" i="260" a="1"/>
  <c r="AQ742" i="260" a="1"/>
  <c r="V621" i="260" a="1"/>
  <c r="Z714" i="260" a="1"/>
  <c r="AQ555" i="260" a="1"/>
  <c r="AQ513" i="260" a="1"/>
  <c r="AD242" i="260" a="1"/>
  <c r="BF602" i="260" a="1"/>
  <c r="BQ744" i="260" a="1"/>
  <c r="AH597" i="260" a="1"/>
  <c r="R237" i="260" a="1"/>
  <c r="BJ733" i="260" a="1"/>
  <c r="BF712" i="260" a="1"/>
  <c r="Z540" i="260" a="1"/>
  <c r="AN525" i="260" a="1"/>
  <c r="AD489" i="260" a="1"/>
  <c r="AQ568" i="260" a="1"/>
  <c r="Z142" i="260" a="1"/>
  <c r="BF249" i="260" a="1"/>
  <c r="AH141" i="260" a="1"/>
  <c r="Z342" i="260" a="1"/>
  <c r="BU205" i="260" a="1"/>
  <c r="AZ201" i="260" a="1"/>
  <c r="BM408" i="260" a="1"/>
  <c r="AN348" i="260" a="1"/>
  <c r="V152" i="260" a="1"/>
  <c r="R149" i="260" a="1"/>
  <c r="AQ196" i="260" a="1"/>
  <c r="AN218" i="260" a="1"/>
  <c r="BQ634" i="260" a="1"/>
  <c r="AN406" i="260" a="1"/>
  <c r="V448" i="260" a="1"/>
  <c r="V225" i="260" a="1"/>
  <c r="AD120" i="260" a="1"/>
  <c r="N249" i="260" a="1"/>
  <c r="BF508" i="260" a="1"/>
  <c r="G600" i="260" a="1"/>
  <c r="V137" i="260" a="1"/>
  <c r="BM769" i="260" a="1"/>
  <c r="BM575" i="260" a="1"/>
  <c r="AZ241" i="260" a="1"/>
  <c r="AZ725" i="260" a="1"/>
  <c r="BU392" i="260" a="1"/>
  <c r="BM146" i="260" a="1"/>
  <c r="R533" i="260" a="1"/>
  <c r="AN161" i="260" a="1"/>
  <c r="V320" i="260" a="1"/>
  <c r="J376" i="260" a="1"/>
  <c r="BM742" i="260" a="1"/>
  <c r="BQ342" i="260" a="1"/>
  <c r="BM530" i="260" a="1"/>
  <c r="BM719" i="260" a="1"/>
  <c r="N401" i="260" a="1"/>
  <c r="BJ759" i="260" a="1"/>
  <c r="AN597" i="260" a="1"/>
  <c r="AQ193" i="260" a="1"/>
  <c r="AH140" i="260" a="1"/>
  <c r="AD437" i="260" a="1"/>
  <c r="V361" i="260" a="1"/>
  <c r="BQ655" i="260" a="1"/>
  <c r="AQ118" i="260" a="1"/>
  <c r="AN368" i="260" a="1"/>
  <c r="N218" i="260" a="1"/>
  <c r="J526" i="260" a="1"/>
  <c r="AN259" i="260" a="1"/>
  <c r="J643" i="260" a="1"/>
  <c r="AN377" i="260" a="1"/>
  <c r="N468" i="260" a="1"/>
  <c r="R317" i="260" a="1"/>
  <c r="BQ564" i="260" a="1"/>
  <c r="J663" i="260" a="1"/>
  <c r="BJ364" i="260" a="1"/>
  <c r="R111" i="260" a="1"/>
  <c r="R438" i="260" a="1"/>
  <c r="BJ84" i="260" a="1"/>
  <c r="BU241" i="260" a="1"/>
  <c r="BU231" i="260" a="1"/>
  <c r="Z157" i="260" a="1"/>
  <c r="J163" i="260" a="1"/>
  <c r="AV436" i="260" a="1"/>
  <c r="AZ365" i="260" a="1"/>
  <c r="BJ256" i="260" a="1"/>
  <c r="AH172" i="260" a="1"/>
  <c r="BM393" i="260" a="1"/>
  <c r="V290" i="260" a="1"/>
  <c r="AD371" i="260" a="1"/>
  <c r="BF562" i="260" a="1"/>
  <c r="AN308" i="260" a="1"/>
  <c r="AZ516" i="260" a="1"/>
  <c r="BF475" i="260" a="1"/>
  <c r="BF520" i="260" a="1"/>
  <c r="V97" i="260" a="1"/>
  <c r="N723" i="260" a="1"/>
  <c r="J562" i="260" a="1"/>
  <c r="AQ458" i="260" a="1"/>
  <c r="G595" i="260" a="1"/>
  <c r="J469" i="260" a="1"/>
  <c r="BM531" i="260" a="1"/>
  <c r="AV116" i="260" a="1"/>
  <c r="G544" i="260" a="1"/>
  <c r="AH637" i="260" a="1"/>
  <c r="BU777" i="260" a="1"/>
  <c r="BM732" i="260" a="1"/>
  <c r="BQ572" i="260" a="1"/>
  <c r="BJ632" i="260" a="1"/>
  <c r="BJ656" i="260" a="1"/>
  <c r="R525" i="260" a="1"/>
  <c r="V150" i="260" a="1"/>
  <c r="AH199" i="260" a="1"/>
  <c r="AQ576" i="260" a="1"/>
  <c r="AN550" i="260" a="1"/>
  <c r="BF107" i="260" a="1"/>
  <c r="AV295" i="260" a="1"/>
  <c r="AH123" i="260" a="1"/>
  <c r="Z517" i="260" a="1"/>
  <c r="R307" i="260" a="1"/>
  <c r="J665" i="260" a="1"/>
  <c r="BF643" i="260" a="1"/>
  <c r="Z224" i="260" a="1"/>
  <c r="AD761" i="260" a="1"/>
  <c r="BM741" i="260" a="1"/>
  <c r="AD319" i="260" a="1"/>
  <c r="AN491" i="260" a="1"/>
  <c r="AQ774" i="260" a="1"/>
  <c r="J450" i="260" a="1"/>
  <c r="AV247" i="260" a="1"/>
  <c r="BF565" i="260" a="1"/>
  <c r="V135" i="260" a="1"/>
  <c r="AV658" i="260" a="1"/>
  <c r="BF690" i="260" a="1"/>
  <c r="J672" i="260" a="1"/>
  <c r="J615" i="260" a="1"/>
  <c r="AV176" i="260" a="1"/>
  <c r="R200" i="260" a="1"/>
  <c r="AH192" i="260" a="1"/>
  <c r="G158" i="260" a="1"/>
  <c r="BQ696" i="260" a="1"/>
  <c r="G493" i="260" a="1"/>
  <c r="N296" i="260" a="1"/>
  <c r="AN631" i="260" a="1"/>
  <c r="V175" i="260" a="1"/>
  <c r="AH392" i="260" a="1"/>
  <c r="N542" i="260" a="1"/>
  <c r="J490" i="260" a="1"/>
  <c r="J337" i="260" a="1"/>
  <c r="BJ448" i="260" a="1"/>
  <c r="G726" i="260" a="1"/>
  <c r="AQ290" i="260" a="1"/>
  <c r="AQ259" i="260" a="1"/>
  <c r="BQ270" i="260" a="1"/>
  <c r="Z478" i="260" a="1"/>
  <c r="AN234" i="260" a="1"/>
  <c r="J383" i="260" a="1"/>
  <c r="AQ677" i="260" a="1"/>
  <c r="N621" i="260" a="1"/>
  <c r="BF552" i="260" a="1"/>
  <c r="AZ156" i="260" a="1"/>
  <c r="R691" i="260" a="1"/>
  <c r="BF208" i="260" a="1"/>
  <c r="AN596" i="260" a="1"/>
  <c r="AV399" i="260" a="1"/>
  <c r="BU628" i="260" a="1"/>
  <c r="J175" i="260" a="1"/>
  <c r="N190" i="260" a="1"/>
  <c r="BQ240" i="260" a="1"/>
  <c r="J653" i="260" a="1"/>
  <c r="AQ369" i="260" a="1"/>
  <c r="R638" i="260" a="1"/>
  <c r="AQ373" i="260" a="1"/>
  <c r="AN417" i="260" a="1"/>
  <c r="AH355" i="260" a="1"/>
  <c r="AZ555" i="260" a="1"/>
  <c r="AV738" i="260" a="1"/>
  <c r="BQ336" i="260" a="1"/>
  <c r="AN110" i="260" a="1"/>
  <c r="AQ621" i="260" a="1"/>
  <c r="V334" i="260" a="1"/>
  <c r="N205" i="260" a="1"/>
  <c r="AN182" i="260" a="1"/>
  <c r="AN331" i="260" a="1"/>
  <c r="N476" i="260" a="1"/>
  <c r="Z215" i="260" a="1"/>
  <c r="N736" i="260" a="1"/>
  <c r="BF382" i="260" a="1"/>
  <c r="AZ206" i="260" a="1"/>
  <c r="BM116" i="260" a="1"/>
  <c r="G147" i="260" a="1"/>
  <c r="BJ474" i="260" a="1"/>
  <c r="AD299" i="260" a="1"/>
  <c r="BJ444" i="260" a="1"/>
  <c r="BQ520" i="260" a="1"/>
  <c r="V684" i="260" a="1"/>
  <c r="AD699" i="260" a="1"/>
  <c r="Z92" i="260" a="1"/>
  <c r="G684" i="260" a="1"/>
  <c r="AH376" i="260" a="1"/>
  <c r="AV422" i="260" a="1"/>
  <c r="G330" i="260" a="1"/>
  <c r="AH658" i="260" a="1"/>
  <c r="J334" i="260" a="1"/>
  <c r="AV619" i="260" a="1"/>
  <c r="AQ228" i="260" a="1"/>
  <c r="V291" i="260" a="1"/>
  <c r="V630" i="260" a="1"/>
  <c r="V460" i="260" a="1"/>
  <c r="AN351" i="260" a="1"/>
  <c r="N66" i="260" a="1"/>
  <c r="AQ393" i="260" a="1"/>
  <c r="G131" i="260" a="1"/>
  <c r="Z428" i="260" a="1"/>
  <c r="BU294" i="260" a="1"/>
  <c r="BJ208" i="260" a="1"/>
  <c r="AD111" i="260" a="1"/>
  <c r="AD141" i="260" a="1"/>
  <c r="BU394" i="260" a="1"/>
  <c r="BM476" i="260" a="1"/>
  <c r="G743" i="260" a="1"/>
  <c r="BM299" i="260" a="1"/>
  <c r="N225" i="260" a="1"/>
  <c r="AQ545" i="260" a="1"/>
  <c r="BM255" i="260" a="1"/>
  <c r="AD695" i="260" a="1"/>
  <c r="J547" i="260" a="1"/>
  <c r="AN659" i="260" a="1"/>
  <c r="N631" i="260" a="1"/>
  <c r="AQ546" i="260" a="1"/>
  <c r="G490" i="260" a="1"/>
  <c r="AD501" i="260" a="1"/>
  <c r="AZ325" i="260" a="1"/>
  <c r="J457" i="260" a="1"/>
  <c r="BU223" i="260" a="1"/>
  <c r="Z551" i="260" a="1"/>
  <c r="BU119" i="260" a="1"/>
  <c r="V348" i="260" a="1"/>
  <c r="G345" i="260" a="1"/>
  <c r="BJ266" i="260" a="1"/>
  <c r="AQ174" i="260" a="1"/>
  <c r="N447" i="260" a="1"/>
  <c r="AZ340" i="260" a="1"/>
  <c r="BF396" i="260" a="1"/>
  <c r="AZ742" i="260" a="1"/>
  <c r="G386" i="260" a="1"/>
  <c r="R355" i="260" a="1"/>
  <c r="AH771" i="260" a="1"/>
  <c r="BU687" i="260" a="1"/>
  <c r="AN355" i="260" a="1"/>
  <c r="Z575" i="260" a="1"/>
  <c r="AZ449" i="260" a="1"/>
  <c r="AH447" i="260" a="1"/>
  <c r="V322" i="260" a="1"/>
  <c r="J202" i="260" a="1"/>
  <c r="AH364" i="260" a="1"/>
  <c r="AN718" i="260" a="1"/>
  <c r="BM206" i="260" a="1"/>
  <c r="Z402" i="260" a="1"/>
  <c r="V635" i="260" a="1"/>
  <c r="AQ662" i="260" a="1"/>
  <c r="AD275" i="260" a="1"/>
  <c r="BU159" i="260" a="1"/>
  <c r="AH538" i="260" a="1"/>
  <c r="R120" i="260" a="1"/>
  <c r="BQ698" i="260" a="1"/>
  <c r="BJ653" i="260" a="1"/>
  <c r="AQ433" i="260" a="1"/>
  <c r="BJ319" i="260" a="1"/>
  <c r="AZ567" i="260" a="1"/>
  <c r="BQ728" i="260" a="1"/>
  <c r="BM103" i="260" a="1"/>
  <c r="V653" i="260" a="1"/>
  <c r="Z235" i="260" a="1"/>
  <c r="BM215" i="260" a="1"/>
  <c r="BQ607" i="260" a="1"/>
  <c r="BQ276" i="260" a="1"/>
  <c r="G348" i="260" a="1"/>
  <c r="AV306" i="260" a="1"/>
  <c r="R615" i="260" a="1"/>
  <c r="J350" i="260" a="1"/>
  <c r="AQ759" i="260" a="1"/>
  <c r="AQ237" i="260" a="1"/>
  <c r="AV663" i="260" a="1"/>
  <c r="BQ94" i="260" a="1"/>
  <c r="BM444" i="260" a="1"/>
  <c r="BQ485" i="260" a="1"/>
  <c r="BF678" i="260" a="1"/>
  <c r="BF605" i="260" a="1"/>
  <c r="BU224" i="260" a="1"/>
  <c r="J291" i="260" a="1"/>
  <c r="R683" i="260" a="1"/>
  <c r="Z738" i="260" a="1"/>
  <c r="AQ337" i="260" a="1"/>
  <c r="BJ307" i="260" a="1"/>
  <c r="BU713" i="260" a="1"/>
  <c r="J762" i="260" a="1"/>
  <c r="BJ93" i="260" a="1"/>
  <c r="AZ591" i="260" a="1"/>
  <c r="N759" i="260" a="1"/>
  <c r="BJ599" i="260" a="1"/>
  <c r="AH280" i="260" a="1"/>
  <c r="Z369" i="260" a="1"/>
  <c r="V413" i="260" a="1"/>
  <c r="BJ636" i="260" a="1"/>
  <c r="BF666" i="260" a="1"/>
  <c r="AV361" i="260" a="1"/>
  <c r="N731" i="260" a="1"/>
  <c r="BM250" i="260" a="1"/>
  <c r="BF463" i="260" a="1"/>
  <c r="BM449" i="260" a="1"/>
  <c r="AN506" i="260" a="1"/>
  <c r="R699" i="260" a="1"/>
  <c r="N323" i="260" a="1"/>
  <c r="N131" i="260" a="1"/>
  <c r="BQ167" i="260" a="1"/>
  <c r="BU419" i="260" a="1"/>
  <c r="BM597" i="260" a="1"/>
  <c r="AD151" i="260" a="1"/>
  <c r="J522" i="260" a="1"/>
  <c r="BM718" i="260" a="1"/>
  <c r="AV642" i="260" a="1"/>
  <c r="BU384" i="260" a="1"/>
  <c r="AH164" i="260" a="1"/>
  <c r="J312" i="260" a="1"/>
  <c r="AZ186" i="260" a="1"/>
  <c r="AZ720" i="260" a="1"/>
  <c r="AD635" i="260" a="1"/>
  <c r="BQ687" i="260" a="1"/>
  <c r="AD170" i="260" a="1"/>
  <c r="AZ706" i="260" a="1"/>
  <c r="BU584" i="260" a="1"/>
  <c r="Z435" i="260" a="1"/>
  <c r="AZ199" i="260" a="1"/>
  <c r="BQ747" i="260" a="1"/>
  <c r="V490" i="260" a="1"/>
  <c r="AN183" i="260" a="1"/>
  <c r="AH307" i="260" a="1"/>
  <c r="AH552" i="260" a="1"/>
  <c r="AV540" i="260" a="1"/>
  <c r="R760" i="260" a="1"/>
  <c r="AD85" i="260" a="1"/>
  <c r="AQ336" i="260" a="1"/>
  <c r="Z91" i="260" a="1"/>
  <c r="AQ668" i="260" a="1"/>
  <c r="Z103" i="260" a="1"/>
  <c r="BU734" i="260" a="1"/>
  <c r="V738" i="260" a="1"/>
  <c r="G102" i="260" a="1"/>
  <c r="AZ389" i="260" a="1"/>
  <c r="V111" i="260" a="1"/>
  <c r="BU195" i="260" a="1"/>
  <c r="N607" i="260" a="1"/>
  <c r="AD221" i="260" a="1"/>
  <c r="AV569" i="260" a="1"/>
  <c r="N494" i="260" a="1"/>
  <c r="Z675" i="260" a="1"/>
  <c r="BJ212" i="260" a="1"/>
  <c r="BF180" i="260" a="1"/>
  <c r="BF358" i="260" a="1"/>
  <c r="N688" i="260" a="1"/>
  <c r="G727" i="260" a="1"/>
  <c r="AN706" i="260" a="1"/>
  <c r="V422" i="260" a="1"/>
  <c r="AH272" i="260" a="1"/>
  <c r="AV471" i="260" a="1"/>
  <c r="R265" i="260" a="1"/>
  <c r="BM364" i="260" a="1"/>
  <c r="BM430" i="260" a="1"/>
  <c r="AQ98" i="260" a="1"/>
  <c r="R499" i="260" a="1"/>
  <c r="AN539" i="260" a="1"/>
  <c r="AZ599" i="260" a="1"/>
  <c r="AH555" i="260" a="1"/>
  <c r="AQ93" i="260" a="1"/>
  <c r="BQ539" i="260" a="1"/>
  <c r="G136" i="260" a="1"/>
  <c r="AH627" i="260" a="1"/>
  <c r="N163" i="260" a="1"/>
  <c r="AN378" i="260" a="1"/>
  <c r="BM505" i="260" a="1"/>
  <c r="R225" i="260" a="1"/>
  <c r="J614" i="260" a="1"/>
  <c r="BF659" i="260" a="1"/>
  <c r="AH147" i="260" a="1"/>
  <c r="AZ578" i="260" a="1"/>
  <c r="AV345" i="260" a="1"/>
  <c r="BF583" i="260" a="1"/>
  <c r="AN622" i="260" a="1"/>
  <c r="N690" i="260" a="1"/>
  <c r="AN621" i="260" a="1"/>
  <c r="AH709" i="260" a="1"/>
  <c r="AQ419" i="260" a="1"/>
  <c r="AD433" i="260" a="1"/>
  <c r="AV206" i="260" a="1"/>
  <c r="N150" i="260" a="1"/>
  <c r="Z699" i="260" a="1"/>
  <c r="AN163" i="260" a="1"/>
  <c r="BQ580" i="260" a="1"/>
  <c r="G403" i="260" a="1"/>
  <c r="AH572" i="260" a="1"/>
  <c r="AZ758" i="260" a="1"/>
  <c r="BJ396" i="260" a="1"/>
  <c r="V450" i="260" a="1"/>
  <c r="AN199" i="260" a="1"/>
  <c r="N692" i="260" a="1"/>
  <c r="AQ617" i="260" a="1"/>
  <c r="Z185" i="260" a="1"/>
  <c r="AV562" i="260" a="1"/>
  <c r="AQ346" i="260" a="1"/>
  <c r="AH678" i="260" a="1"/>
  <c r="AN677" i="260" a="1"/>
  <c r="AH294" i="260" a="1"/>
  <c r="Z207" i="260" a="1"/>
  <c r="V127" i="260" a="1"/>
  <c r="AV262" i="260" a="1"/>
  <c r="BQ608" i="260" a="1"/>
  <c r="AV423" i="260" a="1"/>
  <c r="AV478" i="260" a="1"/>
  <c r="BF680" i="260" a="1"/>
  <c r="BJ577" i="260" a="1"/>
  <c r="J528" i="260" a="1"/>
  <c r="AV405" i="260" a="1"/>
  <c r="J446" i="260" a="1"/>
  <c r="AH218" i="260" a="1"/>
  <c r="Z508" i="260" a="1"/>
  <c r="AQ477" i="260" a="1"/>
  <c r="AH631" i="260" a="1"/>
  <c r="AD273" i="260" a="1"/>
  <c r="AQ97" i="260" a="1"/>
  <c r="BF759" i="260" a="1"/>
  <c r="BJ428" i="260" a="1"/>
  <c r="R662" i="260" a="1"/>
  <c r="AN109" i="260" a="1"/>
  <c r="Z572" i="260" a="1"/>
  <c r="G366" i="260" a="1"/>
  <c r="J502" i="260" a="1"/>
  <c r="N560" i="260" a="1"/>
  <c r="R668" i="260" a="1"/>
  <c r="Z297" i="260" a="1"/>
  <c r="R173" i="260" a="1"/>
  <c r="BJ370" i="260" a="1"/>
  <c r="BU752" i="260" a="1"/>
  <c r="BJ401" i="260" a="1"/>
  <c r="BM422" i="260" a="1"/>
  <c r="N216" i="260" a="1"/>
  <c r="AN468" i="260" a="1"/>
  <c r="AV96" i="260" a="1"/>
  <c r="G362" i="260" a="1"/>
  <c r="BJ608" i="260" a="1"/>
  <c r="AD293" i="260" a="1"/>
  <c r="AZ373" i="260" a="1"/>
  <c r="G185" i="260" a="1"/>
  <c r="G625" i="260" a="1"/>
  <c r="V132" i="260" a="1"/>
  <c r="BJ355" i="260" a="1"/>
  <c r="Z514" i="260" a="1"/>
  <c r="BJ197" i="260" a="1"/>
  <c r="V389" i="260" a="1"/>
  <c r="AN656" i="260" a="1"/>
  <c r="BJ621" i="260" a="1"/>
  <c r="AD769" i="260" a="1"/>
  <c r="AZ298" i="260" a="1"/>
  <c r="N273" i="260" a="1"/>
  <c r="BF775" i="260" a="1"/>
  <c r="V222" i="260" a="1"/>
  <c r="AD734" i="260" a="1"/>
  <c r="G623" i="260" a="1"/>
  <c r="G190" i="260" a="1"/>
  <c r="R250" i="260" a="1"/>
  <c r="J566" i="260" a="1"/>
  <c r="AQ620" i="260" a="1"/>
  <c r="AV550" i="260" a="1"/>
  <c r="R575" i="260" a="1"/>
  <c r="AQ766" i="260" a="1"/>
  <c r="BF336" i="260" a="1"/>
  <c r="AN130" i="260" a="1"/>
  <c r="AZ551" i="260" a="1"/>
  <c r="G367" i="260" a="1"/>
  <c r="BJ490" i="260" a="1"/>
  <c r="G449" i="260" a="1"/>
  <c r="BQ352" i="260" a="1"/>
  <c r="BQ271" i="260" a="1"/>
  <c r="AV634" i="260" a="1"/>
  <c r="AQ125" i="260" a="1"/>
  <c r="AV267" i="260" a="1"/>
  <c r="BU373" i="260" a="1"/>
  <c r="BF676" i="260" a="1"/>
  <c r="V662" i="260" a="1"/>
  <c r="Z121" i="260" a="1"/>
  <c r="AQ352" i="260" a="1"/>
  <c r="Z330" i="260" a="1"/>
  <c r="V87" i="260" a="1"/>
  <c r="G231" i="260" a="1"/>
  <c r="J90" i="260" a="1"/>
  <c r="BU744" i="260" a="1"/>
  <c r="BQ706" i="260" a="1"/>
  <c r="AQ314" i="260" a="1"/>
  <c r="AD421" i="260" a="1"/>
  <c r="AH249" i="260" a="1"/>
  <c r="N300" i="260" a="1"/>
  <c r="Z132" i="260" a="1"/>
  <c r="BM609" i="260" a="1"/>
  <c r="BM559" i="260" a="1"/>
  <c r="R110" i="260" a="1"/>
  <c r="BJ739" i="260" a="1"/>
  <c r="J715" i="260" a="1"/>
  <c r="AH133" i="260" a="1"/>
  <c r="J114" i="260" a="1"/>
  <c r="BF303" i="260" a="1"/>
  <c r="V145" i="260" a="1"/>
  <c r="AH255" i="260" a="1"/>
  <c r="BQ542" i="260" a="1"/>
  <c r="BU550" i="260" a="1"/>
  <c r="AQ637" i="260" a="1"/>
  <c r="V102" i="260" a="1"/>
  <c r="BQ767" i="260" a="1"/>
  <c r="AD238" i="260" a="1"/>
  <c r="BU173" i="260" a="1"/>
  <c r="BU407" i="260" a="1"/>
  <c r="AV159" i="260" a="1"/>
  <c r="BQ703" i="260" a="1"/>
  <c r="AN126" i="260" a="1"/>
  <c r="G713" i="260" a="1"/>
  <c r="G531" i="260" a="1"/>
  <c r="V398" i="260" a="1"/>
  <c r="AD627" i="260" a="1"/>
  <c r="AN583" i="260" a="1"/>
  <c r="R496" i="260" a="1"/>
  <c r="Z633" i="260" a="1"/>
  <c r="AV475" i="260" a="1"/>
  <c r="BF492" i="260" a="1"/>
  <c r="J403" i="260" a="1"/>
  <c r="BM345" i="260" a="1"/>
  <c r="R703" i="260" a="1"/>
  <c r="BF146" i="260" a="1"/>
  <c r="J493" i="260" a="1"/>
  <c r="Z696" i="260" a="1"/>
  <c r="AN137" i="260" a="1"/>
  <c r="J524" i="260" a="1"/>
  <c r="AV472" i="260" a="1"/>
  <c r="BQ625" i="260" a="1"/>
  <c r="G115" i="260" a="1"/>
  <c r="BF427" i="260" a="1"/>
  <c r="G280" i="260" a="1"/>
  <c r="J575" i="260" a="1"/>
  <c r="Z452" i="260" a="1"/>
  <c r="AD473" i="260" a="1"/>
  <c r="AZ697" i="260" a="1"/>
  <c r="AD511" i="260" a="1"/>
  <c r="BQ234" i="260" a="1"/>
  <c r="G368" i="260" a="1"/>
  <c r="BU532" i="260" a="1"/>
  <c r="AQ420" i="260" a="1"/>
  <c r="BU360" i="260" a="1"/>
  <c r="J362" i="260" a="1"/>
  <c r="J495" i="260" a="1"/>
  <c r="J708" i="260" a="1"/>
  <c r="Z286" i="260" a="1"/>
  <c r="J123" i="260" a="1"/>
  <c r="AN180" i="260" a="1"/>
  <c r="AN152" i="260" a="1"/>
  <c r="BQ764" i="260" a="1"/>
  <c r="AD122" i="260" a="1"/>
  <c r="BU188" i="260" a="1"/>
  <c r="G176" i="260" a="1"/>
  <c r="BU289" i="260" a="1"/>
  <c r="R566" i="260" a="1"/>
  <c r="G122" i="260" a="1"/>
  <c r="N500" i="260" a="1"/>
  <c r="AD216" i="260" a="1"/>
  <c r="BU757" i="260" a="1"/>
  <c r="BU288" i="260" a="1"/>
  <c r="Z164" i="260" a="1"/>
  <c r="BQ676" i="260" a="1"/>
  <c r="BU537" i="260" a="1"/>
  <c r="R81" i="260" a="1"/>
  <c r="BU395" i="260" a="1"/>
  <c r="BF316" i="260" a="1"/>
  <c r="AH685" i="260" a="1"/>
  <c r="N597" i="260" a="1"/>
  <c r="BM203" i="260" a="1"/>
  <c r="BQ739" i="260" a="1"/>
  <c r="R189" i="260" a="1"/>
  <c r="AQ765" i="260" a="1"/>
  <c r="AN80" i="260" a="1"/>
  <c r="AQ117" i="260" a="1"/>
  <c r="BF669" i="260" a="1"/>
  <c r="R532" i="260" a="1"/>
  <c r="V666" i="260" a="1"/>
  <c r="BU558" i="260" a="1"/>
  <c r="AV386" i="260" a="1"/>
  <c r="R94" i="260" a="1"/>
  <c r="V676" i="260" a="1"/>
  <c r="G334" i="260" a="1"/>
  <c r="BM730" i="260" a="1"/>
  <c r="AH601" i="260" a="1"/>
  <c r="AV428" i="260" a="1"/>
  <c r="AH340" i="260" a="1"/>
  <c r="AH397" i="260" a="1"/>
  <c r="BU151" i="260" a="1"/>
  <c r="V171" i="260" a="1"/>
  <c r="Z413" i="260" a="1"/>
  <c r="BJ335" i="260" a="1"/>
  <c r="BU98" i="260" a="1"/>
  <c r="BJ756" i="260" a="1"/>
  <c r="J608" i="260" a="1"/>
  <c r="BF291" i="260" a="1"/>
  <c r="BF730" i="260" a="1"/>
  <c r="AZ302" i="260" a="1"/>
  <c r="N410" i="260" a="1"/>
  <c r="AH288" i="260" a="1"/>
  <c r="AH244" i="260" a="1"/>
  <c r="AV300" i="260" a="1"/>
  <c r="V425" i="260" a="1"/>
  <c r="BJ97" i="260" a="1"/>
  <c r="BQ640" i="260" a="1"/>
  <c r="BJ107" i="260" a="1"/>
  <c r="N414" i="260" a="1"/>
  <c r="AV374" i="260" a="1"/>
  <c r="BQ445" i="260" a="1"/>
  <c r="AN500" i="260" a="1"/>
  <c r="BF417" i="260" a="1"/>
  <c r="AV268" i="260" a="1"/>
  <c r="BF541" i="260" a="1"/>
  <c r="BF542" i="260" a="1"/>
  <c r="R765" i="260" a="1"/>
  <c r="V700" i="260" a="1"/>
  <c r="V614" i="260" a="1"/>
  <c r="BU623" i="260" a="1"/>
  <c r="J727" i="260" a="1"/>
  <c r="BF717" i="260" a="1"/>
  <c r="AD233" i="260" a="1"/>
  <c r="BF116" i="260" a="1"/>
  <c r="BQ114" i="260" a="1"/>
  <c r="Z385" i="260" a="1"/>
  <c r="BJ716" i="260" a="1"/>
  <c r="BF523" i="260" a="1"/>
  <c r="AQ296" i="260" a="1"/>
  <c r="BJ411" i="260" a="1"/>
  <c r="G397" i="260" a="1"/>
  <c r="AH185" i="260" a="1"/>
  <c r="AD634" i="260" a="1"/>
  <c r="AN270" i="260" a="1"/>
  <c r="R730" i="260" a="1"/>
  <c r="BQ618" i="260" a="1"/>
  <c r="AZ495" i="260" a="1"/>
  <c r="AD687" i="260" a="1"/>
  <c r="AQ667" i="260" a="1"/>
  <c r="V118" i="260" a="1"/>
  <c r="AQ366" i="260" a="1"/>
  <c r="V764" i="260" a="1"/>
  <c r="V270" i="260" a="1"/>
  <c r="AQ151" i="260" a="1"/>
  <c r="Z511" i="260" a="1"/>
  <c r="G250" i="260" a="1"/>
  <c r="BU443" i="260" a="1"/>
  <c r="G465" i="260" a="1"/>
  <c r="AD271" i="260" a="1"/>
  <c r="N115" i="260" a="1"/>
  <c r="N733" i="260" a="1"/>
  <c r="R589" i="260" a="1"/>
  <c r="Z573" i="260" a="1"/>
  <c r="AZ585" i="260" a="1"/>
  <c r="R392" i="260" a="1"/>
  <c r="AZ595" i="260" a="1"/>
  <c r="BU548" i="260" a="1"/>
  <c r="BF549" i="260" a="1"/>
  <c r="AD682" i="260" a="1"/>
  <c r="AV622" i="260" a="1"/>
  <c r="AZ297" i="260" a="1"/>
  <c r="BU401" i="260" a="1"/>
  <c r="BQ125" i="260" a="1"/>
  <c r="V670" i="260" a="1"/>
  <c r="R388" i="260" a="1"/>
  <c r="AN238" i="260" a="1"/>
  <c r="Z181" i="260" a="1"/>
  <c r="BJ614" i="260" a="1"/>
  <c r="AZ727" i="260" a="1"/>
  <c r="AZ96" i="260" a="1"/>
  <c r="N648" i="260" a="1"/>
  <c r="R366" i="260" a="1"/>
  <c r="V230" i="260" a="1"/>
  <c r="N335" i="260" a="1"/>
  <c r="BM357" i="260" a="1"/>
  <c r="N488" i="260" a="1"/>
  <c r="Z700" i="260" a="1"/>
  <c r="G476" i="260" a="1"/>
  <c r="BQ170" i="260" a="1"/>
  <c r="BM181" i="260" a="1"/>
  <c r="Z113" i="260" a="1"/>
  <c r="J613" i="260" a="1"/>
  <c r="BF400" i="260" a="1"/>
  <c r="BU412" i="260" a="1"/>
  <c r="V167" i="260" a="1"/>
  <c r="BU551" i="260" a="1"/>
  <c r="G336" i="260" a="1"/>
  <c r="AN589" i="260" a="1"/>
  <c r="J571" i="260" a="1"/>
  <c r="BF421" i="260" a="1"/>
  <c r="Z346" i="260" a="1"/>
  <c r="AD553" i="260" a="1"/>
  <c r="G322" i="260" a="1"/>
  <c r="AV235" i="260" a="1"/>
  <c r="J516" i="260" a="1"/>
  <c r="J728" i="260" a="1"/>
  <c r="BQ763" i="260" a="1"/>
  <c r="AZ762" i="260" a="1"/>
  <c r="BJ140" i="260" a="1"/>
  <c r="R442" i="260" a="1"/>
  <c r="BF533" i="260" a="1"/>
  <c r="BQ411" i="260" a="1"/>
  <c r="BF644" i="260" a="1"/>
  <c r="AZ375" i="260" a="1"/>
  <c r="V263" i="260" a="1"/>
  <c r="J607" i="260" a="1"/>
  <c r="G520" i="260" a="1"/>
  <c r="V523" i="260" a="1"/>
  <c r="R198" i="260" a="1"/>
  <c r="AQ630" i="260" a="1"/>
  <c r="Z98" i="260" a="1"/>
  <c r="N620" i="260" a="1"/>
  <c r="AN397" i="260" a="1"/>
  <c r="BQ677" i="260" a="1"/>
  <c r="BU389" i="260" a="1"/>
  <c r="AZ500" i="260" a="1"/>
  <c r="BF733" i="260" a="1"/>
  <c r="AV203" i="260" a="1"/>
  <c r="AZ642" i="260" a="1"/>
  <c r="BF639" i="260" a="1"/>
  <c r="AD80" i="260" a="1"/>
  <c r="AD612" i="260" a="1"/>
  <c r="BM678" i="260" a="1"/>
  <c r="V203" i="260" a="1"/>
  <c r="AZ440" i="260" a="1"/>
  <c r="V455" i="260" a="1"/>
  <c r="Z381" i="260" a="1"/>
  <c r="AH571" i="260" a="1"/>
  <c r="BQ120" i="260" a="1"/>
  <c r="Z464" i="260" a="1"/>
  <c r="BU769" i="260" a="1"/>
  <c r="G487" i="260" a="1"/>
  <c r="AZ492" i="260" a="1"/>
  <c r="BM648" i="260" a="1"/>
  <c r="Z630" i="260" a="1"/>
  <c r="BM707" i="260" a="1"/>
  <c r="R461" i="260" a="1"/>
  <c r="V235" i="260" a="1"/>
  <c r="Z269" i="260" a="1"/>
  <c r="AZ208" i="260" a="1"/>
  <c r="AV391" i="260" a="1"/>
  <c r="AZ514" i="260" a="1"/>
  <c r="BQ615" i="260" a="1"/>
  <c r="V534" i="260" a="1"/>
  <c r="AV488" i="260" a="1"/>
  <c r="J710" i="260" a="1"/>
  <c r="AZ590" i="260" a="1"/>
  <c r="Z247" i="260" a="1"/>
  <c r="J313" i="260" a="1"/>
  <c r="N430" i="260" a="1"/>
  <c r="AD525" i="260" a="1"/>
  <c r="BU667" i="260" a="1"/>
  <c r="AV720" i="260" a="1"/>
  <c r="BJ666" i="260" a="1"/>
  <c r="BF576" i="260" a="1"/>
  <c r="BU291" i="260" a="1"/>
  <c r="R597" i="260" a="1"/>
  <c r="J128" i="260" a="1"/>
  <c r="R643" i="260" a="1"/>
  <c r="BF401" i="260" a="1"/>
  <c r="N171" i="260" a="1"/>
  <c r="N118" i="260" a="1"/>
  <c r="BQ587" i="260" a="1"/>
  <c r="R745" i="260" a="1"/>
  <c r="AN173" i="260" a="1"/>
  <c r="AQ120" i="260" a="1"/>
  <c r="BQ227" i="260" a="1"/>
  <c r="N140" i="260" a="1"/>
  <c r="G246" i="260" a="1"/>
  <c r="G286" i="260" a="1"/>
  <c r="N84" i="260" a="1"/>
  <c r="AH760" i="260" a="1"/>
  <c r="AD269" i="260" a="1"/>
  <c r="BJ403" i="260" a="1"/>
  <c r="AN344" i="260" a="1"/>
  <c r="Z375" i="260" a="1"/>
  <c r="G510" i="260" a="1"/>
  <c r="V386" i="260" a="1"/>
  <c r="N486" i="260" a="1"/>
  <c r="Z353" i="260" a="1"/>
  <c r="BM765" i="260" a="1"/>
  <c r="BF700" i="260" a="1"/>
  <c r="AN160" i="260" a="1"/>
  <c r="AV524" i="260" a="1"/>
  <c r="AH275" i="260" a="1"/>
  <c r="BM89" i="260" a="1"/>
  <c r="AH543" i="260" a="1"/>
  <c r="G497" i="260" a="1"/>
  <c r="BU89" i="260" a="1"/>
  <c r="Z532" i="260" a="1"/>
  <c r="R397" i="260" a="1"/>
  <c r="BU94" i="260" a="1"/>
  <c r="AZ734" i="260" a="1"/>
  <c r="J714" i="260" a="1"/>
  <c r="AD257" i="260" a="1"/>
  <c r="BU135" i="260" a="1"/>
  <c r="BM540" i="260" a="1"/>
  <c r="Z234" i="260" a="1"/>
  <c r="AQ776" i="260" a="1"/>
  <c r="G566" i="260" a="1"/>
  <c r="G375" i="260" a="1"/>
  <c r="AZ728" i="260" a="1"/>
  <c r="AD556" i="260" a="1"/>
  <c r="R536" i="260" a="1"/>
  <c r="AH535" i="260" a="1"/>
  <c r="G620" i="260" a="1"/>
  <c r="AD726" i="260" a="1"/>
  <c r="AH586" i="260" a="1"/>
  <c r="V626" i="260" a="1"/>
  <c r="N165" i="260" a="1"/>
  <c r="BM684" i="260" a="1"/>
  <c r="AN470" i="260" a="1"/>
  <c r="V607" i="260" a="1"/>
  <c r="J573" i="260" a="1"/>
  <c r="BF425" i="260" a="1"/>
  <c r="AV115" i="260" a="1"/>
  <c r="J80" i="260" a="1"/>
  <c r="AZ200" i="260" a="1"/>
  <c r="AH220" i="260" a="1"/>
  <c r="Z153" i="260" a="1"/>
  <c r="BM257" i="260" a="1"/>
  <c r="R301" i="260" a="1"/>
  <c r="AV439" i="260" a="1"/>
  <c r="V409" i="260" a="1"/>
  <c r="BQ210" i="260" a="1"/>
  <c r="V311" i="260" a="1"/>
  <c r="R777" i="260" a="1"/>
  <c r="R640" i="260" a="1"/>
  <c r="BF206" i="260" a="1"/>
  <c r="AD520" i="260" a="1"/>
  <c r="V694" i="260" a="1"/>
  <c r="AH691" i="260" a="1"/>
  <c r="AZ763" i="260" a="1"/>
  <c r="BQ207" i="260" a="1"/>
  <c r="AQ535" i="260" a="1"/>
  <c r="Z716" i="260" a="1"/>
  <c r="AQ217" i="260" a="1"/>
  <c r="BQ636" i="260" a="1"/>
  <c r="AV630" i="260" a="1"/>
  <c r="J549" i="260" a="1"/>
  <c r="AZ637" i="260" a="1"/>
  <c r="G276" i="260" a="1"/>
  <c r="N333" i="260" a="1"/>
  <c r="BF320" i="260" a="1"/>
  <c r="AN771" i="260" a="1"/>
  <c r="AQ743" i="260" a="1"/>
  <c r="AQ160" i="260" a="1"/>
  <c r="BU164" i="260" a="1"/>
  <c r="AH111" i="260" a="1"/>
  <c r="BJ356" i="260" a="1"/>
  <c r="BM536" i="260" a="1"/>
  <c r="BF243" i="260" a="1"/>
  <c r="Z685" i="260" a="1"/>
  <c r="AV486" i="260" a="1"/>
  <c r="AV744" i="260" a="1"/>
  <c r="AZ631" i="260" a="1"/>
  <c r="R85" i="260" a="1"/>
  <c r="AZ597" i="260" a="1"/>
  <c r="BJ590" i="260" a="1"/>
  <c r="AZ259" i="260" a="1"/>
  <c r="AZ109" i="260" a="1"/>
  <c r="AD389" i="260" a="1"/>
  <c r="BF746" i="260" a="1"/>
  <c r="AQ728" i="260" a="1"/>
  <c r="BQ323" i="260" a="1"/>
  <c r="AN84" i="260" a="1"/>
  <c r="BJ747" i="260" a="1"/>
  <c r="BJ343" i="260" a="1"/>
  <c r="R190" i="260" a="1"/>
  <c r="AH739" i="260" a="1"/>
  <c r="AZ666" i="260" a="1"/>
  <c r="BJ321" i="260" a="1"/>
  <c r="BQ467" i="260" a="1"/>
  <c r="AQ128" i="260" a="1"/>
  <c r="G90" i="260" a="1"/>
  <c r="BU582" i="260" a="1"/>
  <c r="BU321" i="260" a="1"/>
  <c r="BJ542" i="260" a="1"/>
  <c r="J550" i="260" a="1"/>
  <c r="BJ134" i="260" a="1"/>
  <c r="Z615" i="260" a="1"/>
  <c r="G731" i="260" a="1"/>
  <c r="BJ87" i="260" a="1"/>
  <c r="J686" i="260" a="1"/>
  <c r="AD410" i="260" a="1"/>
  <c r="AN302" i="260" a="1"/>
  <c r="Z649" i="260" a="1"/>
  <c r="G281" i="260" a="1"/>
  <c r="R488" i="260" a="1"/>
  <c r="BF761" i="260" a="1"/>
  <c r="BJ538" i="260" a="1"/>
  <c r="AD243" i="260" a="1"/>
  <c r="BU578" i="260" a="1"/>
  <c r="BQ661" i="260" a="1"/>
  <c r="BF502" i="260" a="1"/>
  <c r="AZ618" i="260" a="1"/>
  <c r="Z324" i="260" a="1"/>
  <c r="Z471" i="260" a="1"/>
  <c r="N553" i="260" a="1"/>
  <c r="G470" i="260" a="1"/>
  <c r="AZ334" i="260" a="1"/>
  <c r="Z556" i="260" a="1"/>
  <c r="AN242" i="260" a="1"/>
  <c r="AH285" i="260" a="1"/>
  <c r="AN396" i="260" a="1"/>
  <c r="BJ776" i="260" a="1"/>
  <c r="BQ417" i="260" a="1"/>
  <c r="N178" i="260" a="1"/>
  <c r="R684" i="260" a="1"/>
  <c r="AH155" i="260" a="1"/>
  <c r="AV200" i="260" a="1"/>
  <c r="AQ687" i="260" a="1"/>
  <c r="BU480" i="260" a="1"/>
  <c r="AZ564" i="260" a="1"/>
  <c r="BQ278" i="260" a="1"/>
  <c r="AQ734" i="260" a="1"/>
  <c r="R125" i="260" a="1"/>
  <c r="AN275" i="260" a="1"/>
  <c r="BJ218" i="260" a="1"/>
  <c r="BF330" i="260" a="1"/>
  <c r="AN451" i="260" a="1"/>
  <c r="G659" i="260" a="1"/>
  <c r="Z183" i="260" a="1"/>
  <c r="AV606" i="260" a="1"/>
  <c r="G658" i="260" a="1"/>
  <c r="N405" i="260" a="1"/>
  <c r="BU281" i="260" a="1"/>
  <c r="AV452" i="260" a="1"/>
  <c r="BQ692" i="260" a="1"/>
  <c r="AH440" i="260" a="1"/>
  <c r="AQ657" i="260" a="1"/>
  <c r="BF569" i="260" a="1"/>
  <c r="V624" i="260" a="1"/>
  <c r="AZ776" i="260" a="1"/>
  <c r="BQ653" i="260" a="1"/>
  <c r="AD383" i="260" a="1"/>
  <c r="BM721" i="260" a="1"/>
  <c r="Z231" i="260" a="1"/>
  <c r="BU142" i="260" a="1"/>
  <c r="BJ414" i="260" a="1"/>
  <c r="AN761" i="260" a="1"/>
  <c r="AN131" i="260" a="1"/>
  <c r="BF527" i="260" a="1"/>
  <c r="Z190" i="260" a="1"/>
  <c r="BM131" i="260" a="1"/>
  <c r="V736" i="260" a="1"/>
  <c r="BU128" i="260" a="1"/>
  <c r="J252" i="260" a="1"/>
  <c r="V733" i="260" a="1"/>
  <c r="BF297" i="260" a="1"/>
  <c r="AD557" i="260" a="1"/>
  <c r="AQ163" i="260" a="1"/>
  <c r="BF564" i="260" a="1"/>
  <c r="BU553" i="260" a="1"/>
  <c r="Z741" i="260" a="1"/>
  <c r="BU693" i="260" a="1"/>
  <c r="Z665" i="260" a="1"/>
  <c r="AQ598" i="260" a="1"/>
  <c r="G255" i="260" a="1"/>
  <c r="Z759" i="260" a="1"/>
  <c r="J776" i="260" a="1"/>
  <c r="BJ540" i="260" a="1"/>
  <c r="AQ690" i="260" a="1"/>
  <c r="N583" i="260" a="1"/>
  <c r="AQ273" i="260" a="1"/>
  <c r="J419" i="260" a="1"/>
  <c r="Z263" i="260" a="1"/>
  <c r="BF152" i="260" a="1"/>
  <c r="AN151" i="260" a="1"/>
  <c r="BU263" i="260" a="1"/>
  <c r="AD561" i="260" a="1"/>
  <c r="Z712" i="260" a="1"/>
  <c r="AZ508" i="260" a="1"/>
  <c r="AZ559" i="260" a="1"/>
  <c r="AD719" i="260" a="1"/>
  <c r="BM151" i="260" a="1"/>
  <c r="R761" i="260" a="1"/>
  <c r="J366" i="260" a="1"/>
  <c r="AH287" i="260" a="1"/>
  <c r="Z622" i="260" a="1"/>
  <c r="AV156" i="260" a="1"/>
  <c r="BJ115" i="260" a="1"/>
  <c r="BJ395" i="260" a="1"/>
  <c r="BQ123" i="260" a="1"/>
  <c r="Z184" i="260" a="1"/>
  <c r="BM725" i="260" a="1"/>
  <c r="AV725" i="260" a="1"/>
  <c r="J276" i="260" a="1"/>
  <c r="N480" i="260" a="1"/>
  <c r="AN770" i="260" a="1"/>
  <c r="AH213" i="260" a="1"/>
  <c r="AZ630" i="260" a="1"/>
  <c r="Z376" i="260" a="1"/>
  <c r="AV287" i="260" a="1"/>
  <c r="BQ686" i="260" a="1"/>
  <c r="AN517" i="260" a="1"/>
  <c r="BJ147" i="260" a="1"/>
  <c r="AH677" i="260" a="1"/>
  <c r="AH723" i="260" a="1"/>
  <c r="BF456" i="260" a="1"/>
  <c r="N716" i="260" a="1"/>
  <c r="V160" i="260" a="1"/>
  <c r="AZ502" i="260" a="1"/>
  <c r="AH296" i="260" a="1"/>
  <c r="G678" i="260" a="1"/>
  <c r="N226" i="260" a="1"/>
  <c r="BJ447" i="260" a="1"/>
  <c r="BU620" i="260" a="1"/>
  <c r="BJ731" i="260" a="1"/>
  <c r="BJ659" i="260" a="1"/>
  <c r="BM336" i="260" a="1"/>
  <c r="BM361" i="260" a="1"/>
  <c r="R401" i="260" a="1"/>
  <c r="BJ303" i="260" a="1"/>
  <c r="AV324" i="260" a="1"/>
  <c r="Z558" i="260" a="1"/>
  <c r="BJ114" i="260" a="1"/>
  <c r="AZ467" i="260" a="1"/>
  <c r="AN88" i="260" a="1"/>
  <c r="R232" i="260" a="1"/>
  <c r="AD459" i="260" a="1"/>
  <c r="G396" i="260" a="1"/>
  <c r="AD116" i="260" a="1"/>
  <c r="J270" i="260" a="1"/>
  <c r="AH765" i="260" a="1"/>
  <c r="BU568" i="260" a="1"/>
  <c r="V215" i="260" a="1"/>
  <c r="G117" i="260" a="1"/>
  <c r="BM356" i="260" a="1"/>
  <c r="AQ614" i="260" a="1"/>
  <c r="R492" i="260" a="1"/>
  <c r="AN711" i="260" a="1"/>
  <c r="AV128" i="260" a="1"/>
  <c r="G635" i="260" a="1"/>
  <c r="AV397" i="260" a="1"/>
  <c r="BJ416" i="260" a="1"/>
  <c r="G228" i="260" a="1"/>
  <c r="V742" i="260" a="1"/>
  <c r="BM477" i="260" a="1"/>
  <c r="BJ180" i="260" a="1"/>
  <c r="G211" i="260" a="1"/>
  <c r="AD210" i="260" a="1"/>
  <c r="N593" i="260" a="1"/>
  <c r="BU232" i="260" a="1"/>
  <c r="AN515" i="260" a="1"/>
  <c r="J640" i="260" a="1"/>
  <c r="AN564" i="260" a="1"/>
  <c r="BU711" i="260" a="1"/>
  <c r="AV503" i="260" a="1"/>
  <c r="BM244" i="260" a="1"/>
  <c r="AZ127" i="260" a="1"/>
  <c r="G121" i="260" a="1"/>
  <c r="N331" i="260" a="1"/>
  <c r="BU674" i="260" a="1"/>
  <c r="J647" i="260" a="1"/>
  <c r="BU375" i="260" a="1"/>
  <c r="BU191" i="260" a="1"/>
  <c r="R227" i="260" a="1"/>
  <c r="BQ81" i="260" a="1"/>
  <c r="AN776" i="260" a="1"/>
  <c r="Z434" i="260" a="1"/>
  <c r="AZ100" i="260" a="1"/>
  <c r="AZ213" i="260" a="1"/>
  <c r="AN87" i="260" a="1"/>
  <c r="AQ288" i="260" a="1"/>
  <c r="AH581" i="260" a="1"/>
  <c r="R470" i="260" a="1"/>
  <c r="AV276" i="260" a="1"/>
  <c r="BQ512" i="260" a="1"/>
  <c r="N316" i="260" a="1"/>
  <c r="BU349" i="260" a="1"/>
  <c r="R92" i="260" a="1"/>
  <c r="V537" i="260" a="1"/>
  <c r="AQ312" i="260" a="1"/>
  <c r="AQ715" i="260" a="1"/>
  <c r="J338" i="260" a="1"/>
  <c r="AZ441" i="260" a="1"/>
  <c r="N614" i="260" a="1"/>
  <c r="BU776" i="260" a="1"/>
  <c r="AD532" i="260" a="1"/>
  <c r="AV327" i="260" a="1"/>
  <c r="AV697" i="260" a="1"/>
  <c r="G167" i="260" a="1"/>
  <c r="J261" i="260" a="1"/>
  <c r="AH460" i="260" a="1"/>
  <c r="N613" i="260" a="1"/>
  <c r="BM633" i="260" a="1"/>
  <c r="BM173" i="260" a="1"/>
  <c r="BF283" i="260" a="1"/>
  <c r="BQ643" i="260" a="1"/>
  <c r="AN580" i="260" a="1"/>
  <c r="BM382" i="260" a="1"/>
  <c r="V485" i="260" a="1"/>
  <c r="V765" i="260" a="1"/>
  <c r="AZ315" i="260" a="1"/>
  <c r="J590" i="260" a="1"/>
  <c r="BQ657" i="260" a="1"/>
  <c r="BM617" i="260" a="1"/>
  <c r="AZ544" i="260" a="1"/>
  <c r="BQ376" i="260" a="1"/>
  <c r="J387" i="260" a="1"/>
  <c r="AZ739" i="260" a="1"/>
  <c r="AN328" i="260" a="1"/>
  <c r="BQ155" i="260" a="1"/>
  <c r="BF740" i="260" a="1"/>
  <c r="V241" i="260" a="1"/>
  <c r="G508" i="260" a="1"/>
  <c r="R194" i="260" a="1"/>
  <c r="V644" i="260" a="1"/>
  <c r="AN91" i="260" a="1"/>
  <c r="AV383" i="260" a="1"/>
  <c r="BU700" i="260" a="1"/>
  <c r="BM668" i="260" a="1"/>
  <c r="AH96" i="260" a="1"/>
  <c r="J235" i="260" a="1"/>
  <c r="V539" i="260" a="1"/>
  <c r="AD746" i="260" a="1"/>
  <c r="BU380" i="260" a="1"/>
  <c r="N305" i="260" a="1"/>
  <c r="V487" i="260" a="1"/>
  <c r="BU622" i="260" a="1"/>
  <c r="V250" i="260" a="1"/>
  <c r="Z566" i="260" a="1"/>
  <c r="BJ280" i="260" a="1"/>
  <c r="AN670" i="260" a="1"/>
  <c r="AZ664" i="260" a="1"/>
  <c r="AN558" i="260" a="1"/>
  <c r="AQ200" i="260" a="1"/>
  <c r="J109" i="260" a="1"/>
  <c r="Z315" i="260" a="1"/>
  <c r="AV682" i="260" a="1"/>
  <c r="AQ332" i="260" a="1"/>
  <c r="BU115" i="260" a="1"/>
  <c r="BM590" i="260" a="1"/>
  <c r="BM243" i="260" a="1"/>
  <c r="J737" i="260" a="1"/>
  <c r="J478" i="260" a="1"/>
  <c r="V115" i="260" a="1"/>
  <c r="Z639" i="260" a="1"/>
  <c r="AZ393" i="260" a="1"/>
  <c r="AQ212" i="260" a="1"/>
  <c r="AN262" i="260" a="1"/>
  <c r="V82" i="260" a="1"/>
  <c r="AN412" i="260" a="1"/>
  <c r="AD742" i="260" a="1"/>
  <c r="AZ772" i="260" a="1"/>
  <c r="AD596" i="260" a="1"/>
  <c r="AQ153" i="260" a="1"/>
  <c r="AD110" i="260" a="1"/>
  <c r="N356" i="260" a="1"/>
  <c r="AN265" i="260" a="1"/>
  <c r="Z767" i="260" a="1"/>
  <c r="AQ328" i="260" a="1"/>
  <c r="R456" i="260" a="1"/>
  <c r="BU248" i="260" a="1"/>
  <c r="R338" i="260" a="1"/>
  <c r="BQ516" i="260" a="1"/>
  <c r="AD643" i="260" a="1"/>
  <c r="BU200" i="260" a="1"/>
  <c r="AH753" i="260" a="1"/>
  <c r="AQ692" i="260" a="1"/>
  <c r="AV549" i="260" a="1"/>
  <c r="AV352" i="260" a="1"/>
  <c r="G537" i="260" a="1"/>
  <c r="AH526" i="260" a="1"/>
  <c r="N111" i="260" a="1"/>
  <c r="BU660" i="260" a="1"/>
  <c r="Z284" i="260" a="1"/>
  <c r="Z282" i="260" a="1"/>
  <c r="J639" i="260" a="1"/>
  <c r="R453" i="260" a="1"/>
  <c r="AV748" i="260" a="1"/>
  <c r="BQ701" i="260" a="1"/>
  <c r="BQ500" i="260" a="1"/>
  <c r="AH561" i="260" a="1"/>
  <c r="Z110" i="260" a="1"/>
  <c r="Z648" i="260" a="1"/>
  <c r="AQ569" i="260" a="1"/>
  <c r="AV263" i="260" a="1"/>
  <c r="N656" i="260" a="1"/>
  <c r="N565" i="260" a="1"/>
  <c r="V516" i="260" a="1"/>
  <c r="R481" i="260" a="1"/>
  <c r="G364" i="260" a="1"/>
  <c r="AH737" i="260" a="1"/>
  <c r="N519" i="260" a="1"/>
  <c r="AV768" i="260" a="1"/>
  <c r="AH469" i="260" a="1"/>
  <c r="AD412" i="260" a="1"/>
  <c r="AV755" i="260" a="1"/>
  <c r="BM490" i="260" a="1"/>
  <c r="Z501" i="260" a="1"/>
  <c r="AV167" i="260" a="1"/>
  <c r="Z352" i="260" a="1"/>
  <c r="AZ700" i="260" a="1"/>
  <c r="AZ280" i="260" a="1"/>
  <c r="AQ208" i="260" a="1"/>
  <c r="AD301" i="260" a="1"/>
  <c r="AN297" i="260" a="1"/>
  <c r="AV290" i="260" a="1"/>
  <c r="AQ350" i="260" a="1"/>
  <c r="BU102" i="260" a="1"/>
  <c r="BF595" i="260" a="1"/>
  <c r="AN205" i="260" a="1"/>
  <c r="AD534" i="260" a="1"/>
  <c r="N567" i="260" a="1"/>
  <c r="BM281" i="260" a="1"/>
  <c r="G196" i="260" a="1"/>
  <c r="AH549" i="260" a="1"/>
  <c r="AD567" i="260" a="1"/>
  <c r="J400" i="260" a="1"/>
  <c r="AD766" i="260" a="1"/>
  <c r="BU523" i="260" a="1"/>
  <c r="J739" i="260" a="1"/>
  <c r="BJ81" i="260" a="1"/>
  <c r="J583" i="260" a="1"/>
  <c r="AN452" i="260" a="1"/>
  <c r="AQ249" i="260" a="1"/>
  <c r="AD347" i="260" a="1"/>
  <c r="N278" i="260" a="1"/>
  <c r="J152" i="260" a="1"/>
  <c r="N499" i="260" a="1"/>
  <c r="BF706" i="260" a="1"/>
  <c r="R462" i="260" a="1"/>
  <c r="AN424" i="260" a="1"/>
  <c r="AD738" i="260" a="1"/>
  <c r="G540" i="260" a="1"/>
  <c r="AN533" i="260" a="1"/>
  <c r="J514" i="260" a="1"/>
  <c r="J459" i="260" a="1"/>
  <c r="J85" i="260" a="1"/>
  <c r="AV548" i="260" a="1"/>
  <c r="BU332" i="260" a="1"/>
  <c r="V410" i="260" a="1"/>
  <c r="BF296" i="260" a="1"/>
  <c r="R493" i="260" a="1"/>
  <c r="R99" i="260" a="1"/>
  <c r="AZ116" i="260" a="1"/>
  <c r="AH669" i="260" a="1"/>
  <c r="G491" i="260" a="1"/>
  <c r="BJ351" i="260" a="1"/>
  <c r="AQ697" i="260" a="1"/>
  <c r="Z728" i="260" a="1"/>
  <c r="R498" i="260" a="1"/>
  <c r="BF536" i="260" a="1"/>
  <c r="AN644" i="260" a="1"/>
  <c r="AN135" i="260" a="1"/>
  <c r="Z218" i="260" a="1"/>
  <c r="BF713" i="260" a="1"/>
  <c r="AD762" i="260" a="1"/>
  <c r="BF121" i="260" a="1"/>
  <c r="BJ441" i="260" a="1"/>
  <c r="AN243" i="260" a="1"/>
  <c r="BU442" i="260" a="1"/>
  <c r="J323" i="260" a="1"/>
  <c r="AD467" i="260" a="1"/>
  <c r="AQ215" i="260" a="1"/>
  <c r="BJ377" i="260" a="1"/>
  <c r="AD517" i="260" a="1"/>
  <c r="AN698" i="260" a="1"/>
  <c r="BU683" i="260" a="1"/>
  <c r="J125" i="260" a="1"/>
  <c r="BF726" i="260" a="1"/>
  <c r="AV259" i="260" a="1"/>
  <c r="AH91" i="260" a="1"/>
  <c r="BM397" i="260" a="1"/>
  <c r="AZ458" i="260" a="1"/>
  <c r="AQ460" i="260" a="1"/>
  <c r="Z710" i="260" a="1"/>
  <c r="AD678" i="260" a="1"/>
  <c r="Z553" i="260" a="1"/>
  <c r="BJ521" i="260" a="1"/>
  <c r="BJ613" i="260" a="1"/>
  <c r="AD265" i="260" a="1"/>
  <c r="AQ491" i="260" a="1"/>
  <c r="AD718" i="260" a="1"/>
  <c r="AQ130" i="260" a="1"/>
  <c r="AV277" i="260" a="1"/>
  <c r="AH585" i="260" a="1"/>
  <c r="R432" i="260" a="1"/>
  <c r="AD327" i="260" a="1"/>
  <c r="BF426" i="260" a="1"/>
  <c r="BF308" i="260" a="1"/>
  <c r="BF619" i="260" a="1"/>
  <c r="AV244" i="260" a="1"/>
  <c r="Z564" i="260" a="1"/>
  <c r="V498" i="260" a="1"/>
  <c r="G464" i="260" a="1"/>
  <c r="BQ466" i="260" a="1"/>
  <c r="V677" i="260" a="1"/>
  <c r="N349" i="260" a="1"/>
  <c r="AQ123" i="260" a="1"/>
  <c r="BJ328" i="260" a="1"/>
  <c r="BQ325" i="260" a="1"/>
  <c r="BU316" i="260" a="1"/>
  <c r="R346" i="260" a="1"/>
  <c r="BQ100" i="260" a="1"/>
  <c r="BF97" i="260" a="1"/>
  <c r="AH517" i="260" a="1"/>
  <c r="BF646" i="260" a="1"/>
  <c r="AD208" i="260" a="1"/>
  <c r="Z774" i="260" a="1"/>
  <c r="AQ748" i="260" a="1"/>
  <c r="BU587" i="260" a="1"/>
  <c r="BQ501" i="260" a="1"/>
  <c r="G422" i="260" a="1"/>
  <c r="BQ246" i="260" a="1"/>
  <c r="AH162" i="260" a="1"/>
  <c r="BJ459" i="260" a="1"/>
  <c r="BQ552" i="260" a="1"/>
  <c r="BQ264" i="260" a="1"/>
  <c r="BU125" i="260" a="1"/>
  <c r="AD315" i="260" a="1"/>
  <c r="G106" i="260" a="1"/>
  <c r="N623" i="260" a="1"/>
  <c r="R773" i="260" a="1"/>
  <c r="V633" i="260" a="1"/>
  <c r="BF597" i="260" a="1"/>
  <c r="V296" i="260" a="1"/>
  <c r="BM111" i="260" a="1"/>
  <c r="AD167" i="260" a="1"/>
  <c r="N173" i="260" a="1"/>
  <c r="AZ769" i="260" a="1"/>
  <c r="V734" i="260" a="1"/>
  <c r="AD576" i="260" a="1"/>
  <c r="AZ136" i="260" a="1"/>
  <c r="AN319" i="260" a="1"/>
  <c r="Z209" i="260" a="1"/>
  <c r="AH639" i="260" a="1"/>
  <c r="R260" i="260" a="1"/>
  <c r="BM97" i="260" a="1"/>
  <c r="BJ350" i="260" a="1"/>
  <c r="Z722" i="260" a="1"/>
  <c r="BQ606" i="260" a="1"/>
  <c r="BU199" i="260" a="1"/>
  <c r="J735" i="260" a="1"/>
  <c r="BF483" i="260" a="1"/>
  <c r="V169" i="260" a="1"/>
  <c r="BM672" i="260" a="1"/>
  <c r="AZ444" i="260" a="1"/>
  <c r="J98" i="260" a="1"/>
  <c r="J634" i="260" a="1"/>
  <c r="AD755" i="260" a="1"/>
  <c r="G414" i="260" a="1"/>
  <c r="AN434" i="260" a="1"/>
  <c r="AV515" i="260" a="1"/>
  <c r="BU634" i="260" a="1"/>
  <c r="Z528" i="260" a="1"/>
  <c r="AH748" i="260" a="1"/>
  <c r="J644" i="260" a="1"/>
  <c r="N383" i="260" a="1"/>
  <c r="G734" i="260" a="1"/>
  <c r="AH645" i="260" a="1"/>
  <c r="BM466" i="260" a="1"/>
  <c r="AH450" i="260" a="1"/>
  <c r="AN250" i="260" a="1"/>
  <c r="R101" i="260" a="1"/>
  <c r="AD165" i="260" a="1"/>
  <c r="AQ397" i="260" a="1"/>
  <c r="BQ440" i="260" a="1"/>
  <c r="Z625" i="260" a="1"/>
  <c r="Z735" i="260" a="1"/>
  <c r="AQ488" i="260" a="1"/>
  <c r="AD225" i="260" a="1"/>
  <c r="R119" i="260" a="1"/>
  <c r="J474" i="260" a="1"/>
  <c r="R324" i="260" a="1"/>
  <c r="V462" i="260" a="1"/>
  <c r="AV289" i="260" a="1"/>
  <c r="G576" i="260" a="1"/>
  <c r="Z778" i="260" a="1"/>
  <c r="V190" i="260" a="1"/>
  <c r="AD445" i="260" a="1"/>
  <c r="BM712" i="260" a="1"/>
  <c r="R365" i="260" a="1"/>
  <c r="V772" i="260" a="1"/>
  <c r="R115" i="260" a="1"/>
  <c r="AD173" i="260" a="1"/>
  <c r="J347" i="260" a="1"/>
  <c r="AQ682" i="260" a="1"/>
  <c r="BF87" i="260" a="1"/>
  <c r="V112" i="260" a="1"/>
  <c r="R433" i="260" a="1"/>
  <c r="G653" i="260" a="1"/>
  <c r="AV302" i="260" a="1"/>
  <c r="BU484" i="260" a="1"/>
  <c r="AD723" i="260" a="1"/>
  <c r="N706" i="260" a="1"/>
  <c r="AH553" i="260" a="1"/>
  <c r="G716" i="260" a="1"/>
  <c r="AH297" i="260" a="1"/>
  <c r="AH444" i="260" a="1"/>
  <c r="BU533" i="260" a="1"/>
  <c r="BQ386" i="260" a="1"/>
  <c r="AV164" i="260" a="1"/>
  <c r="AN769" i="260" a="1"/>
  <c r="J652" i="260" a="1"/>
  <c r="G88" i="260" a="1"/>
  <c r="AN652" i="260" a="1"/>
  <c r="AZ660" i="260" a="1"/>
  <c r="AD212" i="260" a="1"/>
  <c r="BJ467" i="260" a="1"/>
  <c r="N732" i="260" a="1"/>
  <c r="AN544" i="260" a="1"/>
  <c r="BM625" i="260" a="1"/>
  <c r="AZ652" i="260" a="1"/>
  <c r="BJ269" i="260" a="1"/>
  <c r="AH524" i="260" a="1"/>
  <c r="V507" i="260" a="1"/>
  <c r="AH416" i="260" a="1"/>
  <c r="J742" i="260" a="1"/>
  <c r="G457" i="260" a="1"/>
  <c r="AN421" i="260" a="1"/>
  <c r="BM738" i="260" a="1"/>
  <c r="BM106" i="260" a="1"/>
  <c r="N695" i="260" a="1"/>
  <c r="BU240" i="260" a="1"/>
  <c r="R723" i="260" a="1"/>
  <c r="Z270" i="260" a="1"/>
  <c r="J730" i="260" a="1"/>
  <c r="Z89" i="260" a="1"/>
  <c r="V221" i="260" a="1"/>
  <c r="AH193" i="260" a="1"/>
  <c r="BF321" i="260" a="1"/>
  <c r="AD615" i="260" a="1"/>
  <c r="V551" i="260" a="1"/>
  <c r="AN148" i="260" a="1"/>
  <c r="AV266" i="260" a="1"/>
  <c r="R521" i="260" a="1"/>
  <c r="J498" i="260" a="1"/>
  <c r="BQ126" i="260" a="1"/>
  <c r="R413" i="260" a="1"/>
  <c r="BQ630" i="260" a="1"/>
  <c r="BM96" i="260" a="1"/>
  <c r="BU160" i="260" a="1"/>
  <c r="AN114" i="260" a="1"/>
  <c r="BJ239" i="260" a="1"/>
  <c r="BJ750" i="260" a="1"/>
  <c r="N619" i="260" a="1"/>
  <c r="BM537" i="260" a="1"/>
  <c r="BU387" i="260" a="1"/>
  <c r="BM162" i="260" a="1"/>
  <c r="J565" i="260" a="1"/>
  <c r="AV377" i="260" a="1"/>
  <c r="G447" i="260" a="1"/>
  <c r="AD101" i="260" a="1"/>
  <c r="Z692" i="260" a="1"/>
  <c r="BQ430" i="260" a="1"/>
  <c r="BU771" i="260" a="1"/>
  <c r="BM660" i="260" a="1"/>
  <c r="BQ678" i="260" a="1"/>
  <c r="BQ375" i="260" a="1"/>
  <c r="AV491" i="260" a="1"/>
  <c r="AD623" i="260" a="1"/>
  <c r="BJ622" i="260" a="1"/>
  <c r="AN508" i="260" a="1"/>
  <c r="AZ718" i="260" a="1"/>
  <c r="AQ718" i="260" a="1"/>
  <c r="AD119" i="260" a="1"/>
  <c r="AV458" i="260" a="1"/>
  <c r="BF430" i="260" a="1"/>
  <c r="N544" i="260" a="1"/>
  <c r="Z280" i="260" a="1"/>
  <c r="AV151" i="260" a="1"/>
  <c r="V759" i="260" a="1"/>
  <c r="AH642" i="260" a="1"/>
  <c r="AQ466" i="260" a="1"/>
  <c r="V251" i="260" a="1"/>
  <c r="AQ746" i="260" a="1"/>
  <c r="G162" i="260" a="1"/>
  <c r="BM581" i="260" a="1"/>
  <c r="AD247" i="260" a="1"/>
  <c r="V647" i="260" a="1"/>
  <c r="AV335" i="260" a="1"/>
  <c r="AV608" i="260" a="1"/>
  <c r="R320" i="260" a="1"/>
  <c r="BU646" i="260" a="1"/>
  <c r="BQ596" i="260" a="1"/>
  <c r="R106" i="260" a="1"/>
  <c r="R587" i="260" a="1"/>
  <c r="N239" i="260" a="1"/>
  <c r="AN472" i="260" a="1"/>
  <c r="G471" i="260" a="1"/>
  <c r="N608" i="260" a="1"/>
  <c r="AV746" i="260" a="1"/>
  <c r="AZ535" i="260" a="1"/>
  <c r="AH385" i="260" a="1"/>
  <c r="BJ250" i="260" a="1"/>
  <c r="BU351" i="260" a="1"/>
  <c r="Z614" i="260" a="1"/>
  <c r="AD581" i="260" a="1"/>
  <c r="Z100" i="260" a="1"/>
  <c r="BJ464" i="260" a="1"/>
  <c r="Z201" i="260" a="1"/>
  <c r="BQ388" i="260" a="1"/>
  <c r="AZ519" i="260" a="1"/>
  <c r="BQ392" i="260" a="1"/>
  <c r="AH708" i="260" a="1"/>
  <c r="J191" i="260" a="1"/>
  <c r="N639" i="260" a="1"/>
  <c r="AH591" i="260" a="1"/>
  <c r="J339" i="260" a="1"/>
  <c r="AN323" i="260" a="1"/>
  <c r="V365" i="260" a="1"/>
  <c r="Z408" i="260" a="1"/>
  <c r="AZ520" i="260" a="1"/>
  <c r="Z365" i="260" a="1"/>
  <c r="R328" i="260" a="1"/>
  <c r="AQ86" i="260" a="1"/>
  <c r="AZ488" i="260" a="1"/>
  <c r="J95" i="260" a="1"/>
  <c r="R207" i="260" a="1"/>
  <c r="N585" i="260" a="1"/>
  <c r="G260" i="260" a="1"/>
  <c r="AQ260" i="260" a="1"/>
  <c r="AH336" i="260" a="1"/>
  <c r="AD637" i="260" a="1"/>
  <c r="AQ415" i="260" a="1"/>
  <c r="G373" i="260" a="1"/>
  <c r="AN662" i="260" a="1"/>
  <c r="N472" i="260" a="1"/>
  <c r="N238" i="260" a="1"/>
  <c r="N734" i="260" a="1"/>
  <c r="N328" i="260" a="1"/>
  <c r="BU170" i="260" a="1"/>
  <c r="AQ189" i="260" a="1"/>
  <c r="G128" i="260" a="1"/>
  <c r="J385" i="260" a="1"/>
  <c r="AZ269" i="260" a="1"/>
  <c r="BJ80" i="260" a="1"/>
  <c r="AV170" i="260" a="1"/>
  <c r="BU452" i="260" a="1"/>
  <c r="N127" i="260" a="1"/>
  <c r="BJ700" i="260" a="1"/>
  <c r="AZ368" i="260" a="1"/>
  <c r="AD490" i="260" a="1"/>
  <c r="N586" i="260" a="1"/>
  <c r="BM421" i="260" a="1"/>
  <c r="R223" i="260" a="1"/>
  <c r="BM766" i="260" a="1"/>
  <c r="Z584" i="260" a="1"/>
  <c r="AH349" i="260" a="1"/>
  <c r="BQ263" i="260" a="1"/>
  <c r="BJ532" i="260" a="1"/>
  <c r="BJ232" i="260" a="1"/>
  <c r="V703" i="260" a="1"/>
  <c r="BM680" i="260" a="1"/>
  <c r="BU607" i="260" a="1"/>
  <c r="J296" i="260" a="1"/>
  <c r="V93" i="260" a="1"/>
  <c r="AH564" i="260" a="1"/>
  <c r="BF156" i="260" a="1"/>
  <c r="BQ205" i="260" a="1"/>
  <c r="N397" i="260" a="1"/>
  <c r="BM332" i="260" a="1"/>
  <c r="Z362" i="260" a="1"/>
  <c r="BM434" i="260" a="1"/>
  <c r="R417" i="260" a="1"/>
  <c r="BU214" i="260" a="1"/>
  <c r="BM572" i="260" a="1"/>
  <c r="Z380" i="260" a="1"/>
  <c r="BJ671" i="260" a="1"/>
  <c r="AD97" i="260" a="1"/>
  <c r="BF218" i="260" a="1"/>
  <c r="Z721" i="260" a="1"/>
  <c r="G168" i="260" a="1"/>
  <c r="G324" i="260" a="1"/>
  <c r="AZ233" i="260" a="1"/>
  <c r="Z499" i="260" a="1"/>
  <c r="N86" i="260" a="1"/>
  <c r="BJ408" i="260" a="1"/>
  <c r="BJ463" i="260" a="1"/>
  <c r="BU672" i="260" a="1"/>
  <c r="BU330" i="260" a="1"/>
  <c r="G237" i="260" a="1"/>
  <c r="J330" i="260" a="1"/>
  <c r="AQ148" i="260" a="1"/>
  <c r="AQ162" i="260" a="1"/>
  <c r="BQ709" i="260" a="1"/>
  <c r="R468" i="260" a="1"/>
  <c r="BU552" i="260" a="1"/>
  <c r="BQ773" i="260" a="1"/>
  <c r="AD446" i="260" a="1"/>
  <c r="J413" i="260" a="1"/>
  <c r="R278" i="260" a="1"/>
  <c r="BJ424" i="260" a="1"/>
  <c r="Z635" i="260" a="1"/>
  <c r="BQ621" i="260" a="1"/>
  <c r="AZ443" i="260" a="1"/>
  <c r="Z109" i="260" a="1"/>
  <c r="N106" i="260" a="1"/>
  <c r="Z320" i="260" a="1"/>
  <c r="N715" i="260" a="1"/>
  <c r="BJ381" i="260" a="1"/>
  <c r="AV776" i="260" a="1"/>
  <c r="J116" i="260" a="1"/>
  <c r="Z332" i="260" a="1"/>
  <c r="BQ578" i="260" a="1"/>
  <c r="AD537" i="260" a="1"/>
  <c r="AV701" i="260" a="1"/>
  <c r="BU574" i="260" a="1"/>
  <c r="AH107" i="260" a="1"/>
  <c r="AD370" i="260" a="1"/>
  <c r="AN738" i="260" a="1"/>
  <c r="BQ622" i="260" a="1"/>
  <c r="BJ749" i="260" a="1"/>
  <c r="BU137" i="260" a="1"/>
  <c r="J473" i="260" a="1"/>
  <c r="AZ476" i="260" a="1"/>
  <c r="BQ464" i="260" a="1"/>
  <c r="J767" i="260" a="1"/>
  <c r="AH715" i="260" a="1"/>
  <c r="J321" i="260" a="1"/>
  <c r="AQ596" i="260" a="1"/>
  <c r="Z562" i="260" a="1"/>
  <c r="BF131" i="260" a="1"/>
  <c r="AQ240" i="260" a="1"/>
  <c r="AQ493" i="260" a="1"/>
  <c r="AZ347" i="260" a="1"/>
  <c r="J183" i="260" a="1"/>
  <c r="AN364" i="260" a="1"/>
  <c r="BJ620" i="260" a="1"/>
  <c r="AD592" i="260" a="1"/>
  <c r="J763" i="260" a="1"/>
  <c r="R543" i="260" a="1"/>
  <c r="AN198" i="260" a="1"/>
  <c r="R124" i="260" a="1"/>
  <c r="AZ574" i="260" a="1"/>
  <c r="N271" i="260" a="1"/>
  <c r="AZ372" i="260" a="1"/>
  <c r="AN493" i="260" a="1"/>
  <c r="AZ295" i="260" a="1"/>
  <c r="BF284" i="260" a="1"/>
  <c r="AV507" i="260" a="1"/>
  <c r="N169" i="260" a="1"/>
  <c r="BM231" i="260" a="1"/>
  <c r="AD644" i="260" a="1"/>
  <c r="BF628" i="260" a="1"/>
  <c r="AH522" i="260" a="1"/>
  <c r="BJ242" i="260" a="1"/>
  <c r="AQ694" i="260" a="1"/>
  <c r="AD224" i="260" a="1"/>
  <c r="V295" i="260" a="1"/>
  <c r="Z607" i="260" a="1"/>
  <c r="AZ436" i="260" a="1"/>
  <c r="AH306" i="260" a="1"/>
  <c r="AD353" i="260" a="1"/>
  <c r="BM239" i="260" a="1"/>
  <c r="BQ556" i="260" a="1"/>
  <c r="AQ563" i="260" a="1"/>
  <c r="N423" i="260" a="1"/>
  <c r="BJ624" i="260" a="1"/>
  <c r="J371" i="260" a="1"/>
  <c r="AQ505" i="260" a="1"/>
  <c r="BJ726" i="260" a="1"/>
  <c r="AQ156" i="260" a="1"/>
  <c r="AQ231" i="260" a="1"/>
  <c r="BQ150" i="260" a="1"/>
  <c r="G363" i="260" a="1"/>
  <c r="BM503" i="260" a="1"/>
  <c r="BU172" i="260" a="1"/>
  <c r="BJ247" i="260" a="1"/>
  <c r="AZ345" i="260" a="1"/>
  <c r="BJ705" i="260" a="1"/>
  <c r="R627" i="260" a="1"/>
  <c r="AD391" i="260" a="1"/>
  <c r="AZ187" i="260" a="1"/>
  <c r="BM110" i="260" a="1"/>
  <c r="AH675" i="260" a="1"/>
  <c r="G687" i="260" a="1"/>
  <c r="BQ461" i="260" a="1"/>
  <c r="AQ425" i="260" a="1"/>
  <c r="AV645" i="260" a="1"/>
  <c r="AZ636" i="260" a="1"/>
  <c r="V767" i="260" a="1"/>
  <c r="AZ431" i="260" a="1"/>
  <c r="J346" i="260" a="1"/>
  <c r="N651" i="260" a="1"/>
  <c r="AZ549" i="260" a="1"/>
  <c r="G760" i="260" a="1"/>
  <c r="AQ571" i="260" a="1"/>
  <c r="BJ102" i="260" a="1"/>
  <c r="Z170" i="260" a="1"/>
  <c r="BU138" i="260" a="1"/>
  <c r="BU183" i="260" a="1"/>
  <c r="BF150" i="260" a="1"/>
  <c r="AD223" i="260" a="1"/>
  <c r="N484" i="260" a="1"/>
  <c r="AZ244" i="260" a="1"/>
  <c r="Z734" i="260" a="1"/>
  <c r="AZ668" i="260" a="1"/>
  <c r="AZ151" i="260" a="1"/>
  <c r="BQ559" i="260" a="1"/>
  <c r="AD118" i="260" a="1"/>
  <c r="G332" i="260" a="1"/>
  <c r="AQ282" i="260" a="1"/>
  <c r="AN690" i="260" a="1"/>
  <c r="V540" i="260" a="1"/>
  <c r="V101" i="260" a="1"/>
  <c r="AN700" i="260" a="1"/>
  <c r="J487" i="260" a="1"/>
  <c r="AH578" i="260" a="1"/>
  <c r="Z565" i="260" a="1"/>
  <c r="BQ359" i="260" a="1"/>
  <c r="BM502" i="260" a="1"/>
  <c r="Z586" i="260" a="1"/>
  <c r="AD672" i="260" a="1"/>
  <c r="BM343" i="260" a="1"/>
  <c r="AH428" i="260" a="1"/>
  <c r="V357" i="260" a="1"/>
  <c r="BM55" i="260" a="1"/>
  <c r="AZ645" i="260" a="1"/>
  <c r="Z361" i="260" a="1"/>
  <c r="AV130" i="260" a="1"/>
  <c r="AN191" i="260" a="1"/>
  <c r="Z515" i="260" a="1"/>
  <c r="AZ119" i="260" a="1"/>
  <c r="G767" i="260" a="1"/>
  <c r="BU508" i="260" a="1"/>
  <c r="J266" i="260" a="1"/>
  <c r="AZ560" i="260" a="1"/>
  <c r="BU317" i="260" a="1"/>
  <c r="AQ364" i="260" a="1"/>
  <c r="AQ277" i="260" a="1"/>
  <c r="AH175" i="260" a="1"/>
  <c r="BU643" i="260" a="1"/>
  <c r="BJ284" i="260" a="1"/>
  <c r="R457" i="260" a="1"/>
  <c r="Z776" i="260" a="1"/>
  <c r="BF120" i="260" a="1"/>
  <c r="AD217" i="260" a="1"/>
  <c r="V426" i="260" a="1"/>
  <c r="R519" i="260" a="1"/>
  <c r="R705" i="260" a="1"/>
  <c r="AZ558" i="260" a="1"/>
  <c r="AQ656" i="260" a="1"/>
  <c r="AQ666" i="260" a="1"/>
  <c r="G241" i="260" a="1"/>
  <c r="AH318" i="260" a="1"/>
  <c r="BJ309" i="260" a="1"/>
  <c r="AD558" i="260" a="1"/>
  <c r="BQ251" i="260" a="1"/>
  <c r="AQ75" i="260" a="1"/>
  <c r="BU243" i="260" a="1"/>
  <c r="Z535" i="260" a="1"/>
  <c r="N183" i="260" a="1"/>
  <c r="AV518" i="260" a="1"/>
  <c r="BM340" i="260" a="1"/>
  <c r="AD147" i="260" a="1"/>
  <c r="BF657" i="260" a="1"/>
  <c r="AN462" i="260" a="1"/>
  <c r="AD409" i="260" a="1"/>
  <c r="G606" i="260" a="1"/>
  <c r="V612" i="260" a="1"/>
  <c r="AQ388" i="260" a="1"/>
  <c r="BJ432" i="260" a="1"/>
  <c r="AD455" i="260" a="1"/>
  <c r="G452" i="260" a="1"/>
  <c r="BQ175" i="260" a="1"/>
  <c r="BJ388" i="260" a="1"/>
  <c r="AH664" i="260" a="1"/>
  <c r="N261" i="260" a="1"/>
  <c r="AN288" i="260" a="1"/>
  <c r="J626" i="260" a="1"/>
  <c r="AH472" i="260" a="1"/>
  <c r="BM208" i="260" a="1"/>
  <c r="BJ677" i="260" a="1"/>
  <c r="BQ295" i="260" a="1"/>
  <c r="G526" i="260" a="1"/>
  <c r="Z111" i="260" a="1"/>
  <c r="J752" i="260" a="1"/>
  <c r="R153" i="260" a="1"/>
  <c r="BJ748" i="260" a="1"/>
  <c r="AD492" i="260" a="1"/>
  <c r="R430" i="260" a="1"/>
  <c r="AD281" i="260" a="1"/>
  <c r="V467" i="260" a="1"/>
  <c r="AH110" i="260" a="1"/>
  <c r="N518" i="260" a="1"/>
  <c r="R96" i="260" a="1"/>
  <c r="Z95" i="260" a="1"/>
  <c r="AN409" i="260" a="1"/>
  <c r="Z669" i="260" a="1"/>
  <c r="BJ511" i="260" a="1"/>
  <c r="V547" i="260" a="1"/>
  <c r="V675" i="260" a="1"/>
  <c r="AD292" i="260" a="1"/>
  <c r="AH720" i="260" a="1"/>
  <c r="BF88" i="260" a="1"/>
  <c r="AN521" i="260" a="1"/>
  <c r="N222" i="260" a="1"/>
  <c r="BJ494" i="260" a="1"/>
  <c r="V192" i="260" a="1"/>
  <c r="BF720" i="260" a="1"/>
  <c r="AV105" i="260" a="1"/>
  <c r="R161" i="260" a="1"/>
  <c r="AN255" i="260" a="1"/>
  <c r="R734" i="260" a="1"/>
  <c r="AZ545" i="260" a="1"/>
  <c r="AQ611" i="260" a="1"/>
  <c r="N437" i="260" a="1"/>
  <c r="Z651" i="260" a="1"/>
  <c r="Z124" i="260" a="1"/>
  <c r="AZ459" i="260" a="1"/>
  <c r="AZ452" i="260" a="1"/>
  <c r="BM71" i="260" a="1"/>
  <c r="N659" i="260" a="1"/>
  <c r="AH338" i="260" a="1"/>
  <c r="AD342" i="260" a="1"/>
  <c r="AN170" i="260" a="1"/>
  <c r="AV331" i="260" a="1"/>
  <c r="Z708" i="260" a="1"/>
  <c r="BM405" i="260" a="1"/>
  <c r="BM325" i="260" a="1"/>
  <c r="BQ488" i="260" a="1"/>
  <c r="BJ574" i="260" a="1"/>
  <c r="BJ106" i="260" a="1"/>
  <c r="R739" i="260" a="1"/>
  <c r="R218" i="260" a="1"/>
  <c r="R746" i="260" a="1"/>
  <c r="V456" i="260" a="1"/>
  <c r="AN467" i="260" a="1"/>
  <c r="AN239" i="260" a="1"/>
  <c r="G775" i="260" a="1"/>
  <c r="BU577" i="260" a="1"/>
  <c r="AV474" i="260" a="1"/>
  <c r="BU645" i="260" a="1"/>
  <c r="BQ510" i="260" a="1"/>
  <c r="G119" i="260" a="1"/>
  <c r="AN356" i="260" a="1"/>
  <c r="AH131" i="260" a="1"/>
  <c r="AZ105" i="260" a="1"/>
  <c r="AV750" i="260" a="1"/>
  <c r="AN578" i="260" a="1"/>
  <c r="N459" i="260" a="1"/>
  <c r="AH687" i="260" a="1"/>
  <c r="BQ115" i="260" a="1"/>
  <c r="BF278" i="260" a="1"/>
  <c r="AQ410" i="260" a="1"/>
  <c r="AZ218" i="260" a="1"/>
  <c r="AN150" i="260" a="1"/>
  <c r="AQ428" i="260" a="1"/>
  <c r="G160" i="260" a="1"/>
  <c r="BF386" i="260" a="1"/>
  <c r="J699" i="260" a="1"/>
  <c r="AD552" i="260" a="1"/>
  <c r="V424" i="260" a="1"/>
  <c r="Z191" i="260" a="1"/>
  <c r="AZ248" i="260" a="1"/>
  <c r="AQ169" i="260" a="1"/>
  <c r="BF307" i="260" a="1"/>
  <c r="BU510" i="260" a="1"/>
  <c r="V571" i="260" a="1"/>
  <c r="BQ670" i="260" a="1"/>
  <c r="R613" i="260" a="1"/>
  <c r="AV174" i="260" a="1"/>
  <c r="Z241" i="260" a="1"/>
  <c r="N665" i="260" a="1"/>
  <c r="G191" i="260" a="1"/>
  <c r="AQ672" i="260" a="1"/>
  <c r="BQ496" i="260" a="1"/>
  <c r="BJ458" i="260" a="1"/>
  <c r="AZ601" i="260" a="1"/>
  <c r="G725" i="260" a="1"/>
  <c r="BJ148" i="260" a="1"/>
  <c r="BQ491" i="260" a="1"/>
  <c r="Z166" i="260" a="1"/>
  <c r="R534" i="260" a="1"/>
  <c r="BM172" i="260" a="1"/>
  <c r="BF271" i="260" a="1"/>
  <c r="N345" i="260" a="1"/>
  <c r="BM159" i="260" a="1"/>
  <c r="AV626" i="260" a="1"/>
  <c r="AZ392" i="260" a="1"/>
  <c r="BU731" i="260" a="1"/>
  <c r="G273" i="260" a="1"/>
  <c r="N264" i="260" a="1"/>
  <c r="AH369" i="260" a="1"/>
  <c r="J161" i="260" a="1"/>
  <c r="AZ135" i="260" a="1"/>
  <c r="AD99" i="260" a="1"/>
  <c r="N753" i="260" a="1"/>
  <c r="AH262" i="260" a="1"/>
  <c r="AN765" i="260" a="1"/>
  <c r="AN616" i="260" a="1"/>
  <c r="BQ642" i="260" a="1"/>
  <c r="V125" i="260" a="1"/>
  <c r="N672" i="260" a="1"/>
  <c r="AH312" i="260" a="1"/>
  <c r="BJ162" i="260" a="1"/>
  <c r="R281" i="260" a="1"/>
  <c r="AH745" i="260" a="1"/>
  <c r="G111" i="260" a="1"/>
  <c r="BJ728" i="260" a="1"/>
  <c r="BF615" i="260" a="1"/>
  <c r="J222" i="260" a="1"/>
  <c r="BU689" i="260" a="1"/>
  <c r="BJ113" i="260" a="1"/>
  <c r="V85" i="260" a="1"/>
  <c r="BU712" i="260" a="1"/>
  <c r="AQ226" i="260" a="1"/>
  <c r="AN269" i="260" a="1"/>
  <c r="G293" i="260" a="1"/>
  <c r="BQ614" i="260" a="1"/>
  <c r="BQ310" i="260" a="1"/>
  <c r="AZ207" i="260" a="1"/>
  <c r="BF159" i="260" a="1"/>
  <c r="BJ142" i="260" a="1"/>
  <c r="BU770" i="260" a="1"/>
  <c r="AH473" i="260" a="1"/>
  <c r="BU331" i="260" a="1"/>
  <c r="G662" i="260" a="1"/>
  <c r="BJ723" i="260" a="1"/>
  <c r="BM767" i="260" a="1"/>
  <c r="G181" i="260" a="1"/>
  <c r="AD191" i="260" a="1"/>
  <c r="BM515" i="260" a="1"/>
  <c r="V458" i="260" a="1"/>
  <c r="BQ221" i="260" a="1"/>
  <c r="BF459" i="260" a="1"/>
  <c r="N189" i="260" a="1"/>
  <c r="AD775" i="260" a="1"/>
  <c r="AN380" i="260" a="1"/>
  <c r="BM524" i="260" a="1"/>
  <c r="R180" i="260" a="1"/>
  <c r="J677" i="260" a="1"/>
  <c r="AZ582" i="260" a="1"/>
  <c r="G778" i="260" a="1"/>
  <c r="Z253" i="260" a="1"/>
  <c r="BJ738" i="260" a="1"/>
  <c r="AN618" i="260" a="1"/>
  <c r="V268" i="260" a="1"/>
  <c r="BU453" i="260" a="1"/>
  <c r="BM432" i="260" a="1"/>
  <c r="AN753" i="260" a="1"/>
  <c r="BU538" i="260" a="1"/>
  <c r="BM387" i="260" a="1"/>
  <c r="BF290" i="260" a="1"/>
  <c r="BJ361" i="260" a="1"/>
  <c r="J173" i="260" a="1"/>
  <c r="AH395" i="260" a="1"/>
  <c r="AV177" i="260" a="1"/>
  <c r="BJ251" i="260" a="1"/>
  <c r="AQ511" i="260" a="1"/>
  <c r="R336" i="260" a="1"/>
  <c r="AD62" i="260" a="1"/>
  <c r="V760" i="260" a="1"/>
  <c r="AQ496" i="260" a="1"/>
  <c r="AV161" i="260" a="1"/>
  <c r="G663" i="260" a="1"/>
  <c r="R405" i="260" a="1"/>
  <c r="V522" i="260" a="1"/>
  <c r="J618" i="260" a="1"/>
  <c r="G420" i="260" a="1"/>
  <c r="Z587" i="260" a="1"/>
  <c r="AN369" i="260" a="1"/>
  <c r="AV732" i="260" a="1"/>
  <c r="N193" i="260" a="1"/>
  <c r="BU598" i="260" a="1"/>
  <c r="AD294" i="260" a="1"/>
  <c r="AV225" i="260" a="1"/>
  <c r="Z749" i="260" a="1"/>
  <c r="AQ268" i="260" a="1"/>
  <c r="V725" i="260" a="1"/>
  <c r="G95" i="260" a="1"/>
  <c r="AZ59" i="260" a="1"/>
  <c r="AV717" i="260" a="1"/>
  <c r="BQ399" i="260" a="1"/>
  <c r="BF341" i="260" a="1"/>
  <c r="BQ300" i="260" a="1"/>
  <c r="J649" i="260" a="1"/>
  <c r="BU475" i="260" a="1"/>
  <c r="AH344" i="260" a="1"/>
  <c r="G78" i="260" a="1"/>
  <c r="AV265" i="260" a="1"/>
  <c r="AD737" i="260" a="1"/>
  <c r="N141" i="260" a="1"/>
  <c r="BF66" i="260" a="1"/>
  <c r="BU707" i="260" a="1"/>
  <c r="AH219" i="260" a="1"/>
  <c r="AD256" i="260" a="1"/>
  <c r="G642" i="260" a="1"/>
  <c r="V313" i="260" a="1"/>
  <c r="AV466" i="260" a="1"/>
  <c r="G717" i="260" a="1"/>
  <c r="AD745" i="260" a="1"/>
  <c r="BF192" i="260" a="1"/>
  <c r="BM223" i="260" a="1"/>
  <c r="AQ591" i="260" a="1"/>
  <c r="AD328" i="260" a="1"/>
  <c r="G706" i="260" a="1"/>
  <c r="AH414" i="260" a="1"/>
  <c r="BM694" i="260" a="1"/>
  <c r="BU541" i="260" a="1"/>
  <c r="N396" i="260" a="1"/>
  <c r="Z703" i="260" a="1"/>
  <c r="R65" i="260" a="1"/>
  <c r="AV395" i="260" a="1"/>
  <c r="BF760" i="260" a="1"/>
  <c r="AH623" i="260" a="1"/>
  <c r="J184" i="260" a="1"/>
  <c r="AQ256" i="260" a="1"/>
  <c r="AD524" i="260" a="1"/>
  <c r="AN625" i="260" a="1"/>
  <c r="AN196" i="260" a="1"/>
  <c r="BM209" i="260" a="1"/>
  <c r="BJ341" i="260" a="1"/>
  <c r="BU719" i="260" a="1"/>
  <c r="R421" i="260" a="1"/>
  <c r="BF650" i="260" a="1"/>
  <c r="R316" i="260" a="1"/>
  <c r="AZ489" i="260" a="1"/>
  <c r="V199" i="260" a="1"/>
  <c r="BU618" i="260" a="1"/>
  <c r="Z117" i="260" a="1"/>
  <c r="R176" i="260" a="1"/>
  <c r="AQ353" i="260" a="1"/>
  <c r="BJ668" i="260" a="1"/>
  <c r="N485" i="260" a="1"/>
  <c r="N509" i="260" a="1"/>
  <c r="V260" i="260" a="1"/>
  <c r="BM293" i="260" a="1"/>
  <c r="R178" i="260" a="1"/>
  <c r="AZ614" i="260" a="1"/>
  <c r="BU323" i="260" a="1"/>
  <c r="G139" i="260" a="1"/>
  <c r="BF747" i="260" a="1"/>
  <c r="AN286" i="260" a="1"/>
  <c r="N463" i="260" a="1"/>
  <c r="R689" i="260" a="1"/>
  <c r="AV135" i="260" a="1"/>
  <c r="J740" i="260" a="1"/>
  <c r="G618" i="260" a="1"/>
  <c r="BQ656" i="260" a="1"/>
  <c r="BU668" i="260" a="1"/>
  <c r="BF521" i="260" a="1"/>
  <c r="N671" i="260" a="1"/>
  <c r="R385" i="260" a="1"/>
  <c r="G178" i="260" a="1"/>
  <c r="BQ558" i="260" a="1"/>
  <c r="BF181" i="260" a="1"/>
  <c r="AN520" i="260" a="1"/>
  <c r="G242" i="260" a="1"/>
  <c r="Z668" i="260" a="1"/>
  <c r="BJ293" i="260" a="1"/>
  <c r="BF770" i="260" a="1"/>
  <c r="AH530" i="260" a="1"/>
  <c r="Z523" i="260" a="1"/>
  <c r="AV721" i="260" a="1"/>
  <c r="AZ306" i="260" a="1"/>
  <c r="AV381" i="260" a="1"/>
  <c r="BM636" i="260" a="1"/>
  <c r="AQ223" i="260" a="1"/>
  <c r="J605" i="260" a="1"/>
  <c r="BQ452" i="260" a="1"/>
  <c r="V558" i="260" a="1"/>
  <c r="BM275" i="260" a="1"/>
  <c r="AH608" i="260" a="1"/>
  <c r="AV637" i="260" a="1"/>
  <c r="BJ405" i="260" a="1"/>
  <c r="BU67" i="260" a="1"/>
  <c r="AZ117" i="260" a="1"/>
  <c r="BM170" i="260" a="1"/>
  <c r="BJ597" i="260" a="1"/>
  <c r="G92" i="260" a="1"/>
  <c r="BJ236" i="260" a="1"/>
  <c r="Z598" i="260" a="1"/>
  <c r="AZ644" i="260" a="1"/>
  <c r="J558" i="260" a="1"/>
  <c r="BM748" i="260" a="1"/>
  <c r="AZ707" i="260" a="1"/>
  <c r="AZ285" i="260" a="1"/>
  <c r="AQ239" i="260" a="1"/>
  <c r="BU193" i="260" a="1"/>
  <c r="V769" i="260" a="1"/>
  <c r="J190" i="260" a="1"/>
  <c r="AD657" i="260" a="1"/>
  <c r="J375" i="260" a="1"/>
  <c r="N110" i="260" a="1"/>
  <c r="BJ648" i="260" a="1"/>
  <c r="AD339" i="260" a="1"/>
  <c r="BM118" i="260" a="1"/>
  <c r="BM463" i="260" a="1"/>
  <c r="BF398" i="260" a="1"/>
  <c r="BF62" i="260" a="1"/>
  <c r="AV714" i="260" a="1"/>
  <c r="BF506" i="260" a="1"/>
  <c r="BQ397" i="260" a="1"/>
  <c r="J112" i="260" a="1"/>
  <c r="G685" i="260" a="1"/>
  <c r="J448" i="260" a="1"/>
  <c r="AN555" i="260" a="1"/>
  <c r="N170" i="260" a="1"/>
  <c r="N555" i="260" a="1"/>
  <c r="AV772" i="260" a="1"/>
  <c r="V331" i="260" a="1"/>
  <c r="AH284" i="260" a="1"/>
  <c r="AH180" i="260" a="1"/>
  <c r="BJ119" i="260" a="1"/>
  <c r="AD436" i="260" a="1"/>
  <c r="BJ657" i="260" a="1"/>
  <c r="BJ690" i="260" a="1"/>
  <c r="AD349" i="260" a="1"/>
  <c r="N600" i="260" a="1"/>
  <c r="AD708" i="260" a="1"/>
  <c r="AZ648" i="260" a="1"/>
  <c r="N434" i="260" a="1"/>
  <c r="N578" i="260" a="1"/>
  <c r="N596" i="260" a="1"/>
  <c r="Z316" i="260" a="1"/>
  <c r="J171" i="260" a="1"/>
  <c r="AZ309" i="260" a="1"/>
  <c r="BJ767" i="260" a="1"/>
  <c r="R574" i="260" a="1"/>
  <c r="BF558" i="260" a="1"/>
  <c r="BM199" i="260" a="1"/>
  <c r="AV449" i="260" a="1"/>
  <c r="V613" i="260" a="1"/>
  <c r="V420" i="260" a="1"/>
  <c r="BQ598" i="260" a="1"/>
  <c r="N536" i="260" a="1"/>
  <c r="BJ645" i="260" a="1"/>
  <c r="R399" i="260" a="1"/>
  <c r="V256" i="260" a="1"/>
  <c r="AV611" i="260" a="1"/>
  <c r="AV120" i="260" a="1"/>
  <c r="AN442" i="260" a="1"/>
  <c r="G728" i="260" a="1"/>
  <c r="Z364" i="260" a="1"/>
  <c r="J540" i="260" a="1"/>
  <c r="AD82" i="260" a="1"/>
  <c r="BQ309" i="260" a="1"/>
  <c r="BU462" i="260" a="1"/>
  <c r="BQ319" i="260" a="1"/>
  <c r="BF767" i="260" a="1"/>
  <c r="BQ176" i="260" a="1"/>
  <c r="AZ572" i="260" a="1"/>
  <c r="AV497" i="260" a="1"/>
  <c r="AH697" i="260" a="1"/>
  <c r="V165" i="260" a="1"/>
  <c r="AN524" i="260" a="1"/>
  <c r="AQ524" i="260" a="1"/>
  <c r="AV297" i="260" a="1"/>
  <c r="BQ259" i="260" a="1"/>
  <c r="BF416" i="260" a="1"/>
  <c r="BM85" i="260" a="1"/>
  <c r="BQ523" i="260" a="1"/>
  <c r="AQ149" i="260" a="1"/>
  <c r="AD323" i="260" a="1"/>
  <c r="AN200" i="260" a="1"/>
  <c r="BF596" i="260" a="1"/>
  <c r="BU562" i="260" a="1"/>
  <c r="AQ289" i="260" a="1"/>
  <c r="BQ530" i="260" a="1"/>
  <c r="BU474" i="260" a="1"/>
  <c r="AV601" i="260" a="1"/>
  <c r="AQ471" i="260" a="1"/>
  <c r="R469" i="260" a="1"/>
  <c r="BU415" i="260" a="1"/>
  <c r="AD591" i="260" a="1"/>
  <c r="J189" i="260" a="1"/>
  <c r="AV528" i="260" a="1"/>
  <c r="Z226" i="260" a="1"/>
  <c r="AV706" i="260" a="1"/>
  <c r="BM438" i="260" a="1"/>
  <c r="BF356" i="260" a="1"/>
  <c r="BQ284" i="260" a="1"/>
  <c r="V341" i="260" a="1"/>
  <c r="AQ187" i="260" a="1"/>
  <c r="BM228" i="260" a="1"/>
  <c r="R285" i="260" a="1"/>
  <c r="BM94" i="260" a="1"/>
  <c r="AZ350" i="260" a="1"/>
  <c r="AN446" i="260" a="1"/>
  <c r="AD127" i="260" a="1"/>
  <c r="Z156" i="260" a="1"/>
  <c r="V610" i="260" a="1"/>
  <c r="J755" i="260" a="1"/>
  <c r="AV351" i="260" a="1"/>
  <c r="N342" i="260" a="1"/>
  <c r="AV88" i="260" a="1"/>
  <c r="BU502" i="260" a="1"/>
  <c r="BQ592" i="260" a="1"/>
  <c r="AN342" i="260" a="1"/>
  <c r="AN526" i="260" a="1"/>
  <c r="BU398" i="260" a="1"/>
  <c r="N247" i="260" a="1"/>
  <c r="AZ227" i="260" a="1"/>
  <c r="AH735" i="260" a="1"/>
  <c r="J718" i="260" a="1"/>
  <c r="N490" i="260" a="1"/>
  <c r="BF242" i="260" a="1"/>
  <c r="R489" i="260" a="1"/>
  <c r="BU271" i="260" a="1"/>
  <c r="BM483" i="260" a="1"/>
  <c r="AN310" i="260" a="1"/>
  <c r="AZ737" i="260" a="1"/>
  <c r="AZ765" i="260" a="1"/>
  <c r="BQ544" i="260" a="1"/>
  <c r="BF505" i="260" a="1"/>
  <c r="BU457" i="260" a="1"/>
  <c r="AD192" i="260" a="1"/>
  <c r="V681" i="260" a="1"/>
  <c r="AH763" i="260" a="1"/>
  <c r="AN426" i="260" a="1"/>
  <c r="AZ93" i="260" a="1"/>
  <c r="BQ591" i="260" a="1"/>
  <c r="G123" i="260" a="1"/>
  <c r="J439" i="260" a="1"/>
  <c r="AD152" i="260" a="1"/>
  <c r="AQ430" i="260" a="1"/>
  <c r="AD642" i="260" a="1"/>
  <c r="V301" i="260" a="1"/>
  <c r="AV364" i="260" a="1"/>
  <c r="R693" i="260" a="1"/>
  <c r="BJ698" i="260" a="1"/>
  <c r="Z96" i="260" a="1"/>
  <c r="AZ433" i="260" a="1"/>
  <c r="BQ652" i="260" a="1"/>
  <c r="V58" i="260" a="1"/>
  <c r="BJ91" i="260" a="1"/>
  <c r="J62" i="260" a="1"/>
  <c r="BJ365" i="260" a="1"/>
  <c r="AH445" i="260" a="1"/>
  <c r="BM674" i="260" a="1"/>
  <c r="N338" i="260" a="1"/>
  <c r="V267" i="260" a="1"/>
  <c r="BF413" i="260" a="1"/>
  <c r="R208" i="260" a="1"/>
  <c r="AQ258" i="260" a="1"/>
  <c r="G110" i="260" a="1"/>
  <c r="BM326" i="260" a="1"/>
  <c r="R557" i="260" a="1"/>
  <c r="BM176" i="260" a="1"/>
  <c r="AV336" i="260" a="1"/>
  <c r="BM288" i="260" a="1"/>
  <c r="G445" i="260" a="1"/>
  <c r="AV668" i="260" a="1"/>
  <c r="G611" i="260" a="1"/>
  <c r="AH398" i="260" a="1"/>
  <c r="AN227" i="260" a="1"/>
  <c r="G163" i="260" a="1"/>
  <c r="Z106" i="260" a="1"/>
  <c r="J602" i="260" a="1"/>
  <c r="BF123" i="260" a="1"/>
  <c r="V161" i="260" a="1"/>
  <c r="AV443" i="260" a="1"/>
  <c r="AV103" i="260" a="1"/>
  <c r="AD201" i="260" a="1"/>
  <c r="BJ492" i="260" a="1"/>
  <c r="BM534" i="260" a="1"/>
  <c r="BJ772" i="260" a="1"/>
  <c r="AH73" i="260" a="1"/>
  <c r="BU627" i="260" a="1"/>
  <c r="AD566" i="260" a="1"/>
  <c r="BU364" i="260" a="1"/>
  <c r="N194" i="260" a="1"/>
  <c r="J576" i="260" a="1"/>
  <c r="BQ484" i="260" a="1"/>
  <c r="AV585" i="260" a="1"/>
  <c r="AV696" i="260" a="1"/>
  <c r="BJ210" i="260" a="1"/>
  <c r="G461" i="260" a="1"/>
  <c r="J585" i="260" a="1"/>
  <c r="BQ777" i="260" a="1"/>
  <c r="AZ81" i="260" a="1"/>
  <c r="BU157" i="260" a="1"/>
  <c r="AZ377" i="260" a="1"/>
  <c r="AN252" i="260" a="1"/>
  <c r="AH487" i="260" a="1"/>
  <c r="AN699" i="260" a="1"/>
  <c r="AH139" i="260" a="1"/>
  <c r="BJ752" i="260" a="1"/>
  <c r="AH300" i="260" a="1"/>
  <c r="V302" i="260" a="1"/>
  <c r="AZ223" i="260" a="1"/>
  <c r="BQ291" i="260" a="1"/>
  <c r="AD209" i="260" a="1"/>
  <c r="AQ721" i="260" a="1"/>
  <c r="R358" i="260" a="1"/>
  <c r="V368" i="260" a="1"/>
  <c r="AZ196" i="260" a="1"/>
  <c r="BM560" i="260" a="1"/>
  <c r="BU208" i="260" a="1"/>
  <c r="G137" i="260" a="1"/>
  <c r="AV538" i="260" a="1"/>
  <c r="Z439" i="260" a="1"/>
  <c r="AV485" i="260" a="1"/>
  <c r="BM605" i="260" a="1"/>
  <c r="N730" i="260" a="1"/>
  <c r="G673" i="260" a="1"/>
  <c r="BQ495" i="260" a="1"/>
  <c r="J675" i="260" a="1"/>
  <c r="AZ264" i="260" a="1"/>
  <c r="BF557" i="260" a="1"/>
  <c r="J194" i="260" a="1"/>
  <c r="BM571" i="260" a="1"/>
  <c r="AV708" i="260" a="1"/>
  <c r="AQ357" i="260" a="1"/>
  <c r="BJ627" i="260" a="1"/>
  <c r="BQ366" i="260" a="1"/>
  <c r="AD149" i="260" a="1"/>
  <c r="G549" i="260" a="1"/>
  <c r="AH363" i="260" a="1"/>
  <c r="AV146" i="260" a="1"/>
  <c r="AD130" i="260" a="1"/>
  <c r="N761" i="260" a="1"/>
  <c r="BM683" i="260" a="1"/>
  <c r="BM64" i="260" a="1"/>
  <c r="AV184" i="260" a="1"/>
  <c r="AZ163" i="260" a="1"/>
  <c r="AV649" i="260" a="1"/>
  <c r="BF422" i="260" a="1"/>
  <c r="Z466" i="260" a="1"/>
  <c r="V741" i="260" a="1"/>
  <c r="BQ91" i="260" a="1"/>
  <c r="BJ530" i="260" a="1"/>
  <c r="AD364" i="260" a="1"/>
  <c r="BJ578" i="260" a="1"/>
  <c r="R608" i="260" a="1"/>
  <c r="BM300" i="260" a="1"/>
  <c r="AH755" i="260" a="1"/>
  <c r="J213" i="260" a="1"/>
  <c r="BF248" i="260" a="1"/>
  <c r="BJ561" i="260" a="1"/>
  <c r="J322" i="260" a="1"/>
  <c r="G355" i="260" a="1"/>
  <c r="BU492" i="260" a="1"/>
  <c r="G737" i="260" a="1"/>
  <c r="AV615" i="260" a="1"/>
  <c r="BJ720" i="260" a="1"/>
  <c r="BJ548" i="260" a="1"/>
  <c r="BQ576" i="260" a="1"/>
  <c r="BF231" i="260" a="1"/>
  <c r="AZ137" i="260" a="1"/>
  <c r="BU514" i="260" a="1"/>
  <c r="J591" i="260" a="1"/>
  <c r="BJ185" i="260" a="1"/>
  <c r="AV220" i="260" a="1"/>
  <c r="AQ152" i="260" a="1"/>
  <c r="J574" i="260" a="1"/>
  <c r="BQ712" i="260" a="1"/>
  <c r="AN193" i="260" a="1"/>
  <c r="G666" i="260" a="1"/>
  <c r="G383" i="260" a="1"/>
  <c r="R348" i="260" a="1"/>
  <c r="N325" i="260" a="1"/>
  <c r="G105" i="260" a="1"/>
  <c r="BQ237" i="260" a="1"/>
  <c r="BF327" i="260" a="1"/>
  <c r="BQ546" i="260" a="1"/>
  <c r="AQ761" i="260" a="1"/>
  <c r="AN469" i="260" a="1"/>
  <c r="R383" i="260" a="1"/>
  <c r="J548" i="260" a="1"/>
  <c r="AH489" i="260" a="1"/>
  <c r="AD650" i="260" a="1"/>
  <c r="G598" i="260" a="1"/>
  <c r="BU751" i="260" a="1"/>
  <c r="N265" i="260" a="1"/>
  <c r="J319" i="260" a="1"/>
  <c r="AD586" i="260" a="1"/>
  <c r="R288" i="260" a="1"/>
  <c r="AN223" i="260" a="1"/>
  <c r="J567" i="260" a="1"/>
  <c r="BU742" i="260" a="1"/>
  <c r="J584" i="260" a="1"/>
  <c r="V88" i="260" a="1"/>
  <c r="BJ387" i="260" a="1"/>
  <c r="AN692" i="260" a="1"/>
  <c r="AH381" i="260" a="1"/>
  <c r="BU383" i="260" a="1"/>
  <c r="N365" i="260" a="1"/>
  <c r="AZ214" i="260" a="1"/>
  <c r="Z294" i="260" a="1"/>
  <c r="V233" i="260" a="1"/>
  <c r="AQ478" i="260" a="1"/>
  <c r="AH378" i="260" a="1"/>
  <c r="Z213" i="260" a="1"/>
  <c r="BJ563" i="260" a="1"/>
  <c r="BQ639" i="260" a="1"/>
  <c r="AV666" i="260" a="1"/>
  <c r="AV431" i="260" a="1"/>
  <c r="Z138" i="260" a="1"/>
  <c r="BM480" i="260" a="1"/>
  <c r="AD432" i="260" a="1"/>
  <c r="G752" i="260" a="1"/>
  <c r="V387" i="260" a="1"/>
  <c r="J748" i="260" a="1"/>
  <c r="BU123" i="260" a="1"/>
  <c r="BJ156" i="260" a="1"/>
  <c r="AD380" i="260" a="1"/>
  <c r="BF664" i="260" a="1"/>
  <c r="BQ438" i="260" a="1"/>
  <c r="BQ675" i="260" a="1"/>
  <c r="AD494" i="260" a="1"/>
  <c r="Z240" i="260" a="1"/>
  <c r="AD237" i="260" a="1"/>
  <c r="BQ605" i="260" a="1"/>
  <c r="BJ724" i="260" a="1"/>
  <c r="V663" i="260" a="1"/>
  <c r="AN495" i="260" a="1"/>
  <c r="R559" i="260" a="1"/>
  <c r="AV375" i="260" a="1"/>
  <c r="N721" i="260" a="1"/>
  <c r="R412" i="260" a="1"/>
  <c r="AD622" i="260" a="1"/>
  <c r="V122" i="260" a="1"/>
  <c r="V96" i="260" a="1"/>
  <c r="G243" i="260" a="1"/>
  <c r="N214" i="260" a="1"/>
  <c r="BJ663" i="260" a="1"/>
  <c r="J178" i="260" a="1"/>
  <c r="G82" i="260" a="1"/>
  <c r="AH448" i="260" a="1"/>
  <c r="J273" i="260" a="1"/>
  <c r="V355" i="260" a="1"/>
  <c r="BF544" i="260" a="1"/>
  <c r="AD590" i="260" a="1"/>
  <c r="AQ741" i="260" a="1"/>
  <c r="BQ238" i="260" a="1"/>
  <c r="AQ705" i="260" a="1"/>
  <c r="BQ169" i="260" a="1"/>
  <c r="BQ691" i="260" a="1"/>
  <c r="G772" i="260" a="1"/>
  <c r="BQ243" i="260" a="1"/>
  <c r="AV202" i="260" a="1"/>
  <c r="R323" i="260" a="1"/>
  <c r="N293" i="260" a="1"/>
  <c r="BF125" i="260" a="1"/>
  <c r="N506" i="260" a="1"/>
  <c r="BM200" i="260" a="1"/>
  <c r="R648" i="260" a="1"/>
  <c r="BM427" i="260" a="1"/>
  <c r="J187" i="260" a="1"/>
  <c r="V775" i="260" a="1"/>
  <c r="Z137" i="260" a="1"/>
  <c r="V585" i="260" a="1"/>
  <c r="BM123" i="260" a="1"/>
  <c r="AH409" i="260" a="1"/>
  <c r="AH350" i="260" a="1"/>
  <c r="BF444" i="260" a="1"/>
  <c r="BM653" i="260" a="1"/>
  <c r="AZ491" i="260" a="1"/>
  <c r="BU285" i="260" a="1"/>
  <c r="BU527" i="260" a="1"/>
  <c r="AN611" i="260" a="1"/>
  <c r="N737" i="260" a="1"/>
  <c r="N647" i="260" a="1"/>
  <c r="G541" i="260" a="1"/>
  <c r="AQ368" i="260" a="1"/>
  <c r="BQ602" i="260" a="1"/>
  <c r="V121" i="260" a="1"/>
  <c r="N167" i="260" a="1"/>
  <c r="BU211" i="260" a="1"/>
  <c r="G500" i="260" a="1"/>
  <c r="BM460" i="260" a="1"/>
  <c r="AH150" i="260" a="1"/>
  <c r="AV730" i="260" a="1"/>
  <c r="AN653" i="260" a="1"/>
  <c r="AZ753" i="260" a="1"/>
  <c r="AV477" i="260" a="1"/>
  <c r="AH527" i="260" a="1"/>
  <c r="BQ752" i="260" a="1"/>
  <c r="BU543" i="260" a="1"/>
  <c r="Z475" i="260" a="1"/>
  <c r="BF221" i="260" a="1"/>
  <c r="R617" i="260" a="1"/>
  <c r="BF662" i="260" a="1"/>
  <c r="BQ505" i="260" a="1"/>
  <c r="BF532" i="260" a="1"/>
  <c r="J92" i="260" a="1"/>
  <c r="BQ493" i="260" a="1"/>
  <c r="N531" i="260" a="1"/>
  <c r="Z547" i="260" a="1"/>
  <c r="AZ74" i="260" a="1"/>
  <c r="AV427" i="260" a="1"/>
  <c r="BQ477" i="260" a="1"/>
  <c r="BF335" i="260" a="1"/>
  <c r="BU90" i="260" a="1"/>
  <c r="Z382" i="260" a="1"/>
  <c r="BM414" i="260" a="1"/>
  <c r="BJ86" i="260" a="1"/>
  <c r="BJ234" i="260" a="1"/>
  <c r="AN478" i="260" a="1"/>
  <c r="Z588" i="260" a="1"/>
  <c r="V197" i="260" a="1"/>
  <c r="AV363" i="260" a="1"/>
  <c r="AD546" i="260" a="1"/>
  <c r="N523" i="260" a="1"/>
  <c r="R159" i="260" a="1"/>
  <c r="G180" i="260" a="1"/>
  <c r="AD778" i="260" a="1"/>
  <c r="N438" i="260" a="1"/>
  <c r="AD274" i="260" a="1"/>
  <c r="BU459" i="260" a="1"/>
  <c r="BQ410" i="260" a="1"/>
  <c r="BJ545" i="260" a="1"/>
  <c r="AZ474" i="260" a="1"/>
  <c r="G550" i="260" a="1"/>
  <c r="AQ472" i="260" a="1"/>
  <c r="Z419" i="260" a="1"/>
  <c r="AQ650" i="260" a="1"/>
  <c r="AZ757" i="260" a="1"/>
  <c r="AD752" i="260" a="1"/>
  <c r="BM486" i="260" a="1"/>
  <c r="BM635" i="260" a="1"/>
  <c r="AQ414" i="260" a="1"/>
  <c r="BF201" i="260" a="1"/>
  <c r="BJ211" i="260" a="1"/>
  <c r="J499" i="260" a="1"/>
  <c r="G300" i="260" a="1"/>
  <c r="J501" i="260" a="1"/>
  <c r="AV98" i="260" a="1"/>
  <c r="BF340" i="260" a="1"/>
  <c r="BM331" i="260" a="1"/>
  <c r="J373" i="260" a="1"/>
  <c r="G193" i="260" a="1"/>
  <c r="Z194" i="260" a="1"/>
  <c r="AD320" i="260" a="1"/>
  <c r="BQ333" i="260" a="1"/>
  <c r="V205" i="260" a="1"/>
  <c r="BU370" i="260" a="1"/>
  <c r="AV726" i="260" a="1"/>
  <c r="BM696" i="260" a="1"/>
  <c r="BU493" i="260" a="1"/>
  <c r="AV165" i="260" a="1"/>
  <c r="BJ124" i="260" a="1"/>
  <c r="BM596" i="260" a="1"/>
  <c r="AZ245" i="260" a="1"/>
  <c r="BF198" i="260" a="1"/>
  <c r="AD706" i="260" a="1"/>
  <c r="AV261" i="260" a="1"/>
  <c r="BJ634" i="260" a="1"/>
  <c r="R391" i="260" a="1"/>
  <c r="AH113" i="260" a="1"/>
  <c r="AD498" i="260" a="1"/>
  <c r="AN68" i="260" a="1"/>
  <c r="Z141" i="260" a="1"/>
  <c r="BU282" i="260" a="1"/>
  <c r="BM574" i="260" a="1"/>
  <c r="BU498" i="260" a="1"/>
  <c r="N212" i="260" a="1"/>
  <c r="AH222" i="260" a="1"/>
  <c r="BJ217" i="260" a="1"/>
  <c r="J186" i="260" a="1"/>
  <c r="Z460" i="260" a="1"/>
  <c r="AQ486" i="260" a="1"/>
  <c r="AN142" i="260" a="1"/>
  <c r="J380" i="260" a="1"/>
  <c r="BJ146" i="260" a="1"/>
  <c r="AH94" i="260" a="1"/>
  <c r="G339" i="260" a="1"/>
  <c r="Z576" i="260" a="1"/>
  <c r="AV433" i="260" a="1"/>
  <c r="AD153" i="260" a="1"/>
  <c r="BF591" i="260" a="1"/>
  <c r="N655" i="260" a="1"/>
  <c r="AD157" i="260" a="1"/>
  <c r="BJ99" i="260" a="1"/>
  <c r="BM395" i="260" a="1"/>
  <c r="BM495" i="260" a="1"/>
  <c r="R650" i="260" a="1"/>
  <c r="BU311" i="260" a="1"/>
  <c r="R635" i="260" a="1"/>
  <c r="BJ576" i="260" a="1"/>
  <c r="AQ451" i="260" a="1"/>
  <c r="AV367" i="260" a="1"/>
  <c r="G183" i="260" a="1"/>
  <c r="AD709" i="260" a="1"/>
  <c r="N256" i="260" a="1"/>
  <c r="AQ767" i="260" a="1"/>
  <c r="G70" i="260" a="1"/>
  <c r="AV94" i="260" a="1"/>
  <c r="AZ126" i="260" a="1"/>
  <c r="AZ726" i="260" a="1"/>
  <c r="BM295" i="260" a="1"/>
  <c r="V218" i="260" a="1"/>
  <c r="Z220" i="260" a="1"/>
  <c r="G762" i="260" a="1"/>
  <c r="BJ426" i="260" a="1"/>
  <c r="BQ292" i="260" a="1"/>
  <c r="R378" i="260" a="1"/>
  <c r="J706" i="260" a="1"/>
  <c r="BF755" i="260" a="1"/>
  <c r="J660" i="260" a="1"/>
  <c r="BQ439" i="260" a="1"/>
  <c r="AZ475" i="260" a="1"/>
  <c r="G542" i="260" a="1"/>
  <c r="AV489" i="260" a="1"/>
  <c r="G220" i="260" a="1"/>
  <c r="V682" i="260" a="1"/>
  <c r="Z343" i="260" a="1"/>
  <c r="R146" i="260" a="1"/>
  <c r="BQ702" i="260" a="1"/>
  <c r="BF186" i="260" a="1"/>
  <c r="BF108" i="260" a="1"/>
  <c r="AD484" i="260" a="1"/>
  <c r="N545" i="260" a="1"/>
  <c r="Z472" i="260" a="1"/>
  <c r="AV189" i="260" a="1"/>
  <c r="R576" i="260" a="1"/>
  <c r="V219" i="260" a="1"/>
  <c r="G676" i="260" a="1"/>
  <c r="Z182" i="260" a="1"/>
  <c r="AD291" i="260" a="1"/>
  <c r="BF387" i="260" a="1"/>
  <c r="G138" i="260" a="1"/>
  <c r="BU237" i="260" a="1"/>
  <c r="R715" i="260" a="1"/>
  <c r="R182" i="260" a="1"/>
  <c r="BQ662" i="260" a="1"/>
  <c r="N588" i="260" a="1"/>
  <c r="R656" i="260" a="1"/>
  <c r="AD384" i="260" a="1"/>
  <c r="R219" i="260" a="1"/>
  <c r="G359" i="260" a="1"/>
  <c r="BM616" i="260" a="1"/>
  <c r="AH283" i="260" a="1"/>
  <c r="BF777" i="260" a="1"/>
  <c r="AZ608" i="260" a="1"/>
  <c r="N681" i="260" a="1"/>
  <c r="BM230" i="260" a="1"/>
  <c r="R770" i="260" a="1"/>
  <c r="BF723" i="260" a="1"/>
  <c r="R644" i="260" a="1"/>
  <c r="AD259" i="260" a="1"/>
  <c r="BU603" i="260" a="1"/>
  <c r="BM344" i="260" a="1"/>
  <c r="AN509" i="260" a="1"/>
  <c r="J107" i="260" a="1"/>
  <c r="BJ330" i="260" a="1"/>
  <c r="G665" i="260" a="1"/>
  <c r="V300" i="260" a="1"/>
  <c r="AZ658" i="260" a="1"/>
  <c r="BJ138" i="260" a="1"/>
  <c r="V753" i="260" a="1"/>
  <c r="AN728" i="260" a="1"/>
  <c r="V564" i="260" a="1"/>
  <c r="AN701" i="260" a="1"/>
  <c r="G705" i="260" a="1"/>
  <c r="AZ397" i="260" a="1"/>
  <c r="BJ389" i="260" a="1"/>
  <c r="BJ744" i="260" a="1"/>
  <c r="G555" i="260" a="1"/>
  <c r="J349" i="260" a="1"/>
  <c r="N770" i="260" a="1"/>
  <c r="AV711" i="260" a="1"/>
  <c r="N257" i="260" a="1"/>
  <c r="J588" i="260" a="1"/>
  <c r="AN709" i="260" a="1"/>
  <c r="BQ574" i="260" a="1"/>
  <c r="AD251" i="260" a="1"/>
  <c r="N352" i="260" a="1"/>
  <c r="AD296" i="260" a="1"/>
  <c r="AQ159" i="260" a="1"/>
  <c r="R294" i="260" a="1"/>
  <c r="BF234" i="260" a="1"/>
  <c r="V248" i="260" a="1"/>
  <c r="AN232" i="260" a="1"/>
  <c r="G630" i="260" a="1"/>
  <c r="V303" i="260" a="1"/>
  <c r="AH186" i="260" a="1"/>
  <c r="BF751" i="260" a="1"/>
  <c r="BF545" i="260" a="1"/>
  <c r="R596" i="260" a="1"/>
  <c r="Z676" i="260" a="1"/>
  <c r="AQ218" i="260" a="1"/>
  <c r="V130" i="260" a="1"/>
  <c r="AQ628" i="260" a="1"/>
  <c r="AH533" i="260" a="1"/>
  <c r="AD276" i="260" a="1"/>
  <c r="AQ732" i="260" a="1"/>
  <c r="AQ309" i="260" a="1"/>
  <c r="Z85" i="260" a="1"/>
  <c r="AN678" i="260" a="1"/>
  <c r="Z409" i="260" a="1"/>
  <c r="AN450" i="260" a="1"/>
  <c r="AD308" i="260" a="1"/>
  <c r="AN617" i="260" a="1"/>
  <c r="AD290" i="260" a="1"/>
  <c r="AH316" i="260" a="1"/>
  <c r="BU511" i="260" a="1"/>
  <c r="AD163" i="260" a="1"/>
  <c r="R66" i="260" a="1"/>
  <c r="J720" i="260" a="1"/>
  <c r="J655" i="260" a="1"/>
  <c r="J532" i="260" a="1"/>
  <c r="N403" i="260" a="1"/>
  <c r="BF778" i="260" a="1"/>
  <c r="AQ695" i="260" a="1"/>
  <c r="AD533" i="260" a="1"/>
  <c r="BQ317" i="260" a="1"/>
  <c r="AQ244" i="260" a="1"/>
  <c r="Z674" i="260" a="1"/>
  <c r="R692" i="260" a="1"/>
  <c r="BJ658" i="260" a="1"/>
  <c r="R243" i="260" a="1"/>
  <c r="G575" i="260" a="1"/>
  <c r="AZ83" i="260" a="1"/>
  <c r="AN536" i="260" a="1"/>
  <c r="V583" i="260" a="1"/>
  <c r="BJ150" i="260" a="1"/>
  <c r="BM292" i="260" a="1"/>
  <c r="BJ413" i="260" a="1"/>
  <c r="BF252" i="260" a="1"/>
  <c r="J557" i="260" a="1"/>
  <c r="AV633" i="260" a="1"/>
  <c r="J761" i="260" a="1"/>
  <c r="J356" i="260" a="1"/>
  <c r="AV342" i="260" a="1"/>
  <c r="BF360" i="260" a="1"/>
  <c r="AH237" i="260" a="1"/>
  <c r="AN710" i="260" a="1"/>
  <c r="BM119" i="260" a="1"/>
  <c r="AZ540" i="260" a="1"/>
  <c r="Z444" i="260" a="1"/>
  <c r="BJ437" i="260" a="1"/>
  <c r="J169" i="260" a="1"/>
  <c r="V264" i="260" a="1"/>
  <c r="BJ100" i="260" a="1"/>
  <c r="AV543" i="260" a="1"/>
  <c r="J84" i="260" a="1"/>
  <c r="AN463" i="260" a="1"/>
  <c r="AD578" i="260" a="1"/>
  <c r="Z698" i="260" a="1"/>
  <c r="R459" i="260" a="1"/>
  <c r="BU588" i="260" a="1"/>
  <c r="AZ708" i="260" a="1"/>
  <c r="AN567" i="260" a="1"/>
  <c r="AQ358" i="260" a="1"/>
  <c r="G558" i="260" a="1"/>
  <c r="BM682" i="260" a="1"/>
  <c r="BU207" i="260" a="1"/>
  <c r="AN636" i="260" a="1"/>
  <c r="AD607" i="260" a="1"/>
  <c r="BU283" i="260" a="1"/>
  <c r="G741" i="260" a="1"/>
  <c r="BJ615" i="260" a="1"/>
  <c r="AQ557" i="260" a="1"/>
  <c r="AV594" i="260" a="1"/>
  <c r="AD702" i="260" a="1"/>
  <c r="R580" i="260" a="1"/>
  <c r="BM632" i="260" a="1"/>
  <c r="N400" i="260" a="1"/>
  <c r="V266" i="260" a="1"/>
  <c r="AZ641" i="260" a="1"/>
  <c r="BF241" i="260" a="1"/>
  <c r="BJ431" i="260" a="1"/>
  <c r="Z377" i="260" a="1"/>
  <c r="N764" i="260" a="1"/>
  <c r="AH327" i="260" a="1"/>
  <c r="J251" i="260" a="1"/>
  <c r="AN485" i="260" a="1"/>
  <c r="V687" i="260" a="1"/>
  <c r="G723" i="260" a="1"/>
  <c r="BJ650" i="260" a="1"/>
  <c r="AD84" i="260" a="1"/>
  <c r="AZ724" i="260" a="1"/>
  <c r="AQ558" i="260" a="1"/>
  <c r="Z277" i="260" a="1"/>
  <c r="AN447" i="260" a="1"/>
  <c r="J65" i="260" a="1"/>
  <c r="AV544" i="260" a="1"/>
  <c r="V623" i="260" a="1"/>
  <c r="AD507" i="260" a="1"/>
  <c r="V293" i="260" a="1"/>
  <c r="AV417" i="260" a="1"/>
  <c r="BJ209" i="260" a="1"/>
  <c r="BQ515" i="260" a="1"/>
  <c r="BQ565" i="260" a="1"/>
  <c r="BF130" i="260" a="1"/>
  <c r="AV434" i="260" a="1"/>
  <c r="J747" i="260" a="1"/>
  <c r="BF652" i="260" a="1"/>
  <c r="AN432" i="260" a="1"/>
  <c r="AH690" i="260" a="1"/>
  <c r="V170" i="260" a="1"/>
  <c r="BQ459" i="260" a="1"/>
  <c r="AQ653" i="260" a="1"/>
  <c r="AH260" i="260" a="1"/>
  <c r="V366" i="260" a="1"/>
  <c r="N747" i="260" a="1"/>
  <c r="AN476" i="260" a="1"/>
  <c r="V605" i="260" a="1"/>
  <c r="N177" i="260" a="1"/>
  <c r="AD485" i="260" a="1"/>
  <c r="AZ232" i="260" a="1"/>
  <c r="R639" i="260" a="1"/>
  <c r="BM703" i="260" a="1"/>
  <c r="AV468" i="260" a="1"/>
  <c r="BJ710" i="260" a="1"/>
  <c r="J414" i="260" a="1"/>
  <c r="AN177" i="260" a="1"/>
  <c r="AV78" i="260" a="1"/>
  <c r="BF182" i="260" a="1"/>
  <c r="BJ306" i="260" a="1"/>
  <c r="AN666" i="260" a="1"/>
  <c r="AH506" i="260" a="1"/>
  <c r="R747" i="260" a="1"/>
  <c r="AN128" i="260" a="1"/>
  <c r="AN343" i="260" a="1"/>
  <c r="AN680" i="260" a="1"/>
  <c r="G249" i="260" a="1"/>
  <c r="AN81" i="260" a="1"/>
  <c r="R776" i="260" a="1"/>
  <c r="AD693" i="260" a="1"/>
  <c r="AZ766" i="260" a="1"/>
  <c r="AQ589" i="260" a="1"/>
  <c r="BU274" i="260" a="1"/>
  <c r="V533" i="260" a="1"/>
  <c r="AQ492" i="260" a="1"/>
  <c r="R709" i="260" a="1"/>
  <c r="AD721" i="260" a="1"/>
  <c r="R586" i="260" a="1"/>
  <c r="AN350" i="260" a="1"/>
  <c r="BF686" i="260" a="1"/>
  <c r="J696" i="260" a="1"/>
  <c r="BJ623" i="260" a="1"/>
  <c r="R547" i="260" a="1"/>
  <c r="AD564" i="260" a="1"/>
  <c r="AZ149" i="260" a="1"/>
  <c r="BQ341" i="260" a="1"/>
  <c r="BQ280" i="260" a="1"/>
  <c r="BU695" i="260" a="1"/>
  <c r="Z344" i="260" a="1"/>
  <c r="BQ526" i="260" a="1"/>
  <c r="J199" i="260" a="1"/>
  <c r="J203" i="260" a="1"/>
  <c r="G230" i="260" a="1"/>
  <c r="BF484" i="260" a="1"/>
  <c r="AV214" i="260" a="1"/>
  <c r="BQ353" i="260" a="1"/>
  <c r="G742" i="260" a="1"/>
  <c r="J253" i="260" a="1"/>
  <c r="J233" i="260" a="1"/>
  <c r="BU539" i="260" a="1"/>
  <c r="AN534" i="260" a="1"/>
  <c r="R748" i="260" a="1"/>
  <c r="BM645" i="260" a="1"/>
  <c r="Z126" i="260" a="1"/>
  <c r="BM260" i="260" a="1"/>
  <c r="R445" i="260" a="1"/>
  <c r="AN591" i="260" a="1"/>
  <c r="J430" i="260" a="1"/>
  <c r="AH611" i="260" a="1"/>
  <c r="G91" i="260" a="1"/>
  <c r="AQ112" i="260" a="1"/>
  <c r="J475" i="260" a="1"/>
  <c r="Z690" i="260" a="1"/>
  <c r="BF661" i="260" a="1"/>
  <c r="BJ421" i="260" a="1"/>
  <c r="AZ521" i="260" a="1"/>
  <c r="BU716" i="260" a="1"/>
  <c r="BM272" i="260" a="1"/>
  <c r="AN646" i="260" a="1"/>
  <c r="N114" i="260" a="1"/>
  <c r="AD140" i="260" a="1"/>
  <c r="BU417" i="260" a="1"/>
  <c r="G358" i="260" a="1"/>
  <c r="AQ241" i="260" a="1"/>
  <c r="N101" i="260" a="1"/>
  <c r="BF391" i="260" a="1"/>
  <c r="V488" i="260" a="1"/>
  <c r="V531" i="260" a="1"/>
  <c r="R578" i="260" a="1"/>
  <c r="Z122" i="260" a="1"/>
  <c r="BU778" i="260" a="1"/>
  <c r="AQ661" i="260" a="1"/>
  <c r="V500" i="260" a="1"/>
  <c r="BU609" i="260" a="1"/>
  <c r="G142" i="260" a="1"/>
  <c r="BF114" i="260" a="1"/>
  <c r="BM491" i="260" a="1"/>
  <c r="BU505" i="260" a="1"/>
  <c r="J289" i="260" a="1"/>
  <c r="AQ755" i="260" a="1"/>
  <c r="G114" i="260" a="1"/>
  <c r="G667" i="260" a="1"/>
  <c r="R658" i="260" a="1"/>
  <c r="AD399" i="260" a="1"/>
  <c r="AZ694" i="260" a="1"/>
  <c r="BF656" i="260" a="1"/>
  <c r="AV572" i="260" a="1"/>
  <c r="BM731" i="260" a="1"/>
  <c r="AZ258" i="260" a="1"/>
  <c r="G251" i="260" a="1"/>
  <c r="AN315" i="260" a="1"/>
  <c r="AD526" i="260" a="1"/>
  <c r="R241" i="260" a="1"/>
  <c r="BU339" i="260" a="1"/>
  <c r="BM724" i="260" a="1"/>
  <c r="V385" i="260" a="1"/>
  <c r="AD462" i="260" a="1"/>
  <c r="AH609" i="260" a="1"/>
  <c r="AH417" i="260" a="1"/>
  <c r="R531" i="260" a="1"/>
  <c r="BJ270" i="260" a="1"/>
  <c r="N107" i="260" a="1"/>
  <c r="N707" i="260" a="1"/>
  <c r="N717" i="260" a="1"/>
  <c r="J486" i="260" a="1"/>
  <c r="BM772" i="260" a="1"/>
  <c r="G516" i="260" a="1"/>
  <c r="BQ465" i="260" a="1"/>
  <c r="BF395" i="260" a="1"/>
  <c r="AZ552" i="260" a="1"/>
  <c r="BF698" i="260" a="1"/>
  <c r="BM251" i="260" a="1"/>
  <c r="AZ445" i="260" a="1"/>
  <c r="BJ763" i="260" a="1"/>
  <c r="AN773" i="260" a="1"/>
  <c r="N362" i="260" a="1"/>
  <c r="G640" i="260" a="1"/>
  <c r="V709" i="260" a="1"/>
  <c r="AD659" i="260" a="1"/>
  <c r="G648" i="260" a="1"/>
  <c r="BJ771" i="260" a="1"/>
  <c r="BU556" i="260" a="1"/>
  <c r="V497" i="260" a="1"/>
  <c r="V752" i="260" a="1"/>
  <c r="BU732" i="260" a="1"/>
  <c r="AH777" i="260" a="1"/>
  <c r="J606" i="260" a="1"/>
  <c r="R687" i="260" a="1"/>
  <c r="V236" i="260" a="1"/>
  <c r="AQ532" i="260" a="1"/>
  <c r="AZ357" i="260" a="1"/>
  <c r="G159" i="260" a="1"/>
  <c r="AZ230" i="260" a="1"/>
  <c r="G307" i="260" a="1"/>
  <c r="AD366" i="260" a="1"/>
  <c r="AZ543" i="260" a="1"/>
  <c r="BJ327" i="260" a="1"/>
  <c r="AZ123" i="260" a="1"/>
  <c r="AN747" i="260" a="1"/>
  <c r="N674" i="260" a="1"/>
  <c r="AQ92" i="260" a="1"/>
  <c r="AZ450" i="260" a="1"/>
  <c r="AV676" i="260" a="1"/>
  <c r="AQ474" i="260" a="1"/>
  <c r="BJ243" i="260" a="1"/>
  <c r="G641" i="260" a="1"/>
  <c r="AH752" i="260" a="1"/>
  <c r="Z127" i="260" a="1"/>
  <c r="R505" i="260" a="1"/>
  <c r="BM174" i="260" a="1"/>
  <c r="BF757" i="260" a="1"/>
  <c r="AV416" i="260" a="1"/>
  <c r="J299" i="260" a="1"/>
  <c r="BQ327" i="260" a="1"/>
  <c r="BU257" i="260" a="1"/>
  <c r="Z522" i="260" a="1"/>
  <c r="AZ284" i="260" a="1"/>
  <c r="BF393" i="260" a="1"/>
  <c r="BM568" i="260" a="1"/>
  <c r="G410" i="260" a="1"/>
  <c r="R407" i="260" a="1"/>
  <c r="AV614" i="260" a="1"/>
  <c r="Z747" i="260" a="1"/>
  <c r="BQ203" i="260" a="1"/>
  <c r="Z476" i="260" a="1"/>
  <c r="AH371" i="260" a="1"/>
  <c r="G64" i="260" a="1"/>
  <c r="N353" i="260" a="1"/>
  <c r="G657" i="260" a="1"/>
  <c r="BU745" i="260" a="1"/>
  <c r="AN55" i="260" a="1"/>
  <c r="AV516" i="260" a="1"/>
  <c r="AD758" i="260" a="1"/>
  <c r="AQ606" i="260" a="1"/>
  <c r="AD381" i="260" a="1"/>
  <c r="BU287" i="260" a="1"/>
  <c r="AD628" i="260" a="1"/>
  <c r="AZ548" i="260" a="1"/>
  <c r="AV238" i="260" a="1"/>
  <c r="R510" i="260" a="1"/>
  <c r="V611" i="260" a="1"/>
  <c r="BJ105" i="260" a="1"/>
  <c r="BF127" i="260" a="1"/>
  <c r="AQ139" i="260" a="1"/>
  <c r="AH569" i="260" a="1"/>
  <c r="AV446" i="260" a="1"/>
  <c r="R78" i="260" a="1"/>
  <c r="BF264" i="260" a="1"/>
  <c r="AZ111" i="260" a="1"/>
  <c r="R483" i="260" a="1"/>
  <c r="BM612" i="260" a="1"/>
  <c r="BU663" i="260" a="1"/>
  <c r="G94" i="260" a="1"/>
  <c r="BJ692" i="260" a="1"/>
  <c r="BQ193" i="260" a="1"/>
  <c r="BQ311" i="260" a="1"/>
  <c r="N475" i="260" a="1"/>
  <c r="J758" i="260" a="1"/>
  <c r="V567" i="260" a="1"/>
  <c r="AN438" i="260" a="1"/>
  <c r="BU367" i="260" a="1"/>
  <c r="J333" i="260" a="1"/>
  <c r="BJ338" i="260" a="1"/>
  <c r="AH302" i="260" a="1"/>
  <c r="AN197" i="260" a="1"/>
  <c r="BM755" i="260" a="1"/>
  <c r="V391" i="260" a="1"/>
  <c r="BQ383" i="260" a="1"/>
  <c r="AZ633" i="260" a="1"/>
  <c r="J627" i="260" a="1"/>
  <c r="J103" i="260" a="1"/>
  <c r="AZ92" i="260" a="1"/>
  <c r="R95" i="260" a="1"/>
  <c r="BM220" i="260" a="1"/>
  <c r="V184" i="260" a="1"/>
  <c r="J437" i="260" a="1"/>
  <c r="BM627" i="260" a="1"/>
  <c r="R325" i="260" a="1"/>
  <c r="V719" i="260" a="1"/>
  <c r="AZ165" i="260" a="1"/>
  <c r="N182" i="260" a="1"/>
  <c r="AV483" i="260" a="1"/>
  <c r="BM448" i="260" a="1"/>
  <c r="BU268" i="260" a="1"/>
  <c r="Z756" i="260" a="1"/>
  <c r="Z453" i="260" a="1"/>
  <c r="G469" i="260" a="1"/>
  <c r="R501" i="260" a="1"/>
  <c r="AV317" i="260" a="1"/>
  <c r="V532" i="260" a="1"/>
  <c r="AZ242" i="260" a="1"/>
  <c r="Z526" i="260" a="1"/>
  <c r="BU410" i="260" a="1"/>
  <c r="BU350" i="260" a="1"/>
  <c r="BU461" i="260" a="1"/>
  <c r="V594" i="260" a="1"/>
  <c r="BJ449" i="260" a="1"/>
  <c r="AH406" i="260" a="1"/>
  <c r="AH682" i="260" a="1"/>
  <c r="N632" i="260" a="1"/>
  <c r="Z560" i="260" a="1"/>
  <c r="V180" i="260" a="1"/>
  <c r="AQ331" i="260" a="1"/>
  <c r="V528" i="260" a="1"/>
  <c r="AQ427" i="260" a="1"/>
  <c r="G333" i="260" a="1"/>
  <c r="J563" i="260" a="1"/>
  <c r="BU760" i="260" a="1"/>
  <c r="AQ673" i="260" a="1"/>
  <c r="Z546" i="260" a="1"/>
  <c r="Z116" i="260" a="1"/>
  <c r="R170" i="260" a="1"/>
  <c r="N492" i="260" a="1"/>
  <c r="BJ626" i="260" a="1"/>
  <c r="AQ608" i="260" a="1"/>
  <c r="BJ347" i="260" a="1"/>
  <c r="AZ305" i="260" a="1"/>
  <c r="AD739" i="260" a="1"/>
  <c r="AD609" i="260" a="1"/>
  <c r="J496" i="260" a="1"/>
  <c r="AD471" i="260" a="1"/>
  <c r="AH84" i="260" a="1"/>
  <c r="BM753" i="260" a="1"/>
  <c r="AD100" i="260" a="1"/>
  <c r="BQ534" i="260" a="1"/>
  <c r="AQ561" i="260" a="1"/>
  <c r="BM105" i="260" a="1"/>
  <c r="J181" i="260" a="1"/>
  <c r="BF548" i="260" a="1"/>
  <c r="BF750" i="260" a="1"/>
  <c r="G582" i="260" a="1"/>
  <c r="J452" i="260" a="1"/>
  <c r="BF449" i="260" a="1"/>
  <c r="AD477" i="260" a="1"/>
  <c r="BU185" i="260" a="1"/>
  <c r="Z272" i="260" a="1"/>
  <c r="N675" i="260" a="1"/>
  <c r="AV740" i="260" a="1"/>
  <c r="R256" i="260" a="1"/>
  <c r="BU560" i="260" a="1"/>
  <c r="AD81" i="260" a="1"/>
  <c r="Z340" i="260" a="1"/>
  <c r="J525" i="260" a="1"/>
  <c r="AQ735" i="260" a="1"/>
  <c r="BQ685" i="260" a="1"/>
  <c r="AQ753" i="260" a="1"/>
  <c r="BM774" i="260" a="1"/>
  <c r="AZ413" i="260" a="1"/>
  <c r="AZ288" i="260" a="1"/>
  <c r="AQ303" i="260" a="1"/>
  <c r="V212" i="260" a="1"/>
  <c r="BQ750" i="260" a="1"/>
  <c r="BU638" i="260" a="1"/>
  <c r="G325" i="260" a="1"/>
  <c r="Z599" i="260" a="1"/>
  <c r="AV487" i="260" a="1"/>
  <c r="G547" i="260" a="1"/>
  <c r="Z733" i="260" a="1"/>
  <c r="V195" i="260" a="1"/>
  <c r="Z470" i="260" a="1"/>
  <c r="N314" i="260" a="1"/>
  <c r="BM488" i="260" a="1"/>
  <c r="J188" i="260" a="1"/>
  <c r="BM188" i="260" a="1"/>
  <c r="BM166" i="260" a="1"/>
  <c r="V566" i="260" a="1"/>
  <c r="N155" i="260" a="1"/>
  <c r="BM419" i="260" a="1"/>
  <c r="BQ283" i="260" a="1"/>
  <c r="R339" i="260" a="1"/>
  <c r="BU335" i="260" a="1"/>
  <c r="BF57" i="260" a="1"/>
  <c r="BJ190" i="260" a="1"/>
  <c r="R148" i="260" a="1"/>
  <c r="AV191" i="260" a="1"/>
  <c r="Z259" i="260" a="1"/>
  <c r="BQ380" i="260" a="1"/>
  <c r="J145" i="260" a="1"/>
  <c r="G245" i="260" a="1"/>
  <c r="AQ108" i="260" a="1"/>
  <c r="Z437" i="260" a="1"/>
  <c r="AZ676" i="260" a="1"/>
  <c r="N284" i="260" a="1"/>
  <c r="BF322" i="260" a="1"/>
  <c r="AH770" i="260" a="1"/>
  <c r="AH188" i="260" a="1"/>
  <c r="BU544" i="260" a="1"/>
  <c r="AN162" i="260" a="1"/>
  <c r="BJ662" i="260" a="1"/>
  <c r="Z455" i="260" a="1"/>
  <c r="AZ307" i="260" a="1"/>
  <c r="V737" i="260" a="1"/>
  <c r="Z487" i="260" a="1"/>
  <c r="R128" i="260" a="1"/>
  <c r="BF610" i="260" a="1"/>
  <c r="AH108" i="260" a="1"/>
  <c r="BQ406" i="260" a="1"/>
  <c r="BJ149" i="260" a="1"/>
  <c r="BU156" i="260" a="1"/>
  <c r="AQ307" i="260" a="1"/>
  <c r="BF703" i="260" a="1"/>
  <c r="R310" i="260" a="1"/>
  <c r="AN542" i="260" a="1"/>
  <c r="N481" i="260" a="1"/>
  <c r="N439" i="260" a="1"/>
  <c r="BJ510" i="260" a="1"/>
  <c r="Z468" i="260" a="1"/>
  <c r="BF500" i="260" a="1"/>
  <c r="G499" i="260" a="1"/>
  <c r="G613" i="260" a="1"/>
  <c r="AV537" i="260" a="1"/>
  <c r="N90" i="260" a="1"/>
  <c r="BU749" i="260" a="1"/>
  <c r="BF377" i="260" a="1"/>
  <c r="AZ408" i="260" a="1"/>
  <c r="AQ405" i="260" a="1"/>
  <c r="BU215" i="260" a="1"/>
  <c r="BM311" i="260" a="1"/>
  <c r="BJ682" i="260" a="1"/>
  <c r="V655" i="260" a="1"/>
  <c r="AN237" i="260" a="1"/>
  <c r="AV392" i="260" a="1"/>
  <c r="AQ278" i="260" a="1"/>
  <c r="BM475" i="260" a="1"/>
  <c r="AZ749" i="260" a="1"/>
  <c r="AQ380" i="260" a="1"/>
  <c r="J426" i="260" a="1"/>
  <c r="R626" i="260" a="1"/>
  <c r="N669" i="260" a="1"/>
  <c r="BJ267" i="260" a="1"/>
  <c r="Z442" i="260" a="1"/>
  <c r="R235" i="260" a="1"/>
  <c r="J328" i="260" a="1"/>
  <c r="J594" i="260" a="1"/>
  <c r="BJ345" i="260" a="1"/>
  <c r="BM218" i="260" a="1"/>
  <c r="BM710" i="260" a="1"/>
  <c r="AD234" i="260" a="1"/>
  <c r="AD447" i="260" a="1"/>
  <c r="G661" i="260" a="1"/>
  <c r="G543" i="260" a="1"/>
  <c r="Z536" i="260" a="1"/>
  <c r="V575" i="260" a="1"/>
  <c r="BJ556" i="260" a="1"/>
  <c r="V696" i="260" a="1"/>
  <c r="R426" i="260" a="1"/>
  <c r="AV299" i="260" a="1"/>
  <c r="N211" i="260" a="1"/>
  <c r="BQ247" i="260" a="1"/>
  <c r="AD415" i="260" a="1"/>
  <c r="BJ339" i="260" a="1"/>
  <c r="N664" i="260" a="1"/>
  <c r="BU691" i="260" a="1"/>
  <c r="AN97" i="260" a="1"/>
  <c r="Z458" i="260" a="1"/>
  <c r="J126" i="260" a="1"/>
  <c r="AV172" i="260" a="1"/>
  <c r="AD98" i="260" a="1"/>
  <c r="R439" i="260" a="1"/>
  <c r="G750" i="260" a="1"/>
  <c r="BU436" i="260" a="1"/>
  <c r="AQ483" i="260" a="1"/>
  <c r="AZ331" i="260" a="1"/>
  <c r="BM353" i="260" a="1"/>
  <c r="AH731" i="260" a="1"/>
  <c r="AD636" i="260" a="1"/>
  <c r="AN774" i="260" a="1"/>
  <c r="AN325" i="260" a="1"/>
  <c r="AN164" i="260" a="1"/>
  <c r="AV689" i="260" a="1"/>
  <c r="AQ310" i="260" a="1"/>
  <c r="G455" i="260" a="1"/>
  <c r="AQ609" i="260" a="1"/>
  <c r="BF709" i="260" a="1"/>
  <c r="G591" i="260" a="1"/>
  <c r="BJ522" i="260" a="1"/>
  <c r="J315" i="260" a="1"/>
  <c r="AV413" i="260" a="1"/>
  <c r="V394" i="260" a="1"/>
  <c r="G443" i="260" a="1"/>
  <c r="AQ701" i="260" a="1"/>
  <c r="R262" i="260" a="1"/>
  <c r="AZ316" i="260" a="1"/>
  <c r="AZ276" i="260" a="1"/>
  <c r="AZ736" i="260" a="1"/>
  <c r="AV493" i="260" a="1"/>
  <c r="AV406" i="260" a="1"/>
  <c r="Z441" i="260" a="1"/>
  <c r="AV126" i="260" a="1"/>
  <c r="BQ219" i="260" a="1"/>
  <c r="AZ426" i="260" a="1"/>
  <c r="AD648" i="260" a="1"/>
  <c r="AV481" i="260" a="1"/>
  <c r="N444" i="260" a="1"/>
  <c r="G221" i="260" a="1"/>
  <c r="AV624" i="260" a="1"/>
  <c r="G423" i="260" a="1"/>
  <c r="BF348" i="260" a="1"/>
  <c r="AZ78" i="260" a="1"/>
  <c r="BM349" i="260" a="1"/>
  <c r="AQ267" i="260" a="1"/>
  <c r="J445" i="260" a="1"/>
  <c r="AZ663" i="260" a="1"/>
  <c r="AN576" i="260" a="1"/>
  <c r="AH130" i="260" a="1"/>
  <c r="Z412" i="260" a="1"/>
  <c r="AN497" i="260" a="1"/>
  <c r="BF269" i="260" a="1"/>
  <c r="AQ177" i="260" a="1"/>
  <c r="AV690" i="260" a="1"/>
  <c r="G749" i="260" a="1"/>
  <c r="N687" i="260" a="1"/>
  <c r="AV693" i="260" a="1"/>
  <c r="AZ312" i="260" a="1"/>
  <c r="AN657" i="260" a="1"/>
  <c r="BJ215" i="260" a="1"/>
  <c r="AQ330" i="260" a="1"/>
  <c r="BQ721" i="260" a="1"/>
  <c r="G311" i="260" a="1"/>
  <c r="R581" i="260" a="1"/>
  <c r="V376" i="260" a="1"/>
  <c r="AQ315" i="260" a="1"/>
  <c r="AH341" i="260" a="1"/>
  <c r="R642" i="260" a="1"/>
  <c r="R681" i="260" a="1"/>
  <c r="AQ566" i="260" a="1"/>
  <c r="N382" i="260" a="1"/>
  <c r="AQ115" i="260" a="1"/>
  <c r="J393" i="260" a="1"/>
  <c r="AH223" i="260" a="1"/>
  <c r="R211" i="260" a="1"/>
  <c r="V340" i="260" a="1"/>
  <c r="AD574" i="260" a="1"/>
  <c r="AH58" i="260" a="1"/>
  <c r="AN458" i="260" a="1"/>
  <c r="Z557" i="260" a="1"/>
  <c r="V660" i="260" a="1"/>
  <c r="R238" i="260" a="1"/>
  <c r="AH625" i="260" a="1"/>
  <c r="AD324" i="260" a="1"/>
  <c r="BU91" i="260" a="1"/>
  <c r="AQ421" i="260" a="1"/>
  <c r="AZ376" i="260" a="1"/>
  <c r="BU545" i="260" a="1"/>
  <c r="BJ628" i="260" a="1"/>
  <c r="G438" i="260" a="1"/>
  <c r="AQ137" i="260" a="1"/>
  <c r="BF673" i="260" a="1"/>
  <c r="AH359" i="260" a="1"/>
  <c r="AN473" i="260" a="1"/>
  <c r="AZ424" i="260" a="1"/>
  <c r="BF267" i="260" a="1"/>
  <c r="R87" i="260" a="1"/>
  <c r="AZ273" i="260" a="1"/>
  <c r="N746" i="260" a="1"/>
  <c r="BU482" i="260" a="1"/>
  <c r="BU186" i="260" a="1"/>
  <c r="Z752" i="260" a="1"/>
  <c r="J671" i="260" a="1"/>
  <c r="BJ640" i="260" a="1"/>
  <c r="AZ287" i="260" a="1"/>
  <c r="AQ142" i="260" a="1"/>
  <c r="V651" i="260" a="1"/>
  <c r="BM296" i="260" a="1"/>
  <c r="AZ598" i="260" a="1"/>
  <c r="G398" i="260" a="1"/>
  <c r="Z777" i="260" a="1"/>
  <c r="BJ468" i="260" a="1"/>
  <c r="AD690" i="260" a="1"/>
  <c r="AZ646" i="260" a="1"/>
  <c r="V133" i="260" a="1"/>
  <c r="AN449" i="260" a="1"/>
  <c r="BM489" i="260" a="1"/>
  <c r="AD515" i="260" a="1"/>
  <c r="BF384" i="260" a="1"/>
  <c r="G745" i="260" a="1"/>
  <c r="V377" i="260" a="1"/>
  <c r="BU259" i="260" a="1"/>
  <c r="R236" i="260" a="1"/>
  <c r="AH402" i="260" a="1"/>
  <c r="AH202" i="260" a="1"/>
  <c r="R431" i="260" a="1"/>
  <c r="BQ135" i="260" a="1"/>
  <c r="Z144" i="260" a="1"/>
  <c r="AH559" i="260" a="1"/>
  <c r="AZ282" i="260" a="1"/>
  <c r="J777" i="260" a="1"/>
  <c r="AH493" i="260" a="1"/>
  <c r="AN235" i="260" a="1"/>
  <c r="AN313" i="260" a="1"/>
  <c r="J120" i="260" a="1"/>
  <c r="AV610" i="260" a="1"/>
  <c r="BJ534" i="260" a="1"/>
  <c r="AN392" i="260" a="1"/>
  <c r="N601" i="260" a="1"/>
  <c r="G303" i="260" a="1"/>
  <c r="J176" i="260" a="1"/>
  <c r="BM552" i="260" a="1"/>
  <c r="AH231" i="260" a="1"/>
  <c r="AZ740" i="260" a="1"/>
  <c r="R371" i="260" a="1"/>
  <c r="AD188" i="260" a="1"/>
  <c r="V283" i="260" a="1"/>
  <c r="AV231" i="260" a="1"/>
  <c r="N213" i="260" a="1"/>
  <c r="AN381" i="260" a="1"/>
  <c r="J443" i="260" a="1"/>
  <c r="AN437" i="260" a="1"/>
  <c r="BF265" i="260" a="1"/>
  <c r="AN775" i="260" a="1"/>
  <c r="BM484" i="260" a="1"/>
  <c r="V608" i="260" a="1"/>
  <c r="BF351" i="260" a="1"/>
  <c r="N466" i="260" a="1"/>
  <c r="Z302" i="260" a="1"/>
  <c r="BU306" i="260" a="1"/>
  <c r="AV533" i="260" a="1"/>
  <c r="N93" i="260" a="1"/>
  <c r="BQ360" i="260" a="1"/>
  <c r="BQ418" i="260" a="1"/>
  <c r="J69" i="260" a="1"/>
  <c r="AN702" i="260" a="1"/>
  <c r="BM603" i="260" a="1"/>
  <c r="AV330" i="260" a="1"/>
  <c r="AV192" i="260" a="1"/>
  <c r="G628" i="260" a="1"/>
  <c r="BJ633" i="260" a="1"/>
  <c r="BU168" i="260" a="1"/>
  <c r="AV684" i="260" a="1"/>
  <c r="R743" i="260" a="1"/>
  <c r="AQ111" i="260" a="1"/>
  <c r="AQ66" i="260" a="1"/>
  <c r="AN759" i="260" a="1"/>
  <c r="N526" i="260" a="1"/>
  <c r="AD776" i="260" a="1"/>
  <c r="AD753" i="260" a="1"/>
  <c r="BQ65" i="260" a="1"/>
  <c r="AN376" i="260" a="1"/>
  <c r="N187" i="260" a="1"/>
  <c r="BF414" i="260" a="1"/>
  <c r="BM127" i="260" a="1"/>
  <c r="BF694" i="260" a="1"/>
  <c r="AH641" i="260" a="1"/>
  <c r="AQ584" i="260" a="1"/>
  <c r="V393" i="260" a="1"/>
  <c r="R736" i="260" a="1"/>
  <c r="BM350" i="260" a="1"/>
  <c r="AQ553" i="260" a="1"/>
  <c r="G401" i="260" a="1"/>
  <c r="Z400" i="260" a="1"/>
  <c r="BF434" i="260" a="1"/>
  <c r="R130" i="260" a="1"/>
  <c r="AD453" i="260" a="1"/>
  <c r="V536" i="260" a="1"/>
  <c r="AN569" i="260" a="1"/>
  <c r="AD759" i="260" a="1"/>
  <c r="AD346" i="260" a="1"/>
  <c r="BU506" i="260" a="1"/>
  <c r="BU276" i="260" a="1"/>
  <c r="N83" i="260" a="1"/>
  <c r="AV353" i="260" a="1"/>
  <c r="G585" i="260" a="1"/>
  <c r="BQ755" i="260" a="1"/>
  <c r="AZ678" i="260" a="1"/>
  <c r="Z180" i="260" a="1"/>
  <c r="BU362" i="260" a="1"/>
  <c r="AD402" i="260" a="1"/>
  <c r="AN72" i="260" a="1"/>
  <c r="BU255" i="260" a="1"/>
  <c r="N547" i="260" a="1"/>
  <c r="R231" i="260" a="1"/>
  <c r="AZ221" i="260" a="1"/>
  <c r="R515" i="260" a="1"/>
  <c r="AD692" i="260" a="1"/>
  <c r="AV122" i="260" a="1"/>
  <c r="G153" i="260" a="1"/>
  <c r="AZ715" i="260" a="1"/>
  <c r="AH721" i="260" a="1"/>
  <c r="BJ497" i="260" a="1"/>
  <c r="BJ158" i="260" a="1"/>
  <c r="BM594" i="260" a="1"/>
  <c r="BQ396" i="260" a="1"/>
  <c r="BU293" i="260" a="1"/>
  <c r="AN301" i="260" a="1"/>
  <c r="BF440" i="260" a="1"/>
  <c r="N678" i="260" a="1"/>
  <c r="V746" i="260" a="1"/>
  <c r="AZ672" i="260" a="1"/>
  <c r="N82" i="260" a="1"/>
  <c r="V198" i="260" a="1"/>
  <c r="BJ291" i="260" a="1"/>
  <c r="AZ182" i="260" a="1"/>
  <c r="R230" i="260" a="1"/>
  <c r="AN203" i="260" a="1"/>
  <c r="BF184" i="260" a="1"/>
  <c r="N644" i="260" a="1"/>
  <c r="BJ551" i="260" a="1"/>
  <c r="BQ638" i="260" a="1"/>
  <c r="AH699" i="260" a="1"/>
  <c r="AH518" i="260" a="1"/>
  <c r="BM756" i="260" a="1"/>
  <c r="J659" i="260" a="1"/>
  <c r="BQ149" i="260" a="1"/>
  <c r="V384" i="260" a="1"/>
  <c r="AQ185" i="260" a="1"/>
  <c r="AV523" i="260" a="1"/>
  <c r="V86" i="260" a="1"/>
  <c r="BJ353" i="260" a="1"/>
  <c r="BJ745" i="260" a="1"/>
  <c r="BM301" i="260" a="1"/>
  <c r="N564" i="260" a="1"/>
  <c r="BQ277" i="260" a="1"/>
  <c r="BU503" i="260" a="1"/>
  <c r="BM664" i="260" a="1"/>
  <c r="AZ267" i="260" a="1"/>
  <c r="AZ138" i="260" a="1"/>
  <c r="BM665" i="260" a="1"/>
  <c r="G257" i="260" a="1"/>
  <c r="AV68" i="260" a="1"/>
  <c r="BM297" i="260" a="1"/>
  <c r="AN390" i="260" a="1"/>
  <c r="BU431" i="260" a="1"/>
  <c r="BU698" i="260" a="1"/>
  <c r="BQ416" i="260" a="1"/>
  <c r="BJ296" i="260" a="1"/>
  <c r="AN715" i="260" a="1"/>
  <c r="BQ432" i="260" a="1"/>
  <c r="AH605" i="260" a="1"/>
  <c r="BJ214" i="260" a="1"/>
  <c r="BF139" i="260" a="1"/>
  <c r="AN360" i="260" a="1"/>
  <c r="BF34" i="260" a="1"/>
  <c r="J33" i="260" a="1"/>
  <c r="AH563" i="260" a="1"/>
  <c r="BQ142" i="260" a="1"/>
  <c r="BU755" i="260" a="1"/>
  <c r="AV713" i="260" a="1"/>
  <c r="J87" i="260" a="1"/>
  <c r="BM289" i="260" a="1"/>
  <c r="AV318" i="260" a="1"/>
  <c r="J317" i="260" a="1"/>
  <c r="J399" i="260" a="1"/>
  <c r="AN136" i="260" a="1"/>
  <c r="N756" i="260" a="1"/>
  <c r="BJ667" i="260" a="1"/>
  <c r="BJ495" i="260" a="1"/>
  <c r="AN139" i="260" a="1"/>
  <c r="AD71" i="260" a="1"/>
  <c r="G318" i="260" a="1"/>
  <c r="G721" i="260" a="1"/>
  <c r="BF161" i="260" a="1"/>
  <c r="BU363" i="260" a="1"/>
  <c r="AN672" i="260" a="1"/>
  <c r="AQ313" i="260" a="1"/>
  <c r="J78" i="260" a="1"/>
  <c r="AN772" i="260" a="1"/>
  <c r="V503" i="260" a="1"/>
  <c r="AH274" i="260" a="1"/>
  <c r="V664" i="260" a="1"/>
  <c r="G702" i="260" a="1"/>
  <c r="BU702" i="260" a="1"/>
  <c r="BM69" i="260" a="1"/>
  <c r="BU423" i="260" a="1"/>
  <c r="AH50" i="260" a="1"/>
  <c r="BF51" i="260" a="1"/>
  <c r="AH580" i="260" a="1"/>
  <c r="AV559" i="260" a="1"/>
  <c r="AQ88" i="260" a="1"/>
  <c r="AH494" i="260" a="1"/>
  <c r="BF685" i="260" a="1"/>
  <c r="BJ70" i="260" a="1"/>
  <c r="BF226" i="260" a="1"/>
  <c r="BU528" i="260" a="1"/>
  <c r="BQ753" i="260" a="1"/>
  <c r="AZ237" i="260" a="1"/>
  <c r="V553" i="260" a="1"/>
  <c r="BF174" i="260" a="1"/>
  <c r="AN103" i="260" a="1"/>
  <c r="G535" i="260" a="1"/>
  <c r="AN546" i="260" a="1"/>
  <c r="BF118" i="260" a="1"/>
  <c r="N575" i="260" a="1"/>
  <c r="Z71" i="260" a="1"/>
  <c r="N391" i="260" a="1"/>
  <c r="BU427" i="260" a="1"/>
  <c r="BU641" i="260" a="1"/>
  <c r="BQ508" i="260" a="1"/>
  <c r="G513" i="260" a="1"/>
  <c r="V671" i="260" a="1"/>
  <c r="BU357" i="260" a="1"/>
  <c r="BF113" i="260" a="1"/>
  <c r="AV430" i="260" a="1"/>
  <c r="BJ537" i="260" a="1"/>
  <c r="J76" i="260" a="1"/>
  <c r="N80" i="260" a="1"/>
  <c r="AH365" i="260" a="1"/>
  <c r="G660" i="260" a="1"/>
  <c r="BJ62" i="260" a="1"/>
  <c r="V342" i="260" a="1"/>
  <c r="AH63" i="260" a="1"/>
  <c r="AN614" i="260" a="1"/>
  <c r="BQ76" i="260" a="1"/>
  <c r="BQ89" i="260" a="1"/>
  <c r="Z451" i="260" a="1"/>
  <c r="R282" i="260" a="1"/>
  <c r="AN120" i="260" a="1"/>
  <c r="AD589" i="260" a="1"/>
  <c r="AQ73" i="260" a="1"/>
  <c r="V62" i="260" a="1"/>
  <c r="Z680" i="260" a="1"/>
  <c r="Z219" i="260" a="1"/>
  <c r="AQ121" i="260" a="1"/>
  <c r="AZ249" i="260" a="1"/>
  <c r="BF331" i="260" a="1"/>
  <c r="BJ741" i="260" a="1"/>
  <c r="BJ120" i="260" a="1"/>
  <c r="Z57" i="260" a="1"/>
  <c r="BJ65" i="260" a="1"/>
  <c r="AQ190" i="260" a="1"/>
  <c r="BF292" i="260" a="1"/>
  <c r="R86" i="260" a="1"/>
  <c r="AH241" i="260" a="1"/>
  <c r="AD365" i="260" a="1"/>
  <c r="N719" i="260" a="1"/>
  <c r="BJ694" i="260" a="1"/>
  <c r="Z506" i="260" a="1"/>
  <c r="BJ174" i="260" a="1"/>
  <c r="AN278" i="260" a="1"/>
  <c r="BU347" i="260" a="1"/>
  <c r="AQ194" i="260" a="1"/>
  <c r="AH727" i="260" a="1"/>
  <c r="G482" i="260" a="1"/>
  <c r="BQ358" i="260" a="1"/>
  <c r="BJ295" i="260" a="1"/>
  <c r="AD707" i="260" a="1"/>
  <c r="BU297" i="260" a="1"/>
  <c r="R369" i="260" a="1"/>
  <c r="N233" i="260" a="1"/>
  <c r="BJ735" i="260" a="1"/>
  <c r="BU569" i="260" a="1"/>
  <c r="AN777" i="260" a="1"/>
  <c r="AQ345" i="260" a="1"/>
  <c r="AZ62" i="260" a="1"/>
  <c r="R502" i="260" a="1"/>
  <c r="J374" i="260" a="1"/>
  <c r="Z395" i="260" a="1"/>
  <c r="AQ166" i="260" a="1"/>
  <c r="BU184" i="260" a="1"/>
  <c r="AV728" i="260" a="1"/>
  <c r="BU692" i="260" a="1"/>
  <c r="BU295" i="260" a="1"/>
  <c r="AZ743" i="260" a="1"/>
  <c r="Z457" i="260" a="1"/>
  <c r="AV753" i="260" a="1"/>
  <c r="AV688" i="260" a="1"/>
  <c r="AQ412" i="260" a="1"/>
  <c r="G746" i="260" a="1"/>
  <c r="BF275" i="260" a="1"/>
  <c r="BJ769" i="260" a="1"/>
  <c r="AV387" i="260" a="1"/>
  <c r="J232" i="260" a="1"/>
  <c r="BJ92" i="260" a="1"/>
  <c r="AH115" i="260" a="1"/>
  <c r="BM258" i="260" a="1"/>
  <c r="BF722" i="260" a="1"/>
  <c r="BU127" i="260" a="1"/>
  <c r="AV108" i="260" a="1"/>
  <c r="BJ588" i="260" a="1"/>
  <c r="AZ217" i="260" a="1"/>
  <c r="BJ276" i="260" a="1"/>
  <c r="N231" i="260" a="1"/>
  <c r="AV482" i="260" a="1"/>
  <c r="AH503" i="260" a="1"/>
  <c r="AD625" i="260" a="1"/>
  <c r="AV218" i="260" a="1"/>
  <c r="BF240" i="260" a="1"/>
  <c r="G569" i="260" a="1"/>
  <c r="AN640" i="260" a="1"/>
  <c r="BM638" i="260" a="1"/>
  <c r="AQ601" i="260" a="1"/>
  <c r="AZ124" i="260" a="1"/>
  <c r="AV125" i="260" a="1"/>
  <c r="Z174" i="260" a="1"/>
  <c r="BQ257" i="260" a="1"/>
  <c r="Z431" i="260" a="1"/>
  <c r="AV305" i="260" a="1"/>
  <c r="V327" i="260" a="1"/>
  <c r="BU256" i="260" a="1"/>
  <c r="Z143" i="260" a="1"/>
  <c r="AH76" i="260" a="1"/>
  <c r="J766" i="260" a="1"/>
  <c r="BJ417" i="260" a="1"/>
  <c r="AZ546" i="260" a="1"/>
  <c r="BJ644" i="260" a="1"/>
  <c r="AN505" i="260" a="1"/>
  <c r="AZ745" i="260" a="1"/>
  <c r="BU722" i="260" a="1"/>
  <c r="J683" i="260" a="1"/>
  <c r="AV293" i="260" a="1"/>
  <c r="AV565" i="260" a="1"/>
  <c r="Z394" i="260" a="1"/>
  <c r="G517" i="260" a="1"/>
  <c r="BM315" i="260" a="1"/>
  <c r="AH181" i="260" a="1"/>
  <c r="BJ673" i="260" a="1"/>
  <c r="BU118" i="260" a="1"/>
  <c r="BF763" i="260" a="1"/>
  <c r="J308" i="260" a="1"/>
  <c r="BJ560" i="260" a="1"/>
  <c r="Z743" i="260" a="1"/>
  <c r="AD720" i="260" a="1"/>
  <c r="AZ509" i="260" a="1"/>
  <c r="AN568" i="260" a="1"/>
  <c r="AZ256" i="260" a="1"/>
  <c r="BJ580" i="260" a="1"/>
  <c r="BQ633" i="260" a="1"/>
  <c r="AH776" i="260" a="1"/>
  <c r="AH492" i="260" a="1"/>
  <c r="BU378" i="260" a="1"/>
  <c r="AQ349" i="260" a="1"/>
  <c r="AN408" i="260" a="1"/>
  <c r="AN60" i="260" a="1"/>
  <c r="N433" i="260" a="1"/>
  <c r="BQ332" i="260" a="1"/>
  <c r="R649" i="260" a="1"/>
  <c r="AD668" i="260" a="1"/>
  <c r="J702" i="260" a="1"/>
  <c r="AD123" i="260" a="1"/>
  <c r="AN484" i="260" a="1"/>
  <c r="BF567" i="260" a="1"/>
  <c r="AH206" i="260" a="1"/>
  <c r="Z148" i="260" a="1"/>
  <c r="AN675" i="260" a="1"/>
  <c r="R675" i="260" a="1"/>
  <c r="BQ623" i="260" a="1"/>
  <c r="AV194" i="260" a="1"/>
  <c r="G539" i="260" a="1"/>
  <c r="BM611" i="260" a="1"/>
  <c r="G551" i="260" a="1"/>
  <c r="BF194" i="260" a="1"/>
  <c r="J343" i="260" a="1"/>
  <c r="AQ214" i="260" a="1"/>
  <c r="N680" i="260" a="1"/>
  <c r="AH281" i="260" a="1"/>
  <c r="N192" i="260" a="1"/>
  <c r="AN594" i="260" a="1"/>
  <c r="AN723" i="260" a="1"/>
  <c r="BQ355" i="260" a="1"/>
  <c r="N99" i="260" a="1"/>
  <c r="BU358" i="260" a="1"/>
  <c r="N524" i="260" a="1"/>
  <c r="G707" i="260" a="1"/>
  <c r="N693" i="260" a="1"/>
  <c r="AD647" i="260" a="1"/>
  <c r="Z289" i="260" a="1"/>
  <c r="BU596" i="260" a="1"/>
  <c r="BM478" i="260" a="1"/>
  <c r="BM671" i="260" a="1"/>
  <c r="BM440" i="260" a="1"/>
  <c r="BJ438" i="260" a="1"/>
  <c r="AN481" i="260" a="1"/>
  <c r="BM598" i="260" a="1"/>
  <c r="J60" i="260" a="1"/>
  <c r="Z321" i="260" a="1"/>
  <c r="J581" i="260" a="1"/>
  <c r="AD198" i="260" a="1"/>
  <c r="BF651" i="260" a="1"/>
  <c r="BU111" i="260" a="1"/>
  <c r="Z326" i="260" a="1"/>
  <c r="AV150" i="260" a="1"/>
  <c r="N120" i="260" a="1"/>
  <c r="BU435" i="260" a="1"/>
  <c r="AQ76" i="260" a="1"/>
  <c r="AQ57" i="260" a="1"/>
  <c r="V187" i="260" a="1"/>
  <c r="AN713" i="260" a="1"/>
  <c r="AD362" i="260" a="1"/>
  <c r="AV378" i="260" a="1"/>
  <c r="V452" i="260" a="1"/>
  <c r="R769" i="260" a="1"/>
  <c r="AD731" i="260" a="1"/>
  <c r="V392" i="260" a="1"/>
  <c r="BQ293" i="260" a="1"/>
  <c r="AH228" i="260" a="1"/>
  <c r="BU725" i="260" a="1"/>
  <c r="BU428" i="260" a="1"/>
  <c r="AQ47" i="260" a="1"/>
  <c r="N46" i="260" a="1"/>
  <c r="BJ564" i="260" a="1"/>
  <c r="AV227" i="260" a="1"/>
  <c r="BF397" i="260" a="1"/>
  <c r="BU171" i="260" a="1"/>
  <c r="BM269" i="260" a="1"/>
  <c r="Z58" i="260" a="1"/>
  <c r="BQ649" i="260" a="1"/>
  <c r="BF270" i="260" a="1"/>
  <c r="AQ355" i="260" a="1"/>
  <c r="J756" i="260" a="1"/>
  <c r="AD63" i="260" a="1"/>
  <c r="N146" i="260" a="1"/>
  <c r="AZ701" i="260" a="1"/>
  <c r="R67" i="260" a="1"/>
  <c r="AZ442" i="260" a="1"/>
  <c r="AZ58" i="260" a="1"/>
  <c r="AV74" i="260" a="1"/>
  <c r="BQ535" i="260" a="1"/>
  <c r="AD145" i="260" a="1"/>
  <c r="BM591" i="260" a="1"/>
  <c r="BJ586" i="260" a="1"/>
  <c r="N124" i="260" a="1"/>
  <c r="AH66" i="260" a="1"/>
  <c r="BM525" i="260" a="1"/>
  <c r="AQ236" i="260" a="1"/>
  <c r="R58" i="260" a="1"/>
  <c r="BU66" i="260" a="1"/>
  <c r="N65" i="260" a="1"/>
  <c r="AD521" i="260" a="1"/>
  <c r="BQ56" i="260" a="1"/>
  <c r="BF37" i="260" a="1"/>
  <c r="G36" i="260" a="1"/>
  <c r="V64" i="260" a="1"/>
  <c r="BQ470" i="260" a="1"/>
  <c r="AH425" i="260" a="1"/>
  <c r="J220" i="260" a="1"/>
  <c r="N145" i="260" a="1"/>
  <c r="BU334" i="260" a="1"/>
  <c r="R132" i="260" a="1"/>
  <c r="G96" i="260" a="1"/>
  <c r="AN490" i="260" a="1"/>
  <c r="AH607" i="260" a="1"/>
  <c r="BM541" i="260" a="1"/>
  <c r="BM167" i="260" a="1"/>
  <c r="Z66" i="260" a="1"/>
  <c r="BJ773" i="260" a="1"/>
  <c r="AH647" i="260" a="1"/>
  <c r="AV450" i="260" a="1"/>
  <c r="R450" i="260" a="1"/>
  <c r="BM205" i="260" a="1"/>
  <c r="N646" i="260" a="1"/>
  <c r="BM264" i="260" a="1"/>
  <c r="BQ57" i="260" a="1"/>
  <c r="AD235" i="260" a="1"/>
  <c r="BM309" i="260" a="1"/>
  <c r="N710" i="260" a="1"/>
  <c r="R527" i="260" a="1"/>
  <c r="AH375" i="260" a="1"/>
  <c r="AV643" i="260" a="1"/>
  <c r="R592" i="260" a="1"/>
  <c r="BM474" i="260" a="1"/>
  <c r="BU109" i="260" a="1"/>
  <c r="AH773" i="260" a="1"/>
  <c r="AZ56" i="260" a="1"/>
  <c r="AV616" i="260" a="1"/>
  <c r="AH509" i="260" a="1"/>
  <c r="J63" i="260" a="1"/>
  <c r="R145" i="260" a="1"/>
  <c r="BM518" i="260" a="1"/>
  <c r="R524" i="260" a="1"/>
  <c r="BU74" i="260" a="1"/>
  <c r="R623" i="260" a="1"/>
  <c r="AN440" i="260" a="1"/>
  <c r="AZ755" i="260" a="1"/>
  <c r="G268" i="260" a="1"/>
  <c r="BJ61" i="260" a="1"/>
  <c r="R228" i="260" a="1"/>
  <c r="J180" i="260" a="1"/>
  <c r="G538" i="260" a="1"/>
  <c r="AZ686" i="260" a="1"/>
  <c r="AV76" i="260" a="1"/>
  <c r="AQ517" i="260" a="1"/>
  <c r="BJ393" i="260" a="1"/>
  <c r="V576" i="260" a="1"/>
  <c r="J523" i="260" a="1"/>
  <c r="BQ476" i="260" a="1"/>
  <c r="AH203" i="260" a="1"/>
  <c r="G473" i="260" a="1"/>
  <c r="AN147" i="260" a="1"/>
  <c r="BJ423" i="260" a="1"/>
  <c r="AD215" i="260" a="1"/>
  <c r="AZ764" i="260" a="1"/>
  <c r="N640" i="260" a="1"/>
  <c r="BM383" i="260" a="1"/>
  <c r="J518" i="260" a="1"/>
  <c r="AQ340" i="260" a="1"/>
  <c r="BU133" i="260" a="1"/>
  <c r="R482" i="260" a="1"/>
  <c r="N550" i="260" a="1"/>
  <c r="BF606" i="260" a="1"/>
  <c r="AZ657" i="260" a="1"/>
  <c r="AQ658" i="260" a="1"/>
  <c r="BF450" i="260" a="1"/>
  <c r="AH97" i="260" a="1"/>
  <c r="Z561" i="260" a="1"/>
  <c r="AV465" i="260" a="1"/>
  <c r="BM84" i="260" a="1"/>
  <c r="N98" i="260" a="1"/>
  <c r="AD394" i="260" a="1"/>
  <c r="BF756" i="260" a="1"/>
  <c r="AN382" i="260" a="1"/>
  <c r="AQ390" i="260" a="1"/>
  <c r="V548" i="260" a="1"/>
  <c r="AZ147" i="260" a="1"/>
  <c r="G188" i="260" a="1"/>
  <c r="BF363" i="260" a="1"/>
  <c r="BJ221" i="260" a="1"/>
  <c r="AN628" i="260" a="1"/>
  <c r="N341" i="260" a="1"/>
  <c r="BM365" i="260" a="1"/>
  <c r="AN202" i="260" a="1"/>
  <c r="AQ777" i="260" a="1"/>
  <c r="BM373" i="260" a="1"/>
  <c r="N230" i="260" a="1"/>
  <c r="AD230" i="260" a="1"/>
  <c r="BM443" i="260" a="1"/>
  <c r="AN69" i="260" a="1"/>
  <c r="AN372" i="260" a="1"/>
  <c r="BU107" i="260" a="1"/>
  <c r="J709" i="260" a="1"/>
  <c r="BQ400" i="260" a="1"/>
  <c r="J542" i="260" a="1"/>
  <c r="AV285" i="260" a="1"/>
  <c r="AV636" i="260" a="1"/>
  <c r="R249" i="260" a="1"/>
  <c r="AZ483" i="260" a="1"/>
  <c r="BQ738" i="260" a="1"/>
  <c r="G571" i="260" a="1"/>
  <c r="BJ123" i="260" a="1"/>
  <c r="N288" i="260" a="1"/>
  <c r="BF300" i="260" a="1"/>
  <c r="R113" i="260" a="1"/>
  <c r="BM290" i="260" a="1"/>
  <c r="AV470" i="260" a="1"/>
  <c r="BF705" i="260" a="1"/>
  <c r="V208" i="260" a="1"/>
  <c r="Z642" i="260" a="1"/>
  <c r="AQ756" i="260" a="1"/>
  <c r="BF245" i="260" a="1"/>
  <c r="AQ607" i="260" a="1"/>
  <c r="V578" i="260" a="1"/>
  <c r="AH436" i="260" a="1"/>
  <c r="AZ346" i="260" a="1"/>
  <c r="AQ562" i="260" a="1"/>
  <c r="AN423" i="260" a="1"/>
  <c r="BM158" i="260" a="1"/>
  <c r="R471" i="260" a="1"/>
  <c r="BQ74" i="260" a="1"/>
  <c r="AN422" i="260" a="1"/>
  <c r="R545" i="260" a="1"/>
  <c r="AZ122" i="260" a="1"/>
  <c r="N584" i="260" a="1"/>
  <c r="BF167" i="260" a="1"/>
  <c r="N763" i="260" a="1"/>
  <c r="G395" i="260" a="1"/>
  <c r="AD283" i="260" a="1"/>
  <c r="AV467" i="260" a="1"/>
  <c r="BJ685" i="260" a="1"/>
  <c r="J507" i="260" a="1"/>
  <c r="V253" i="260" a="1"/>
  <c r="AH767" i="260" a="1"/>
  <c r="N198" i="260" a="1"/>
  <c r="BU478" i="260" a="1"/>
  <c r="R560" i="260" a="1"/>
  <c r="BQ422" i="260" a="1"/>
  <c r="AN632" i="260" a="1"/>
  <c r="AQ631" i="260" a="1"/>
  <c r="R645" i="260" a="1"/>
  <c r="BF96" i="260" a="1"/>
  <c r="AQ713" i="260" a="1"/>
  <c r="BF580" i="260" a="1"/>
  <c r="AN326" i="260" a="1"/>
  <c r="AQ636" i="260" a="1"/>
  <c r="AN444" i="260" a="1"/>
  <c r="J369" i="260" a="1"/>
  <c r="V318" i="260" a="1"/>
  <c r="BJ186" i="260" a="1"/>
  <c r="J415" i="260" a="1"/>
  <c r="BM407" i="260" a="1"/>
  <c r="V143" i="260" a="1"/>
  <c r="V434" i="260" a="1"/>
  <c r="V556" i="260" a="1"/>
  <c r="R518" i="260" a="1"/>
  <c r="N372" i="260" a="1"/>
  <c r="AV237" i="260" a="1"/>
  <c r="J282" i="260" a="1"/>
  <c r="BF200" i="260" a="1"/>
  <c r="AN744" i="260" a="1"/>
  <c r="AQ294" i="260" a="1"/>
  <c r="BQ217" i="260" a="1"/>
  <c r="N683" i="260" a="1"/>
  <c r="AD59" i="260" a="1"/>
  <c r="BJ531" i="260" a="1"/>
  <c r="AZ161" i="260" a="1"/>
  <c r="G76" i="260" a="1"/>
  <c r="Z753" i="260" a="1"/>
  <c r="BQ569" i="260" a="1"/>
  <c r="AH243" i="260" a="1"/>
  <c r="BM771" i="260" a="1"/>
  <c r="N322" i="260" a="1"/>
  <c r="R720" i="260" a="1"/>
  <c r="AV526" i="260" a="1"/>
  <c r="V686" i="260" a="1"/>
  <c r="J772" i="260" a="1"/>
  <c r="G331" i="260" a="1"/>
  <c r="AD733" i="260" a="1"/>
  <c r="AZ169" i="260" a="1"/>
  <c r="AZ760" i="260" a="1"/>
  <c r="BM152" i="260" a="1"/>
  <c r="BJ758" i="260" a="1"/>
  <c r="J645" i="260" a="1"/>
  <c r="AH319" i="260" a="1"/>
  <c r="R370" i="260" a="1"/>
  <c r="BM59" i="260" a="1"/>
  <c r="BM78" i="260" a="1"/>
  <c r="AZ775" i="260" a="1"/>
  <c r="BF169" i="260" a="1"/>
  <c r="G380" i="260" a="1"/>
  <c r="N311" i="260" a="1"/>
  <c r="R446" i="260" a="1"/>
  <c r="AH565" i="260" a="1"/>
  <c r="AZ778" i="260" a="1"/>
  <c r="AH693" i="260" a="1"/>
  <c r="BU602" i="260" a="1"/>
  <c r="AZ363" i="260" a="1"/>
  <c r="BU148" i="260" a="1"/>
  <c r="BJ305" i="260" a="1"/>
  <c r="N422" i="260" a="1"/>
  <c r="Z775" i="260" a="1"/>
  <c r="R169" i="260" a="1"/>
  <c r="G388" i="260" a="1"/>
  <c r="BF71" i="260" a="1"/>
  <c r="R393" i="260" a="1"/>
  <c r="BF474" i="260" a="1"/>
  <c r="AQ67" i="260" a="1"/>
  <c r="AH582" i="260" a="1"/>
  <c r="AZ76" i="260" a="1"/>
  <c r="BU73" i="260" a="1"/>
  <c r="BM659" i="260" a="1"/>
  <c r="G73" i="260" a="1"/>
  <c r="V489" i="260" a="1"/>
  <c r="V61" i="260" a="1"/>
  <c r="J481" i="260" a="1"/>
  <c r="AQ48" i="260" a="1"/>
  <c r="AN44" i="260" a="1"/>
  <c r="BQ395" i="260" a="1"/>
  <c r="Z55" i="260" a="1"/>
  <c r="BU260" i="260" a="1"/>
  <c r="BM550" i="260" a="1"/>
  <c r="J143" i="260" a="1"/>
  <c r="AD67" i="260" a="1"/>
  <c r="V499" i="260" a="1"/>
  <c r="J358" i="260" a="1"/>
  <c r="Z155" i="260" a="1"/>
  <c r="J75" i="260" a="1"/>
  <c r="AN352" i="260" a="1"/>
  <c r="G601" i="260" a="1"/>
  <c r="Z68" i="260" a="1"/>
  <c r="V69" i="260" a="1"/>
  <c r="AH57" i="260" a="1"/>
  <c r="R570" i="260" a="1"/>
  <c r="AZ278" i="260" a="1"/>
  <c r="R772" i="260" a="1"/>
  <c r="R360" i="260" a="1"/>
  <c r="BQ761" i="260" a="1"/>
  <c r="G703" i="260" a="1"/>
  <c r="J667" i="260" a="1"/>
  <c r="V65" i="260" a="1"/>
  <c r="AH689" i="260" a="1"/>
  <c r="AV296" i="260" a="1"/>
  <c r="AZ462" i="260" a="1"/>
  <c r="BJ195" i="260" a="1"/>
  <c r="AH351" i="260" a="1"/>
  <c r="AN561" i="260" a="1"/>
  <c r="J420" i="260" a="1"/>
  <c r="BU38" i="260" a="1"/>
  <c r="R731" i="260" a="1"/>
  <c r="AH165" i="260" a="1"/>
  <c r="BU382" i="260" a="1"/>
  <c r="AV574" i="260" a="1"/>
  <c r="BQ382" i="260" a="1"/>
  <c r="AN63" i="260" a="1"/>
  <c r="J624" i="260" a="1"/>
  <c r="BU250" i="260" a="1"/>
  <c r="BU485" i="260" a="1"/>
  <c r="AV337" i="260" a="1"/>
  <c r="AH62" i="260" a="1"/>
  <c r="BU318" i="260" a="1"/>
  <c r="Z726" i="260" a="1"/>
  <c r="J630" i="260" a="1"/>
  <c r="AZ64" i="260" a="1"/>
  <c r="AZ308" i="260" a="1"/>
  <c r="V107" i="260" a="1"/>
  <c r="BU63" i="260" a="1"/>
  <c r="Z145" i="260" a="1"/>
  <c r="N638" i="260" a="1"/>
  <c r="AH588" i="260" a="1"/>
  <c r="AZ460" i="260" a="1"/>
  <c r="N528" i="260" a="1"/>
  <c r="BM442" i="260" a="1"/>
  <c r="BQ517" i="260" a="1"/>
  <c r="BF68" i="260" a="1"/>
  <c r="BF176" i="260" a="1"/>
  <c r="AZ162" i="260" a="1"/>
  <c r="AQ518" i="260" a="1"/>
  <c r="BF578" i="260" a="1"/>
  <c r="J421" i="260" a="1"/>
  <c r="BM75" i="260" a="1"/>
  <c r="AH671" i="260" a="1"/>
  <c r="BJ82" i="260" a="1"/>
  <c r="J262" i="260" a="1"/>
  <c r="BF537" i="260" a="1"/>
  <c r="AV59" i="260" a="1"/>
  <c r="Z341" i="260" a="1"/>
  <c r="J541" i="260" a="1"/>
  <c r="G361" i="260" a="1"/>
  <c r="AQ744" i="260" a="1"/>
  <c r="BF534" i="260" a="1"/>
  <c r="Z202" i="260" a="1"/>
  <c r="J408" i="260" a="1"/>
  <c r="AV162" i="260" a="1"/>
  <c r="AD506" i="260" a="1"/>
  <c r="BQ425" i="260" a="1"/>
  <c r="BQ737" i="260" a="1"/>
  <c r="BJ439" i="260" a="1"/>
  <c r="AQ391" i="260" a="1"/>
  <c r="N64" i="260" a="1"/>
  <c r="G681" i="260" a="1"/>
  <c r="AN233" i="260" a="1"/>
  <c r="BU599" i="260" a="1"/>
  <c r="AZ210" i="260" a="1"/>
  <c r="BF607" i="260" a="1"/>
  <c r="BU639" i="260" a="1"/>
  <c r="J357" i="260" a="1"/>
  <c r="R292" i="260" a="1"/>
  <c r="J745" i="260" a="1"/>
  <c r="Z427" i="260" a="1"/>
  <c r="N175" i="260" a="1"/>
  <c r="BJ273" i="260" a="1"/>
  <c r="N132" i="260" a="1"/>
  <c r="AD137" i="260" a="1"/>
  <c r="G714" i="260" a="1"/>
  <c r="AN340" i="260" a="1"/>
  <c r="AV609" i="260" a="1"/>
  <c r="R631" i="260" a="1"/>
  <c r="AQ96" i="260" a="1"/>
  <c r="Z667" i="260" a="1"/>
  <c r="AV612" i="260" a="1"/>
  <c r="J243" i="260" a="1"/>
  <c r="AZ577" i="260" a="1"/>
  <c r="AQ292" i="260" a="1"/>
  <c r="V439" i="260" a="1"/>
  <c r="BF471" i="260" a="1"/>
  <c r="AQ347" i="260" a="1"/>
  <c r="N69" i="260" a="1"/>
  <c r="BQ127" i="260" a="1"/>
  <c r="AQ411" i="260" a="1"/>
  <c r="AD425" i="260" a="1"/>
  <c r="AH634" i="260" a="1"/>
  <c r="BJ519" i="260" a="1"/>
  <c r="N151" i="260" a="1"/>
  <c r="BU534" i="260" a="1"/>
  <c r="Z278" i="260" a="1"/>
  <c r="G101" i="260" a="1"/>
  <c r="BU426" i="260" a="1"/>
  <c r="G450" i="260" a="1"/>
  <c r="AZ255" i="260" a="1"/>
  <c r="G308" i="260" a="1"/>
  <c r="BU416" i="260" a="1"/>
  <c r="N344" i="260" a="1"/>
  <c r="N667" i="260" a="1"/>
  <c r="BM758" i="260" a="1"/>
  <c r="Z591" i="260" a="1"/>
  <c r="AH427" i="260" a="1"/>
  <c r="BM618" i="260" a="1"/>
  <c r="R577" i="260" a="1"/>
  <c r="BJ352" i="260" a="1"/>
  <c r="BQ337" i="260" a="1"/>
  <c r="BJ697" i="260" a="1"/>
  <c r="BM142" i="260" a="1"/>
  <c r="BM144" i="260" a="1"/>
  <c r="R376" i="260" a="1"/>
  <c r="BM368" i="260" a="1"/>
  <c r="BQ224" i="260" a="1"/>
  <c r="BF608" i="260" a="1"/>
  <c r="BQ635" i="260" a="1"/>
  <c r="G488" i="260" a="1"/>
  <c r="AH541" i="260" a="1"/>
  <c r="AH624" i="260" a="1"/>
  <c r="AV195" i="260" a="1"/>
  <c r="N605" i="260" a="1"/>
  <c r="BQ567" i="260" a="1"/>
  <c r="BQ408" i="260" a="1"/>
  <c r="Z673" i="260" a="1"/>
  <c r="AV719" i="260" a="1"/>
  <c r="AQ321" i="260" a="1"/>
  <c r="AV773" i="260" a="1"/>
  <c r="AZ420" i="260" a="1"/>
  <c r="BM585" i="260" a="1"/>
  <c r="V526" i="260" a="1"/>
  <c r="G463" i="260" a="1"/>
  <c r="V702" i="260" a="1"/>
  <c r="BU216" i="260" a="1"/>
  <c r="AD203" i="260" a="1"/>
  <c r="Z199" i="260" a="1"/>
  <c r="BU361" i="260" a="1"/>
  <c r="R572" i="260" a="1"/>
  <c r="V628" i="260" a="1"/>
  <c r="AQ706" i="260" a="1"/>
  <c r="AV173" i="260" a="1"/>
  <c r="BM705" i="260" a="1"/>
  <c r="BM358" i="260" a="1"/>
  <c r="J724" i="260" a="1"/>
  <c r="AQ248" i="260" a="1"/>
  <c r="BM135" i="260" a="1"/>
  <c r="BM109" i="260" a="1"/>
  <c r="J570" i="260" a="1"/>
  <c r="AZ639" i="260" a="1"/>
  <c r="BQ194" i="260" a="1"/>
  <c r="AQ623" i="260" a="1"/>
  <c r="AZ332" i="260" a="1"/>
  <c r="Z56" i="260" a="1"/>
  <c r="BU59" i="260" a="1"/>
  <c r="BU409" i="260" a="1"/>
  <c r="BJ121" i="260" a="1"/>
  <c r="J288" i="260" a="1"/>
  <c r="N119" i="260" a="1"/>
  <c r="BM245" i="260" a="1"/>
  <c r="R314" i="260" a="1"/>
  <c r="AH266" i="260" a="1"/>
  <c r="AH90" i="260" a="1"/>
  <c r="G175" i="260" a="1"/>
  <c r="AV500" i="260" a="1"/>
  <c r="Z456" i="260" a="1"/>
  <c r="BJ88" i="260" a="1"/>
  <c r="Z159" i="260" a="1"/>
  <c r="Z746" i="260" a="1"/>
  <c r="Z448" i="260" a="1"/>
  <c r="AN64" i="260" a="1"/>
  <c r="V308" i="260" a="1"/>
  <c r="G512" i="260" a="1"/>
  <c r="J666" i="260" a="1"/>
  <c r="BJ407" i="260" a="1"/>
  <c r="BQ762" i="260" a="1"/>
  <c r="BM565" i="260" a="1"/>
  <c r="AV552" i="260" a="1"/>
  <c r="G761" i="260" a="1"/>
  <c r="BJ108" i="260" a="1"/>
  <c r="BU670" i="260" a="1"/>
  <c r="BQ734" i="260" a="1"/>
  <c r="AV131" i="260" a="1"/>
  <c r="AZ691" i="260" a="1"/>
  <c r="BQ637" i="260" a="1"/>
  <c r="AH728" i="260" a="1"/>
  <c r="R343" i="260" a="1"/>
  <c r="V417" i="260" a="1"/>
  <c r="BM268" i="260" a="1"/>
  <c r="AD440" i="260" a="1"/>
  <c r="AQ481" i="260" a="1"/>
  <c r="BU616" i="260" a="1"/>
  <c r="AN373" i="260" a="1"/>
  <c r="G112" i="260" a="1"/>
  <c r="G533" i="260" a="1"/>
  <c r="AZ142" i="260" a="1"/>
  <c r="Z406" i="260" a="1"/>
  <c r="N72" i="260" a="1"/>
  <c r="AN518" i="260" a="1"/>
  <c r="N59" i="260" a="1"/>
  <c r="BU81" i="260" a="1"/>
  <c r="N592" i="260" a="1"/>
  <c r="N259" i="260" a="1"/>
  <c r="V297" i="260" a="1"/>
  <c r="AV83" i="260" a="1"/>
  <c r="BF59" i="260" a="1"/>
  <c r="AH713" i="260" a="1"/>
  <c r="V683" i="260" a="1"/>
  <c r="BJ382" i="260" a="1"/>
  <c r="AV222" i="260" a="1"/>
  <c r="BJ78" i="260" a="1"/>
  <c r="V408" i="260" a="1"/>
  <c r="AQ114" i="260" a="1"/>
  <c r="AZ361" i="260" a="1"/>
  <c r="G165" i="260" a="1"/>
  <c r="G126" i="260" a="1"/>
  <c r="BJ360" i="260" a="1"/>
  <c r="AQ205" i="260" a="1"/>
  <c r="BM548" i="260" a="1"/>
  <c r="AV168" i="260" a="1"/>
  <c r="N324" i="260" a="1"/>
  <c r="AN102" i="260" a="1"/>
  <c r="R75" i="260" a="1"/>
  <c r="J619" i="260" a="1"/>
  <c r="AD357" i="260" a="1"/>
  <c r="AZ57" i="260" a="1"/>
  <c r="BU55" i="260" a="1"/>
  <c r="AZ251" i="260" a="1"/>
  <c r="V68" i="260" a="1"/>
  <c r="AD125" i="260" a="1"/>
  <c r="AQ30" i="260" a="1"/>
  <c r="AN33" i="260" a="1"/>
  <c r="AQ199" i="260" a="1"/>
  <c r="BF100" i="260" a="1"/>
  <c r="AZ611" i="260" a="1"/>
  <c r="V438" i="260" a="1"/>
  <c r="BF78" i="260" a="1"/>
  <c r="AN186" i="260" a="1"/>
  <c r="BM212" i="260" a="1"/>
  <c r="AH116" i="260" a="1"/>
  <c r="Z119" i="260" a="1"/>
  <c r="BF56" i="260" a="1"/>
  <c r="R708" i="260" a="1"/>
  <c r="R441" i="260" a="1"/>
  <c r="BM745" i="260" a="1"/>
  <c r="BJ639" i="260" a="1"/>
  <c r="G503" i="260" a="1"/>
  <c r="BF472" i="260" a="1"/>
  <c r="AH68" i="260" a="1"/>
  <c r="R600" i="260" a="1"/>
  <c r="AZ272" i="260" a="1"/>
  <c r="BQ161" i="260" a="1"/>
  <c r="AH482" i="260" a="1"/>
  <c r="AH60" i="260" a="1"/>
  <c r="AV534" i="260" a="1"/>
  <c r="BF482" i="260" a="1"/>
  <c r="BJ649" i="260" a="1"/>
  <c r="Z333" i="260" a="1"/>
  <c r="BQ613" i="260" a="1"/>
  <c r="Z130" i="260" a="1"/>
  <c r="AZ593" i="260" a="1"/>
  <c r="BQ60" i="260" a="1"/>
  <c r="AN36" i="260" a="1"/>
  <c r="Z626" i="260" a="1"/>
  <c r="AQ72" i="260" a="1"/>
  <c r="AN572" i="260" a="1"/>
  <c r="G233" i="260" a="1"/>
  <c r="N380" i="260" a="1"/>
  <c r="AH602" i="260" a="1"/>
  <c r="AQ55" i="260" a="1"/>
  <c r="BQ208" i="260" a="1"/>
  <c r="AH325" i="260" a="1"/>
  <c r="AZ125" i="260" a="1"/>
  <c r="AN124" i="260" a="1"/>
  <c r="V336" i="260" a="1"/>
  <c r="AQ632" i="260" a="1"/>
  <c r="BQ536" i="260" a="1"/>
  <c r="N336" i="260" a="1"/>
  <c r="BF762" i="260" a="1"/>
  <c r="BQ113" i="260" a="1"/>
  <c r="AZ185" i="260" a="1"/>
  <c r="G60" i="260" a="1"/>
  <c r="V149" i="260" a="1"/>
  <c r="Z244" i="260" a="1"/>
  <c r="BF76" i="260" a="1"/>
  <c r="G626" i="260" a="1"/>
  <c r="AD674" i="260" a="1"/>
  <c r="V427" i="260" a="1"/>
  <c r="AV132" i="260" a="1"/>
  <c r="BM238" i="260" a="1"/>
  <c r="AN94" i="260" a="1"/>
  <c r="BU468" i="260" a="1"/>
  <c r="AD395" i="260" a="1"/>
  <c r="BM140" i="260" a="1"/>
  <c r="G275" i="260" a="1"/>
  <c r="AQ680" i="260" a="1"/>
  <c r="BF166" i="260" a="1"/>
  <c r="AH668" i="260" a="1"/>
  <c r="R234" i="260" a="1"/>
  <c r="BU76" i="260" a="1"/>
  <c r="BQ241" i="260" a="1"/>
  <c r="AV651" i="260" a="1"/>
  <c r="BQ59" i="260" a="1"/>
  <c r="BJ191" i="260" a="1"/>
  <c r="BM535" i="260" a="1"/>
  <c r="BQ253" i="260" a="1"/>
  <c r="Z74" i="260" a="1"/>
  <c r="V619" i="260" a="1"/>
  <c r="AD313" i="260" a="1"/>
  <c r="AH126" i="260" a="1"/>
  <c r="BQ346" i="260" a="1"/>
  <c r="Z662" i="260" a="1"/>
  <c r="BU353" i="260" a="1"/>
  <c r="AH680" i="260" a="1"/>
  <c r="AH426" i="260" a="1"/>
  <c r="V105" i="260" a="1"/>
  <c r="Z230" i="260" a="1"/>
  <c r="AH144" i="260" a="1"/>
  <c r="J596" i="260" a="1"/>
  <c r="BJ719" i="260" a="1"/>
  <c r="J471" i="260" a="1"/>
  <c r="AV253" i="260" a="1"/>
  <c r="AV580" i="260" a="1"/>
  <c r="AD582" i="260" a="1"/>
  <c r="N609" i="260" a="1"/>
  <c r="AV260" i="260" a="1"/>
  <c r="Z697" i="260" a="1"/>
  <c r="G633" i="260" a="1"/>
  <c r="AD472" i="260" a="1"/>
  <c r="AD671" i="260" a="1"/>
  <c r="G617" i="260" a="1"/>
  <c r="BU174" i="260" a="1"/>
  <c r="AD280" i="260" a="1"/>
  <c r="AZ382" i="260" a="1"/>
  <c r="AN736" i="260" a="1"/>
  <c r="AZ539" i="260" a="1"/>
  <c r="R707" i="260" a="1"/>
  <c r="J210" i="260" a="1"/>
  <c r="BU139" i="260" a="1"/>
  <c r="BQ363" i="260" a="1"/>
  <c r="BF357" i="260" a="1"/>
  <c r="R347" i="260" a="1"/>
  <c r="AZ536" i="260" a="1"/>
  <c r="AV672" i="260" a="1"/>
  <c r="AV359" i="260" a="1"/>
  <c r="AH261" i="260" a="1"/>
  <c r="Z637" i="260" a="1"/>
  <c r="N432" i="260" a="1"/>
  <c r="BF103" i="260" a="1"/>
  <c r="N698" i="260" a="1"/>
  <c r="N197" i="260" a="1"/>
  <c r="R616" i="260" a="1"/>
  <c r="G248" i="260" a="1"/>
  <c r="AD318" i="260" a="1"/>
  <c r="BM266" i="260" a="1"/>
  <c r="V174" i="260" a="1"/>
  <c r="AN668" i="260" a="1"/>
  <c r="AQ280" i="260" a="1"/>
  <c r="N67" i="260" a="1"/>
  <c r="N557" i="260" a="1"/>
  <c r="V581" i="260" a="1"/>
  <c r="BM261" i="260" a="1"/>
  <c r="G593" i="260" a="1"/>
  <c r="BF298" i="260" a="1"/>
  <c r="AN418" i="260" a="1"/>
  <c r="BF409" i="260" a="1"/>
  <c r="BQ313" i="260" a="1"/>
  <c r="BU708" i="260" a="1"/>
  <c r="BF499" i="260" a="1"/>
  <c r="AN708" i="260" a="1"/>
  <c r="AV494" i="260" a="1"/>
  <c r="N241" i="260" a="1"/>
  <c r="AD551" i="260" a="1"/>
  <c r="AD544" i="260" a="1"/>
  <c r="Z298" i="260" a="1"/>
  <c r="V240" i="260" a="1"/>
  <c r="BJ488" i="260" a="1"/>
  <c r="R166" i="260" a="1"/>
  <c r="R72" i="260" a="1"/>
  <c r="AZ434" i="260" a="1"/>
  <c r="BM458" i="260" a="1"/>
  <c r="BQ663" i="260" a="1"/>
  <c r="BM312" i="260" a="1"/>
  <c r="BM561" i="260" a="1"/>
  <c r="AV655" i="260" a="1"/>
  <c r="AQ275" i="260" a="1"/>
  <c r="BF735" i="260" a="1"/>
  <c r="V288" i="260" a="1"/>
  <c r="N363" i="260" a="1"/>
  <c r="Z75" i="260" a="1"/>
  <c r="J538" i="260" a="1"/>
  <c r="G238" i="260" a="1"/>
  <c r="G247" i="260" a="1"/>
  <c r="AV356" i="260" a="1"/>
  <c r="V649" i="260" a="1"/>
  <c r="Z602" i="260" a="1"/>
  <c r="AV372" i="260" a="1"/>
  <c r="BF287" i="260" a="1"/>
  <c r="G458" i="260" a="1"/>
  <c r="G340" i="260" a="1"/>
  <c r="AN501" i="260" a="1"/>
  <c r="Z221" i="260" a="1"/>
  <c r="N232" i="260" a="1"/>
  <c r="N308" i="260" a="1"/>
  <c r="AZ114" i="260" a="1"/>
  <c r="AZ321" i="260" a="1"/>
  <c r="V574" i="260" a="1"/>
  <c r="BU522" i="260" a="1"/>
  <c r="AN648" i="260" a="1"/>
  <c r="AQ101" i="260" a="1"/>
  <c r="AD361" i="260" a="1"/>
  <c r="G439" i="260" a="1"/>
  <c r="AN691" i="260" a="1"/>
  <c r="AZ192" i="260" a="1"/>
  <c r="BM588" i="260" a="1"/>
  <c r="AV344" i="260" a="1"/>
  <c r="AZ640" i="260" a="1"/>
  <c r="BQ93" i="260" a="1"/>
  <c r="AH626" i="260" a="1"/>
  <c r="AN627" i="260" a="1"/>
  <c r="AH505" i="260" a="1"/>
  <c r="AV440" i="260" a="1"/>
  <c r="BJ601" i="260" a="1"/>
  <c r="AD528" i="260" a="1"/>
  <c r="J197" i="260" a="1"/>
  <c r="AZ406" i="260" a="1"/>
  <c r="Z773" i="260" a="1"/>
  <c r="Z276" i="260" a="1"/>
  <c r="AV435" i="260" a="1"/>
  <c r="R275" i="260" a="1"/>
  <c r="AZ327" i="260" a="1"/>
  <c r="R528" i="260" a="1"/>
  <c r="BU688" i="260" a="1"/>
  <c r="J628" i="260" a="1"/>
  <c r="AZ699" i="260" a="1"/>
  <c r="J651" i="260" a="1"/>
  <c r="BF655" i="260" a="1"/>
  <c r="AQ209" i="260" a="1"/>
  <c r="Z135" i="260" a="1"/>
  <c r="AN96" i="260" a="1"/>
  <c r="AN645" i="260" a="1"/>
  <c r="BU120" i="260" a="1"/>
  <c r="AZ456" i="260" a="1"/>
  <c r="AH345" i="260" a="1"/>
  <c r="N243" i="260" a="1"/>
  <c r="BJ224" i="260" a="1"/>
  <c r="AD202" i="260" a="1"/>
  <c r="BM313" i="260" a="1"/>
  <c r="J227" i="260" a="1"/>
  <c r="G627" i="260" a="1"/>
  <c r="BM99" i="260" a="1"/>
  <c r="AD338" i="260" a="1"/>
  <c r="AZ311" i="260" a="1"/>
  <c r="G256" i="260" a="1"/>
  <c r="BM615" i="260" a="1"/>
  <c r="BQ165" i="260" a="1"/>
  <c r="N242" i="260" a="1"/>
  <c r="AV505" i="260" a="1"/>
  <c r="J760" i="260" a="1"/>
  <c r="AN722" i="260" a="1"/>
  <c r="AQ109" i="260" a="1"/>
  <c r="AH536" i="260" a="1"/>
  <c r="BJ523" i="260" a="1"/>
  <c r="AZ112" i="260" a="1"/>
  <c r="BJ536" i="260" a="1"/>
  <c r="BU393" i="260" a="1"/>
  <c r="R595" i="260" a="1"/>
  <c r="AQ674" i="260" a="1"/>
  <c r="AZ626" i="260" a="1"/>
  <c r="Z568" i="260" a="1"/>
  <c r="AN217" i="260" a="1"/>
  <c r="AN226" i="260" a="1"/>
  <c r="BF637" i="260" a="1"/>
  <c r="AQ437" i="260" a="1"/>
  <c r="AV757" i="260" a="1"/>
  <c r="G572" i="260" a="1"/>
  <c r="BJ721" i="260" a="1"/>
  <c r="BJ457" i="260" a="1"/>
  <c r="AZ498" i="260" a="1"/>
  <c r="BJ515" i="260" a="1"/>
  <c r="AH630" i="260" a="1"/>
  <c r="AN211" i="260" a="1"/>
  <c r="AV437" i="260" a="1"/>
  <c r="AH55" i="260" a="1"/>
  <c r="R276" i="260" a="1"/>
  <c r="AZ732" i="260" a="1"/>
  <c r="AD45" i="260" a="1"/>
  <c r="J31" i="260" a="1"/>
  <c r="AH702" i="260" a="1"/>
  <c r="AZ507" i="260" a="1"/>
  <c r="V618" i="260" a="1"/>
  <c r="AZ526" i="260" a="1"/>
  <c r="BQ381" i="260" a="1"/>
  <c r="BJ402" i="260" a="1"/>
  <c r="J345" i="260" a="1"/>
  <c r="BQ213" i="260" a="1"/>
  <c r="BM108" i="260" a="1"/>
  <c r="AH496" i="260" a="1"/>
  <c r="Z252" i="260" a="1"/>
  <c r="N266" i="260" a="1"/>
  <c r="V73" i="260" a="1"/>
  <c r="AQ470" i="260" a="1"/>
  <c r="AN545" i="260" a="1"/>
  <c r="AN367" i="260" a="1"/>
  <c r="BM558" i="260" a="1"/>
  <c r="AD336" i="260" a="1"/>
  <c r="BQ162" i="260" a="1"/>
  <c r="V524" i="260" a="1"/>
  <c r="R762" i="260" a="1"/>
  <c r="BF81" i="260" a="1"/>
  <c r="R318" i="260" a="1"/>
  <c r="AQ173" i="260" a="1"/>
  <c r="AD649" i="260" a="1"/>
  <c r="J673" i="260" a="1"/>
  <c r="AD121" i="260" a="1"/>
  <c r="BU269" i="260" a="1"/>
  <c r="Z491" i="260" a="1"/>
  <c r="Z49" i="260" a="1"/>
  <c r="BF49" i="260" a="1"/>
  <c r="BJ714" i="260" a="1"/>
  <c r="BF164" i="260" a="1"/>
  <c r="BU60" i="260" a="1"/>
  <c r="BU206" i="260" a="1"/>
  <c r="V282" i="260" a="1"/>
  <c r="BJ701" i="260" a="1"/>
  <c r="BF153" i="260" a="1"/>
  <c r="AN712" i="260" a="1"/>
  <c r="BM335" i="260" a="1"/>
  <c r="V401" i="260" a="1"/>
  <c r="BQ463" i="260" a="1"/>
  <c r="AD523" i="260" a="1"/>
  <c r="BJ456" i="260" a="1"/>
  <c r="BM72" i="260" a="1"/>
  <c r="AD286" i="260" a="1"/>
  <c r="AD414" i="260" a="1"/>
  <c r="AH331" i="260" a="1"/>
  <c r="Z232" i="260" a="1"/>
  <c r="BF648" i="260" a="1"/>
  <c r="V634" i="260" a="1"/>
  <c r="AD262" i="260" a="1"/>
  <c r="J215" i="260" a="1"/>
  <c r="V668" i="260" a="1"/>
  <c r="BM73" i="260" a="1"/>
  <c r="AQ739" i="260" a="1"/>
  <c r="AH525" i="260" a="1"/>
  <c r="V508" i="260" a="1"/>
  <c r="AD78" i="260" a="1"/>
  <c r="AN461" i="260" a="1"/>
  <c r="AD488" i="260" a="1"/>
  <c r="N668" i="260" a="1"/>
  <c r="J192" i="260" a="1"/>
  <c r="AH75" i="260" a="1"/>
  <c r="AD741" i="260" a="1"/>
  <c r="V164" i="260" a="1"/>
  <c r="V59" i="260" a="1"/>
  <c r="AZ638" i="260" a="1"/>
  <c r="BF451" i="260" a="1"/>
  <c r="Z683" i="260" a="1"/>
  <c r="AD260" i="260" a="1"/>
  <c r="R605" i="260" a="1"/>
  <c r="AZ283" i="260" a="1"/>
  <c r="AH308" i="260" a="1"/>
  <c r="AN71" i="260" a="1"/>
  <c r="AN320" i="260" a="1"/>
  <c r="BM690" i="260" a="1"/>
  <c r="V281" i="260" a="1"/>
  <c r="BF77" i="260" a="1"/>
  <c r="N269" i="260" a="1"/>
  <c r="BF312" i="260" a="1"/>
  <c r="AH311" i="260" a="1"/>
  <c r="R711" i="260" a="1"/>
  <c r="BQ248" i="260" a="1"/>
  <c r="AH772" i="260" a="1"/>
  <c r="BQ106" i="260" a="1"/>
  <c r="R244" i="260" a="1"/>
  <c r="J483" i="260" a="1"/>
  <c r="BF470" i="260" a="1"/>
  <c r="AN256" i="260" a="1"/>
  <c r="AD476" i="260" a="1"/>
  <c r="AN318" i="260" a="1"/>
  <c r="AV393" i="260" a="1"/>
  <c r="J368" i="260" a="1"/>
  <c r="R455" i="260" a="1"/>
  <c r="Z150" i="260" a="1"/>
  <c r="BF671" i="260" a="1"/>
  <c r="BF601" i="260" a="1"/>
  <c r="AD750" i="260" a="1"/>
  <c r="AN448" i="260" a="1"/>
  <c r="BM338" i="260" a="1"/>
  <c r="AZ97" i="260" a="1"/>
  <c r="BM417" i="260" a="1"/>
  <c r="AZ65" i="260" a="1"/>
  <c r="V519" i="260" a="1"/>
  <c r="AD185" i="260" a="1"/>
  <c r="BQ434" i="260" a="1"/>
  <c r="BF64" i="260" a="1"/>
  <c r="AH470" i="260" a="1"/>
  <c r="R601" i="260" a="1"/>
  <c r="AV667" i="260" a="1"/>
  <c r="R590" i="260" a="1"/>
  <c r="AH176" i="260" a="1"/>
  <c r="BM93" i="260" a="1"/>
  <c r="V162" i="260" a="1"/>
  <c r="BQ716" i="260" a="1"/>
  <c r="V599" i="260" a="1"/>
  <c r="AZ677" i="260" a="1"/>
  <c r="BF688" i="260" a="1"/>
  <c r="AQ306" i="260" a="1"/>
  <c r="AN230" i="260" a="1"/>
  <c r="BF232" i="260" a="1"/>
  <c r="AN184" i="260" a="1"/>
  <c r="AV736" i="260" a="1"/>
  <c r="BJ332" i="260" a="1"/>
  <c r="AV97" i="260" a="1"/>
  <c r="AN167" i="260" a="1"/>
  <c r="AN111" i="260" a="1"/>
  <c r="V159" i="260" a="1"/>
  <c r="AN694" i="260" a="1"/>
  <c r="AV183" i="260" a="1"/>
  <c r="J364" i="260" a="1"/>
  <c r="N635" i="260" a="1"/>
  <c r="AV294" i="260" a="1"/>
  <c r="BJ346" i="260" a="1"/>
  <c r="AD164" i="260" a="1"/>
  <c r="AH464" i="260" a="1"/>
  <c r="BU772" i="260" a="1"/>
  <c r="BJ201" i="260" a="1"/>
  <c r="AV257" i="260" a="1"/>
  <c r="BF612" i="260" a="1"/>
  <c r="BJ491" i="260" a="1"/>
  <c r="R216" i="260" a="1"/>
  <c r="N636" i="260" a="1"/>
  <c r="BF109" i="260" a="1"/>
  <c r="BF328" i="260" a="1"/>
  <c r="G696" i="260" a="1"/>
  <c r="Z550" i="260" a="1"/>
  <c r="AV385" i="260" a="1"/>
  <c r="BF276" i="260" a="1"/>
  <c r="AZ650" i="260" a="1"/>
  <c r="BQ720" i="260" a="1"/>
  <c r="AV278" i="260" a="1"/>
  <c r="V349" i="260" a="1"/>
  <c r="BU116" i="260" a="1"/>
  <c r="BF188" i="260" a="1"/>
  <c r="G72" i="260" a="1"/>
  <c r="BJ484" i="260" a="1"/>
  <c r="AV495" i="260" a="1"/>
  <c r="Z177" i="260" a="1"/>
  <c r="R768" i="260" a="1"/>
  <c r="AD669" i="260" a="1"/>
  <c r="AH159" i="260" a="1"/>
  <c r="J111" i="260" a="1"/>
  <c r="AN400" i="260" a="1"/>
  <c r="AZ344" i="260" a="1"/>
  <c r="AZ231" i="260" a="1"/>
  <c r="V592" i="260" a="1"/>
  <c r="BU513" i="260" a="1"/>
  <c r="G80" i="260" a="1"/>
  <c r="BQ235" i="260" a="1"/>
  <c r="BF388" i="260" a="1"/>
  <c r="BQ673" i="260" a="1"/>
  <c r="G412" i="260" a="1"/>
  <c r="Z93" i="260" a="1"/>
  <c r="J274" i="260" a="1"/>
  <c r="Z175" i="260" a="1"/>
  <c r="AH439" i="260" a="1"/>
  <c r="BM613" i="260" a="1"/>
  <c r="J257" i="260" a="1"/>
  <c r="BM82" i="260" a="1"/>
  <c r="BM435" i="260" a="1"/>
  <c r="AQ144" i="260" a="1"/>
  <c r="AN563" i="260" a="1"/>
  <c r="AZ103" i="260" a="1"/>
  <c r="BQ256" i="260" a="1"/>
  <c r="AZ586" i="260" a="1"/>
  <c r="AN62" i="260" a="1"/>
  <c r="BU583" i="260" a="1"/>
  <c r="BM759" i="260" a="1"/>
  <c r="BU566" i="260" a="1"/>
  <c r="BQ101" i="260" a="1"/>
  <c r="V60" i="260" a="1"/>
  <c r="BF742" i="260" a="1"/>
  <c r="Z99" i="260" a="1"/>
  <c r="AH463" i="260" a="1"/>
  <c r="N462" i="260" a="1"/>
  <c r="J753" i="260" a="1"/>
  <c r="J396" i="260" a="1"/>
  <c r="AH117" i="260" a="1"/>
  <c r="BF743" i="260" a="1"/>
  <c r="AD253" i="260" a="1"/>
  <c r="AV211" i="260" a="1"/>
  <c r="J217" i="260" a="1"/>
  <c r="BJ465" i="260" a="1"/>
  <c r="AH100" i="260" a="1"/>
  <c r="AV355" i="260" a="1"/>
  <c r="AD321" i="260" a="1"/>
  <c r="J121" i="260" a="1"/>
  <c r="AN562" i="260" a="1"/>
  <c r="G289" i="260" a="1"/>
  <c r="G527" i="260" a="1"/>
  <c r="N250" i="260" a="1"/>
  <c r="Z621" i="260" a="1"/>
  <c r="BU735" i="260" a="1"/>
  <c r="BJ272" i="260" a="1"/>
  <c r="AN291" i="260" a="1"/>
  <c r="BJ193" i="260" a="1"/>
  <c r="J86" i="260" a="1"/>
  <c r="BM439" i="260" a="1"/>
  <c r="AV56" i="260" a="1"/>
  <c r="AQ338" i="260" a="1"/>
  <c r="AQ536" i="260" a="1"/>
  <c r="N530" i="260" a="1"/>
  <c r="BQ660" i="260" a="1"/>
  <c r="R144" i="260" a="1"/>
  <c r="BJ562" i="260" a="1"/>
  <c r="AD316" i="260" a="1"/>
  <c r="G428" i="260" a="1"/>
  <c r="BU767" i="260" a="1"/>
  <c r="AH432" i="260" a="1"/>
  <c r="AH258" i="260" a="1"/>
  <c r="AZ675" i="260" a="1"/>
  <c r="AV625" i="260" a="1"/>
  <c r="AV338" i="260" a="1"/>
  <c r="G282" i="260" a="1"/>
  <c r="R69" i="260" a="1"/>
  <c r="V255" i="260" a="1"/>
  <c r="G58" i="260" a="1"/>
  <c r="AZ506" i="260" a="1"/>
  <c r="BU58" i="260" a="1"/>
  <c r="N56" i="260" a="1"/>
  <c r="Z363" i="260" a="1"/>
  <c r="R57" i="260" a="1"/>
  <c r="AQ457" i="260" a="1"/>
  <c r="BQ197" i="260" a="1"/>
  <c r="AD388" i="260" a="1"/>
  <c r="AV702" i="260" a="1"/>
  <c r="BU659" i="260" a="1"/>
  <c r="Z631" i="260" a="1"/>
  <c r="BM58" i="260" a="1"/>
  <c r="R530" i="260" a="1"/>
  <c r="AQ58" i="260" a="1"/>
  <c r="AH34" i="260" a="1"/>
  <c r="BU299" i="260" a="1"/>
  <c r="AN65" i="260" a="1"/>
  <c r="AZ527" i="260" a="1"/>
  <c r="J595" i="260" a="1"/>
  <c r="G109" i="260" a="1"/>
  <c r="G297" i="260" a="1"/>
  <c r="AD712" i="260" a="1"/>
  <c r="N330" i="260" a="1"/>
  <c r="Z356" i="260" a="1"/>
  <c r="N223" i="260" a="1"/>
  <c r="BQ482" i="260" a="1"/>
  <c r="J515" i="260" a="1"/>
  <c r="R297" i="260" a="1"/>
  <c r="BU145" i="260" a="1"/>
  <c r="Z449" i="260" a="1"/>
  <c r="R537" i="260" a="1"/>
  <c r="BJ297" i="260" a="1"/>
  <c r="BM663" i="260" a="1"/>
  <c r="AN683" i="260" a="1"/>
  <c r="AH638" i="260" a="1"/>
  <c r="Z62" i="260" a="1"/>
  <c r="R70" i="260" a="1"/>
  <c r="BU768" i="260" a="1"/>
  <c r="Z567" i="260" a="1"/>
  <c r="BM673" i="260" a="1"/>
  <c r="V515" i="260" a="1"/>
  <c r="BJ116" i="260" a="1"/>
  <c r="N334" i="260" a="1"/>
  <c r="AD482" i="260" a="1"/>
  <c r="AQ50" i="260" a="1"/>
  <c r="G42" i="260" a="1"/>
  <c r="BJ584" i="260" a="1"/>
  <c r="BU633" i="260" a="1"/>
  <c r="G148" i="260" a="1"/>
  <c r="V370" i="260" a="1"/>
  <c r="N149" i="260" a="1"/>
  <c r="BQ668" i="260" a="1"/>
  <c r="N402" i="260" a="1"/>
  <c r="V412" i="260" a="1"/>
  <c r="V483" i="260" a="1"/>
  <c r="AD356" i="260" a="1"/>
  <c r="G314" i="260" a="1"/>
  <c r="AN724" i="260" a="1"/>
  <c r="AN59" i="260" a="1"/>
  <c r="R735" i="260" a="1"/>
  <c r="BJ72" i="260" a="1"/>
  <c r="G295" i="260" a="1"/>
  <c r="BM642" i="260" a="1"/>
  <c r="AQ69" i="260" a="1"/>
  <c r="Z678" i="260" a="1"/>
  <c r="AV408" i="260" a="1"/>
  <c r="AZ457" i="260" a="1"/>
  <c r="BU703" i="260" a="1"/>
  <c r="BM139" i="260" a="1"/>
  <c r="AZ455" i="260" a="1"/>
  <c r="AV388" i="260" a="1"/>
  <c r="AN74" i="260" a="1"/>
  <c r="AD686" i="260" a="1"/>
  <c r="G125" i="260" a="1"/>
  <c r="AZ71" i="260" a="1"/>
  <c r="G514" i="260" a="1"/>
  <c r="AQ749" i="260" a="1"/>
  <c r="Z643" i="260" a="1"/>
  <c r="J382" i="260" a="1"/>
  <c r="Z108" i="260" a="1"/>
  <c r="Z750" i="260" a="1"/>
  <c r="J467" i="260" a="1"/>
  <c r="V77" i="260" a="1"/>
  <c r="AN522" i="260" a="1"/>
  <c r="AZ88" i="260" a="1"/>
  <c r="R651" i="260" a="1"/>
  <c r="N762" i="260" a="1"/>
  <c r="BM453" i="260" a="1"/>
  <c r="Z80" i="260" a="1"/>
  <c r="AH367" i="260" a="1"/>
  <c r="BF380" i="260" a="1"/>
  <c r="AD757" i="260" a="1"/>
  <c r="BF586" i="260" a="1"/>
  <c r="N78" i="260" a="1"/>
  <c r="AZ180" i="260" a="1"/>
  <c r="J70" i="260" a="1"/>
  <c r="BQ157" i="260" a="1"/>
  <c r="R63" i="260" a="1"/>
  <c r="V721" i="260" a="1"/>
  <c r="BM637" i="260" a="1"/>
  <c r="AQ402" i="260" a="1"/>
  <c r="AN236" i="260" a="1"/>
  <c r="AN519" i="260" a="1"/>
  <c r="BM501" i="260" a="1"/>
  <c r="BU130" i="260" a="1"/>
  <c r="AN752" i="260" a="1"/>
  <c r="Z176" i="260" a="1"/>
  <c r="AD376" i="260" a="1"/>
  <c r="BQ620" i="260" a="1"/>
  <c r="AV333" i="260" a="1"/>
  <c r="BM739" i="260" a="1"/>
  <c r="AH734" i="260" a="1"/>
  <c r="BU408" i="260" a="1"/>
  <c r="BF715" i="260" a="1"/>
  <c r="AV555" i="260" a="1"/>
  <c r="BQ71" i="260" a="1"/>
  <c r="G376" i="260" a="1"/>
  <c r="BU715" i="260" a="1"/>
  <c r="J722" i="260" a="1"/>
  <c r="G77" i="260" a="1"/>
  <c r="BQ371" i="260" a="1"/>
  <c r="AQ550" i="260" a="1"/>
  <c r="BQ69" i="260" a="1"/>
  <c r="AQ771" i="260" a="1"/>
  <c r="Z473" i="260" a="1"/>
  <c r="BJ398" i="260" a="1"/>
  <c r="AH362" i="260" a="1"/>
  <c r="N611" i="260" a="1"/>
  <c r="BF411" i="260" a="1"/>
  <c r="BF207" i="260" a="1"/>
  <c r="AD443" i="260" a="1"/>
  <c r="AD56" i="260" a="1"/>
  <c r="AV243" i="260" a="1"/>
  <c r="BF512" i="260" a="1"/>
  <c r="R477" i="260" a="1"/>
  <c r="BJ183" i="260" a="1"/>
  <c r="BJ200" i="260" a="1"/>
  <c r="BM249" i="260" a="1"/>
  <c r="BQ775" i="260" a="1"/>
  <c r="N63" i="260" a="1"/>
  <c r="Z430" i="260" a="1"/>
  <c r="R546" i="260" a="1"/>
  <c r="G353" i="260" a="1"/>
  <c r="AQ456" i="260" a="1"/>
  <c r="BJ471" i="260" a="1"/>
  <c r="Z465" i="260" a="1"/>
  <c r="AH659" i="260" a="1"/>
  <c r="BQ326" i="260" a="1"/>
  <c r="N751" i="260" a="1"/>
  <c r="Z450" i="260" a="1"/>
  <c r="BU699" i="260" a="1"/>
  <c r="BU471" i="260" a="1"/>
  <c r="N340" i="260" a="1"/>
  <c r="BF640" i="260" a="1"/>
  <c r="BM418" i="260" a="1"/>
  <c r="R737" i="260" a="1"/>
  <c r="R465" i="260" a="1"/>
  <c r="AH490" i="260" a="1"/>
  <c r="BF489" i="260" a="1"/>
  <c r="AD95" i="260" a="1"/>
  <c r="AD341" i="260" a="1"/>
  <c r="J206" i="260" a="1"/>
  <c r="Z720" i="260" a="1"/>
  <c r="AZ744" i="260" a="1"/>
  <c r="BF105" i="260" a="1"/>
  <c r="R448" i="260" a="1"/>
  <c r="BQ600" i="260" a="1"/>
  <c r="AV269" i="260" a="1"/>
  <c r="AV213" i="260" a="1"/>
  <c r="BM169" i="260" a="1"/>
  <c r="BM514" i="260" a="1"/>
  <c r="BF621" i="260" a="1"/>
  <c r="N102" i="260" a="1"/>
  <c r="AQ384" i="260" a="1"/>
  <c r="Z740" i="260" a="1"/>
  <c r="BQ462" i="260" a="1"/>
  <c r="J268" i="260" a="1"/>
  <c r="G694" i="260" a="1"/>
  <c r="BF435" i="260" a="1"/>
  <c r="AH516" i="260" a="1"/>
  <c r="AN253" i="260" a="1"/>
  <c r="BF627" i="260" a="1"/>
  <c r="AH575" i="260" a="1"/>
  <c r="N451" i="260" a="1"/>
  <c r="G518" i="260" a="1"/>
  <c r="Z543" i="260" a="1"/>
  <c r="AZ655" i="260" a="1"/>
  <c r="BQ617" i="260" a="1"/>
  <c r="J466" i="260" a="1"/>
  <c r="BU481" i="260" a="1"/>
  <c r="BM143" i="260" a="1"/>
  <c r="AN588" i="260" a="1"/>
  <c r="BU740" i="260" a="1"/>
  <c r="Z173" i="260" a="1"/>
  <c r="AN460" i="260" a="1"/>
  <c r="AD588" i="260" a="1"/>
  <c r="AQ599" i="260" a="1"/>
  <c r="Z467" i="260" a="1"/>
  <c r="AZ659" i="260" a="1"/>
  <c r="Z509" i="260" a="1"/>
  <c r="AV464" i="260" a="1"/>
  <c r="AZ195" i="260" a="1"/>
  <c r="BF162" i="260" a="1"/>
  <c r="V494" i="260" a="1"/>
  <c r="AH346" i="260" a="1"/>
  <c r="G291" i="260" a="1"/>
  <c r="BM323" i="260" a="1"/>
  <c r="AH83" i="260" a="1"/>
  <c r="AH670" i="260" a="1"/>
  <c r="Z485" i="260" a="1"/>
  <c r="N105" i="260" a="1"/>
  <c r="V403" i="260" a="1"/>
  <c r="R674" i="260" a="1"/>
  <c r="BF399" i="260" a="1"/>
  <c r="AV506" i="260" a="1"/>
  <c r="BQ226" i="260" a="1"/>
  <c r="AH78" i="260" a="1"/>
  <c r="BU496" i="260" a="1"/>
  <c r="AQ738" i="260" a="1"/>
  <c r="BQ73" i="260" a="1"/>
  <c r="AQ583" i="260" a="1"/>
  <c r="BJ425" i="260" a="1"/>
  <c r="AH358" i="260" a="1"/>
  <c r="AH706" i="260" a="1"/>
  <c r="BM391" i="260" a="1"/>
  <c r="AH415" i="260" a="1"/>
  <c r="R466" i="260" a="1"/>
  <c r="BJ263" i="260" a="1"/>
  <c r="Z595" i="260" a="1"/>
  <c r="Z391" i="260" a="1"/>
  <c r="Z605" i="260" a="1"/>
  <c r="AH435" i="260" a="1"/>
  <c r="G301" i="260" a="1"/>
  <c r="BM543" i="260" a="1"/>
  <c r="AD400" i="260" a="1"/>
  <c r="BQ63" i="260" a="1"/>
  <c r="BQ443" i="260" a="1"/>
  <c r="BJ505" i="260" a="1"/>
  <c r="N248" i="260" a="1"/>
  <c r="J489" i="260" a="1"/>
  <c r="BU78" i="260" a="1"/>
  <c r="J774" i="260" a="1"/>
  <c r="V188" i="260" a="1"/>
  <c r="BU68" i="260" a="1"/>
  <c r="BU500" i="260" a="1"/>
  <c r="AZ684" i="260" a="1"/>
  <c r="R509" i="260" a="1"/>
  <c r="AN219" i="260" a="1"/>
  <c r="AN75" i="260" a="1"/>
  <c r="AH716" i="260" a="1"/>
  <c r="BU736" i="260" a="1"/>
  <c r="J620" i="260" a="1"/>
  <c r="AN606" i="260" a="1"/>
  <c r="AQ467" i="260" a="1"/>
  <c r="AV403" i="260" a="1"/>
  <c r="BQ211" i="260" a="1"/>
  <c r="BF126" i="260" a="1"/>
  <c r="J633" i="260" a="1"/>
  <c r="BU61" i="260" a="1"/>
  <c r="BF372" i="260" a="1"/>
  <c r="BJ74" i="260" a="1"/>
  <c r="AV669" i="260" a="1"/>
  <c r="AV60" i="260" a="1"/>
  <c r="AV62" i="260" a="1"/>
  <c r="J71" i="260" a="1"/>
  <c r="N652" i="260" a="1"/>
  <c r="BQ55" i="260" a="1"/>
  <c r="G612" i="260" a="1"/>
  <c r="AN34" i="260" a="1"/>
  <c r="R90" i="260" a="1"/>
  <c r="AZ723" i="260" a="1"/>
  <c r="BQ699" i="260" a="1"/>
  <c r="AQ512" i="260" a="1"/>
  <c r="N726" i="260" a="1"/>
  <c r="V399" i="260" a="1"/>
  <c r="AH562" i="260" a="1"/>
  <c r="AV628" i="260" a="1"/>
  <c r="Z163" i="260" a="1"/>
  <c r="J764" i="260" a="1"/>
  <c r="AD75" i="260" a="1"/>
  <c r="AZ159" i="260" a="1"/>
  <c r="R356" i="260" a="1"/>
  <c r="R74" i="260" a="1"/>
  <c r="BQ107" i="260" a="1"/>
  <c r="AD645" i="260" a="1"/>
  <c r="BJ760" i="260" a="1"/>
  <c r="G99" i="260" a="1"/>
  <c r="Z590" i="260" a="1"/>
  <c r="V747" i="260" a="1"/>
  <c r="V517" i="260" a="1"/>
  <c r="AH276" i="260" a="1"/>
  <c r="AV55" i="260" a="1"/>
  <c r="AN271" i="260" a="1"/>
  <c r="N581" i="260" a="1"/>
  <c r="BF647" i="260" a="1"/>
  <c r="R109" i="260" a="1"/>
  <c r="Z758" i="260" a="1"/>
  <c r="BM65" i="260" a="1"/>
  <c r="BJ320" i="260" a="1"/>
  <c r="BQ32" i="260" a="1"/>
  <c r="BJ46" i="260" a="1"/>
  <c r="BM547" i="260" a="1"/>
  <c r="BF99" i="260" a="1"/>
  <c r="AQ737" i="260" a="1"/>
  <c r="N527" i="260" a="1"/>
  <c r="AD132" i="260" a="1"/>
  <c r="R660" i="260" a="1"/>
  <c r="AQ68" i="260" a="1"/>
  <c r="Z357" i="260" a="1"/>
  <c r="AH248" i="260" a="1"/>
  <c r="BU70" i="260" a="1"/>
  <c r="G202" i="260" a="1"/>
  <c r="AV221" i="260" a="1"/>
  <c r="BM569" i="260" a="1"/>
  <c r="BQ177" i="260" a="1"/>
  <c r="BQ75" i="260" a="1"/>
  <c r="AD288" i="260" a="1"/>
  <c r="BJ513" i="260" a="1"/>
  <c r="BQ138" i="260" a="1"/>
  <c r="BM67" i="260" a="1"/>
  <c r="N563" i="260" a="1"/>
  <c r="AD724" i="260" a="1"/>
  <c r="AZ55" i="260" a="1"/>
  <c r="AQ161" i="260" a="1"/>
  <c r="AD277" i="260" a="1"/>
  <c r="AZ238" i="260" a="1"/>
  <c r="BJ96" i="260" a="1"/>
  <c r="N123" i="260" a="1"/>
  <c r="AV705" i="260" a="1"/>
  <c r="J214" i="260" a="1"/>
  <c r="AQ450" i="260" a="1"/>
  <c r="BJ160" i="260" a="1"/>
  <c r="BF60" i="260" a="1"/>
  <c r="G135" i="260" a="1"/>
  <c r="AH434" i="260" a="1"/>
  <c r="BJ707" i="260" a="1"/>
  <c r="BF530" i="260" a="1"/>
  <c r="J108" i="260" a="1"/>
  <c r="Z313" i="260" a="1"/>
  <c r="AZ468" i="260" a="1"/>
  <c r="V333" i="260" a="1"/>
  <c r="BM492" i="260" a="1"/>
  <c r="BU665" i="260" a="1"/>
  <c r="N505" i="260" a="1"/>
  <c r="AV735" i="260" a="1"/>
  <c r="AD194" i="260" a="1"/>
  <c r="R56" i="260" a="1"/>
  <c r="AN296" i="260" a="1"/>
  <c r="AQ525" i="260" a="1"/>
  <c r="AQ547" i="260" a="1"/>
  <c r="G71" i="260" a="1"/>
  <c r="AQ91" i="260" a="1"/>
  <c r="R408" i="260" a="1"/>
  <c r="AN511" i="260" a="1"/>
  <c r="V596" i="260" a="1"/>
  <c r="R713" i="260" a="1"/>
  <c r="AN459" i="260" a="1"/>
  <c r="AZ108" i="260" a="1"/>
  <c r="AN176" i="260" a="1"/>
  <c r="V771" i="260" a="1"/>
  <c r="BQ431" i="260" a="1"/>
  <c r="AH656" i="260" a="1"/>
  <c r="AQ45" i="260" a="1"/>
  <c r="BM763" i="260" a="1"/>
  <c r="BF487" i="260" a="1"/>
  <c r="BM380" i="260" a="1"/>
  <c r="BQ40" i="260" a="1"/>
  <c r="N461" i="260" a="1"/>
  <c r="V657" i="260" a="1"/>
  <c r="AQ87" i="260" a="1"/>
  <c r="J480" i="260" a="1"/>
  <c r="BQ403" i="260" a="1"/>
  <c r="BU680" i="260" a="1"/>
  <c r="R60" i="260" a="1"/>
  <c r="AV760" i="260" a="1"/>
  <c r="AV657" i="260" a="1"/>
  <c r="BM68" i="260" a="1"/>
  <c r="G33" i="260" a="1"/>
  <c r="BM39" i="260" a="1"/>
  <c r="N39" i="260" a="1"/>
  <c r="BQ681" i="260" a="1"/>
  <c r="N364" i="260" a="1"/>
  <c r="BQ338" i="260" a="1"/>
  <c r="BJ541" i="260" a="1"/>
  <c r="BF274" i="260" a="1"/>
  <c r="BF510" i="260" a="1"/>
  <c r="Z107" i="260" a="1"/>
  <c r="R195" i="260" a="1"/>
  <c r="AV66" i="260" a="1"/>
  <c r="BU418" i="260" a="1"/>
  <c r="AV647" i="260" a="1"/>
  <c r="BF556" i="260" a="1"/>
  <c r="AH148" i="260" a="1"/>
  <c r="Z443" i="260" a="1"/>
  <c r="AN341" i="260" a="1"/>
  <c r="N299" i="260" a="1"/>
  <c r="AH310" i="260" a="1"/>
  <c r="BM265" i="260" a="1"/>
  <c r="BM778" i="260" a="1"/>
  <c r="J725" i="260" a="1"/>
  <c r="BQ182" i="260" a="1"/>
  <c r="BJ480" i="260" a="1"/>
  <c r="N386" i="260" a="1"/>
  <c r="BF65" i="260" a="1"/>
  <c r="V325" i="260" a="1"/>
  <c r="AH441" i="260" a="1"/>
  <c r="AD767" i="260" a="1"/>
  <c r="AZ261" i="260" a="1"/>
  <c r="BU697" i="260" a="1"/>
  <c r="BQ53" i="260" a="1"/>
  <c r="AV35" i="260" a="1"/>
  <c r="AD463" i="260" a="1"/>
  <c r="J241" i="260" a="1"/>
  <c r="AZ553" i="260" a="1"/>
  <c r="Z296" i="260" a="1"/>
  <c r="BQ398" i="260" a="1"/>
  <c r="R187" i="260" a="1"/>
  <c r="J57" i="260" a="1"/>
  <c r="BQ730" i="260" a="1"/>
  <c r="V163" i="260" a="1"/>
  <c r="V214" i="260" a="1"/>
  <c r="J150" i="260" a="1"/>
  <c r="V258" i="260" a="1"/>
  <c r="BF566" i="260" a="1"/>
  <c r="N71" i="260" a="1"/>
  <c r="R71" i="260" a="1"/>
  <c r="BF355" i="260" a="1"/>
  <c r="J89" i="260" a="1"/>
  <c r="BU77" i="260" a="1"/>
  <c r="BM641" i="260" a="1"/>
  <c r="AZ333" i="260" a="1"/>
  <c r="AZ503" i="260" a="1"/>
  <c r="AV380" i="260" a="1"/>
  <c r="J465" i="260" a="1"/>
  <c r="AN405" i="260" a="1"/>
  <c r="AD493" i="260" a="1"/>
  <c r="V502" i="260" a="1"/>
  <c r="AN395" i="260" a="1"/>
  <c r="BU75" i="260" a="1"/>
  <c r="AN311" i="260" a="1"/>
  <c r="BM91" i="260" a="1"/>
  <c r="AQ49" i="260" a="1"/>
  <c r="R134" i="260" a="1"/>
  <c r="AZ75" i="260" a="1"/>
  <c r="BJ73" i="260" a="1"/>
  <c r="V397" i="260" a="1"/>
  <c r="AQ461" i="260" a="1"/>
  <c r="AQ580" i="260" a="1"/>
  <c r="J110" i="260" a="1"/>
  <c r="J757" i="260" a="1"/>
  <c r="AH387" i="260" a="1"/>
  <c r="BM232" i="260" a="1"/>
  <c r="BQ713" i="260" a="1"/>
  <c r="AQ202" i="260" a="1"/>
  <c r="AV163" i="260" a="1"/>
  <c r="AQ186" i="260" a="1"/>
  <c r="AN731" i="260" a="1"/>
  <c r="BF115" i="260" a="1"/>
  <c r="AN499" i="260" a="1"/>
  <c r="V373" i="260" a="1"/>
  <c r="BQ195" i="260" a="1"/>
  <c r="R277" i="260" a="1"/>
  <c r="AV282" i="260" a="1"/>
  <c r="AV119" i="260" a="1"/>
  <c r="AD464" i="260" a="1"/>
  <c r="R61" i="260" a="1"/>
  <c r="AQ94" i="260" a="1"/>
  <c r="AQ670" i="260" a="1"/>
  <c r="BJ75" i="260" a="1"/>
  <c r="BF469" i="260" a="1"/>
  <c r="AV303" i="260" a="1"/>
  <c r="AD765" i="260" a="1"/>
  <c r="J36" i="260" a="1"/>
  <c r="BF33" i="260" a="1"/>
  <c r="R565" i="260" a="1"/>
  <c r="AQ534" i="260" a="1"/>
  <c r="AV715" i="260" a="1"/>
  <c r="BM233" i="260" a="1"/>
  <c r="AH712" i="260" a="1"/>
  <c r="Z580" i="260" a="1"/>
  <c r="V559" i="260" a="1"/>
  <c r="V106" i="260" a="1"/>
  <c r="AN696" i="260" a="1"/>
  <c r="Z415" i="260" a="1"/>
  <c r="BQ541" i="260" a="1"/>
  <c r="R512" i="260" a="1"/>
  <c r="AH335" i="260" a="1"/>
  <c r="BQ186" i="260" a="1"/>
  <c r="J311" i="260" a="1"/>
  <c r="AD352" i="260" a="1"/>
  <c r="AQ56" i="260" a="1"/>
  <c r="J167" i="260" a="1"/>
  <c r="BU441" i="260" a="1"/>
  <c r="AN516" i="260" a="1"/>
  <c r="BM334" i="260" a="1"/>
  <c r="BF311" i="260" a="1"/>
  <c r="AH197" i="260" a="1"/>
  <c r="BM101" i="260" a="1"/>
  <c r="J263" i="260" a="1"/>
  <c r="G270" i="260" a="1"/>
  <c r="J131" i="260" a="1"/>
  <c r="AH277" i="260" a="1"/>
  <c r="BU245" i="260" a="1"/>
  <c r="J30" i="260" a="1"/>
  <c r="AZ41" i="260" a="1"/>
  <c r="BM631" i="260" a="1"/>
  <c r="AV32" i="260" a="1"/>
  <c r="BQ33" i="260" a="1"/>
  <c r="Z38" i="260" a="1"/>
  <c r="R39" i="260" a="1"/>
  <c r="Z30" i="260" a="1"/>
  <c r="BJ32" i="260" a="1"/>
  <c r="R37" i="260" a="1"/>
  <c r="R53" i="260" a="1"/>
  <c r="AD32" i="260" a="1"/>
  <c r="BF47" i="260" a="1"/>
  <c r="BU47" i="260" a="1"/>
  <c r="BU37" i="260" a="1"/>
  <c r="AH407" i="260" a="1"/>
  <c r="N55" i="260" a="1"/>
  <c r="BU41" i="260" a="1"/>
  <c r="J47" i="260" a="1"/>
  <c r="AH53" i="260" a="1"/>
  <c r="G31" i="260" a="1"/>
  <c r="G62" i="260" a="1"/>
  <c r="Z76" i="260" a="1"/>
  <c r="AV52" i="260" a="1"/>
  <c r="J44" i="260" a="1"/>
  <c r="AZ48" i="260" a="1"/>
  <c r="AQ36" i="260" a="1"/>
  <c r="AH187" i="260" a="1"/>
  <c r="AD34" i="260" a="1"/>
  <c r="J37" i="260" a="1"/>
  <c r="AN32" i="260" a="1"/>
  <c r="AZ72" i="260" a="1"/>
  <c r="AV34" i="260" a="1"/>
  <c r="AH235" i="260" a="1"/>
  <c r="BQ48" i="260" a="1"/>
  <c r="AZ39" i="260" a="1"/>
  <c r="G53" i="260" a="1"/>
  <c r="R47" i="260" a="1"/>
  <c r="BQ37" i="260" a="1"/>
  <c r="J603" i="260" a="1"/>
  <c r="BM51" i="260" a="1"/>
  <c r="BF39" i="260" a="1"/>
  <c r="V78" i="260" a="1"/>
  <c r="N37" i="260" a="1"/>
  <c r="AN78" i="260" a="1"/>
  <c r="G46" i="260" a="1"/>
  <c r="AN42" i="260" a="1"/>
  <c r="AD33" i="260" a="1"/>
  <c r="AV42" i="260" a="1"/>
  <c r="BQ184" i="260" a="1"/>
  <c r="BF42" i="260" a="1"/>
  <c r="BM35" i="260" a="1"/>
  <c r="AN609" i="260" a="1"/>
  <c r="BJ76" i="260" a="1"/>
  <c r="BM697" i="260" a="1"/>
  <c r="AZ164" i="260" a="1"/>
  <c r="BJ58" i="260" a="1"/>
  <c r="BU371" i="260" a="1"/>
  <c r="J174" i="260" a="1"/>
  <c r="N48" i="260" a="1"/>
  <c r="AQ80" i="260" a="1"/>
  <c r="AQ295" i="260" a="1"/>
  <c r="R321" i="260" a="1"/>
  <c r="BF617" i="260" a="1"/>
  <c r="AQ763" i="260" a="1"/>
  <c r="AV631" i="260" a="1"/>
  <c r="AZ226" i="260" a="1"/>
  <c r="V520" i="260" a="1"/>
  <c r="J440" i="260" a="1"/>
  <c r="AD107" i="260" a="1"/>
  <c r="R719" i="260" a="1"/>
  <c r="BJ646" i="260" a="1"/>
  <c r="AN494" i="260" a="1"/>
  <c r="G416" i="260" a="1"/>
  <c r="AD539" i="260" a="1"/>
  <c r="AD716" i="260" a="1"/>
  <c r="N191" i="260" a="1"/>
  <c r="BQ684" i="260" a="1"/>
  <c r="N489" i="260" a="1"/>
  <c r="V546" i="260" a="1"/>
  <c r="BU56" i="260" a="1"/>
  <c r="AN263" i="260" a="1"/>
  <c r="AV473" i="260" a="1"/>
  <c r="N543" i="260" a="1"/>
  <c r="AQ62" i="260" a="1"/>
  <c r="BQ62" i="260" a="1"/>
  <c r="AV67" i="260" a="1"/>
  <c r="BM409" i="260" a="1"/>
  <c r="BF251" i="260" a="1"/>
  <c r="AD68" i="260" a="1"/>
  <c r="AD374" i="260" a="1"/>
  <c r="BF768" i="260" a="1"/>
  <c r="Z593" i="260" a="1"/>
  <c r="BM757" i="260" a="1"/>
  <c r="Z610" i="260" a="1"/>
  <c r="AZ63" i="260" a="1"/>
  <c r="AV50" i="260" a="1"/>
  <c r="BJ34" i="260" a="1"/>
  <c r="AV745" i="260" a="1"/>
  <c r="AV490" i="260" a="1"/>
  <c r="BM216" i="260" a="1"/>
  <c r="Z530" i="260" a="1"/>
  <c r="V667" i="260" a="1"/>
  <c r="AV400" i="260" a="1"/>
  <c r="AN371" i="260" a="1"/>
  <c r="BF437" i="260" a="1"/>
  <c r="BJ722" i="260" a="1"/>
  <c r="BU314" i="260" a="1"/>
  <c r="N62" i="260" a="1"/>
  <c r="AV292" i="260" a="1"/>
  <c r="J219" i="260" a="1"/>
  <c r="V63" i="260" a="1"/>
  <c r="AQ552" i="260" a="1"/>
  <c r="G777" i="260" a="1"/>
  <c r="N221" i="260" a="1"/>
  <c r="AQ531" i="260" a="1"/>
  <c r="BJ56" i="260" a="1"/>
  <c r="AQ245" i="260" a="1"/>
  <c r="Z422" i="260" a="1"/>
  <c r="AQ572" i="260" a="1"/>
  <c r="AV656" i="260" a="1"/>
  <c r="AZ576" i="260" a="1"/>
  <c r="V395" i="260" a="1"/>
  <c r="V560" i="260" a="1"/>
  <c r="V57" i="260" a="1"/>
  <c r="BM711" i="260" a="1"/>
  <c r="AH330" i="260" a="1"/>
  <c r="BQ72" i="260" a="1"/>
  <c r="BM56" i="260" a="1"/>
  <c r="R33" i="260" a="1"/>
  <c r="AH70" i="260" a="1"/>
  <c r="BM770" i="260" a="1"/>
  <c r="R516" i="260" a="1"/>
  <c r="BM189" i="260" a="1"/>
  <c r="AZ139" i="260" a="1"/>
  <c r="N612" i="260" a="1"/>
  <c r="AZ235" i="260" a="1"/>
  <c r="V337" i="260" a="1"/>
  <c r="AD55" i="260" a="1"/>
  <c r="V76" i="260" a="1"/>
  <c r="R593" i="260" a="1"/>
  <c r="BF112" i="260" a="1"/>
  <c r="J193" i="260" a="1"/>
  <c r="Z63" i="260" a="1"/>
  <c r="Z147" i="260" a="1"/>
  <c r="AN643" i="260" a="1"/>
  <c r="AH65" i="260" a="1"/>
  <c r="AQ165" i="260" a="1"/>
  <c r="Z730" i="260" a="1"/>
  <c r="BJ509" i="260" a="1"/>
  <c r="BF749" i="260" a="1"/>
  <c r="BM121" i="260" a="1"/>
  <c r="BF594" i="260" a="1"/>
  <c r="AD249" i="260" a="1"/>
  <c r="BQ97" i="260" a="1"/>
  <c r="R663" i="260" a="1"/>
  <c r="Z672" i="260" a="1"/>
  <c r="AQ375" i="260" a="1"/>
  <c r="BF587" i="260" a="1"/>
  <c r="Z42" i="260" a="1"/>
  <c r="R38" i="260" a="1"/>
  <c r="AV734" i="260" a="1"/>
  <c r="AV752" i="260" a="1"/>
  <c r="BM546" i="260" a="1"/>
  <c r="AQ102" i="260" a="1"/>
  <c r="Z592" i="260" a="1"/>
  <c r="AV71" i="260" a="1"/>
  <c r="AN407" i="260" a="1"/>
  <c r="AQ243" i="260" a="1"/>
  <c r="BF244" i="260" a="1"/>
  <c r="G588" i="260" a="1"/>
  <c r="Z301" i="260" a="1"/>
  <c r="BQ118" i="260" a="1"/>
  <c r="N139" i="260" a="1"/>
  <c r="V648" i="260" a="1"/>
  <c r="BQ287" i="260" a="1"/>
  <c r="BJ252" i="260" a="1"/>
  <c r="BQ134" i="260" a="1"/>
  <c r="AZ77" i="260" a="1"/>
  <c r="AH430" i="260" a="1"/>
  <c r="V246" i="260" a="1"/>
  <c r="Z78" i="260" a="1"/>
  <c r="J234" i="260" a="1"/>
  <c r="BQ58" i="260" a="1"/>
  <c r="BU69" i="260" a="1"/>
  <c r="J68" i="260" a="1"/>
  <c r="AN67" i="260" a="1"/>
  <c r="R406" i="260" a="1"/>
  <c r="AN61" i="260" a="1"/>
  <c r="G323" i="260" a="1"/>
  <c r="AH67" i="260" a="1"/>
  <c r="BM213" i="260" a="1"/>
  <c r="V641" i="260" a="1"/>
  <c r="R664" i="260" a="1"/>
  <c r="N116" i="260" a="1"/>
  <c r="R93" i="260" a="1"/>
  <c r="J236" i="260" a="1"/>
  <c r="AN347" i="260" a="1"/>
  <c r="BJ69" i="260" a="1"/>
  <c r="BF603" i="260" a="1"/>
  <c r="AH618" i="260" a="1"/>
  <c r="BF371" i="260" a="1"/>
  <c r="V405" i="260" a="1"/>
  <c r="BQ220" i="260" a="1"/>
  <c r="BQ708" i="260" a="1"/>
  <c r="J58" i="260" a="1"/>
  <c r="R98" i="260" a="1"/>
  <c r="BJ231" i="260" a="1"/>
  <c r="AH612" i="260" a="1"/>
  <c r="AZ68" i="260" a="1"/>
  <c r="AZ67" i="260" a="1"/>
  <c r="Z308" i="260" a="1"/>
  <c r="AH446" i="260" a="1"/>
  <c r="N594" i="260" a="1"/>
  <c r="BJ326" i="260" a="1"/>
  <c r="AQ510" i="260" a="1"/>
  <c r="N559" i="260" a="1"/>
  <c r="AD309" i="260" a="1"/>
  <c r="V56" i="260" a="1"/>
  <c r="BF771" i="260" a="1"/>
  <c r="BF80" i="260" a="1"/>
  <c r="BQ196" i="260" a="1"/>
  <c r="AZ47" i="260" a="1"/>
  <c r="AN40" i="260" a="1"/>
  <c r="AZ414" i="260" a="1"/>
  <c r="V49" i="260" a="1"/>
  <c r="G48" i="260" a="1"/>
  <c r="BF48" i="260" a="1"/>
  <c r="BU40" i="260" a="1"/>
  <c r="BF72" i="260" a="1"/>
  <c r="V52" i="260" a="1"/>
  <c r="AH44" i="260" a="1"/>
  <c r="AN48" i="260" a="1"/>
  <c r="BU50" i="260" a="1"/>
  <c r="BF36" i="260" a="1"/>
  <c r="Z43" i="260" a="1"/>
  <c r="J40" i="260" a="1"/>
  <c r="V51" i="260" a="1"/>
  <c r="BF40" i="260" a="1"/>
  <c r="BM40" i="260" a="1"/>
  <c r="BU52" i="260" a="1"/>
  <c r="BM115" i="260" a="1"/>
  <c r="BF45" i="260" a="1"/>
  <c r="G49" i="260" a="1"/>
  <c r="AV45" i="260" a="1"/>
  <c r="AV48" i="260" a="1"/>
  <c r="BQ35" i="260" a="1"/>
  <c r="AV63" i="260" a="1"/>
  <c r="AH49" i="260" a="1"/>
  <c r="AQ261" i="260" a="1"/>
  <c r="R40" i="260" a="1"/>
  <c r="AN51" i="260" a="1"/>
  <c r="G65" i="260" a="1"/>
  <c r="AH77" i="260" a="1"/>
  <c r="R73" i="260" a="1"/>
  <c r="R622" i="260" a="1"/>
  <c r="BQ36" i="260" a="1"/>
  <c r="R45" i="260" a="1"/>
  <c r="BJ52" i="260" a="1"/>
  <c r="BM160" i="260" a="1"/>
  <c r="BJ36" i="260" a="1"/>
  <c r="AZ351" i="260" a="1"/>
  <c r="AN41" i="260" a="1"/>
  <c r="V37" i="260" a="1"/>
  <c r="BQ187" i="260" a="1"/>
  <c r="Z51" i="260" a="1"/>
  <c r="AN52" i="260" a="1"/>
  <c r="AZ38" i="260" a="1"/>
  <c r="BJ41" i="260" a="1"/>
  <c r="BU44" i="260" a="1"/>
  <c r="AZ33" i="260" a="1"/>
  <c r="Z33" i="260" a="1"/>
  <c r="V31" i="260" a="1"/>
  <c r="BJ38" i="260" a="1"/>
  <c r="AZ32" i="260" a="1"/>
  <c r="Z549" i="260" a="1"/>
  <c r="AZ511" i="260" a="1"/>
  <c r="AD177" i="260" a="1"/>
  <c r="J662" i="260" a="1"/>
  <c r="AN70" i="260" a="1"/>
  <c r="BJ44" i="260" a="1"/>
  <c r="AZ534" i="260" a="1"/>
  <c r="BJ550" i="260" a="1"/>
  <c r="AV207" i="260" a="1"/>
  <c r="J355" i="260" a="1"/>
  <c r="AQ703" i="260" a="1"/>
  <c r="G645" i="260" a="1"/>
  <c r="N714" i="260" a="1"/>
  <c r="J320" i="260" a="1"/>
  <c r="Z695" i="260" a="1"/>
  <c r="Z300" i="260" a="1"/>
  <c r="Z309" i="260" a="1"/>
  <c r="BQ275" i="260" a="1"/>
  <c r="AN635" i="260" a="1"/>
  <c r="AV58" i="260" a="1"/>
  <c r="AQ38" i="260" a="1"/>
  <c r="BJ440" i="260" a="1"/>
  <c r="AN401" i="260" a="1"/>
  <c r="Z417" i="260" a="1"/>
  <c r="R255" i="260" a="1"/>
  <c r="BU72" i="260" a="1"/>
  <c r="J50" i="260" a="1"/>
  <c r="V41" i="260" a="1"/>
  <c r="J53" i="260" a="1"/>
  <c r="N44" i="260" a="1"/>
  <c r="R50" i="260" a="1"/>
  <c r="R34" i="260" a="1"/>
  <c r="R48" i="260" a="1"/>
  <c r="R31" i="260" a="1"/>
  <c r="BJ213" i="260" a="1"/>
  <c r="AQ284" i="260" a="1"/>
  <c r="N161" i="260" a="1"/>
  <c r="BU227" i="260" a="1"/>
  <c r="AD200" i="260" a="1"/>
  <c r="AH620" i="260" a="1"/>
  <c r="R233" i="260" a="1"/>
  <c r="BU338" i="260" a="1"/>
  <c r="BM130" i="260" a="1"/>
  <c r="AD448" i="260" a="1"/>
  <c r="AQ577" i="260" a="1"/>
  <c r="BQ83" i="260" a="1"/>
  <c r="BQ299" i="260" a="1"/>
  <c r="BU303" i="260" a="1"/>
  <c r="BQ212" i="260" a="1"/>
  <c r="BM532" i="260" a="1"/>
  <c r="BM726" i="260" a="1"/>
  <c r="AH268" i="260" a="1"/>
  <c r="G384" i="260" a="1"/>
  <c r="G287" i="260" a="1"/>
  <c r="AN349" i="260" a="1"/>
  <c r="AV632" i="260" a="1"/>
  <c r="Z661" i="260" a="1"/>
  <c r="N244" i="260" a="1"/>
  <c r="V431" i="260" a="1"/>
  <c r="Z268" i="260" a="1"/>
  <c r="BF485" i="260" a="1"/>
  <c r="AQ326" i="260" a="1"/>
  <c r="BQ324" i="260" a="1"/>
  <c r="BJ572" i="260" a="1"/>
  <c r="AN145" i="260" a="1"/>
  <c r="BQ172" i="260" a="1"/>
  <c r="G107" i="260" a="1"/>
  <c r="AQ537" i="260" a="1"/>
  <c r="BQ478" i="260" a="1"/>
  <c r="AQ556" i="260" a="1"/>
  <c r="R49" i="260" a="1"/>
  <c r="AZ42" i="260" a="1"/>
  <c r="BU433" i="260" a="1"/>
  <c r="R372" i="260" a="1"/>
  <c r="N60" i="260" a="1"/>
  <c r="Z281" i="260" a="1"/>
  <c r="BJ390" i="260" a="1"/>
  <c r="J632" i="260" a="1"/>
  <c r="G425" i="260" a="1"/>
  <c r="J732" i="260" a="1"/>
  <c r="AH478" i="260" a="1"/>
  <c r="AD641" i="260" a="1"/>
  <c r="BU388" i="260" a="1"/>
  <c r="BQ509" i="260" a="1"/>
  <c r="AV445" i="260" a="1"/>
  <c r="BJ565" i="260" a="1"/>
  <c r="N74" i="260" a="1"/>
  <c r="BF486" i="260" a="1"/>
  <c r="V284" i="260" a="1"/>
  <c r="BJ117" i="260" a="1"/>
  <c r="V362" i="260" a="1"/>
  <c r="AN587" i="260" a="1"/>
  <c r="BF526" i="260" a="1"/>
  <c r="BQ368" i="260" a="1"/>
  <c r="AH377" i="260" a="1"/>
  <c r="BJ64" i="260" a="1"/>
  <c r="BM60" i="260" a="1"/>
  <c r="BU65" i="260" a="1"/>
  <c r="Z312" i="260" a="1"/>
  <c r="G57" i="260" a="1"/>
  <c r="AD57" i="260" a="1"/>
  <c r="AZ662" i="260" a="1"/>
  <c r="G39" i="260" a="1"/>
  <c r="AZ52" i="260" a="1"/>
  <c r="AZ60" i="260" a="1"/>
  <c r="R193" i="260" a="1"/>
  <c r="V708" i="260" a="1"/>
  <c r="G525" i="260" a="1"/>
  <c r="BF67" i="260" a="1"/>
  <c r="AN58" i="260" a="1"/>
  <c r="BF457" i="260" a="1"/>
  <c r="BU580" i="260" a="1"/>
  <c r="BM77" i="260" a="1"/>
  <c r="AZ343" i="260" a="1"/>
  <c r="R362" i="260" a="1"/>
  <c r="AV232" i="260" a="1"/>
  <c r="BQ102" i="260" a="1"/>
  <c r="AN730" i="260" a="1"/>
  <c r="N176" i="260" a="1"/>
  <c r="BQ451" i="260" a="1"/>
  <c r="BM667" i="260" a="1"/>
  <c r="AQ95" i="260" a="1"/>
  <c r="AZ405" i="260" a="1"/>
  <c r="AD211" i="260" a="1"/>
  <c r="AZ89" i="260" a="1"/>
  <c r="Z70" i="260" a="1"/>
  <c r="J59" i="260" a="1"/>
  <c r="Z418" i="260" a="1"/>
  <c r="BM714" i="260" a="1"/>
  <c r="AD159" i="260" a="1"/>
  <c r="AV777" i="260" a="1"/>
  <c r="G523" i="260" a="1"/>
  <c r="AZ371" i="260" a="1"/>
  <c r="AH47" i="260" a="1"/>
  <c r="J67" i="260" a="1"/>
  <c r="AZ216" i="260" a="1"/>
  <c r="BU57" i="260" a="1"/>
  <c r="AQ699" i="260" a="1"/>
  <c r="N496" i="260" a="1"/>
  <c r="BJ713" i="260" a="1"/>
  <c r="J462" i="260" a="1"/>
  <c r="Z645" i="260" a="1"/>
  <c r="V74" i="260" a="1"/>
  <c r="BU759" i="260" a="1"/>
  <c r="G56" i="260" a="1"/>
  <c r="V332" i="260" a="1"/>
  <c r="BJ275" i="260" a="1"/>
  <c r="G419" i="260" a="1"/>
  <c r="BQ87" i="260" a="1"/>
  <c r="G67" i="260" a="1"/>
  <c r="BF215" i="260" a="1"/>
  <c r="AN537" i="260" a="1"/>
  <c r="R741" i="260" a="1"/>
  <c r="N630" i="260" a="1"/>
  <c r="BU264" i="260" a="1"/>
  <c r="V247" i="260" a="1"/>
  <c r="R155" i="260" a="1"/>
  <c r="BU463" i="260" a="1"/>
  <c r="Z61" i="260" a="1"/>
  <c r="BM190" i="260" a="1"/>
  <c r="N624" i="260" a="1"/>
  <c r="J432" i="260" a="1"/>
  <c r="R286" i="260" a="1"/>
  <c r="BM100" i="260" a="1"/>
  <c r="BF110" i="260" a="1"/>
  <c r="AD30" i="260" a="1"/>
  <c r="AH674" i="260" a="1"/>
  <c r="AH396" i="260" a="1"/>
  <c r="AZ385" i="260" a="1"/>
  <c r="AZ767" i="260" a="1"/>
  <c r="J209" i="260" a="1"/>
  <c r="BU346" i="260" a="1"/>
  <c r="AN335" i="260" a="1"/>
  <c r="N599" i="260" a="1"/>
  <c r="AH453" i="260" a="1"/>
  <c r="G394" i="260" a="1"/>
  <c r="V67" i="260" a="1"/>
  <c r="AH757" i="260" a="1"/>
  <c r="BJ469" i="260" a="1"/>
  <c r="BM62" i="260" a="1"/>
  <c r="BQ448" i="260" a="1"/>
  <c r="BJ559" i="260" a="1"/>
  <c r="R591" i="260" a="1"/>
  <c r="N694" i="260" a="1"/>
  <c r="AD77" i="260" a="1"/>
  <c r="BF707" i="260" a="1"/>
  <c r="AQ490" i="260" a="1"/>
  <c r="Z687" i="260" a="1"/>
  <c r="BQ124" i="260" a="1"/>
  <c r="AQ361" i="260" a="1"/>
  <c r="V259" i="260" a="1"/>
  <c r="R486" i="260" a="1"/>
  <c r="BF406" i="260" a="1"/>
  <c r="BJ170" i="260" a="1"/>
  <c r="Z211" i="260" a="1"/>
  <c r="G55" i="260" a="1"/>
  <c r="BM38" i="260" a="1"/>
  <c r="V42" i="260" a="1"/>
  <c r="G171" i="260" a="1"/>
  <c r="AZ70" i="260" a="1"/>
  <c r="AD31" i="260" a="1"/>
  <c r="Z34" i="260" a="1"/>
  <c r="Z31" i="260" a="1"/>
  <c r="G32" i="260" a="1"/>
  <c r="AN35" i="260" a="1"/>
  <c r="BQ34" i="260" a="1"/>
  <c r="AQ39" i="260" a="1"/>
  <c r="AD43" i="260" a="1"/>
  <c r="BJ67" i="260" a="1"/>
  <c r="G35" i="260" a="1"/>
  <c r="BU34" i="260" a="1"/>
  <c r="BU49" i="260" a="1"/>
  <c r="J64" i="260" a="1"/>
  <c r="Z36" i="260" a="1"/>
  <c r="AV33" i="260" a="1"/>
  <c r="N38" i="260" a="1"/>
  <c r="AD41" i="260" a="1"/>
  <c r="V71" i="260" a="1"/>
  <c r="N41" i="260" a="1"/>
  <c r="AD46" i="260" a="1"/>
  <c r="BM66" i="260" a="1"/>
  <c r="J52" i="260" a="1"/>
  <c r="R44" i="260" a="1"/>
  <c r="AH51" i="260" a="1"/>
  <c r="N33" i="260" a="1"/>
  <c r="N45" i="260" a="1"/>
  <c r="J45" i="260" a="1"/>
  <c r="AZ46" i="260" a="1"/>
  <c r="Z47" i="260" a="1"/>
  <c r="V505" i="260" a="1"/>
  <c r="AV30" i="260" a="1"/>
  <c r="R46" i="260" a="1"/>
  <c r="G30" i="260" a="1"/>
  <c r="AH32" i="260" a="1"/>
  <c r="AH31" i="260" a="1"/>
  <c r="R452" i="260" a="1"/>
  <c r="AQ53" i="260" a="1"/>
  <c r="AV36" i="260" a="1"/>
  <c r="N57" i="260" a="1"/>
  <c r="BF52" i="260" a="1"/>
  <c r="BJ49" i="260" a="1"/>
  <c r="BF32" i="260" a="1"/>
  <c r="BF53" i="260" a="1"/>
  <c r="J51" i="260" a="1"/>
  <c r="BJ40" i="260" a="1"/>
  <c r="BJ31" i="260" a="1"/>
  <c r="BM43" i="260" a="1"/>
  <c r="N73" i="260" a="1"/>
  <c r="V352" i="260" a="1"/>
  <c r="BF75" i="260" a="1"/>
  <c r="BM138" i="260" a="1"/>
  <c r="R396" i="260" a="1"/>
  <c r="BJ39" i="260" a="1"/>
  <c r="AZ146" i="260" a="1"/>
  <c r="BM528" i="260" a="1"/>
  <c r="AH227" i="260" a="1"/>
  <c r="AN560" i="260" a="1"/>
  <c r="AV31" i="260" a="1"/>
  <c r="AD206" i="260" a="1"/>
  <c r="AN582" i="260" a="1"/>
  <c r="BU546" i="260" a="1"/>
  <c r="BM308" i="260" a="1"/>
  <c r="AV75" i="260" a="1"/>
  <c r="BM145" i="260" a="1"/>
  <c r="V650" i="260" a="1"/>
  <c r="BJ253" i="260" a="1"/>
  <c r="AN601" i="260" a="1"/>
  <c r="AV462" i="260" a="1"/>
  <c r="AH475" i="260" a="1"/>
  <c r="AV61" i="260" a="1"/>
  <c r="BU368" i="260" a="1"/>
  <c r="AV756" i="260" a="1"/>
  <c r="AQ63" i="260" a="1"/>
  <c r="AD36" i="260" a="1"/>
  <c r="BJ51" i="260" a="1"/>
  <c r="BQ38" i="260" a="1"/>
  <c r="BJ42" i="260" a="1"/>
  <c r="AQ43" i="260" a="1"/>
  <c r="G40" i="260" a="1"/>
  <c r="AZ37" i="260" a="1"/>
  <c r="BM49" i="260" a="1"/>
  <c r="AZ49" i="260" a="1"/>
  <c r="Z50" i="260" a="1"/>
  <c r="AH684" i="260" a="1"/>
  <c r="J170" i="260" a="1"/>
  <c r="J151" i="260" a="1"/>
  <c r="Z273" i="260" a="1"/>
  <c r="AQ519" i="260" a="1"/>
  <c r="G440" i="260" a="1"/>
  <c r="R217" i="260" a="1"/>
  <c r="AQ276" i="260" a="1"/>
  <c r="AD144" i="260" a="1"/>
  <c r="Z275" i="260" a="1"/>
  <c r="BQ487" i="260" a="1"/>
  <c r="BM57" i="260" a="1"/>
  <c r="BF497" i="260" a="1"/>
  <c r="G477" i="260" a="1"/>
  <c r="AQ264" i="260" a="1"/>
  <c r="V381" i="260" a="1"/>
  <c r="N366" i="260" a="1"/>
  <c r="AV181" i="260" a="1"/>
  <c r="J157" i="260" a="1"/>
  <c r="AQ77" i="260" a="1"/>
  <c r="BF69" i="260" a="1"/>
  <c r="AN756" i="260" a="1"/>
  <c r="BM400" i="260" a="1"/>
  <c r="AQ107" i="260" a="1"/>
  <c r="BJ517" i="260" a="1"/>
  <c r="BM70" i="260" a="1"/>
  <c r="R68" i="260" a="1"/>
  <c r="N487" i="260" a="1"/>
  <c r="J133" i="260" a="1"/>
  <c r="AV334" i="260" a="1"/>
  <c r="J165" i="260" a="1"/>
  <c r="BM614" i="260" a="1"/>
  <c r="AV145" i="260" a="1"/>
  <c r="BM76" i="260" a="1"/>
  <c r="R289" i="260" a="1"/>
  <c r="BF209" i="260" a="1"/>
  <c r="V34" i="260" a="1"/>
  <c r="AD35" i="260" a="1"/>
  <c r="AQ528" i="260" a="1"/>
  <c r="AD61" i="260" a="1"/>
  <c r="AH81" i="260" a="1"/>
  <c r="V474" i="260" a="1"/>
  <c r="AQ197" i="260" a="1"/>
  <c r="AH120" i="260" a="1"/>
  <c r="AN684" i="260" a="1"/>
  <c r="BM217" i="260" a="1"/>
  <c r="BM675" i="260" a="1"/>
  <c r="BQ185" i="260" a="1"/>
  <c r="AH368" i="260" a="1"/>
  <c r="AZ447" i="260" a="1"/>
  <c r="BQ519" i="260" a="1"/>
  <c r="V699" i="260" a="1"/>
  <c r="J390" i="260" a="1"/>
  <c r="G132" i="260" a="1"/>
  <c r="AN427" i="260" a="1"/>
  <c r="AH71" i="260" a="1"/>
  <c r="J361" i="260" a="1"/>
  <c r="BM415" i="260" a="1"/>
  <c r="BQ537" i="260" a="1"/>
  <c r="AV65" i="260" a="1"/>
  <c r="G198" i="260" a="1"/>
  <c r="V388" i="260" a="1"/>
  <c r="BJ235" i="260" a="1"/>
  <c r="BQ690" i="260" a="1"/>
  <c r="J306" i="260" a="1"/>
  <c r="AV69" i="260" a="1"/>
  <c r="BU64" i="260" a="1"/>
  <c r="J601" i="260" a="1"/>
  <c r="BQ39" i="260" a="1"/>
  <c r="Z48" i="260" a="1"/>
  <c r="G360" i="260" a="1"/>
  <c r="J310" i="260" a="1"/>
  <c r="BU93" i="260" a="1"/>
  <c r="AV178" i="260" a="1"/>
  <c r="BQ507" i="260" a="1"/>
  <c r="J332" i="260" a="1"/>
  <c r="AH646" i="260" a="1"/>
  <c r="BJ63" i="260" a="1"/>
  <c r="G689" i="260" a="1"/>
  <c r="AQ669" i="260" a="1"/>
  <c r="BQ435" i="260" a="1"/>
  <c r="J750" i="260" a="1"/>
  <c r="AZ69" i="260" a="1"/>
  <c r="BM509" i="260" a="1"/>
  <c r="BU166" i="260" a="1"/>
  <c r="AD267" i="260" a="1"/>
  <c r="BM285" i="260" a="1"/>
  <c r="AN66" i="260" a="1"/>
  <c r="AN273" i="260" a="1"/>
  <c r="J101" i="260" a="1"/>
  <c r="AZ66" i="260" a="1"/>
  <c r="BM649" i="260" a="1"/>
  <c r="AH259" i="260" a="1"/>
  <c r="AN73" i="260" a="1"/>
  <c r="BU147" i="260" a="1"/>
  <c r="BJ434" i="260" a="1"/>
  <c r="Z638" i="260" a="1"/>
  <c r="BQ181" i="260" a="1"/>
  <c r="R447" i="260" a="1"/>
  <c r="V40" i="260" a="1"/>
  <c r="Z39" i="260" a="1"/>
  <c r="AZ451" i="260" a="1"/>
  <c r="Z69" i="260" a="1"/>
  <c r="BM557" i="260" a="1"/>
  <c r="AD416" i="260" a="1"/>
  <c r="AV57" i="260" a="1"/>
  <c r="R206" i="260" a="1"/>
  <c r="AZ303" i="260" a="1"/>
  <c r="BJ181" i="260" a="1"/>
  <c r="BJ130" i="260" a="1"/>
  <c r="AZ522" i="260" a="1"/>
  <c r="AV583" i="260" a="1"/>
  <c r="BU726" i="260" a="1"/>
  <c r="AD219" i="260" a="1"/>
  <c r="AZ632" i="260" a="1"/>
  <c r="AQ316" i="260" a="1"/>
  <c r="N303" i="260" a="1"/>
  <c r="Z77" i="260" a="1"/>
  <c r="V481" i="260" a="1"/>
  <c r="N215" i="260" a="1"/>
  <c r="R513" i="260" a="1"/>
  <c r="AZ628" i="260" a="1"/>
  <c r="BQ191" i="260" a="1"/>
  <c r="R384" i="260" a="1"/>
  <c r="J552" i="260" a="1"/>
  <c r="AQ757" i="260" a="1"/>
  <c r="V55" i="260" a="1"/>
  <c r="AN216" i="260" a="1"/>
  <c r="G93" i="260" a="1"/>
  <c r="AZ562" i="260" a="1"/>
  <c r="BF495" i="260" a="1"/>
  <c r="G47" i="260" a="1"/>
  <c r="BJ385" i="260" a="1"/>
  <c r="AQ60" i="260" a="1"/>
  <c r="AH547" i="260" a="1"/>
  <c r="AH568" i="260" a="1"/>
  <c r="AD732" i="260" a="1"/>
  <c r="BQ78" i="260" a="1"/>
  <c r="AH665" i="260" a="1"/>
  <c r="BF175" i="260" a="1"/>
  <c r="BQ420" i="260" a="1"/>
  <c r="Z59" i="260" a="1"/>
  <c r="AD172" i="260" a="1"/>
  <c r="AD744" i="260" a="1"/>
  <c r="Z771" i="260" a="1"/>
  <c r="AV600" i="260" a="1"/>
  <c r="AD65" i="260" a="1"/>
  <c r="AN99" i="260" a="1"/>
  <c r="AH756" i="260" a="1"/>
  <c r="G392" i="260" a="1"/>
  <c r="BJ163" i="260" a="1"/>
  <c r="BJ57" i="260" a="1"/>
  <c r="AZ635" i="260" a="1"/>
  <c r="AN671" i="260" a="1"/>
  <c r="J61" i="260" a="1"/>
  <c r="AQ395" i="260" a="1"/>
  <c r="G259" i="260" a="1"/>
  <c r="V350" i="260" a="1"/>
  <c r="BF216" i="260" a="1"/>
  <c r="R612" i="260" a="1"/>
  <c r="Z480" i="260" a="1"/>
  <c r="AH574" i="260" a="1"/>
  <c r="AV40" i="260" a="1"/>
  <c r="AQ51" i="260" a="1"/>
  <c r="AH703" i="260" a="1"/>
  <c r="AD64" i="260" a="1"/>
  <c r="AZ34" i="260" a="1"/>
  <c r="N47" i="260" a="1"/>
  <c r="Z37" i="260" a="1"/>
  <c r="V48" i="260" a="1"/>
  <c r="AV72" i="260" a="1"/>
  <c r="V43" i="260" a="1"/>
  <c r="G43" i="260" a="1"/>
  <c r="BQ190" i="260" a="1"/>
  <c r="BF31" i="260" a="1"/>
  <c r="N50" i="260" a="1"/>
  <c r="AQ34" i="260" a="1"/>
  <c r="AN38" i="260" a="1"/>
  <c r="J77" i="260" a="1"/>
  <c r="AZ43" i="260" a="1"/>
  <c r="AD52" i="260" a="1"/>
  <c r="V35" i="260" a="1"/>
  <c r="AQ32" i="260" a="1"/>
  <c r="BQ31" i="260" a="1"/>
  <c r="BQ61" i="260" a="1"/>
  <c r="BJ77" i="260" a="1"/>
  <c r="AH46" i="260" a="1"/>
  <c r="AQ31" i="260" a="1"/>
  <c r="AN77" i="260" a="1"/>
  <c r="BM34" i="260" a="1"/>
  <c r="R62" i="260" a="1"/>
  <c r="AH42" i="260" a="1"/>
  <c r="J32" i="260" a="1"/>
  <c r="Z60" i="260" a="1"/>
  <c r="BQ68" i="260" a="1"/>
  <c r="N42" i="260" a="1"/>
  <c r="V46" i="260" a="1"/>
  <c r="AN53" i="260" a="1"/>
  <c r="R51" i="260" a="1"/>
  <c r="AV46" i="260" a="1"/>
  <c r="Z45" i="260" a="1"/>
  <c r="AH40" i="260" a="1"/>
  <c r="BM46" i="260" a="1"/>
  <c r="AH37" i="260" a="1"/>
  <c r="BF38" i="260" a="1"/>
  <c r="AH41" i="260" a="1"/>
  <c r="AN39" i="260" a="1"/>
  <c r="BM225" i="260" a="1"/>
  <c r="AN50" i="260" a="1"/>
  <c r="Z44" i="260" a="1"/>
  <c r="AZ30" i="260" a="1"/>
  <c r="AQ46" i="260" a="1"/>
  <c r="BM36" i="260" a="1"/>
  <c r="BM31" i="260" a="1"/>
  <c r="BM42" i="260" a="1"/>
  <c r="AN258" i="260" a="1"/>
  <c r="AZ692" i="260" a="1"/>
  <c r="G372" i="260" a="1"/>
  <c r="AD426" i="260" a="1"/>
  <c r="BU666" i="260" a="1"/>
  <c r="BM47" i="260" a="1"/>
  <c r="BJ227" i="260" a="1"/>
  <c r="R199" i="260" a="1"/>
  <c r="BU187" i="260" a="1"/>
  <c r="BQ183" i="260" a="1"/>
  <c r="AZ153" i="260" a="1"/>
  <c r="AD344" i="260" a="1"/>
  <c r="AQ371" i="260" a="1"/>
  <c r="J259" i="260" a="1"/>
  <c r="N75" i="260" a="1"/>
  <c r="AQ61" i="260" a="1"/>
  <c r="J56" i="260" a="1"/>
  <c r="BM497" i="260" a="1"/>
  <c r="AD307" i="260" a="1"/>
  <c r="Z165" i="260" a="1"/>
  <c r="V407" i="260" a="1"/>
  <c r="AV646" i="260" a="1"/>
  <c r="J744" i="260" a="1"/>
  <c r="AH593" i="260" a="1"/>
  <c r="AV758" i="260" a="1"/>
  <c r="AN47" i="260" a="1"/>
  <c r="AQ37" i="260" a="1"/>
  <c r="G38" i="260" a="1"/>
  <c r="Z52" i="260" a="1"/>
  <c r="R41" i="260" a="1"/>
  <c r="G45" i="260" a="1"/>
  <c r="BU51" i="260" a="1"/>
  <c r="J34" i="260" a="1"/>
  <c r="N30" i="260" a="1"/>
  <c r="AD632" i="260" a="1"/>
  <c r="G688" i="260" a="1"/>
  <c r="V447" i="260" a="1"/>
  <c r="BF408" i="260" a="1"/>
  <c r="AQ464" i="260" a="1"/>
  <c r="G534" i="260" a="1"/>
  <c r="BM303" i="260" a="1"/>
  <c r="AZ330" i="260" a="1"/>
  <c r="AH265" i="260" a="1"/>
  <c r="BM666" i="260" a="1"/>
  <c r="BQ724" i="260" a="1"/>
  <c r="N540" i="260" a="1"/>
  <c r="BU581" i="260" a="1"/>
  <c r="AQ723" i="260" a="1"/>
  <c r="BM436" i="260" a="1"/>
  <c r="BF658" i="260" a="1"/>
  <c r="AN144" i="260" a="1"/>
  <c r="AZ581" i="260" a="1"/>
  <c r="BM522" i="260" a="1"/>
  <c r="AQ501" i="260" a="1"/>
  <c r="Z187" i="260" a="1"/>
  <c r="AV560" i="260" a="1"/>
  <c r="R118" i="260" a="1"/>
  <c r="AN143" i="260" a="1"/>
  <c r="AN56" i="260" a="1"/>
  <c r="BQ548" i="260" a="1"/>
  <c r="R330" i="260" a="1"/>
  <c r="AD368" i="260" a="1"/>
  <c r="BQ77" i="260" a="1"/>
  <c r="BF725" i="260" a="1"/>
  <c r="BQ727" i="260" a="1"/>
  <c r="G459" i="260" a="1"/>
  <c r="BM328" i="260" a="1"/>
  <c r="J476" i="260" a="1"/>
  <c r="AD360" i="260" a="1"/>
  <c r="BQ199" i="260" a="1"/>
  <c r="AD42" i="260" a="1"/>
  <c r="AN30" i="260" a="1"/>
  <c r="AV242" i="260" a="1"/>
  <c r="J556" i="260" a="1"/>
  <c r="BJ141" i="260" a="1"/>
  <c r="AQ683" i="260" a="1"/>
  <c r="AQ447" i="260" a="1"/>
  <c r="AZ220" i="260" a="1"/>
  <c r="N428" i="260" a="1"/>
  <c r="AZ774" i="260" a="1"/>
  <c r="G75" i="260" a="1"/>
  <c r="BJ641" i="260" a="1"/>
  <c r="BF332" i="260" a="1"/>
  <c r="R131" i="260" a="1"/>
  <c r="AQ131" i="260" a="1"/>
  <c r="N77" i="260" a="1"/>
  <c r="BM183" i="260" a="1"/>
  <c r="BQ414" i="260" a="1"/>
  <c r="BQ109" i="260" a="1"/>
  <c r="AV510" i="260" a="1"/>
  <c r="J153" i="260" a="1"/>
  <c r="AH89" i="260" a="1"/>
  <c r="G192" i="260" a="1"/>
  <c r="BF74" i="260" a="1"/>
  <c r="BQ82" i="260" a="1"/>
  <c r="BQ444" i="260" a="1"/>
  <c r="AD345" i="260" a="1"/>
  <c r="BQ748" i="260" a="1"/>
  <c r="N68" i="260" a="1"/>
  <c r="BF73" i="260" a="1"/>
  <c r="Z206" i="260" a="1"/>
  <c r="N546" i="260" a="1"/>
  <c r="V30" i="260" a="1"/>
  <c r="AV82" i="260" a="1"/>
  <c r="AZ505" i="260" a="1"/>
  <c r="N684" i="260" a="1"/>
  <c r="AD66" i="260" a="1"/>
  <c r="V234" i="260" a="1"/>
  <c r="BQ202" i="260" a="1"/>
  <c r="Z513" i="260" a="1"/>
  <c r="AH420" i="260" a="1"/>
  <c r="N771" i="260" a="1"/>
  <c r="AH177" i="260" a="1"/>
  <c r="V643" i="260" a="1"/>
  <c r="AH456" i="260" a="1"/>
  <c r="AV577" i="260" a="1"/>
  <c r="AH455" i="260" a="1"/>
  <c r="AH726" i="260" a="1"/>
  <c r="BF581" i="260" a="1"/>
  <c r="V216" i="260" a="1"/>
  <c r="BQ67" i="260" a="1"/>
  <c r="V512" i="260" a="1"/>
  <c r="BF412" i="260" a="1"/>
  <c r="BF202" i="260" a="1"/>
  <c r="AV681" i="260" a="1"/>
  <c r="AN650" i="260" a="1"/>
  <c r="BU359" i="260" a="1"/>
  <c r="AN455" i="260" a="1"/>
  <c r="R59" i="260" a="1"/>
  <c r="BM241" i="260" a="1"/>
  <c r="G236" i="260" a="1"/>
  <c r="J105" i="260" a="1"/>
  <c r="AN610" i="260" a="1"/>
  <c r="AV37" i="260" a="1"/>
  <c r="BM48" i="260" a="1"/>
  <c r="N301" i="260" a="1"/>
  <c r="G608" i="260" a="1"/>
  <c r="G589" i="260" a="1"/>
  <c r="R585" i="260" a="1"/>
  <c r="AV530" i="260" a="1"/>
  <c r="AQ78" i="260" a="1"/>
  <c r="AQ184" i="260" a="1"/>
  <c r="G83" i="260" a="1"/>
  <c r="R77" i="260" a="1"/>
  <c r="AH774" i="260" a="1"/>
  <c r="BJ525" i="260" a="1"/>
  <c r="J690" i="260" a="1"/>
  <c r="AN655" i="260" a="1"/>
  <c r="BM689" i="260" a="1"/>
  <c r="AN488" i="260" a="1"/>
  <c r="BU765" i="260" a="1"/>
  <c r="N720" i="260" a="1"/>
  <c r="R140" i="260" a="1"/>
  <c r="R655" i="260" a="1"/>
  <c r="AV270" i="260" a="1"/>
  <c r="BJ60" i="260" a="1"/>
  <c r="Z366" i="260" a="1"/>
  <c r="BF509" i="260" a="1"/>
  <c r="Z339" i="260" a="1"/>
  <c r="BF438" i="260" a="1"/>
  <c r="AN528" i="260" a="1"/>
  <c r="AN215" i="260" a="1"/>
  <c r="G387" i="260" a="1"/>
  <c r="AZ265" i="260" a="1"/>
  <c r="AQ44" i="260" a="1"/>
  <c r="BM50" i="260" a="1"/>
  <c r="BQ584" i="260" a="1"/>
  <c r="BU406" i="260" a="1"/>
  <c r="AD199" i="260" a="1"/>
  <c r="AD458" i="260" a="1"/>
  <c r="J72" i="260" a="1"/>
  <c r="R191" i="260" a="1"/>
  <c r="AV620" i="260" a="1"/>
  <c r="AV448" i="260" a="1"/>
  <c r="Z570" i="260" a="1"/>
  <c r="R137" i="260" a="1"/>
  <c r="V123" i="260" a="1"/>
  <c r="AV623" i="260" a="1"/>
  <c r="AN676" i="260" a="1"/>
  <c r="AV199" i="260" a="1"/>
  <c r="AQ522" i="260" a="1"/>
  <c r="V776" i="260" a="1"/>
  <c r="N58" i="260" a="1"/>
  <c r="N160" i="260" a="1"/>
  <c r="AH74" i="260" a="1"/>
  <c r="BU717" i="260" a="1"/>
  <c r="V552" i="260" a="1"/>
  <c r="AQ401" i="260" a="1"/>
  <c r="AN224" i="260" a="1"/>
  <c r="Z84" i="260" a="1"/>
  <c r="AQ281" i="260" a="1"/>
  <c r="G530" i="260" a="1"/>
  <c r="Z325" i="260" a="1"/>
  <c r="AH201" i="260" a="1"/>
  <c r="J378" i="260" a="1"/>
  <c r="BU445" i="260" a="1"/>
  <c r="BM44" i="260" a="1"/>
  <c r="BF43" i="260" a="1"/>
  <c r="AN31" i="260" a="1"/>
  <c r="AZ44" i="260" a="1"/>
  <c r="BU33" i="260" a="1"/>
  <c r="G50" i="260" a="1"/>
  <c r="N32" i="260" a="1"/>
  <c r="AZ45" i="260" a="1"/>
  <c r="AD424" i="260" a="1"/>
  <c r="N53" i="260" a="1"/>
  <c r="AD38" i="260" a="1"/>
  <c r="BF58" i="260" a="1"/>
  <c r="N40" i="260" a="1"/>
  <c r="BJ47" i="260" a="1"/>
  <c r="BM211" i="260" a="1"/>
  <c r="V50" i="260" a="1"/>
  <c r="AH39" i="260" a="1"/>
  <c r="R36" i="260" a="1"/>
  <c r="BQ41" i="260" a="1"/>
  <c r="BU48" i="260" a="1"/>
  <c r="AZ31" i="260" a="1"/>
  <c r="BQ66" i="260" a="1"/>
  <c r="V66" i="260" a="1"/>
  <c r="BJ43" i="260" a="1"/>
  <c r="AD49" i="260" a="1"/>
  <c r="V47" i="260" a="1"/>
  <c r="Z65" i="260" a="1"/>
  <c r="AQ41" i="260" a="1"/>
  <c r="BU36" i="260" a="1"/>
  <c r="Z41" i="260" a="1"/>
  <c r="BU42" i="260" a="1"/>
  <c r="BM45" i="260" a="1"/>
  <c r="AV64" i="260" a="1"/>
  <c r="N34" i="260" a="1"/>
  <c r="AZ51" i="260" a="1"/>
  <c r="BU53" i="260" a="1"/>
  <c r="Z67" i="260" a="1"/>
  <c r="AN43" i="260" a="1"/>
  <c r="BF50" i="260" a="1"/>
  <c r="V33" i="260" a="1"/>
  <c r="AD48" i="260" a="1"/>
  <c r="AZ36" i="260" a="1"/>
  <c r="BU39" i="260" a="1"/>
  <c r="BF70" i="260" a="1"/>
  <c r="Z482" i="260" a="1"/>
  <c r="AH35" i="260" a="1"/>
  <c r="BQ47" i="260" a="1"/>
  <c r="BU46" i="260" a="1"/>
  <c r="BJ71" i="260" a="1"/>
  <c r="V38" i="260" a="1"/>
  <c r="BM41" i="260" a="1"/>
  <c r="J38" i="260" a="1"/>
  <c r="AV49" i="260" a="1"/>
  <c r="BQ415" i="260" a="1"/>
  <c r="J39" i="260" a="1"/>
  <c r="BF233" i="260" a="1"/>
  <c r="BM113" i="260" a="1"/>
  <c r="AZ530" i="260" a="1"/>
  <c r="AZ415" i="260" a="1"/>
  <c r="G486" i="260" a="1"/>
  <c r="BJ169" i="260" a="1"/>
  <c r="BF432" i="260" a="1"/>
  <c r="Z392" i="260" a="1"/>
  <c r="BJ68" i="260" a="1"/>
  <c r="AD171" i="260" a="1"/>
  <c r="BJ643" i="260" a="1"/>
  <c r="G365" i="260" a="1"/>
  <c r="V433" i="260" a="1"/>
  <c r="BM622" i="260" a="1"/>
  <c r="Z355" i="260" a="1"/>
  <c r="G564" i="260" a="1"/>
  <c r="BM352" i="260" a="1"/>
  <c r="BQ447" i="260" a="1"/>
  <c r="BJ48" i="260" a="1"/>
  <c r="AQ52" i="260" a="1"/>
  <c r="J49" i="260" a="1"/>
  <c r="BF41" i="260" a="1"/>
  <c r="AD39" i="260" a="1"/>
  <c r="AH56" i="260" a="1"/>
  <c r="AV38" i="260" a="1"/>
  <c r="AV39" i="260" a="1"/>
  <c r="AD390" i="260" a="1"/>
  <c r="BF634" i="260" a="1"/>
  <c r="AH210" i="260" a="1"/>
  <c r="AD652" i="260" a="1"/>
  <c r="AV301" i="260" a="1"/>
  <c r="BU477" i="260" a="1"/>
  <c r="AV316" i="260" a="1"/>
  <c r="BJ248" i="260" a="1"/>
  <c r="Z436" i="260" a="1"/>
  <c r="AV390" i="260" a="1"/>
  <c r="BU662" i="260" a="1"/>
  <c r="BU516" i="260" a="1"/>
  <c r="AQ764" i="260" a="1"/>
  <c r="BU438" i="260" a="1"/>
  <c r="V116" i="260" a="1"/>
  <c r="BQ407" i="260" a="1"/>
  <c r="AN146" i="260" a="1"/>
  <c r="R209" i="260" a="1"/>
  <c r="AN514" i="260" a="1"/>
  <c r="AD736" i="260" a="1"/>
  <c r="BF151" i="260" a="1"/>
  <c r="BF773" i="260" a="1"/>
  <c r="AQ747" i="260" a="1"/>
  <c r="BF376" i="260" a="1"/>
  <c r="V374" i="260" a="1"/>
  <c r="AH655" i="260" a="1"/>
  <c r="BF313" i="260" a="1"/>
  <c r="AN57" i="260" a="1"/>
  <c r="N520" i="260" a="1"/>
  <c r="N749" i="260" a="1"/>
  <c r="AZ313" i="260" a="1"/>
  <c r="Z552" i="260" a="1"/>
  <c r="N76" i="260" a="1"/>
  <c r="BM499" i="260" a="1"/>
  <c r="AH69" i="260" a="1"/>
  <c r="J703" i="260" a="1"/>
  <c r="V39" i="260" a="1"/>
  <c r="Z64" i="260" a="1"/>
  <c r="AH616" i="260" a="1"/>
  <c r="BQ147" i="260" a="1"/>
  <c r="AD772" i="260" a="1"/>
  <c r="AQ175" i="260" a="1"/>
  <c r="AQ71" i="260" a="1"/>
  <c r="BQ357" i="260" a="1"/>
  <c r="BM744" i="260" a="1"/>
  <c r="BU177" i="260" a="1"/>
  <c r="Z725" i="260" a="1"/>
  <c r="N419" i="260" a="1"/>
  <c r="BQ532" i="260" a="1"/>
  <c r="AN592" i="260" a="1"/>
  <c r="AQ484" i="260" a="1"/>
  <c r="G253" i="260" a="1"/>
  <c r="G69" i="260" a="1"/>
  <c r="AZ482" i="260" a="1"/>
  <c r="V261" i="260" a="1"/>
  <c r="N511" i="260" a="1"/>
  <c r="AZ499" i="260" a="1"/>
  <c r="BU592" i="260" a="1"/>
  <c r="N576" i="260" a="1"/>
  <c r="AZ277" i="260" a="1"/>
  <c r="AQ65" i="260" a="1"/>
  <c r="Z271" i="260" a="1"/>
  <c r="AQ74" i="260" a="1"/>
  <c r="R171" i="260" a="1"/>
  <c r="BF61" i="260" a="1"/>
  <c r="G140" i="260" a="1"/>
  <c r="AN76" i="260" a="1"/>
  <c r="AV246" i="260" a="1"/>
  <c r="BF44" i="260" a="1"/>
  <c r="Z383" i="260" a="1"/>
  <c r="AD698" i="260" a="1"/>
  <c r="G377" i="260" a="1"/>
  <c r="AN289" i="260" a="1"/>
  <c r="AV712" i="260" a="1"/>
  <c r="N61" i="260" a="1"/>
  <c r="BU71" i="260" a="1"/>
  <c r="N682" i="260" a="1"/>
  <c r="V411" i="260" a="1"/>
  <c r="N673" i="260" a="1"/>
  <c r="BU121" i="260" a="1"/>
  <c r="AN513" i="260" a="1"/>
  <c r="AV142" i="260" a="1"/>
  <c r="Z248" i="260" a="1"/>
  <c r="G244" i="260" a="1"/>
  <c r="AD456" i="260" a="1"/>
  <c r="AV251" i="260" a="1"/>
  <c r="AH422" i="260" a="1"/>
  <c r="AH200" i="260" a="1"/>
  <c r="BF516" i="260" a="1"/>
  <c r="BJ568" i="260" a="1"/>
  <c r="R55" i="260" a="1"/>
  <c r="Z634" i="260" a="1"/>
  <c r="AN374" i="260" a="1"/>
  <c r="AN626" i="260" a="1"/>
  <c r="Z359" i="260" a="1"/>
  <c r="BU509" i="260" a="1"/>
  <c r="AZ61" i="260" a="1"/>
  <c r="BM161" i="260" a="1"/>
  <c r="N743" i="260" a="1"/>
  <c r="V44" i="260" a="1"/>
  <c r="BU45" i="260" a="1"/>
  <c r="AZ602" i="260" a="1"/>
  <c r="BQ189" i="260" a="1"/>
  <c r="G199" i="260" a="1"/>
  <c r="R506" i="260" a="1"/>
  <c r="AD560" i="260" a="1"/>
  <c r="AV236" i="260" a="1"/>
  <c r="BU414" i="260" a="1"/>
  <c r="V443" i="260" a="1"/>
  <c r="AQ324" i="260" a="1"/>
  <c r="R76" i="260" a="1"/>
  <c r="BJ526" i="260" a="1"/>
  <c r="BU399" i="260" a="1"/>
  <c r="AH189" i="260" a="1"/>
  <c r="AN387" i="260" a="1"/>
  <c r="R185" i="260" a="1"/>
  <c r="G296" i="260" a="1"/>
  <c r="Z659" i="260" a="1"/>
  <c r="BF220" i="260" a="1"/>
  <c r="AV376" i="260" a="1"/>
  <c r="BQ201" i="260" a="1"/>
  <c r="AD72" i="260" a="1"/>
  <c r="N537" i="260" a="1"/>
  <c r="V181" i="260" a="1"/>
  <c r="J316" i="260" a="1"/>
  <c r="AQ293" i="260" a="1"/>
  <c r="G481" i="260" a="1"/>
  <c r="G532" i="260" a="1"/>
  <c r="J281" i="260" a="1"/>
  <c r="AZ473" i="260" a="1"/>
  <c r="BJ35" i="260" a="1"/>
  <c r="AH36" i="260" a="1"/>
  <c r="AQ136" i="260" a="1"/>
  <c r="AH484" i="260" a="1"/>
  <c r="AD70" i="260" a="1"/>
  <c r="AH85" i="260" a="1"/>
  <c r="AD681" i="260" a="1"/>
  <c r="AZ253" i="260" a="1"/>
  <c r="BQ446" i="260" a="1"/>
  <c r="AV586" i="260" a="1"/>
  <c r="BF55" i="260" a="1"/>
  <c r="BF301" i="260" a="1"/>
  <c r="G319" i="260" a="1"/>
  <c r="AZ82" i="260" a="1"/>
  <c r="BF247" i="260" a="1"/>
  <c r="BF205" i="260" a="1"/>
  <c r="AD74" i="260" a="1"/>
  <c r="BJ260" i="260" a="1"/>
  <c r="N137" i="260" a="1"/>
  <c r="Z203" i="260" a="1"/>
  <c r="BJ610" i="260" a="1"/>
  <c r="AV561" i="260" a="1"/>
  <c r="AV70" i="260" a="1"/>
  <c r="AH269" i="260" a="1"/>
  <c r="AH317" i="260" a="1"/>
  <c r="AZ341" i="260" a="1"/>
  <c r="N258" i="260" a="1"/>
  <c r="BJ595" i="260" a="1"/>
  <c r="BM386" i="260" a="1"/>
  <c r="AQ773" i="260" a="1"/>
  <c r="BM520" i="260" a="1"/>
  <c r="AH372" i="260" a="1"/>
  <c r="N35" i="260" a="1"/>
  <c r="AH64" i="260" a="1"/>
  <c r="BQ49" i="260" a="1"/>
  <c r="R30" i="260" a="1"/>
  <c r="BQ44" i="260" a="1"/>
  <c r="BJ50" i="260" a="1"/>
  <c r="AQ70" i="260" a="1"/>
  <c r="BQ50" i="260" a="1"/>
  <c r="Z351" i="260" a="1"/>
  <c r="AN46" i="260" a="1"/>
  <c r="AH43" i="260" a="1"/>
  <c r="AH45" i="260" a="1"/>
  <c r="AH52" i="260" a="1"/>
  <c r="BQ30" i="260" a="1"/>
  <c r="BF681" i="260" a="1"/>
  <c r="AV47" i="260" a="1"/>
  <c r="AH61" i="260" a="1"/>
  <c r="AD51" i="260" a="1"/>
  <c r="AZ35" i="260" a="1"/>
  <c r="J35" i="260" a="1"/>
  <c r="AN553" i="260" a="1"/>
  <c r="AD47" i="260" a="1"/>
  <c r="BM30" i="260" a="1"/>
  <c r="BU32" i="260" a="1"/>
  <c r="G37" i="260" a="1"/>
  <c r="AV51" i="260" a="1"/>
  <c r="J41" i="260" a="1"/>
  <c r="BU35" i="260" a="1"/>
  <c r="V53" i="260" a="1"/>
  <c r="BQ192" i="260" a="1"/>
  <c r="G63" i="260" a="1"/>
  <c r="Z46" i="260" a="1"/>
  <c r="V36" i="260" a="1"/>
  <c r="V72" i="260" a="1"/>
  <c r="AV43" i="260" a="1"/>
  <c r="AQ35" i="260" a="1"/>
  <c r="V45" i="260" a="1"/>
  <c r="AH38" i="260" a="1"/>
  <c r="Z40" i="260" a="1"/>
  <c r="AD73" i="260" a="1"/>
  <c r="R35" i="260" a="1"/>
  <c r="V32" i="260" a="1"/>
  <c r="G44" i="260" a="1"/>
  <c r="BM32" i="260" a="1"/>
  <c r="AV309" i="260" a="1"/>
  <c r="G52" i="260" a="1"/>
  <c r="Z35" i="260" a="1"/>
  <c r="BQ52" i="260" a="1"/>
  <c r="BQ43" i="260" a="1"/>
  <c r="BQ180" i="260" a="1"/>
  <c r="BM347" i="260" a="1"/>
  <c r="BM134" i="260" a="1"/>
  <c r="G86" i="260" a="1"/>
  <c r="AN324" i="260" a="1"/>
  <c r="BQ563" i="260" a="1"/>
  <c r="J751" i="260" a="1"/>
  <c r="AN353" i="260" a="1"/>
  <c r="AV347" i="260" a="1"/>
  <c r="G299" i="260" a="1"/>
  <c r="G68" i="260" a="1"/>
  <c r="BJ157" i="260" a="1"/>
  <c r="BQ70" i="260" a="1"/>
  <c r="Z161" i="260" a="1"/>
  <c r="N268" i="260" a="1"/>
  <c r="J74" i="260" a="1"/>
  <c r="BF63" i="260" a="1"/>
  <c r="AN593" i="260" a="1"/>
  <c r="AH256" i="260" a="1"/>
  <c r="AH198" i="260" a="1"/>
  <c r="AQ40" i="260" a="1"/>
  <c r="BU381" i="260" a="1"/>
  <c r="BF250" i="260" a="1"/>
  <c r="BM210" i="260" a="1"/>
  <c r="R364" i="260" a="1"/>
  <c r="J66" i="260" a="1"/>
  <c r="N766" i="260" a="1"/>
  <c r="J342" i="260" a="1"/>
  <c r="AD58" i="260" a="1"/>
  <c r="BM433" i="260" a="1"/>
  <c r="BM61" i="260" a="1"/>
  <c r="AQ42" i="260" a="1"/>
  <c r="AV77" i="260" a="1"/>
  <c r="AD37" i="260" a="1"/>
  <c r="J46" i="260" a="1"/>
  <c r="AN37" i="260" a="1"/>
  <c r="G41" i="260" a="1"/>
  <c r="N51" i="260" a="1"/>
  <c r="BM37" i="260" a="1"/>
  <c r="BQ98" i="260" a="1"/>
  <c r="V210" i="260" a="1"/>
  <c r="AN620" i="260" a="1"/>
  <c r="Z169" i="260" a="1"/>
  <c r="BF677" i="260" a="1"/>
  <c r="BF286" i="260" a="1"/>
  <c r="AD131" i="260" a="1"/>
  <c r="BU122" i="260" a="1"/>
  <c r="AZ131" i="260" a="1"/>
  <c r="AZ411" i="260" a="1"/>
  <c r="AQ515" i="260" a="1"/>
  <c r="J738" i="260" a="1"/>
  <c r="AQ436" i="260" a="1"/>
  <c r="BJ202" i="260" a="1"/>
  <c r="N453" i="260" a="1"/>
  <c r="G548" i="260" a="1"/>
  <c r="AQ362" i="260" a="1"/>
  <c r="AV91" i="260" a="1"/>
  <c r="BM63" i="260" a="1"/>
  <c r="G317" i="260" a="1"/>
  <c r="Z73" i="260" a="1"/>
  <c r="BQ296" i="260" a="1"/>
  <c r="AD700" i="260" a="1"/>
  <c r="BM259" i="260" a="1"/>
  <c r="Z72" i="260" a="1"/>
  <c r="AV348" i="260" a="1"/>
  <c r="AD60" i="260" a="1"/>
  <c r="BJ717" i="260" a="1"/>
  <c r="AN734" i="260" a="1"/>
  <c r="R64" i="260" a="1"/>
  <c r="N281" i="260" a="1"/>
  <c r="BQ776" i="260" a="1"/>
  <c r="AH719" i="260" a="1"/>
  <c r="J119" i="260" a="1"/>
  <c r="AD76" i="260" a="1"/>
  <c r="AH651" i="260" a="1"/>
  <c r="BQ64" i="260" a="1"/>
  <c r="AQ64" i="260" a="1"/>
  <c r="BJ196" i="260" a="1"/>
  <c r="BM187" i="260" a="1"/>
  <c r="V705" i="260" a="1"/>
  <c r="G349" i="260" a="1"/>
  <c r="BJ192" i="260" a="1"/>
  <c r="R633" i="260" a="1"/>
  <c r="BJ95" i="260" a="1"/>
  <c r="V563" i="260" a="1"/>
  <c r="G710" i="260" a="1"/>
  <c r="G74" i="260" a="1"/>
  <c r="AN419" i="260" a="1"/>
  <c r="J491" i="260" a="1"/>
  <c r="V513" i="260" a="1"/>
  <c r="BM734" i="260" a="1"/>
  <c r="BU585" i="260" a="1"/>
  <c r="AZ175" i="260" a="1"/>
  <c r="BF190" i="260" a="1"/>
  <c r="BJ603" i="260" a="1"/>
  <c r="N467" i="260" a="1"/>
  <c r="J208" i="260" a="1"/>
  <c r="BJ443" i="260" a="1"/>
  <c r="BJ59" i="260" a="1"/>
  <c r="AN608" i="260" a="1"/>
  <c r="AD621" i="260" a="1"/>
  <c r="BU590" i="260" a="1"/>
  <c r="BQ200" i="260" a="1"/>
  <c r="AQ736" i="260" a="1"/>
  <c r="BQ474" i="260" a="1"/>
  <c r="BF599" i="260" a="1"/>
  <c r="BQ45" i="260" a="1"/>
  <c r="Z53" i="260" a="1"/>
  <c r="AQ595" i="260" a="1"/>
  <c r="Z705" i="260" a="1"/>
  <c r="AV369" i="260" a="1"/>
  <c r="BU456" i="260" a="1"/>
  <c r="AD228" i="260" a="1"/>
  <c r="J240" i="260" a="1"/>
  <c r="G441" i="260" a="1"/>
  <c r="N361" i="260" a="1"/>
  <c r="BU738" i="260" a="1"/>
  <c r="V555" i="260" a="1"/>
  <c r="AQ441" i="260" a="1"/>
  <c r="J661" i="260" a="1"/>
  <c r="V476" i="260" a="1"/>
  <c r="AH72" i="260" a="1"/>
  <c r="AH544" i="260" a="1"/>
  <c r="AV531" i="260" a="1"/>
  <c r="AH462" i="260" a="1"/>
  <c r="BU196" i="260" a="1"/>
  <c r="J55" i="260" a="1"/>
  <c r="BF739" i="260" a="1"/>
  <c r="BM752" i="260" a="1"/>
  <c r="AZ437" i="260" a="1"/>
  <c r="N87" i="260" a="1"/>
  <c r="BM74" i="260" a="1"/>
  <c r="AD491" i="260" a="1"/>
  <c r="AV563" i="260" a="1"/>
  <c r="BQ152" i="260" a="1"/>
  <c r="BQ209" i="260" a="1"/>
  <c r="N70" i="260" a="1"/>
  <c r="V237" i="260" a="1"/>
  <c r="N43" i="260" a="1"/>
  <c r="J48" i="260" a="1"/>
  <c r="AV73" i="260" a="1"/>
  <c r="V319" i="260" a="1"/>
  <c r="AQ489" i="260" a="1"/>
  <c r="AN266" i="260" a="1"/>
  <c r="BJ55" i="260" a="1"/>
  <c r="R271" i="260" a="1"/>
  <c r="BJ651" i="260" a="1"/>
  <c r="AN330" i="260" a="1"/>
  <c r="BQ594" i="260" a="1"/>
  <c r="V307" i="260" a="1"/>
  <c r="N700" i="260" a="1"/>
  <c r="N168" i="260" a="1"/>
  <c r="G66" i="260" a="1"/>
  <c r="AZ133" i="260" a="1"/>
  <c r="Z265" i="260" a="1"/>
  <c r="BU773" i="260" a="1"/>
  <c r="AN431" i="260" a="1"/>
  <c r="AZ130" i="260" a="1"/>
  <c r="BF273" i="260" a="1"/>
  <c r="AZ750" i="260" a="1"/>
  <c r="V646" i="260" a="1"/>
  <c r="G59" i="260" a="1"/>
  <c r="Z503" i="260" a="1"/>
  <c r="Z133" i="260" a="1"/>
  <c r="Z349" i="260" a="1"/>
  <c r="V573" i="260" a="1"/>
  <c r="V615" i="260" a="1"/>
  <c r="AH491" i="260" a="1"/>
  <c r="BJ325" i="260" a="1"/>
  <c r="J43" i="260" a="1"/>
  <c r="R32" i="260" a="1"/>
  <c r="BJ199" i="260" a="1"/>
  <c r="AD69" i="260" a="1"/>
  <c r="R83" i="260" a="1"/>
  <c r="AH92" i="260" a="1"/>
  <c r="BJ233" i="260" a="1"/>
  <c r="BF367" i="260" a="1"/>
  <c r="Z405" i="260" a="1"/>
  <c r="AZ531" i="260" a="1"/>
  <c r="Z770" i="260" a="1"/>
  <c r="BQ198" i="260" a="1"/>
  <c r="V562" i="260" a="1"/>
  <c r="BQ140" i="260" a="1"/>
  <c r="J436" i="260" a="1"/>
  <c r="BU682" i="260" a="1"/>
  <c r="R551" i="260" a="1"/>
  <c r="BM562" i="260" a="1"/>
  <c r="G61" i="260" a="1"/>
  <c r="BJ66" i="260" a="1"/>
  <c r="BJ725" i="260" a="1"/>
  <c r="V486" i="260" a="1"/>
  <c r="AH717" i="260" a="1"/>
  <c r="Z585" i="260" a="1"/>
  <c r="BU62" i="260" a="1"/>
  <c r="BM366" i="260" a="1"/>
  <c r="Z319" i="260" a="1"/>
  <c r="AV571" i="260" a="1"/>
  <c r="AZ188" i="260" a="1"/>
  <c r="BM219" i="260" a="1"/>
  <c r="AV710" i="260" a="1"/>
  <c r="N52" i="260" a="1"/>
  <c r="BJ45" i="260" a="1"/>
  <c r="BM53" i="260" a="1"/>
  <c r="AH33" i="260" a="1"/>
  <c r="AV53" i="260" a="1"/>
  <c r="R43" i="260" a="1"/>
  <c r="BU31" i="260" a="1"/>
  <c r="R42" i="260" a="1"/>
  <c r="BU43" i="260" a="1"/>
  <c r="J410" i="260" a="1"/>
  <c r="AZ50" i="260" a="1"/>
  <c r="N31" i="260" a="1"/>
  <c r="BQ46" i="260" a="1"/>
  <c r="AH30" i="260" a="1"/>
  <c r="AV41" i="260" a="1"/>
  <c r="AD207" i="260" a="1"/>
  <c r="AD40" i="260" a="1"/>
  <c r="V70" i="260" a="1"/>
  <c r="AZ53" i="260" a="1"/>
  <c r="BF35" i="260" a="1"/>
  <c r="AZ40" i="260" a="1"/>
  <c r="BQ745" i="260" a="1"/>
  <c r="BJ33" i="260" a="1"/>
  <c r="BM33" i="260" a="1"/>
  <c r="AD53" i="260" a="1"/>
  <c r="AD44" i="260" a="1"/>
  <c r="AH48" i="260" a="1"/>
  <c r="BQ188" i="260" a="1"/>
  <c r="G51" i="260" a="1"/>
  <c r="G34" i="260" a="1"/>
  <c r="AD50" i="260" a="1"/>
  <c r="BF30" i="260" a="1"/>
  <c r="BU30" i="260" a="1"/>
  <c r="BF46" i="260" a="1"/>
  <c r="BJ53" i="260" a="1"/>
  <c r="AN45" i="260" a="1"/>
  <c r="V75" i="260" a="1"/>
  <c r="AQ33" i="260" a="1"/>
  <c r="J73" i="260" a="1"/>
  <c r="BQ42" i="260" a="1"/>
  <c r="J42" i="260" a="1"/>
  <c r="AZ73" i="260" a="1"/>
  <c r="N36" i="260" a="1"/>
  <c r="N49" i="260" a="1"/>
  <c r="BJ30" i="260" a="1"/>
  <c r="AH622" i="260" a="1"/>
  <c r="AN49" i="260" a="1"/>
  <c r="BF134" i="260" a="1"/>
  <c r="AH136" i="260" a="1"/>
  <c r="BM240" i="260" a="1"/>
  <c r="AQ541" i="260" a="1"/>
  <c r="N699" i="260" a="1"/>
  <c r="AQ396" i="260" a="1"/>
  <c r="N478" i="260" a="1"/>
  <c r="AD685" i="260" a="1"/>
  <c r="V778" i="260" a="1"/>
  <c r="AQ195" i="260" a="1"/>
  <c r="BU613" i="260" a="1"/>
  <c r="AQ59" i="260" a="1"/>
  <c r="BF539" i="260" a="1"/>
  <c r="BJ225" i="260" a="1"/>
  <c r="N445" i="260" a="1"/>
  <c r="BQ427" i="260" a="1"/>
  <c r="AD768" i="260" a="1"/>
  <c r="G478" i="260" a="1"/>
  <c r="AH59" i="260" a="1"/>
  <c r="AQ533" i="260" a="1"/>
  <c r="AD278" i="260" a="1"/>
  <c r="Z609" i="260" a="1"/>
  <c r="V158" i="260" a="1"/>
  <c r="Z139" i="260" a="1"/>
  <c r="Z360" i="260" a="1"/>
  <c r="Z397" i="260" a="1"/>
  <c r="R80" i="260" a="1"/>
  <c r="BQ84" i="260" a="1"/>
  <c r="V591" i="260" a="1"/>
  <c r="BJ37" i="260" a="1"/>
  <c r="BQ51" i="260" a="1"/>
  <c r="G605" i="260" a="1"/>
  <c r="G522" i="260" a="1"/>
  <c r="AQ708" i="260" a="1"/>
  <c r="BM52" i="260" a="1"/>
  <c r="AV44" i="260" a="1"/>
  <c r="R52" i="260" a="1"/>
  <c r="V31" i="260" l="1"/>
  <c r="BF42" i="260"/>
  <c r="R31" i="260"/>
  <c r="AZ32" i="260"/>
  <c r="J38" i="260"/>
  <c r="V38" i="260"/>
  <c r="AQ46" i="260"/>
  <c r="BJ31" i="260"/>
  <c r="Z33" i="260"/>
  <c r="BQ184" i="260"/>
  <c r="Z50" i="260"/>
  <c r="AV49" i="260"/>
  <c r="BQ43" i="260"/>
  <c r="BJ71" i="260"/>
  <c r="AZ30" i="260"/>
  <c r="BJ40" i="260"/>
  <c r="AZ33" i="260"/>
  <c r="AV42" i="260"/>
  <c r="N30" i="260"/>
  <c r="AN49" i="260"/>
  <c r="BQ52" i="260"/>
  <c r="BU46" i="260"/>
  <c r="Z44" i="260"/>
  <c r="J51" i="260"/>
  <c r="BU44" i="260"/>
  <c r="AD33" i="260"/>
  <c r="AV39" i="260"/>
  <c r="BQ180" i="260"/>
  <c r="Z35" i="260"/>
  <c r="BQ47" i="260"/>
  <c r="AN50" i="260"/>
  <c r="BF53" i="260"/>
  <c r="BJ41" i="260"/>
  <c r="AN42" i="260"/>
  <c r="R52" i="260"/>
  <c r="N73" i="260"/>
  <c r="G52" i="260"/>
  <c r="AH35" i="260"/>
  <c r="BM225" i="260"/>
  <c r="BF32" i="260"/>
  <c r="AZ38" i="260"/>
  <c r="G46" i="260"/>
  <c r="N51" i="260"/>
  <c r="AH622" i="260"/>
  <c r="AV309" i="260"/>
  <c r="Z482" i="260"/>
  <c r="AN39" i="260"/>
  <c r="BJ49" i="260"/>
  <c r="AN52" i="260"/>
  <c r="AN78" i="260"/>
  <c r="AZ49" i="260"/>
  <c r="BJ30" i="260"/>
  <c r="BM32" i="260"/>
  <c r="BF70" i="260"/>
  <c r="AH41" i="260"/>
  <c r="BF52" i="260"/>
  <c r="Z51" i="260"/>
  <c r="N37" i="260"/>
  <c r="R48" i="260"/>
  <c r="N49" i="260"/>
  <c r="G44" i="260"/>
  <c r="BU39" i="260"/>
  <c r="BF38" i="260"/>
  <c r="N57" i="260"/>
  <c r="BQ187" i="260"/>
  <c r="V78" i="260"/>
  <c r="J34" i="260"/>
  <c r="N36" i="260"/>
  <c r="V32" i="260"/>
  <c r="AZ36" i="260"/>
  <c r="AH37" i="260"/>
  <c r="AV36" i="260"/>
  <c r="V37" i="260"/>
  <c r="BF39" i="260"/>
  <c r="AV38" i="260"/>
  <c r="AZ73" i="260"/>
  <c r="R35" i="260"/>
  <c r="AD48" i="260"/>
  <c r="BM46" i="260"/>
  <c r="AQ53" i="260"/>
  <c r="AN41" i="260"/>
  <c r="BM51" i="260"/>
  <c r="AV44" i="260"/>
  <c r="J42" i="260"/>
  <c r="AD73" i="260"/>
  <c r="V33" i="260"/>
  <c r="AH40" i="260"/>
  <c r="R452" i="260"/>
  <c r="AZ351" i="260"/>
  <c r="J603" i="260"/>
  <c r="BM49" i="260"/>
  <c r="BQ42" i="260"/>
  <c r="Z40" i="260"/>
  <c r="BF50" i="260"/>
  <c r="Z45" i="260"/>
  <c r="AH31" i="260"/>
  <c r="BJ36" i="260"/>
  <c r="BQ37" i="260"/>
  <c r="G41" i="260"/>
  <c r="J73" i="260"/>
  <c r="AH38" i="260"/>
  <c r="AN43" i="260"/>
  <c r="AV46" i="260"/>
  <c r="AH32" i="260"/>
  <c r="BM160" i="260"/>
  <c r="R47" i="260"/>
  <c r="R34" i="260"/>
  <c r="AQ33" i="260"/>
  <c r="V45" i="260"/>
  <c r="Z67" i="260"/>
  <c r="R51" i="260"/>
  <c r="G30" i="260"/>
  <c r="BJ52" i="260"/>
  <c r="G53" i="260"/>
  <c r="BU51" i="260"/>
  <c r="V75" i="260"/>
  <c r="AQ35" i="260"/>
  <c r="BU53" i="260"/>
  <c r="AN53" i="260"/>
  <c r="R46" i="260"/>
  <c r="R45" i="260"/>
  <c r="AZ39" i="260"/>
  <c r="AH56" i="260"/>
  <c r="AN45" i="260"/>
  <c r="AV43" i="260"/>
  <c r="AZ51" i="260"/>
  <c r="V46" i="260"/>
  <c r="AV30" i="260"/>
  <c r="BQ36" i="260"/>
  <c r="BQ48" i="260"/>
  <c r="AZ37" i="260"/>
  <c r="BJ53" i="260"/>
  <c r="V72" i="260"/>
  <c r="N34" i="260"/>
  <c r="N42" i="260"/>
  <c r="V505" i="260"/>
  <c r="R622" i="260"/>
  <c r="AH235" i="260"/>
  <c r="BM52" i="260"/>
  <c r="BF46" i="260"/>
  <c r="V36" i="260"/>
  <c r="AV64" i="260"/>
  <c r="BQ68" i="260"/>
  <c r="Z47" i="260"/>
  <c r="R73" i="260"/>
  <c r="AV34" i="260"/>
  <c r="AN37" i="260"/>
  <c r="BU30" i="260"/>
  <c r="Z46" i="260"/>
  <c r="BM45" i="260"/>
  <c r="Z60" i="260"/>
  <c r="AZ46" i="260"/>
  <c r="AH77" i="260"/>
  <c r="AZ72" i="260"/>
  <c r="R50" i="260"/>
  <c r="BF30" i="260"/>
  <c r="G63" i="260"/>
  <c r="BU42" i="260"/>
  <c r="J32" i="260"/>
  <c r="J45" i="260"/>
  <c r="G65" i="260"/>
  <c r="AN32" i="260"/>
  <c r="G45" i="260"/>
  <c r="AD50" i="260"/>
  <c r="BQ192" i="260"/>
  <c r="Z41" i="260"/>
  <c r="AH42" i="260"/>
  <c r="N45" i="260"/>
  <c r="AN51" i="260"/>
  <c r="J37" i="260"/>
  <c r="AD39" i="260"/>
  <c r="G34" i="260"/>
  <c r="V53" i="260"/>
  <c r="BU36" i="260"/>
  <c r="R62" i="260"/>
  <c r="N33" i="260"/>
  <c r="R40" i="260"/>
  <c r="AD34" i="260"/>
  <c r="G40" i="260"/>
  <c r="G51" i="260"/>
  <c r="BU35" i="260"/>
  <c r="AQ41" i="260"/>
  <c r="BM34" i="260"/>
  <c r="AH51" i="260"/>
  <c r="AQ261" i="260"/>
  <c r="AH187" i="260"/>
  <c r="AQ708" i="260"/>
  <c r="BQ188" i="260"/>
  <c r="J41" i="260"/>
  <c r="Z65" i="260"/>
  <c r="AN77" i="260"/>
  <c r="R44" i="260"/>
  <c r="AH49" i="260"/>
  <c r="AQ36" i="260"/>
  <c r="J46" i="260"/>
  <c r="AH48" i="260"/>
  <c r="AV51" i="260"/>
  <c r="V47" i="260"/>
  <c r="AQ31" i="260"/>
  <c r="J52" i="260"/>
  <c r="AV63" i="260"/>
  <c r="AZ48" i="260"/>
  <c r="N44" i="260"/>
  <c r="AD44" i="260"/>
  <c r="G37" i="260"/>
  <c r="AD49" i="260"/>
  <c r="AH46" i="260"/>
  <c r="BM66" i="260"/>
  <c r="BQ35" i="260"/>
  <c r="J44" i="260"/>
  <c r="R41" i="260"/>
  <c r="AD53" i="260"/>
  <c r="BU32" i="260"/>
  <c r="BJ43" i="260"/>
  <c r="BJ77" i="260"/>
  <c r="AD46" i="260"/>
  <c r="AV48" i="260"/>
  <c r="AV52" i="260"/>
  <c r="AQ43" i="260"/>
  <c r="BM33" i="260"/>
  <c r="BM30" i="260"/>
  <c r="V66" i="260"/>
  <c r="BQ61" i="260"/>
  <c r="N41" i="260"/>
  <c r="AV45" i="260"/>
  <c r="Z76" i="260"/>
  <c r="BF41" i="260"/>
  <c r="BJ33" i="260"/>
  <c r="AD47" i="260"/>
  <c r="BQ66" i="260"/>
  <c r="BQ31" i="260"/>
  <c r="V71" i="260"/>
  <c r="G49" i="260"/>
  <c r="G62" i="260"/>
  <c r="G522" i="260"/>
  <c r="BQ745" i="260"/>
  <c r="AN553" i="260"/>
  <c r="AZ31" i="260"/>
  <c r="AQ32" i="260"/>
  <c r="AD41" i="260"/>
  <c r="BF45" i="260"/>
  <c r="G31" i="260"/>
  <c r="AD37" i="260"/>
  <c r="AZ40" i="260"/>
  <c r="J35" i="260"/>
  <c r="BU48" i="260"/>
  <c r="V35" i="260"/>
  <c r="N38" i="260"/>
  <c r="BM115" i="260"/>
  <c r="AH53" i="260"/>
  <c r="BJ42" i="260"/>
  <c r="BF35" i="260"/>
  <c r="AZ35" i="260"/>
  <c r="BQ41" i="260"/>
  <c r="AD52" i="260"/>
  <c r="AV33" i="260"/>
  <c r="BU52" i="260"/>
  <c r="J47" i="260"/>
  <c r="J53" i="260"/>
  <c r="AZ53" i="260"/>
  <c r="AD51" i="260"/>
  <c r="R36" i="260"/>
  <c r="AZ43" i="260"/>
  <c r="Z36" i="260"/>
  <c r="BM40" i="260"/>
  <c r="BU41" i="260"/>
  <c r="Z52" i="260"/>
  <c r="V70" i="260"/>
  <c r="AH61" i="260"/>
  <c r="AH39" i="260"/>
  <c r="J77" i="260"/>
  <c r="J64" i="260"/>
  <c r="BF40" i="260"/>
  <c r="N55" i="260"/>
  <c r="J49" i="260"/>
  <c r="AD40" i="260"/>
  <c r="AV47" i="260"/>
  <c r="V50" i="260"/>
  <c r="AN38" i="260"/>
  <c r="BU49" i="260"/>
  <c r="V51" i="260"/>
  <c r="AH407" i="260"/>
  <c r="G605" i="260"/>
  <c r="AD207" i="260"/>
  <c r="BF681" i="260"/>
  <c r="BM211" i="260"/>
  <c r="AQ34" i="260"/>
  <c r="BU34" i="260"/>
  <c r="J40" i="260"/>
  <c r="BU37" i="260"/>
  <c r="BQ38" i="260"/>
  <c r="AV41" i="260"/>
  <c r="BQ30" i="260"/>
  <c r="BJ47" i="260"/>
  <c r="N50" i="260"/>
  <c r="G35" i="260"/>
  <c r="Z43" i="260"/>
  <c r="BU47" i="260"/>
  <c r="AV77" i="260"/>
  <c r="AH30" i="260"/>
  <c r="AH52" i="260"/>
  <c r="N40" i="260"/>
  <c r="BF31" i="260"/>
  <c r="BJ67" i="260"/>
  <c r="BF36" i="260"/>
  <c r="BF47" i="260"/>
  <c r="G38" i="260"/>
  <c r="BQ46" i="260"/>
  <c r="AH45" i="260"/>
  <c r="BF58" i="260"/>
  <c r="BQ190" i="260"/>
  <c r="AD43" i="260"/>
  <c r="BU50" i="260"/>
  <c r="AD32" i="260"/>
  <c r="V41" i="260"/>
  <c r="N31" i="260"/>
  <c r="AH43" i="260"/>
  <c r="AD38" i="260"/>
  <c r="G43" i="260"/>
  <c r="AQ39" i="260"/>
  <c r="AN48" i="260"/>
  <c r="R53" i="260"/>
  <c r="AQ52" i="260"/>
  <c r="AZ50" i="260"/>
  <c r="AN46" i="260"/>
  <c r="N53" i="260"/>
  <c r="V43" i="260"/>
  <c r="BQ34" i="260"/>
  <c r="AH44" i="260"/>
  <c r="R37" i="260"/>
  <c r="BQ51" i="260"/>
  <c r="J410" i="260"/>
  <c r="Z351" i="260"/>
  <c r="AD424" i="260"/>
  <c r="AV72" i="260"/>
  <c r="AN35" i="260"/>
  <c r="V52" i="260"/>
  <c r="BJ32" i="260"/>
  <c r="BJ51" i="260"/>
  <c r="BU43" i="260"/>
  <c r="BQ50" i="260"/>
  <c r="AZ45" i="260"/>
  <c r="V48" i="260"/>
  <c r="G32" i="260"/>
  <c r="BF72" i="260"/>
  <c r="Z30" i="260"/>
  <c r="AQ42" i="260"/>
  <c r="R42" i="260"/>
  <c r="AQ70" i="260"/>
  <c r="N32" i="260"/>
  <c r="Z37" i="260"/>
  <c r="Z31" i="260"/>
  <c r="BU40" i="260"/>
  <c r="R39" i="260"/>
  <c r="AQ37" i="260"/>
  <c r="BU31" i="260"/>
  <c r="BJ50" i="260"/>
  <c r="G50" i="260"/>
  <c r="N47" i="260"/>
  <c r="Z34" i="260"/>
  <c r="BF48" i="260"/>
  <c r="Z38" i="260"/>
  <c r="J50" i="260"/>
  <c r="R43" i="260"/>
  <c r="BQ44" i="260"/>
  <c r="BU33" i="260"/>
  <c r="AZ34" i="260"/>
  <c r="AD31" i="260"/>
  <c r="G48" i="260"/>
  <c r="BQ33" i="260"/>
  <c r="AD36" i="260"/>
  <c r="AV53" i="260"/>
  <c r="R30" i="260"/>
  <c r="AZ44" i="260"/>
  <c r="AD64" i="260"/>
  <c r="AZ70" i="260"/>
  <c r="V49" i="260"/>
  <c r="AV32" i="260"/>
  <c r="BJ37" i="260"/>
  <c r="AH33" i="260"/>
  <c r="BQ49" i="260"/>
  <c r="AN31" i="260"/>
  <c r="AH703" i="260"/>
  <c r="G171" i="260"/>
  <c r="AZ414" i="260"/>
  <c r="BM631" i="260"/>
  <c r="BJ48" i="260"/>
  <c r="BM53" i="260"/>
  <c r="AH64" i="260"/>
  <c r="BF43" i="260"/>
  <c r="AQ51" i="260"/>
  <c r="V42" i="260"/>
  <c r="AN40" i="260"/>
  <c r="AZ41" i="260"/>
  <c r="BM61" i="260"/>
  <c r="BJ45" i="260"/>
  <c r="N35" i="260"/>
  <c r="BM44" i="260"/>
  <c r="AV40" i="260"/>
  <c r="BM38" i="260"/>
  <c r="AZ47" i="260"/>
  <c r="J30" i="260"/>
  <c r="AN47" i="260"/>
  <c r="N52" i="260"/>
  <c r="AH372" i="260"/>
  <c r="BU445" i="260"/>
  <c r="AH574" i="260"/>
  <c r="G55" i="260"/>
  <c r="BQ196" i="260"/>
  <c r="BU245" i="260"/>
  <c r="BU72" i="260"/>
  <c r="AV710" i="260"/>
  <c r="BM520" i="260"/>
  <c r="J378" i="260"/>
  <c r="Z480" i="260"/>
  <c r="Z211" i="260"/>
  <c r="BF80" i="260"/>
  <c r="AH277" i="260"/>
  <c r="AQ63" i="260"/>
  <c r="BM219" i="260"/>
  <c r="AQ773" i="260"/>
  <c r="AH201" i="260"/>
  <c r="R612" i="260"/>
  <c r="BJ170" i="260"/>
  <c r="BF771" i="260"/>
  <c r="J131" i="260"/>
  <c r="V591" i="260"/>
  <c r="AZ188" i="260"/>
  <c r="BM386" i="260"/>
  <c r="Z325" i="260"/>
  <c r="BF216" i="260"/>
  <c r="BF406" i="260"/>
  <c r="V56" i="260"/>
  <c r="G270" i="260"/>
  <c r="BM433" i="260"/>
  <c r="AV571" i="260"/>
  <c r="BJ595" i="260"/>
  <c r="G530" i="260"/>
  <c r="V350" i="260"/>
  <c r="R486" i="260"/>
  <c r="AD309" i="260"/>
  <c r="J263" i="260"/>
  <c r="BQ447" i="260"/>
  <c r="Z319" i="260"/>
  <c r="N258" i="260"/>
  <c r="AQ281" i="260"/>
  <c r="G259" i="260"/>
  <c r="V259" i="260"/>
  <c r="N559" i="260"/>
  <c r="BM101" i="260"/>
  <c r="AV758" i="260"/>
  <c r="BM366" i="260"/>
  <c r="AZ341" i="260"/>
  <c r="Z84" i="260"/>
  <c r="AQ395" i="260"/>
  <c r="AQ361" i="260"/>
  <c r="AQ510" i="260"/>
  <c r="AH197" i="260"/>
  <c r="R255" i="260"/>
  <c r="BU62" i="260"/>
  <c r="AH317" i="260"/>
  <c r="AN224" i="260"/>
  <c r="J61" i="260"/>
  <c r="BQ124" i="260"/>
  <c r="BJ326" i="260"/>
  <c r="BF311" i="260"/>
  <c r="AV756" i="260"/>
  <c r="Z585" i="260"/>
  <c r="AH269" i="260"/>
  <c r="AQ401" i="260"/>
  <c r="AN671" i="260"/>
  <c r="Z687" i="260"/>
  <c r="N594" i="260"/>
  <c r="BM334" i="260"/>
  <c r="BQ84" i="260"/>
  <c r="AH717" i="260"/>
  <c r="AV70" i="260"/>
  <c r="V552" i="260"/>
  <c r="AZ635" i="260"/>
  <c r="AQ490" i="260"/>
  <c r="AH446" i="260"/>
  <c r="AN516" i="260"/>
  <c r="AD58" i="260"/>
  <c r="V486" i="260"/>
  <c r="AV561" i="260"/>
  <c r="BU717" i="260"/>
  <c r="BJ57" i="260"/>
  <c r="BF707" i="260"/>
  <c r="Z308" i="260"/>
  <c r="BU441" i="260"/>
  <c r="AH593" i="260"/>
  <c r="BJ725" i="260"/>
  <c r="BJ610" i="260"/>
  <c r="AH74" i="260"/>
  <c r="BJ163" i="260"/>
  <c r="AD77" i="260"/>
  <c r="AZ67" i="260"/>
  <c r="J167" i="260"/>
  <c r="BM352" i="260"/>
  <c r="BJ66" i="260"/>
  <c r="Z203" i="260"/>
  <c r="N160" i="260"/>
  <c r="G392" i="260"/>
  <c r="N694" i="260"/>
  <c r="AZ68" i="260"/>
  <c r="AQ56" i="260"/>
  <c r="Z417" i="260"/>
  <c r="G61" i="260"/>
  <c r="N137" i="260"/>
  <c r="N58" i="260"/>
  <c r="AH756" i="260"/>
  <c r="R591" i="260"/>
  <c r="AH612" i="260"/>
  <c r="AD352" i="260"/>
  <c r="BU368" i="260"/>
  <c r="BM562" i="260"/>
  <c r="BJ260" i="260"/>
  <c r="V776" i="260"/>
  <c r="AN99" i="260"/>
  <c r="BJ559" i="260"/>
  <c r="BJ231" i="260"/>
  <c r="J311" i="260"/>
  <c r="R80" i="260"/>
  <c r="R551" i="260"/>
  <c r="AD74" i="260"/>
  <c r="AQ522" i="260"/>
  <c r="AD65" i="260"/>
  <c r="BQ448" i="260"/>
  <c r="R98" i="260"/>
  <c r="BQ186" i="260"/>
  <c r="J342" i="260"/>
  <c r="BU682" i="260"/>
  <c r="BF205" i="260"/>
  <c r="AV199" i="260"/>
  <c r="AV600" i="260"/>
  <c r="BM62" i="260"/>
  <c r="J58" i="260"/>
  <c r="AH335" i="260"/>
  <c r="J744" i="260"/>
  <c r="J436" i="260"/>
  <c r="BF247" i="260"/>
  <c r="AN676" i="260"/>
  <c r="Z771" i="260"/>
  <c r="BJ469" i="260"/>
  <c r="BQ708" i="260"/>
  <c r="R512" i="260"/>
  <c r="AN401" i="260"/>
  <c r="BQ140" i="260"/>
  <c r="AZ82" i="260"/>
  <c r="AV623" i="260"/>
  <c r="AD744" i="260"/>
  <c r="AH757" i="260"/>
  <c r="BQ220" i="260"/>
  <c r="BQ541" i="260"/>
  <c r="G564" i="260"/>
  <c r="V562" i="260"/>
  <c r="G319" i="260"/>
  <c r="V123" i="260"/>
  <c r="AD172" i="260"/>
  <c r="V67" i="260"/>
  <c r="V405" i="260"/>
  <c r="Z415" i="260"/>
  <c r="AV61" i="260"/>
  <c r="BQ198" i="260"/>
  <c r="BF301" i="260"/>
  <c r="R137" i="260"/>
  <c r="Z59" i="260"/>
  <c r="G394" i="260"/>
  <c r="BF371" i="260"/>
  <c r="AN696" i="260"/>
  <c r="Z397" i="260"/>
  <c r="Z770" i="260"/>
  <c r="BF55" i="260"/>
  <c r="Z570" i="260"/>
  <c r="BQ420" i="260"/>
  <c r="AH453" i="260"/>
  <c r="AH618" i="260"/>
  <c r="V106" i="260"/>
  <c r="N766" i="260"/>
  <c r="AZ531" i="260"/>
  <c r="AV586" i="260"/>
  <c r="AV448" i="260"/>
  <c r="BF175" i="260"/>
  <c r="N599" i="260"/>
  <c r="BF603" i="260"/>
  <c r="V559" i="260"/>
  <c r="AV646" i="260"/>
  <c r="Z405" i="260"/>
  <c r="BQ446" i="260"/>
  <c r="AV620" i="260"/>
  <c r="AH665" i="260"/>
  <c r="AN335" i="260"/>
  <c r="BJ69" i="260"/>
  <c r="Z580" i="260"/>
  <c r="BJ440" i="260"/>
  <c r="BF367" i="260"/>
  <c r="AZ253" i="260"/>
  <c r="R191" i="260"/>
  <c r="BQ78" i="260"/>
  <c r="BU346" i="260"/>
  <c r="AN347" i="260"/>
  <c r="AH712" i="260"/>
  <c r="Z355" i="260"/>
  <c r="BJ233" i="260"/>
  <c r="AD681" i="260"/>
  <c r="J72" i="260"/>
  <c r="AD732" i="260"/>
  <c r="J209" i="260"/>
  <c r="J236" i="260"/>
  <c r="BM233" i="260"/>
  <c r="AH475" i="260"/>
  <c r="AH92" i="260"/>
  <c r="AH85" i="260"/>
  <c r="AD458" i="260"/>
  <c r="AH568" i="260"/>
  <c r="AZ767" i="260"/>
  <c r="R93" i="260"/>
  <c r="AV715" i="260"/>
  <c r="Z360" i="260"/>
  <c r="R83" i="260"/>
  <c r="AD70" i="260"/>
  <c r="AD199" i="260"/>
  <c r="AH547" i="260"/>
  <c r="AZ385" i="260"/>
  <c r="N116" i="260"/>
  <c r="AQ534" i="260"/>
  <c r="J66" i="260"/>
  <c r="AD69" i="260"/>
  <c r="AH484" i="260"/>
  <c r="BU406" i="260"/>
  <c r="AQ60" i="260"/>
  <c r="AH396" i="260"/>
  <c r="R664" i="260"/>
  <c r="R565" i="260"/>
  <c r="V407" i="260"/>
  <c r="BJ199" i="260"/>
  <c r="AQ136" i="260"/>
  <c r="BQ584" i="260"/>
  <c r="BJ385" i="260"/>
  <c r="AH674" i="260"/>
  <c r="V641" i="260"/>
  <c r="BF33" i="260"/>
  <c r="AQ38" i="260"/>
  <c r="R32" i="260"/>
  <c r="AH36" i="260"/>
  <c r="BM50" i="260"/>
  <c r="G47" i="260"/>
  <c r="AD30" i="260"/>
  <c r="BM213" i="260"/>
  <c r="J36" i="260"/>
  <c r="N48" i="260"/>
  <c r="J43" i="260"/>
  <c r="BJ35" i="260"/>
  <c r="AQ44" i="260"/>
  <c r="BF495" i="260"/>
  <c r="BF110" i="260"/>
  <c r="AH67" i="260"/>
  <c r="AD765" i="260"/>
  <c r="AV462" i="260"/>
  <c r="BJ325" i="260"/>
  <c r="AZ473" i="260"/>
  <c r="AZ265" i="260"/>
  <c r="AZ562" i="260"/>
  <c r="BM100" i="260"/>
  <c r="G323" i="260"/>
  <c r="AV303" i="260"/>
  <c r="Z139" i="260"/>
  <c r="AH491" i="260"/>
  <c r="J281" i="260"/>
  <c r="G387" i="260"/>
  <c r="G93" i="260"/>
  <c r="R286" i="260"/>
  <c r="AN61" i="260"/>
  <c r="BF469" i="260"/>
  <c r="BM622" i="260"/>
  <c r="V615" i="260"/>
  <c r="G532" i="260"/>
  <c r="AN215" i="260"/>
  <c r="AN216" i="260"/>
  <c r="J432" i="260"/>
  <c r="R406" i="260"/>
  <c r="BJ75" i="260"/>
  <c r="R364" i="260"/>
  <c r="V573" i="260"/>
  <c r="G481" i="260"/>
  <c r="AN528" i="260"/>
  <c r="V55" i="260"/>
  <c r="N624" i="260"/>
  <c r="AN67" i="260"/>
  <c r="AQ670" i="260"/>
  <c r="Z165" i="260"/>
  <c r="Z349" i="260"/>
  <c r="AQ293" i="260"/>
  <c r="BF438" i="260"/>
  <c r="AQ757" i="260"/>
  <c r="BM190" i="260"/>
  <c r="J68" i="260"/>
  <c r="AQ94" i="260"/>
  <c r="AV58" i="260"/>
  <c r="Z133" i="260"/>
  <c r="J316" i="260"/>
  <c r="Z339" i="260"/>
  <c r="J552" i="260"/>
  <c r="Z61" i="260"/>
  <c r="BU69" i="260"/>
  <c r="R61" i="260"/>
  <c r="J174" i="260"/>
  <c r="Z503" i="260"/>
  <c r="V181" i="260"/>
  <c r="BF509" i="260"/>
  <c r="R384" i="260"/>
  <c r="BU463" i="260"/>
  <c r="BQ58" i="260"/>
  <c r="AD464" i="260"/>
  <c r="AN601" i="260"/>
  <c r="G59" i="260"/>
  <c r="N537" i="260"/>
  <c r="Z366" i="260"/>
  <c r="BQ191" i="260"/>
  <c r="R155" i="260"/>
  <c r="J234" i="260"/>
  <c r="AV119" i="260"/>
  <c r="V158" i="260"/>
  <c r="V646" i="260"/>
  <c r="AD72" i="260"/>
  <c r="BJ60" i="260"/>
  <c r="AZ628" i="260"/>
  <c r="V247" i="260"/>
  <c r="Z78" i="260"/>
  <c r="AV282" i="260"/>
  <c r="V433" i="260"/>
  <c r="AZ750" i="260"/>
  <c r="BQ201" i="260"/>
  <c r="AV270" i="260"/>
  <c r="R513" i="260"/>
  <c r="BU264" i="260"/>
  <c r="V246" i="260"/>
  <c r="R277" i="260"/>
  <c r="BM210" i="260"/>
  <c r="BF273" i="260"/>
  <c r="AV376" i="260"/>
  <c r="R655" i="260"/>
  <c r="N215" i="260"/>
  <c r="N630" i="260"/>
  <c r="AH430" i="260"/>
  <c r="BQ195" i="260"/>
  <c r="AD307" i="260"/>
  <c r="AZ130" i="260"/>
  <c r="BF220" i="260"/>
  <c r="R140" i="260"/>
  <c r="V481" i="260"/>
  <c r="R741" i="260"/>
  <c r="AZ77" i="260"/>
  <c r="V373" i="260"/>
  <c r="AN635" i="260"/>
  <c r="AN431" i="260"/>
  <c r="Z659" i="260"/>
  <c r="N720" i="260"/>
  <c r="Z77" i="260"/>
  <c r="AN537" i="260"/>
  <c r="BQ134" i="260"/>
  <c r="AN499" i="260"/>
  <c r="BU371" i="260"/>
  <c r="BU773" i="260"/>
  <c r="G296" i="260"/>
  <c r="BU765" i="260"/>
  <c r="N303" i="260"/>
  <c r="BF215" i="260"/>
  <c r="BJ252" i="260"/>
  <c r="BF115" i="260"/>
  <c r="BJ253" i="260"/>
  <c r="Z265" i="260"/>
  <c r="R185" i="260"/>
  <c r="AN488" i="260"/>
  <c r="AQ316" i="260"/>
  <c r="G67" i="260"/>
  <c r="BQ287" i="260"/>
  <c r="AN731" i="260"/>
  <c r="Z609" i="260"/>
  <c r="AZ133" i="260"/>
  <c r="AN387" i="260"/>
  <c r="BM689" i="260"/>
  <c r="AZ632" i="260"/>
  <c r="BQ87" i="260"/>
  <c r="V648" i="260"/>
  <c r="AQ186" i="260"/>
  <c r="BF250" i="260"/>
  <c r="G66" i="260"/>
  <c r="AH189" i="260"/>
  <c r="AN655" i="260"/>
  <c r="AD219" i="260"/>
  <c r="G419" i="260"/>
  <c r="N139" i="260"/>
  <c r="AV163" i="260"/>
  <c r="G365" i="260"/>
  <c r="N168" i="260"/>
  <c r="BU399" i="260"/>
  <c r="J690" i="260"/>
  <c r="BU726" i="260"/>
  <c r="BJ275" i="260"/>
  <c r="BQ118" i="260"/>
  <c r="AQ202" i="260"/>
  <c r="BM497" i="260"/>
  <c r="N700" i="260"/>
  <c r="BJ526" i="260"/>
  <c r="BJ525" i="260"/>
  <c r="AV583" i="260"/>
  <c r="V332" i="260"/>
  <c r="Z301" i="260"/>
  <c r="BQ713" i="260"/>
  <c r="BQ275" i="260"/>
  <c r="V307" i="260"/>
  <c r="R76" i="260"/>
  <c r="AH774" i="260"/>
  <c r="AZ522" i="260"/>
  <c r="G56" i="260"/>
  <c r="G588" i="260"/>
  <c r="BM232" i="260"/>
  <c r="BJ58" i="260"/>
  <c r="BQ594" i="260"/>
  <c r="AQ324" i="260"/>
  <c r="R77" i="260"/>
  <c r="BJ130" i="260"/>
  <c r="BU759" i="260"/>
  <c r="BF244" i="260"/>
  <c r="AH387" i="260"/>
  <c r="V650" i="260"/>
  <c r="AN330" i="260"/>
  <c r="V443" i="260"/>
  <c r="G83" i="260"/>
  <c r="BJ181" i="260"/>
  <c r="V74" i="260"/>
  <c r="AQ243" i="260"/>
  <c r="J757" i="260"/>
  <c r="AD278" i="260"/>
  <c r="BJ651" i="260"/>
  <c r="BU414" i="260"/>
  <c r="AQ184" i="260"/>
  <c r="AZ303" i="260"/>
  <c r="Z645" i="260"/>
  <c r="AN407" i="260"/>
  <c r="J110" i="260"/>
  <c r="BU381" i="260"/>
  <c r="R271" i="260"/>
  <c r="AV236" i="260"/>
  <c r="AQ78" i="260"/>
  <c r="R206" i="260"/>
  <c r="J462" i="260"/>
  <c r="AV71" i="260"/>
  <c r="AQ580" i="260"/>
  <c r="J56" i="260"/>
  <c r="BJ55" i="260"/>
  <c r="AD560" i="260"/>
  <c r="AV530" i="260"/>
  <c r="AV57" i="260"/>
  <c r="BJ713" i="260"/>
  <c r="Z592" i="260"/>
  <c r="AQ461" i="260"/>
  <c r="BJ643" i="260"/>
  <c r="AN266" i="260"/>
  <c r="R506" i="260"/>
  <c r="R585" i="260"/>
  <c r="AD416" i="260"/>
  <c r="N496" i="260"/>
  <c r="AQ102" i="260"/>
  <c r="V397" i="260"/>
  <c r="Z309" i="260"/>
  <c r="AQ489" i="260"/>
  <c r="G199" i="260"/>
  <c r="G589" i="260"/>
  <c r="BM557" i="260"/>
  <c r="AQ699" i="260"/>
  <c r="BM546" i="260"/>
  <c r="BJ73" i="260"/>
  <c r="AZ164" i="260"/>
  <c r="V319" i="260"/>
  <c r="BQ189" i="260"/>
  <c r="G608" i="260"/>
  <c r="Z69" i="260"/>
  <c r="BU57" i="260"/>
  <c r="AV752" i="260"/>
  <c r="AZ75" i="260"/>
  <c r="BM145" i="260"/>
  <c r="AV73" i="260"/>
  <c r="AZ602" i="260"/>
  <c r="N301" i="260"/>
  <c r="AZ451" i="260"/>
  <c r="AZ216" i="260"/>
  <c r="AV734" i="260"/>
  <c r="R134" i="260"/>
  <c r="AQ533" i="260"/>
  <c r="J48" i="260"/>
  <c r="BU45" i="260"/>
  <c r="BM48" i="260"/>
  <c r="Z39" i="260"/>
  <c r="J67" i="260"/>
  <c r="R38" i="260"/>
  <c r="AQ49" i="260"/>
  <c r="AQ40" i="260"/>
  <c r="N43" i="260"/>
  <c r="V44" i="260"/>
  <c r="AV37" i="260"/>
  <c r="V40" i="260"/>
  <c r="AH47" i="260"/>
  <c r="Z42" i="260"/>
  <c r="BM91" i="260"/>
  <c r="AQ61" i="260"/>
  <c r="V237" i="260"/>
  <c r="N743" i="260"/>
  <c r="AN610" i="260"/>
  <c r="R447" i="260"/>
  <c r="AZ371" i="260"/>
  <c r="BF587" i="260"/>
  <c r="AN311" i="260"/>
  <c r="Z300" i="260"/>
  <c r="N70" i="260"/>
  <c r="BM161" i="260"/>
  <c r="J105" i="260"/>
  <c r="BQ181" i="260"/>
  <c r="G523" i="260"/>
  <c r="AQ375" i="260"/>
  <c r="BU75" i="260"/>
  <c r="AD171" i="260"/>
  <c r="BQ209" i="260"/>
  <c r="AZ61" i="260"/>
  <c r="G236" i="260"/>
  <c r="Z638" i="260"/>
  <c r="AV777" i="260"/>
  <c r="Z672" i="260"/>
  <c r="AN395" i="260"/>
  <c r="BM697" i="260"/>
  <c r="BQ152" i="260"/>
  <c r="BU509" i="260"/>
  <c r="BM241" i="260"/>
  <c r="BJ434" i="260"/>
  <c r="AD159" i="260"/>
  <c r="R663" i="260"/>
  <c r="V502" i="260"/>
  <c r="AV75" i="260"/>
  <c r="AV563" i="260"/>
  <c r="Z359" i="260"/>
  <c r="R59" i="260"/>
  <c r="BU147" i="260"/>
  <c r="BM714" i="260"/>
  <c r="BQ97" i="260"/>
  <c r="AD493" i="260"/>
  <c r="AH59" i="260"/>
  <c r="AD491" i="260"/>
  <c r="AN626" i="260"/>
  <c r="AN455" i="260"/>
  <c r="AN73" i="260"/>
  <c r="Z418" i="260"/>
  <c r="AD249" i="260"/>
  <c r="AN405" i="260"/>
  <c r="AH198" i="260"/>
  <c r="BM74" i="260"/>
  <c r="AN374" i="260"/>
  <c r="BU359" i="260"/>
  <c r="AH259" i="260"/>
  <c r="J59" i="260"/>
  <c r="BF594" i="260"/>
  <c r="J465" i="260"/>
  <c r="N75" i="260"/>
  <c r="N87" i="260"/>
  <c r="Z634" i="260"/>
  <c r="AN650" i="260"/>
  <c r="BM649" i="260"/>
  <c r="Z70" i="260"/>
  <c r="BM121" i="260"/>
  <c r="AV380" i="260"/>
  <c r="Z695" i="260"/>
  <c r="AZ437" i="260"/>
  <c r="R55" i="260"/>
  <c r="AV681" i="260"/>
  <c r="AZ66" i="260"/>
  <c r="AZ89" i="260"/>
  <c r="BF749" i="260"/>
  <c r="AZ503" i="260"/>
  <c r="BJ68" i="260"/>
  <c r="BM752" i="260"/>
  <c r="BJ568" i="260"/>
  <c r="BF202" i="260"/>
  <c r="J101" i="260"/>
  <c r="AD211" i="260"/>
  <c r="BJ509" i="260"/>
  <c r="AZ333" i="260"/>
  <c r="BM308" i="260"/>
  <c r="BF739" i="260"/>
  <c r="BF516" i="260"/>
  <c r="BF412" i="260"/>
  <c r="AN273" i="260"/>
  <c r="AZ405" i="260"/>
  <c r="Z730" i="260"/>
  <c r="BM641" i="260"/>
  <c r="G478" i="260"/>
  <c r="J55" i="260"/>
  <c r="AH200" i="260"/>
  <c r="V512" i="260"/>
  <c r="AN66" i="260"/>
  <c r="AQ95" i="260"/>
  <c r="AQ165" i="260"/>
  <c r="BU77" i="260"/>
  <c r="AH256" i="260"/>
  <c r="BU196" i="260"/>
  <c r="AH422" i="260"/>
  <c r="BQ67" i="260"/>
  <c r="BM285" i="260"/>
  <c r="BM667" i="260"/>
  <c r="AH65" i="260"/>
  <c r="J89" i="260"/>
  <c r="J259" i="260"/>
  <c r="AH462" i="260"/>
  <c r="AV251" i="260"/>
  <c r="V216" i="260"/>
  <c r="AD267" i="260"/>
  <c r="BQ451" i="260"/>
  <c r="AN643" i="260"/>
  <c r="BF355" i="260"/>
  <c r="J320" i="260"/>
  <c r="AV531" i="260"/>
  <c r="AD456" i="260"/>
  <c r="BF581" i="260"/>
  <c r="BU166" i="260"/>
  <c r="N176" i="260"/>
  <c r="Z147" i="260"/>
  <c r="R71" i="260"/>
  <c r="BU546" i="260"/>
  <c r="AH544" i="260"/>
  <c r="G244" i="260"/>
  <c r="AH726" i="260"/>
  <c r="BM509" i="260"/>
  <c r="AN730" i="260"/>
  <c r="Z63" i="260"/>
  <c r="N71" i="260"/>
  <c r="Z392" i="260"/>
  <c r="AH72" i="260"/>
  <c r="Z248" i="260"/>
  <c r="AH455" i="260"/>
  <c r="AZ69" i="260"/>
  <c r="BQ102" i="260"/>
  <c r="J193" i="260"/>
  <c r="BF566" i="260"/>
  <c r="AD768" i="260"/>
  <c r="V476" i="260"/>
  <c r="AV142" i="260"/>
  <c r="AV577" i="260"/>
  <c r="J750" i="260"/>
  <c r="AV232" i="260"/>
  <c r="BF112" i="260"/>
  <c r="V258" i="260"/>
  <c r="AN593" i="260"/>
  <c r="J661" i="260"/>
  <c r="AN513" i="260"/>
  <c r="AH456" i="260"/>
  <c r="BQ435" i="260"/>
  <c r="R362" i="260"/>
  <c r="R593" i="260"/>
  <c r="J150" i="260"/>
  <c r="BJ76" i="260"/>
  <c r="AQ441" i="260"/>
  <c r="BU121" i="260"/>
  <c r="V643" i="260"/>
  <c r="AQ669" i="260"/>
  <c r="AZ343" i="260"/>
  <c r="V76" i="260"/>
  <c r="V214" i="260"/>
  <c r="AN582" i="260"/>
  <c r="V555" i="260"/>
  <c r="N673" i="260"/>
  <c r="AH177" i="260"/>
  <c r="G689" i="260"/>
  <c r="BM77" i="260"/>
  <c r="AD55" i="260"/>
  <c r="V163" i="260"/>
  <c r="AQ371" i="260"/>
  <c r="BU738" i="260"/>
  <c r="V411" i="260"/>
  <c r="N771" i="260"/>
  <c r="BJ63" i="260"/>
  <c r="BU580" i="260"/>
  <c r="V337" i="260"/>
  <c r="BQ730" i="260"/>
  <c r="N714" i="260"/>
  <c r="N361" i="260"/>
  <c r="N682" i="260"/>
  <c r="AH420" i="260"/>
  <c r="AH646" i="260"/>
  <c r="BF457" i="260"/>
  <c r="AZ235" i="260"/>
  <c r="J57" i="260"/>
  <c r="BQ427" i="260"/>
  <c r="G441" i="260"/>
  <c r="BU71" i="260"/>
  <c r="Z513" i="260"/>
  <c r="J332" i="260"/>
  <c r="AN58" i="260"/>
  <c r="N612" i="260"/>
  <c r="R187" i="260"/>
  <c r="BF63" i="260"/>
  <c r="J240" i="260"/>
  <c r="N61" i="260"/>
  <c r="BQ202" i="260"/>
  <c r="BQ507" i="260"/>
  <c r="BF67" i="260"/>
  <c r="AZ139" i="260"/>
  <c r="BQ398" i="260"/>
  <c r="BF432" i="260"/>
  <c r="AD228" i="260"/>
  <c r="AV712" i="260"/>
  <c r="V234" i="260"/>
  <c r="AV178" i="260"/>
  <c r="G525" i="260"/>
  <c r="BM189" i="260"/>
  <c r="Z296" i="260"/>
  <c r="AD206" i="260"/>
  <c r="BU456" i="260"/>
  <c r="AN289" i="260"/>
  <c r="AD66" i="260"/>
  <c r="BU93" i="260"/>
  <c r="V708" i="260"/>
  <c r="R516" i="260"/>
  <c r="AZ553" i="260"/>
  <c r="G645" i="260"/>
  <c r="AV369" i="260"/>
  <c r="G377" i="260"/>
  <c r="N684" i="260"/>
  <c r="J310" i="260"/>
  <c r="R193" i="260"/>
  <c r="BM770" i="260"/>
  <c r="J241" i="260"/>
  <c r="AD344" i="260"/>
  <c r="Z705" i="260"/>
  <c r="AD698" i="260"/>
  <c r="AZ505" i="260"/>
  <c r="G360" i="260"/>
  <c r="AZ60" i="260"/>
  <c r="AH70" i="260"/>
  <c r="AD463" i="260"/>
  <c r="N445" i="260"/>
  <c r="AQ595" i="260"/>
  <c r="Z383" i="260"/>
  <c r="AV82" i="260"/>
  <c r="Z48" i="260"/>
  <c r="AZ52" i="260"/>
  <c r="R33" i="260"/>
  <c r="AV35" i="260"/>
  <c r="J74" i="260"/>
  <c r="Z53" i="260"/>
  <c r="BF44" i="260"/>
  <c r="V30" i="260"/>
  <c r="BQ39" i="260"/>
  <c r="G39" i="260"/>
  <c r="BM56" i="260"/>
  <c r="BQ53" i="260"/>
  <c r="AV31" i="260"/>
  <c r="BQ45" i="260"/>
  <c r="AV246" i="260"/>
  <c r="N546" i="260"/>
  <c r="J601" i="260"/>
  <c r="AZ662" i="260"/>
  <c r="BQ72" i="260"/>
  <c r="BU697" i="260"/>
  <c r="BJ169" i="260"/>
  <c r="BF599" i="260"/>
  <c r="AN76" i="260"/>
  <c r="Z206" i="260"/>
  <c r="BU64" i="260"/>
  <c r="AD57" i="260"/>
  <c r="AH330" i="260"/>
  <c r="AZ261" i="260"/>
  <c r="AQ703" i="260"/>
  <c r="BQ474" i="260"/>
  <c r="G140" i="260"/>
  <c r="BF73" i="260"/>
  <c r="AV69" i="260"/>
  <c r="G57" i="260"/>
  <c r="BM711" i="260"/>
  <c r="AD767" i="260"/>
  <c r="AZ153" i="260"/>
  <c r="AQ736" i="260"/>
  <c r="BF61" i="260"/>
  <c r="N68" i="260"/>
  <c r="J306" i="260"/>
  <c r="Z312" i="260"/>
  <c r="V57" i="260"/>
  <c r="AH441" i="260"/>
  <c r="BJ225" i="260"/>
  <c r="BQ200" i="260"/>
  <c r="R171" i="260"/>
  <c r="BQ748" i="260"/>
  <c r="BQ690" i="260"/>
  <c r="BU65" i="260"/>
  <c r="V560" i="260"/>
  <c r="V325" i="260"/>
  <c r="N268" i="260"/>
  <c r="BU590" i="260"/>
  <c r="AQ74" i="260"/>
  <c r="AD345" i="260"/>
  <c r="BJ235" i="260"/>
  <c r="BM60" i="260"/>
  <c r="V395" i="260"/>
  <c r="BF65" i="260"/>
  <c r="J355" i="260"/>
  <c r="AD621" i="260"/>
  <c r="Z271" i="260"/>
  <c r="BQ444" i="260"/>
  <c r="V388" i="260"/>
  <c r="BJ64" i="260"/>
  <c r="AZ576" i="260"/>
  <c r="N386" i="260"/>
  <c r="AN560" i="260"/>
  <c r="AN608" i="260"/>
  <c r="AQ65" i="260"/>
  <c r="BQ82" i="260"/>
  <c r="G198" i="260"/>
  <c r="AH377" i="260"/>
  <c r="AV656" i="260"/>
  <c r="BJ480" i="260"/>
  <c r="BQ183" i="260"/>
  <c r="BJ59" i="260"/>
  <c r="AZ277" i="260"/>
  <c r="BF74" i="260"/>
  <c r="AV65" i="260"/>
  <c r="BQ368" i="260"/>
  <c r="AQ572" i="260"/>
  <c r="BQ182" i="260"/>
  <c r="G486" i="260"/>
  <c r="BJ443" i="260"/>
  <c r="N576" i="260"/>
  <c r="G192" i="260"/>
  <c r="BQ537" i="260"/>
  <c r="BF526" i="260"/>
  <c r="Z422" i="260"/>
  <c r="J725" i="260"/>
  <c r="BF539" i="260"/>
  <c r="J208" i="260"/>
  <c r="BU592" i="260"/>
  <c r="AH89" i="260"/>
  <c r="BM415" i="260"/>
  <c r="AN587" i="260"/>
  <c r="AQ245" i="260"/>
  <c r="BM778" i="260"/>
  <c r="Z161" i="260"/>
  <c r="N467" i="260"/>
  <c r="AZ499" i="260"/>
  <c r="J153" i="260"/>
  <c r="J361" i="260"/>
  <c r="V362" i="260"/>
  <c r="BJ56" i="260"/>
  <c r="BM265" i="260"/>
  <c r="AV207" i="260"/>
  <c r="BJ603" i="260"/>
  <c r="N511" i="260"/>
  <c r="AV510" i="260"/>
  <c r="AH71" i="260"/>
  <c r="BJ117" i="260"/>
  <c r="AQ531" i="260"/>
  <c r="AH310" i="260"/>
  <c r="BU187" i="260"/>
  <c r="BF190" i="260"/>
  <c r="V261" i="260"/>
  <c r="BQ109" i="260"/>
  <c r="AN427" i="260"/>
  <c r="V284" i="260"/>
  <c r="N221" i="260"/>
  <c r="N299" i="260"/>
  <c r="AH227" i="260"/>
  <c r="AZ175" i="260"/>
  <c r="AZ482" i="260"/>
  <c r="BQ414" i="260"/>
  <c r="G132" i="260"/>
  <c r="BF486" i="260"/>
  <c r="G777" i="260"/>
  <c r="AN341" i="260"/>
  <c r="AZ415" i="260"/>
  <c r="BU585" i="260"/>
  <c r="G69" i="260"/>
  <c r="BM183" i="260"/>
  <c r="J390" i="260"/>
  <c r="N74" i="260"/>
  <c r="AQ552" i="260"/>
  <c r="Z443" i="260"/>
  <c r="AQ59" i="260"/>
  <c r="BM734" i="260"/>
  <c r="G253" i="260"/>
  <c r="N77" i="260"/>
  <c r="V699" i="260"/>
  <c r="BJ565" i="260"/>
  <c r="V63" i="260"/>
  <c r="AH148" i="260"/>
  <c r="BQ70" i="260"/>
  <c r="V513" i="260"/>
  <c r="AQ484" i="260"/>
  <c r="AQ131" i="260"/>
  <c r="BQ519" i="260"/>
  <c r="AV445" i="260"/>
  <c r="J219" i="260"/>
  <c r="BF556" i="260"/>
  <c r="BJ550" i="260"/>
  <c r="J491" i="260"/>
  <c r="AN592" i="260"/>
  <c r="R131" i="260"/>
  <c r="AZ447" i="260"/>
  <c r="BQ509" i="260"/>
  <c r="AV292" i="260"/>
  <c r="AV647" i="260"/>
  <c r="R199" i="260"/>
  <c r="AN419" i="260"/>
  <c r="BQ532" i="260"/>
  <c r="BF332" i="260"/>
  <c r="AH368" i="260"/>
  <c r="BU388" i="260"/>
  <c r="N62" i="260"/>
  <c r="BU418" i="260"/>
  <c r="BM528" i="260"/>
  <c r="G74" i="260"/>
  <c r="N419" i="260"/>
  <c r="BJ641" i="260"/>
  <c r="BQ185" i="260"/>
  <c r="AD641" i="260"/>
  <c r="BU314" i="260"/>
  <c r="AV66" i="260"/>
  <c r="AZ530" i="260"/>
  <c r="G710" i="260"/>
  <c r="Z725" i="260"/>
  <c r="G75" i="260"/>
  <c r="BM675" i="260"/>
  <c r="AH478" i="260"/>
  <c r="BJ722" i="260"/>
  <c r="R195" i="260"/>
  <c r="BU613" i="260"/>
  <c r="V563" i="260"/>
  <c r="BU177" i="260"/>
  <c r="AZ774" i="260"/>
  <c r="BM217" i="260"/>
  <c r="J732" i="260"/>
  <c r="BF437" i="260"/>
  <c r="Z107" i="260"/>
  <c r="BJ157" i="260"/>
  <c r="BJ95" i="260"/>
  <c r="BM744" i="260"/>
  <c r="N428" i="260"/>
  <c r="AN684" i="260"/>
  <c r="G425" i="260"/>
  <c r="AN371" i="260"/>
  <c r="BF510" i="260"/>
  <c r="BJ227" i="260"/>
  <c r="R633" i="260"/>
  <c r="BQ357" i="260"/>
  <c r="AZ220" i="260"/>
  <c r="AH120" i="260"/>
  <c r="J632" i="260"/>
  <c r="AV400" i="260"/>
  <c r="BF274" i="260"/>
  <c r="AZ534" i="260"/>
  <c r="BJ192" i="260"/>
  <c r="AQ71" i="260"/>
  <c r="AQ447" i="260"/>
  <c r="AQ197" i="260"/>
  <c r="BJ390" i="260"/>
  <c r="V667" i="260"/>
  <c r="BJ541" i="260"/>
  <c r="AZ146" i="260"/>
  <c r="G349" i="260"/>
  <c r="AQ175" i="260"/>
  <c r="AQ683" i="260"/>
  <c r="V474" i="260"/>
  <c r="Z281" i="260"/>
  <c r="Z530" i="260"/>
  <c r="BQ338" i="260"/>
  <c r="AQ195" i="260"/>
  <c r="V705" i="260"/>
  <c r="AD772" i="260"/>
  <c r="BJ141" i="260"/>
  <c r="AH81" i="260"/>
  <c r="N60" i="260"/>
  <c r="BM216" i="260"/>
  <c r="N364" i="260"/>
  <c r="BM113" i="260"/>
  <c r="BM187" i="260"/>
  <c r="BQ147" i="260"/>
  <c r="J556" i="260"/>
  <c r="AD61" i="260"/>
  <c r="R372" i="260"/>
  <c r="AV490" i="260"/>
  <c r="BQ681" i="260"/>
  <c r="G68" i="260"/>
  <c r="BJ196" i="260"/>
  <c r="AH616" i="260"/>
  <c r="AV242" i="260"/>
  <c r="AQ528" i="260"/>
  <c r="BU433" i="260"/>
  <c r="AV745" i="260"/>
  <c r="N39" i="260"/>
  <c r="BM47" i="260"/>
  <c r="AQ64" i="260"/>
  <c r="Z64" i="260"/>
  <c r="AN30" i="260"/>
  <c r="AD35" i="260"/>
  <c r="AZ42" i="260"/>
  <c r="BJ34" i="260"/>
  <c r="BM39" i="260"/>
  <c r="BJ44" i="260"/>
  <c r="BQ64" i="260"/>
  <c r="V39" i="260"/>
  <c r="AD42" i="260"/>
  <c r="V34" i="260"/>
  <c r="R49" i="260"/>
  <c r="AV50" i="260"/>
  <c r="G33" i="260"/>
  <c r="BJ39" i="260"/>
  <c r="AH651" i="260"/>
  <c r="J703" i="260"/>
  <c r="BQ199" i="260"/>
  <c r="BF209" i="260"/>
  <c r="AQ556" i="260"/>
  <c r="AZ63" i="260"/>
  <c r="BM68" i="260"/>
  <c r="V778" i="260"/>
  <c r="AD76" i="260"/>
  <c r="AH69" i="260"/>
  <c r="AD360" i="260"/>
  <c r="R289" i="260"/>
  <c r="BQ478" i="260"/>
  <c r="AH144" i="260"/>
  <c r="Z610" i="260"/>
  <c r="AV657" i="260"/>
  <c r="G299" i="260"/>
  <c r="J119" i="260"/>
  <c r="BM499" i="260"/>
  <c r="J476" i="260"/>
  <c r="BM76" i="260"/>
  <c r="Z230" i="260"/>
  <c r="BU599" i="260"/>
  <c r="J523" i="260"/>
  <c r="BJ65" i="260"/>
  <c r="AQ537" i="260"/>
  <c r="BM757" i="260"/>
  <c r="V721" i="260"/>
  <c r="BQ248" i="260"/>
  <c r="V105" i="260"/>
  <c r="AN233" i="260"/>
  <c r="V576" i="260"/>
  <c r="Z57" i="260"/>
  <c r="AV760" i="260"/>
  <c r="BF233" i="260"/>
  <c r="R63" i="260"/>
  <c r="R711" i="260"/>
  <c r="AH426" i="260"/>
  <c r="G681" i="260"/>
  <c r="BJ393" i="260"/>
  <c r="BJ120" i="260"/>
  <c r="AH719" i="260"/>
  <c r="N76" i="260"/>
  <c r="BQ157" i="260"/>
  <c r="AH311" i="260"/>
  <c r="AH680" i="260"/>
  <c r="N64" i="260"/>
  <c r="AQ517" i="260"/>
  <c r="BJ741" i="260"/>
  <c r="BM328" i="260"/>
  <c r="AV145" i="260"/>
  <c r="J70" i="260"/>
  <c r="BF312" i="260"/>
  <c r="BU353" i="260"/>
  <c r="AQ391" i="260"/>
  <c r="AV76" i="260"/>
  <c r="BF331" i="260"/>
  <c r="G107" i="260"/>
  <c r="Z593" i="260"/>
  <c r="AZ180" i="260"/>
  <c r="N269" i="260"/>
  <c r="Z662" i="260"/>
  <c r="BJ439" i="260"/>
  <c r="AZ686" i="260"/>
  <c r="AZ249" i="260"/>
  <c r="R60" i="260"/>
  <c r="BU666" i="260"/>
  <c r="N78" i="260"/>
  <c r="BF77" i="260"/>
  <c r="BQ346" i="260"/>
  <c r="BQ737" i="260"/>
  <c r="G538" i="260"/>
  <c r="AQ121" i="260"/>
  <c r="BQ776" i="260"/>
  <c r="Z552" i="260"/>
  <c r="BF586" i="260"/>
  <c r="V281" i="260"/>
  <c r="AH126" i="260"/>
  <c r="BQ425" i="260"/>
  <c r="J180" i="260"/>
  <c r="Z219" i="260"/>
  <c r="G459" i="260"/>
  <c r="BM614" i="260"/>
  <c r="AD757" i="260"/>
  <c r="BM690" i="260"/>
  <c r="AD313" i="260"/>
  <c r="AD506" i="260"/>
  <c r="R228" i="260"/>
  <c r="Z680" i="260"/>
  <c r="BQ172" i="260"/>
  <c r="BF768" i="260"/>
  <c r="BF380" i="260"/>
  <c r="AN320" i="260"/>
  <c r="V619" i="260"/>
  <c r="AV162" i="260"/>
  <c r="BJ61" i="260"/>
  <c r="V62" i="260"/>
  <c r="BU680" i="260"/>
  <c r="AN70" i="260"/>
  <c r="AH367" i="260"/>
  <c r="AN71" i="260"/>
  <c r="Z74" i="260"/>
  <c r="J408" i="260"/>
  <c r="G268" i="260"/>
  <c r="AQ73" i="260"/>
  <c r="N281" i="260"/>
  <c r="AZ313" i="260"/>
  <c r="Z80" i="260"/>
  <c r="AH308" i="260"/>
  <c r="BQ253" i="260"/>
  <c r="Z202" i="260"/>
  <c r="AZ755" i="260"/>
  <c r="AD589" i="260"/>
  <c r="BQ727" i="260"/>
  <c r="J165" i="260"/>
  <c r="BM453" i="260"/>
  <c r="AZ283" i="260"/>
  <c r="BM535" i="260"/>
  <c r="BF534" i="260"/>
  <c r="AN440" i="260"/>
  <c r="AN120" i="260"/>
  <c r="AN145" i="260"/>
  <c r="AD374" i="260"/>
  <c r="N762" i="260"/>
  <c r="R605" i="260"/>
  <c r="BJ191" i="260"/>
  <c r="AQ744" i="260"/>
  <c r="R623" i="260"/>
  <c r="R282" i="260"/>
  <c r="BQ403" i="260"/>
  <c r="V333" i="260"/>
  <c r="R651" i="260"/>
  <c r="AD260" i="260"/>
  <c r="BQ59" i="260"/>
  <c r="G361" i="260"/>
  <c r="BU74" i="260"/>
  <c r="Z451" i="260"/>
  <c r="R396" i="260"/>
  <c r="AZ468" i="260"/>
  <c r="AZ88" i="260"/>
  <c r="Z683" i="260"/>
  <c r="AV651" i="260"/>
  <c r="J541" i="260"/>
  <c r="R524" i="260"/>
  <c r="BQ89" i="260"/>
  <c r="R64" i="260"/>
  <c r="Z313" i="260"/>
  <c r="AN522" i="260"/>
  <c r="BF451" i="260"/>
  <c r="BQ241" i="260"/>
  <c r="Z341" i="260"/>
  <c r="BM518" i="260"/>
  <c r="BQ76" i="260"/>
  <c r="N749" i="260"/>
  <c r="J108" i="260"/>
  <c r="V77" i="260"/>
  <c r="AZ638" i="260"/>
  <c r="BU76" i="260"/>
  <c r="AV59" i="260"/>
  <c r="R145" i="260"/>
  <c r="AN614" i="260"/>
  <c r="BF725" i="260"/>
  <c r="BF530" i="260"/>
  <c r="J467" i="260"/>
  <c r="V59" i="260"/>
  <c r="R234" i="260"/>
  <c r="BF537" i="260"/>
  <c r="J63" i="260"/>
  <c r="AH63" i="260"/>
  <c r="AV334" i="260"/>
  <c r="BJ707" i="260"/>
  <c r="Z750" i="260"/>
  <c r="V164" i="260"/>
  <c r="AH668" i="260"/>
  <c r="J262" i="260"/>
  <c r="AH509" i="260"/>
  <c r="V342" i="260"/>
  <c r="BJ572" i="260"/>
  <c r="AH434" i="260"/>
  <c r="Z108" i="260"/>
  <c r="AD741" i="260"/>
  <c r="BF166" i="260"/>
  <c r="BJ82" i="260"/>
  <c r="AV616" i="260"/>
  <c r="BJ62" i="260"/>
  <c r="AD68" i="260"/>
  <c r="G135" i="260"/>
  <c r="J382" i="260"/>
  <c r="AH75" i="260"/>
  <c r="AQ680" i="260"/>
  <c r="AH671" i="260"/>
  <c r="AZ56" i="260"/>
  <c r="G660" i="260"/>
  <c r="J480" i="260"/>
  <c r="BF60" i="260"/>
  <c r="Z643" i="260"/>
  <c r="J192" i="260"/>
  <c r="G275" i="260"/>
  <c r="BM75" i="260"/>
  <c r="AH773" i="260"/>
  <c r="AH365" i="260"/>
  <c r="AD685" i="260"/>
  <c r="BJ160" i="260"/>
  <c r="AQ749" i="260"/>
  <c r="N668" i="260"/>
  <c r="BM140" i="260"/>
  <c r="J421" i="260"/>
  <c r="BU109" i="260"/>
  <c r="N80" i="260"/>
  <c r="AN734" i="260"/>
  <c r="AQ450" i="260"/>
  <c r="G514" i="260"/>
  <c r="AD488" i="260"/>
  <c r="AD395" i="260"/>
  <c r="BF578" i="260"/>
  <c r="BM474" i="260"/>
  <c r="J76" i="260"/>
  <c r="N520" i="260"/>
  <c r="J214" i="260"/>
  <c r="AZ71" i="260"/>
  <c r="AN461" i="260"/>
  <c r="BU468" i="260"/>
  <c r="AQ518" i="260"/>
  <c r="R592" i="260"/>
  <c r="BJ537" i="260"/>
  <c r="BQ77" i="260"/>
  <c r="AV705" i="260"/>
  <c r="G125" i="260"/>
  <c r="AD78" i="260"/>
  <c r="AN94" i="260"/>
  <c r="AZ162" i="260"/>
  <c r="AV643" i="260"/>
  <c r="AV430" i="260"/>
  <c r="J133" i="260"/>
  <c r="N123" i="260"/>
  <c r="AD686" i="260"/>
  <c r="V508" i="260"/>
  <c r="BM238" i="260"/>
  <c r="BF176" i="260"/>
  <c r="AH375" i="260"/>
  <c r="BF113" i="260"/>
  <c r="BQ324" i="260"/>
  <c r="BJ96" i="260"/>
  <c r="AN74" i="260"/>
  <c r="AH525" i="260"/>
  <c r="AV132" i="260"/>
  <c r="BF68" i="260"/>
  <c r="R527" i="260"/>
  <c r="BU357" i="260"/>
  <c r="BF251" i="260"/>
  <c r="AZ238" i="260"/>
  <c r="AV388" i="260"/>
  <c r="AQ739" i="260"/>
  <c r="V427" i="260"/>
  <c r="BQ517" i="260"/>
  <c r="N710" i="260"/>
  <c r="V671" i="260"/>
  <c r="AQ87" i="260"/>
  <c r="AD277" i="260"/>
  <c r="AZ455" i="260"/>
  <c r="BM73" i="260"/>
  <c r="AD674" i="260"/>
  <c r="BM442" i="260"/>
  <c r="BM309" i="260"/>
  <c r="G513" i="260"/>
  <c r="AV347" i="260"/>
  <c r="AQ161" i="260"/>
  <c r="BM139" i="260"/>
  <c r="V668" i="260"/>
  <c r="G626" i="260"/>
  <c r="N528" i="260"/>
  <c r="AD235" i="260"/>
  <c r="BQ508" i="260"/>
  <c r="BJ717" i="260"/>
  <c r="AZ55" i="260"/>
  <c r="BU703" i="260"/>
  <c r="J215" i="260"/>
  <c r="BF76" i="260"/>
  <c r="AZ460" i="260"/>
  <c r="BQ57" i="260"/>
  <c r="BU641" i="260"/>
  <c r="AN57" i="260"/>
  <c r="AD724" i="260"/>
  <c r="AZ457" i="260"/>
  <c r="AD262" i="260"/>
  <c r="Z244" i="260"/>
  <c r="AH588" i="260"/>
  <c r="BM264" i="260"/>
  <c r="BU427" i="260"/>
  <c r="AD368" i="260"/>
  <c r="N563" i="260"/>
  <c r="AV408" i="260"/>
  <c r="V634" i="260"/>
  <c r="V149" i="260"/>
  <c r="N638" i="260"/>
  <c r="N646" i="260"/>
  <c r="N391" i="260"/>
  <c r="N487" i="260"/>
  <c r="BM67" i="260"/>
  <c r="Z678" i="260"/>
  <c r="BF648" i="260"/>
  <c r="G60" i="260"/>
  <c r="Z145" i="260"/>
  <c r="BM205" i="260"/>
  <c r="Z71" i="260"/>
  <c r="AQ326" i="260"/>
  <c r="BQ138" i="260"/>
  <c r="AQ69" i="260"/>
  <c r="Z232" i="260"/>
  <c r="AZ185" i="260"/>
  <c r="BU63" i="260"/>
  <c r="R450" i="260"/>
  <c r="N575" i="260"/>
  <c r="BM409" i="260"/>
  <c r="BJ513" i="260"/>
  <c r="BM642" i="260"/>
  <c r="AH331" i="260"/>
  <c r="BQ113" i="260"/>
  <c r="V107" i="260"/>
  <c r="AV450" i="260"/>
  <c r="BF118" i="260"/>
  <c r="V657" i="260"/>
  <c r="AD288" i="260"/>
  <c r="G295" i="260"/>
  <c r="AD414" i="260"/>
  <c r="BF762" i="260"/>
  <c r="AZ308" i="260"/>
  <c r="AH647" i="260"/>
  <c r="AN546" i="260"/>
  <c r="AN609" i="260"/>
  <c r="BQ75" i="260"/>
  <c r="BJ72" i="260"/>
  <c r="AD286" i="260"/>
  <c r="N336" i="260"/>
  <c r="AZ64" i="260"/>
  <c r="BJ773" i="260"/>
  <c r="G535" i="260"/>
  <c r="AD60" i="260"/>
  <c r="BQ177" i="260"/>
  <c r="R735" i="260"/>
  <c r="BM72" i="260"/>
  <c r="BQ536" i="260"/>
  <c r="J630" i="260"/>
  <c r="Z66" i="260"/>
  <c r="AN103" i="260"/>
  <c r="BF313" i="260"/>
  <c r="BM569" i="260"/>
  <c r="AN59" i="260"/>
  <c r="BJ456" i="260"/>
  <c r="AQ632" i="260"/>
  <c r="Z726" i="260"/>
  <c r="BM167" i="260"/>
  <c r="BF174" i="260"/>
  <c r="R330" i="260"/>
  <c r="AV221" i="260"/>
  <c r="AN724" i="260"/>
  <c r="AD523" i="260"/>
  <c r="V336" i="260"/>
  <c r="BU318" i="260"/>
  <c r="BM541" i="260"/>
  <c r="V553" i="260"/>
  <c r="R68" i="260"/>
  <c r="G202" i="260"/>
  <c r="G314" i="260"/>
  <c r="BQ463" i="260"/>
  <c r="AN124" i="260"/>
  <c r="AH62" i="260"/>
  <c r="AH607" i="260"/>
  <c r="AZ237" i="260"/>
  <c r="BF485" i="260"/>
  <c r="BU70" i="260"/>
  <c r="AD356" i="260"/>
  <c r="V401" i="260"/>
  <c r="AZ125" i="260"/>
  <c r="AV337" i="260"/>
  <c r="AN490" i="260"/>
  <c r="BQ753" i="260"/>
  <c r="AV67" i="260"/>
  <c r="AH248" i="260"/>
  <c r="V483" i="260"/>
  <c r="BM335" i="260"/>
  <c r="AH325" i="260"/>
  <c r="BU485" i="260"/>
  <c r="G96" i="260"/>
  <c r="BU528" i="260"/>
  <c r="N461" i="260"/>
  <c r="Z357" i="260"/>
  <c r="V412" i="260"/>
  <c r="AN712" i="260"/>
  <c r="BQ208" i="260"/>
  <c r="BU250" i="260"/>
  <c r="R132" i="260"/>
  <c r="BF226" i="260"/>
  <c r="AD426" i="260"/>
  <c r="AQ68" i="260"/>
  <c r="N402" i="260"/>
  <c r="BF153" i="260"/>
  <c r="AQ55" i="260"/>
  <c r="J624" i="260"/>
  <c r="BU334" i="260"/>
  <c r="BJ70" i="260"/>
  <c r="AV348" i="260"/>
  <c r="R660" i="260"/>
  <c r="BQ668" i="260"/>
  <c r="BJ701" i="260"/>
  <c r="AH602" i="260"/>
  <c r="AN63" i="260"/>
  <c r="N145" i="260"/>
  <c r="BF685" i="260"/>
  <c r="AH655" i="260"/>
  <c r="AD132" i="260"/>
  <c r="N149" i="260"/>
  <c r="V282" i="260"/>
  <c r="N380" i="260"/>
  <c r="BQ382" i="260"/>
  <c r="J220" i="260"/>
  <c r="AH494" i="260"/>
  <c r="BQ548" i="260"/>
  <c r="N527" i="260"/>
  <c r="V370" i="260"/>
  <c r="BU206" i="260"/>
  <c r="G233" i="260"/>
  <c r="AV574" i="260"/>
  <c r="AH425" i="260"/>
  <c r="AQ88" i="260"/>
  <c r="BM70" i="260"/>
  <c r="AQ737" i="260"/>
  <c r="G148" i="260"/>
  <c r="BU60" i="260"/>
  <c r="AN572" i="260"/>
  <c r="BU382" i="260"/>
  <c r="BQ470" i="260"/>
  <c r="AV559" i="260"/>
  <c r="Z268" i="260"/>
  <c r="BF99" i="260"/>
  <c r="BU633" i="260"/>
  <c r="BF164" i="260"/>
  <c r="AQ72" i="260"/>
  <c r="AH165" i="260"/>
  <c r="V64" i="260"/>
  <c r="AH580" i="260"/>
  <c r="BQ62" i="260"/>
  <c r="BM547" i="260"/>
  <c r="BJ584" i="260"/>
  <c r="BJ714" i="260"/>
  <c r="Z626" i="260"/>
  <c r="R731" i="260"/>
  <c r="G36" i="260"/>
  <c r="BF51" i="260"/>
  <c r="BQ40" i="260"/>
  <c r="BJ46" i="260"/>
  <c r="G42" i="260"/>
  <c r="BF49" i="260"/>
  <c r="AN36" i="260"/>
  <c r="BU38" i="260"/>
  <c r="BF37" i="260"/>
  <c r="AH50" i="260"/>
  <c r="J39" i="260"/>
  <c r="BQ32" i="260"/>
  <c r="AQ50" i="260"/>
  <c r="Z49" i="260"/>
  <c r="BQ60" i="260"/>
  <c r="J420" i="260"/>
  <c r="BQ56" i="260"/>
  <c r="BU423" i="260"/>
  <c r="Z72" i="260"/>
  <c r="BJ320" i="260"/>
  <c r="AD482" i="260"/>
  <c r="Z491" i="260"/>
  <c r="AZ593" i="260"/>
  <c r="AN561" i="260"/>
  <c r="AD521" i="260"/>
  <c r="BM69" i="260"/>
  <c r="V374" i="260"/>
  <c r="BM65" i="260"/>
  <c r="N334" i="260"/>
  <c r="BU269" i="260"/>
  <c r="Z130" i="260"/>
  <c r="AH351" i="260"/>
  <c r="N65" i="260"/>
  <c r="BU702" i="260"/>
  <c r="AN56" i="260"/>
  <c r="Z758" i="260"/>
  <c r="BJ116" i="260"/>
  <c r="AD121" i="260"/>
  <c r="BQ613" i="260"/>
  <c r="BJ195" i="260"/>
  <c r="BU66" i="260"/>
  <c r="G702" i="260"/>
  <c r="BJ517" i="260"/>
  <c r="R109" i="260"/>
  <c r="V515" i="260"/>
  <c r="J673" i="260"/>
  <c r="Z333" i="260"/>
  <c r="AZ462" i="260"/>
  <c r="R58" i="260"/>
  <c r="V664" i="260"/>
  <c r="V431" i="260"/>
  <c r="BF647" i="260"/>
  <c r="BM673" i="260"/>
  <c r="AD649" i="260"/>
  <c r="BJ649" i="260"/>
  <c r="AV296" i="260"/>
  <c r="AQ236" i="260"/>
  <c r="AH274" i="260"/>
  <c r="AQ62" i="260"/>
  <c r="N581" i="260"/>
  <c r="Z567" i="260"/>
  <c r="AQ173" i="260"/>
  <c r="BF482" i="260"/>
  <c r="AH689" i="260"/>
  <c r="BM525" i="260"/>
  <c r="V503" i="260"/>
  <c r="BM380" i="260"/>
  <c r="AN271" i="260"/>
  <c r="BU768" i="260"/>
  <c r="R318" i="260"/>
  <c r="AV534" i="260"/>
  <c r="V65" i="260"/>
  <c r="AH66" i="260"/>
  <c r="AN772" i="260"/>
  <c r="J662" i="260"/>
  <c r="AV55" i="260"/>
  <c r="R70" i="260"/>
  <c r="BF81" i="260"/>
  <c r="AH60" i="260"/>
  <c r="J667" i="260"/>
  <c r="N124" i="260"/>
  <c r="J78" i="260"/>
  <c r="BM259" i="260"/>
  <c r="AH276" i="260"/>
  <c r="Z62" i="260"/>
  <c r="R762" i="260"/>
  <c r="AH482" i="260"/>
  <c r="G703" i="260"/>
  <c r="BJ586" i="260"/>
  <c r="AQ313" i="260"/>
  <c r="BF376" i="260"/>
  <c r="V517" i="260"/>
  <c r="AH638" i="260"/>
  <c r="V524" i="260"/>
  <c r="BQ161" i="260"/>
  <c r="BQ761" i="260"/>
  <c r="BM591" i="260"/>
  <c r="AN672" i="260"/>
  <c r="AN143" i="260"/>
  <c r="V747" i="260"/>
  <c r="AN683" i="260"/>
  <c r="BQ162" i="260"/>
  <c r="AZ272" i="260"/>
  <c r="R360" i="260"/>
  <c r="AD145" i="260"/>
  <c r="BU363" i="260"/>
  <c r="AQ107" i="260"/>
  <c r="Z590" i="260"/>
  <c r="BM663" i="260"/>
  <c r="AD336" i="260"/>
  <c r="R600" i="260"/>
  <c r="R772" i="260"/>
  <c r="BQ535" i="260"/>
  <c r="BF161" i="260"/>
  <c r="N244" i="260"/>
  <c r="G99" i="260"/>
  <c r="BJ297" i="260"/>
  <c r="BM558" i="260"/>
  <c r="AH68" i="260"/>
  <c r="AZ278" i="260"/>
  <c r="AV74" i="260"/>
  <c r="G721" i="260"/>
  <c r="N543" i="260"/>
  <c r="BJ760" i="260"/>
  <c r="R537" i="260"/>
  <c r="AN367" i="260"/>
  <c r="BF472" i="260"/>
  <c r="R570" i="260"/>
  <c r="AZ58" i="260"/>
  <c r="G318" i="260"/>
  <c r="BF487" i="260"/>
  <c r="AD645" i="260"/>
  <c r="Z449" i="260"/>
  <c r="AN545" i="260"/>
  <c r="G503" i="260"/>
  <c r="AH57" i="260"/>
  <c r="AZ442" i="260"/>
  <c r="AD71" i="260"/>
  <c r="BM138" i="260"/>
  <c r="BQ107" i="260"/>
  <c r="BU145" i="260"/>
  <c r="AQ470" i="260"/>
  <c r="BJ639" i="260"/>
  <c r="V69" i="260"/>
  <c r="R67" i="260"/>
  <c r="AN139" i="260"/>
  <c r="AD700" i="260"/>
  <c r="R74" i="260"/>
  <c r="R297" i="260"/>
  <c r="V73" i="260"/>
  <c r="BM745" i="260"/>
  <c r="Z68" i="260"/>
  <c r="AZ701" i="260"/>
  <c r="BJ495" i="260"/>
  <c r="AQ747" i="260"/>
  <c r="R356" i="260"/>
  <c r="J515" i="260"/>
  <c r="N266" i="260"/>
  <c r="R441" i="260"/>
  <c r="G601" i="260"/>
  <c r="N146" i="260"/>
  <c r="BJ667" i="260"/>
  <c r="R118" i="260"/>
  <c r="AZ159" i="260"/>
  <c r="BQ482" i="260"/>
  <c r="Z252" i="260"/>
  <c r="R708" i="260"/>
  <c r="AN352" i="260"/>
  <c r="AD63" i="260"/>
  <c r="N756" i="260"/>
  <c r="BM400" i="260"/>
  <c r="AD75" i="260"/>
  <c r="N223" i="260"/>
  <c r="AH496" i="260"/>
  <c r="BF56" i="260"/>
  <c r="J75" i="260"/>
  <c r="J756" i="260"/>
  <c r="AN136" i="260"/>
  <c r="Z661" i="260"/>
  <c r="J764" i="260"/>
  <c r="Z356" i="260"/>
  <c r="BM108" i="260"/>
  <c r="Z119" i="260"/>
  <c r="Z155" i="260"/>
  <c r="AQ355" i="260"/>
  <c r="J399" i="260"/>
  <c r="AV473" i="260"/>
  <c r="Z163" i="260"/>
  <c r="N330" i="260"/>
  <c r="BQ213" i="260"/>
  <c r="AH116" i="260"/>
  <c r="J358" i="260"/>
  <c r="BF270" i="260"/>
  <c r="J317" i="260"/>
  <c r="BM763" i="260"/>
  <c r="AV628" i="260"/>
  <c r="AD712" i="260"/>
  <c r="J345" i="260"/>
  <c r="BM212" i="260"/>
  <c r="V499" i="260"/>
  <c r="BQ649" i="260"/>
  <c r="AV318" i="260"/>
  <c r="AN353" i="260"/>
  <c r="AH562" i="260"/>
  <c r="G297" i="260"/>
  <c r="BJ402" i="260"/>
  <c r="AN186" i="260"/>
  <c r="AD67" i="260"/>
  <c r="Z58" i="260"/>
  <c r="BM289" i="260"/>
  <c r="BQ296" i="260"/>
  <c r="V399" i="260"/>
  <c r="G109" i="260"/>
  <c r="BQ381" i="260"/>
  <c r="BF78" i="260"/>
  <c r="J143" i="260"/>
  <c r="BM269" i="260"/>
  <c r="J87" i="260"/>
  <c r="BF773" i="260"/>
  <c r="N726" i="260"/>
  <c r="J595" i="260"/>
  <c r="AZ526" i="260"/>
  <c r="V438" i="260"/>
  <c r="BM550" i="260"/>
  <c r="BU171" i="260"/>
  <c r="AV713" i="260"/>
  <c r="AV560" i="260"/>
  <c r="AQ512" i="260"/>
  <c r="AZ527" i="260"/>
  <c r="V618" i="260"/>
  <c r="AZ611" i="260"/>
  <c r="BU260" i="260"/>
  <c r="BF397" i="260"/>
  <c r="BU755" i="260"/>
  <c r="AN756" i="260"/>
  <c r="BQ699" i="260"/>
  <c r="AN65" i="260"/>
  <c r="AZ507" i="260"/>
  <c r="BF100" i="260"/>
  <c r="Z55" i="260"/>
  <c r="AV227" i="260"/>
  <c r="BQ142" i="260"/>
  <c r="AV632" i="260"/>
  <c r="AZ723" i="260"/>
  <c r="BU299" i="260"/>
  <c r="AH702" i="260"/>
  <c r="AQ199" i="260"/>
  <c r="BQ395" i="260"/>
  <c r="BJ564" i="260"/>
  <c r="AH563" i="260"/>
  <c r="AN263" i="260"/>
  <c r="R90" i="260"/>
  <c r="AH34" i="260"/>
  <c r="J31" i="260"/>
  <c r="AN33" i="260"/>
  <c r="AN44" i="260"/>
  <c r="N46" i="260"/>
  <c r="J33" i="260"/>
  <c r="AQ45" i="260"/>
  <c r="AN34" i="260"/>
  <c r="AQ58" i="260"/>
  <c r="AD45" i="260"/>
  <c r="AQ30" i="260"/>
  <c r="AQ48" i="260"/>
  <c r="AQ47" i="260"/>
  <c r="BF34" i="260"/>
  <c r="N478" i="260"/>
  <c r="G612" i="260"/>
  <c r="R530" i="260"/>
  <c r="AZ732" i="260"/>
  <c r="AD125" i="260"/>
  <c r="J481" i="260"/>
  <c r="BU428" i="260"/>
  <c r="AN360" i="260"/>
  <c r="Z73" i="260"/>
  <c r="BQ55" i="260"/>
  <c r="BM58" i="260"/>
  <c r="R276" i="260"/>
  <c r="V68" i="260"/>
  <c r="V61" i="260"/>
  <c r="BU725" i="260"/>
  <c r="BF139" i="260"/>
  <c r="BF151" i="260"/>
  <c r="N652" i="260"/>
  <c r="Z631" i="260"/>
  <c r="AH55" i="260"/>
  <c r="AZ251" i="260"/>
  <c r="V489" i="260"/>
  <c r="AH228" i="260"/>
  <c r="BJ214" i="260"/>
  <c r="Z187" i="260"/>
  <c r="J71" i="260"/>
  <c r="BU659" i="260"/>
  <c r="AV437" i="260"/>
  <c r="BU55" i="260"/>
  <c r="G73" i="260"/>
  <c r="BQ293" i="260"/>
  <c r="AH605" i="260"/>
  <c r="BF69" i="260"/>
  <c r="AV62" i="260"/>
  <c r="AV702" i="260"/>
  <c r="AN211" i="260"/>
  <c r="AZ57" i="260"/>
  <c r="BM659" i="260"/>
  <c r="V392" i="260"/>
  <c r="BQ432" i="260"/>
  <c r="AN349" i="260"/>
  <c r="AV60" i="260"/>
  <c r="AD388" i="260"/>
  <c r="AH630" i="260"/>
  <c r="AD357" i="260"/>
  <c r="BU73" i="260"/>
  <c r="AD731" i="260"/>
  <c r="AN715" i="260"/>
  <c r="BU56" i="260"/>
  <c r="AV669" i="260"/>
  <c r="BQ197" i="260"/>
  <c r="BJ515" i="260"/>
  <c r="J619" i="260"/>
  <c r="AZ76" i="260"/>
  <c r="R769" i="260"/>
  <c r="BJ296" i="260"/>
  <c r="AH656" i="260"/>
  <c r="BJ74" i="260"/>
  <c r="AQ457" i="260"/>
  <c r="AZ498" i="260"/>
  <c r="R75" i="260"/>
  <c r="AH582" i="260"/>
  <c r="V452" i="260"/>
  <c r="BQ416" i="260"/>
  <c r="G372" i="260"/>
  <c r="BF372" i="260"/>
  <c r="R57" i="260"/>
  <c r="BJ457" i="260"/>
  <c r="AN102" i="260"/>
  <c r="AQ67" i="260"/>
  <c r="AV378" i="260"/>
  <c r="BU698" i="260"/>
  <c r="G317" i="260"/>
  <c r="BU61" i="260"/>
  <c r="Z363" i="260"/>
  <c r="BJ721" i="260"/>
  <c r="N324" i="260"/>
  <c r="BF474" i="260"/>
  <c r="AD362" i="260"/>
  <c r="BU431" i="260"/>
  <c r="AD736" i="260"/>
  <c r="J633" i="260"/>
  <c r="N56" i="260"/>
  <c r="G572" i="260"/>
  <c r="AV168" i="260"/>
  <c r="R393" i="260"/>
  <c r="AN713" i="260"/>
  <c r="AN390" i="260"/>
  <c r="AQ501" i="260"/>
  <c r="BF126" i="260"/>
  <c r="BU58" i="260"/>
  <c r="AV757" i="260"/>
  <c r="BM548" i="260"/>
  <c r="BF71" i="260"/>
  <c r="V187" i="260"/>
  <c r="BM297" i="260"/>
  <c r="AQ77" i="260"/>
  <c r="BQ211" i="260"/>
  <c r="AZ506" i="260"/>
  <c r="AQ437" i="260"/>
  <c r="AQ205" i="260"/>
  <c r="G388" i="260"/>
  <c r="AQ57" i="260"/>
  <c r="AV68" i="260"/>
  <c r="G287" i="260"/>
  <c r="AV403" i="260"/>
  <c r="G58" i="260"/>
  <c r="BF637" i="260"/>
  <c r="BJ360" i="260"/>
  <c r="R169" i="260"/>
  <c r="AQ76" i="260"/>
  <c r="G257" i="260"/>
  <c r="V546" i="260"/>
  <c r="AQ467" i="260"/>
  <c r="V255" i="260"/>
  <c r="AN226" i="260"/>
  <c r="G126" i="260"/>
  <c r="Z775" i="260"/>
  <c r="BU435" i="260"/>
  <c r="BM665" i="260"/>
  <c r="BQ431" i="260"/>
  <c r="AN606" i="260"/>
  <c r="R69" i="260"/>
  <c r="AN217" i="260"/>
  <c r="G165" i="260"/>
  <c r="N422" i="260"/>
  <c r="N120" i="260"/>
  <c r="AZ138" i="260"/>
  <c r="AD177" i="260"/>
  <c r="J620" i="260"/>
  <c r="G282" i="260"/>
  <c r="Z568" i="260"/>
  <c r="AZ361" i="260"/>
  <c r="BJ305" i="260"/>
  <c r="AV150" i="260"/>
  <c r="AZ267" i="260"/>
  <c r="BM63" i="260"/>
  <c r="BU736" i="260"/>
  <c r="AV338" i="260"/>
  <c r="AZ626" i="260"/>
  <c r="AQ114" i="260"/>
  <c r="BU148" i="260"/>
  <c r="Z326" i="260"/>
  <c r="BM664" i="260"/>
  <c r="AN514" i="260"/>
  <c r="AH716" i="260"/>
  <c r="AV625" i="260"/>
  <c r="AQ674" i="260"/>
  <c r="V408" i="260"/>
  <c r="AZ363" i="260"/>
  <c r="BU111" i="260"/>
  <c r="BU503" i="260"/>
  <c r="BM522" i="260"/>
  <c r="AN75" i="260"/>
  <c r="AZ675" i="260"/>
  <c r="R595" i="260"/>
  <c r="BJ78" i="260"/>
  <c r="BU602" i="260"/>
  <c r="BF651" i="260"/>
  <c r="BQ277" i="260"/>
  <c r="J157" i="260"/>
  <c r="AN219" i="260"/>
  <c r="AH258" i="260"/>
  <c r="BU393" i="260"/>
  <c r="AV222" i="260"/>
  <c r="AH693" i="260"/>
  <c r="AD198" i="260"/>
  <c r="N564" i="260"/>
  <c r="G384" i="260"/>
  <c r="R509" i="260"/>
  <c r="AH432" i="260"/>
  <c r="BJ536" i="260"/>
  <c r="BJ382" i="260"/>
  <c r="AZ778" i="260"/>
  <c r="J581" i="260"/>
  <c r="BM301" i="260"/>
  <c r="N489" i="260"/>
  <c r="AZ684" i="260"/>
  <c r="BU767" i="260"/>
  <c r="AZ112" i="260"/>
  <c r="V683" i="260"/>
  <c r="AH565" i="260"/>
  <c r="Z321" i="260"/>
  <c r="BJ745" i="260"/>
  <c r="V771" i="260"/>
  <c r="BU500" i="260"/>
  <c r="G428" i="260"/>
  <c r="BJ523" i="260"/>
  <c r="AH713" i="260"/>
  <c r="R446" i="260"/>
  <c r="J60" i="260"/>
  <c r="BJ353" i="260"/>
  <c r="J751" i="260"/>
  <c r="BU68" i="260"/>
  <c r="AD316" i="260"/>
  <c r="AH536" i="260"/>
  <c r="BF59" i="260"/>
  <c r="N311" i="260"/>
  <c r="BM598" i="260"/>
  <c r="V86" i="260"/>
  <c r="AV91" i="260"/>
  <c r="V188" i="260"/>
  <c r="BJ562" i="260"/>
  <c r="AQ109" i="260"/>
  <c r="AV83" i="260"/>
  <c r="G380" i="260"/>
  <c r="AN481" i="260"/>
  <c r="AV523" i="260"/>
  <c r="R209" i="260"/>
  <c r="J774" i="260"/>
  <c r="R144" i="260"/>
  <c r="AN722" i="260"/>
  <c r="V297" i="260"/>
  <c r="BF169" i="260"/>
  <c r="BJ438" i="260"/>
  <c r="AQ185" i="260"/>
  <c r="AZ581" i="260"/>
  <c r="BU78" i="260"/>
  <c r="BQ660" i="260"/>
  <c r="J760" i="260"/>
  <c r="N259" i="260"/>
  <c r="AZ775" i="260"/>
  <c r="BM440" i="260"/>
  <c r="V384" i="260"/>
  <c r="AV181" i="260"/>
  <c r="J489" i="260"/>
  <c r="N530" i="260"/>
  <c r="AV505" i="260"/>
  <c r="N592" i="260"/>
  <c r="BM78" i="260"/>
  <c r="BM671" i="260"/>
  <c r="BQ149" i="260"/>
  <c r="AH268" i="260"/>
  <c r="N248" i="260"/>
  <c r="AQ536" i="260"/>
  <c r="N242" i="260"/>
  <c r="BU81" i="260"/>
  <c r="BM59" i="260"/>
  <c r="BM478" i="260"/>
  <c r="J659" i="260"/>
  <c r="BQ684" i="260"/>
  <c r="BJ505" i="260"/>
  <c r="AQ338" i="260"/>
  <c r="BQ165" i="260"/>
  <c r="N59" i="260"/>
  <c r="R370" i="260"/>
  <c r="BU596" i="260"/>
  <c r="BM756" i="260"/>
  <c r="AN176" i="260"/>
  <c r="BQ443" i="260"/>
  <c r="AV56" i="260"/>
  <c r="BM615" i="260"/>
  <c r="AN518" i="260"/>
  <c r="AH319" i="260"/>
  <c r="Z289" i="260"/>
  <c r="AH518" i="260"/>
  <c r="BF75" i="260"/>
  <c r="BQ63" i="260"/>
  <c r="BM439" i="260"/>
  <c r="G256" i="260"/>
  <c r="N72" i="260"/>
  <c r="J645" i="260"/>
  <c r="AD647" i="260"/>
  <c r="AH699" i="260"/>
  <c r="AQ362" i="260"/>
  <c r="AD400" i="260"/>
  <c r="J86" i="260"/>
  <c r="AZ311" i="260"/>
  <c r="Z406" i="260"/>
  <c r="BJ758" i="260"/>
  <c r="N693" i="260"/>
  <c r="BQ638" i="260"/>
  <c r="AN146" i="260"/>
  <c r="BM543" i="260"/>
  <c r="BJ193" i="260"/>
  <c r="AD338" i="260"/>
  <c r="AZ142" i="260"/>
  <c r="BM152" i="260"/>
  <c r="G707" i="260"/>
  <c r="BJ551" i="260"/>
  <c r="AN144" i="260"/>
  <c r="G301" i="260"/>
  <c r="AN291" i="260"/>
  <c r="BM99" i="260"/>
  <c r="G533" i="260"/>
  <c r="AZ760" i="260"/>
  <c r="N524" i="260"/>
  <c r="N644" i="260"/>
  <c r="N366" i="260"/>
  <c r="AH435" i="260"/>
  <c r="BJ272" i="260"/>
  <c r="G627" i="260"/>
  <c r="G112" i="260"/>
  <c r="AZ169" i="260"/>
  <c r="BU358" i="260"/>
  <c r="BF184" i="260"/>
  <c r="BM726" i="260"/>
  <c r="Z605" i="260"/>
  <c r="BU735" i="260"/>
  <c r="J227" i="260"/>
  <c r="AN373" i="260"/>
  <c r="AD733" i="260"/>
  <c r="N99" i="260"/>
  <c r="AN203" i="260"/>
  <c r="N191" i="260"/>
  <c r="Z391" i="260"/>
  <c r="Z621" i="260"/>
  <c r="BM313" i="260"/>
  <c r="BU616" i="260"/>
  <c r="G331" i="260"/>
  <c r="BQ355" i="260"/>
  <c r="R230" i="260"/>
  <c r="AZ108" i="260"/>
  <c r="Z595" i="260"/>
  <c r="N250" i="260"/>
  <c r="AD202" i="260"/>
  <c r="AQ481" i="260"/>
  <c r="J772" i="260"/>
  <c r="AN723" i="260"/>
  <c r="AZ182" i="260"/>
  <c r="AQ396" i="260"/>
  <c r="BJ263" i="260"/>
  <c r="G527" i="260"/>
  <c r="BJ224" i="260"/>
  <c r="AD440" i="260"/>
  <c r="V686" i="260"/>
  <c r="AN594" i="260"/>
  <c r="BJ291" i="260"/>
  <c r="G548" i="260"/>
  <c r="R466" i="260"/>
  <c r="G289" i="260"/>
  <c r="N243" i="260"/>
  <c r="BM268" i="260"/>
  <c r="AV526" i="260"/>
  <c r="N192" i="260"/>
  <c r="V198" i="260"/>
  <c r="BQ407" i="260"/>
  <c r="AH415" i="260"/>
  <c r="AN562" i="260"/>
  <c r="AH345" i="260"/>
  <c r="V417" i="260"/>
  <c r="R720" i="260"/>
  <c r="AH281" i="260"/>
  <c r="N82" i="260"/>
  <c r="BF658" i="260"/>
  <c r="BM391" i="260"/>
  <c r="J121" i="260"/>
  <c r="AZ456" i="260"/>
  <c r="R343" i="260"/>
  <c r="N322" i="260"/>
  <c r="N680" i="260"/>
  <c r="AZ672" i="260"/>
  <c r="V381" i="260"/>
  <c r="AH706" i="260"/>
  <c r="AD321" i="260"/>
  <c r="BU120" i="260"/>
  <c r="AH728" i="260"/>
  <c r="BM771" i="260"/>
  <c r="AQ214" i="260"/>
  <c r="V746" i="260"/>
  <c r="BM532" i="260"/>
  <c r="AH358" i="260"/>
  <c r="AV355" i="260"/>
  <c r="AN645" i="260"/>
  <c r="BQ637" i="260"/>
  <c r="AH243" i="260"/>
  <c r="J343" i="260"/>
  <c r="N678" i="260"/>
  <c r="AD716" i="260"/>
  <c r="BJ425" i="260"/>
  <c r="AH100" i="260"/>
  <c r="AN96" i="260"/>
  <c r="AZ691" i="260"/>
  <c r="BQ569" i="260"/>
  <c r="BF194" i="260"/>
  <c r="BF440" i="260"/>
  <c r="AN459" i="260"/>
  <c r="AQ583" i="260"/>
  <c r="BJ465" i="260"/>
  <c r="Z135" i="260"/>
  <c r="AV131" i="260"/>
  <c r="Z753" i="260"/>
  <c r="G551" i="260"/>
  <c r="AN301" i="260"/>
  <c r="BQ415" i="260"/>
  <c r="BQ73" i="260"/>
  <c r="J217" i="260"/>
  <c r="AQ209" i="260"/>
  <c r="BQ734" i="260"/>
  <c r="G76" i="260"/>
  <c r="BM611" i="260"/>
  <c r="BU293" i="260"/>
  <c r="N453" i="260"/>
  <c r="AQ738" i="260"/>
  <c r="AV211" i="260"/>
  <c r="BF655" i="260"/>
  <c r="BU670" i="260"/>
  <c r="AZ161" i="260"/>
  <c r="G539" i="260"/>
  <c r="BQ396" i="260"/>
  <c r="V116" i="260"/>
  <c r="BU496" i="260"/>
  <c r="AD253" i="260"/>
  <c r="J651" i="260"/>
  <c r="BJ108" i="260"/>
  <c r="BJ531" i="260"/>
  <c r="AV194" i="260"/>
  <c r="BM594" i="260"/>
  <c r="BM436" i="260"/>
  <c r="AH78" i="260"/>
  <c r="BF743" i="260"/>
  <c r="AZ699" i="260"/>
  <c r="G761" i="260"/>
  <c r="AD59" i="260"/>
  <c r="BQ623" i="260"/>
  <c r="BJ158" i="260"/>
  <c r="AQ264" i="260"/>
  <c r="BQ226" i="260"/>
  <c r="AH117" i="260"/>
  <c r="J628" i="260"/>
  <c r="AV552" i="260"/>
  <c r="N683" i="260"/>
  <c r="R675" i="260"/>
  <c r="BJ497" i="260"/>
  <c r="BQ212" i="260"/>
  <c r="AV506" i="260"/>
  <c r="J396" i="260"/>
  <c r="BU688" i="260"/>
  <c r="BM565" i="260"/>
  <c r="BQ217" i="260"/>
  <c r="AN675" i="260"/>
  <c r="AH721" i="260"/>
  <c r="AD539" i="260"/>
  <c r="BF399" i="260"/>
  <c r="J753" i="260"/>
  <c r="R528" i="260"/>
  <c r="BQ762" i="260"/>
  <c r="AQ294" i="260"/>
  <c r="Z148" i="260"/>
  <c r="AZ715" i="260"/>
  <c r="R713" i="260"/>
  <c r="R674" i="260"/>
  <c r="N462" i="260"/>
  <c r="AZ327" i="260"/>
  <c r="BJ407" i="260"/>
  <c r="AN744" i="260"/>
  <c r="AH206" i="260"/>
  <c r="G153" i="260"/>
  <c r="AZ511" i="260"/>
  <c r="V403" i="260"/>
  <c r="AH463" i="260"/>
  <c r="R275" i="260"/>
  <c r="J666" i="260"/>
  <c r="BF200" i="260"/>
  <c r="BF567" i="260"/>
  <c r="AV122" i="260"/>
  <c r="BJ202" i="260"/>
  <c r="N105" i="260"/>
  <c r="Z99" i="260"/>
  <c r="AV435" i="260"/>
  <c r="G512" i="260"/>
  <c r="J282" i="260"/>
  <c r="AN484" i="260"/>
  <c r="AD692" i="260"/>
  <c r="BU438" i="260"/>
  <c r="Z485" i="260"/>
  <c r="BF742" i="260"/>
  <c r="Z276" i="260"/>
  <c r="V308" i="260"/>
  <c r="AV237" i="260"/>
  <c r="AD123" i="260"/>
  <c r="R515" i="260"/>
  <c r="AQ723" i="260"/>
  <c r="AH670" i="260"/>
  <c r="V60" i="260"/>
  <c r="Z773" i="260"/>
  <c r="AN64" i="260"/>
  <c r="N372" i="260"/>
  <c r="J702" i="260"/>
  <c r="AZ221" i="260"/>
  <c r="G477" i="260"/>
  <c r="AH83" i="260"/>
  <c r="BQ101" i="260"/>
  <c r="AZ406" i="260"/>
  <c r="Z448" i="260"/>
  <c r="R518" i="260"/>
  <c r="AD668" i="260"/>
  <c r="R231" i="260"/>
  <c r="BU303" i="260"/>
  <c r="BM323" i="260"/>
  <c r="BU566" i="260"/>
  <c r="J197" i="260"/>
  <c r="Z746" i="260"/>
  <c r="V556" i="260"/>
  <c r="R649" i="260"/>
  <c r="N547" i="260"/>
  <c r="G416" i="260"/>
  <c r="G291" i="260"/>
  <c r="BM759" i="260"/>
  <c r="AD528" i="260"/>
  <c r="Z159" i="260"/>
  <c r="V434" i="260"/>
  <c r="BQ332" i="260"/>
  <c r="BU255" i="260"/>
  <c r="V596" i="260"/>
  <c r="AH346" i="260"/>
  <c r="BU583" i="260"/>
  <c r="BJ601" i="260"/>
  <c r="BJ88" i="260"/>
  <c r="V143" i="260"/>
  <c r="N433" i="260"/>
  <c r="AN72" i="260"/>
  <c r="AZ692" i="260"/>
  <c r="V494" i="260"/>
  <c r="AN62" i="260"/>
  <c r="AV440" i="260"/>
  <c r="Z456" i="260"/>
  <c r="BM407" i="260"/>
  <c r="AN60" i="260"/>
  <c r="AD402" i="260"/>
  <c r="AQ436" i="260"/>
  <c r="BF162" i="260"/>
  <c r="AZ586" i="260"/>
  <c r="AH505" i="260"/>
  <c r="AV500" i="260"/>
  <c r="J415" i="260"/>
  <c r="AN408" i="260"/>
  <c r="BU362" i="260"/>
  <c r="AQ764" i="260"/>
  <c r="AZ195" i="260"/>
  <c r="BQ256" i="260"/>
  <c r="AN627" i="260"/>
  <c r="G175" i="260"/>
  <c r="BJ186" i="260"/>
  <c r="AQ349" i="260"/>
  <c r="Z180" i="260"/>
  <c r="BU581" i="260"/>
  <c r="AV464" i="260"/>
  <c r="AZ103" i="260"/>
  <c r="AH626" i="260"/>
  <c r="AH90" i="260"/>
  <c r="V318" i="260"/>
  <c r="BU378" i="260"/>
  <c r="AZ678" i="260"/>
  <c r="BF497" i="260"/>
  <c r="Z509" i="260"/>
  <c r="AN563" i="260"/>
  <c r="BQ93" i="260"/>
  <c r="AH266" i="260"/>
  <c r="J369" i="260"/>
  <c r="AH492" i="260"/>
  <c r="BQ755" i="260"/>
  <c r="BQ299" i="260"/>
  <c r="AZ659" i="260"/>
  <c r="AQ144" i="260"/>
  <c r="AZ640" i="260"/>
  <c r="R314" i="260"/>
  <c r="AN444" i="260"/>
  <c r="AH776" i="260"/>
  <c r="G585" i="260"/>
  <c r="AN494" i="260"/>
  <c r="Z467" i="260"/>
  <c r="BM435" i="260"/>
  <c r="AV344" i="260"/>
  <c r="BM245" i="260"/>
  <c r="AQ636" i="260"/>
  <c r="BQ633" i="260"/>
  <c r="AV353" i="260"/>
  <c r="AN511" i="260"/>
  <c r="AQ599" i="260"/>
  <c r="BM82" i="260"/>
  <c r="BM588" i="260"/>
  <c r="N119" i="260"/>
  <c r="AN326" i="260"/>
  <c r="BJ580" i="260"/>
  <c r="N83" i="260"/>
  <c r="BQ563" i="260"/>
  <c r="AD588" i="260"/>
  <c r="J257" i="260"/>
  <c r="AZ192" i="260"/>
  <c r="J288" i="260"/>
  <c r="BF580" i="260"/>
  <c r="AZ256" i="260"/>
  <c r="BU276" i="260"/>
  <c r="J738" i="260"/>
  <c r="AN460" i="260"/>
  <c r="BM613" i="260"/>
  <c r="AN691" i="260"/>
  <c r="BJ121" i="260"/>
  <c r="AQ713" i="260"/>
  <c r="AN568" i="260"/>
  <c r="BU506" i="260"/>
  <c r="BU516" i="260"/>
  <c r="Z173" i="260"/>
  <c r="AH439" i="260"/>
  <c r="G439" i="260"/>
  <c r="BU409" i="260"/>
  <c r="BF96" i="260"/>
  <c r="AZ509" i="260"/>
  <c r="AD346" i="260"/>
  <c r="N540" i="260"/>
  <c r="BU740" i="260"/>
  <c r="Z175" i="260"/>
  <c r="AD361" i="260"/>
  <c r="BU59" i="260"/>
  <c r="R645" i="260"/>
  <c r="AD720" i="260"/>
  <c r="AD759" i="260"/>
  <c r="BM57" i="260"/>
  <c r="AN588" i="260"/>
  <c r="J274" i="260"/>
  <c r="AQ101" i="260"/>
  <c r="Z56" i="260"/>
  <c r="AQ631" i="260"/>
  <c r="Z743" i="260"/>
  <c r="AN569" i="260"/>
  <c r="BQ83" i="260"/>
  <c r="BM143" i="260"/>
  <c r="Z93" i="260"/>
  <c r="AN648" i="260"/>
  <c r="AZ332" i="260"/>
  <c r="AN632" i="260"/>
  <c r="BJ560" i="260"/>
  <c r="V536" i="260"/>
  <c r="BJ646" i="260"/>
  <c r="BU481" i="260"/>
  <c r="G412" i="260"/>
  <c r="BU522" i="260"/>
  <c r="AQ623" i="260"/>
  <c r="BQ422" i="260"/>
  <c r="J308" i="260"/>
  <c r="AD453" i="260"/>
  <c r="R408" i="260"/>
  <c r="J466" i="260"/>
  <c r="BQ673" i="260"/>
  <c r="V574" i="260"/>
  <c r="BQ194" i="260"/>
  <c r="R560" i="260"/>
  <c r="BF763" i="260"/>
  <c r="R130" i="260"/>
  <c r="N699" i="260"/>
  <c r="BQ617" i="260"/>
  <c r="BF388" i="260"/>
  <c r="AZ321" i="260"/>
  <c r="AZ639" i="260"/>
  <c r="BU478" i="260"/>
  <c r="BU118" i="260"/>
  <c r="BF434" i="260"/>
  <c r="AQ515" i="260"/>
  <c r="AZ655" i="260"/>
  <c r="BQ235" i="260"/>
  <c r="AZ114" i="260"/>
  <c r="J570" i="260"/>
  <c r="N198" i="260"/>
  <c r="BJ673" i="260"/>
  <c r="Z400" i="260"/>
  <c r="BU662" i="260"/>
  <c r="Z543" i="260"/>
  <c r="G80" i="260"/>
  <c r="N308" i="260"/>
  <c r="BM109" i="260"/>
  <c r="AH767" i="260"/>
  <c r="AH181" i="260"/>
  <c r="G401" i="260"/>
  <c r="BQ724" i="260"/>
  <c r="G518" i="260"/>
  <c r="BU513" i="260"/>
  <c r="N232" i="260"/>
  <c r="BM135" i="260"/>
  <c r="V253" i="260"/>
  <c r="BM315" i="260"/>
  <c r="AQ553" i="260"/>
  <c r="BQ487" i="260"/>
  <c r="N451" i="260"/>
  <c r="V592" i="260"/>
  <c r="Z221" i="260"/>
  <c r="AQ248" i="260"/>
  <c r="J507" i="260"/>
  <c r="G517" i="260"/>
  <c r="BM350" i="260"/>
  <c r="AQ577" i="260"/>
  <c r="AH575" i="260"/>
  <c r="AZ231" i="260"/>
  <c r="AN501" i="260"/>
  <c r="J724" i="260"/>
  <c r="BJ685" i="260"/>
  <c r="Z394" i="260"/>
  <c r="R736" i="260"/>
  <c r="R719" i="260"/>
  <c r="BF627" i="260"/>
  <c r="AZ344" i="260"/>
  <c r="G340" i="260"/>
  <c r="BM358" i="260"/>
  <c r="AV467" i="260"/>
  <c r="AV565" i="260"/>
  <c r="V393" i="260"/>
  <c r="AQ91" i="260"/>
  <c r="AN253" i="260"/>
  <c r="AN400" i="260"/>
  <c r="G458" i="260"/>
  <c r="BM705" i="260"/>
  <c r="AD283" i="260"/>
  <c r="AV293" i="260"/>
  <c r="AQ584" i="260"/>
  <c r="V352" i="260"/>
  <c r="AH516" i="260"/>
  <c r="J111" i="260"/>
  <c r="BF287" i="260"/>
  <c r="AV173" i="260"/>
  <c r="G395" i="260"/>
  <c r="J683" i="260"/>
  <c r="AH641" i="260"/>
  <c r="AZ411" i="260"/>
  <c r="BF435" i="260"/>
  <c r="AH159" i="260"/>
  <c r="AV372" i="260"/>
  <c r="AQ706" i="260"/>
  <c r="N763" i="260"/>
  <c r="BU722" i="260"/>
  <c r="BF694" i="260"/>
  <c r="AV390" i="260"/>
  <c r="G694" i="260"/>
  <c r="AD669" i="260"/>
  <c r="Z602" i="260"/>
  <c r="V628" i="260"/>
  <c r="BF167" i="260"/>
  <c r="AZ745" i="260"/>
  <c r="BM127" i="260"/>
  <c r="BM666" i="260"/>
  <c r="J268" i="260"/>
  <c r="R768" i="260"/>
  <c r="V649" i="260"/>
  <c r="R572" i="260"/>
  <c r="N584" i="260"/>
  <c r="AN505" i="260"/>
  <c r="BF414" i="260"/>
  <c r="Z275" i="260"/>
  <c r="BQ462" i="260"/>
  <c r="Z177" i="260"/>
  <c r="AV356" i="260"/>
  <c r="BU361" i="260"/>
  <c r="AZ122" i="260"/>
  <c r="BJ644" i="260"/>
  <c r="N187" i="260"/>
  <c r="AD448" i="260"/>
  <c r="Z740" i="260"/>
  <c r="AV495" i="260"/>
  <c r="G247" i="260"/>
  <c r="Z199" i="260"/>
  <c r="R545" i="260"/>
  <c r="AZ546" i="260"/>
  <c r="AN376" i="260"/>
  <c r="AD107" i="260"/>
  <c r="AQ384" i="260"/>
  <c r="BJ484" i="260"/>
  <c r="G238" i="260"/>
  <c r="AD203" i="260"/>
  <c r="AN422" i="260"/>
  <c r="BJ417" i="260"/>
  <c r="BQ65" i="260"/>
  <c r="G71" i="260"/>
  <c r="N102" i="260"/>
  <c r="G72" i="260"/>
  <c r="J538" i="260"/>
  <c r="BU216" i="260"/>
  <c r="BQ74" i="260"/>
  <c r="J766" i="260"/>
  <c r="AD753" i="260"/>
  <c r="Z549" i="260"/>
  <c r="BF621" i="260"/>
  <c r="BF188" i="260"/>
  <c r="Z75" i="260"/>
  <c r="V702" i="260"/>
  <c r="R471" i="260"/>
  <c r="AH76" i="260"/>
  <c r="AD776" i="260"/>
  <c r="AZ131" i="260"/>
  <c r="BM514" i="260"/>
  <c r="BU116" i="260"/>
  <c r="N363" i="260"/>
  <c r="G463" i="260"/>
  <c r="BM158" i="260"/>
  <c r="Z143" i="260"/>
  <c r="N526" i="260"/>
  <c r="Z436" i="260"/>
  <c r="BM169" i="260"/>
  <c r="V349" i="260"/>
  <c r="V288" i="260"/>
  <c r="V526" i="260"/>
  <c r="AN423" i="260"/>
  <c r="BU256" i="260"/>
  <c r="AN759" i="260"/>
  <c r="AH265" i="260"/>
  <c r="AV213" i="260"/>
  <c r="AV278" i="260"/>
  <c r="BF735" i="260"/>
  <c r="BM585" i="260"/>
  <c r="AQ562" i="260"/>
  <c r="V327" i="260"/>
  <c r="AQ66" i="260"/>
  <c r="AD144" i="260"/>
  <c r="AV269" i="260"/>
  <c r="BQ720" i="260"/>
  <c r="AQ275" i="260"/>
  <c r="AZ420" i="260"/>
  <c r="AZ346" i="260"/>
  <c r="AV305" i="260"/>
  <c r="AQ111" i="260"/>
  <c r="BM130" i="260"/>
  <c r="BQ600" i="260"/>
  <c r="AZ650" i="260"/>
  <c r="AV655" i="260"/>
  <c r="AV773" i="260"/>
  <c r="AH436" i="260"/>
  <c r="Z431" i="260"/>
  <c r="R743" i="260"/>
  <c r="J440" i="260"/>
  <c r="R448" i="260"/>
  <c r="BF276" i="260"/>
  <c r="BM561" i="260"/>
  <c r="AQ321" i="260"/>
  <c r="V578" i="260"/>
  <c r="BQ257" i="260"/>
  <c r="AV684" i="260"/>
  <c r="AQ547" i="260"/>
  <c r="BF105" i="260"/>
  <c r="AV385" i="260"/>
  <c r="BM312" i="260"/>
  <c r="AV719" i="260"/>
  <c r="AQ607" i="260"/>
  <c r="Z174" i="260"/>
  <c r="BU168" i="260"/>
  <c r="AN258" i="260"/>
  <c r="AZ744" i="260"/>
  <c r="Z550" i="260"/>
  <c r="BQ663" i="260"/>
  <c r="Z673" i="260"/>
  <c r="BF245" i="260"/>
  <c r="AV125" i="260"/>
  <c r="BJ633" i="260"/>
  <c r="BU122" i="260"/>
  <c r="Z720" i="260"/>
  <c r="G696" i="260"/>
  <c r="BM458" i="260"/>
  <c r="BQ408" i="260"/>
  <c r="AQ756" i="260"/>
  <c r="AZ124" i="260"/>
  <c r="G628" i="260"/>
  <c r="BJ248" i="260"/>
  <c r="J206" i="260"/>
  <c r="BF328" i="260"/>
  <c r="AZ434" i="260"/>
  <c r="BQ567" i="260"/>
  <c r="Z642" i="260"/>
  <c r="AQ601" i="260"/>
  <c r="AV192" i="260"/>
  <c r="AZ330" i="260"/>
  <c r="AD341" i="260"/>
  <c r="BF109" i="260"/>
  <c r="R72" i="260"/>
  <c r="N605" i="260"/>
  <c r="V208" i="260"/>
  <c r="BM638" i="260"/>
  <c r="AV330" i="260"/>
  <c r="AQ276" i="260"/>
  <c r="AD95" i="260"/>
  <c r="N636" i="260"/>
  <c r="R166" i="260"/>
  <c r="AV195" i="260"/>
  <c r="BF705" i="260"/>
  <c r="AN640" i="260"/>
  <c r="BM603" i="260"/>
  <c r="BU338" i="260"/>
  <c r="BF489" i="260"/>
  <c r="R216" i="260"/>
  <c r="BJ488" i="260"/>
  <c r="AH624" i="260"/>
  <c r="AV470" i="260"/>
  <c r="G569" i="260"/>
  <c r="AN702" i="260"/>
  <c r="V520" i="260"/>
  <c r="AH490" i="260"/>
  <c r="BJ491" i="260"/>
  <c r="V240" i="260"/>
  <c r="AH541" i="260"/>
  <c r="BM290" i="260"/>
  <c r="BF240" i="260"/>
  <c r="J69" i="260"/>
  <c r="AQ525" i="260"/>
  <c r="R465" i="260"/>
  <c r="BF612" i="260"/>
  <c r="Z298" i="260"/>
  <c r="G488" i="260"/>
  <c r="R113" i="260"/>
  <c r="AV218" i="260"/>
  <c r="BQ418" i="260"/>
  <c r="AN324" i="260"/>
  <c r="R737" i="260"/>
  <c r="AV257" i="260"/>
  <c r="AD544" i="260"/>
  <c r="BQ635" i="260"/>
  <c r="BF300" i="260"/>
  <c r="AD625" i="260"/>
  <c r="BQ360" i="260"/>
  <c r="AD131" i="260"/>
  <c r="BM418" i="260"/>
  <c r="BJ201" i="260"/>
  <c r="AD551" i="260"/>
  <c r="BF608" i="260"/>
  <c r="N288" i="260"/>
  <c r="AH503" i="260"/>
  <c r="N93" i="260"/>
  <c r="AV316" i="260"/>
  <c r="BF640" i="260"/>
  <c r="BU772" i="260"/>
  <c r="N241" i="260"/>
  <c r="BQ224" i="260"/>
  <c r="BJ123" i="260"/>
  <c r="AV482" i="260"/>
  <c r="AV533" i="260"/>
  <c r="BM303" i="260"/>
  <c r="N340" i="260"/>
  <c r="AH464" i="260"/>
  <c r="AV494" i="260"/>
  <c r="BM368" i="260"/>
  <c r="G571" i="260"/>
  <c r="N231" i="260"/>
  <c r="BU306" i="260"/>
  <c r="R217" i="260"/>
  <c r="BU471" i="260"/>
  <c r="AD164" i="260"/>
  <c r="AN708" i="260"/>
  <c r="R376" i="260"/>
  <c r="BQ738" i="260"/>
  <c r="BJ276" i="260"/>
  <c r="Z302" i="260"/>
  <c r="R233" i="260"/>
  <c r="BU699" i="260"/>
  <c r="BJ346" i="260"/>
  <c r="BF499" i="260"/>
  <c r="BM144" i="260"/>
  <c r="AZ483" i="260"/>
  <c r="AZ217" i="260"/>
  <c r="N466" i="260"/>
  <c r="AZ226" i="260"/>
  <c r="Z450" i="260"/>
  <c r="AV294" i="260"/>
  <c r="BU708" i="260"/>
  <c r="BM142" i="260"/>
  <c r="R249" i="260"/>
  <c r="BJ588" i="260"/>
  <c r="BF351" i="260"/>
  <c r="AN296" i="260"/>
  <c r="N751" i="260"/>
  <c r="N635" i="260"/>
  <c r="BQ313" i="260"/>
  <c r="BJ697" i="260"/>
  <c r="AV636" i="260"/>
  <c r="AV108" i="260"/>
  <c r="V608" i="260"/>
  <c r="AQ541" i="260"/>
  <c r="BQ326" i="260"/>
  <c r="J364" i="260"/>
  <c r="BF409" i="260"/>
  <c r="BQ337" i="260"/>
  <c r="AV285" i="260"/>
  <c r="BU127" i="260"/>
  <c r="BM484" i="260"/>
  <c r="BF286" i="260"/>
  <c r="AH659" i="260"/>
  <c r="AV183" i="260"/>
  <c r="AN418" i="260"/>
  <c r="BJ352" i="260"/>
  <c r="J542" i="260"/>
  <c r="BF722" i="260"/>
  <c r="AN775" i="260"/>
  <c r="BU477" i="260"/>
  <c r="Z465" i="260"/>
  <c r="AN694" i="260"/>
  <c r="BF298" i="260"/>
  <c r="R577" i="260"/>
  <c r="BQ400" i="260"/>
  <c r="BM258" i="260"/>
  <c r="BF265" i="260"/>
  <c r="G534" i="260"/>
  <c r="BJ471" i="260"/>
  <c r="V159" i="260"/>
  <c r="G593" i="260"/>
  <c r="BM618" i="260"/>
  <c r="J709" i="260"/>
  <c r="AH115" i="260"/>
  <c r="AN437" i="260"/>
  <c r="G440" i="260"/>
  <c r="AQ456" i="260"/>
  <c r="AN111" i="260"/>
  <c r="BM261" i="260"/>
  <c r="AH427" i="260"/>
  <c r="BU107" i="260"/>
  <c r="BJ92" i="260"/>
  <c r="J443" i="260"/>
  <c r="AH620" i="260"/>
  <c r="G353" i="260"/>
  <c r="AN167" i="260"/>
  <c r="V581" i="260"/>
  <c r="Z591" i="260"/>
  <c r="AN372" i="260"/>
  <c r="J232" i="260"/>
  <c r="AN381" i="260"/>
  <c r="AV631" i="260"/>
  <c r="R546" i="260"/>
  <c r="AV97" i="260"/>
  <c r="N557" i="260"/>
  <c r="BM758" i="260"/>
  <c r="AN69" i="260"/>
  <c r="AV387" i="260"/>
  <c r="N213" i="260"/>
  <c r="R56" i="260"/>
  <c r="Z430" i="260"/>
  <c r="BJ332" i="260"/>
  <c r="N67" i="260"/>
  <c r="N667" i="260"/>
  <c r="BM443" i="260"/>
  <c r="BJ769" i="260"/>
  <c r="AV231" i="260"/>
  <c r="V219" i="260"/>
  <c r="G105" i="260"/>
  <c r="N170" i="260"/>
  <c r="BF278" i="260"/>
  <c r="G86" i="260"/>
  <c r="N63" i="260"/>
  <c r="AV736" i="260"/>
  <c r="AQ280" i="260"/>
  <c r="R576" i="260"/>
  <c r="N325" i="260"/>
  <c r="AN555" i="260"/>
  <c r="BQ115" i="260"/>
  <c r="N344" i="260"/>
  <c r="AD230" i="260"/>
  <c r="BJ190" i="260"/>
  <c r="AN646" i="260"/>
  <c r="AV189" i="260"/>
  <c r="R348" i="260"/>
  <c r="J448" i="260"/>
  <c r="AH687" i="260"/>
  <c r="BF275" i="260"/>
  <c r="V283" i="260"/>
  <c r="BF57" i="260"/>
  <c r="BM272" i="260"/>
  <c r="Z472" i="260"/>
  <c r="G383" i="260"/>
  <c r="G685" i="260"/>
  <c r="N459" i="260"/>
  <c r="BF677" i="260"/>
  <c r="BQ775" i="260"/>
  <c r="BU335" i="260"/>
  <c r="BU716" i="260"/>
  <c r="N545" i="260"/>
  <c r="G666" i="260"/>
  <c r="J112" i="260"/>
  <c r="AN578" i="260"/>
  <c r="AN184" i="260"/>
  <c r="AN668" i="260"/>
  <c r="R339" i="260"/>
  <c r="AZ521" i="260"/>
  <c r="AD484" i="260"/>
  <c r="AN193" i="260"/>
  <c r="BQ397" i="260"/>
  <c r="AV750" i="260"/>
  <c r="BU416" i="260"/>
  <c r="N230" i="260"/>
  <c r="BQ283" i="260"/>
  <c r="BJ421" i="260"/>
  <c r="BF108" i="260"/>
  <c r="BQ712" i="260"/>
  <c r="BF506" i="260"/>
  <c r="AZ105" i="260"/>
  <c r="G746" i="260"/>
  <c r="AD188" i="260"/>
  <c r="BM419" i="260"/>
  <c r="BF661" i="260"/>
  <c r="BF186" i="260"/>
  <c r="J574" i="260"/>
  <c r="AV714" i="260"/>
  <c r="AH131" i="260"/>
  <c r="AV301" i="260"/>
  <c r="BM249" i="260"/>
  <c r="N155" i="260"/>
  <c r="Z690" i="260"/>
  <c r="BQ702" i="260"/>
  <c r="AQ152" i="260"/>
  <c r="BF62" i="260"/>
  <c r="AN356" i="260"/>
  <c r="BF232" i="260"/>
  <c r="V174" i="260"/>
  <c r="V566" i="260"/>
  <c r="J475" i="260"/>
  <c r="R146" i="260"/>
  <c r="AV220" i="260"/>
  <c r="BF398" i="260"/>
  <c r="G119" i="260"/>
  <c r="G308" i="260"/>
  <c r="BM373" i="260"/>
  <c r="BM166" i="260"/>
  <c r="AQ112" i="260"/>
  <c r="Z343" i="260"/>
  <c r="BJ185" i="260"/>
  <c r="BM463" i="260"/>
  <c r="BQ510" i="260"/>
  <c r="AQ412" i="260"/>
  <c r="R371" i="260"/>
  <c r="BM188" i="260"/>
  <c r="G91" i="260"/>
  <c r="V682" i="260"/>
  <c r="J591" i="260"/>
  <c r="BM118" i="260"/>
  <c r="BU645" i="260"/>
  <c r="AQ464" i="260"/>
  <c r="BJ200" i="260"/>
  <c r="J188" i="260"/>
  <c r="AH611" i="260"/>
  <c r="G220" i="260"/>
  <c r="BU514" i="260"/>
  <c r="AD339" i="260"/>
  <c r="AV474" i="260"/>
  <c r="AN230" i="260"/>
  <c r="BM266" i="260"/>
  <c r="BM488" i="260"/>
  <c r="J430" i="260"/>
  <c r="AV489" i="260"/>
  <c r="AZ137" i="260"/>
  <c r="BJ648" i="260"/>
  <c r="BU577" i="260"/>
  <c r="AZ255" i="260"/>
  <c r="AQ777" i="260"/>
  <c r="N314" i="260"/>
  <c r="AN591" i="260"/>
  <c r="G542" i="260"/>
  <c r="BF231" i="260"/>
  <c r="N110" i="260"/>
  <c r="G775" i="260"/>
  <c r="AV688" i="260"/>
  <c r="AZ740" i="260"/>
  <c r="Z470" i="260"/>
  <c r="R445" i="260"/>
  <c r="AZ475" i="260"/>
  <c r="BQ576" i="260"/>
  <c r="J375" i="260"/>
  <c r="AN239" i="260"/>
  <c r="AQ519" i="260"/>
  <c r="BJ183" i="260"/>
  <c r="V195" i="260"/>
  <c r="BM260" i="260"/>
  <c r="BQ439" i="260"/>
  <c r="BJ548" i="260"/>
  <c r="AD657" i="260"/>
  <c r="AN467" i="260"/>
  <c r="AQ306" i="260"/>
  <c r="AD318" i="260"/>
  <c r="Z733" i="260"/>
  <c r="Z126" i="260"/>
  <c r="J660" i="260"/>
  <c r="BJ720" i="260"/>
  <c r="J190" i="260"/>
  <c r="V456" i="260"/>
  <c r="G450" i="260"/>
  <c r="AN202" i="260"/>
  <c r="G547" i="260"/>
  <c r="BM645" i="260"/>
  <c r="BF755" i="260"/>
  <c r="AV615" i="260"/>
  <c r="V769" i="260"/>
  <c r="R746" i="260"/>
  <c r="AV753" i="260"/>
  <c r="AH231" i="260"/>
  <c r="AV487" i="260"/>
  <c r="R748" i="260"/>
  <c r="J706" i="260"/>
  <c r="G737" i="260"/>
  <c r="BU193" i="260"/>
  <c r="R218" i="260"/>
  <c r="AD200" i="260"/>
  <c r="R477" i="260"/>
  <c r="Z599" i="260"/>
  <c r="AN534" i="260"/>
  <c r="R378" i="260"/>
  <c r="BU492" i="260"/>
  <c r="AQ239" i="260"/>
  <c r="R739" i="260"/>
  <c r="BF688" i="260"/>
  <c r="G248" i="260"/>
  <c r="G325" i="260"/>
  <c r="BU539" i="260"/>
  <c r="BQ292" i="260"/>
  <c r="G355" i="260"/>
  <c r="AZ285" i="260"/>
  <c r="BJ106" i="260"/>
  <c r="BU426" i="260"/>
  <c r="BM365" i="260"/>
  <c r="BU638" i="260"/>
  <c r="J233" i="260"/>
  <c r="BJ426" i="260"/>
  <c r="J322" i="260"/>
  <c r="AZ707" i="260"/>
  <c r="BJ574" i="260"/>
  <c r="Z457" i="260"/>
  <c r="BM552" i="260"/>
  <c r="BQ750" i="260"/>
  <c r="J253" i="260"/>
  <c r="G762" i="260"/>
  <c r="BJ561" i="260"/>
  <c r="BM748" i="260"/>
  <c r="BQ488" i="260"/>
  <c r="AQ763" i="260"/>
  <c r="BF512" i="260"/>
  <c r="V212" i="260"/>
  <c r="G742" i="260"/>
  <c r="Z220" i="260"/>
  <c r="BF248" i="260"/>
  <c r="J558" i="260"/>
  <c r="BM325" i="260"/>
  <c r="AZ677" i="260"/>
  <c r="R616" i="260"/>
  <c r="AQ303" i="260"/>
  <c r="BQ353" i="260"/>
  <c r="V218" i="260"/>
  <c r="J213" i="260"/>
  <c r="AZ644" i="260"/>
  <c r="BM405" i="260"/>
  <c r="G101" i="260"/>
  <c r="N341" i="260"/>
  <c r="AZ288" i="260"/>
  <c r="AV214" i="260"/>
  <c r="BM295" i="260"/>
  <c r="AH755" i="260"/>
  <c r="Z598" i="260"/>
  <c r="Z708" i="260"/>
  <c r="AZ743" i="260"/>
  <c r="J176" i="260"/>
  <c r="AZ413" i="260"/>
  <c r="BF484" i="260"/>
  <c r="AZ726" i="260"/>
  <c r="BM300" i="260"/>
  <c r="BJ236" i="260"/>
  <c r="AV331" i="260"/>
  <c r="AD194" i="260"/>
  <c r="AV243" i="260"/>
  <c r="BM774" i="260"/>
  <c r="G230" i="260"/>
  <c r="AZ126" i="260"/>
  <c r="R608" i="260"/>
  <c r="G92" i="260"/>
  <c r="AN170" i="260"/>
  <c r="V599" i="260"/>
  <c r="N197" i="260"/>
  <c r="AQ753" i="260"/>
  <c r="J203" i="260"/>
  <c r="AV94" i="260"/>
  <c r="BJ578" i="260"/>
  <c r="BJ597" i="260"/>
  <c r="AD342" i="260"/>
  <c r="Z278" i="260"/>
  <c r="AN628" i="260"/>
  <c r="BQ685" i="260"/>
  <c r="J199" i="260"/>
  <c r="G70" i="260"/>
  <c r="AD364" i="260"/>
  <c r="BM170" i="260"/>
  <c r="AH338" i="260"/>
  <c r="BU295" i="260"/>
  <c r="G303" i="260"/>
  <c r="AQ735" i="260"/>
  <c r="BQ526" i="260"/>
  <c r="AQ767" i="260"/>
  <c r="BJ530" i="260"/>
  <c r="AZ117" i="260"/>
  <c r="N659" i="260"/>
  <c r="BM240" i="260"/>
  <c r="AD56" i="260"/>
  <c r="J525" i="260"/>
  <c r="Z344" i="260"/>
  <c r="N256" i="260"/>
  <c r="BQ91" i="260"/>
  <c r="BU67" i="260"/>
  <c r="BM71" i="260"/>
  <c r="BQ716" i="260"/>
  <c r="N698" i="260"/>
  <c r="Z340" i="260"/>
  <c r="BU695" i="260"/>
  <c r="AD709" i="260"/>
  <c r="V741" i="260"/>
  <c r="BJ405" i="260"/>
  <c r="AZ452" i="260"/>
  <c r="BU534" i="260"/>
  <c r="BJ221" i="260"/>
  <c r="AD81" i="260"/>
  <c r="BQ280" i="260"/>
  <c r="G183" i="260"/>
  <c r="Z466" i="260"/>
  <c r="AV637" i="260"/>
  <c r="AZ459" i="260"/>
  <c r="BU692" i="260"/>
  <c r="N601" i="260"/>
  <c r="BU560" i="260"/>
  <c r="BQ341" i="260"/>
  <c r="AV367" i="260"/>
  <c r="BF422" i="260"/>
  <c r="AH608" i="260"/>
  <c r="Z124" i="260"/>
  <c r="Z169" i="260"/>
  <c r="AD443" i="260"/>
  <c r="R256" i="260"/>
  <c r="AZ149" i="260"/>
  <c r="AQ451" i="260"/>
  <c r="AV649" i="260"/>
  <c r="BM275" i="260"/>
  <c r="Z651" i="260"/>
  <c r="V162" i="260"/>
  <c r="BF103" i="260"/>
  <c r="AV740" i="260"/>
  <c r="AD564" i="260"/>
  <c r="BJ576" i="260"/>
  <c r="AZ163" i="260"/>
  <c r="V558" i="260"/>
  <c r="N437" i="260"/>
  <c r="N151" i="260"/>
  <c r="BF363" i="260"/>
  <c r="N675" i="260"/>
  <c r="R547" i="260"/>
  <c r="R635" i="260"/>
  <c r="AV184" i="260"/>
  <c r="BQ452" i="260"/>
  <c r="AQ611" i="260"/>
  <c r="AV728" i="260"/>
  <c r="AN392" i="260"/>
  <c r="Z272" i="260"/>
  <c r="BJ623" i="260"/>
  <c r="BU311" i="260"/>
  <c r="BM64" i="260"/>
  <c r="J605" i="260"/>
  <c r="AZ545" i="260"/>
  <c r="AD652" i="260"/>
  <c r="BF207" i="260"/>
  <c r="BU185" i="260"/>
  <c r="J696" i="260"/>
  <c r="R650" i="260"/>
  <c r="BM683" i="260"/>
  <c r="AQ223" i="260"/>
  <c r="R734" i="260"/>
  <c r="BM93" i="260"/>
  <c r="N432" i="260"/>
  <c r="AD477" i="260"/>
  <c r="BF686" i="260"/>
  <c r="BM495" i="260"/>
  <c r="N761" i="260"/>
  <c r="BM636" i="260"/>
  <c r="AN255" i="260"/>
  <c r="BJ519" i="260"/>
  <c r="G188" i="260"/>
  <c r="BF449" i="260"/>
  <c r="AN350" i="260"/>
  <c r="BM395" i="260"/>
  <c r="AD130" i="260"/>
  <c r="AV381" i="260"/>
  <c r="R161" i="260"/>
  <c r="BU184" i="260"/>
  <c r="BJ534" i="260"/>
  <c r="J452" i="260"/>
  <c r="R586" i="260"/>
  <c r="BJ99" i="260"/>
  <c r="AV146" i="260"/>
  <c r="AZ306" i="260"/>
  <c r="AV105" i="260"/>
  <c r="BF408" i="260"/>
  <c r="BF411" i="260"/>
  <c r="G582" i="260"/>
  <c r="AD721" i="260"/>
  <c r="AD157" i="260"/>
  <c r="AH363" i="260"/>
  <c r="AV721" i="260"/>
  <c r="BF720" i="260"/>
  <c r="AH176" i="260"/>
  <c r="Z637" i="260"/>
  <c r="BF750" i="260"/>
  <c r="R709" i="260"/>
  <c r="N655" i="260"/>
  <c r="G549" i="260"/>
  <c r="Z523" i="260"/>
  <c r="V192" i="260"/>
  <c r="AH634" i="260"/>
  <c r="AZ147" i="260"/>
  <c r="BF548" i="260"/>
  <c r="AQ492" i="260"/>
  <c r="BF591" i="260"/>
  <c r="AD149" i="260"/>
  <c r="AH530" i="260"/>
  <c r="BJ494" i="260"/>
  <c r="AQ166" i="260"/>
  <c r="AV610" i="260"/>
  <c r="J181" i="260"/>
  <c r="V533" i="260"/>
  <c r="AD153" i="260"/>
  <c r="BQ366" i="260"/>
  <c r="BF770" i="260"/>
  <c r="N222" i="260"/>
  <c r="Z273" i="260"/>
  <c r="N611" i="260"/>
  <c r="BM105" i="260"/>
  <c r="BU274" i="260"/>
  <c r="AV433" i="260"/>
  <c r="BJ627" i="260"/>
  <c r="BJ293" i="260"/>
  <c r="AN521" i="260"/>
  <c r="R590" i="260"/>
  <c r="AH261" i="260"/>
  <c r="AQ561" i="260"/>
  <c r="AQ589" i="260"/>
  <c r="Z576" i="260"/>
  <c r="AQ357" i="260"/>
  <c r="Z668" i="260"/>
  <c r="BF88" i="260"/>
  <c r="AD425" i="260"/>
  <c r="V548" i="260"/>
  <c r="BQ534" i="260"/>
  <c r="AZ766" i="260"/>
  <c r="G339" i="260"/>
  <c r="AV708" i="260"/>
  <c r="G242" i="260"/>
  <c r="AH720" i="260"/>
  <c r="Z395" i="260"/>
  <c r="J120" i="260"/>
  <c r="AD100" i="260"/>
  <c r="AD693" i="260"/>
  <c r="AH94" i="260"/>
  <c r="BM571" i="260"/>
  <c r="AN520" i="260"/>
  <c r="AD292" i="260"/>
  <c r="BU227" i="260"/>
  <c r="AH362" i="260"/>
  <c r="BM753" i="260"/>
  <c r="R776" i="260"/>
  <c r="BJ146" i="260"/>
  <c r="J194" i="260"/>
  <c r="BF181" i="260"/>
  <c r="V675" i="260"/>
  <c r="AV667" i="260"/>
  <c r="AV359" i="260"/>
  <c r="AH84" i="260"/>
  <c r="AN81" i="260"/>
  <c r="J380" i="260"/>
  <c r="BF557" i="260"/>
  <c r="BQ558" i="260"/>
  <c r="V547" i="260"/>
  <c r="AQ411" i="260"/>
  <c r="AQ390" i="260"/>
  <c r="AD471" i="260"/>
  <c r="G249" i="260"/>
  <c r="AN142" i="260"/>
  <c r="AZ264" i="260"/>
  <c r="G178" i="260"/>
  <c r="BJ511" i="260"/>
  <c r="J374" i="260"/>
  <c r="AN313" i="260"/>
  <c r="J496" i="260"/>
  <c r="AN680" i="260"/>
  <c r="AQ486" i="260"/>
  <c r="J675" i="260"/>
  <c r="R385" i="260"/>
  <c r="Z669" i="260"/>
  <c r="BF617" i="260"/>
  <c r="BJ398" i="260"/>
  <c r="AD609" i="260"/>
  <c r="AN343" i="260"/>
  <c r="Z460" i="260"/>
  <c r="BQ495" i="260"/>
  <c r="N671" i="260"/>
  <c r="AN409" i="260"/>
  <c r="R601" i="260"/>
  <c r="AV672" i="260"/>
  <c r="AD739" i="260"/>
  <c r="AN128" i="260"/>
  <c r="J186" i="260"/>
  <c r="G673" i="260"/>
  <c r="BF521" i="260"/>
  <c r="Z95" i="260"/>
  <c r="BQ127" i="260"/>
  <c r="AN382" i="260"/>
  <c r="AZ305" i="260"/>
  <c r="R747" i="260"/>
  <c r="BJ217" i="260"/>
  <c r="N730" i="260"/>
  <c r="BU668" i="260"/>
  <c r="R96" i="260"/>
  <c r="R502" i="260"/>
  <c r="AN235" i="260"/>
  <c r="BJ347" i="260"/>
  <c r="AH506" i="260"/>
  <c r="AH222" i="260"/>
  <c r="BM605" i="260"/>
  <c r="BQ656" i="260"/>
  <c r="N518" i="260"/>
  <c r="AV735" i="260"/>
  <c r="Z473" i="260"/>
  <c r="AQ608" i="260"/>
  <c r="AN666" i="260"/>
  <c r="N212" i="260"/>
  <c r="AV485" i="260"/>
  <c r="G618" i="260"/>
  <c r="AH110" i="260"/>
  <c r="AH470" i="260"/>
  <c r="AZ536" i="260"/>
  <c r="BJ626" i="260"/>
  <c r="BJ306" i="260"/>
  <c r="BU498" i="260"/>
  <c r="Z439" i="260"/>
  <c r="J740" i="260"/>
  <c r="V467" i="260"/>
  <c r="N69" i="260"/>
  <c r="BF756" i="260"/>
  <c r="N492" i="260"/>
  <c r="BF182" i="260"/>
  <c r="BM574" i="260"/>
  <c r="AV538" i="260"/>
  <c r="AV135" i="260"/>
  <c r="AD281" i="260"/>
  <c r="AZ62" i="260"/>
  <c r="AH493" i="260"/>
  <c r="R170" i="260"/>
  <c r="AV78" i="260"/>
  <c r="BU282" i="260"/>
  <c r="G137" i="260"/>
  <c r="R689" i="260"/>
  <c r="R430" i="260"/>
  <c r="BM134" i="260"/>
  <c r="AQ771" i="260"/>
  <c r="Z116" i="260"/>
  <c r="AN177" i="260"/>
  <c r="Z141" i="260"/>
  <c r="BU208" i="260"/>
  <c r="N463" i="260"/>
  <c r="AD492" i="260"/>
  <c r="BF64" i="260"/>
  <c r="R347" i="260"/>
  <c r="Z546" i="260"/>
  <c r="J414" i="260"/>
  <c r="AN68" i="260"/>
  <c r="BM560" i="260"/>
  <c r="AN286" i="260"/>
  <c r="BJ748" i="260"/>
  <c r="AQ347" i="260"/>
  <c r="V651" i="260"/>
  <c r="AQ673" i="260"/>
  <c r="BJ710" i="260"/>
  <c r="AD498" i="260"/>
  <c r="AZ196" i="260"/>
  <c r="BF747" i="260"/>
  <c r="R153" i="260"/>
  <c r="AD394" i="260"/>
  <c r="AQ142" i="260"/>
  <c r="BU760" i="260"/>
  <c r="AV468" i="260"/>
  <c r="AH113" i="260"/>
  <c r="V368" i="260"/>
  <c r="G139" i="260"/>
  <c r="J752" i="260"/>
  <c r="AQ345" i="260"/>
  <c r="AZ287" i="260"/>
  <c r="J563" i="260"/>
  <c r="BM703" i="260"/>
  <c r="R391" i="260"/>
  <c r="R358" i="260"/>
  <c r="BU323" i="260"/>
  <c r="Z111" i="260"/>
  <c r="J777" i="260"/>
  <c r="BJ640" i="260"/>
  <c r="G333" i="260"/>
  <c r="R639" i="260"/>
  <c r="BJ634" i="260"/>
  <c r="AQ721" i="260"/>
  <c r="AZ614" i="260"/>
  <c r="G526" i="260"/>
  <c r="AN620" i="260"/>
  <c r="J671" i="260"/>
  <c r="AQ427" i="260"/>
  <c r="AZ232" i="260"/>
  <c r="AV261" i="260"/>
  <c r="AD209" i="260"/>
  <c r="R178" i="260"/>
  <c r="BQ295" i="260"/>
  <c r="BQ69" i="260"/>
  <c r="Z752" i="260"/>
  <c r="V528" i="260"/>
  <c r="AD485" i="260"/>
  <c r="AD706" i="260"/>
  <c r="BQ291" i="260"/>
  <c r="BM293" i="260"/>
  <c r="BJ677" i="260"/>
  <c r="BQ434" i="260"/>
  <c r="BU186" i="260"/>
  <c r="AQ331" i="260"/>
  <c r="N177" i="260"/>
  <c r="BF198" i="260"/>
  <c r="AZ223" i="260"/>
  <c r="V260" i="260"/>
  <c r="BM208" i="260"/>
  <c r="BF357" i="260"/>
  <c r="BU482" i="260"/>
  <c r="V180" i="260"/>
  <c r="V605" i="260"/>
  <c r="AZ245" i="260"/>
  <c r="V302" i="260"/>
  <c r="N509" i="260"/>
  <c r="AH472" i="260"/>
  <c r="BF471" i="260"/>
  <c r="N746" i="260"/>
  <c r="Z560" i="260"/>
  <c r="AN476" i="260"/>
  <c r="BM596" i="260"/>
  <c r="AH300" i="260"/>
  <c r="N485" i="260"/>
  <c r="J626" i="260"/>
  <c r="N98" i="260"/>
  <c r="AZ273" i="260"/>
  <c r="N632" i="260"/>
  <c r="N747" i="260"/>
  <c r="BJ124" i="260"/>
  <c r="BJ752" i="260"/>
  <c r="BJ668" i="260"/>
  <c r="AN288" i="260"/>
  <c r="AN777" i="260"/>
  <c r="R87" i="260"/>
  <c r="AH682" i="260"/>
  <c r="V366" i="260"/>
  <c r="AV165" i="260"/>
  <c r="AH139" i="260"/>
  <c r="AQ353" i="260"/>
  <c r="N261" i="260"/>
  <c r="AZ282" i="260"/>
  <c r="BF267" i="260"/>
  <c r="AH406" i="260"/>
  <c r="AH260" i="260"/>
  <c r="BU493" i="260"/>
  <c r="AN699" i="260"/>
  <c r="R176" i="260"/>
  <c r="AH664" i="260"/>
  <c r="AH210" i="260"/>
  <c r="AZ424" i="260"/>
  <c r="BJ449" i="260"/>
  <c r="AQ653" i="260"/>
  <c r="BM696" i="260"/>
  <c r="AH487" i="260"/>
  <c r="Z117" i="260"/>
  <c r="BJ388" i="260"/>
  <c r="AQ550" i="260"/>
  <c r="AN473" i="260"/>
  <c r="V594" i="260"/>
  <c r="BQ459" i="260"/>
  <c r="AV726" i="260"/>
  <c r="AN252" i="260"/>
  <c r="BU618" i="260"/>
  <c r="BQ175" i="260"/>
  <c r="AD185" i="260"/>
  <c r="AH359" i="260"/>
  <c r="BU461" i="260"/>
  <c r="V170" i="260"/>
  <c r="BU370" i="260"/>
  <c r="AZ377" i="260"/>
  <c r="V199" i="260"/>
  <c r="G452" i="260"/>
  <c r="BQ363" i="260"/>
  <c r="BF673" i="260"/>
  <c r="BU350" i="260"/>
  <c r="AH690" i="260"/>
  <c r="V205" i="260"/>
  <c r="BU157" i="260"/>
  <c r="AZ489" i="260"/>
  <c r="AD455" i="260"/>
  <c r="V439" i="260"/>
  <c r="AQ137" i="260"/>
  <c r="BU410" i="260"/>
  <c r="AN432" i="260"/>
  <c r="BQ333" i="260"/>
  <c r="AZ81" i="260"/>
  <c r="R316" i="260"/>
  <c r="BJ432" i="260"/>
  <c r="BM84" i="260"/>
  <c r="G438" i="260"/>
  <c r="Z526" i="260"/>
  <c r="BF652" i="260"/>
  <c r="AD320" i="260"/>
  <c r="BQ777" i="260"/>
  <c r="BF650" i="260"/>
  <c r="AQ388" i="260"/>
  <c r="BU569" i="260"/>
  <c r="BJ628" i="260"/>
  <c r="AZ242" i="260"/>
  <c r="J747" i="260"/>
  <c r="Z194" i="260"/>
  <c r="J585" i="260"/>
  <c r="R421" i="260"/>
  <c r="V612" i="260"/>
  <c r="AH559" i="260"/>
  <c r="BU545" i="260"/>
  <c r="V532" i="260"/>
  <c r="AV434" i="260"/>
  <c r="G193" i="260"/>
  <c r="G461" i="260"/>
  <c r="BU719" i="260"/>
  <c r="G606" i="260"/>
  <c r="V447" i="260"/>
  <c r="AZ376" i="260"/>
  <c r="AV317" i="260"/>
  <c r="BF130" i="260"/>
  <c r="J373" i="260"/>
  <c r="BJ210" i="260"/>
  <c r="BJ341" i="260"/>
  <c r="AD409" i="260"/>
  <c r="BQ371" i="260"/>
  <c r="AQ421" i="260"/>
  <c r="R501" i="260"/>
  <c r="BQ565" i="260"/>
  <c r="BM331" i="260"/>
  <c r="AV696" i="260"/>
  <c r="BM209" i="260"/>
  <c r="AN462" i="260"/>
  <c r="V519" i="260"/>
  <c r="BU91" i="260"/>
  <c r="G469" i="260"/>
  <c r="BQ515" i="260"/>
  <c r="BF340" i="260"/>
  <c r="AV585" i="260"/>
  <c r="AN196" i="260"/>
  <c r="BF657" i="260"/>
  <c r="BU139" i="260"/>
  <c r="AD324" i="260"/>
  <c r="Z453" i="260"/>
  <c r="BJ209" i="260"/>
  <c r="AV98" i="260"/>
  <c r="BQ484" i="260"/>
  <c r="AN625" i="260"/>
  <c r="AD147" i="260"/>
  <c r="AQ292" i="260"/>
  <c r="AH625" i="260"/>
  <c r="Z756" i="260"/>
  <c r="AV417" i="260"/>
  <c r="J501" i="260"/>
  <c r="J576" i="260"/>
  <c r="AD524" i="260"/>
  <c r="BM340" i="260"/>
  <c r="AV465" i="260"/>
  <c r="R238" i="260"/>
  <c r="BU268" i="260"/>
  <c r="V293" i="260"/>
  <c r="G300" i="260"/>
  <c r="N194" i="260"/>
  <c r="AQ256" i="260"/>
  <c r="AV518" i="260"/>
  <c r="BJ735" i="260"/>
  <c r="V660" i="260"/>
  <c r="BM448" i="260"/>
  <c r="AD507" i="260"/>
  <c r="J499" i="260"/>
  <c r="BU364" i="260"/>
  <c r="J184" i="260"/>
  <c r="N183" i="260"/>
  <c r="Z144" i="260"/>
  <c r="Z557" i="260"/>
  <c r="AV483" i="260"/>
  <c r="V623" i="260"/>
  <c r="BJ211" i="260"/>
  <c r="AD566" i="260"/>
  <c r="AH623" i="260"/>
  <c r="Z535" i="260"/>
  <c r="J151" i="260"/>
  <c r="AN458" i="260"/>
  <c r="N182" i="260"/>
  <c r="AV544" i="260"/>
  <c r="BF201" i="260"/>
  <c r="BU627" i="260"/>
  <c r="BF760" i="260"/>
  <c r="BU243" i="260"/>
  <c r="G77" i="260"/>
  <c r="AH58" i="260"/>
  <c r="AZ165" i="260"/>
  <c r="J65" i="260"/>
  <c r="AQ414" i="260"/>
  <c r="AH73" i="260"/>
  <c r="AV395" i="260"/>
  <c r="AQ75" i="260"/>
  <c r="AZ65" i="260"/>
  <c r="AD574" i="260"/>
  <c r="V719" i="260"/>
  <c r="AN447" i="260"/>
  <c r="BM635" i="260"/>
  <c r="BJ772" i="260"/>
  <c r="R65" i="260"/>
  <c r="BQ251" i="260"/>
  <c r="J210" i="260"/>
  <c r="V340" i="260"/>
  <c r="R325" i="260"/>
  <c r="Z277" i="260"/>
  <c r="BM486" i="260"/>
  <c r="BM534" i="260"/>
  <c r="Z703" i="260"/>
  <c r="AD558" i="260"/>
  <c r="AZ577" i="260"/>
  <c r="R211" i="260"/>
  <c r="BM627" i="260"/>
  <c r="AQ558" i="260"/>
  <c r="AD752" i="260"/>
  <c r="BJ492" i="260"/>
  <c r="N396" i="260"/>
  <c r="BJ309" i="260"/>
  <c r="Z561" i="260"/>
  <c r="AH223" i="260"/>
  <c r="J437" i="260"/>
  <c r="AZ724" i="260"/>
  <c r="AZ757" i="260"/>
  <c r="AD201" i="260"/>
  <c r="BU541" i="260"/>
  <c r="AH318" i="260"/>
  <c r="N233" i="260"/>
  <c r="J393" i="260"/>
  <c r="V184" i="260"/>
  <c r="AD84" i="260"/>
  <c r="AQ650" i="260"/>
  <c r="AV103" i="260"/>
  <c r="BM694" i="260"/>
  <c r="G241" i="260"/>
  <c r="BQ135" i="260"/>
  <c r="AQ115" i="260"/>
  <c r="BM220" i="260"/>
  <c r="BJ650" i="260"/>
  <c r="Z419" i="260"/>
  <c r="AV443" i="260"/>
  <c r="AH414" i="260"/>
  <c r="AQ666" i="260"/>
  <c r="N161" i="260"/>
  <c r="N382" i="260"/>
  <c r="R95" i="260"/>
  <c r="G723" i="260"/>
  <c r="AQ472" i="260"/>
  <c r="V161" i="260"/>
  <c r="G706" i="260"/>
  <c r="AQ656" i="260"/>
  <c r="J722" i="260"/>
  <c r="AQ566" i="260"/>
  <c r="AZ92" i="260"/>
  <c r="V687" i="260"/>
  <c r="G550" i="260"/>
  <c r="BF123" i="260"/>
  <c r="AD328" i="260"/>
  <c r="AZ558" i="260"/>
  <c r="BM417" i="260"/>
  <c r="R681" i="260"/>
  <c r="J103" i="260"/>
  <c r="AN485" i="260"/>
  <c r="AZ474" i="260"/>
  <c r="J602" i="260"/>
  <c r="AQ591" i="260"/>
  <c r="R705" i="260"/>
  <c r="R707" i="260"/>
  <c r="R642" i="260"/>
  <c r="J627" i="260"/>
  <c r="J251" i="260"/>
  <c r="BJ545" i="260"/>
  <c r="Z106" i="260"/>
  <c r="BM223" i="260"/>
  <c r="R519" i="260"/>
  <c r="J243" i="260"/>
  <c r="AH341" i="260"/>
  <c r="AZ633" i="260"/>
  <c r="AH327" i="260"/>
  <c r="BQ410" i="260"/>
  <c r="G163" i="260"/>
  <c r="BF192" i="260"/>
  <c r="V426" i="260"/>
  <c r="AH97" i="260"/>
  <c r="AQ315" i="260"/>
  <c r="BQ383" i="260"/>
  <c r="N764" i="260"/>
  <c r="BU459" i="260"/>
  <c r="AN227" i="260"/>
  <c r="AD745" i="260"/>
  <c r="AD217" i="260"/>
  <c r="R369" i="260"/>
  <c r="V376" i="260"/>
  <c r="V391" i="260"/>
  <c r="Z377" i="260"/>
  <c r="AD274" i="260"/>
  <c r="AH398" i="260"/>
  <c r="G717" i="260"/>
  <c r="BF120" i="260"/>
  <c r="R431" i="260"/>
  <c r="R581" i="260"/>
  <c r="BM755" i="260"/>
  <c r="BJ431" i="260"/>
  <c r="N438" i="260"/>
  <c r="G611" i="260"/>
  <c r="AV466" i="260"/>
  <c r="Z776" i="260"/>
  <c r="R321" i="260"/>
  <c r="G311" i="260"/>
  <c r="AN197" i="260"/>
  <c r="BF241" i="260"/>
  <c r="AD778" i="260"/>
  <c r="AV668" i="260"/>
  <c r="V313" i="260"/>
  <c r="R457" i="260"/>
  <c r="BU715" i="260"/>
  <c r="BQ721" i="260"/>
  <c r="AH302" i="260"/>
  <c r="AZ641" i="260"/>
  <c r="G180" i="260"/>
  <c r="G445" i="260"/>
  <c r="G642" i="260"/>
  <c r="BJ284" i="260"/>
  <c r="AZ97" i="260"/>
  <c r="AQ330" i="260"/>
  <c r="BJ338" i="260"/>
  <c r="V266" i="260"/>
  <c r="R159" i="260"/>
  <c r="BM288" i="260"/>
  <c r="AD256" i="260"/>
  <c r="BU643" i="260"/>
  <c r="AZ539" i="260"/>
  <c r="BJ215" i="260"/>
  <c r="J333" i="260"/>
  <c r="N400" i="260"/>
  <c r="N523" i="260"/>
  <c r="AV336" i="260"/>
  <c r="AH219" i="260"/>
  <c r="AH175" i="260"/>
  <c r="AV612" i="260"/>
  <c r="AN657" i="260"/>
  <c r="BU367" i="260"/>
  <c r="BM632" i="260"/>
  <c r="AD546" i="260"/>
  <c r="BM176" i="260"/>
  <c r="BU707" i="260"/>
  <c r="AQ277" i="260"/>
  <c r="BF450" i="260"/>
  <c r="AZ312" i="260"/>
  <c r="AN438" i="260"/>
  <c r="R580" i="260"/>
  <c r="AV363" i="260"/>
  <c r="R557" i="260"/>
  <c r="BF66" i="260"/>
  <c r="AQ364" i="260"/>
  <c r="BU297" i="260"/>
  <c r="AV693" i="260"/>
  <c r="V567" i="260"/>
  <c r="AD702" i="260"/>
  <c r="V197" i="260"/>
  <c r="BM326" i="260"/>
  <c r="N141" i="260"/>
  <c r="BU317" i="260"/>
  <c r="AH202" i="260"/>
  <c r="N687" i="260"/>
  <c r="J758" i="260"/>
  <c r="AV594" i="260"/>
  <c r="Z588" i="260"/>
  <c r="G110" i="260"/>
  <c r="AD737" i="260"/>
  <c r="AZ560" i="260"/>
  <c r="N505" i="260"/>
  <c r="G749" i="260"/>
  <c r="N475" i="260"/>
  <c r="AQ557" i="260"/>
  <c r="AN478" i="260"/>
  <c r="AQ258" i="260"/>
  <c r="AV265" i="260"/>
  <c r="J266" i="260"/>
  <c r="G376" i="260"/>
  <c r="AV690" i="260"/>
  <c r="BQ311" i="260"/>
  <c r="BJ615" i="260"/>
  <c r="BJ234" i="260"/>
  <c r="R208" i="260"/>
  <c r="G78" i="260"/>
  <c r="BU508" i="260"/>
  <c r="BM338" i="260"/>
  <c r="AQ177" i="260"/>
  <c r="BQ193" i="260"/>
  <c r="G741" i="260"/>
  <c r="BJ86" i="260"/>
  <c r="BF413" i="260"/>
  <c r="AH344" i="260"/>
  <c r="G767" i="260"/>
  <c r="AN736" i="260"/>
  <c r="BF269" i="260"/>
  <c r="BJ692" i="260"/>
  <c r="BU283" i="260"/>
  <c r="BM414" i="260"/>
  <c r="V267" i="260"/>
  <c r="BU475" i="260"/>
  <c r="AZ119" i="260"/>
  <c r="Z667" i="260"/>
  <c r="AN497" i="260"/>
  <c r="G94" i="260"/>
  <c r="AD607" i="260"/>
  <c r="Z382" i="260"/>
  <c r="N338" i="260"/>
  <c r="J649" i="260"/>
  <c r="Z515" i="260"/>
  <c r="AQ658" i="260"/>
  <c r="Z412" i="260"/>
  <c r="BU663" i="260"/>
  <c r="AN636" i="260"/>
  <c r="BU90" i="260"/>
  <c r="BM674" i="260"/>
  <c r="BQ300" i="260"/>
  <c r="AN191" i="260"/>
  <c r="AD707" i="260"/>
  <c r="AH130" i="260"/>
  <c r="BM612" i="260"/>
  <c r="BU207" i="260"/>
  <c r="BF335" i="260"/>
  <c r="AH445" i="260"/>
  <c r="BF341" i="260"/>
  <c r="AV130" i="260"/>
  <c r="AH402" i="260"/>
  <c r="AN576" i="260"/>
  <c r="R483" i="260"/>
  <c r="BM682" i="260"/>
  <c r="BQ477" i="260"/>
  <c r="BJ365" i="260"/>
  <c r="BQ399" i="260"/>
  <c r="Z361" i="260"/>
  <c r="AH136" i="260"/>
  <c r="AZ663" i="260"/>
  <c r="AZ111" i="260"/>
  <c r="G558" i="260"/>
  <c r="AV427" i="260"/>
  <c r="J62" i="260"/>
  <c r="AV717" i="260"/>
  <c r="AZ645" i="260"/>
  <c r="BQ71" i="260"/>
  <c r="J445" i="260"/>
  <c r="BF264" i="260"/>
  <c r="AQ358" i="260"/>
  <c r="AZ74" i="260"/>
  <c r="BJ91" i="260"/>
  <c r="AZ59" i="260"/>
  <c r="BM55" i="260"/>
  <c r="AN448" i="260"/>
  <c r="AQ267" i="260"/>
  <c r="R78" i="260"/>
  <c r="AN567" i="260"/>
  <c r="Z547" i="260"/>
  <c r="V58" i="260"/>
  <c r="G95" i="260"/>
  <c r="V357" i="260"/>
  <c r="AZ382" i="260"/>
  <c r="BM349" i="260"/>
  <c r="AV446" i="260"/>
  <c r="AZ708" i="260"/>
  <c r="N531" i="260"/>
  <c r="BQ652" i="260"/>
  <c r="V725" i="260"/>
  <c r="AH428" i="260"/>
  <c r="AQ96" i="260"/>
  <c r="AZ78" i="260"/>
  <c r="AH569" i="260"/>
  <c r="BU588" i="260"/>
  <c r="BQ493" i="260"/>
  <c r="AZ433" i="260"/>
  <c r="AQ268" i="260"/>
  <c r="BM343" i="260"/>
  <c r="AZ657" i="260"/>
  <c r="BF348" i="260"/>
  <c r="AQ139" i="260"/>
  <c r="R459" i="260"/>
  <c r="J92" i="260"/>
  <c r="Z96" i="260"/>
  <c r="Z749" i="260"/>
  <c r="AD672" i="260"/>
  <c r="BJ295" i="260"/>
  <c r="G423" i="260"/>
  <c r="BF127" i="260"/>
  <c r="Z698" i="260"/>
  <c r="BF532" i="260"/>
  <c r="BJ698" i="260"/>
  <c r="AV225" i="260"/>
  <c r="Z586" i="260"/>
  <c r="R236" i="260"/>
  <c r="AV624" i="260"/>
  <c r="BJ105" i="260"/>
  <c r="AD578" i="260"/>
  <c r="BQ505" i="260"/>
  <c r="R693" i="260"/>
  <c r="AD294" i="260"/>
  <c r="BM502" i="260"/>
  <c r="V210" i="260"/>
  <c r="G221" i="260"/>
  <c r="V611" i="260"/>
  <c r="AN463" i="260"/>
  <c r="BF662" i="260"/>
  <c r="AV364" i="260"/>
  <c r="BU598" i="260"/>
  <c r="BQ359" i="260"/>
  <c r="AV555" i="260"/>
  <c r="N444" i="260"/>
  <c r="R510" i="260"/>
  <c r="J84" i="260"/>
  <c r="R617" i="260"/>
  <c r="V301" i="260"/>
  <c r="N193" i="260"/>
  <c r="Z565" i="260"/>
  <c r="AD750" i="260"/>
  <c r="AV481" i="260"/>
  <c r="AV238" i="260"/>
  <c r="AV543" i="260"/>
  <c r="BF221" i="260"/>
  <c r="AD642" i="260"/>
  <c r="AV732" i="260"/>
  <c r="AH578" i="260"/>
  <c r="AD280" i="260"/>
  <c r="AD648" i="260"/>
  <c r="AZ548" i="260"/>
  <c r="BJ100" i="260"/>
  <c r="Z475" i="260"/>
  <c r="AQ430" i="260"/>
  <c r="AN369" i="260"/>
  <c r="J487" i="260"/>
  <c r="R631" i="260"/>
  <c r="AZ426" i="260"/>
  <c r="AD628" i="260"/>
  <c r="V264" i="260"/>
  <c r="BU543" i="260"/>
  <c r="AD152" i="260"/>
  <c r="Z587" i="260"/>
  <c r="AN700" i="260"/>
  <c r="BF606" i="260"/>
  <c r="BQ219" i="260"/>
  <c r="BU287" i="260"/>
  <c r="J169" i="260"/>
  <c r="BQ752" i="260"/>
  <c r="J439" i="260"/>
  <c r="G420" i="260"/>
  <c r="V101" i="260"/>
  <c r="BQ358" i="260"/>
  <c r="AV126" i="260"/>
  <c r="AD381" i="260"/>
  <c r="BJ437" i="260"/>
  <c r="AH527" i="260"/>
  <c r="G123" i="260"/>
  <c r="J618" i="260"/>
  <c r="V540" i="260"/>
  <c r="BU259" i="260"/>
  <c r="Z441" i="260"/>
  <c r="AQ606" i="260"/>
  <c r="Z444" i="260"/>
  <c r="AV477" i="260"/>
  <c r="BQ591" i="260"/>
  <c r="V522" i="260"/>
  <c r="AN690" i="260"/>
  <c r="BF634" i="260"/>
  <c r="AV406" i="260"/>
  <c r="AD758" i="260"/>
  <c r="AZ540" i="260"/>
  <c r="AZ753" i="260"/>
  <c r="AZ93" i="260"/>
  <c r="R405" i="260"/>
  <c r="AQ282" i="260"/>
  <c r="BF715" i="260"/>
  <c r="AV493" i="260"/>
  <c r="AV516" i="260"/>
  <c r="BM119" i="260"/>
  <c r="AN653" i="260"/>
  <c r="AN426" i="260"/>
  <c r="G663" i="260"/>
  <c r="G332" i="260"/>
  <c r="BF601" i="260"/>
  <c r="AZ736" i="260"/>
  <c r="AN55" i="260"/>
  <c r="AN710" i="260"/>
  <c r="AV730" i="260"/>
  <c r="AH763" i="260"/>
  <c r="AV161" i="260"/>
  <c r="AD118" i="260"/>
  <c r="BU174" i="260"/>
  <c r="AZ276" i="260"/>
  <c r="BU745" i="260"/>
  <c r="AH237" i="260"/>
  <c r="AH150" i="260"/>
  <c r="V681" i="260"/>
  <c r="AQ496" i="260"/>
  <c r="BQ559" i="260"/>
  <c r="AV609" i="260"/>
  <c r="AZ316" i="260"/>
  <c r="G657" i="260"/>
  <c r="BF360" i="260"/>
  <c r="BM460" i="260"/>
  <c r="AD192" i="260"/>
  <c r="V760" i="260"/>
  <c r="AZ151" i="260"/>
  <c r="N550" i="260"/>
  <c r="R262" i="260"/>
  <c r="N353" i="260"/>
  <c r="AV342" i="260"/>
  <c r="G500" i="260"/>
  <c r="BU457" i="260"/>
  <c r="AD62" i="260"/>
  <c r="AZ668" i="260"/>
  <c r="G482" i="260"/>
  <c r="AQ701" i="260"/>
  <c r="G64" i="260"/>
  <c r="J356" i="260"/>
  <c r="BU211" i="260"/>
  <c r="BF505" i="260"/>
  <c r="R336" i="260"/>
  <c r="Z734" i="260"/>
  <c r="V377" i="260"/>
  <c r="G443" i="260"/>
  <c r="AH371" i="260"/>
  <c r="J761" i="260"/>
  <c r="N167" i="260"/>
  <c r="BQ544" i="260"/>
  <c r="AQ511" i="260"/>
  <c r="AZ244" i="260"/>
  <c r="G688" i="260"/>
  <c r="V394" i="260"/>
  <c r="Z476" i="260"/>
  <c r="AV633" i="260"/>
  <c r="V121" i="260"/>
  <c r="AZ765" i="260"/>
  <c r="BJ251" i="260"/>
  <c r="N484" i="260"/>
  <c r="BU408" i="260"/>
  <c r="AV413" i="260"/>
  <c r="BQ203" i="260"/>
  <c r="J557" i="260"/>
  <c r="BQ602" i="260"/>
  <c r="AZ737" i="260"/>
  <c r="AV177" i="260"/>
  <c r="AD223" i="260"/>
  <c r="BF671" i="260"/>
  <c r="J315" i="260"/>
  <c r="Z747" i="260"/>
  <c r="BF252" i="260"/>
  <c r="AQ368" i="260"/>
  <c r="AN310" i="260"/>
  <c r="AH395" i="260"/>
  <c r="BF150" i="260"/>
  <c r="G617" i="260"/>
  <c r="BJ522" i="260"/>
  <c r="AV614" i="260"/>
  <c r="BJ413" i="260"/>
  <c r="G541" i="260"/>
  <c r="BM483" i="260"/>
  <c r="J173" i="260"/>
  <c r="BU183" i="260"/>
  <c r="AN340" i="260"/>
  <c r="G591" i="260"/>
  <c r="R407" i="260"/>
  <c r="BM292" i="260"/>
  <c r="N647" i="260"/>
  <c r="BU271" i="260"/>
  <c r="BJ361" i="260"/>
  <c r="BU138" i="260"/>
  <c r="R482" i="260"/>
  <c r="BF709" i="260"/>
  <c r="G410" i="260"/>
  <c r="BJ150" i="260"/>
  <c r="N737" i="260"/>
  <c r="R489" i="260"/>
  <c r="BF290" i="260"/>
  <c r="Z170" i="260"/>
  <c r="AH727" i="260"/>
  <c r="AQ609" i="260"/>
  <c r="BM568" i="260"/>
  <c r="V583" i="260"/>
  <c r="AN611" i="260"/>
  <c r="BF242" i="260"/>
  <c r="BM387" i="260"/>
  <c r="BJ102" i="260"/>
  <c r="G745" i="260"/>
  <c r="G455" i="260"/>
  <c r="BF393" i="260"/>
  <c r="AN536" i="260"/>
  <c r="BU527" i="260"/>
  <c r="N490" i="260"/>
  <c r="BU538" i="260"/>
  <c r="AQ571" i="260"/>
  <c r="J170" i="260"/>
  <c r="AQ310" i="260"/>
  <c r="AZ284" i="260"/>
  <c r="AZ83" i="260"/>
  <c r="BU285" i="260"/>
  <c r="J718" i="260"/>
  <c r="AN753" i="260"/>
  <c r="G760" i="260"/>
  <c r="AH734" i="260"/>
  <c r="AV689" i="260"/>
  <c r="Z522" i="260"/>
  <c r="G575" i="260"/>
  <c r="AZ491" i="260"/>
  <c r="AH735" i="260"/>
  <c r="BM432" i="260"/>
  <c r="AZ549" i="260"/>
  <c r="Z150" i="260"/>
  <c r="AN164" i="260"/>
  <c r="BU257" i="260"/>
  <c r="R243" i="260"/>
  <c r="BM653" i="260"/>
  <c r="AZ227" i="260"/>
  <c r="BU453" i="260"/>
  <c r="N651" i="260"/>
  <c r="AD671" i="260"/>
  <c r="AN325" i="260"/>
  <c r="BQ327" i="260"/>
  <c r="BJ658" i="260"/>
  <c r="BF444" i="260"/>
  <c r="N247" i="260"/>
  <c r="V268" i="260"/>
  <c r="J346" i="260"/>
  <c r="G714" i="260"/>
  <c r="AN774" i="260"/>
  <c r="J299" i="260"/>
  <c r="R692" i="260"/>
  <c r="AH350" i="260"/>
  <c r="BU398" i="260"/>
  <c r="AN618" i="260"/>
  <c r="AZ431" i="260"/>
  <c r="BU133" i="260"/>
  <c r="AD636" i="260"/>
  <c r="AV416" i="260"/>
  <c r="Z674" i="260"/>
  <c r="AH409" i="260"/>
  <c r="AN526" i="260"/>
  <c r="BJ738" i="260"/>
  <c r="V767" i="260"/>
  <c r="AQ194" i="260"/>
  <c r="AH731" i="260"/>
  <c r="BF757" i="260"/>
  <c r="AQ244" i="260"/>
  <c r="BM123" i="260"/>
  <c r="AN342" i="260"/>
  <c r="Z253" i="260"/>
  <c r="AZ636" i="260"/>
  <c r="BF384" i="260"/>
  <c r="BM353" i="260"/>
  <c r="BM174" i="260"/>
  <c r="BQ317" i="260"/>
  <c r="V585" i="260"/>
  <c r="BQ592" i="260"/>
  <c r="G778" i="260"/>
  <c r="AV645" i="260"/>
  <c r="AQ284" i="260"/>
  <c r="AZ331" i="260"/>
  <c r="R505" i="260"/>
  <c r="AD533" i="260"/>
  <c r="Z137" i="260"/>
  <c r="BU502" i="260"/>
  <c r="AZ582" i="260"/>
  <c r="AQ425" i="260"/>
  <c r="BM739" i="260"/>
  <c r="AQ483" i="260"/>
  <c r="Z127" i="260"/>
  <c r="AQ695" i="260"/>
  <c r="V775" i="260"/>
  <c r="AV88" i="260"/>
  <c r="J677" i="260"/>
  <c r="BQ461" i="260"/>
  <c r="R455" i="260"/>
  <c r="BU436" i="260"/>
  <c r="AH752" i="260"/>
  <c r="BF778" i="260"/>
  <c r="J187" i="260"/>
  <c r="N342" i="260"/>
  <c r="R180" i="260"/>
  <c r="G687" i="260"/>
  <c r="AD472" i="260"/>
  <c r="G750" i="260"/>
  <c r="G641" i="260"/>
  <c r="N403" i="260"/>
  <c r="BM427" i="260"/>
  <c r="AV351" i="260"/>
  <c r="BM524" i="260"/>
  <c r="AH675" i="260"/>
  <c r="AD137" i="260"/>
  <c r="R439" i="260"/>
  <c r="BJ243" i="260"/>
  <c r="J532" i="260"/>
  <c r="R648" i="260"/>
  <c r="J755" i="260"/>
  <c r="AN380" i="260"/>
  <c r="BM110" i="260"/>
  <c r="AQ340" i="260"/>
  <c r="AD98" i="260"/>
  <c r="AQ474" i="260"/>
  <c r="J655" i="260"/>
  <c r="BM200" i="260"/>
  <c r="V610" i="260"/>
  <c r="AD775" i="260"/>
  <c r="AZ187" i="260"/>
  <c r="BU347" i="260"/>
  <c r="AV172" i="260"/>
  <c r="AV676" i="260"/>
  <c r="J720" i="260"/>
  <c r="N506" i="260"/>
  <c r="Z156" i="260"/>
  <c r="N189" i="260"/>
  <c r="AD391" i="260"/>
  <c r="AD515" i="260"/>
  <c r="J126" i="260"/>
  <c r="AZ450" i="260"/>
  <c r="R66" i="260"/>
  <c r="BF125" i="260"/>
  <c r="AD127" i="260"/>
  <c r="BF459" i="260"/>
  <c r="R627" i="260"/>
  <c r="AQ295" i="260"/>
  <c r="Z458" i="260"/>
  <c r="AQ92" i="260"/>
  <c r="AD163" i="260"/>
  <c r="N293" i="260"/>
  <c r="AN446" i="260"/>
  <c r="BQ221" i="260"/>
  <c r="BJ705" i="260"/>
  <c r="AV333" i="260"/>
  <c r="AN97" i="260"/>
  <c r="N674" i="260"/>
  <c r="BU511" i="260"/>
  <c r="R323" i="260"/>
  <c r="AZ350" i="260"/>
  <c r="V458" i="260"/>
  <c r="AZ345" i="260"/>
  <c r="J368" i="260"/>
  <c r="BU691" i="260"/>
  <c r="AN747" i="260"/>
  <c r="AH316" i="260"/>
  <c r="AV202" i="260"/>
  <c r="BM94" i="260"/>
  <c r="BM515" i="260"/>
  <c r="BJ247" i="260"/>
  <c r="G633" i="260"/>
  <c r="N664" i="260"/>
  <c r="AZ123" i="260"/>
  <c r="AD290" i="260"/>
  <c r="BQ243" i="260"/>
  <c r="R285" i="260"/>
  <c r="AD191" i="260"/>
  <c r="BU172" i="260"/>
  <c r="N132" i="260"/>
  <c r="BJ339" i="260"/>
  <c r="BJ327" i="260"/>
  <c r="AN617" i="260"/>
  <c r="G772" i="260"/>
  <c r="BM228" i="260"/>
  <c r="G181" i="260"/>
  <c r="BM503" i="260"/>
  <c r="J518" i="260"/>
  <c r="AD415" i="260"/>
  <c r="AZ543" i="260"/>
  <c r="AD308" i="260"/>
  <c r="BQ691" i="260"/>
  <c r="AQ187" i="260"/>
  <c r="BM767" i="260"/>
  <c r="G363" i="260"/>
  <c r="AN278" i="260"/>
  <c r="BQ247" i="260"/>
  <c r="AD366" i="260"/>
  <c r="AN450" i="260"/>
  <c r="BQ169" i="260"/>
  <c r="V341" i="260"/>
  <c r="BJ723" i="260"/>
  <c r="BQ150" i="260"/>
  <c r="BM489" i="260"/>
  <c r="N211" i="260"/>
  <c r="G307" i="260"/>
  <c r="Z409" i="260"/>
  <c r="AQ705" i="260"/>
  <c r="BQ284" i="260"/>
  <c r="G662" i="260"/>
  <c r="AQ231" i="260"/>
  <c r="BU665" i="260"/>
  <c r="AV299" i="260"/>
  <c r="AZ230" i="260"/>
  <c r="AN678" i="260"/>
  <c r="BQ238" i="260"/>
  <c r="BF356" i="260"/>
  <c r="BU331" i="260"/>
  <c r="AQ156" i="260"/>
  <c r="BQ620" i="260"/>
  <c r="R426" i="260"/>
  <c r="G159" i="260"/>
  <c r="Z85" i="260"/>
  <c r="AQ741" i="260"/>
  <c r="BM438" i="260"/>
  <c r="AH473" i="260"/>
  <c r="BJ726" i="260"/>
  <c r="AV393" i="260"/>
  <c r="V696" i="260"/>
  <c r="AZ357" i="260"/>
  <c r="AQ309" i="260"/>
  <c r="AD590" i="260"/>
  <c r="AV706" i="260"/>
  <c r="BU770" i="260"/>
  <c r="AQ505" i="260"/>
  <c r="Z697" i="260"/>
  <c r="BJ556" i="260"/>
  <c r="AQ532" i="260"/>
  <c r="AQ732" i="260"/>
  <c r="BF544" i="260"/>
  <c r="Z226" i="260"/>
  <c r="BJ142" i="260"/>
  <c r="J371" i="260"/>
  <c r="BJ273" i="260"/>
  <c r="V575" i="260"/>
  <c r="V236" i="260"/>
  <c r="AD276" i="260"/>
  <c r="V355" i="260"/>
  <c r="AV528" i="260"/>
  <c r="BF159" i="260"/>
  <c r="BJ624" i="260"/>
  <c r="BM383" i="260"/>
  <c r="Z536" i="260"/>
  <c r="R687" i="260"/>
  <c r="AH533" i="260"/>
  <c r="J273" i="260"/>
  <c r="J189" i="260"/>
  <c r="AZ207" i="260"/>
  <c r="N423" i="260"/>
  <c r="BJ174" i="260"/>
  <c r="G543" i="260"/>
  <c r="J606" i="260"/>
  <c r="AQ628" i="260"/>
  <c r="AH448" i="260"/>
  <c r="AD591" i="260"/>
  <c r="BQ310" i="260"/>
  <c r="AQ563" i="260"/>
  <c r="AN449" i="260"/>
  <c r="G661" i="260"/>
  <c r="AH777" i="260"/>
  <c r="V130" i="260"/>
  <c r="G82" i="260"/>
  <c r="BU415" i="260"/>
  <c r="BQ614" i="260"/>
  <c r="BQ556" i="260"/>
  <c r="BF134" i="260"/>
  <c r="AD447" i="260"/>
  <c r="BU732" i="260"/>
  <c r="AQ218" i="260"/>
  <c r="J178" i="260"/>
  <c r="R469" i="260"/>
  <c r="G293" i="260"/>
  <c r="BM239" i="260"/>
  <c r="AD376" i="260"/>
  <c r="AD234" i="260"/>
  <c r="V752" i="260"/>
  <c r="Z676" i="260"/>
  <c r="BJ663" i="260"/>
  <c r="AQ471" i="260"/>
  <c r="AN269" i="260"/>
  <c r="AD353" i="260"/>
  <c r="AN318" i="260"/>
  <c r="BM710" i="260"/>
  <c r="V497" i="260"/>
  <c r="R596" i="260"/>
  <c r="N214" i="260"/>
  <c r="AV601" i="260"/>
  <c r="AQ226" i="260"/>
  <c r="AH306" i="260"/>
  <c r="AV260" i="260"/>
  <c r="BM218" i="260"/>
  <c r="BU556" i="260"/>
  <c r="BF545" i="260"/>
  <c r="G243" i="260"/>
  <c r="BU474" i="260"/>
  <c r="BU712" i="260"/>
  <c r="AZ436" i="260"/>
  <c r="N175" i="260"/>
  <c r="BJ345" i="260"/>
  <c r="BJ771" i="260"/>
  <c r="BF751" i="260"/>
  <c r="V96" i="260"/>
  <c r="BQ530" i="260"/>
  <c r="V85" i="260"/>
  <c r="Z607" i="260"/>
  <c r="N640" i="260"/>
  <c r="J594" i="260"/>
  <c r="G648" i="260"/>
  <c r="AH186" i="260"/>
  <c r="V122" i="260"/>
  <c r="AQ289" i="260"/>
  <c r="BJ113" i="260"/>
  <c r="V295" i="260"/>
  <c r="Z506" i="260"/>
  <c r="J328" i="260"/>
  <c r="AD659" i="260"/>
  <c r="V303" i="260"/>
  <c r="AD622" i="260"/>
  <c r="BU562" i="260"/>
  <c r="BU689" i="260"/>
  <c r="AD224" i="260"/>
  <c r="V133" i="260"/>
  <c r="R235" i="260"/>
  <c r="V709" i="260"/>
  <c r="G630" i="260"/>
  <c r="R412" i="260"/>
  <c r="BF596" i="260"/>
  <c r="J222" i="260"/>
  <c r="AQ694" i="260"/>
  <c r="BQ98" i="260"/>
  <c r="Z442" i="260"/>
  <c r="G640" i="260"/>
  <c r="AN232" i="260"/>
  <c r="N721" i="260"/>
  <c r="AN200" i="260"/>
  <c r="BF615" i="260"/>
  <c r="BJ242" i="260"/>
  <c r="Z176" i="260"/>
  <c r="BJ267" i="260"/>
  <c r="N362" i="260"/>
  <c r="V248" i="260"/>
  <c r="AV375" i="260"/>
  <c r="AD323" i="260"/>
  <c r="BJ728" i="260"/>
  <c r="AH522" i="260"/>
  <c r="AD476" i="260"/>
  <c r="N669" i="260"/>
  <c r="AN773" i="260"/>
  <c r="BF234" i="260"/>
  <c r="R559" i="260"/>
  <c r="AQ149" i="260"/>
  <c r="G111" i="260"/>
  <c r="BF628" i="260"/>
  <c r="N609" i="260"/>
  <c r="R626" i="260"/>
  <c r="BJ763" i="260"/>
  <c r="R294" i="260"/>
  <c r="AN495" i="260"/>
  <c r="BQ523" i="260"/>
  <c r="AH745" i="260"/>
  <c r="AD644" i="260"/>
  <c r="Z427" i="260"/>
  <c r="J426" i="260"/>
  <c r="AZ445" i="260"/>
  <c r="AQ159" i="260"/>
  <c r="V663" i="260"/>
  <c r="BM85" i="260"/>
  <c r="R281" i="260"/>
  <c r="BM231" i="260"/>
  <c r="AZ764" i="260"/>
  <c r="AQ380" i="260"/>
  <c r="BM251" i="260"/>
  <c r="AD296" i="260"/>
  <c r="BJ724" i="260"/>
  <c r="BF416" i="260"/>
  <c r="BJ162" i="260"/>
  <c r="N169" i="260"/>
  <c r="BJ694" i="260"/>
  <c r="AZ749" i="260"/>
  <c r="BF698" i="260"/>
  <c r="N352" i="260"/>
  <c r="BQ605" i="260"/>
  <c r="BQ259" i="260"/>
  <c r="AH312" i="260"/>
  <c r="AV507" i="260"/>
  <c r="AZ646" i="260"/>
  <c r="BM475" i="260"/>
  <c r="AZ552" i="260"/>
  <c r="AD251" i="260"/>
  <c r="AD237" i="260"/>
  <c r="AV297" i="260"/>
  <c r="N672" i="260"/>
  <c r="BF284" i="260"/>
  <c r="AD390" i="260"/>
  <c r="AQ278" i="260"/>
  <c r="BF395" i="260"/>
  <c r="BQ574" i="260"/>
  <c r="Z240" i="260"/>
  <c r="AQ524" i="260"/>
  <c r="V125" i="260"/>
  <c r="AZ295" i="260"/>
  <c r="AN752" i="260"/>
  <c r="AV392" i="260"/>
  <c r="BQ465" i="260"/>
  <c r="AN709" i="260"/>
  <c r="AD494" i="260"/>
  <c r="AN524" i="260"/>
  <c r="BQ642" i="260"/>
  <c r="AN493" i="260"/>
  <c r="AN256" i="260"/>
  <c r="AN237" i="260"/>
  <c r="G516" i="260"/>
  <c r="J588" i="260"/>
  <c r="BQ675" i="260"/>
  <c r="V165" i="260"/>
  <c r="AN616" i="260"/>
  <c r="AZ372" i="260"/>
  <c r="AD582" i="260"/>
  <c r="V655" i="260"/>
  <c r="BM772" i="260"/>
  <c r="N257" i="260"/>
  <c r="BQ438" i="260"/>
  <c r="AH697" i="260"/>
  <c r="AN765" i="260"/>
  <c r="N271" i="260"/>
  <c r="J745" i="260"/>
  <c r="BJ682" i="260"/>
  <c r="J486" i="260"/>
  <c r="AV711" i="260"/>
  <c r="BF664" i="260"/>
  <c r="AV497" i="260"/>
  <c r="AH262" i="260"/>
  <c r="AZ574" i="260"/>
  <c r="AD215" i="260"/>
  <c r="BM311" i="260"/>
  <c r="N717" i="260"/>
  <c r="N770" i="260"/>
  <c r="AD380" i="260"/>
  <c r="AZ572" i="260"/>
  <c r="N753" i="260"/>
  <c r="R124" i="260"/>
  <c r="N719" i="260"/>
  <c r="BU215" i="260"/>
  <c r="N707" i="260"/>
  <c r="J349" i="260"/>
  <c r="BJ156" i="260"/>
  <c r="BQ176" i="260"/>
  <c r="AD99" i="260"/>
  <c r="AN198" i="260"/>
  <c r="AD690" i="260"/>
  <c r="AQ405" i="260"/>
  <c r="N107" i="260"/>
  <c r="G555" i="260"/>
  <c r="BU123" i="260"/>
  <c r="BF767" i="260"/>
  <c r="AZ135" i="260"/>
  <c r="R543" i="260"/>
  <c r="AD632" i="260"/>
  <c r="AZ408" i="260"/>
  <c r="BJ270" i="260"/>
  <c r="BJ744" i="260"/>
  <c r="J748" i="260"/>
  <c r="BQ319" i="260"/>
  <c r="J161" i="260"/>
  <c r="J763" i="260"/>
  <c r="BU130" i="260"/>
  <c r="BF377" i="260"/>
  <c r="R531" i="260"/>
  <c r="BJ389" i="260"/>
  <c r="V387" i="260"/>
  <c r="BU462" i="260"/>
  <c r="AH369" i="260"/>
  <c r="AD592" i="260"/>
  <c r="BF470" i="260"/>
  <c r="BU749" i="260"/>
  <c r="AH417" i="260"/>
  <c r="AZ397" i="260"/>
  <c r="G752" i="260"/>
  <c r="BQ309" i="260"/>
  <c r="N264" i="260"/>
  <c r="BJ620" i="260"/>
  <c r="AV580" i="260"/>
  <c r="N90" i="260"/>
  <c r="AH609" i="260"/>
  <c r="G705" i="260"/>
  <c r="AD432" i="260"/>
  <c r="AD82" i="260"/>
  <c r="G273" i="260"/>
  <c r="AN364" i="260"/>
  <c r="R292" i="260"/>
  <c r="AV537" i="260"/>
  <c r="AD462" i="260"/>
  <c r="AN701" i="260"/>
  <c r="BM480" i="260"/>
  <c r="J540" i="260"/>
  <c r="BU731" i="260"/>
  <c r="J183" i="260"/>
  <c r="BJ423" i="260"/>
  <c r="G613" i="260"/>
  <c r="BQ643" i="260"/>
  <c r="V385" i="260"/>
  <c r="V564" i="260"/>
  <c r="Z138" i="260"/>
  <c r="Z364" i="260"/>
  <c r="AZ392" i="260"/>
  <c r="AZ347" i="260"/>
  <c r="AD365" i="260"/>
  <c r="BF283" i="260"/>
  <c r="G499" i="260"/>
  <c r="BM724" i="260"/>
  <c r="AN728" i="260"/>
  <c r="AV431" i="260"/>
  <c r="G728" i="260"/>
  <c r="AV626" i="260"/>
  <c r="AQ493" i="260"/>
  <c r="BM173" i="260"/>
  <c r="BJ468" i="260"/>
  <c r="BF500" i="260"/>
  <c r="BU339" i="260"/>
  <c r="V753" i="260"/>
  <c r="AV666" i="260"/>
  <c r="AN442" i="260"/>
  <c r="BM159" i="260"/>
  <c r="BM633" i="260"/>
  <c r="AQ240" i="260"/>
  <c r="AH684" i="260"/>
  <c r="Z468" i="260"/>
  <c r="R241" i="260"/>
  <c r="BJ138" i="260"/>
  <c r="BQ639" i="260"/>
  <c r="AV120" i="260"/>
  <c r="N613" i="260"/>
  <c r="N345" i="260"/>
  <c r="BF131" i="260"/>
  <c r="BM501" i="260"/>
  <c r="AQ458" i="260"/>
  <c r="BJ510" i="260"/>
  <c r="AD526" i="260"/>
  <c r="AZ658" i="260"/>
  <c r="AH460" i="260"/>
  <c r="BJ563" i="260"/>
  <c r="AH601" i="260"/>
  <c r="V738" i="260"/>
  <c r="J562" i="260"/>
  <c r="AV611" i="260"/>
  <c r="BF271" i="260"/>
  <c r="BM672" i="260"/>
  <c r="J261" i="260"/>
  <c r="AQ535" i="260"/>
  <c r="BM730" i="260"/>
  <c r="BU734" i="260"/>
  <c r="N723" i="260"/>
  <c r="Z562" i="260"/>
  <c r="J483" i="260"/>
  <c r="V169" i="260"/>
  <c r="G167" i="260"/>
  <c r="BQ207" i="260"/>
  <c r="G334" i="260"/>
  <c r="Z103" i="260"/>
  <c r="V97" i="260"/>
  <c r="N439" i="260"/>
  <c r="AN315" i="260"/>
  <c r="BF483" i="260"/>
  <c r="AV697" i="260"/>
  <c r="AZ763" i="260"/>
  <c r="V676" i="260"/>
  <c r="AQ668" i="260"/>
  <c r="BF520" i="260"/>
  <c r="V300" i="260"/>
  <c r="Z213" i="260"/>
  <c r="J735" i="260"/>
  <c r="AV327" i="260"/>
  <c r="AH691" i="260"/>
  <c r="R94" i="260"/>
  <c r="Z91" i="260"/>
  <c r="BF475" i="260"/>
  <c r="V256" i="260"/>
  <c r="BM172" i="260"/>
  <c r="BU199" i="260"/>
  <c r="AD532" i="260"/>
  <c r="V694" i="260"/>
  <c r="AV386" i="260"/>
  <c r="AQ336" i="260"/>
  <c r="AZ516" i="260"/>
  <c r="AQ596" i="260"/>
  <c r="AD446" i="260"/>
  <c r="BQ606" i="260"/>
  <c r="BU776" i="260"/>
  <c r="AD520" i="260"/>
  <c r="BU558" i="260"/>
  <c r="AD85" i="260"/>
  <c r="AN308" i="260"/>
  <c r="AV253" i="260"/>
  <c r="BQ773" i="260"/>
  <c r="Z722" i="260"/>
  <c r="N614" i="260"/>
  <c r="BF206" i="260"/>
  <c r="V666" i="260"/>
  <c r="R760" i="260"/>
  <c r="BF562" i="260"/>
  <c r="N481" i="260"/>
  <c r="BU552" i="260"/>
  <c r="BJ350" i="260"/>
  <c r="AZ441" i="260"/>
  <c r="R640" i="260"/>
  <c r="R532" i="260"/>
  <c r="AV540" i="260"/>
  <c r="AD371" i="260"/>
  <c r="G251" i="260"/>
  <c r="R468" i="260"/>
  <c r="BM97" i="260"/>
  <c r="J338" i="260"/>
  <c r="R777" i="260"/>
  <c r="BF669" i="260"/>
  <c r="AH552" i="260"/>
  <c r="V290" i="260"/>
  <c r="G665" i="260"/>
  <c r="BQ709" i="260"/>
  <c r="R260" i="260"/>
  <c r="AQ715" i="260"/>
  <c r="V311" i="260"/>
  <c r="AQ117" i="260"/>
  <c r="AH307" i="260"/>
  <c r="BM393" i="260"/>
  <c r="AH378" i="260"/>
  <c r="AQ162" i="260"/>
  <c r="AH639" i="260"/>
  <c r="AQ312" i="260"/>
  <c r="BQ210" i="260"/>
  <c r="AN80" i="260"/>
  <c r="AN183" i="260"/>
  <c r="AH172" i="260"/>
  <c r="R399" i="260"/>
  <c r="AQ148" i="260"/>
  <c r="Z209" i="260"/>
  <c r="V537" i="260"/>
  <c r="V409" i="260"/>
  <c r="AQ765" i="260"/>
  <c r="V490" i="260"/>
  <c r="BJ256" i="260"/>
  <c r="R534" i="260"/>
  <c r="J330" i="260"/>
  <c r="AN319" i="260"/>
  <c r="R92" i="260"/>
  <c r="AV439" i="260"/>
  <c r="R189" i="260"/>
  <c r="BQ747" i="260"/>
  <c r="AZ365" i="260"/>
  <c r="J321" i="260"/>
  <c r="G237" i="260"/>
  <c r="AZ136" i="260"/>
  <c r="BU349" i="260"/>
  <c r="R301" i="260"/>
  <c r="BQ739" i="260"/>
  <c r="AZ199" i="260"/>
  <c r="AV436" i="260"/>
  <c r="J357" i="260"/>
  <c r="BU330" i="260"/>
  <c r="AD576" i="260"/>
  <c r="N316" i="260"/>
  <c r="BM257" i="260"/>
  <c r="BM203" i="260"/>
  <c r="Z435" i="260"/>
  <c r="J163" i="260"/>
  <c r="AN542" i="260"/>
  <c r="BU672" i="260"/>
  <c r="V734" i="260"/>
  <c r="BQ512" i="260"/>
  <c r="Z153" i="260"/>
  <c r="N597" i="260"/>
  <c r="BU584" i="260"/>
  <c r="Z157" i="260"/>
  <c r="AZ258" i="260"/>
  <c r="BJ463" i="260"/>
  <c r="AZ769" i="260"/>
  <c r="AV276" i="260"/>
  <c r="AH220" i="260"/>
  <c r="AH685" i="260"/>
  <c r="AZ706" i="260"/>
  <c r="BU231" i="260"/>
  <c r="BJ330" i="260"/>
  <c r="BJ408" i="260"/>
  <c r="N173" i="260"/>
  <c r="R470" i="260"/>
  <c r="AZ200" i="260"/>
  <c r="BF316" i="260"/>
  <c r="AD170" i="260"/>
  <c r="BU241" i="260"/>
  <c r="AQ478" i="260"/>
  <c r="N86" i="260"/>
  <c r="AD167" i="260"/>
  <c r="AH581" i="260"/>
  <c r="J80" i="260"/>
  <c r="BU395" i="260"/>
  <c r="BQ687" i="260"/>
  <c r="BJ84" i="260"/>
  <c r="BJ645" i="260"/>
  <c r="Z499" i="260"/>
  <c r="BM111" i="260"/>
  <c r="AQ288" i="260"/>
  <c r="AV115" i="260"/>
  <c r="R81" i="260"/>
  <c r="AD635" i="260"/>
  <c r="R438" i="260"/>
  <c r="Z166" i="260"/>
  <c r="AZ233" i="260"/>
  <c r="V296" i="260"/>
  <c r="AN87" i="260"/>
  <c r="BF425" i="260"/>
  <c r="BU537" i="260"/>
  <c r="AZ720" i="260"/>
  <c r="R111" i="260"/>
  <c r="AH715" i="260"/>
  <c r="G324" i="260"/>
  <c r="BF597" i="260"/>
  <c r="AZ213" i="260"/>
  <c r="J573" i="260"/>
  <c r="BQ676" i="260"/>
  <c r="AZ186" i="260"/>
  <c r="BJ364" i="260"/>
  <c r="AN147" i="260"/>
  <c r="G168" i="260"/>
  <c r="V633" i="260"/>
  <c r="AZ100" i="260"/>
  <c r="V607" i="260"/>
  <c r="Z164" i="260"/>
  <c r="J312" i="260"/>
  <c r="J663" i="260"/>
  <c r="R310" i="260"/>
  <c r="Z721" i="260"/>
  <c r="R773" i="260"/>
  <c r="Z434" i="260"/>
  <c r="AN470" i="260"/>
  <c r="BU288" i="260"/>
  <c r="AH164" i="260"/>
  <c r="BQ564" i="260"/>
  <c r="BM731" i="260"/>
  <c r="BF218" i="260"/>
  <c r="N623" i="260"/>
  <c r="AN776" i="260"/>
  <c r="BM684" i="260"/>
  <c r="BU757" i="260"/>
  <c r="BU384" i="260"/>
  <c r="R317" i="260"/>
  <c r="J107" i="260"/>
  <c r="AD97" i="260"/>
  <c r="G106" i="260"/>
  <c r="BQ81" i="260"/>
  <c r="N165" i="260"/>
  <c r="AD216" i="260"/>
  <c r="AV642" i="260"/>
  <c r="N468" i="260"/>
  <c r="V233" i="260"/>
  <c r="BJ671" i="260"/>
  <c r="AD315" i="260"/>
  <c r="R227" i="260"/>
  <c r="V626" i="260"/>
  <c r="N500" i="260"/>
  <c r="BM718" i="260"/>
  <c r="AN377" i="260"/>
  <c r="N536" i="260"/>
  <c r="Z380" i="260"/>
  <c r="BU125" i="260"/>
  <c r="BU191" i="260"/>
  <c r="AH586" i="260"/>
  <c r="G122" i="260"/>
  <c r="J522" i="260"/>
  <c r="J643" i="260"/>
  <c r="BQ491" i="260"/>
  <c r="BM572" i="260"/>
  <c r="BQ264" i="260"/>
  <c r="BU375" i="260"/>
  <c r="AD726" i="260"/>
  <c r="R566" i="260"/>
  <c r="AD151" i="260"/>
  <c r="AN259" i="260"/>
  <c r="J767" i="260"/>
  <c r="BU214" i="260"/>
  <c r="BQ552" i="260"/>
  <c r="J647" i="260"/>
  <c r="G620" i="260"/>
  <c r="BU289" i="260"/>
  <c r="BM597" i="260"/>
  <c r="J526" i="260"/>
  <c r="AH241" i="260"/>
  <c r="R417" i="260"/>
  <c r="BJ459" i="260"/>
  <c r="BU674" i="260"/>
  <c r="AH535" i="260"/>
  <c r="G176" i="260"/>
  <c r="BU419" i="260"/>
  <c r="N218" i="260"/>
  <c r="BF703" i="260"/>
  <c r="BM434" i="260"/>
  <c r="AH162" i="260"/>
  <c r="N331" i="260"/>
  <c r="R536" i="260"/>
  <c r="BU188" i="260"/>
  <c r="BQ167" i="260"/>
  <c r="AN368" i="260"/>
  <c r="AV572" i="260"/>
  <c r="Z362" i="260"/>
  <c r="BQ246" i="260"/>
  <c r="G121" i="260"/>
  <c r="AD556" i="260"/>
  <c r="AD122" i="260"/>
  <c r="N131" i="260"/>
  <c r="AQ118" i="260"/>
  <c r="AN509" i="260"/>
  <c r="BM332" i="260"/>
  <c r="G422" i="260"/>
  <c r="AZ127" i="260"/>
  <c r="AZ728" i="260"/>
  <c r="BQ764" i="260"/>
  <c r="N323" i="260"/>
  <c r="BQ655" i="260"/>
  <c r="Z294" i="260"/>
  <c r="N397" i="260"/>
  <c r="BQ501" i="260"/>
  <c r="BM244" i="260"/>
  <c r="G375" i="260"/>
  <c r="AN152" i="260"/>
  <c r="R699" i="260"/>
  <c r="V361" i="260"/>
  <c r="BQ598" i="260"/>
  <c r="BQ205" i="260"/>
  <c r="BU587" i="260"/>
  <c r="AV503" i="260"/>
  <c r="G566" i="260"/>
  <c r="AN180" i="260"/>
  <c r="AN506" i="260"/>
  <c r="AD437" i="260"/>
  <c r="BJ148" i="260"/>
  <c r="BF156" i="260"/>
  <c r="AQ748" i="260"/>
  <c r="BU711" i="260"/>
  <c r="AQ776" i="260"/>
  <c r="J123" i="260"/>
  <c r="BM449" i="260"/>
  <c r="AH140" i="260"/>
  <c r="BQ464" i="260"/>
  <c r="AH564" i="260"/>
  <c r="Z774" i="260"/>
  <c r="AN564" i="260"/>
  <c r="Z234" i="260"/>
  <c r="Z286" i="260"/>
  <c r="BF463" i="260"/>
  <c r="AQ193" i="260"/>
  <c r="Z777" i="260"/>
  <c r="V93" i="260"/>
  <c r="AD208" i="260"/>
  <c r="J640" i="260"/>
  <c r="BM540" i="260"/>
  <c r="J708" i="260"/>
  <c r="BM250" i="260"/>
  <c r="AN597" i="260"/>
  <c r="AQ307" i="260"/>
  <c r="J296" i="260"/>
  <c r="BF646" i="260"/>
  <c r="AN515" i="260"/>
  <c r="BU135" i="260"/>
  <c r="J495" i="260"/>
  <c r="N731" i="260"/>
  <c r="BJ759" i="260"/>
  <c r="BF656" i="260"/>
  <c r="BU607" i="260"/>
  <c r="AH517" i="260"/>
  <c r="BU232" i="260"/>
  <c r="AD257" i="260"/>
  <c r="J362" i="260"/>
  <c r="AV361" i="260"/>
  <c r="N401" i="260"/>
  <c r="BM344" i="260"/>
  <c r="BM680" i="260"/>
  <c r="BF97" i="260"/>
  <c r="N593" i="260"/>
  <c r="J714" i="260"/>
  <c r="BU360" i="260"/>
  <c r="BF666" i="260"/>
  <c r="BM719" i="260"/>
  <c r="AZ214" i="260"/>
  <c r="V703" i="260"/>
  <c r="BQ100" i="260"/>
  <c r="AD210" i="260"/>
  <c r="AZ734" i="260"/>
  <c r="AQ420" i="260"/>
  <c r="BJ636" i="260"/>
  <c r="BM530" i="260"/>
  <c r="V420" i="260"/>
  <c r="BJ232" i="260"/>
  <c r="R346" i="260"/>
  <c r="G211" i="260"/>
  <c r="BU94" i="260"/>
  <c r="BU532" i="260"/>
  <c r="V413" i="260"/>
  <c r="BQ342" i="260"/>
  <c r="G725" i="260"/>
  <c r="BJ532" i="260"/>
  <c r="BU316" i="260"/>
  <c r="BJ180" i="260"/>
  <c r="R397" i="260"/>
  <c r="G368" i="260"/>
  <c r="Z369" i="260"/>
  <c r="BM742" i="260"/>
  <c r="AZ476" i="260"/>
  <c r="BQ263" i="260"/>
  <c r="BQ325" i="260"/>
  <c r="BM477" i="260"/>
  <c r="Z532" i="260"/>
  <c r="BQ234" i="260"/>
  <c r="AH280" i="260"/>
  <c r="J376" i="260"/>
  <c r="BJ213" i="260"/>
  <c r="AH349" i="260"/>
  <c r="BJ328" i="260"/>
  <c r="V742" i="260"/>
  <c r="BU89" i="260"/>
  <c r="AD511" i="260"/>
  <c r="BJ599" i="260"/>
  <c r="V320" i="260"/>
  <c r="BU156" i="260"/>
  <c r="Z584" i="260"/>
  <c r="AQ123" i="260"/>
  <c r="G228" i="260"/>
  <c r="G497" i="260"/>
  <c r="AZ697" i="260"/>
  <c r="N759" i="260"/>
  <c r="AN161" i="260"/>
  <c r="AZ694" i="260"/>
  <c r="BM766" i="260"/>
  <c r="N349" i="260"/>
  <c r="BJ416" i="260"/>
  <c r="AH543" i="260"/>
  <c r="AD473" i="260"/>
  <c r="AZ591" i="260"/>
  <c r="R533" i="260"/>
  <c r="BU603" i="260"/>
  <c r="R223" i="260"/>
  <c r="V677" i="260"/>
  <c r="AV397" i="260"/>
  <c r="BM89" i="260"/>
  <c r="Z452" i="260"/>
  <c r="BJ93" i="260"/>
  <c r="BM146" i="260"/>
  <c r="N365" i="260"/>
  <c r="BM421" i="260"/>
  <c r="BQ466" i="260"/>
  <c r="G635" i="260"/>
  <c r="AH275" i="260"/>
  <c r="J575" i="260"/>
  <c r="J762" i="260"/>
  <c r="BU392" i="260"/>
  <c r="V613" i="260"/>
  <c r="N586" i="260"/>
  <c r="G464" i="260"/>
  <c r="AV128" i="260"/>
  <c r="AV524" i="260"/>
  <c r="G280" i="260"/>
  <c r="BU713" i="260"/>
  <c r="AZ725" i="260"/>
  <c r="AZ601" i="260"/>
  <c r="AD490" i="260"/>
  <c r="V498" i="260"/>
  <c r="AN711" i="260"/>
  <c r="AN160" i="260"/>
  <c r="BF427" i="260"/>
  <c r="BJ307" i="260"/>
  <c r="AZ241" i="260"/>
  <c r="J473" i="260"/>
  <c r="AZ368" i="260"/>
  <c r="Z564" i="260"/>
  <c r="R492" i="260"/>
  <c r="BF700" i="260"/>
  <c r="G115" i="260"/>
  <c r="AQ337" i="260"/>
  <c r="BM575" i="260"/>
  <c r="AN519" i="260"/>
  <c r="BJ700" i="260"/>
  <c r="AV244" i="260"/>
  <c r="AQ614" i="260"/>
  <c r="BM765" i="260"/>
  <c r="BQ625" i="260"/>
  <c r="Z738" i="260"/>
  <c r="BM769" i="260"/>
  <c r="BJ149" i="260"/>
  <c r="N127" i="260"/>
  <c r="BF619" i="260"/>
  <c r="BM356" i="260"/>
  <c r="Z353" i="260"/>
  <c r="AV472" i="260"/>
  <c r="R683" i="260"/>
  <c r="V137" i="260"/>
  <c r="AD399" i="260"/>
  <c r="BU452" i="260"/>
  <c r="BF308" i="260"/>
  <c r="G117" i="260"/>
  <c r="N486" i="260"/>
  <c r="J524" i="260"/>
  <c r="J291" i="260"/>
  <c r="G600" i="260"/>
  <c r="AD259" i="260"/>
  <c r="AV170" i="260"/>
  <c r="BF426" i="260"/>
  <c r="V215" i="260"/>
  <c r="V386" i="260"/>
  <c r="AN137" i="260"/>
  <c r="BU224" i="260"/>
  <c r="BF508" i="260"/>
  <c r="BU383" i="260"/>
  <c r="BJ80" i="260"/>
  <c r="AD327" i="260"/>
  <c r="BU568" i="260"/>
  <c r="G510" i="260"/>
  <c r="Z696" i="260"/>
  <c r="BF605" i="260"/>
  <c r="N249" i="260"/>
  <c r="AV449" i="260"/>
  <c r="AZ269" i="260"/>
  <c r="R432" i="260"/>
  <c r="AH765" i="260"/>
  <c r="Z375" i="260"/>
  <c r="J493" i="260"/>
  <c r="BF678" i="260"/>
  <c r="AD120" i="260"/>
  <c r="BJ458" i="260"/>
  <c r="J385" i="260"/>
  <c r="AH585" i="260"/>
  <c r="J270" i="260"/>
  <c r="AN344" i="260"/>
  <c r="BF146" i="260"/>
  <c r="BQ485" i="260"/>
  <c r="V225" i="260"/>
  <c r="BU137" i="260"/>
  <c r="G128" i="260"/>
  <c r="AV277" i="260"/>
  <c r="AD116" i="260"/>
  <c r="BJ403" i="260"/>
  <c r="R703" i="260"/>
  <c r="BM444" i="260"/>
  <c r="V448" i="260"/>
  <c r="R244" i="260"/>
  <c r="AQ189" i="260"/>
  <c r="AQ130" i="260"/>
  <c r="G396" i="260"/>
  <c r="AD269" i="260"/>
  <c r="BM345" i="260"/>
  <c r="BQ94" i="260"/>
  <c r="AN406" i="260"/>
  <c r="BQ406" i="260"/>
  <c r="BU170" i="260"/>
  <c r="AD718" i="260"/>
  <c r="AD459" i="260"/>
  <c r="AH760" i="260"/>
  <c r="J403" i="260"/>
  <c r="AV663" i="260"/>
  <c r="BQ634" i="260"/>
  <c r="R658" i="260"/>
  <c r="N328" i="260"/>
  <c r="AQ491" i="260"/>
  <c r="R232" i="260"/>
  <c r="N84" i="260"/>
  <c r="BF492" i="260"/>
  <c r="AQ237" i="260"/>
  <c r="AN218" i="260"/>
  <c r="R644" i="260"/>
  <c r="N734" i="260"/>
  <c r="AD265" i="260"/>
  <c r="AN88" i="260"/>
  <c r="G286" i="260"/>
  <c r="AV475" i="260"/>
  <c r="AQ759" i="260"/>
  <c r="AQ196" i="260"/>
  <c r="AH381" i="260"/>
  <c r="N238" i="260"/>
  <c r="BJ613" i="260"/>
  <c r="AZ467" i="260"/>
  <c r="G246" i="260"/>
  <c r="Z633" i="260"/>
  <c r="J350" i="260"/>
  <c r="R149" i="260"/>
  <c r="BM199" i="260"/>
  <c r="N472" i="260"/>
  <c r="BJ521" i="260"/>
  <c r="BJ114" i="260"/>
  <c r="N140" i="260"/>
  <c r="R496" i="260"/>
  <c r="R615" i="260"/>
  <c r="V152" i="260"/>
  <c r="BQ496" i="260"/>
  <c r="AN662" i="260"/>
  <c r="Z553" i="260"/>
  <c r="Z558" i="260"/>
  <c r="BQ227" i="260"/>
  <c r="AN583" i="260"/>
  <c r="AV306" i="260"/>
  <c r="AN348" i="260"/>
  <c r="BJ749" i="260"/>
  <c r="G373" i="260"/>
  <c r="AD678" i="260"/>
  <c r="AV324" i="260"/>
  <c r="AQ120" i="260"/>
  <c r="AD627" i="260"/>
  <c r="G348" i="260"/>
  <c r="BM408" i="260"/>
  <c r="J471" i="260"/>
  <c r="AQ415" i="260"/>
  <c r="Z710" i="260"/>
  <c r="BJ303" i="260"/>
  <c r="AN173" i="260"/>
  <c r="V398" i="260"/>
  <c r="BQ276" i="260"/>
  <c r="AZ201" i="260"/>
  <c r="AH108" i="260"/>
  <c r="AD637" i="260"/>
  <c r="AQ460" i="260"/>
  <c r="R401" i="260"/>
  <c r="R745" i="260"/>
  <c r="G531" i="260"/>
  <c r="BQ607" i="260"/>
  <c r="BU205" i="260"/>
  <c r="G667" i="260"/>
  <c r="AH336" i="260"/>
  <c r="AZ458" i="260"/>
  <c r="BM361" i="260"/>
  <c r="BQ587" i="260"/>
  <c r="G713" i="260"/>
  <c r="BM215" i="260"/>
  <c r="Z342" i="260"/>
  <c r="BF723" i="260"/>
  <c r="AQ260" i="260"/>
  <c r="BM397" i="260"/>
  <c r="BM336" i="260"/>
  <c r="N118" i="260"/>
  <c r="AN126" i="260"/>
  <c r="Z235" i="260"/>
  <c r="AH141" i="260"/>
  <c r="AN692" i="260"/>
  <c r="G260" i="260"/>
  <c r="AH91" i="260"/>
  <c r="BJ659" i="260"/>
  <c r="N171" i="260"/>
  <c r="BQ703" i="260"/>
  <c r="V653" i="260"/>
  <c r="BF249" i="260"/>
  <c r="BF558" i="260"/>
  <c r="N585" i="260"/>
  <c r="AV259" i="260"/>
  <c r="BJ731" i="260"/>
  <c r="BF401" i="260"/>
  <c r="AV159" i="260"/>
  <c r="BM103" i="260"/>
  <c r="Z142" i="260"/>
  <c r="AQ672" i="260"/>
  <c r="R207" i="260"/>
  <c r="BF726" i="260"/>
  <c r="BU620" i="260"/>
  <c r="R643" i="260"/>
  <c r="BU407" i="260"/>
  <c r="BQ728" i="260"/>
  <c r="AQ568" i="260"/>
  <c r="BQ622" i="260"/>
  <c r="J95" i="260"/>
  <c r="J125" i="260"/>
  <c r="BJ447" i="260"/>
  <c r="J128" i="260"/>
  <c r="BU173" i="260"/>
  <c r="AZ567" i="260"/>
  <c r="AD489" i="260"/>
  <c r="BU639" i="260"/>
  <c r="AZ488" i="260"/>
  <c r="BU683" i="260"/>
  <c r="N226" i="260"/>
  <c r="R597" i="260"/>
  <c r="AD238" i="260"/>
  <c r="BJ319" i="260"/>
  <c r="AN525" i="260"/>
  <c r="BF610" i="260"/>
  <c r="AQ86" i="260"/>
  <c r="AN698" i="260"/>
  <c r="G678" i="260"/>
  <c r="BU291" i="260"/>
  <c r="BQ767" i="260"/>
  <c r="AQ433" i="260"/>
  <c r="Z540" i="260"/>
  <c r="G114" i="260"/>
  <c r="R328" i="260"/>
  <c r="AD517" i="260"/>
  <c r="AH296" i="260"/>
  <c r="BF576" i="260"/>
  <c r="V102" i="260"/>
  <c r="BJ653" i="260"/>
  <c r="BF712" i="260"/>
  <c r="R770" i="260"/>
  <c r="Z365" i="260"/>
  <c r="BJ377" i="260"/>
  <c r="AZ502" i="260"/>
  <c r="BJ666" i="260"/>
  <c r="AQ637" i="260"/>
  <c r="BQ698" i="260"/>
  <c r="BJ733" i="260"/>
  <c r="BJ387" i="260"/>
  <c r="AZ520" i="260"/>
  <c r="AQ215" i="260"/>
  <c r="V160" i="260"/>
  <c r="AV720" i="260"/>
  <c r="BU550" i="260"/>
  <c r="R120" i="260"/>
  <c r="R237" i="260"/>
  <c r="R574" i="260"/>
  <c r="Z408" i="260"/>
  <c r="AD467" i="260"/>
  <c r="N716" i="260"/>
  <c r="BU667" i="260"/>
  <c r="BQ542" i="260"/>
  <c r="AH538" i="260"/>
  <c r="AH597" i="260"/>
  <c r="G191" i="260"/>
  <c r="V365" i="260"/>
  <c r="J323" i="260"/>
  <c r="BF456" i="260"/>
  <c r="AD525" i="260"/>
  <c r="AH255" i="260"/>
  <c r="BU159" i="260"/>
  <c r="BQ744" i="260"/>
  <c r="AN738" i="260"/>
  <c r="AN323" i="260"/>
  <c r="BU442" i="260"/>
  <c r="AH723" i="260"/>
  <c r="N430" i="260"/>
  <c r="V145" i="260"/>
  <c r="AD275" i="260"/>
  <c r="BF602" i="260"/>
  <c r="G473" i="260"/>
  <c r="J339" i="260"/>
  <c r="AN243" i="260"/>
  <c r="AH677" i="260"/>
  <c r="J313" i="260"/>
  <c r="BF303" i="260"/>
  <c r="AQ662" i="260"/>
  <c r="AD242" i="260"/>
  <c r="R128" i="260"/>
  <c r="AH591" i="260"/>
  <c r="BJ441" i="260"/>
  <c r="BJ147" i="260"/>
  <c r="Z247" i="260"/>
  <c r="J114" i="260"/>
  <c r="V635" i="260"/>
  <c r="AQ513" i="260"/>
  <c r="AQ755" i="260"/>
  <c r="N639" i="260"/>
  <c r="BF121" i="260"/>
  <c r="AN517" i="260"/>
  <c r="AZ590" i="260"/>
  <c r="AH133" i="260"/>
  <c r="Z402" i="260"/>
  <c r="AQ555" i="260"/>
  <c r="BM230" i="260"/>
  <c r="J191" i="260"/>
  <c r="AD762" i="260"/>
  <c r="BQ686" i="260"/>
  <c r="J710" i="260"/>
  <c r="J715" i="260"/>
  <c r="BM206" i="260"/>
  <c r="Z714" i="260"/>
  <c r="V88" i="260"/>
  <c r="AH708" i="260"/>
  <c r="BF713" i="260"/>
  <c r="AV287" i="260"/>
  <c r="AV488" i="260"/>
  <c r="BJ739" i="260"/>
  <c r="AN718" i="260"/>
  <c r="V621" i="260"/>
  <c r="BJ767" i="260"/>
  <c r="BQ392" i="260"/>
  <c r="Z218" i="260"/>
  <c r="Z376" i="260"/>
  <c r="V534" i="260"/>
  <c r="R110" i="260"/>
  <c r="AH364" i="260"/>
  <c r="AQ742" i="260"/>
  <c r="N665" i="260"/>
  <c r="AZ519" i="260"/>
  <c r="AN135" i="260"/>
  <c r="AZ630" i="260"/>
  <c r="BQ615" i="260"/>
  <c r="BM559" i="260"/>
  <c r="J202" i="260"/>
  <c r="AD287" i="260"/>
  <c r="AD370" i="260"/>
  <c r="BQ388" i="260"/>
  <c r="AN644" i="260"/>
  <c r="AH213" i="260"/>
  <c r="AZ514" i="260"/>
  <c r="BM609" i="260"/>
  <c r="V322" i="260"/>
  <c r="AN277" i="260"/>
  <c r="R86" i="260"/>
  <c r="Z201" i="260"/>
  <c r="BF536" i="260"/>
  <c r="AN770" i="260"/>
  <c r="AV391" i="260"/>
  <c r="Z132" i="260"/>
  <c r="AH447" i="260"/>
  <c r="Z525" i="260"/>
  <c r="Z487" i="260"/>
  <c r="BJ464" i="260"/>
  <c r="R498" i="260"/>
  <c r="N480" i="260"/>
  <c r="AZ208" i="260"/>
  <c r="N300" i="260"/>
  <c r="AZ449" i="260"/>
  <c r="AD631" i="260"/>
  <c r="J289" i="260"/>
  <c r="Z100" i="260"/>
  <c r="Z728" i="260"/>
  <c r="J276" i="260"/>
  <c r="Z269" i="260"/>
  <c r="AH249" i="260"/>
  <c r="Z575" i="260"/>
  <c r="AV517" i="260"/>
  <c r="N681" i="260"/>
  <c r="AD581" i="260"/>
  <c r="AQ697" i="260"/>
  <c r="AV725" i="260"/>
  <c r="V235" i="260"/>
  <c r="AD421" i="260"/>
  <c r="AN355" i="260"/>
  <c r="AH673" i="260"/>
  <c r="J584" i="260"/>
  <c r="Z614" i="260"/>
  <c r="BJ351" i="260"/>
  <c r="BM725" i="260"/>
  <c r="R461" i="260"/>
  <c r="AQ314" i="260"/>
  <c r="BU687" i="260"/>
  <c r="BU163" i="260"/>
  <c r="AZ309" i="260"/>
  <c r="BU351" i="260"/>
  <c r="G491" i="260"/>
  <c r="Z184" i="260"/>
  <c r="BM707" i="260"/>
  <c r="BQ706" i="260"/>
  <c r="AH771" i="260"/>
  <c r="BU737" i="260"/>
  <c r="Z241" i="260"/>
  <c r="BJ250" i="260"/>
  <c r="AH669" i="260"/>
  <c r="BQ123" i="260"/>
  <c r="Z630" i="260"/>
  <c r="BU744" i="260"/>
  <c r="R355" i="260"/>
  <c r="AH374" i="260"/>
  <c r="AH107" i="260"/>
  <c r="AH385" i="260"/>
  <c r="AZ116" i="260"/>
  <c r="BJ395" i="260"/>
  <c r="BM648" i="260"/>
  <c r="J90" i="260"/>
  <c r="G386" i="260"/>
  <c r="BM346" i="260"/>
  <c r="G398" i="260"/>
  <c r="AZ535" i="260"/>
  <c r="R99" i="260"/>
  <c r="BJ115" i="260"/>
  <c r="AZ492" i="260"/>
  <c r="G231" i="260"/>
  <c r="AZ742" i="260"/>
  <c r="BQ274" i="260"/>
  <c r="V737" i="260"/>
  <c r="AV746" i="260"/>
  <c r="R493" i="260"/>
  <c r="AV156" i="260"/>
  <c r="G487" i="260"/>
  <c r="V87" i="260"/>
  <c r="BF396" i="260"/>
  <c r="AV685" i="260"/>
  <c r="BU505" i="260"/>
  <c r="N608" i="260"/>
  <c r="BF296" i="260"/>
  <c r="Z622" i="260"/>
  <c r="BU769" i="260"/>
  <c r="Z330" i="260"/>
  <c r="AZ340" i="260"/>
  <c r="BJ299" i="260"/>
  <c r="AZ608" i="260"/>
  <c r="G471" i="260"/>
  <c r="V410" i="260"/>
  <c r="AH287" i="260"/>
  <c r="Z464" i="260"/>
  <c r="AQ352" i="260"/>
  <c r="N447" i="260"/>
  <c r="AV593" i="260"/>
  <c r="BU742" i="260"/>
  <c r="AN472" i="260"/>
  <c r="BU332" i="260"/>
  <c r="J366" i="260"/>
  <c r="BQ120" i="260"/>
  <c r="Z121" i="260"/>
  <c r="AQ174" i="260"/>
  <c r="J411" i="260"/>
  <c r="J171" i="260"/>
  <c r="N239" i="260"/>
  <c r="AV548" i="260"/>
  <c r="R761" i="260"/>
  <c r="AH571" i="260"/>
  <c r="V662" i="260"/>
  <c r="BJ266" i="260"/>
  <c r="N181" i="260"/>
  <c r="AV174" i="260"/>
  <c r="R587" i="260"/>
  <c r="J85" i="260"/>
  <c r="BM151" i="260"/>
  <c r="Z381" i="260"/>
  <c r="BF676" i="260"/>
  <c r="G345" i="260"/>
  <c r="Z94" i="260"/>
  <c r="BU574" i="260"/>
  <c r="R106" i="260"/>
  <c r="J459" i="260"/>
  <c r="AD719" i="260"/>
  <c r="V455" i="260"/>
  <c r="BU373" i="260"/>
  <c r="V348" i="260"/>
  <c r="BQ650" i="260"/>
  <c r="AQ80" i="260"/>
  <c r="BQ596" i="260"/>
  <c r="J514" i="260"/>
  <c r="AZ559" i="260"/>
  <c r="AZ440" i="260"/>
  <c r="AV267" i="260"/>
  <c r="BU119" i="260"/>
  <c r="BJ631" i="260"/>
  <c r="AZ307" i="260"/>
  <c r="BU646" i="260"/>
  <c r="AN533" i="260"/>
  <c r="AZ508" i="260"/>
  <c r="V203" i="260"/>
  <c r="AQ125" i="260"/>
  <c r="Z551" i="260"/>
  <c r="BQ318" i="260"/>
  <c r="BM491" i="260"/>
  <c r="R320" i="260"/>
  <c r="G540" i="260"/>
  <c r="Z712" i="260"/>
  <c r="BM678" i="260"/>
  <c r="AV634" i="260"/>
  <c r="BU223" i="260"/>
  <c r="AZ569" i="260"/>
  <c r="BF777" i="260"/>
  <c r="AV608" i="260"/>
  <c r="AD738" i="260"/>
  <c r="AD561" i="260"/>
  <c r="AD612" i="260"/>
  <c r="BQ271" i="260"/>
  <c r="J457" i="260"/>
  <c r="N156" i="260"/>
  <c r="J567" i="260"/>
  <c r="AV335" i="260"/>
  <c r="AN424" i="260"/>
  <c r="BU263" i="260"/>
  <c r="AD80" i="260"/>
  <c r="BQ352" i="260"/>
  <c r="AZ325" i="260"/>
  <c r="AD358" i="260"/>
  <c r="Z316" i="260"/>
  <c r="V647" i="260"/>
  <c r="R462" i="260"/>
  <c r="AN151" i="260"/>
  <c r="BF639" i="260"/>
  <c r="G449" i="260"/>
  <c r="AD501" i="260"/>
  <c r="AN284" i="260"/>
  <c r="R613" i="260"/>
  <c r="AD247" i="260"/>
  <c r="BF706" i="260"/>
  <c r="BF152" i="260"/>
  <c r="AZ642" i="260"/>
  <c r="BJ490" i="260"/>
  <c r="G490" i="260"/>
  <c r="AN122" i="260"/>
  <c r="AV701" i="260"/>
  <c r="BM581" i="260"/>
  <c r="N499" i="260"/>
  <c r="Z263" i="260"/>
  <c r="AV203" i="260"/>
  <c r="G367" i="260"/>
  <c r="AQ546" i="260"/>
  <c r="G177" i="260"/>
  <c r="AN236" i="260"/>
  <c r="G162" i="260"/>
  <c r="J152" i="260"/>
  <c r="J419" i="260"/>
  <c r="BF733" i="260"/>
  <c r="AZ551" i="260"/>
  <c r="N631" i="260"/>
  <c r="AN115" i="260"/>
  <c r="Z455" i="260"/>
  <c r="AQ746" i="260"/>
  <c r="N278" i="260"/>
  <c r="AQ273" i="260"/>
  <c r="AZ500" i="260"/>
  <c r="AN130" i="260"/>
  <c r="AN659" i="260"/>
  <c r="V577" i="260"/>
  <c r="BF114" i="260"/>
  <c r="V251" i="260"/>
  <c r="AD347" i="260"/>
  <c r="N583" i="260"/>
  <c r="BU389" i="260"/>
  <c r="BF336" i="260"/>
  <c r="J547" i="260"/>
  <c r="AN391" i="260"/>
  <c r="AH283" i="260"/>
  <c r="AQ466" i="260"/>
  <c r="AQ249" i="260"/>
  <c r="AQ690" i="260"/>
  <c r="BQ677" i="260"/>
  <c r="AQ766" i="260"/>
  <c r="AD695" i="260"/>
  <c r="AZ547" i="260"/>
  <c r="AN223" i="260"/>
  <c r="AH642" i="260"/>
  <c r="AN452" i="260"/>
  <c r="BJ540" i="260"/>
  <c r="AN397" i="260"/>
  <c r="R575" i="260"/>
  <c r="BM255" i="260"/>
  <c r="V530" i="260"/>
  <c r="N596" i="260"/>
  <c r="V759" i="260"/>
  <c r="J583" i="260"/>
  <c r="J776" i="260"/>
  <c r="N620" i="260"/>
  <c r="AV550" i="260"/>
  <c r="AQ545" i="260"/>
  <c r="V469" i="260"/>
  <c r="BQ670" i="260"/>
  <c r="AV151" i="260"/>
  <c r="BJ81" i="260"/>
  <c r="Z759" i="260"/>
  <c r="Z98" i="260"/>
  <c r="AQ620" i="260"/>
  <c r="N225" i="260"/>
  <c r="V249" i="260"/>
  <c r="AD537" i="260"/>
  <c r="Z280" i="260"/>
  <c r="J739" i="260"/>
  <c r="G255" i="260"/>
  <c r="AQ630" i="260"/>
  <c r="J566" i="260"/>
  <c r="BM299" i="260"/>
  <c r="AV298" i="260"/>
  <c r="BQ106" i="260"/>
  <c r="N544" i="260"/>
  <c r="BU523" i="260"/>
  <c r="AQ598" i="260"/>
  <c r="R198" i="260"/>
  <c r="R250" i="260"/>
  <c r="G743" i="260"/>
  <c r="AH653" i="260"/>
  <c r="BJ662" i="260"/>
  <c r="BF430" i="260"/>
  <c r="AD766" i="260"/>
  <c r="Z665" i="260"/>
  <c r="V523" i="260"/>
  <c r="G190" i="260"/>
  <c r="BM476" i="260"/>
  <c r="BJ546" i="260"/>
  <c r="G142" i="260"/>
  <c r="AV458" i="260"/>
  <c r="J400" i="260"/>
  <c r="BU693" i="260"/>
  <c r="G520" i="260"/>
  <c r="G623" i="260"/>
  <c r="BU394" i="260"/>
  <c r="G272" i="260"/>
  <c r="BM616" i="260"/>
  <c r="AD119" i="260"/>
  <c r="AD567" i="260"/>
  <c r="Z741" i="260"/>
  <c r="J607" i="260"/>
  <c r="AD734" i="260"/>
  <c r="AD141" i="260"/>
  <c r="Z262" i="260"/>
  <c r="R288" i="260"/>
  <c r="AQ718" i="260"/>
  <c r="AH549" i="260"/>
  <c r="BU553" i="260"/>
  <c r="V263" i="260"/>
  <c r="V222" i="260"/>
  <c r="AD111" i="260"/>
  <c r="AQ543" i="260"/>
  <c r="N578" i="260"/>
  <c r="AZ718" i="260"/>
  <c r="G196" i="260"/>
  <c r="BF564" i="260"/>
  <c r="AZ375" i="260"/>
  <c r="BF775" i="260"/>
  <c r="BJ208" i="260"/>
  <c r="G552" i="260"/>
  <c r="V571" i="260"/>
  <c r="AN508" i="260"/>
  <c r="BM281" i="260"/>
  <c r="AQ163" i="260"/>
  <c r="BF644" i="260"/>
  <c r="N273" i="260"/>
  <c r="BU294" i="260"/>
  <c r="AD108" i="260"/>
  <c r="BQ578" i="260"/>
  <c r="BJ622" i="260"/>
  <c r="N567" i="260"/>
  <c r="AD557" i="260"/>
  <c r="BQ411" i="260"/>
  <c r="AZ298" i="260"/>
  <c r="Z428" i="260"/>
  <c r="BF491" i="260"/>
  <c r="BJ719" i="260"/>
  <c r="AD623" i="260"/>
  <c r="AD534" i="260"/>
  <c r="BF297" i="260"/>
  <c r="BF533" i="260"/>
  <c r="AD769" i="260"/>
  <c r="G131" i="260"/>
  <c r="AQ222" i="260"/>
  <c r="AN162" i="260"/>
  <c r="AV491" i="260"/>
  <c r="AN205" i="260"/>
  <c r="V733" i="260"/>
  <c r="R442" i="260"/>
  <c r="BJ621" i="260"/>
  <c r="AQ393" i="260"/>
  <c r="BF83" i="260"/>
  <c r="BU609" i="260"/>
  <c r="BQ375" i="260"/>
  <c r="BF595" i="260"/>
  <c r="J252" i="260"/>
  <c r="BJ140" i="260"/>
  <c r="AN656" i="260"/>
  <c r="N66" i="260"/>
  <c r="AN213" i="260"/>
  <c r="G359" i="260"/>
  <c r="BQ678" i="260"/>
  <c r="BU102" i="260"/>
  <c r="BU128" i="260"/>
  <c r="AZ762" i="260"/>
  <c r="V389" i="260"/>
  <c r="AN351" i="260"/>
  <c r="R717" i="260"/>
  <c r="AD586" i="260"/>
  <c r="BM660" i="260"/>
  <c r="AQ350" i="260"/>
  <c r="V736" i="260"/>
  <c r="BQ763" i="260"/>
  <c r="BJ197" i="260"/>
  <c r="V460" i="260"/>
  <c r="AH357" i="260"/>
  <c r="N434" i="260"/>
  <c r="BU771" i="260"/>
  <c r="AV290" i="260"/>
  <c r="BM131" i="260"/>
  <c r="J728" i="260"/>
  <c r="Z514" i="260"/>
  <c r="V630" i="260"/>
  <c r="Z188" i="260"/>
  <c r="BU510" i="260"/>
  <c r="BQ430" i="260"/>
  <c r="AN297" i="260"/>
  <c r="Z190" i="260"/>
  <c r="J516" i="260"/>
  <c r="BJ355" i="260"/>
  <c r="V291" i="260"/>
  <c r="Z260" i="260"/>
  <c r="Z332" i="260"/>
  <c r="Z692" i="260"/>
  <c r="AD301" i="260"/>
  <c r="BF527" i="260"/>
  <c r="AV235" i="260"/>
  <c r="V132" i="260"/>
  <c r="AQ228" i="260"/>
  <c r="AZ746" i="260"/>
  <c r="BF607" i="260"/>
  <c r="AD101" i="260"/>
  <c r="AQ208" i="260"/>
  <c r="AN131" i="260"/>
  <c r="G322" i="260"/>
  <c r="G625" i="260"/>
  <c r="AV619" i="260"/>
  <c r="V756" i="260"/>
  <c r="BU544" i="260"/>
  <c r="G447" i="260"/>
  <c r="AZ280" i="260"/>
  <c r="AN761" i="260"/>
  <c r="AD553" i="260"/>
  <c r="G185" i="260"/>
  <c r="J334" i="260"/>
  <c r="AN465" i="260"/>
  <c r="V500" i="260"/>
  <c r="AV377" i="260"/>
  <c r="AZ700" i="260"/>
  <c r="BJ414" i="260"/>
  <c r="Z346" i="260"/>
  <c r="AZ373" i="260"/>
  <c r="AH658" i="260"/>
  <c r="AD282" i="260"/>
  <c r="R219" i="260"/>
  <c r="J565" i="260"/>
  <c r="Z352" i="260"/>
  <c r="BU142" i="260"/>
  <c r="BF421" i="260"/>
  <c r="AD293" i="260"/>
  <c r="G330" i="260"/>
  <c r="R724" i="260"/>
  <c r="J319" i="260"/>
  <c r="BM162" i="260"/>
  <c r="AV167" i="260"/>
  <c r="Z231" i="260"/>
  <c r="J571" i="260"/>
  <c r="BJ608" i="260"/>
  <c r="AV422" i="260"/>
  <c r="AV687" i="260"/>
  <c r="AZ648" i="260"/>
  <c r="BU387" i="260"/>
  <c r="Z501" i="260"/>
  <c r="BM721" i="260"/>
  <c r="AN589" i="260"/>
  <c r="G362" i="260"/>
  <c r="AH376" i="260"/>
  <c r="AD184" i="260"/>
  <c r="BF307" i="260"/>
  <c r="BM537" i="260"/>
  <c r="BM490" i="260"/>
  <c r="AD383" i="260"/>
  <c r="G336" i="260"/>
  <c r="AV96" i="260"/>
  <c r="G684" i="260"/>
  <c r="BM401" i="260"/>
  <c r="J116" i="260"/>
  <c r="N619" i="260"/>
  <c r="AV755" i="260"/>
  <c r="BQ653" i="260"/>
  <c r="BU551" i="260"/>
  <c r="AN468" i="260"/>
  <c r="Z92" i="260"/>
  <c r="BQ232" i="260"/>
  <c r="AH203" i="260"/>
  <c r="BJ750" i="260"/>
  <c r="AD412" i="260"/>
  <c r="AZ776" i="260"/>
  <c r="V167" i="260"/>
  <c r="N216" i="260"/>
  <c r="AD699" i="260"/>
  <c r="AH205" i="260"/>
  <c r="AH188" i="260"/>
  <c r="BJ239" i="260"/>
  <c r="AH469" i="260"/>
  <c r="V624" i="260"/>
  <c r="BU412" i="260"/>
  <c r="BM422" i="260"/>
  <c r="V684" i="260"/>
  <c r="R382" i="260"/>
  <c r="AQ661" i="260"/>
  <c r="AN114" i="260"/>
  <c r="AV768" i="260"/>
  <c r="BF569" i="260"/>
  <c r="BF400" i="260"/>
  <c r="BJ401" i="260"/>
  <c r="BQ520" i="260"/>
  <c r="BM375" i="260"/>
  <c r="AD384" i="260"/>
  <c r="BU160" i="260"/>
  <c r="N519" i="260"/>
  <c r="AQ657" i="260"/>
  <c r="J613" i="260"/>
  <c r="BU752" i="260"/>
  <c r="BJ444" i="260"/>
  <c r="Z518" i="260"/>
  <c r="N265" i="260"/>
  <c r="BM96" i="260"/>
  <c r="AH737" i="260"/>
  <c r="AH440" i="260"/>
  <c r="Z113" i="260"/>
  <c r="BJ370" i="260"/>
  <c r="AD299" i="260"/>
  <c r="G130" i="260"/>
  <c r="AD708" i="260"/>
  <c r="BQ630" i="260"/>
  <c r="G364" i="260"/>
  <c r="BQ692" i="260"/>
  <c r="BM181" i="260"/>
  <c r="R173" i="260"/>
  <c r="BJ474" i="260"/>
  <c r="BF258" i="260"/>
  <c r="AQ169" i="260"/>
  <c r="R413" i="260"/>
  <c r="R481" i="260"/>
  <c r="AV452" i="260"/>
  <c r="BQ170" i="260"/>
  <c r="Z297" i="260"/>
  <c r="G147" i="260"/>
  <c r="V750" i="260"/>
  <c r="AV776" i="260"/>
  <c r="BQ126" i="260"/>
  <c r="V516" i="260"/>
  <c r="BU281" i="260"/>
  <c r="G476" i="260"/>
  <c r="R668" i="260"/>
  <c r="BM116" i="260"/>
  <c r="G758" i="260"/>
  <c r="BF292" i="260"/>
  <c r="J498" i="260"/>
  <c r="N565" i="260"/>
  <c r="N405" i="260"/>
  <c r="Z700" i="260"/>
  <c r="N560" i="260"/>
  <c r="AZ206" i="260"/>
  <c r="AD711" i="260"/>
  <c r="AH770" i="260"/>
  <c r="R521" i="260"/>
  <c r="N656" i="260"/>
  <c r="G658" i="260"/>
  <c r="N488" i="260"/>
  <c r="J502" i="260"/>
  <c r="BF382" i="260"/>
  <c r="BF466" i="260"/>
  <c r="BU778" i="260"/>
  <c r="AV266" i="260"/>
  <c r="AV263" i="260"/>
  <c r="AV606" i="260"/>
  <c r="BM357" i="260"/>
  <c r="G366" i="260"/>
  <c r="N736" i="260"/>
  <c r="G313" i="260"/>
  <c r="R656" i="260"/>
  <c r="AN148" i="260"/>
  <c r="AQ569" i="260"/>
  <c r="Z183" i="260"/>
  <c r="N335" i="260"/>
  <c r="Z572" i="260"/>
  <c r="Z215" i="260"/>
  <c r="BQ356" i="260"/>
  <c r="BU751" i="260"/>
  <c r="V551" i="260"/>
  <c r="Z648" i="260"/>
  <c r="G659" i="260"/>
  <c r="V230" i="260"/>
  <c r="AN109" i="260"/>
  <c r="N476" i="260"/>
  <c r="J386" i="260"/>
  <c r="N600" i="260"/>
  <c r="AD615" i="260"/>
  <c r="Z110" i="260"/>
  <c r="AN451" i="260"/>
  <c r="R366" i="260"/>
  <c r="R662" i="260"/>
  <c r="AN331" i="260"/>
  <c r="BQ624" i="260"/>
  <c r="AZ248" i="260"/>
  <c r="BF321" i="260"/>
  <c r="AH561" i="260"/>
  <c r="BF330" i="260"/>
  <c r="N648" i="260"/>
  <c r="BJ428" i="260"/>
  <c r="AN182" i="260"/>
  <c r="G634" i="260"/>
  <c r="BJ381" i="260"/>
  <c r="AH193" i="260"/>
  <c r="BQ500" i="260"/>
  <c r="BJ218" i="260"/>
  <c r="AZ96" i="260"/>
  <c r="BF759" i="260"/>
  <c r="N205" i="260"/>
  <c r="G408" i="260"/>
  <c r="AZ598" i="260"/>
  <c r="V221" i="260"/>
  <c r="BQ701" i="260"/>
  <c r="AN275" i="260"/>
  <c r="AZ727" i="260"/>
  <c r="AQ97" i="260"/>
  <c r="V334" i="260"/>
  <c r="AQ135" i="260"/>
  <c r="BF322" i="260"/>
  <c r="Z89" i="260"/>
  <c r="AV748" i="260"/>
  <c r="R125" i="260"/>
  <c r="BJ614" i="260"/>
  <c r="AD273" i="260"/>
  <c r="AQ621" i="260"/>
  <c r="BJ359" i="260"/>
  <c r="Z122" i="260"/>
  <c r="J730" i="260"/>
  <c r="R453" i="260"/>
  <c r="AQ734" i="260"/>
  <c r="Z181" i="260"/>
  <c r="AH631" i="260"/>
  <c r="AN110" i="260"/>
  <c r="AH146" i="260"/>
  <c r="N588" i="260"/>
  <c r="Z270" i="260"/>
  <c r="J639" i="260"/>
  <c r="BQ278" i="260"/>
  <c r="AN238" i="260"/>
  <c r="AQ477" i="260"/>
  <c r="BQ336" i="260"/>
  <c r="Z125" i="260"/>
  <c r="G598" i="260"/>
  <c r="R723" i="260"/>
  <c r="Z282" i="260"/>
  <c r="AZ564" i="260"/>
  <c r="R388" i="260"/>
  <c r="Z508" i="260"/>
  <c r="AV738" i="260"/>
  <c r="AV581" i="260"/>
  <c r="AD349" i="260"/>
  <c r="BU240" i="260"/>
  <c r="Z284" i="260"/>
  <c r="BU480" i="260"/>
  <c r="V670" i="260"/>
  <c r="AH218" i="260"/>
  <c r="AZ555" i="260"/>
  <c r="BQ163" i="260"/>
  <c r="Z191" i="260"/>
  <c r="N695" i="260"/>
  <c r="BU660" i="260"/>
  <c r="AQ687" i="260"/>
  <c r="BQ125" i="260"/>
  <c r="J446" i="260"/>
  <c r="AH355" i="260"/>
  <c r="AQ266" i="260"/>
  <c r="N715" i="260"/>
  <c r="BM106" i="260"/>
  <c r="N111" i="260"/>
  <c r="AV200" i="260"/>
  <c r="BU401" i="260"/>
  <c r="AV405" i="260"/>
  <c r="AN417" i="260"/>
  <c r="AD218" i="260"/>
  <c r="BM492" i="260"/>
  <c r="BM738" i="260"/>
  <c r="AH526" i="260"/>
  <c r="AH155" i="260"/>
  <c r="AZ297" i="260"/>
  <c r="J528" i="260"/>
  <c r="AQ373" i="260"/>
  <c r="BM656" i="260"/>
  <c r="N284" i="260"/>
  <c r="AN421" i="260"/>
  <c r="G537" i="260"/>
  <c r="R684" i="260"/>
  <c r="AV622" i="260"/>
  <c r="BJ577" i="260"/>
  <c r="R638" i="260"/>
  <c r="AN276" i="260"/>
  <c r="R578" i="260"/>
  <c r="G457" i="260"/>
  <c r="AV352" i="260"/>
  <c r="N178" i="260"/>
  <c r="AD682" i="260"/>
  <c r="BF680" i="260"/>
  <c r="AQ369" i="260"/>
  <c r="AN338" i="260"/>
  <c r="BQ662" i="260"/>
  <c r="J742" i="260"/>
  <c r="AV549" i="260"/>
  <c r="BQ417" i="260"/>
  <c r="BF549" i="260"/>
  <c r="AV478" i="260"/>
  <c r="J653" i="260"/>
  <c r="BU696" i="260"/>
  <c r="AD650" i="260"/>
  <c r="AH416" i="260"/>
  <c r="AQ692" i="260"/>
  <c r="BJ776" i="260"/>
  <c r="BU548" i="260"/>
  <c r="AV423" i="260"/>
  <c r="BQ240" i="260"/>
  <c r="J568" i="260"/>
  <c r="BJ690" i="260"/>
  <c r="V507" i="260"/>
  <c r="AH753" i="260"/>
  <c r="AN396" i="260"/>
  <c r="AZ595" i="260"/>
  <c r="BQ608" i="260"/>
  <c r="N190" i="260"/>
  <c r="BF263" i="260"/>
  <c r="V424" i="260"/>
  <c r="AH524" i="260"/>
  <c r="BU200" i="260"/>
  <c r="AH285" i="260"/>
  <c r="R392" i="260"/>
  <c r="AV262" i="260"/>
  <c r="J175" i="260"/>
  <c r="AD169" i="260"/>
  <c r="Z320" i="260"/>
  <c r="BJ269" i="260"/>
  <c r="AD643" i="260"/>
  <c r="AN242" i="260"/>
  <c r="AZ585" i="260"/>
  <c r="V127" i="260"/>
  <c r="BU628" i="260"/>
  <c r="J231" i="260"/>
  <c r="AQ402" i="260"/>
  <c r="AZ652" i="260"/>
  <c r="BQ516" i="260"/>
  <c r="Z556" i="260"/>
  <c r="Z573" i="260"/>
  <c r="Z207" i="260"/>
  <c r="AV399" i="260"/>
  <c r="AQ516" i="260"/>
  <c r="AZ676" i="260"/>
  <c r="BM625" i="260"/>
  <c r="R338" i="260"/>
  <c r="AZ334" i="260"/>
  <c r="R589" i="260"/>
  <c r="AH294" i="260"/>
  <c r="AN596" i="260"/>
  <c r="R141" i="260"/>
  <c r="V531" i="260"/>
  <c r="AN544" i="260"/>
  <c r="BU248" i="260"/>
  <c r="G470" i="260"/>
  <c r="N733" i="260"/>
  <c r="AN677" i="260"/>
  <c r="BF208" i="260"/>
  <c r="R197" i="260"/>
  <c r="R182" i="260"/>
  <c r="N732" i="260"/>
  <c r="R456" i="260"/>
  <c r="N553" i="260"/>
  <c r="N115" i="260"/>
  <c r="AH678" i="260"/>
  <c r="R691" i="260"/>
  <c r="BQ245" i="260"/>
  <c r="AH489" i="260"/>
  <c r="BJ467" i="260"/>
  <c r="AQ328" i="260"/>
  <c r="Z471" i="260"/>
  <c r="AD271" i="260"/>
  <c r="AQ346" i="260"/>
  <c r="AZ156" i="260"/>
  <c r="AN280" i="260"/>
  <c r="BJ657" i="260"/>
  <c r="AD212" i="260"/>
  <c r="Z767" i="260"/>
  <c r="Z324" i="260"/>
  <c r="G465" i="260"/>
  <c r="AV562" i="260"/>
  <c r="BF552" i="260"/>
  <c r="R552" i="260"/>
  <c r="AD552" i="260"/>
  <c r="AZ660" i="260"/>
  <c r="AN265" i="260"/>
  <c r="AZ618" i="260"/>
  <c r="BU443" i="260"/>
  <c r="Z185" i="260"/>
  <c r="N621" i="260"/>
  <c r="N133" i="260"/>
  <c r="N106" i="260"/>
  <c r="AN652" i="260"/>
  <c r="N356" i="260"/>
  <c r="BF502" i="260"/>
  <c r="G250" i="260"/>
  <c r="AQ617" i="260"/>
  <c r="AQ677" i="260"/>
  <c r="N663" i="260"/>
  <c r="AH772" i="260"/>
  <c r="G88" i="260"/>
  <c r="AD110" i="260"/>
  <c r="BQ661" i="260"/>
  <c r="Z511" i="260"/>
  <c r="N692" i="260"/>
  <c r="J383" i="260"/>
  <c r="AZ423" i="260"/>
  <c r="Z437" i="260"/>
  <c r="J652" i="260"/>
  <c r="AQ153" i="260"/>
  <c r="BU578" i="260"/>
  <c r="AQ151" i="260"/>
  <c r="AN199" i="260"/>
  <c r="AN234" i="260"/>
  <c r="J736" i="260"/>
  <c r="V488" i="260"/>
  <c r="AN769" i="260"/>
  <c r="AD596" i="260"/>
  <c r="AD243" i="260"/>
  <c r="V270" i="260"/>
  <c r="V450" i="260"/>
  <c r="Z478" i="260"/>
  <c r="BJ151" i="260"/>
  <c r="R715" i="260"/>
  <c r="AV164" i="260"/>
  <c r="AZ772" i="260"/>
  <c r="BJ538" i="260"/>
  <c r="V764" i="260"/>
  <c r="BJ396" i="260"/>
  <c r="BQ270" i="260"/>
  <c r="R716" i="260"/>
  <c r="J548" i="260"/>
  <c r="BQ386" i="260"/>
  <c r="AD742" i="260"/>
  <c r="BF761" i="260"/>
  <c r="AQ366" i="260"/>
  <c r="AZ758" i="260"/>
  <c r="AQ259" i="260"/>
  <c r="AD103" i="260"/>
  <c r="AD436" i="260"/>
  <c r="BU533" i="260"/>
  <c r="AN412" i="260"/>
  <c r="R488" i="260"/>
  <c r="V118" i="260"/>
  <c r="AH572" i="260"/>
  <c r="AQ290" i="260"/>
  <c r="N610" i="260"/>
  <c r="J699" i="260"/>
  <c r="AH444" i="260"/>
  <c r="V82" i="260"/>
  <c r="G281" i="260"/>
  <c r="AQ667" i="260"/>
  <c r="G403" i="260"/>
  <c r="G726" i="260"/>
  <c r="V109" i="260"/>
  <c r="Z109" i="260"/>
  <c r="AH297" i="260"/>
  <c r="AN262" i="260"/>
  <c r="Z649" i="260"/>
  <c r="AD687" i="260"/>
  <c r="BQ580" i="260"/>
  <c r="BJ448" i="260"/>
  <c r="AQ305" i="260"/>
  <c r="J596" i="260"/>
  <c r="G716" i="260"/>
  <c r="AQ212" i="260"/>
  <c r="AN302" i="260"/>
  <c r="AZ495" i="260"/>
  <c r="AN163" i="260"/>
  <c r="J337" i="260"/>
  <c r="BQ122" i="260"/>
  <c r="AQ108" i="260"/>
  <c r="AH553" i="260"/>
  <c r="AZ393" i="260"/>
  <c r="AD410" i="260"/>
  <c r="BQ618" i="260"/>
  <c r="Z699" i="260"/>
  <c r="J490" i="260"/>
  <c r="N390" i="260"/>
  <c r="BF391" i="260"/>
  <c r="N706" i="260"/>
  <c r="Z639" i="260"/>
  <c r="J686" i="260"/>
  <c r="R730" i="260"/>
  <c r="N150" i="260"/>
  <c r="N542" i="260"/>
  <c r="BQ146" i="260"/>
  <c r="BU237" i="260"/>
  <c r="AD723" i="260"/>
  <c r="V115" i="260"/>
  <c r="BJ87" i="260"/>
  <c r="AN270" i="260"/>
  <c r="AV206" i="260"/>
  <c r="AH392" i="260"/>
  <c r="AN141" i="260"/>
  <c r="R383" i="260"/>
  <c r="BU484" i="260"/>
  <c r="J478" i="260"/>
  <c r="G731" i="260"/>
  <c r="AD634" i="260"/>
  <c r="AD433" i="260"/>
  <c r="V175" i="260"/>
  <c r="N251" i="260"/>
  <c r="BJ119" i="260"/>
  <c r="AV302" i="260"/>
  <c r="J737" i="260"/>
  <c r="Z615" i="260"/>
  <c r="AH185" i="260"/>
  <c r="AQ419" i="260"/>
  <c r="AN631" i="260"/>
  <c r="V358" i="260"/>
  <c r="BF386" i="260"/>
  <c r="G653" i="260"/>
  <c r="BM243" i="260"/>
  <c r="BJ134" i="260"/>
  <c r="G397" i="260"/>
  <c r="AH709" i="260"/>
  <c r="N296" i="260"/>
  <c r="AD764" i="260"/>
  <c r="AZ443" i="260"/>
  <c r="R433" i="260"/>
  <c r="BM590" i="260"/>
  <c r="J550" i="260"/>
  <c r="BJ411" i="260"/>
  <c r="AN621" i="260"/>
  <c r="G493" i="260"/>
  <c r="AQ652" i="260"/>
  <c r="AZ210" i="260"/>
  <c r="V112" i="260"/>
  <c r="BU115" i="260"/>
  <c r="BJ542" i="260"/>
  <c r="AQ296" i="260"/>
  <c r="N690" i="260"/>
  <c r="BQ696" i="260"/>
  <c r="AZ761" i="260"/>
  <c r="G245" i="260"/>
  <c r="BF87" i="260"/>
  <c r="AQ332" i="260"/>
  <c r="BU321" i="260"/>
  <c r="BF523" i="260"/>
  <c r="AN622" i="260"/>
  <c r="G158" i="260"/>
  <c r="Z623" i="260"/>
  <c r="N101" i="260"/>
  <c r="AQ682" i="260"/>
  <c r="AV682" i="260"/>
  <c r="BU582" i="260"/>
  <c r="BJ716" i="260"/>
  <c r="BF583" i="260"/>
  <c r="AH192" i="260"/>
  <c r="R311" i="260"/>
  <c r="G138" i="260"/>
  <c r="J347" i="260"/>
  <c r="Z315" i="260"/>
  <c r="G90" i="260"/>
  <c r="Z385" i="260"/>
  <c r="AV345" i="260"/>
  <c r="R200" i="260"/>
  <c r="AZ121" i="260"/>
  <c r="AN469" i="260"/>
  <c r="AD173" i="260"/>
  <c r="J109" i="260"/>
  <c r="AQ128" i="260"/>
  <c r="BQ114" i="260"/>
  <c r="AZ578" i="260"/>
  <c r="AV176" i="260"/>
  <c r="AH480" i="260"/>
  <c r="AH180" i="260"/>
  <c r="R115" i="260"/>
  <c r="AQ200" i="260"/>
  <c r="BQ467" i="260"/>
  <c r="BF116" i="260"/>
  <c r="AH147" i="260"/>
  <c r="J615" i="260"/>
  <c r="AD543" i="260"/>
  <c r="G160" i="260"/>
  <c r="V772" i="260"/>
  <c r="AN558" i="260"/>
  <c r="BJ321" i="260"/>
  <c r="AD233" i="260"/>
  <c r="BF659" i="260"/>
  <c r="J672" i="260"/>
  <c r="R351" i="260"/>
  <c r="BQ621" i="260"/>
  <c r="R365" i="260"/>
  <c r="AZ664" i="260"/>
  <c r="AZ666" i="260"/>
  <c r="BF717" i="260"/>
  <c r="J614" i="260"/>
  <c r="BF690" i="260"/>
  <c r="AN149" i="260"/>
  <c r="BQ476" i="260"/>
  <c r="BM712" i="260"/>
  <c r="AN670" i="260"/>
  <c r="AH739" i="260"/>
  <c r="J727" i="260"/>
  <c r="R225" i="260"/>
  <c r="AV658" i="260"/>
  <c r="AN346" i="260"/>
  <c r="J145" i="260"/>
  <c r="AD445" i="260"/>
  <c r="BJ280" i="260"/>
  <c r="R190" i="260"/>
  <c r="BU623" i="260"/>
  <c r="BM505" i="260"/>
  <c r="V135" i="260"/>
  <c r="BF197" i="260"/>
  <c r="AQ241" i="260"/>
  <c r="V190" i="260"/>
  <c r="Z566" i="260"/>
  <c r="BJ343" i="260"/>
  <c r="V614" i="260"/>
  <c r="AN378" i="260"/>
  <c r="BF565" i="260"/>
  <c r="AZ85" i="260"/>
  <c r="BF387" i="260"/>
  <c r="Z778" i="260"/>
  <c r="V250" i="260"/>
  <c r="BJ747" i="260"/>
  <c r="V700" i="260"/>
  <c r="N163" i="260"/>
  <c r="AV247" i="260"/>
  <c r="AH746" i="260"/>
  <c r="AQ761" i="260"/>
  <c r="G576" i="260"/>
  <c r="BU622" i="260"/>
  <c r="AN84" i="260"/>
  <c r="R765" i="260"/>
  <c r="AH627" i="260"/>
  <c r="J450" i="260"/>
  <c r="BJ598" i="260"/>
  <c r="AH284" i="260"/>
  <c r="AV289" i="260"/>
  <c r="V487" i="260"/>
  <c r="BQ323" i="260"/>
  <c r="BF542" i="260"/>
  <c r="G136" i="260"/>
  <c r="AQ774" i="260"/>
  <c r="BQ511" i="260"/>
  <c r="AQ428" i="260"/>
  <c r="V462" i="260"/>
  <c r="N305" i="260"/>
  <c r="AQ728" i="260"/>
  <c r="BF541" i="260"/>
  <c r="BQ539" i="260"/>
  <c r="AN491" i="260"/>
  <c r="BJ775" i="260"/>
  <c r="Z635" i="260"/>
  <c r="R324" i="260"/>
  <c r="BU380" i="260"/>
  <c r="BF746" i="260"/>
  <c r="AV268" i="260"/>
  <c r="AQ93" i="260"/>
  <c r="AD319" i="260"/>
  <c r="AN471" i="260"/>
  <c r="AQ190" i="260"/>
  <c r="J474" i="260"/>
  <c r="AD746" i="260"/>
  <c r="AD389" i="260"/>
  <c r="BF417" i="260"/>
  <c r="AH555" i="260"/>
  <c r="BM741" i="260"/>
  <c r="BU608" i="260"/>
  <c r="BQ380" i="260"/>
  <c r="R119" i="260"/>
  <c r="V539" i="260"/>
  <c r="AZ109" i="260"/>
  <c r="AN500" i="260"/>
  <c r="AZ599" i="260"/>
  <c r="AD761" i="260"/>
  <c r="V213" i="260"/>
  <c r="G358" i="260"/>
  <c r="AD225" i="260"/>
  <c r="J235" i="260"/>
  <c r="AZ259" i="260"/>
  <c r="BQ445" i="260"/>
  <c r="AN539" i="260"/>
  <c r="Z224" i="260"/>
  <c r="AZ517" i="260"/>
  <c r="AD291" i="260"/>
  <c r="AQ488" i="260"/>
  <c r="AH96" i="260"/>
  <c r="BJ590" i="260"/>
  <c r="AV374" i="260"/>
  <c r="R499" i="260"/>
  <c r="BF643" i="260"/>
  <c r="N128" i="260"/>
  <c r="BQ546" i="260"/>
  <c r="Z735" i="260"/>
  <c r="BM668" i="260"/>
  <c r="AZ597" i="260"/>
  <c r="N414" i="260"/>
  <c r="AQ98" i="260"/>
  <c r="J665" i="260"/>
  <c r="AQ400" i="260"/>
  <c r="V331" i="260"/>
  <c r="Z625" i="260"/>
  <c r="BU700" i="260"/>
  <c r="R85" i="260"/>
  <c r="BJ107" i="260"/>
  <c r="BM430" i="260"/>
  <c r="R307" i="260"/>
  <c r="AQ600" i="260"/>
  <c r="AN150" i="260"/>
  <c r="BQ440" i="260"/>
  <c r="AV383" i="260"/>
  <c r="AZ631" i="260"/>
  <c r="BQ640" i="260"/>
  <c r="BM364" i="260"/>
  <c r="Z517" i="260"/>
  <c r="J543" i="260"/>
  <c r="BJ424" i="260"/>
  <c r="AQ397" i="260"/>
  <c r="AN91" i="260"/>
  <c r="AV744" i="260"/>
  <c r="BJ97" i="260"/>
  <c r="R265" i="260"/>
  <c r="AH123" i="260"/>
  <c r="V276" i="260"/>
  <c r="BM296" i="260"/>
  <c r="AD165" i="260"/>
  <c r="V644" i="260"/>
  <c r="AV486" i="260"/>
  <c r="V425" i="260"/>
  <c r="AV471" i="260"/>
  <c r="AV295" i="260"/>
  <c r="R423" i="260"/>
  <c r="Z259" i="260"/>
  <c r="R101" i="260"/>
  <c r="R194" i="260"/>
  <c r="Z685" i="260"/>
  <c r="AV300" i="260"/>
  <c r="AH272" i="260"/>
  <c r="BF107" i="260"/>
  <c r="V232" i="260"/>
  <c r="BU417" i="260"/>
  <c r="AN250" i="260"/>
  <c r="G508" i="260"/>
  <c r="BF243" i="260"/>
  <c r="AH244" i="260"/>
  <c r="J592" i="260"/>
  <c r="BQ290" i="260"/>
  <c r="V262" i="260"/>
  <c r="BF503" i="260"/>
  <c r="V422" i="260"/>
  <c r="AV617" i="260"/>
  <c r="N407" i="260"/>
  <c r="AD378" i="260"/>
  <c r="AD408" i="260"/>
  <c r="Z606" i="260"/>
  <c r="BJ596" i="260"/>
  <c r="V117" i="260"/>
  <c r="AN550" i="260"/>
  <c r="J593" i="260"/>
  <c r="Z237" i="260"/>
  <c r="BQ374" i="260"/>
  <c r="Z766" i="260"/>
  <c r="BF310" i="260"/>
  <c r="V475" i="260"/>
  <c r="N228" i="260"/>
  <c r="N88" i="260"/>
  <c r="V712" i="260"/>
  <c r="BF453" i="260"/>
  <c r="AZ236" i="260"/>
  <c r="BF631" i="260"/>
  <c r="AN295" i="260"/>
  <c r="BF731" i="260"/>
  <c r="BF458" i="260"/>
  <c r="Z182" i="260"/>
  <c r="BU307" i="260"/>
  <c r="J586" i="260"/>
  <c r="BJ300" i="260"/>
  <c r="N512" i="260"/>
  <c r="AD83" i="260"/>
  <c r="BM692" i="260"/>
  <c r="BM587" i="260"/>
  <c r="AH450" i="260"/>
  <c r="BM600" i="260"/>
  <c r="V100" i="260"/>
  <c r="J669" i="260"/>
  <c r="AH419" i="260"/>
  <c r="AQ751" i="260"/>
  <c r="BJ127" i="260"/>
  <c r="AV208" i="260"/>
  <c r="V241" i="260"/>
  <c r="AZ118" i="260"/>
  <c r="BU614" i="260"/>
  <c r="G218" i="260"/>
  <c r="AH476" i="260"/>
  <c r="AD337" i="260"/>
  <c r="G216" i="260"/>
  <c r="J623" i="260"/>
  <c r="BM536" i="260"/>
  <c r="G460" i="260"/>
  <c r="N319" i="260"/>
  <c r="V468" i="260"/>
  <c r="N561" i="260"/>
  <c r="BQ339" i="260"/>
  <c r="BQ160" i="260"/>
  <c r="BJ602" i="260"/>
  <c r="AH288" i="260"/>
  <c r="V353" i="260"/>
  <c r="BJ472" i="260"/>
  <c r="N566" i="260"/>
  <c r="AD713" i="260"/>
  <c r="BQ301" i="260"/>
  <c r="BQ644" i="260"/>
  <c r="G312" i="260"/>
  <c r="AN706" i="260"/>
  <c r="J237" i="260"/>
  <c r="AN549" i="260"/>
  <c r="V506" i="260"/>
  <c r="BF675" i="260"/>
  <c r="BM271" i="260"/>
  <c r="AQ613" i="260"/>
  <c r="AD639" i="260"/>
  <c r="AQ576" i="260"/>
  <c r="AH394" i="260"/>
  <c r="BF319" i="260"/>
  <c r="J577" i="260"/>
  <c r="J765" i="260"/>
  <c r="AD92" i="260"/>
  <c r="AV421" i="260"/>
  <c r="AH766" i="260"/>
  <c r="AV419" i="260"/>
  <c r="BU563" i="260"/>
  <c r="BU328" i="260"/>
  <c r="AD176" i="260"/>
  <c r="BU242" i="260"/>
  <c r="Z314" i="260"/>
  <c r="BM768" i="260"/>
  <c r="V713" i="260"/>
  <c r="BF327" i="260"/>
  <c r="J102" i="260"/>
  <c r="AH764" i="260"/>
  <c r="BU720" i="260"/>
  <c r="BU655" i="260"/>
  <c r="AD658" i="260"/>
  <c r="J427" i="260"/>
  <c r="N91" i="260"/>
  <c r="BM466" i="260"/>
  <c r="BQ697" i="260"/>
  <c r="V396" i="260"/>
  <c r="J723" i="260"/>
  <c r="BM389" i="260"/>
  <c r="AZ328" i="260"/>
  <c r="AQ81" i="260"/>
  <c r="AQ356" i="260"/>
  <c r="BF740" i="260"/>
  <c r="AD594" i="260"/>
  <c r="BF546" i="260"/>
  <c r="AD763" i="260"/>
  <c r="Z601" i="260"/>
  <c r="BF326" i="260"/>
  <c r="J82" i="260"/>
  <c r="Z334" i="260"/>
  <c r="BJ356" i="260"/>
  <c r="AQ452" i="260"/>
  <c r="G173" i="260"/>
  <c r="AZ501" i="260"/>
  <c r="N502" i="260"/>
  <c r="BQ391" i="260"/>
  <c r="AH701" i="260"/>
  <c r="BU87" i="260"/>
  <c r="N410" i="260"/>
  <c r="R158" i="260"/>
  <c r="G285" i="260"/>
  <c r="AQ255" i="260"/>
  <c r="AV578" i="260"/>
  <c r="BM451" i="260"/>
  <c r="BQ365" i="260"/>
  <c r="R738" i="260"/>
  <c r="G727" i="260"/>
  <c r="N388" i="260"/>
  <c r="BQ669" i="260"/>
  <c r="G222" i="260"/>
  <c r="J381" i="260"/>
  <c r="AH743" i="260"/>
  <c r="BM607" i="260"/>
  <c r="AH534" i="260"/>
  <c r="AH199" i="260"/>
  <c r="R742" i="260"/>
  <c r="BM98" i="260"/>
  <c r="Z242" i="260"/>
  <c r="BQ164" i="260"/>
  <c r="AH761" i="260"/>
  <c r="AH590" i="260"/>
  <c r="V561" i="260"/>
  <c r="BF375" i="260"/>
  <c r="AN624" i="260"/>
  <c r="AV217" i="260"/>
  <c r="N252" i="260"/>
  <c r="R183" i="260"/>
  <c r="R409" i="260"/>
  <c r="AD545" i="260"/>
  <c r="J406" i="260"/>
  <c r="AV772" i="260"/>
  <c r="AN247" i="260"/>
  <c r="BQ626" i="260"/>
  <c r="Z510" i="260"/>
  <c r="V748" i="260"/>
  <c r="AN647" i="260"/>
  <c r="BF513" i="260"/>
  <c r="AQ168" i="260"/>
  <c r="AH645" i="260"/>
  <c r="AQ387" i="260"/>
  <c r="BM270" i="260"/>
  <c r="J302" i="260"/>
  <c r="BU686" i="260"/>
  <c r="BM593" i="260"/>
  <c r="AZ713" i="260"/>
  <c r="G675" i="260"/>
  <c r="BQ155" i="260"/>
  <c r="J622" i="260"/>
  <c r="AD189" i="260"/>
  <c r="AH514" i="260"/>
  <c r="AV733" i="260"/>
  <c r="AH322" i="260"/>
  <c r="BF255" i="260"/>
  <c r="BU210" i="260"/>
  <c r="AH111" i="260"/>
  <c r="BF345" i="260"/>
  <c r="R460" i="260"/>
  <c r="BM222" i="260"/>
  <c r="BU140" i="260"/>
  <c r="R188" i="260"/>
  <c r="AQ514" i="260"/>
  <c r="Z541" i="260"/>
  <c r="AZ302" i="260"/>
  <c r="AZ158" i="260"/>
  <c r="BJ111" i="260"/>
  <c r="AV648" i="260"/>
  <c r="BF719" i="260"/>
  <c r="BJ89" i="260"/>
  <c r="G765" i="260"/>
  <c r="AN334" i="260"/>
  <c r="N688" i="260"/>
  <c r="AN739" i="260"/>
  <c r="BU440" i="260"/>
  <c r="J597" i="260"/>
  <c r="AD385" i="260"/>
  <c r="G143" i="260"/>
  <c r="AZ388" i="260"/>
  <c r="N738" i="260"/>
  <c r="V150" i="260"/>
  <c r="V597" i="260"/>
  <c r="AV313" i="260"/>
  <c r="AD600" i="260"/>
  <c r="AD148" i="260"/>
  <c r="AD398" i="260"/>
  <c r="N371" i="260"/>
  <c r="J91" i="260"/>
  <c r="Z327" i="260"/>
  <c r="BQ252" i="260"/>
  <c r="R272" i="260"/>
  <c r="G431" i="260"/>
  <c r="AV521" i="260"/>
  <c r="N237" i="260"/>
  <c r="BQ694" i="260"/>
  <c r="AQ286" i="260"/>
  <c r="AZ218" i="260"/>
  <c r="AN768" i="260"/>
  <c r="BQ215" i="260"/>
  <c r="AH292" i="260"/>
  <c r="AD244" i="260"/>
  <c r="AH442" i="260"/>
  <c r="Z239" i="260"/>
  <c r="N765" i="260"/>
  <c r="G734" i="260"/>
  <c r="AV401" i="260"/>
  <c r="AH145" i="260"/>
  <c r="Z310" i="260"/>
  <c r="BU83" i="260"/>
  <c r="BF119" i="260"/>
  <c r="G133" i="260"/>
  <c r="BQ611" i="260"/>
  <c r="AN328" i="260"/>
  <c r="BF478" i="260"/>
  <c r="J230" i="260"/>
  <c r="R756" i="260"/>
  <c r="V220" i="260"/>
  <c r="BJ152" i="260"/>
  <c r="BU217" i="260"/>
  <c r="AZ542" i="260"/>
  <c r="BU164" i="260"/>
  <c r="AD536" i="260"/>
  <c r="Z577" i="260"/>
  <c r="R287" i="260"/>
  <c r="BJ520" i="260"/>
  <c r="N440" i="260"/>
  <c r="BM583" i="260"/>
  <c r="BM693" i="260"/>
  <c r="BF730" i="260"/>
  <c r="G693" i="260"/>
  <c r="BJ774" i="260"/>
  <c r="AD195" i="260"/>
  <c r="AD568" i="260"/>
  <c r="BM450" i="260"/>
  <c r="V124" i="260"/>
  <c r="AH762" i="260"/>
  <c r="BF358" i="260"/>
  <c r="BF419" i="260"/>
  <c r="AZ300" i="260"/>
  <c r="AV275" i="260"/>
  <c r="V99" i="260"/>
  <c r="AD697" i="260"/>
  <c r="AD331" i="260"/>
  <c r="Z158" i="260"/>
  <c r="R525" i="260"/>
  <c r="BQ533" i="260"/>
  <c r="J166" i="260"/>
  <c r="AV114" i="260"/>
  <c r="AH499" i="260"/>
  <c r="R251" i="260"/>
  <c r="BQ494" i="260"/>
  <c r="V735" i="260"/>
  <c r="J277" i="260"/>
  <c r="AV362" i="260"/>
  <c r="N548" i="260"/>
  <c r="BM107" i="260"/>
  <c r="BU611" i="260"/>
  <c r="AH628" i="260"/>
  <c r="BJ552" i="260"/>
  <c r="AZ709" i="260"/>
  <c r="R278" i="260"/>
  <c r="BU507" i="260"/>
  <c r="G774" i="260"/>
  <c r="J733" i="260"/>
  <c r="N135" i="260"/>
  <c r="J295" i="260"/>
  <c r="BU322" i="260"/>
  <c r="N207" i="260"/>
  <c r="N383" i="260"/>
  <c r="AH190" i="260"/>
  <c r="AQ403" i="260"/>
  <c r="AH615" i="260"/>
  <c r="Z628" i="260"/>
  <c r="AQ263" i="260"/>
  <c r="BF649" i="260"/>
  <c r="BF98" i="260"/>
  <c r="AZ739" i="260"/>
  <c r="AV286" i="260"/>
  <c r="BM276" i="260"/>
  <c r="AN697" i="260"/>
  <c r="BM452" i="260"/>
  <c r="AV106" i="260"/>
  <c r="AN366" i="260"/>
  <c r="AV382" i="260"/>
  <c r="AQ160" i="260"/>
  <c r="Z663" i="260"/>
  <c r="AH315" i="260"/>
  <c r="BM751" i="260"/>
  <c r="BU652" i="260"/>
  <c r="J246" i="260"/>
  <c r="BU467" i="260"/>
  <c r="V119" i="260"/>
  <c r="BF291" i="260"/>
  <c r="BQ370" i="260"/>
  <c r="AD562" i="260"/>
  <c r="N661" i="260"/>
  <c r="BJ732" i="260"/>
  <c r="V442" i="260"/>
  <c r="BF183" i="260"/>
  <c r="BF199" i="260"/>
  <c r="BF180" i="260"/>
  <c r="N275" i="260"/>
  <c r="J539" i="260"/>
  <c r="AN749" i="260"/>
  <c r="R210" i="260"/>
  <c r="AH733" i="260"/>
  <c r="BU262" i="260"/>
  <c r="AV484" i="260"/>
  <c r="BJ656" i="260"/>
  <c r="AV80" i="260"/>
  <c r="BJ418" i="260"/>
  <c r="Z245" i="260"/>
  <c r="G346" i="260"/>
  <c r="J325" i="260"/>
  <c r="BQ367" i="260"/>
  <c r="BM256" i="260"/>
  <c r="BF572" i="260"/>
  <c r="R641" i="260"/>
  <c r="BM469" i="260"/>
  <c r="AN750" i="260"/>
  <c r="J637" i="260"/>
  <c r="R494" i="260"/>
  <c r="AZ160" i="260"/>
  <c r="G433" i="260"/>
  <c r="BM347" i="260"/>
  <c r="R103" i="260"/>
  <c r="AQ127" i="260"/>
  <c r="BF407" i="260"/>
  <c r="AQ408" i="260"/>
  <c r="V310" i="260"/>
  <c r="Z596" i="260"/>
  <c r="BM592" i="260"/>
  <c r="J644" i="260"/>
  <c r="BJ278" i="260"/>
  <c r="BM775" i="260"/>
  <c r="R184" i="260"/>
  <c r="AZ689" i="260"/>
  <c r="BM661" i="260"/>
  <c r="Z114" i="260"/>
  <c r="BU424" i="260"/>
  <c r="J387" i="260"/>
  <c r="BJ288" i="260"/>
  <c r="AD710" i="260"/>
  <c r="V157" i="260"/>
  <c r="J688" i="260"/>
  <c r="AD619" i="260"/>
  <c r="AQ251" i="260"/>
  <c r="BU489" i="260"/>
  <c r="AQ743" i="260"/>
  <c r="BJ265" i="260"/>
  <c r="AZ270" i="260"/>
  <c r="BU589" i="260"/>
  <c r="BM681" i="260"/>
  <c r="AN208" i="260"/>
  <c r="BU228" i="260"/>
  <c r="J695" i="260"/>
  <c r="J608" i="260"/>
  <c r="AZ647" i="260"/>
  <c r="J511" i="260"/>
  <c r="BM556" i="260"/>
  <c r="BF85" i="260"/>
  <c r="AZ383" i="260"/>
  <c r="N709" i="260"/>
  <c r="AV670" i="260"/>
  <c r="BJ212" i="260"/>
  <c r="AQ509" i="260"/>
  <c r="AQ164" i="260"/>
  <c r="N406" i="260"/>
  <c r="BF476" i="260"/>
  <c r="BJ453" i="260"/>
  <c r="AH224" i="260"/>
  <c r="AQ693" i="260"/>
  <c r="BJ632" i="260"/>
  <c r="AH103" i="260"/>
  <c r="BM80" i="260"/>
  <c r="AD442" i="260"/>
  <c r="BF436" i="260"/>
  <c r="BJ661" i="260"/>
  <c r="AV241" i="260"/>
  <c r="AV315" i="260"/>
  <c r="V272" i="260"/>
  <c r="AQ612" i="260"/>
  <c r="R652" i="260"/>
  <c r="BQ472" i="260"/>
  <c r="J712" i="260"/>
  <c r="BF642" i="260"/>
  <c r="Z368" i="260"/>
  <c r="BF518" i="260"/>
  <c r="AV191" i="260"/>
  <c r="BM634" i="260"/>
  <c r="AQ485" i="260"/>
  <c r="Z671" i="260"/>
  <c r="BF266" i="260"/>
  <c r="BQ458" i="260"/>
  <c r="N285" i="260"/>
  <c r="R108" i="260"/>
  <c r="AH748" i="260"/>
  <c r="J642" i="260"/>
  <c r="R710" i="260"/>
  <c r="V177" i="260"/>
  <c r="AZ428" i="260"/>
  <c r="AQ227" i="260"/>
  <c r="BJ187" i="260"/>
  <c r="BF420" i="260"/>
  <c r="BQ376" i="260"/>
  <c r="AD714" i="260"/>
  <c r="BJ591" i="260"/>
  <c r="AN132" i="260"/>
  <c r="J442" i="260"/>
  <c r="J284" i="260"/>
  <c r="N159" i="260"/>
  <c r="J536" i="260"/>
  <c r="AN771" i="260"/>
  <c r="BQ568" i="260"/>
  <c r="G650" i="260"/>
  <c r="BF124" i="260"/>
  <c r="G166" i="260"/>
  <c r="AH348" i="260"/>
  <c r="AZ446" i="260"/>
  <c r="N539" i="260"/>
  <c r="BJ756" i="260"/>
  <c r="AH391" i="260"/>
  <c r="J314" i="260"/>
  <c r="BQ223" i="260"/>
  <c r="AZ717" i="260"/>
  <c r="AV525" i="260"/>
  <c r="BJ301" i="260"/>
  <c r="BQ665" i="260"/>
  <c r="Z675" i="260"/>
  <c r="AH768" i="260"/>
  <c r="Z197" i="260"/>
  <c r="BM148" i="260"/>
  <c r="BM507" i="260"/>
  <c r="J449" i="260"/>
  <c r="Z291" i="260"/>
  <c r="BJ712" i="260"/>
  <c r="BQ572" i="260"/>
  <c r="AQ206" i="260"/>
  <c r="AQ760" i="260"/>
  <c r="AN661" i="260"/>
  <c r="AD502" i="260"/>
  <c r="BM92" i="260"/>
  <c r="V91" i="260"/>
  <c r="AV444" i="260"/>
  <c r="BM191" i="260"/>
  <c r="G753" i="260"/>
  <c r="AQ635" i="260"/>
  <c r="R273" i="260"/>
  <c r="V428" i="260"/>
  <c r="BJ569" i="260"/>
  <c r="Z657" i="260"/>
  <c r="BF132" i="260"/>
  <c r="AD140" i="260"/>
  <c r="G715" i="260"/>
  <c r="BF362" i="260"/>
  <c r="AQ487" i="260"/>
  <c r="BU92" i="260"/>
  <c r="AH153" i="260"/>
  <c r="N158" i="260"/>
  <c r="BF189" i="260"/>
  <c r="Z528" i="260"/>
  <c r="BM137" i="260"/>
  <c r="AN339" i="260"/>
  <c r="N412" i="260"/>
  <c r="BJ240" i="260"/>
  <c r="AQ660" i="260"/>
  <c r="J494" i="260"/>
  <c r="R526" i="260"/>
  <c r="AZ544" i="260"/>
  <c r="AD205" i="260"/>
  <c r="N262" i="260"/>
  <c r="J307" i="260"/>
  <c r="V151" i="260"/>
  <c r="R420" i="260"/>
  <c r="J168" i="260"/>
  <c r="BU149" i="260"/>
  <c r="BF320" i="260"/>
  <c r="BQ173" i="260"/>
  <c r="N752" i="260"/>
  <c r="AV418" i="260"/>
  <c r="AZ770" i="260"/>
  <c r="BQ298" i="260"/>
  <c r="AD112" i="260"/>
  <c r="Z335" i="260"/>
  <c r="BU98" i="260"/>
  <c r="AD513" i="260"/>
  <c r="G436" i="260"/>
  <c r="G637" i="260"/>
  <c r="AZ605" i="260"/>
  <c r="AD725" i="260"/>
  <c r="Z689" i="260"/>
  <c r="AZ532" i="260"/>
  <c r="N494" i="260"/>
  <c r="BJ159" i="260"/>
  <c r="R523" i="260"/>
  <c r="J100" i="260"/>
  <c r="AZ600" i="260"/>
  <c r="J195" i="260"/>
  <c r="AD656" i="260"/>
  <c r="AH635" i="260"/>
  <c r="BM732" i="260"/>
  <c r="AV311" i="260"/>
  <c r="Z336" i="260"/>
  <c r="AV652" i="260"/>
  <c r="BQ560" i="260"/>
  <c r="BQ95" i="260"/>
  <c r="BJ736" i="260"/>
  <c r="AZ621" i="260"/>
  <c r="J293" i="260"/>
  <c r="AN741" i="260"/>
  <c r="AQ675" i="260"/>
  <c r="R478" i="260"/>
  <c r="AH413" i="260"/>
  <c r="AN673" i="260"/>
  <c r="Z97" i="260"/>
  <c r="AD684" i="260"/>
  <c r="G676" i="260"/>
  <c r="N745" i="260"/>
  <c r="AD166" i="260"/>
  <c r="V510" i="260"/>
  <c r="BF257" i="260"/>
  <c r="V688" i="260"/>
  <c r="V390" i="260"/>
  <c r="AV770" i="260"/>
  <c r="BU634" i="260"/>
  <c r="BM263" i="260"/>
  <c r="BJ318" i="260"/>
  <c r="BM157" i="260"/>
  <c r="Z90" i="260"/>
  <c r="Z446" i="260"/>
  <c r="N360" i="260"/>
  <c r="J344" i="260"/>
  <c r="BM617" i="260"/>
  <c r="AN398" i="260"/>
  <c r="AD428" i="260"/>
  <c r="AQ327" i="260"/>
  <c r="AZ337" i="260"/>
  <c r="N200" i="260"/>
  <c r="BJ445" i="260"/>
  <c r="BF674" i="260"/>
  <c r="N333" i="260"/>
  <c r="BU369" i="260"/>
  <c r="Z469" i="260"/>
  <c r="R535" i="260"/>
  <c r="AQ359" i="260"/>
  <c r="J616" i="260"/>
  <c r="R467" i="260"/>
  <c r="AD500" i="260"/>
  <c r="BJ335" i="260"/>
  <c r="Z492" i="260"/>
  <c r="AQ334" i="260"/>
  <c r="BU337" i="260"/>
  <c r="AN121" i="260"/>
  <c r="BJ557" i="260"/>
  <c r="AH167" i="260"/>
  <c r="AH221" i="260"/>
  <c r="AV569" i="260"/>
  <c r="BQ518" i="260"/>
  <c r="J698" i="260"/>
  <c r="BF665" i="260"/>
  <c r="AV476" i="260"/>
  <c r="BJ689" i="260"/>
  <c r="R139" i="260"/>
  <c r="AN95" i="260"/>
  <c r="BU777" i="260"/>
  <c r="R102" i="260"/>
  <c r="AQ110" i="260"/>
  <c r="BQ726" i="260"/>
  <c r="BF288" i="260"/>
  <c r="AH173" i="260"/>
  <c r="AZ751" i="260"/>
  <c r="BM621" i="260"/>
  <c r="AV124" i="260"/>
  <c r="AD499" i="260"/>
  <c r="V326" i="260"/>
  <c r="BJ737" i="260"/>
  <c r="AD666" i="260"/>
  <c r="AQ722" i="260"/>
  <c r="BU324" i="260"/>
  <c r="BQ171" i="260"/>
  <c r="BQ237" i="260"/>
  <c r="BF493" i="260"/>
  <c r="AD375" i="260"/>
  <c r="AN486" i="260"/>
  <c r="BM468" i="260"/>
  <c r="R172" i="260"/>
  <c r="J492" i="260"/>
  <c r="N658" i="260"/>
  <c r="AV515" i="260"/>
  <c r="BJ642" i="260"/>
  <c r="V299" i="260"/>
  <c r="AZ512" i="260"/>
  <c r="G652" i="260"/>
  <c r="G536" i="260"/>
  <c r="BM516" i="260"/>
  <c r="J451" i="260"/>
  <c r="BQ657" i="260"/>
  <c r="BJ133" i="260"/>
  <c r="AN285" i="260"/>
  <c r="AQ622" i="260"/>
  <c r="AN639" i="260"/>
  <c r="G151" i="260"/>
  <c r="AD661" i="260"/>
  <c r="R661" i="260"/>
  <c r="G276" i="260"/>
  <c r="AH540" i="260"/>
  <c r="AZ419" i="260"/>
  <c r="BQ746" i="260"/>
  <c r="AD677" i="260"/>
  <c r="AV255" i="260"/>
  <c r="J721" i="260"/>
  <c r="BM533" i="260"/>
  <c r="Z413" i="260"/>
  <c r="AN207" i="260"/>
  <c r="BM747" i="260"/>
  <c r="BM235" i="260"/>
  <c r="N85" i="260"/>
  <c r="N474" i="260"/>
  <c r="AD449" i="260"/>
  <c r="R303" i="260"/>
  <c r="AD221" i="260"/>
  <c r="AH692" i="260"/>
  <c r="BJ503" i="260"/>
  <c r="Z134" i="260"/>
  <c r="BQ674" i="260"/>
  <c r="BQ774" i="260"/>
  <c r="AV412" i="260"/>
  <c r="AH657" i="260"/>
  <c r="AH637" i="260"/>
  <c r="Z433" i="260"/>
  <c r="AN385" i="260"/>
  <c r="G201" i="260"/>
  <c r="N287" i="260"/>
  <c r="AN166" i="260"/>
  <c r="BM370" i="260"/>
  <c r="BF699" i="260"/>
  <c r="V625" i="260"/>
  <c r="AQ158" i="260"/>
  <c r="BJ219" i="260"/>
  <c r="AV365" i="260"/>
  <c r="AN758" i="260"/>
  <c r="G172" i="260"/>
  <c r="BU99" i="260"/>
  <c r="AD701" i="260"/>
  <c r="N555" i="260"/>
  <c r="AZ685" i="260"/>
  <c r="BQ347" i="260"/>
  <c r="BJ442" i="260"/>
  <c r="AQ183" i="260"/>
  <c r="BM640" i="260"/>
  <c r="BM580" i="260"/>
  <c r="AQ409" i="260"/>
  <c r="AN434" i="260"/>
  <c r="G467" i="260"/>
  <c r="BU465" i="260"/>
  <c r="V224" i="260"/>
  <c r="AQ180" i="260"/>
  <c r="V81" i="260"/>
  <c r="R212" i="260"/>
  <c r="BJ122" i="260"/>
  <c r="J590" i="260"/>
  <c r="BU425" i="260"/>
  <c r="Z264" i="260"/>
  <c r="AV596" i="260"/>
  <c r="AZ480" i="260"/>
  <c r="AV707" i="260"/>
  <c r="AQ619" i="260"/>
  <c r="AN599" i="260"/>
  <c r="AZ637" i="260"/>
  <c r="AH433" i="260"/>
  <c r="AH501" i="260"/>
  <c r="G577" i="260"/>
  <c r="V598" i="260"/>
  <c r="AV671" i="260"/>
  <c r="BM355" i="260"/>
  <c r="BF225" i="260"/>
  <c r="V171" i="260"/>
  <c r="AD266" i="260"/>
  <c r="BQ151" i="260"/>
  <c r="Z461" i="260"/>
  <c r="R564" i="260"/>
  <c r="BJ302" i="260"/>
  <c r="Z624" i="260"/>
  <c r="AV597" i="260"/>
  <c r="N607" i="260"/>
  <c r="AD717" i="260"/>
  <c r="AZ197" i="260"/>
  <c r="V176" i="260"/>
  <c r="BF551" i="260"/>
  <c r="AH182" i="260"/>
  <c r="N317" i="260"/>
  <c r="V182" i="260"/>
  <c r="G544" i="260"/>
  <c r="AH594" i="260"/>
  <c r="AZ481" i="260"/>
  <c r="Z401" i="260"/>
  <c r="G432" i="260"/>
  <c r="AN541" i="260"/>
  <c r="AQ221" i="260"/>
  <c r="AV409" i="260"/>
  <c r="AH592" i="260"/>
  <c r="AH373" i="260"/>
  <c r="AV546" i="260"/>
  <c r="J117" i="260"/>
  <c r="N112" i="260"/>
  <c r="BU182" i="260"/>
  <c r="G309" i="260"/>
  <c r="AV394" i="260"/>
  <c r="AQ410" i="260"/>
  <c r="R213" i="260"/>
  <c r="AZ752" i="260"/>
  <c r="J367" i="260"/>
  <c r="N649" i="260"/>
  <c r="BQ294" i="260"/>
  <c r="N384" i="260"/>
  <c r="AV659" i="260"/>
  <c r="G414" i="260"/>
  <c r="J140" i="260"/>
  <c r="AV564" i="260"/>
  <c r="AQ157" i="260"/>
  <c r="AZ486" i="260"/>
  <c r="R163" i="260"/>
  <c r="BM413" i="260"/>
  <c r="BQ136" i="260"/>
  <c r="AZ315" i="260"/>
  <c r="BQ110" i="260"/>
  <c r="AQ567" i="260"/>
  <c r="BU460" i="260"/>
  <c r="AH596" i="260"/>
  <c r="G639" i="260"/>
  <c r="BU320" i="260"/>
  <c r="BU536" i="260"/>
  <c r="J549" i="260"/>
  <c r="BQ401" i="260"/>
  <c r="N286" i="260"/>
  <c r="AH520" i="260"/>
  <c r="N415" i="260"/>
  <c r="V580" i="260"/>
  <c r="AV188" i="260"/>
  <c r="BU213" i="260"/>
  <c r="BU151" i="260"/>
  <c r="G223" i="260"/>
  <c r="AQ594" i="260"/>
  <c r="V128" i="260"/>
  <c r="N143" i="260"/>
  <c r="BQ758" i="260"/>
  <c r="R672" i="260"/>
  <c r="AQ141" i="260"/>
  <c r="BU195" i="260"/>
  <c r="AD413" i="260"/>
  <c r="BQ130" i="260"/>
  <c r="Z384" i="260"/>
  <c r="AN552" i="260"/>
  <c r="AQ448" i="260"/>
  <c r="BQ385" i="260"/>
  <c r="BM322" i="260"/>
  <c r="AV116" i="260"/>
  <c r="BJ493" i="260"/>
  <c r="BQ733" i="260"/>
  <c r="AZ403" i="260"/>
  <c r="BF745" i="260"/>
  <c r="R632" i="260"/>
  <c r="AN386" i="260"/>
  <c r="R327" i="260"/>
  <c r="J497" i="260"/>
  <c r="BF160" i="260"/>
  <c r="R390" i="260"/>
  <c r="AZ318" i="260"/>
  <c r="Z398" i="260"/>
  <c r="N602" i="260"/>
  <c r="AD439" i="260"/>
  <c r="AV250" i="260"/>
  <c r="J413" i="260"/>
  <c r="G84" i="260"/>
  <c r="BM390" i="260"/>
  <c r="G524" i="260"/>
  <c r="AN523" i="260"/>
  <c r="R331" i="260"/>
  <c r="AD182" i="260"/>
  <c r="V415" i="260"/>
  <c r="AD755" i="260"/>
  <c r="BU709" i="260"/>
  <c r="BF359" i="260"/>
  <c r="R203" i="260"/>
  <c r="AV769" i="260"/>
  <c r="Z521" i="260"/>
  <c r="V84" i="260"/>
  <c r="BQ282" i="260"/>
  <c r="V765" i="260"/>
  <c r="Z702" i="260"/>
  <c r="V606" i="260"/>
  <c r="Z686" i="260"/>
  <c r="AN570" i="260"/>
  <c r="AH587" i="260"/>
  <c r="BM776" i="260"/>
  <c r="AD138" i="260"/>
  <c r="AV630" i="260"/>
  <c r="BF682" i="260"/>
  <c r="Z393" i="260"/>
  <c r="AV89" i="260"/>
  <c r="AD220" i="260"/>
  <c r="J506" i="260"/>
  <c r="BF299" i="260"/>
  <c r="BJ674" i="260"/>
  <c r="AH397" i="260"/>
  <c r="Z589" i="260"/>
  <c r="BM431" i="260"/>
  <c r="BF389" i="260"/>
  <c r="Z650" i="260"/>
  <c r="AN764" i="260"/>
  <c r="BU134" i="260"/>
  <c r="AN107" i="260"/>
  <c r="V111" i="260"/>
  <c r="BJ419" i="260"/>
  <c r="AD236" i="260"/>
  <c r="BU631" i="260"/>
  <c r="Z757" i="260"/>
  <c r="G212" i="260"/>
  <c r="AQ542" i="260"/>
  <c r="BQ96" i="260"/>
  <c r="BM531" i="260"/>
  <c r="N645" i="260"/>
  <c r="BF423" i="260"/>
  <c r="V496" i="260"/>
  <c r="BM472" i="260"/>
  <c r="BU677" i="260"/>
  <c r="AD614" i="260"/>
  <c r="G407" i="260"/>
  <c r="Z731" i="260"/>
  <c r="AV186" i="260"/>
  <c r="J272" i="260"/>
  <c r="AN309" i="260"/>
  <c r="AZ286" i="260"/>
  <c r="AH431" i="260"/>
  <c r="BQ228" i="260"/>
  <c r="J617" i="260"/>
  <c r="BM637" i="260"/>
  <c r="BU567" i="260"/>
  <c r="J135" i="260"/>
  <c r="BJ481" i="260"/>
  <c r="AZ134" i="260"/>
  <c r="AQ138" i="260"/>
  <c r="BF464" i="260"/>
  <c r="R242" i="260"/>
  <c r="J634" i="260"/>
  <c r="BM337" i="260"/>
  <c r="R143" i="260"/>
  <c r="BJ372" i="260"/>
  <c r="AV457" i="260"/>
  <c r="BU624" i="260"/>
  <c r="BF568" i="260"/>
  <c r="G284" i="260"/>
  <c r="V485" i="260"/>
  <c r="AZ738" i="260"/>
  <c r="BM234" i="260"/>
  <c r="AH458" i="260"/>
  <c r="BU403" i="260"/>
  <c r="N642" i="260"/>
  <c r="AD585" i="260"/>
  <c r="BJ555" i="260"/>
  <c r="BQ636" i="260"/>
  <c r="AQ85" i="260"/>
  <c r="AN503" i="260"/>
  <c r="BU593" i="260"/>
  <c r="BU469" i="260"/>
  <c r="V720" i="260"/>
  <c r="BM122" i="260"/>
  <c r="AH105" i="260"/>
  <c r="AZ168" i="260"/>
  <c r="G448" i="260"/>
  <c r="V155" i="260"/>
  <c r="G670" i="260"/>
  <c r="J250" i="260"/>
  <c r="AH598" i="260"/>
  <c r="BQ289" i="260"/>
  <c r="BU96" i="260"/>
  <c r="BQ302" i="260"/>
  <c r="R763" i="260"/>
  <c r="BF550" i="260"/>
  <c r="AZ358" i="260"/>
  <c r="G435" i="260"/>
  <c r="BJ450" i="260"/>
  <c r="AH340" i="260"/>
  <c r="AH305" i="260"/>
  <c r="Z745" i="260"/>
  <c r="AQ370" i="260"/>
  <c r="BU746" i="260"/>
  <c r="J775" i="260"/>
  <c r="N196" i="260"/>
  <c r="AV547" i="260"/>
  <c r="BF315" i="260"/>
  <c r="AH632" i="260"/>
  <c r="BJ337" i="260"/>
  <c r="AD756" i="260"/>
  <c r="G328" i="260"/>
  <c r="BM406" i="260"/>
  <c r="R464" i="260"/>
  <c r="BM193" i="260"/>
  <c r="BQ741" i="260"/>
  <c r="R226" i="260"/>
  <c r="N208" i="260"/>
  <c r="BU472" i="260"/>
  <c r="G695" i="260"/>
  <c r="G266" i="260"/>
  <c r="BM686" i="260"/>
  <c r="BM327" i="260"/>
  <c r="AQ671" i="260"/>
  <c r="BJ369" i="260"/>
  <c r="R138" i="260"/>
  <c r="BJ708" i="260"/>
  <c r="AH184" i="260"/>
  <c r="AZ384" i="260"/>
  <c r="AH95" i="260"/>
  <c r="AQ696" i="260"/>
  <c r="R239" i="260"/>
  <c r="R474" i="260"/>
  <c r="J417" i="260"/>
  <c r="BU642" i="260"/>
  <c r="V639" i="260"/>
  <c r="AN210" i="260"/>
  <c r="AD735" i="260"/>
  <c r="N373" i="260"/>
  <c r="BF570" i="260"/>
  <c r="AV87" i="260"/>
  <c r="AH636" i="260"/>
  <c r="AN403" i="260"/>
  <c r="R142" i="260"/>
  <c r="AV686" i="260"/>
  <c r="BF633" i="260"/>
  <c r="J225" i="260"/>
  <c r="R315" i="260"/>
  <c r="BU377" i="260"/>
  <c r="Z545" i="260"/>
  <c r="AZ592" i="260"/>
  <c r="G161" i="260"/>
  <c r="Z105" i="260"/>
  <c r="AQ720" i="260"/>
  <c r="BJ506" i="260"/>
  <c r="BF168" i="260"/>
  <c r="AN742" i="260"/>
  <c r="G426" i="260"/>
  <c r="AH214" i="260"/>
  <c r="AN228" i="260"/>
  <c r="BM319" i="260"/>
  <c r="AH264" i="260"/>
  <c r="BU669" i="260"/>
  <c r="AZ389" i="260"/>
  <c r="J687" i="260"/>
  <c r="AH309" i="260"/>
  <c r="AN171" i="260"/>
  <c r="AH698" i="260"/>
  <c r="N210" i="260"/>
  <c r="BF128" i="260"/>
  <c r="R349" i="260"/>
  <c r="Z86" i="260"/>
  <c r="BF433" i="260"/>
  <c r="J431" i="260"/>
  <c r="Z677" i="260"/>
  <c r="J198" i="260"/>
  <c r="BF582" i="260"/>
  <c r="V717" i="260"/>
  <c r="G390" i="260"/>
  <c r="R607" i="260"/>
  <c r="BU319" i="260"/>
  <c r="AN316" i="260"/>
  <c r="AN581" i="260"/>
  <c r="BU312" i="260"/>
  <c r="AD503" i="260"/>
  <c r="V466" i="260"/>
  <c r="J260" i="260"/>
  <c r="BQ132" i="260"/>
  <c r="J286" i="260"/>
  <c r="AZ324" i="260"/>
  <c r="J705" i="260"/>
  <c r="BU222" i="260"/>
  <c r="AD143" i="260"/>
  <c r="V718" i="260"/>
  <c r="V402" i="260"/>
  <c r="N147" i="260"/>
  <c r="N393" i="260"/>
  <c r="V80" i="260"/>
  <c r="BM512" i="260"/>
  <c r="AZ421" i="260"/>
  <c r="BU267" i="260"/>
  <c r="AV169" i="260"/>
  <c r="N277" i="260"/>
  <c r="AH134" i="260"/>
  <c r="AH151" i="260"/>
  <c r="Z647" i="260"/>
  <c r="AH741" i="260"/>
  <c r="BU694" i="260"/>
  <c r="AN332" i="260"/>
  <c r="BF277" i="260"/>
  <c r="AQ270" i="260"/>
  <c r="AZ696" i="260"/>
  <c r="AH576" i="260"/>
  <c r="AH270" i="260"/>
  <c r="G501" i="260"/>
  <c r="BU626" i="260"/>
  <c r="BF753" i="260"/>
  <c r="AV699" i="260"/>
  <c r="BM662" i="260"/>
  <c r="G651" i="260"/>
  <c r="AV660" i="260"/>
  <c r="Z225" i="260"/>
  <c r="BJ592" i="260"/>
  <c r="R261" i="260"/>
  <c r="Z200" i="260"/>
  <c r="BU648" i="260"/>
  <c r="BU519" i="260"/>
  <c r="J469" i="260"/>
  <c r="AQ417" i="260"/>
  <c r="AV283" i="260"/>
  <c r="R264" i="260"/>
  <c r="AD258" i="260"/>
  <c r="G290" i="260"/>
  <c r="AV566" i="260"/>
  <c r="BQ562" i="260"/>
  <c r="G583" i="260"/>
  <c r="AV567" i="260"/>
  <c r="J94" i="260"/>
  <c r="AQ520" i="260"/>
  <c r="R424" i="260"/>
  <c r="AZ268" i="260"/>
  <c r="AD332" i="260"/>
  <c r="Z574" i="260"/>
  <c r="V724" i="260"/>
  <c r="R458" i="260"/>
  <c r="BU733" i="260"/>
  <c r="BF338" i="260"/>
  <c r="R556" i="260"/>
  <c r="Z292" i="260"/>
  <c r="Z656" i="260"/>
  <c r="G369" i="260"/>
  <c r="BM651" i="260"/>
  <c r="AD450" i="260"/>
  <c r="AV180" i="260"/>
  <c r="BQ281" i="260"/>
  <c r="BQ139" i="260"/>
  <c r="AD423" i="260"/>
  <c r="BU413" i="260"/>
  <c r="AD295" i="260"/>
  <c r="BU178" i="260"/>
  <c r="BU600" i="260"/>
  <c r="G170" i="260"/>
  <c r="BJ512" i="260"/>
  <c r="AH289" i="260"/>
  <c r="Z347" i="260"/>
  <c r="BJ664" i="260"/>
  <c r="J678" i="260"/>
  <c r="AZ422" i="260"/>
  <c r="AD460" i="260"/>
  <c r="BJ94" i="260"/>
  <c r="BU143" i="260"/>
  <c r="AD142" i="260"/>
  <c r="BF222" i="260"/>
  <c r="AH621" i="260"/>
  <c r="J713" i="260"/>
  <c r="AN134" i="260"/>
  <c r="AZ570" i="260"/>
  <c r="AV415" i="260"/>
  <c r="J510" i="260"/>
  <c r="J106" i="260"/>
  <c r="J513" i="260"/>
  <c r="BQ436" i="260"/>
  <c r="BJ553" i="260"/>
  <c r="AH696" i="260"/>
  <c r="AZ239" i="260"/>
  <c r="AD418" i="260"/>
  <c r="AQ398" i="260"/>
  <c r="V364" i="260"/>
  <c r="AD109" i="260"/>
  <c r="BM459" i="260"/>
  <c r="V569" i="260"/>
  <c r="V473" i="260"/>
  <c r="AN274" i="260"/>
  <c r="AQ360" i="260"/>
  <c r="AD190" i="260"/>
  <c r="G215" i="260"/>
  <c r="AH253" i="260"/>
  <c r="AZ603" i="260"/>
  <c r="AV85" i="260"/>
  <c r="BQ473" i="260"/>
  <c r="BU189" i="260"/>
  <c r="N153" i="260"/>
  <c r="AV576" i="260"/>
  <c r="AQ497" i="260"/>
  <c r="BF378" i="260"/>
  <c r="G597" i="260"/>
  <c r="AD575" i="260"/>
  <c r="AQ719" i="260"/>
  <c r="AD559" i="260"/>
  <c r="AH508" i="260"/>
  <c r="R437" i="260"/>
  <c r="BU470" i="260"/>
  <c r="N515" i="260"/>
  <c r="BF145" i="260"/>
  <c r="G747" i="260"/>
  <c r="BM86" i="260"/>
  <c r="BJ298" i="260"/>
  <c r="BJ518" i="260"/>
  <c r="V238" i="260"/>
  <c r="BM485" i="260"/>
  <c r="AD468" i="260"/>
  <c r="N424" i="260"/>
  <c r="AQ335" i="260"/>
  <c r="BJ606" i="260"/>
  <c r="AZ260" i="260"/>
  <c r="AQ132" i="260"/>
  <c r="V286" i="260"/>
  <c r="V168" i="260"/>
  <c r="AQ378" i="260"/>
  <c r="G208" i="260"/>
  <c r="AV291" i="260"/>
  <c r="Z769" i="260"/>
  <c r="AQ676" i="260"/>
  <c r="BJ489" i="260"/>
  <c r="Z691" i="260"/>
  <c r="R449" i="260"/>
  <c r="BQ131" i="260"/>
  <c r="BJ605" i="260"/>
  <c r="AN605" i="260"/>
  <c r="BQ268" i="260"/>
  <c r="BQ377" i="260"/>
  <c r="V193" i="260"/>
  <c r="AV727" i="260"/>
  <c r="V140" i="260"/>
  <c r="BF334" i="260"/>
  <c r="N355" i="260"/>
  <c r="V418" i="260"/>
  <c r="BM527" i="260"/>
  <c r="AQ717" i="260"/>
  <c r="AQ602" i="260"/>
  <c r="BU555" i="260"/>
  <c r="V521" i="260"/>
  <c r="BJ410" i="260"/>
  <c r="AZ619" i="260"/>
  <c r="Z463" i="260"/>
  <c r="R148" i="260"/>
  <c r="BM555" i="260"/>
  <c r="BF178" i="260"/>
  <c r="AV349" i="260"/>
  <c r="BM676" i="260"/>
  <c r="BQ119" i="260"/>
  <c r="V306" i="260"/>
  <c r="AH497" i="260"/>
  <c r="AD633" i="260"/>
  <c r="AD777" i="260"/>
  <c r="AD419" i="260"/>
  <c r="N217" i="260"/>
  <c r="BJ282" i="260"/>
  <c r="BM416" i="260"/>
  <c r="AD601" i="260"/>
  <c r="AD88" i="260"/>
  <c r="N735" i="260"/>
  <c r="AZ292" i="260"/>
  <c r="R151" i="260"/>
  <c r="AZ152" i="260"/>
  <c r="BQ601" i="260"/>
  <c r="G472" i="260"/>
  <c r="AQ603" i="260"/>
  <c r="BF210" i="260"/>
  <c r="AD660" i="260"/>
  <c r="AD407" i="260"/>
  <c r="BJ695" i="260"/>
  <c r="BU570" i="260"/>
  <c r="AZ653" i="260"/>
  <c r="AH169" i="260"/>
  <c r="BF281" i="260"/>
  <c r="BF212" i="260"/>
  <c r="R484" i="260"/>
  <c r="AN492" i="260"/>
  <c r="N501" i="260"/>
  <c r="BQ549" i="260"/>
  <c r="AH384" i="260"/>
  <c r="AD598" i="260"/>
  <c r="V586" i="260"/>
  <c r="BQ402" i="260"/>
  <c r="J127" i="260"/>
  <c r="R160" i="260"/>
  <c r="Z396" i="260"/>
  <c r="AZ609" i="260"/>
  <c r="BM761" i="260"/>
  <c r="AQ482" i="260"/>
  <c r="AN189" i="260"/>
  <c r="BM601" i="260"/>
  <c r="R368" i="260"/>
  <c r="BJ777" i="260"/>
  <c r="BU146" i="260"/>
  <c r="AV284" i="260"/>
  <c r="BF455" i="260"/>
  <c r="BU343" i="260"/>
  <c r="AD422" i="260"/>
  <c r="V383" i="260"/>
  <c r="V217" i="260"/>
  <c r="AH695" i="260"/>
  <c r="AN714" i="260"/>
  <c r="AQ685" i="260"/>
  <c r="V550" i="260"/>
  <c r="N514" i="260"/>
  <c r="BF498" i="260"/>
  <c r="G207" i="260"/>
  <c r="J98" i="260"/>
  <c r="AQ643" i="260"/>
  <c r="BU714" i="260"/>
  <c r="BM278" i="260"/>
  <c r="BU175" i="260"/>
  <c r="AN686" i="260"/>
  <c r="BU194" i="260"/>
  <c r="AD392" i="260"/>
  <c r="BJ573" i="260"/>
  <c r="AQ540" i="260"/>
  <c r="R156" i="260"/>
  <c r="BQ442" i="260"/>
  <c r="N541" i="260"/>
  <c r="AV463" i="260"/>
  <c r="AQ413" i="260"/>
  <c r="AQ716" i="260"/>
  <c r="J545" i="260"/>
  <c r="AV196" i="260"/>
  <c r="N676" i="260"/>
  <c r="N426" i="260"/>
  <c r="BF737" i="260"/>
  <c r="N628" i="260"/>
  <c r="N307" i="260"/>
  <c r="AZ181" i="260"/>
  <c r="N394" i="260"/>
  <c r="BQ707" i="260"/>
  <c r="BF697" i="260"/>
  <c r="G352" i="260"/>
  <c r="AZ541" i="260"/>
  <c r="AN244" i="260"/>
  <c r="N385" i="260"/>
  <c r="AD94" i="260"/>
  <c r="AQ318" i="260"/>
  <c r="V478" i="260"/>
  <c r="BM273" i="260"/>
  <c r="AQ285" i="260"/>
  <c r="N657" i="260"/>
  <c r="AZ339" i="260"/>
  <c r="AV759" i="260"/>
  <c r="R485" i="260"/>
  <c r="G306" i="260"/>
  <c r="AZ617" i="260"/>
  <c r="AN623" i="260"/>
  <c r="V768" i="260"/>
  <c r="BU112" i="260"/>
  <c r="BM545" i="260"/>
  <c r="J589" i="260"/>
  <c r="Z583" i="260"/>
  <c r="AZ490" i="260"/>
  <c r="BQ628" i="260"/>
  <c r="AV432" i="260"/>
  <c r="BF147" i="260"/>
  <c r="G283" i="260"/>
  <c r="AH481" i="260"/>
  <c r="AD232" i="260"/>
  <c r="BF441" i="260"/>
  <c r="AH465" i="260"/>
  <c r="N227" i="260"/>
  <c r="AQ592" i="260"/>
  <c r="BF350" i="260"/>
  <c r="AZ155" i="260"/>
  <c r="AH125" i="260"/>
  <c r="BM610" i="260"/>
  <c r="V620" i="260"/>
  <c r="BM382" i="260"/>
  <c r="Z762" i="260"/>
  <c r="BF623" i="260"/>
  <c r="AZ671" i="260"/>
  <c r="AH328" i="260"/>
  <c r="N469" i="260"/>
  <c r="BJ264" i="260"/>
  <c r="AN778" i="260"/>
  <c r="BM658" i="260"/>
  <c r="G763" i="260"/>
  <c r="BF158" i="260"/>
  <c r="V278" i="260"/>
  <c r="AV718" i="260"/>
  <c r="AQ758" i="260"/>
  <c r="AV86" i="260"/>
  <c r="R377" i="260"/>
  <c r="AV775" i="260"/>
  <c r="R686" i="260"/>
  <c r="AQ376" i="260"/>
  <c r="AH209" i="260"/>
  <c r="AV414" i="260"/>
  <c r="AN717" i="260"/>
  <c r="BQ409" i="260"/>
  <c r="AV589" i="260"/>
  <c r="AN464" i="260"/>
  <c r="AQ182" i="260"/>
  <c r="N448" i="260"/>
  <c r="BU750" i="260"/>
  <c r="AD180" i="260"/>
  <c r="J433" i="260"/>
  <c r="AD139" i="260"/>
  <c r="BF547" i="260"/>
  <c r="N776" i="260"/>
  <c r="J352" i="260"/>
  <c r="BU647" i="260"/>
  <c r="Z636" i="260"/>
  <c r="AH225" i="260"/>
  <c r="AV326" i="260"/>
  <c r="BF641" i="260"/>
  <c r="V277" i="260"/>
  <c r="N289" i="260"/>
  <c r="BF261" i="260"/>
  <c r="V92" i="260"/>
  <c r="N507" i="260"/>
  <c r="BQ178" i="260"/>
  <c r="Z594" i="260"/>
  <c r="AZ439" i="260"/>
  <c r="BJ711" i="260"/>
  <c r="Z494" i="260"/>
  <c r="AH399" i="260"/>
  <c r="Z765" i="260"/>
  <c r="V289" i="260"/>
  <c r="Z751" i="260"/>
  <c r="AN153" i="260"/>
  <c r="AD227" i="260"/>
  <c r="G475" i="260"/>
  <c r="AV592" i="260"/>
  <c r="Z502" i="260"/>
  <c r="V178" i="260"/>
  <c r="AV441" i="260"/>
  <c r="BF638" i="260"/>
  <c r="N417" i="260"/>
  <c r="BF766" i="260"/>
  <c r="AQ143" i="260"/>
  <c r="AQ217" i="260"/>
  <c r="BM385" i="260"/>
  <c r="R665" i="260"/>
  <c r="BJ462" i="260"/>
  <c r="BU595" i="260"/>
  <c r="N722" i="260"/>
  <c r="AN590" i="260"/>
  <c r="AV588" i="260"/>
  <c r="AH483" i="260"/>
  <c r="AV182" i="260"/>
  <c r="AH215" i="260"/>
  <c r="AZ661" i="260"/>
  <c r="AD393" i="260"/>
  <c r="AQ548" i="260"/>
  <c r="BM470" i="260"/>
  <c r="BQ599" i="260"/>
  <c r="AD434" i="260"/>
  <c r="AH323" i="260"/>
  <c r="BQ499" i="260"/>
  <c r="BU86" i="260"/>
  <c r="N234" i="260"/>
  <c r="AH769" i="260"/>
  <c r="V252" i="260"/>
  <c r="G574" i="260"/>
  <c r="Z711" i="260"/>
  <c r="AZ94" i="260"/>
  <c r="R475" i="260"/>
  <c r="BU226" i="260"/>
  <c r="AD270" i="260"/>
  <c r="BQ405" i="260"/>
  <c r="AZ705" i="260"/>
  <c r="BM388" i="260"/>
  <c r="V617" i="260"/>
  <c r="AZ607" i="260"/>
  <c r="AQ711" i="260"/>
  <c r="AV662" i="260"/>
  <c r="BJ153" i="260"/>
  <c r="BJ607" i="260"/>
  <c r="G759" i="260"/>
  <c r="AD587" i="260"/>
  <c r="BQ770" i="260"/>
  <c r="AQ752" i="260"/>
  <c r="R127" i="260"/>
  <c r="AV350" i="260"/>
  <c r="BU230" i="260"/>
  <c r="G338" i="260"/>
  <c r="BF670" i="260"/>
  <c r="J438" i="260"/>
  <c r="V645" i="260"/>
  <c r="AV239" i="260"/>
  <c r="V346" i="260"/>
  <c r="V509" i="260"/>
  <c r="BQ158" i="260"/>
  <c r="BF325" i="260"/>
  <c r="N517" i="260"/>
  <c r="AN362" i="260"/>
  <c r="V166" i="260"/>
  <c r="R313" i="260"/>
  <c r="AV527" i="260"/>
  <c r="BM482" i="260"/>
  <c r="G288" i="260"/>
  <c r="AD310" i="260"/>
  <c r="AH640" i="260"/>
  <c r="BM511" i="260"/>
  <c r="AV428" i="260"/>
  <c r="AV771" i="260"/>
  <c r="BF259" i="260"/>
  <c r="AQ119" i="260"/>
  <c r="AZ157" i="260"/>
  <c r="J460" i="260"/>
  <c r="BU158" i="260"/>
  <c r="G145" i="260"/>
  <c r="BQ260" i="260"/>
  <c r="BU113" i="260"/>
  <c r="AV492" i="260"/>
  <c r="G563" i="260"/>
  <c r="AZ698" i="260"/>
  <c r="BQ99" i="260"/>
  <c r="BF752" i="260"/>
  <c r="BQ320" i="260"/>
  <c r="BF89" i="260"/>
  <c r="AZ356" i="260"/>
  <c r="Z462" i="260"/>
  <c r="BF211" i="260"/>
  <c r="BQ672" i="260"/>
  <c r="AQ731" i="260"/>
  <c r="AH178" i="260"/>
  <c r="BF136" i="260"/>
  <c r="AQ597" i="260"/>
  <c r="AN740" i="260"/>
  <c r="V543" i="260"/>
  <c r="AN231" i="260"/>
  <c r="BU661" i="260"/>
  <c r="G413" i="260"/>
  <c r="J305" i="260"/>
  <c r="BJ430" i="260"/>
  <c r="AD481" i="260"/>
  <c r="BQ372" i="260"/>
  <c r="AN498" i="260"/>
  <c r="BQ242" i="260"/>
  <c r="G594" i="260"/>
  <c r="AZ432" i="260"/>
  <c r="R550" i="260"/>
  <c r="Z744" i="260"/>
  <c r="AV545" i="260"/>
  <c r="V287" i="260"/>
  <c r="AN559" i="260"/>
  <c r="R192" i="260"/>
  <c r="AQ365" i="260"/>
  <c r="BM126" i="260"/>
  <c r="N220" i="260"/>
  <c r="AN123" i="260"/>
  <c r="AN209" i="260"/>
  <c r="AN125" i="260"/>
  <c r="AZ289" i="260"/>
  <c r="BU763" i="260"/>
  <c r="BJ638" i="260"/>
  <c r="R332" i="260"/>
  <c r="AQ745" i="260"/>
  <c r="BQ498" i="260"/>
  <c r="R373" i="260"/>
  <c r="AD461" i="260"/>
  <c r="J743" i="260"/>
  <c r="AV700" i="260"/>
  <c r="J610" i="260"/>
  <c r="G646" i="260"/>
  <c r="Z338" i="260"/>
  <c r="BU451" i="260"/>
  <c r="G102" i="260"/>
  <c r="AV513" i="260"/>
  <c r="AH676" i="260"/>
  <c r="BM196" i="260"/>
  <c r="BU432" i="260"/>
  <c r="G389" i="260"/>
  <c r="J211" i="260"/>
  <c r="BM551" i="260"/>
  <c r="BJ161" i="260"/>
  <c r="AH667" i="260"/>
  <c r="Z374" i="260"/>
  <c r="AH232" i="260"/>
  <c r="V616" i="260"/>
  <c r="AD156" i="260"/>
  <c r="R263" i="260"/>
  <c r="N94" i="260"/>
  <c r="G553" i="260"/>
  <c r="BQ273" i="260"/>
  <c r="J226" i="260"/>
  <c r="BF710" i="260"/>
  <c r="AZ681" i="260"/>
  <c r="R386" i="260"/>
  <c r="G409" i="260"/>
  <c r="Z118" i="260"/>
  <c r="BU524" i="260"/>
  <c r="BJ715" i="260"/>
  <c r="AH424" i="260"/>
  <c r="BF246" i="260"/>
  <c r="AV587" i="260"/>
  <c r="AN751" i="260"/>
  <c r="BU247" i="260"/>
  <c r="Z168" i="260"/>
  <c r="BF428" i="260"/>
  <c r="G557" i="260"/>
  <c r="AH736" i="260"/>
  <c r="AH666" i="260"/>
  <c r="J716" i="260"/>
  <c r="AV224" i="260"/>
  <c r="BU315" i="260"/>
  <c r="J768" i="260"/>
  <c r="G468" i="260"/>
  <c r="AZ370" i="260"/>
  <c r="BU681" i="260"/>
  <c r="BJ268" i="260"/>
  <c r="R598" i="260"/>
  <c r="BJ617" i="260"/>
  <c r="N755" i="260"/>
  <c r="G277" i="260"/>
  <c r="G709" i="260"/>
  <c r="BM306" i="260"/>
  <c r="G337" i="260"/>
  <c r="AN584" i="260"/>
  <c r="BM595" i="260"/>
  <c r="AH386" i="260"/>
  <c r="BU632" i="260"/>
  <c r="AH750" i="260"/>
  <c r="AH160" i="260"/>
  <c r="AD613" i="260"/>
  <c r="AZ777" i="260"/>
  <c r="AV148" i="260"/>
  <c r="BQ128" i="260"/>
  <c r="R706" i="260"/>
  <c r="AV152" i="260"/>
  <c r="AV93" i="260"/>
  <c r="G595" i="260"/>
  <c r="AQ655" i="260"/>
  <c r="BJ362" i="260"/>
  <c r="BM737" i="260"/>
  <c r="BF282" i="260"/>
  <c r="BU743" i="260"/>
  <c r="AV219" i="260"/>
  <c r="G474" i="260"/>
  <c r="J468" i="260"/>
  <c r="AZ606" i="260"/>
  <c r="AD306" i="260"/>
  <c r="AZ91" i="260"/>
  <c r="V726" i="260"/>
  <c r="BJ766" i="260"/>
  <c r="AQ257" i="260"/>
  <c r="BQ497" i="260"/>
  <c r="AV133" i="260"/>
  <c r="G484" i="260"/>
  <c r="AN245" i="260"/>
  <c r="AH688" i="260"/>
  <c r="J598" i="260"/>
  <c r="BF585" i="260"/>
  <c r="AQ506" i="260"/>
  <c r="AZ571" i="260"/>
  <c r="J670" i="260"/>
  <c r="BU298" i="260"/>
  <c r="AZ396" i="260"/>
  <c r="N290" i="260"/>
  <c r="AN140" i="260"/>
  <c r="BF490" i="260"/>
  <c r="BJ660" i="260"/>
  <c r="J668" i="260"/>
  <c r="AD326" i="260"/>
  <c r="AN106" i="260"/>
  <c r="G708" i="260"/>
  <c r="AZ716" i="260"/>
  <c r="AZ359" i="260"/>
  <c r="BJ446" i="260"/>
  <c r="BF538" i="260"/>
  <c r="BF718" i="260"/>
  <c r="BJ394" i="260"/>
  <c r="BU374" i="260"/>
  <c r="J142" i="260"/>
  <c r="BJ222" i="260"/>
  <c r="AV621" i="260"/>
  <c r="G519" i="260"/>
  <c r="BU542" i="260"/>
  <c r="BU252" i="260"/>
  <c r="AQ191" i="260"/>
  <c r="AQ319" i="260"/>
  <c r="J370" i="260"/>
  <c r="Z488" i="260"/>
  <c r="BJ412" i="260"/>
  <c r="R571" i="260"/>
  <c r="Z658" i="260"/>
  <c r="AH234" i="260"/>
  <c r="AH208" i="260"/>
  <c r="BQ335" i="260"/>
  <c r="R319" i="260"/>
  <c r="BU114" i="260"/>
  <c r="BU430" i="260"/>
  <c r="G351" i="260"/>
  <c r="R322" i="260"/>
  <c r="J228" i="260"/>
  <c r="BQ449" i="260"/>
  <c r="N420" i="260"/>
  <c r="BM226" i="260"/>
  <c r="BF672" i="260"/>
  <c r="BJ415" i="260"/>
  <c r="R657" i="260"/>
  <c r="R300" i="260"/>
  <c r="AD226" i="260"/>
  <c r="N297" i="260"/>
  <c r="G316" i="260"/>
  <c r="AH471" i="260"/>
  <c r="AZ510" i="260"/>
  <c r="AQ167" i="260"/>
  <c r="N309" i="260"/>
  <c r="AQ468" i="260"/>
  <c r="AH705" i="260"/>
  <c r="AV272" i="260"/>
  <c r="AV455" i="260"/>
  <c r="AV703" i="260"/>
  <c r="BQ585" i="260"/>
  <c r="AD483" i="260"/>
  <c r="Z283" i="260"/>
  <c r="BU400" i="260"/>
  <c r="AZ299" i="260"/>
  <c r="AD87" i="260"/>
  <c r="N457" i="260"/>
  <c r="AN83" i="260"/>
  <c r="AZ470" i="260"/>
  <c r="AQ216" i="260"/>
  <c r="AV223" i="260"/>
  <c r="AD570" i="260"/>
  <c r="BF323" i="260"/>
  <c r="J256" i="260"/>
  <c r="N637" i="260"/>
  <c r="BQ233" i="260"/>
  <c r="G194" i="260"/>
  <c r="G580" i="260"/>
  <c r="BQ468" i="260"/>
  <c r="G619" i="260"/>
  <c r="V372" i="260"/>
  <c r="BJ143" i="260"/>
  <c r="AN100" i="260"/>
  <c r="V141" i="260"/>
  <c r="Z440" i="260"/>
  <c r="BQ222" i="260"/>
  <c r="AH759" i="260"/>
  <c r="AZ398" i="260"/>
  <c r="BM465" i="260"/>
  <c r="G294" i="260"/>
  <c r="AZ290" i="260"/>
  <c r="AV683" i="260"/>
  <c r="AQ133" i="260"/>
  <c r="AZ224" i="260"/>
  <c r="V482" i="260"/>
  <c r="AD261" i="260"/>
  <c r="AD466" i="260"/>
  <c r="J680" i="260"/>
  <c r="V518" i="260"/>
  <c r="AD696" i="260"/>
  <c r="BM494" i="260"/>
  <c r="Z311" i="260"/>
  <c r="N650" i="260"/>
  <c r="AQ253" i="260"/>
  <c r="AN322" i="260"/>
  <c r="N114" i="260"/>
  <c r="BU421" i="260"/>
  <c r="AV591" i="260"/>
  <c r="BJ132" i="260"/>
  <c r="BJ128" i="260"/>
  <c r="AV90" i="260"/>
  <c r="BF318" i="260"/>
  <c r="BF744" i="260"/>
  <c r="AV368" i="260"/>
  <c r="BF573" i="260"/>
  <c r="Z322" i="260"/>
  <c r="AH405" i="260"/>
  <c r="BQ609" i="260"/>
  <c r="AQ89" i="260"/>
  <c r="AZ425" i="260"/>
  <c r="Z411" i="260"/>
  <c r="V153" i="260"/>
  <c r="BM539" i="260"/>
  <c r="AV584" i="260"/>
  <c r="Z447" i="260"/>
  <c r="AZ596" i="260"/>
  <c r="BJ349" i="260"/>
  <c r="BF555" i="260"/>
  <c r="AV127" i="260"/>
  <c r="Z709" i="260"/>
  <c r="V231" i="260"/>
  <c r="AN86" i="260"/>
  <c r="AD114" i="260"/>
  <c r="BF317" i="260"/>
  <c r="BU615" i="260"/>
  <c r="BF721" i="260"/>
  <c r="AD597" i="260"/>
  <c r="BM227" i="260"/>
  <c r="BF402" i="260"/>
  <c r="G113" i="260"/>
  <c r="BU155" i="260"/>
  <c r="V766" i="260"/>
  <c r="AQ585" i="260"/>
  <c r="AQ105" i="260"/>
  <c r="BJ486" i="260"/>
  <c r="BM88" i="260"/>
  <c r="BQ522" i="260"/>
  <c r="AV325" i="260"/>
  <c r="N449" i="260"/>
  <c r="BU161" i="260"/>
  <c r="BU411" i="260"/>
  <c r="BM456" i="260"/>
  <c r="AD93" i="260"/>
  <c r="Z307" i="260"/>
  <c r="Z542" i="260"/>
  <c r="AV575" i="260"/>
  <c r="AZ680" i="260"/>
  <c r="AZ719" i="260"/>
  <c r="BQ671" i="260"/>
  <c r="BQ330" i="260"/>
  <c r="AV273" i="260"/>
  <c r="BM626" i="260"/>
  <c r="J351" i="260"/>
  <c r="BM643" i="260"/>
  <c r="AZ513" i="260"/>
  <c r="AD618" i="260"/>
  <c r="BJ173" i="260"/>
  <c r="AD317" i="260"/>
  <c r="AH648" i="260"/>
  <c r="AZ444" i="260"/>
  <c r="AZ326" i="260"/>
  <c r="BF724" i="260"/>
  <c r="R112" i="260"/>
  <c r="AH347" i="260"/>
  <c r="BU756" i="260"/>
  <c r="BF452" i="260"/>
  <c r="BF431" i="260"/>
  <c r="BU333" i="260"/>
  <c r="BQ460" i="260"/>
  <c r="AQ724" i="260"/>
  <c r="R647" i="260"/>
  <c r="BM341" i="260"/>
  <c r="BQ90" i="260"/>
  <c r="AV496" i="260"/>
  <c r="N498" i="260"/>
  <c r="R196" i="260"/>
  <c r="AV215" i="260"/>
  <c r="BJ261" i="260"/>
  <c r="AD197" i="260"/>
  <c r="N202" i="260"/>
  <c r="AN225" i="260"/>
  <c r="G195" i="260"/>
  <c r="V541" i="260"/>
  <c r="V609" i="260"/>
  <c r="AZ172" i="260"/>
  <c r="V201" i="260"/>
  <c r="AV641" i="260"/>
  <c r="AV212" i="260"/>
  <c r="N370" i="260"/>
  <c r="AH507" i="260"/>
  <c r="AZ252" i="260"/>
  <c r="AH449" i="260"/>
  <c r="AH775" i="260"/>
  <c r="AZ271" i="260"/>
  <c r="AN156" i="260"/>
  <c r="AZ275" i="260"/>
  <c r="V110" i="260"/>
  <c r="AD771" i="260"/>
  <c r="BU724" i="260"/>
  <c r="AQ116" i="260"/>
  <c r="AN416" i="260"/>
  <c r="BJ730" i="260"/>
  <c r="Z403" i="260"/>
  <c r="AN365" i="260"/>
  <c r="AH740" i="260"/>
  <c r="BM777" i="260"/>
  <c r="G232" i="260"/>
  <c r="Z486" i="260"/>
  <c r="AD245" i="260"/>
  <c r="AV185" i="260"/>
  <c r="BM298" i="260"/>
  <c r="BQ303" i="260"/>
  <c r="G492" i="260"/>
  <c r="BJ740" i="260"/>
  <c r="R444" i="260"/>
  <c r="R253" i="260"/>
  <c r="N97" i="260"/>
  <c r="AH87" i="260"/>
  <c r="AH380" i="260"/>
  <c r="Z498" i="260"/>
  <c r="AN757" i="260"/>
  <c r="R240" i="260"/>
  <c r="AV216" i="260"/>
  <c r="V697" i="260"/>
  <c r="BQ265" i="260"/>
  <c r="R436" i="260"/>
  <c r="R117" i="260"/>
  <c r="R175" i="260"/>
  <c r="BU153" i="260"/>
  <c r="AD626" i="260"/>
  <c r="BM691" i="260"/>
  <c r="BM90" i="260"/>
  <c r="BJ549" i="260"/>
  <c r="BF668" i="260"/>
  <c r="V698" i="260"/>
  <c r="AQ150" i="260"/>
  <c r="N253" i="260"/>
  <c r="AV603" i="260"/>
  <c r="AN743" i="260"/>
  <c r="BM125" i="260"/>
  <c r="BQ603" i="260"/>
  <c r="AV110" i="260"/>
  <c r="AN595" i="260"/>
  <c r="AN685" i="260"/>
  <c r="AH589" i="260"/>
  <c r="BU594" i="260"/>
  <c r="R463" i="260"/>
  <c r="BJ600" i="260"/>
  <c r="BJ315" i="260"/>
  <c r="BU710" i="260"/>
  <c r="AZ314" i="260"/>
  <c r="AQ700" i="260"/>
  <c r="Z500" i="260"/>
  <c r="AV551" i="260"/>
  <c r="G174" i="260"/>
  <c r="BQ239" i="260"/>
  <c r="BQ328" i="260"/>
  <c r="BQ645" i="260"/>
  <c r="BM128" i="260"/>
  <c r="AQ624" i="260"/>
  <c r="G347" i="260"/>
  <c r="BJ688" i="260"/>
  <c r="G770" i="260"/>
  <c r="N740" i="260"/>
  <c r="AV147" i="260"/>
  <c r="AV675" i="260"/>
  <c r="BF714" i="260"/>
  <c r="AV442" i="260"/>
  <c r="AD527" i="260"/>
  <c r="AQ691" i="260"/>
  <c r="G505" i="260"/>
  <c r="N188" i="260"/>
  <c r="BU625" i="260"/>
  <c r="Z420" i="260"/>
  <c r="BM198" i="260"/>
  <c r="R334" i="260"/>
  <c r="BF445" i="260"/>
  <c r="Z328" i="260"/>
  <c r="BM252" i="260"/>
  <c r="AZ395" i="260"/>
  <c r="BM715" i="260"/>
  <c r="R252" i="260"/>
  <c r="BJ336" i="260"/>
  <c r="AZ615" i="260"/>
  <c r="Z723" i="260"/>
  <c r="AD441" i="260"/>
  <c r="N142" i="260"/>
  <c r="V309" i="260"/>
  <c r="AQ646" i="260"/>
  <c r="BJ144" i="260"/>
  <c r="N689" i="260"/>
  <c r="BF584" i="260"/>
  <c r="J773" i="260"/>
  <c r="J388" i="260"/>
  <c r="Z287" i="260"/>
  <c r="V317" i="260"/>
  <c r="AV469" i="260"/>
  <c r="BJ135" i="260"/>
  <c r="AD676" i="260"/>
  <c r="BU494" i="260"/>
  <c r="V557" i="260"/>
  <c r="N272" i="260"/>
  <c r="BQ664" i="260"/>
  <c r="AD573" i="260"/>
  <c r="Z694" i="260"/>
  <c r="G496" i="260"/>
  <c r="BQ236" i="260"/>
  <c r="BF514" i="260"/>
  <c r="V441" i="260"/>
  <c r="BM716" i="260"/>
  <c r="BF424" i="260"/>
  <c r="AV264" i="260"/>
  <c r="Z664" i="260"/>
  <c r="R732" i="260"/>
  <c r="J424" i="260"/>
  <c r="BJ171" i="260"/>
  <c r="BM717" i="260"/>
  <c r="BF522" i="260"/>
  <c r="AD367" i="260"/>
  <c r="BF624" i="260"/>
  <c r="BF693" i="260"/>
  <c r="BJ137" i="260"/>
  <c r="AH324" i="260"/>
  <c r="AZ568" i="260"/>
  <c r="V211" i="260"/>
  <c r="BM310" i="260"/>
  <c r="V186" i="260"/>
  <c r="BU198" i="260"/>
  <c r="BJ507" i="260"/>
  <c r="AH278" i="260"/>
  <c r="BM221" i="260"/>
  <c r="AD497" i="260"/>
  <c r="G209" i="260"/>
  <c r="AZ381" i="260"/>
  <c r="Z305" i="260"/>
  <c r="AV512" i="260"/>
  <c r="G116" i="260"/>
  <c r="BJ164" i="260"/>
  <c r="N172" i="260"/>
  <c r="AZ747" i="260"/>
  <c r="R490" i="260"/>
  <c r="BJ226" i="260"/>
  <c r="AN720" i="260"/>
  <c r="BJ742" i="260"/>
  <c r="N549" i="260"/>
  <c r="AZ240" i="260"/>
  <c r="V773" i="260"/>
  <c r="AD541" i="260"/>
  <c r="V693" i="260"/>
  <c r="AH557" i="260"/>
  <c r="Z371" i="260"/>
  <c r="BU549" i="260"/>
  <c r="G186" i="260"/>
  <c r="BU483" i="260"/>
  <c r="N535" i="260"/>
  <c r="Z768" i="260"/>
  <c r="N711" i="260"/>
  <c r="BQ225" i="260"/>
  <c r="AN337" i="260"/>
  <c r="J658" i="260"/>
  <c r="N615" i="260"/>
  <c r="BQ423" i="260"/>
  <c r="J81" i="260"/>
  <c r="R588" i="260"/>
  <c r="Z477" i="260"/>
  <c r="BQ740" i="260"/>
  <c r="AZ362" i="260"/>
  <c r="AQ586" i="260"/>
  <c r="AD512" i="260"/>
  <c r="R205" i="260"/>
  <c r="N343" i="260"/>
  <c r="N246" i="260"/>
  <c r="BU747" i="260"/>
  <c r="AV205" i="260"/>
  <c r="AH519" i="260"/>
  <c r="BQ345" i="260"/>
  <c r="AV766" i="260"/>
  <c r="BJ184" i="260"/>
  <c r="Z421" i="260"/>
  <c r="BJ734" i="260"/>
  <c r="N622" i="260"/>
  <c r="BU235" i="260"/>
  <c r="Z350" i="260"/>
  <c r="BQ378" i="260"/>
  <c r="BJ90" i="260"/>
  <c r="N184" i="260"/>
  <c r="V380" i="260"/>
  <c r="BJ755" i="260"/>
  <c r="AH252" i="260"/>
  <c r="AZ366" i="260"/>
  <c r="R306" i="260"/>
  <c r="BU300" i="260"/>
  <c r="AH135" i="260"/>
  <c r="AN574" i="260"/>
  <c r="BJ706" i="260"/>
  <c r="J113" i="260"/>
  <c r="J401" i="260"/>
  <c r="Z83" i="260"/>
  <c r="BM132" i="260"/>
  <c r="AN580" i="260"/>
  <c r="N551" i="260"/>
  <c r="AH556" i="260"/>
  <c r="AN615" i="260"/>
  <c r="J500" i="260"/>
  <c r="AH412" i="260"/>
  <c r="AQ124" i="260"/>
  <c r="V375" i="260"/>
  <c r="AV84" i="260"/>
  <c r="BJ675" i="260"/>
  <c r="AQ439" i="260"/>
  <c r="J148" i="260"/>
  <c r="BF177" i="260"/>
  <c r="J224" i="260"/>
  <c r="V144" i="260"/>
  <c r="BM377" i="260"/>
  <c r="AH545" i="260"/>
  <c r="AD691" i="260"/>
  <c r="BM149" i="260"/>
  <c r="R122" i="260"/>
  <c r="BU301" i="260"/>
  <c r="AH194" i="260"/>
  <c r="AV366" i="260"/>
  <c r="AD246" i="260"/>
  <c r="N332" i="260"/>
  <c r="BF224" i="260"/>
  <c r="BQ141" i="260"/>
  <c r="AD616" i="260"/>
  <c r="BM286" i="260"/>
  <c r="AZ140" i="260"/>
  <c r="AH617" i="260"/>
  <c r="G456" i="260"/>
  <c r="AH400" i="260"/>
  <c r="AD651" i="260"/>
  <c r="J278" i="260"/>
  <c r="AD431" i="260"/>
  <c r="AN441" i="260"/>
  <c r="R727" i="260"/>
  <c r="BQ593" i="260"/>
  <c r="G227" i="260"/>
  <c r="AH170" i="260"/>
  <c r="BM348" i="260"/>
  <c r="N280" i="260"/>
  <c r="BJ110" i="260"/>
  <c r="AH510" i="260"/>
  <c r="V139" i="260"/>
  <c r="BF460" i="260"/>
  <c r="J200" i="260"/>
  <c r="BF462" i="260"/>
  <c r="BF213" i="260"/>
  <c r="AQ203" i="260"/>
  <c r="AN571" i="260"/>
  <c r="R624" i="260"/>
  <c r="G344" i="260"/>
  <c r="G278" i="260"/>
  <c r="N697" i="260"/>
  <c r="BQ771" i="260"/>
  <c r="AZ250" i="260"/>
  <c r="V714" i="260"/>
  <c r="AD430" i="260"/>
  <c r="AV618" i="260"/>
  <c r="N294" i="260"/>
  <c r="AV520" i="260"/>
  <c r="AH128" i="260"/>
  <c r="BQ384" i="260"/>
  <c r="BU521" i="260"/>
  <c r="AD284" i="260"/>
  <c r="G127" i="260"/>
  <c r="BF84" i="260"/>
  <c r="N108" i="260"/>
  <c r="AZ84" i="260"/>
  <c r="R299" i="260"/>
  <c r="BU265" i="260"/>
  <c r="BJ166" i="260"/>
  <c r="BJ703" i="260"/>
  <c r="AD640" i="260"/>
  <c r="Z123" i="260"/>
  <c r="AQ469" i="260"/>
  <c r="BU775" i="260"/>
  <c r="BU82" i="260"/>
  <c r="J512" i="260"/>
  <c r="BF738" i="260"/>
  <c r="N603" i="260"/>
  <c r="BJ585" i="260"/>
  <c r="AD133" i="260"/>
  <c r="BU261" i="260"/>
  <c r="BF256" i="260"/>
  <c r="BF563" i="260"/>
  <c r="AH521" i="260"/>
  <c r="AZ99" i="260"/>
  <c r="V343" i="260"/>
  <c r="AD268" i="260"/>
  <c r="N702" i="260"/>
  <c r="AV398" i="260"/>
  <c r="AZ773" i="260"/>
  <c r="V134" i="260"/>
  <c r="G615" i="260"/>
  <c r="BJ501" i="260"/>
  <c r="BU727" i="260"/>
  <c r="BF442" i="260"/>
  <c r="G87" i="260"/>
  <c r="J416" i="260"/>
  <c r="G381" i="260"/>
  <c r="BQ116" i="260"/>
  <c r="R403" i="260"/>
  <c r="N152" i="260"/>
  <c r="AZ612" i="260"/>
  <c r="AQ394" i="260"/>
  <c r="G267" i="260"/>
  <c r="AV123" i="260"/>
  <c r="AN112" i="260"/>
  <c r="N292" i="260"/>
  <c r="G217" i="260"/>
  <c r="Z597" i="260"/>
  <c r="BU547" i="260"/>
  <c r="Z390" i="260"/>
  <c r="BF142" i="260"/>
  <c r="BF403" i="260"/>
  <c r="AZ141" i="260"/>
  <c r="AN138" i="260"/>
  <c r="BM150" i="260"/>
  <c r="R757" i="260"/>
  <c r="G756" i="260"/>
  <c r="AN745" i="260"/>
  <c r="BJ384" i="260"/>
  <c r="BM246" i="260"/>
  <c r="BU491" i="260"/>
  <c r="BJ727" i="260"/>
  <c r="BU372" i="260"/>
  <c r="BQ680" i="260"/>
  <c r="N666" i="260"/>
  <c r="BF696" i="260"/>
  <c r="AN483" i="260"/>
  <c r="BF289" i="260"/>
  <c r="R522" i="260"/>
  <c r="N441" i="260"/>
  <c r="N626" i="260"/>
  <c r="AD722" i="260"/>
  <c r="BF515" i="260"/>
  <c r="BQ742" i="260"/>
  <c r="J441" i="260"/>
  <c r="AH438" i="260"/>
  <c r="BU728" i="260"/>
  <c r="N236" i="260"/>
  <c r="BJ527" i="260"/>
  <c r="BQ717" i="260"/>
  <c r="AH149" i="260"/>
  <c r="V685" i="260"/>
  <c r="BU487" i="260"/>
  <c r="AZ222" i="260"/>
  <c r="Z495" i="260"/>
  <c r="J264" i="260"/>
  <c r="BJ496" i="260"/>
  <c r="AQ762" i="260"/>
  <c r="BU176" i="260"/>
  <c r="R165" i="260"/>
  <c r="AZ477" i="260"/>
  <c r="Z228" i="260"/>
  <c r="AD664" i="260"/>
  <c r="AN410" i="260"/>
  <c r="Z512" i="260"/>
  <c r="BJ433" i="260"/>
  <c r="AH663" i="260"/>
  <c r="R381" i="260"/>
  <c r="AH239" i="260"/>
  <c r="BM114" i="260"/>
  <c r="BQ148" i="260"/>
  <c r="BM727" i="260"/>
  <c r="AD406" i="260"/>
  <c r="AV762" i="260"/>
  <c r="BF230" i="260"/>
  <c r="AD519" i="260"/>
  <c r="AH257" i="260"/>
  <c r="BM750" i="260"/>
  <c r="AN538" i="260"/>
  <c r="BJ371" i="260"/>
  <c r="BM420" i="260"/>
  <c r="AV605" i="260"/>
  <c r="Z706" i="260"/>
  <c r="N95" i="260"/>
  <c r="BQ244" i="260"/>
  <c r="BU466" i="260"/>
  <c r="G644" i="260"/>
  <c r="V593" i="260"/>
  <c r="BU597" i="260"/>
  <c r="BJ205" i="260"/>
  <c r="AH650" i="260"/>
  <c r="Z81" i="260"/>
  <c r="AN246" i="260"/>
  <c r="AV210" i="260"/>
  <c r="AN667" i="260"/>
  <c r="AD595" i="260"/>
  <c r="J418" i="260"/>
  <c r="V227" i="260"/>
  <c r="G182" i="260"/>
  <c r="BF94" i="260"/>
  <c r="G206" i="260"/>
  <c r="BF439" i="260"/>
  <c r="Z120" i="260"/>
  <c r="J580" i="260"/>
  <c r="AQ302" i="260"/>
  <c r="N206" i="260"/>
  <c r="N166" i="260"/>
  <c r="AH247" i="260"/>
  <c r="AQ299" i="260"/>
  <c r="BF144" i="260"/>
  <c r="BU601" i="260"/>
  <c r="AH342" i="260"/>
  <c r="AD305" i="260"/>
  <c r="AZ485" i="260"/>
  <c r="BM117" i="260"/>
  <c r="BU396" i="260"/>
  <c r="J223" i="260"/>
  <c r="G739" i="260"/>
  <c r="BQ249" i="260"/>
  <c r="Z755" i="260"/>
  <c r="AV143" i="260"/>
  <c r="BQ566" i="260"/>
  <c r="G370" i="260"/>
  <c r="AD350" i="260"/>
  <c r="AQ274" i="260"/>
  <c r="AV613" i="260"/>
  <c r="N701" i="260"/>
  <c r="V672" i="260"/>
  <c r="BQ641" i="260"/>
  <c r="BU571" i="260"/>
  <c r="AQ453" i="260"/>
  <c r="BF632" i="260"/>
  <c r="BQ218" i="260"/>
  <c r="J363" i="260"/>
  <c r="AQ83" i="260"/>
  <c r="BU685" i="260"/>
  <c r="N255" i="260"/>
  <c r="AD469" i="260"/>
  <c r="AD113" i="260"/>
  <c r="BF645" i="260"/>
  <c r="AN420" i="260"/>
  <c r="AN634" i="260"/>
  <c r="AD161" i="260"/>
  <c r="R389" i="260"/>
  <c r="N295" i="260"/>
  <c r="BM180" i="260"/>
  <c r="V658" i="260"/>
  <c r="AH539" i="260"/>
  <c r="BF193" i="260"/>
  <c r="BM236" i="260"/>
  <c r="BM423" i="260"/>
  <c r="G239" i="260"/>
  <c r="BQ475" i="260"/>
  <c r="AQ435" i="260"/>
  <c r="AD183" i="260"/>
  <c r="AV358" i="260"/>
  <c r="G156" i="260"/>
  <c r="J147" i="260"/>
  <c r="BF272" i="260"/>
  <c r="BM153" i="260"/>
  <c r="J749" i="260"/>
  <c r="G609" i="260"/>
  <c r="J685" i="260"/>
  <c r="BM698" i="260"/>
  <c r="R312" i="260"/>
  <c r="AN507" i="260"/>
  <c r="BU675" i="260"/>
  <c r="V631" i="260"/>
  <c r="BF728" i="260"/>
  <c r="BF344" i="260"/>
  <c r="BU650" i="260"/>
  <c r="AQ198" i="260"/>
  <c r="R177" i="260"/>
  <c r="V108" i="260"/>
  <c r="AZ143" i="260"/>
  <c r="BU180" i="260"/>
  <c r="Z490" i="260"/>
  <c r="AH132" i="260"/>
  <c r="BF95" i="260"/>
  <c r="BQ306" i="260"/>
  <c r="Z533" i="260"/>
  <c r="BF625" i="260"/>
  <c r="BQ700" i="260"/>
  <c r="J384" i="260"/>
  <c r="BF309" i="260"/>
  <c r="G735" i="260"/>
  <c r="AD222" i="260"/>
  <c r="R222" i="260"/>
  <c r="AZ573" i="260"/>
  <c r="BJ589" i="260"/>
  <c r="G374" i="260"/>
  <c r="AD162" i="260"/>
  <c r="J734" i="260"/>
  <c r="V652" i="260"/>
  <c r="AN165" i="260"/>
  <c r="AQ463" i="260"/>
  <c r="BM321" i="260"/>
  <c r="V732" i="260"/>
  <c r="AZ145" i="260"/>
  <c r="BJ687" i="260"/>
  <c r="G466" i="260"/>
  <c r="V457" i="260"/>
  <c r="AQ386" i="260"/>
  <c r="AN248" i="260"/>
  <c r="J458" i="260"/>
  <c r="AH686" i="260"/>
  <c r="G545" i="260"/>
  <c r="V191" i="260"/>
  <c r="BU473" i="260"/>
  <c r="R563" i="260"/>
  <c r="AZ107" i="260"/>
  <c r="BQ711" i="260"/>
  <c r="Z212" i="260"/>
  <c r="BU376" i="260"/>
  <c r="N577" i="260"/>
  <c r="AQ242" i="260"/>
  <c r="BM428" i="260"/>
  <c r="BJ112" i="260"/>
  <c r="Z238" i="260"/>
  <c r="BU225" i="260"/>
  <c r="R573" i="260"/>
  <c r="Z717" i="260"/>
  <c r="AV749" i="260"/>
  <c r="G430" i="260"/>
  <c r="AV598" i="260"/>
  <c r="AZ338" i="260"/>
  <c r="AN157" i="260"/>
  <c r="AD91" i="260"/>
  <c r="AN573" i="260"/>
  <c r="BU753" i="260"/>
  <c r="V730" i="260"/>
  <c r="G686" i="260"/>
  <c r="AQ725" i="260"/>
  <c r="Z459" i="260"/>
  <c r="AN249" i="260"/>
  <c r="AD548" i="260"/>
  <c r="BQ760" i="260"/>
  <c r="AV514" i="260"/>
  <c r="AQ446" i="260"/>
  <c r="AD134" i="260"/>
  <c r="AQ564" i="260"/>
  <c r="V570" i="260"/>
  <c r="N625" i="260"/>
  <c r="Z432" i="260"/>
  <c r="BM120" i="260"/>
  <c r="BM496" i="260"/>
  <c r="BM584" i="260"/>
  <c r="N376" i="260"/>
  <c r="AV245" i="260"/>
  <c r="AD241" i="260"/>
  <c r="AQ551" i="260"/>
  <c r="AQ507" i="260"/>
  <c r="AD285" i="260"/>
  <c r="BM330" i="260"/>
  <c r="BU572" i="260"/>
  <c r="BF635" i="260"/>
  <c r="AQ443" i="260"/>
  <c r="N758" i="260"/>
  <c r="Z389" i="260"/>
  <c r="J572" i="260"/>
  <c r="R722" i="260"/>
  <c r="N389" i="260"/>
  <c r="AV280" i="260"/>
  <c r="AD405" i="260"/>
  <c r="R394" i="260"/>
  <c r="AN127" i="260"/>
  <c r="J353" i="260"/>
  <c r="AH174" i="260"/>
  <c r="AD255" i="260"/>
  <c r="V305" i="260"/>
  <c r="BF447" i="260"/>
  <c r="AD363" i="260"/>
  <c r="BM133" i="260"/>
  <c r="BQ486" i="260"/>
  <c r="BF149" i="260"/>
  <c r="AZ561" i="260"/>
  <c r="BM644" i="260"/>
  <c r="AQ726" i="260"/>
  <c r="BF333" i="260"/>
  <c r="G357" i="260"/>
  <c r="BJ262" i="260"/>
  <c r="AZ537" i="260"/>
  <c r="AD351" i="260"/>
  <c r="BM695" i="260"/>
  <c r="AH523" i="260"/>
  <c r="AQ495" i="260"/>
  <c r="AQ301" i="260"/>
  <c r="R726" i="260"/>
  <c r="N270" i="260"/>
  <c r="AN314" i="260"/>
  <c r="AV661" i="260"/>
  <c r="BJ535" i="260"/>
  <c r="R326" i="260"/>
  <c r="AD403" i="260"/>
  <c r="AD770" i="260"/>
  <c r="AV453" i="260"/>
  <c r="Z739" i="260"/>
  <c r="AV774" i="260"/>
  <c r="N375" i="260"/>
  <c r="AV639" i="260"/>
  <c r="AD688" i="260"/>
  <c r="G674" i="260"/>
  <c r="AD542" i="260"/>
  <c r="J377" i="260"/>
  <c r="V453" i="260"/>
  <c r="AZ148" i="260"/>
  <c r="BJ665" i="260"/>
  <c r="Z763" i="260"/>
  <c r="AV99" i="260"/>
  <c r="R398" i="260"/>
  <c r="AZ703" i="260"/>
  <c r="BF689" i="260"/>
  <c r="BJ616" i="260"/>
  <c r="AD333" i="260"/>
  <c r="AH216" i="260"/>
  <c r="BU309" i="260"/>
  <c r="AN272" i="260"/>
  <c r="BF385" i="260"/>
  <c r="AZ448" i="260"/>
  <c r="BU405" i="260"/>
  <c r="BF667" i="260"/>
  <c r="J553" i="260"/>
  <c r="BJ544" i="260"/>
  <c r="J96" i="260"/>
  <c r="R503" i="260"/>
  <c r="AZ144" i="260"/>
  <c r="BM392" i="260"/>
  <c r="AN363" i="260"/>
  <c r="BM701" i="260"/>
  <c r="BM652" i="260"/>
  <c r="AQ201" i="260"/>
  <c r="AH606" i="260"/>
  <c r="BF609" i="260"/>
  <c r="BJ593" i="260"/>
  <c r="AN480" i="260"/>
  <c r="BJ258" i="260"/>
  <c r="BF392" i="260"/>
  <c r="G682" i="260"/>
  <c r="AH250" i="260"/>
  <c r="J711" i="260"/>
  <c r="AD102" i="260"/>
  <c r="J508" i="260"/>
  <c r="R671" i="260"/>
  <c r="G692" i="260"/>
  <c r="R419" i="260"/>
  <c r="AN489" i="260"/>
  <c r="BQ145" i="260"/>
  <c r="V226" i="260"/>
  <c r="AD214" i="260"/>
  <c r="AQ644" i="260"/>
  <c r="AZ263" i="260"/>
  <c r="AQ235" i="260"/>
  <c r="R269" i="260"/>
  <c r="N589" i="260"/>
  <c r="BQ456" i="260"/>
  <c r="Z416" i="260"/>
  <c r="BU518" i="260"/>
  <c r="BM369" i="260"/>
  <c r="AQ539" i="260"/>
  <c r="AH124" i="260"/>
  <c r="AV95" i="260"/>
  <c r="J546" i="260"/>
  <c r="BJ427" i="260"/>
  <c r="AN300" i="260"/>
  <c r="AZ748" i="260"/>
  <c r="AZ497" i="260"/>
  <c r="AZ669" i="260"/>
  <c r="V95" i="260"/>
  <c r="BJ476" i="260"/>
  <c r="AZ234" i="260"/>
  <c r="AN642" i="260"/>
  <c r="R614" i="260"/>
  <c r="AV307" i="260"/>
  <c r="N767" i="260"/>
  <c r="BF622" i="260"/>
  <c r="BU340" i="260"/>
  <c r="N727" i="260"/>
  <c r="R333" i="260"/>
  <c r="AD569" i="260"/>
  <c r="BM670" i="260"/>
  <c r="BQ419" i="260"/>
  <c r="N769" i="260"/>
  <c r="BQ272" i="260"/>
  <c r="AN721" i="260"/>
  <c r="AN612" i="260"/>
  <c r="BM324" i="260"/>
  <c r="AN268" i="260"/>
  <c r="BF102" i="260"/>
  <c r="BM500" i="260"/>
  <c r="N573" i="260"/>
  <c r="BF173" i="260"/>
  <c r="AV778" i="260"/>
  <c r="AD105" i="260"/>
  <c r="V142" i="260"/>
  <c r="BQ525" i="260"/>
  <c r="J719" i="260"/>
  <c r="J646" i="260"/>
  <c r="BF349" i="260"/>
  <c r="BF711" i="260"/>
  <c r="AV201" i="260"/>
  <c r="BQ490" i="260"/>
  <c r="V727" i="260"/>
  <c r="V446" i="260"/>
  <c r="R666" i="260"/>
  <c r="AV240" i="260"/>
  <c r="AN93" i="260"/>
  <c r="BU640" i="260"/>
  <c r="AN457" i="260"/>
  <c r="R341" i="260"/>
  <c r="N312" i="260"/>
  <c r="AV694" i="260"/>
  <c r="BU439" i="260"/>
  <c r="BF187" i="260"/>
  <c r="AQ526" i="260"/>
  <c r="R91" i="260"/>
  <c r="G271" i="260"/>
  <c r="Z716" i="260"/>
  <c r="Z600" i="260"/>
  <c r="BM619" i="260"/>
  <c r="G677" i="260"/>
  <c r="BJ292" i="260"/>
  <c r="AV508" i="260"/>
  <c r="AV582" i="260"/>
  <c r="G730" i="260"/>
  <c r="R361" i="260"/>
  <c r="BF501" i="260"/>
  <c r="AQ494" i="260"/>
  <c r="G610" i="260"/>
  <c r="AD662" i="260"/>
  <c r="BM155" i="260"/>
  <c r="BQ722" i="260"/>
  <c r="N395" i="260"/>
  <c r="AN155" i="260"/>
  <c r="Z684" i="260"/>
  <c r="AD740" i="260"/>
  <c r="BU434" i="260"/>
  <c r="AH356" i="260"/>
  <c r="AN433" i="260"/>
  <c r="BQ105" i="260"/>
  <c r="AH531" i="260"/>
  <c r="Z707" i="260"/>
  <c r="J182" i="260"/>
  <c r="AZ320" i="260"/>
  <c r="AV499" i="260"/>
  <c r="BF280" i="260"/>
  <c r="AV256" i="260"/>
  <c r="N660" i="260"/>
  <c r="AZ610" i="260"/>
  <c r="N92" i="260"/>
  <c r="AN716" i="260"/>
  <c r="R625" i="260"/>
  <c r="AN482" i="260"/>
  <c r="V514" i="260"/>
  <c r="BQ759" i="260"/>
  <c r="AH401" i="260"/>
  <c r="AZ281" i="260"/>
  <c r="AQ578" i="260"/>
  <c r="BU144" i="260"/>
  <c r="AD540" i="260"/>
  <c r="G740" i="260"/>
  <c r="N775" i="260"/>
  <c r="AD510" i="260"/>
  <c r="AQ772" i="260"/>
  <c r="AH245" i="260"/>
  <c r="R669" i="260"/>
  <c r="BU617" i="260"/>
  <c r="R755" i="260"/>
  <c r="AH457" i="260"/>
  <c r="AQ665" i="260"/>
  <c r="J158" i="260"/>
  <c r="R374" i="260"/>
  <c r="BQ553" i="260"/>
  <c r="AV502" i="260"/>
  <c r="AD397" i="260"/>
  <c r="AH573" i="260"/>
  <c r="AN345" i="260"/>
  <c r="R259" i="260"/>
  <c r="V542" i="260"/>
  <c r="J297" i="260"/>
  <c r="G405" i="260"/>
  <c r="V345" i="260"/>
  <c r="J216" i="260"/>
  <c r="N358" i="260"/>
  <c r="AD322" i="260"/>
  <c r="AQ681" i="260"/>
  <c r="AH466" i="260"/>
  <c r="Z250" i="260"/>
  <c r="BJ669" i="260"/>
  <c r="BU761" i="260"/>
  <c r="BF695" i="260"/>
  <c r="BQ166" i="260"/>
  <c r="R702" i="260"/>
  <c r="BM294" i="260"/>
  <c r="AN287" i="260"/>
  <c r="AN159" i="260"/>
  <c r="BQ424" i="260"/>
  <c r="AZ167" i="260"/>
  <c r="N574" i="260"/>
  <c r="AQ730" i="260"/>
  <c r="R451" i="260"/>
  <c r="AQ252" i="260"/>
  <c r="AH183" i="260"/>
  <c r="BM655" i="260"/>
  <c r="J697" i="260"/>
  <c r="Z426" i="260"/>
  <c r="G643" i="260"/>
  <c r="AD538" i="260"/>
  <c r="Z670" i="260"/>
  <c r="Z372" i="260"/>
  <c r="V715" i="260"/>
  <c r="Z193" i="260"/>
  <c r="AH301" i="260"/>
  <c r="AQ188" i="260"/>
  <c r="BJ751" i="260"/>
  <c r="Z497" i="260"/>
  <c r="N318" i="260"/>
  <c r="BF91" i="260"/>
  <c r="N368" i="260"/>
  <c r="Z732" i="260"/>
  <c r="AZ721" i="260"/>
  <c r="BM487" i="260"/>
  <c r="AV396" i="260"/>
  <c r="G124" i="260"/>
  <c r="AV160" i="260"/>
  <c r="R618" i="260"/>
  <c r="G342" i="260"/>
  <c r="J578" i="260"/>
  <c r="AV595" i="260"/>
  <c r="AN402" i="260"/>
  <c r="AD89" i="260"/>
  <c r="BQ156" i="260"/>
  <c r="AV118" i="260"/>
  <c r="AQ431" i="260"/>
  <c r="Z559" i="260"/>
  <c r="BJ357" i="260"/>
  <c r="J759" i="260"/>
  <c r="J292" i="260"/>
  <c r="AH649" i="260"/>
  <c r="BM214" i="260"/>
  <c r="BF137" i="260"/>
  <c r="J456" i="260"/>
  <c r="AH502" i="260"/>
  <c r="BU739" i="260"/>
  <c r="AZ410" i="260"/>
  <c r="AN732" i="260"/>
  <c r="N302" i="260"/>
  <c r="BU390" i="260"/>
  <c r="BF660" i="260"/>
  <c r="AD550" i="260"/>
  <c r="BJ271" i="260"/>
  <c r="AQ287" i="260"/>
  <c r="V680" i="260"/>
  <c r="AH236" i="260"/>
  <c r="BQ528" i="260"/>
  <c r="G421" i="260"/>
  <c r="BF480" i="260"/>
  <c r="AV411" i="260"/>
  <c r="AV102" i="260"/>
  <c r="AH207" i="260"/>
  <c r="BQ340" i="260"/>
  <c r="BF620" i="260"/>
  <c r="AV139" i="260"/>
  <c r="BF82" i="260"/>
  <c r="BJ502" i="260"/>
  <c r="R497" i="260"/>
  <c r="BF368" i="260"/>
  <c r="AD611" i="260"/>
  <c r="BF684" i="260"/>
  <c r="R123" i="260"/>
  <c r="BF237" i="260"/>
  <c r="AH418" i="260"/>
  <c r="R701" i="260"/>
  <c r="J185" i="260"/>
  <c r="AN619" i="260"/>
  <c r="AQ449" i="260"/>
  <c r="BF553" i="260"/>
  <c r="J544" i="260"/>
  <c r="BF571" i="260"/>
  <c r="AD610" i="260"/>
  <c r="N315" i="260"/>
  <c r="AV698" i="260"/>
  <c r="AV175" i="260"/>
  <c r="BM253" i="260"/>
  <c r="BJ696" i="260"/>
  <c r="BM722" i="260"/>
  <c r="BQ441" i="260"/>
  <c r="AH498" i="260"/>
  <c r="G144" i="260"/>
  <c r="AN174" i="260"/>
  <c r="Z666" i="260"/>
  <c r="V568" i="260"/>
  <c r="N436" i="260"/>
  <c r="N374" i="260"/>
  <c r="AD663" i="260"/>
  <c r="AN113" i="260"/>
  <c r="AD96" i="260"/>
  <c r="BM192" i="260"/>
  <c r="Z257" i="260"/>
  <c r="Z619" i="260"/>
  <c r="R214" i="260"/>
  <c r="AZ730" i="260"/>
  <c r="AZ262" i="260"/>
  <c r="AQ570" i="260"/>
  <c r="AQ733" i="260"/>
  <c r="R549" i="260"/>
  <c r="BU305" i="260"/>
  <c r="R298" i="260"/>
  <c r="BM728" i="260"/>
  <c r="V103" i="260"/>
  <c r="AH459" i="260"/>
  <c r="J631" i="260"/>
  <c r="BM371" i="260"/>
  <c r="AN178" i="260"/>
  <c r="N712" i="260"/>
  <c r="AV384" i="260"/>
  <c r="AQ246" i="260"/>
  <c r="BJ366" i="260"/>
  <c r="G415" i="260"/>
  <c r="V544" i="260"/>
  <c r="AZ667" i="260"/>
  <c r="BM185" i="260"/>
  <c r="AV319" i="260"/>
  <c r="BU192" i="260"/>
  <c r="BJ380" i="260"/>
  <c r="AQ192" i="260"/>
  <c r="AH298" i="260"/>
  <c r="BQ766" i="260"/>
  <c r="BQ321" i="260"/>
  <c r="AZ211" i="260"/>
  <c r="BM410" i="260"/>
  <c r="BU651" i="260"/>
  <c r="AH584" i="260"/>
  <c r="BQ693" i="260"/>
  <c r="BJ420" i="260"/>
  <c r="AZ690" i="260"/>
  <c r="BU132" i="260"/>
  <c r="AZ364" i="260"/>
  <c r="AN185" i="260"/>
  <c r="BQ305" i="260"/>
  <c r="G434" i="260"/>
  <c r="AD563" i="260"/>
  <c r="AZ274" i="260"/>
  <c r="BF481" i="260"/>
  <c r="J778" i="260"/>
  <c r="J327" i="260"/>
  <c r="AH158" i="260"/>
  <c r="BF135" i="260"/>
  <c r="AD505" i="260"/>
  <c r="AD311" i="260"/>
  <c r="V200" i="260"/>
  <c r="AN496" i="260"/>
  <c r="BQ582" i="260"/>
  <c r="BM735" i="260"/>
  <c r="BM262" i="260"/>
  <c r="AV109" i="260"/>
  <c r="V678" i="260"/>
  <c r="Z306" i="260"/>
  <c r="AV541" i="260"/>
  <c r="R728" i="260"/>
  <c r="N569" i="260"/>
  <c r="Z196" i="260"/>
  <c r="AQ590" i="260"/>
  <c r="N450" i="260"/>
  <c r="AV680" i="260"/>
  <c r="BU308" i="260"/>
  <c r="G205" i="260"/>
  <c r="AN762" i="260"/>
  <c r="BJ630" i="260"/>
  <c r="N81" i="260"/>
  <c r="AN188" i="260"/>
  <c r="BM318" i="260"/>
  <c r="J477" i="260"/>
  <c r="BU653" i="260"/>
  <c r="V477" i="260"/>
  <c r="G712" i="260"/>
  <c r="AN665" i="260"/>
  <c r="BU302" i="260"/>
  <c r="R778" i="260"/>
  <c r="AN85" i="260"/>
  <c r="BF86" i="260"/>
  <c r="BF708" i="260"/>
  <c r="AN510" i="260"/>
  <c r="BM773" i="260"/>
  <c r="BU152" i="260"/>
  <c r="AD297" i="260"/>
  <c r="G573" i="260"/>
  <c r="AZ336" i="260"/>
  <c r="BU748" i="260"/>
  <c r="AN190" i="260"/>
  <c r="BU103" i="260"/>
  <c r="R775" i="260"/>
  <c r="AQ508" i="260"/>
  <c r="AQ707" i="260"/>
  <c r="BQ112" i="260"/>
  <c r="AH217" i="260"/>
  <c r="AV288" i="260"/>
  <c r="AZ463" i="260"/>
  <c r="J621" i="260"/>
  <c r="BU449" i="260"/>
  <c r="J249" i="260"/>
  <c r="Z660" i="260"/>
  <c r="AD396" i="260"/>
  <c r="Z167" i="260"/>
  <c r="BU391" i="260"/>
  <c r="BU684" i="260"/>
  <c r="BJ246" i="260"/>
  <c r="AV765" i="260"/>
  <c r="R562" i="260"/>
  <c r="G184" i="260"/>
  <c r="AH343" i="260"/>
  <c r="AQ616" i="260"/>
  <c r="R609" i="260"/>
  <c r="N321" i="260"/>
  <c r="BF448" i="260"/>
  <c r="BU219" i="260"/>
  <c r="AN283" i="260"/>
  <c r="BU290" i="260"/>
  <c r="BU557" i="260"/>
  <c r="BM481" i="260"/>
  <c r="AN307" i="260"/>
  <c r="BF191" i="260"/>
  <c r="BF692" i="260"/>
  <c r="J484" i="260"/>
  <c r="BF461" i="260"/>
  <c r="J560" i="260"/>
  <c r="V758" i="260"/>
  <c r="AH127" i="260"/>
  <c r="BJ762" i="260"/>
  <c r="AN630" i="260"/>
  <c r="AN586" i="260"/>
  <c r="AD584" i="260"/>
  <c r="BJ753" i="260"/>
  <c r="BF373" i="260"/>
  <c r="AZ438" i="260"/>
  <c r="BM175" i="260"/>
  <c r="AH408" i="260"/>
  <c r="AV198" i="260"/>
  <c r="BM394" i="260"/>
  <c r="BQ571" i="260"/>
  <c r="G298" i="260"/>
  <c r="V711" i="260"/>
  <c r="AQ434" i="260"/>
  <c r="Z616" i="260"/>
  <c r="AD486" i="260"/>
  <c r="AH388" i="260"/>
  <c r="AD547" i="260"/>
  <c r="AD683" i="260"/>
  <c r="BQ267" i="260"/>
  <c r="BQ481" i="260"/>
  <c r="AH610" i="260"/>
  <c r="AQ170" i="260"/>
  <c r="AD638" i="260"/>
  <c r="AQ323" i="260"/>
  <c r="BF683" i="260"/>
  <c r="BM646" i="260"/>
  <c r="Z736" i="260"/>
  <c r="AQ465" i="260"/>
  <c r="R750" i="260"/>
  <c r="G672" i="260"/>
  <c r="AZ580" i="260"/>
  <c r="BJ485" i="260"/>
  <c r="BU162" i="260"/>
  <c r="BJ316" i="260"/>
  <c r="AH98" i="260"/>
  <c r="BU488" i="260"/>
  <c r="V335" i="260"/>
  <c r="N495" i="260"/>
  <c r="G100" i="260"/>
  <c r="J636" i="260"/>
  <c r="V432" i="260"/>
  <c r="G656" i="260"/>
  <c r="AQ498" i="260"/>
  <c r="BQ216" i="260"/>
  <c r="AD749" i="260"/>
  <c r="BU105" i="260"/>
  <c r="BU450" i="260"/>
  <c r="AH118" i="260"/>
  <c r="Z644" i="260"/>
  <c r="BQ723" i="260"/>
  <c r="BQ455" i="260"/>
  <c r="BJ255" i="260"/>
  <c r="BM164" i="260"/>
  <c r="AQ176" i="260"/>
  <c r="V209" i="260"/>
  <c r="AD248" i="260"/>
  <c r="AD522" i="260"/>
  <c r="AN108" i="260"/>
  <c r="V269" i="260"/>
  <c r="AN201" i="260"/>
  <c r="BM398" i="260"/>
  <c r="AQ213" i="260"/>
  <c r="J336" i="260"/>
  <c r="J265" i="260"/>
  <c r="R561" i="260"/>
  <c r="N598" i="260"/>
  <c r="BM566" i="260"/>
  <c r="BQ103" i="260"/>
  <c r="BU80" i="260"/>
  <c r="AN556" i="260"/>
  <c r="N162" i="260"/>
  <c r="BM706" i="260"/>
  <c r="N195" i="260"/>
  <c r="R152" i="260"/>
  <c r="BJ461" i="260"/>
  <c r="AZ353" i="260"/>
  <c r="Z267" i="260"/>
  <c r="BU150" i="260"/>
  <c r="AD620" i="260"/>
  <c r="G210" i="260"/>
  <c r="AD386" i="260"/>
  <c r="V202" i="260"/>
  <c r="AV339" i="260"/>
  <c r="G638" i="260"/>
  <c r="AD646" i="260"/>
  <c r="AQ544" i="260"/>
  <c r="N421" i="260"/>
  <c r="AV281" i="260"/>
  <c r="BM549" i="260"/>
  <c r="BJ699" i="260"/>
  <c r="AN299" i="260"/>
  <c r="Z160" i="260"/>
  <c r="R774" i="260"/>
  <c r="Z407" i="260"/>
  <c r="AQ134" i="260"/>
  <c r="V602" i="260"/>
  <c r="J693" i="260"/>
  <c r="BF511" i="260"/>
  <c r="BF235" i="260"/>
  <c r="BM586" i="260"/>
  <c r="AH566" i="260"/>
  <c r="AH452" i="260"/>
  <c r="BU621" i="260"/>
  <c r="AQ126" i="260"/>
  <c r="N483" i="260"/>
  <c r="G506" i="260"/>
  <c r="R766" i="260"/>
  <c r="N409" i="260"/>
  <c r="R582" i="260"/>
  <c r="AZ310" i="260"/>
  <c r="AH137" i="260"/>
  <c r="BJ289" i="260"/>
  <c r="V271" i="260"/>
  <c r="G371" i="260"/>
  <c r="BQ768" i="260"/>
  <c r="BQ538" i="260"/>
  <c r="V451" i="260"/>
  <c r="Z258" i="260"/>
  <c r="Z222" i="260"/>
  <c r="AV341" i="260"/>
  <c r="V185" i="260"/>
  <c r="BF172" i="260"/>
  <c r="V414" i="260"/>
  <c r="Z205" i="260"/>
  <c r="G382" i="260"/>
  <c r="AD372" i="260"/>
  <c r="V459" i="260"/>
  <c r="BJ487" i="260"/>
  <c r="AH710" i="260"/>
  <c r="R268" i="260"/>
  <c r="J422" i="260"/>
  <c r="AD382" i="260"/>
  <c r="V206" i="260"/>
  <c r="AH230" i="260"/>
  <c r="AD150" i="260"/>
  <c r="J395" i="260"/>
  <c r="N774" i="260"/>
  <c r="BM95" i="260"/>
  <c r="BQ92" i="260"/>
  <c r="AN261" i="260"/>
  <c r="AZ656" i="260"/>
  <c r="BJ323" i="260"/>
  <c r="G718" i="260"/>
  <c r="J258" i="260"/>
  <c r="Z618" i="260"/>
  <c r="AH744" i="260"/>
  <c r="AN693" i="260"/>
  <c r="BM165" i="260"/>
  <c r="AD312" i="260"/>
  <c r="BM305" i="260"/>
  <c r="BF294" i="260"/>
  <c r="J271" i="260"/>
  <c r="AZ588" i="260"/>
  <c r="AQ311" i="260"/>
  <c r="AH299" i="260"/>
  <c r="AD155" i="260"/>
  <c r="AZ412" i="260"/>
  <c r="G699" i="260"/>
  <c r="V147" i="260"/>
  <c r="AD599" i="260"/>
  <c r="R135" i="260"/>
  <c r="BF618" i="260"/>
  <c r="AD549" i="260"/>
  <c r="BF227" i="260"/>
  <c r="V527" i="260"/>
  <c r="BQ143" i="260"/>
  <c r="Z748" i="260"/>
  <c r="BU561" i="260"/>
  <c r="AN221" i="260"/>
  <c r="AH291" i="260"/>
  <c r="AQ480" i="260"/>
  <c r="N773" i="260"/>
  <c r="N633" i="260"/>
  <c r="AV357" i="260"/>
  <c r="R583" i="260"/>
  <c r="AQ710" i="260"/>
  <c r="AN767" i="260"/>
  <c r="AN212" i="260"/>
  <c r="BM402" i="260"/>
  <c r="Z737" i="260"/>
  <c r="BU525" i="260"/>
  <c r="BU218" i="260"/>
  <c r="V491" i="260"/>
  <c r="J746" i="260"/>
  <c r="N634" i="260"/>
  <c r="BM746" i="260"/>
  <c r="BJ680" i="260"/>
  <c r="J205" i="260"/>
  <c r="R400" i="260"/>
  <c r="V723" i="260"/>
  <c r="AV136" i="260"/>
  <c r="AN98" i="260"/>
  <c r="N313" i="260"/>
  <c r="AN726" i="260"/>
  <c r="BJ333" i="260"/>
  <c r="AD675" i="260"/>
  <c r="BJ118" i="260"/>
  <c r="BF138" i="260"/>
  <c r="BQ695" i="260"/>
  <c r="BQ545" i="260"/>
  <c r="AZ714" i="260"/>
  <c r="Z505" i="260"/>
  <c r="AV677" i="260"/>
  <c r="AQ113" i="260"/>
  <c r="V321" i="260"/>
  <c r="AH468" i="260"/>
  <c r="BJ126" i="260"/>
  <c r="BJ483" i="260"/>
  <c r="R418" i="260"/>
  <c r="BF540" i="260"/>
  <c r="BJ681" i="260"/>
  <c r="BJ452" i="260"/>
  <c r="BU612" i="260"/>
  <c r="AH212" i="260"/>
  <c r="AV187" i="260"/>
  <c r="BM455" i="260"/>
  <c r="N627" i="260"/>
  <c r="BM519" i="260"/>
  <c r="AH707" i="260"/>
  <c r="BF122" i="260"/>
  <c r="AN290" i="260"/>
  <c r="G561" i="260"/>
  <c r="BJ625" i="260"/>
  <c r="V344" i="260"/>
  <c r="BJ691" i="260"/>
  <c r="AD478" i="260"/>
  <c r="AZ622" i="260"/>
  <c r="G169" i="260"/>
  <c r="N670" i="260"/>
  <c r="AD630" i="260"/>
  <c r="N686" i="260"/>
  <c r="BJ451" i="260"/>
  <c r="AV426" i="260"/>
  <c r="J115" i="260"/>
  <c r="AZ317" i="260"/>
  <c r="BQ583" i="260"/>
  <c r="AD340" i="260"/>
  <c r="AH477" i="260"/>
  <c r="G528" i="260"/>
  <c r="R100" i="260"/>
  <c r="AN763" i="260"/>
  <c r="AD186" i="260"/>
  <c r="AZ90" i="260"/>
  <c r="AQ769" i="260"/>
  <c r="AH443" i="260"/>
  <c r="J530" i="260"/>
  <c r="N369" i="260"/>
  <c r="Z198" i="260"/>
  <c r="Z131" i="260"/>
  <c r="AD160" i="260"/>
  <c r="AH157" i="260"/>
  <c r="AZ643" i="260"/>
  <c r="N703" i="260"/>
  <c r="BJ257" i="260"/>
  <c r="BF446" i="260"/>
  <c r="BU520" i="260"/>
  <c r="Z266" i="260"/>
  <c r="AQ684" i="260"/>
  <c r="J657" i="260"/>
  <c r="J340" i="260"/>
  <c r="BJ399" i="260"/>
  <c r="BQ659" i="260"/>
  <c r="BJ168" i="260"/>
  <c r="R415" i="260"/>
  <c r="Z274" i="260"/>
  <c r="G631" i="260"/>
  <c r="AZ166" i="260"/>
  <c r="R520" i="260"/>
  <c r="BU249" i="260"/>
  <c r="BQ631" i="260"/>
  <c r="AQ269" i="260"/>
  <c r="AD444" i="260"/>
  <c r="BF611" i="260"/>
  <c r="AZ367" i="260"/>
  <c r="BF727" i="260"/>
  <c r="J99" i="260"/>
  <c r="BQ344" i="260"/>
  <c r="BF214" i="260"/>
  <c r="AD348" i="260"/>
  <c r="R507" i="260"/>
  <c r="BF165" i="260"/>
  <c r="AN384" i="260"/>
  <c r="G616" i="260"/>
  <c r="G602" i="260"/>
  <c r="BU234" i="260"/>
  <c r="AZ342" i="260"/>
  <c r="J682" i="260"/>
  <c r="AH303" i="260"/>
  <c r="AQ638" i="260"/>
  <c r="AQ344" i="260"/>
  <c r="AH515" i="260"/>
  <c r="BU490" i="260"/>
  <c r="AH495" i="260"/>
  <c r="BU565" i="260"/>
  <c r="BJ348" i="260"/>
  <c r="AZ189" i="260"/>
  <c r="BF117" i="260"/>
  <c r="BF390" i="260"/>
  <c r="AZ563" i="260"/>
  <c r="V690" i="260"/>
  <c r="R508" i="260"/>
  <c r="N455" i="260"/>
  <c r="J275" i="260"/>
  <c r="BJ182" i="260"/>
  <c r="AV674" i="260"/>
  <c r="BU85" i="260"/>
  <c r="AZ417" i="260"/>
  <c r="BJ583" i="260"/>
  <c r="AN475" i="260"/>
  <c r="AQ374" i="260"/>
  <c r="G203" i="260"/>
  <c r="N768" i="260"/>
  <c r="BJ311" i="260"/>
  <c r="J301" i="260"/>
  <c r="BM608" i="260"/>
  <c r="AD158" i="260"/>
  <c r="Z171" i="260"/>
  <c r="AH558" i="260"/>
  <c r="AH163" i="260"/>
  <c r="AQ640" i="260"/>
  <c r="AQ689" i="260"/>
  <c r="N263" i="260"/>
  <c r="BM620" i="260"/>
  <c r="J285" i="260"/>
  <c r="AQ84" i="260"/>
  <c r="AN532" i="260"/>
  <c r="J149" i="260"/>
  <c r="AZ348" i="260"/>
  <c r="G81" i="260"/>
  <c r="R695" i="260"/>
  <c r="V243" i="260"/>
  <c r="AZ378" i="260"/>
  <c r="AN333" i="260"/>
  <c r="J564" i="260"/>
  <c r="BQ646" i="260"/>
  <c r="BF155" i="260"/>
  <c r="AN547" i="260"/>
  <c r="AD334" i="260"/>
  <c r="R602" i="260"/>
  <c r="AN737" i="260"/>
  <c r="BQ421" i="260"/>
  <c r="AH161" i="260"/>
  <c r="BF575" i="260"/>
  <c r="BM339" i="260"/>
  <c r="AN168" i="260"/>
  <c r="BJ139" i="260"/>
  <c r="J461" i="260"/>
  <c r="AN415" i="260"/>
  <c r="V94" i="260"/>
  <c r="V324" i="260"/>
  <c r="BM740" i="260"/>
  <c r="G776" i="260"/>
  <c r="AV166" i="260"/>
  <c r="BJ618" i="260"/>
  <c r="Z655" i="260"/>
  <c r="BJ460" i="260"/>
  <c r="BJ324" i="260"/>
  <c r="Z337" i="260"/>
  <c r="BU296" i="260"/>
  <c r="N291" i="260"/>
  <c r="G315" i="260"/>
  <c r="AN598" i="260"/>
  <c r="AQ211" i="260"/>
  <c r="BQ492" i="260"/>
  <c r="BQ489" i="260"/>
  <c r="N590" i="260"/>
  <c r="BM291" i="260"/>
  <c r="BM699" i="260"/>
  <c r="R305" i="260"/>
  <c r="G442" i="260"/>
  <c r="BM624" i="260"/>
  <c r="Z255" i="260"/>
  <c r="BM461" i="260"/>
  <c r="AZ673" i="260"/>
  <c r="AZ735" i="260"/>
  <c r="AN133" i="260"/>
  <c r="G225" i="260"/>
  <c r="G146" i="260"/>
  <c r="BQ718" i="260"/>
  <c r="R375" i="260"/>
  <c r="AQ634" i="260"/>
  <c r="BF361" i="260"/>
  <c r="BJ167" i="260"/>
  <c r="V406" i="260"/>
  <c r="AH86" i="260"/>
  <c r="AH751" i="260"/>
  <c r="R352" i="260"/>
  <c r="AH286" i="260"/>
  <c r="J587" i="260"/>
  <c r="AZ693" i="260"/>
  <c r="AV340" i="260"/>
  <c r="AD90" i="260"/>
  <c r="BQ255" i="260"/>
  <c r="BF701" i="260"/>
  <c r="BJ693" i="260"/>
  <c r="AN192" i="260"/>
  <c r="AQ445" i="260"/>
  <c r="AN577" i="260"/>
  <c r="Z146" i="260"/>
  <c r="AV193" i="260"/>
  <c r="BQ308" i="260"/>
  <c r="AD135" i="260"/>
  <c r="G378" i="260"/>
  <c r="BM81" i="260"/>
  <c r="BF236" i="260"/>
  <c r="J283" i="260"/>
  <c r="V440" i="260"/>
  <c r="BJ277" i="260"/>
  <c r="N378" i="260"/>
  <c r="BU476" i="260"/>
  <c r="N473" i="260"/>
  <c r="BM195" i="260"/>
  <c r="J341" i="260"/>
  <c r="AN89" i="260"/>
  <c r="BQ297" i="260"/>
  <c r="BU501" i="260"/>
  <c r="V770" i="260"/>
  <c r="AD603" i="260"/>
  <c r="AD335" i="260"/>
  <c r="BM372" i="260"/>
  <c r="J130" i="260"/>
  <c r="BU658" i="260"/>
  <c r="R201" i="260"/>
  <c r="BF626" i="260"/>
  <c r="J402" i="260"/>
  <c r="AV141" i="260"/>
  <c r="BF268" i="260"/>
  <c r="AZ674" i="260"/>
  <c r="Z481" i="260"/>
  <c r="BM237" i="260"/>
  <c r="J674" i="260"/>
  <c r="AZ352" i="260"/>
  <c r="BM521" i="260"/>
  <c r="AH360" i="260"/>
  <c r="BQ314" i="260"/>
  <c r="AN443" i="260"/>
  <c r="BF614" i="260"/>
  <c r="BJ422" i="260"/>
  <c r="BF764" i="260"/>
  <c r="AZ400" i="260"/>
  <c r="BQ85" i="260"/>
  <c r="G733" i="260"/>
  <c r="N685" i="260"/>
  <c r="BJ290" i="260"/>
  <c r="N113" i="260"/>
  <c r="V400" i="260"/>
  <c r="AQ462" i="260"/>
  <c r="BM224" i="260"/>
  <c r="N327" i="260"/>
  <c r="BQ343" i="260"/>
  <c r="BQ688" i="260"/>
  <c r="AD325" i="260"/>
  <c r="J599" i="260"/>
  <c r="BQ616" i="260"/>
  <c r="BM677" i="260"/>
  <c r="V436" i="260"/>
  <c r="J372" i="260"/>
  <c r="BM578" i="260"/>
  <c r="BF561" i="260"/>
  <c r="BM708" i="260"/>
  <c r="BM267" i="260"/>
  <c r="J93" i="260"/>
  <c r="AV456" i="260"/>
  <c r="AZ472" i="260"/>
  <c r="AH512" i="260"/>
  <c r="G444" i="260"/>
  <c r="AQ172" i="260"/>
  <c r="G391" i="260"/>
  <c r="AV558" i="260"/>
  <c r="BF203" i="260"/>
  <c r="BQ521" i="260"/>
  <c r="G418" i="260"/>
  <c r="R698" i="260"/>
  <c r="N283" i="260"/>
  <c r="AH672" i="260"/>
  <c r="AD773" i="260"/>
  <c r="BU278" i="260"/>
  <c r="R147" i="260"/>
  <c r="J88" i="260"/>
  <c r="AZ257" i="260"/>
  <c r="J248" i="260"/>
  <c r="V535" i="260"/>
  <c r="AH393" i="260"/>
  <c r="J155" i="260"/>
  <c r="V461" i="260"/>
  <c r="AD689" i="260"/>
  <c r="N117" i="260"/>
  <c r="AN755" i="260"/>
  <c r="BQ561" i="260"/>
  <c r="BQ334" i="260"/>
  <c r="AN305" i="260"/>
  <c r="BU486" i="260"/>
  <c r="V173" i="260"/>
  <c r="AZ731" i="260"/>
  <c r="AQ367" i="260"/>
  <c r="BU678" i="260"/>
  <c r="N138" i="260"/>
  <c r="BJ470" i="260"/>
  <c r="AQ627" i="260"/>
  <c r="AH725" i="260"/>
  <c r="BQ168" i="260"/>
  <c r="AD617" i="260"/>
  <c r="AZ387" i="260"/>
  <c r="AH600" i="260"/>
  <c r="BJ287" i="260"/>
  <c r="AV81" i="260"/>
  <c r="V511" i="260"/>
  <c r="Z653" i="260"/>
  <c r="AH567" i="260"/>
  <c r="AN267" i="260"/>
  <c r="R246" i="260"/>
  <c r="N350" i="260"/>
  <c r="BQ393" i="260"/>
  <c r="BJ397" i="260"/>
  <c r="BF170" i="260"/>
  <c r="V603" i="260"/>
  <c r="BJ175" i="260"/>
  <c r="AQ476" i="260"/>
  <c r="N491" i="260"/>
  <c r="BF590" i="260"/>
  <c r="N298" i="260"/>
  <c r="R544" i="260"/>
  <c r="V465" i="260"/>
  <c r="BJ581" i="260"/>
  <c r="AN633" i="260"/>
  <c r="BM317" i="260"/>
  <c r="AD665" i="260"/>
  <c r="V587" i="260"/>
  <c r="J294" i="260"/>
  <c r="V749" i="260"/>
  <c r="AQ418" i="260"/>
  <c r="R500" i="260"/>
  <c r="AD593" i="260"/>
  <c r="J407" i="260"/>
  <c r="AD213" i="260"/>
  <c r="AN746" i="260"/>
  <c r="BM577" i="260"/>
  <c r="N203" i="260"/>
  <c r="BU619" i="260"/>
  <c r="AN175" i="260"/>
  <c r="V695" i="260"/>
  <c r="BJ778" i="260"/>
  <c r="R759" i="260"/>
  <c r="BF217" i="260"/>
  <c r="V492" i="260"/>
  <c r="R764" i="260"/>
  <c r="AH532" i="260"/>
  <c r="AQ639" i="260"/>
  <c r="BJ274" i="260"/>
  <c r="Z524" i="260"/>
  <c r="Z613" i="260"/>
  <c r="BQ426" i="260"/>
  <c r="BM412" i="260"/>
  <c r="R84" i="260"/>
  <c r="BJ177" i="260"/>
  <c r="V640" i="260"/>
  <c r="V194" i="260"/>
  <c r="V244" i="260"/>
  <c r="BM445" i="260"/>
  <c r="J201" i="260"/>
  <c r="BQ80" i="260"/>
  <c r="AH661" i="260"/>
  <c r="BQ111" i="260"/>
  <c r="J207" i="260"/>
  <c r="BF543" i="260"/>
  <c r="N571" i="260"/>
  <c r="BM526" i="260"/>
  <c r="AN370" i="260"/>
  <c r="BQ121" i="260"/>
  <c r="AV673" i="260"/>
  <c r="AZ174" i="260"/>
  <c r="AV556" i="260"/>
  <c r="J517" i="260"/>
  <c r="J137" i="260"/>
  <c r="G515" i="260"/>
  <c r="AH332" i="260"/>
  <c r="J83" i="260"/>
  <c r="V674" i="260"/>
  <c r="J218" i="260"/>
  <c r="G744" i="260"/>
  <c r="AH389" i="260"/>
  <c r="AQ283" i="260"/>
  <c r="Z617" i="260"/>
  <c r="R676" i="260"/>
  <c r="BJ609" i="260"/>
  <c r="N482" i="260"/>
  <c r="BU758" i="260"/>
  <c r="R538" i="260"/>
  <c r="AV228" i="260"/>
  <c r="BU190" i="260"/>
  <c r="BQ575" i="260"/>
  <c r="Z189" i="260"/>
  <c r="BM447" i="260"/>
  <c r="AV321" i="260"/>
  <c r="N427" i="260"/>
  <c r="BM280" i="260"/>
  <c r="AZ712" i="260"/>
  <c r="V292" i="260"/>
  <c r="BU221" i="260"/>
  <c r="Z719" i="260"/>
  <c r="AD106" i="260"/>
  <c r="BJ400" i="260"/>
  <c r="AH191" i="260"/>
  <c r="R771" i="260"/>
  <c r="Z303" i="260"/>
  <c r="J656" i="260"/>
  <c r="AV665" i="260"/>
  <c r="AD303" i="260"/>
  <c r="AV258" i="260"/>
  <c r="AH722" i="260"/>
  <c r="AV751" i="260"/>
  <c r="AZ771" i="260"/>
  <c r="AV480" i="260"/>
  <c r="AN638" i="260"/>
  <c r="AN195" i="260"/>
  <c r="AH314" i="260"/>
  <c r="AH339" i="260"/>
  <c r="G326" i="260"/>
  <c r="BF531" i="260"/>
  <c r="AD470" i="260"/>
  <c r="BF577" i="260"/>
  <c r="G261" i="260"/>
  <c r="BQ743" i="260"/>
  <c r="AH263" i="260"/>
  <c r="BU131" i="260"/>
  <c r="AZ566" i="260"/>
  <c r="V701" i="260"/>
  <c r="AD355" i="260"/>
  <c r="BM376" i="260"/>
  <c r="AH240" i="260"/>
  <c r="V627" i="260"/>
  <c r="AZ296" i="260"/>
  <c r="BM764" i="260"/>
  <c r="J453" i="260"/>
  <c r="BF285" i="260"/>
  <c r="Z563" i="260"/>
  <c r="V470" i="260"/>
  <c r="AQ351" i="260"/>
  <c r="AQ291" i="260"/>
  <c r="BJ498" i="260"/>
  <c r="AH122" i="260"/>
  <c r="AN664" i="260"/>
  <c r="AZ190" i="260"/>
  <c r="AN312" i="260"/>
  <c r="BM523" i="260"/>
  <c r="N367" i="260"/>
  <c r="BM194" i="260"/>
  <c r="BU636" i="260"/>
  <c r="Z115" i="260"/>
  <c r="J717" i="260"/>
  <c r="AQ392" i="260"/>
  <c r="R610" i="260"/>
  <c r="BQ206" i="260"/>
  <c r="BF93" i="260"/>
  <c r="J160" i="260"/>
  <c r="AH500" i="260"/>
  <c r="AQ645" i="260"/>
  <c r="J559" i="260"/>
  <c r="G489" i="260"/>
  <c r="AV138" i="260"/>
  <c r="AQ325" i="260"/>
  <c r="AV346" i="260"/>
  <c r="J681" i="260"/>
  <c r="AZ594" i="260"/>
  <c r="BF239" i="260"/>
  <c r="J741" i="260"/>
  <c r="G219" i="260"/>
  <c r="N741" i="260"/>
  <c r="N493" i="260"/>
  <c r="BM124" i="260"/>
  <c r="N532" i="260"/>
  <c r="AQ145" i="260"/>
  <c r="G771" i="260"/>
  <c r="BF324" i="260"/>
  <c r="BF140" i="260"/>
  <c r="AD577" i="260"/>
  <c r="Z172" i="260"/>
  <c r="BU238" i="260"/>
  <c r="J146" i="260"/>
  <c r="BU764" i="260"/>
  <c r="N398" i="260"/>
  <c r="BJ524" i="260"/>
  <c r="N552" i="260"/>
  <c r="G451" i="260"/>
  <c r="AZ487" i="260"/>
  <c r="R114" i="260"/>
  <c r="AN487" i="260"/>
  <c r="AH724" i="260"/>
  <c r="Z410" i="260"/>
  <c r="AV248" i="260"/>
  <c r="AD518" i="260"/>
  <c r="G649" i="260"/>
  <c r="AQ521" i="260"/>
  <c r="Z102" i="260"/>
  <c r="V588" i="260"/>
  <c r="Z493" i="260"/>
  <c r="J245" i="260"/>
  <c r="BU422" i="260"/>
  <c r="G581" i="260"/>
  <c r="BQ732" i="260"/>
  <c r="AH542" i="260"/>
  <c r="AZ418" i="260"/>
  <c r="BQ506" i="260"/>
  <c r="AV149" i="260"/>
  <c r="BU326" i="260"/>
  <c r="R700" i="260"/>
  <c r="AQ438" i="260"/>
  <c r="V196" i="260"/>
  <c r="R611" i="260"/>
  <c r="AZ212" i="260"/>
  <c r="AV389" i="260"/>
  <c r="N538" i="260"/>
  <c r="J505" i="260"/>
  <c r="AH550" i="260"/>
  <c r="AD126" i="260"/>
  <c r="BF293" i="260"/>
  <c r="G157" i="260"/>
  <c r="BJ672" i="260"/>
  <c r="V545" i="260"/>
  <c r="AZ399" i="260"/>
  <c r="BM599" i="260"/>
  <c r="R718" i="260"/>
  <c r="J172" i="260"/>
  <c r="AQ377" i="260"/>
  <c r="J638" i="260"/>
  <c r="BJ259" i="260"/>
  <c r="BF353" i="260"/>
  <c r="BM493" i="260"/>
  <c r="BU336" i="260"/>
  <c r="BF148" i="260"/>
  <c r="BM396" i="260"/>
  <c r="G732" i="260"/>
  <c r="Z367" i="260"/>
  <c r="BM283" i="260"/>
  <c r="BJ764" i="260"/>
  <c r="J244" i="260"/>
  <c r="G590" i="260"/>
  <c r="AQ106" i="260"/>
  <c r="AQ265" i="260"/>
  <c r="N126" i="260"/>
  <c r="Z742" i="260"/>
  <c r="BU236" i="260"/>
  <c r="G108" i="260"/>
  <c r="AV650" i="260"/>
  <c r="G768" i="260"/>
  <c r="AV731" i="260"/>
  <c r="R555" i="260"/>
  <c r="N525" i="260"/>
  <c r="AZ435" i="260"/>
  <c r="AN585" i="260"/>
  <c r="AN566" i="260"/>
  <c r="V146" i="260"/>
  <c r="BJ176" i="260"/>
  <c r="V363" i="260"/>
  <c r="R472" i="260"/>
  <c r="J300" i="260"/>
  <c r="AH528" i="260"/>
  <c r="G258" i="260"/>
  <c r="BQ214" i="260"/>
  <c r="AV741" i="260"/>
  <c r="AQ343" i="260"/>
  <c r="BQ524" i="260"/>
  <c r="AZ380" i="260"/>
  <c r="R558" i="260"/>
  <c r="BM184" i="260"/>
  <c r="Z152" i="260"/>
  <c r="AQ549" i="260"/>
  <c r="BM424" i="260"/>
  <c r="G614" i="260"/>
  <c r="V572" i="260"/>
  <c r="BF528" i="260"/>
  <c r="BQ412" i="260"/>
  <c r="BQ772" i="260"/>
  <c r="AZ173" i="260"/>
  <c r="BM182" i="260"/>
  <c r="AQ502" i="260"/>
  <c r="BJ409" i="260"/>
  <c r="AD580" i="260"/>
  <c r="AQ99" i="260"/>
  <c r="BF687" i="260"/>
  <c r="G103" i="260"/>
  <c r="AZ627" i="260"/>
  <c r="AV308" i="260"/>
  <c r="BU136" i="260"/>
  <c r="BF741" i="260"/>
  <c r="BQ632" i="260"/>
  <c r="V761" i="260"/>
  <c r="J255" i="260"/>
  <c r="Z438" i="260"/>
  <c r="R428" i="260"/>
  <c r="BJ286" i="260"/>
  <c r="G664" i="260"/>
  <c r="J405" i="260"/>
  <c r="AZ465" i="260"/>
  <c r="BU448" i="260"/>
  <c r="N568" i="260"/>
  <c r="J280" i="260"/>
  <c r="AV252" i="260"/>
  <c r="BU197" i="260"/>
  <c r="Z519" i="260"/>
  <c r="BU270" i="260"/>
  <c r="BM399" i="260"/>
  <c r="AV134" i="260"/>
  <c r="BF477" i="260"/>
  <c r="AZ102" i="260"/>
  <c r="Z538" i="260"/>
  <c r="AD146" i="260"/>
  <c r="R568" i="260"/>
  <c r="R164" i="260"/>
  <c r="AV743" i="260"/>
  <c r="J335" i="260"/>
  <c r="AV511" i="260"/>
  <c r="AH730" i="260"/>
  <c r="AH88" i="260"/>
  <c r="AV767" i="260"/>
  <c r="R308" i="260"/>
  <c r="Z249" i="260"/>
  <c r="BU342" i="260"/>
  <c r="J97" i="260"/>
  <c r="Z251" i="260"/>
  <c r="BU644" i="260"/>
  <c r="BM570" i="260"/>
  <c r="AV233" i="260"/>
  <c r="BQ312" i="260"/>
  <c r="AN535" i="260"/>
  <c r="J689" i="260"/>
  <c r="N570" i="260"/>
  <c r="Z223" i="260"/>
  <c r="J318" i="260"/>
  <c r="BQ547" i="260"/>
  <c r="AN336" i="260"/>
  <c r="AQ647" i="260"/>
  <c r="AZ682" i="260"/>
  <c r="N521" i="260"/>
  <c r="BQ230" i="260"/>
  <c r="N777" i="260"/>
  <c r="BU706" i="260"/>
  <c r="BM307" i="260"/>
  <c r="R257" i="260"/>
  <c r="Z192" i="260"/>
  <c r="G671" i="260"/>
  <c r="R291" i="260"/>
  <c r="AQ100" i="260"/>
  <c r="J664" i="260"/>
  <c r="BJ508" i="260"/>
  <c r="AZ589" i="260"/>
  <c r="AH548" i="260"/>
  <c r="AD373" i="260"/>
  <c r="BQ570" i="260"/>
  <c r="V463" i="260"/>
  <c r="BM384" i="260"/>
  <c r="N348" i="260"/>
  <c r="AV509" i="260"/>
  <c r="J534" i="260"/>
  <c r="AD535" i="260"/>
  <c r="AN393" i="260"/>
  <c r="AN613" i="260"/>
  <c r="AH411" i="260"/>
  <c r="Z718" i="260"/>
  <c r="BF111" i="260"/>
  <c r="BM177" i="260"/>
  <c r="AZ624" i="260"/>
  <c r="AD673" i="260"/>
  <c r="BJ131" i="260"/>
  <c r="Z414" i="260"/>
  <c r="G697" i="260"/>
  <c r="G584" i="260"/>
  <c r="BM112" i="260"/>
  <c r="BQ231" i="260"/>
  <c r="AN748" i="260"/>
  <c r="BM171" i="260"/>
  <c r="BJ547" i="260"/>
  <c r="BQ285" i="260"/>
  <c r="R630" i="260"/>
  <c r="G214" i="260"/>
  <c r="AZ402" i="260"/>
  <c r="G546" i="260"/>
  <c r="BU606" i="260"/>
  <c r="BF366" i="260"/>
  <c r="N641" i="260"/>
  <c r="AQ702" i="260"/>
  <c r="V126" i="260"/>
  <c r="J470" i="260"/>
  <c r="V445" i="260"/>
  <c r="AD124" i="260"/>
  <c r="R752" i="260"/>
  <c r="BJ216" i="260"/>
  <c r="V731" i="260"/>
  <c r="N174" i="260"/>
  <c r="BM743" i="260"/>
  <c r="BQ269" i="260"/>
  <c r="AH282" i="260"/>
  <c r="Z627" i="260"/>
  <c r="R540" i="260"/>
  <c r="N460" i="260"/>
  <c r="AV602" i="260"/>
  <c r="R714" i="260"/>
  <c r="AN565" i="260"/>
  <c r="N587" i="260"/>
  <c r="Z112" i="260"/>
  <c r="BM542" i="260"/>
  <c r="AN82" i="260"/>
  <c r="J464" i="260"/>
  <c r="BM333" i="260"/>
  <c r="BF143" i="260"/>
  <c r="R416" i="260"/>
  <c r="G400" i="260"/>
  <c r="BQ348" i="260"/>
  <c r="BJ363" i="260"/>
  <c r="J535" i="260"/>
  <c r="AV522" i="260"/>
  <c r="AN707" i="260"/>
  <c r="AQ210" i="260"/>
  <c r="AN240" i="260"/>
  <c r="N572" i="260"/>
  <c r="AZ293" i="260"/>
  <c r="BM202" i="260"/>
  <c r="AZ319" i="260"/>
  <c r="J139" i="260"/>
  <c r="AH138" i="260"/>
  <c r="AQ775" i="260"/>
  <c r="BU671" i="260"/>
  <c r="BM553" i="260"/>
  <c r="BQ433" i="260"/>
  <c r="BM87" i="260"/>
  <c r="R353" i="260"/>
  <c r="J701" i="260"/>
  <c r="BM147" i="260"/>
  <c r="AV501" i="260"/>
  <c r="AQ147" i="260"/>
  <c r="G578" i="260"/>
  <c r="AZ243" i="260"/>
  <c r="AH246" i="260"/>
  <c r="BJ368" i="260"/>
  <c r="AQ440" i="260"/>
  <c r="G350" i="260"/>
  <c r="Z214" i="260"/>
  <c r="BU97" i="260"/>
  <c r="Z764" i="260"/>
  <c r="J162" i="260"/>
  <c r="G599" i="260"/>
  <c r="AZ625" i="260"/>
  <c r="BQ597" i="260"/>
  <c r="AZ683" i="260"/>
  <c r="N431" i="260"/>
  <c r="Z701" i="260"/>
  <c r="AZ496" i="260"/>
  <c r="BQ350" i="260"/>
  <c r="J463" i="260"/>
  <c r="R653" i="260"/>
  <c r="BQ144" i="260"/>
  <c r="BF346" i="260"/>
  <c r="J485" i="260"/>
  <c r="BF260" i="260"/>
  <c r="AH251" i="260"/>
  <c r="AN607" i="260"/>
  <c r="AD302" i="260"/>
  <c r="N477" i="260"/>
  <c r="Z208" i="260"/>
  <c r="AZ80" i="260"/>
  <c r="BU573" i="260"/>
  <c r="R553" i="260"/>
  <c r="AH546" i="260"/>
  <c r="N267" i="260"/>
  <c r="V242" i="260"/>
  <c r="Z445" i="260"/>
  <c r="AD465" i="260"/>
  <c r="AV107" i="260"/>
  <c r="J582" i="260"/>
  <c r="V98" i="260"/>
  <c r="V378" i="260"/>
  <c r="BQ735" i="260"/>
  <c r="AZ394" i="260"/>
  <c r="AH614" i="260"/>
  <c r="AD298" i="260"/>
  <c r="AZ430" i="260"/>
  <c r="AH732" i="260"/>
  <c r="AN682" i="260"/>
  <c r="AD475" i="260"/>
  <c r="AD514" i="260"/>
  <c r="BQ667" i="260"/>
  <c r="AH390" i="260"/>
  <c r="AH513" i="260"/>
  <c r="R267" i="260"/>
  <c r="V223" i="260"/>
  <c r="AH99" i="260"/>
  <c r="AH353" i="260"/>
  <c r="AZ493" i="260"/>
  <c r="AV112" i="260"/>
  <c r="AQ399" i="260"/>
  <c r="AQ224" i="260"/>
  <c r="N100" i="260"/>
  <c r="N643" i="260"/>
  <c r="R511" i="260"/>
  <c r="BU356" i="260"/>
  <c r="G265" i="260"/>
  <c r="G189" i="260"/>
  <c r="AV691" i="260"/>
  <c r="J238" i="260"/>
  <c r="AQ444" i="260"/>
  <c r="AH106" i="260"/>
  <c r="BQ757" i="260"/>
  <c r="N591" i="260"/>
  <c r="R202" i="260"/>
  <c r="BF734" i="260"/>
  <c r="BU167" i="260"/>
  <c r="V501" i="260"/>
  <c r="AD480" i="260"/>
  <c r="AZ150" i="260"/>
  <c r="G235" i="260"/>
  <c r="V493" i="260"/>
  <c r="BJ188" i="260"/>
  <c r="R414" i="260"/>
  <c r="J707" i="260"/>
  <c r="J196" i="260"/>
  <c r="AD174" i="260"/>
  <c r="G320" i="260"/>
  <c r="V590" i="260"/>
  <c r="V728" i="260"/>
  <c r="BJ314" i="260"/>
  <c r="R435" i="260"/>
  <c r="J391" i="260"/>
  <c r="AD509" i="260"/>
  <c r="AZ687" i="260"/>
  <c r="R402" i="260"/>
  <c r="R476" i="260"/>
  <c r="BQ719" i="260"/>
  <c r="G406" i="260"/>
  <c r="G446" i="260"/>
  <c r="AH156" i="260"/>
  <c r="AQ651" i="260"/>
  <c r="BU365" i="260"/>
  <c r="AN687" i="260"/>
  <c r="AQ308" i="260"/>
  <c r="J447" i="260"/>
  <c r="J365" i="260"/>
  <c r="AV190" i="260"/>
  <c r="BJ587" i="260"/>
  <c r="BF228" i="260"/>
  <c r="BU253" i="260"/>
  <c r="AZ246" i="260"/>
  <c r="G565" i="260"/>
  <c r="AV332" i="260"/>
  <c r="AQ247" i="260"/>
  <c r="N416" i="260"/>
  <c r="BF365" i="260"/>
  <c r="AN674" i="260"/>
  <c r="AV536" i="260"/>
  <c r="G427" i="260"/>
  <c r="G274" i="260"/>
  <c r="BQ543" i="260"/>
  <c r="AQ538" i="260"/>
  <c r="AZ550" i="260"/>
  <c r="J392" i="260"/>
  <c r="BQ322" i="260"/>
  <c r="BF716" i="260"/>
  <c r="J267" i="260"/>
  <c r="R157" i="260"/>
  <c r="N180" i="260"/>
  <c r="AV370" i="260"/>
  <c r="AQ233" i="260"/>
  <c r="BQ258" i="260"/>
  <c r="N533" i="260"/>
  <c r="AH778" i="260"/>
  <c r="AN428" i="260"/>
  <c r="BU762" i="260"/>
  <c r="BU181" i="260"/>
  <c r="AN294" i="260"/>
  <c r="BU220" i="260"/>
  <c r="BU327" i="260"/>
  <c r="AQ82" i="260"/>
  <c r="V689" i="260"/>
  <c r="Z555" i="260"/>
  <c r="Z149" i="260"/>
  <c r="BM186" i="260"/>
  <c r="BU741" i="260"/>
  <c r="BM700" i="260"/>
  <c r="V435" i="260"/>
  <c r="AN705" i="260"/>
  <c r="AD748" i="260"/>
  <c r="BU212" i="260"/>
  <c r="AZ616" i="260"/>
  <c r="BF253" i="260"/>
  <c r="AH410" i="260"/>
  <c r="R659" i="260"/>
  <c r="AH295" i="260"/>
  <c r="AZ183" i="260"/>
  <c r="BM544" i="260"/>
  <c r="BU499" i="260"/>
  <c r="Z399" i="260"/>
  <c r="J239" i="260"/>
  <c r="R258" i="260"/>
  <c r="AZ464" i="260"/>
  <c r="V359" i="260"/>
  <c r="BU526" i="260"/>
  <c r="N522" i="260"/>
  <c r="AN101" i="260"/>
  <c r="AN357" i="260"/>
  <c r="BF133" i="260"/>
  <c r="BQ349" i="260"/>
  <c r="BJ684" i="260"/>
  <c r="R280" i="260"/>
  <c r="AD624" i="260"/>
  <c r="AZ294" i="260"/>
  <c r="Z646" i="260"/>
  <c r="BF410" i="260"/>
  <c r="J455" i="260"/>
  <c r="R335" i="260"/>
  <c r="AH290" i="260"/>
  <c r="J519" i="260"/>
  <c r="BJ285" i="260"/>
  <c r="AQ383" i="260"/>
  <c r="BF369" i="260"/>
  <c r="G483" i="260"/>
  <c r="AD728" i="260"/>
  <c r="Z632" i="260"/>
  <c r="AN181" i="260"/>
  <c r="AN118" i="260"/>
  <c r="V419" i="260"/>
  <c r="R751" i="260"/>
  <c r="R749" i="260"/>
  <c r="AZ494" i="260"/>
  <c r="J771" i="260"/>
  <c r="Z236" i="260"/>
  <c r="G402" i="260"/>
  <c r="AQ232" i="260"/>
  <c r="Z693" i="260"/>
  <c r="J694" i="260"/>
  <c r="AZ478" i="260"/>
  <c r="AQ385" i="260"/>
  <c r="BQ647" i="260"/>
  <c r="AZ266" i="260"/>
  <c r="AH321" i="260"/>
  <c r="N103" i="260"/>
  <c r="N209" i="260"/>
  <c r="BU455" i="260"/>
  <c r="BU559" i="260"/>
  <c r="G691" i="260"/>
  <c r="AN413" i="260"/>
  <c r="BF238" i="260"/>
  <c r="AZ219" i="260"/>
  <c r="BM242" i="260"/>
  <c r="AQ339" i="260"/>
  <c r="V716" i="260"/>
  <c r="J132" i="260"/>
  <c r="R634" i="260"/>
  <c r="J360" i="260"/>
  <c r="AN206" i="260"/>
  <c r="R342" i="260"/>
  <c r="R584" i="260"/>
  <c r="AZ538" i="260"/>
  <c r="G607" i="260"/>
  <c r="AV638" i="260"/>
  <c r="AQ565" i="260"/>
  <c r="AZ132" i="260"/>
  <c r="AZ407" i="260"/>
  <c r="AZ205" i="260"/>
  <c r="R126" i="260"/>
  <c r="J648" i="260"/>
  <c r="AH577" i="260"/>
  <c r="BU705" i="260"/>
  <c r="Z724" i="260"/>
  <c r="AD667" i="260"/>
  <c r="AV635" i="260"/>
  <c r="BJ570" i="260"/>
  <c r="AQ678" i="260"/>
  <c r="AQ582" i="260"/>
  <c r="BU341" i="260"/>
  <c r="BJ686" i="260"/>
  <c r="J144" i="260"/>
  <c r="BQ307" i="260"/>
  <c r="Z496" i="260"/>
  <c r="AD508" i="260"/>
  <c r="AQ250" i="260"/>
  <c r="AZ170" i="260"/>
  <c r="AN477" i="260"/>
  <c r="BU605" i="260"/>
  <c r="BF488" i="260"/>
  <c r="Z548" i="260"/>
  <c r="N260" i="260"/>
  <c r="AD655" i="260"/>
  <c r="BU701" i="260"/>
  <c r="BQ610" i="260"/>
  <c r="Z101" i="260"/>
  <c r="V739" i="260"/>
  <c r="AH121" i="260"/>
  <c r="BU352" i="260"/>
  <c r="BU664" i="260"/>
  <c r="G150" i="260"/>
  <c r="BF314" i="260"/>
  <c r="Z373" i="260"/>
  <c r="J156" i="260"/>
  <c r="BJ516" i="260"/>
  <c r="AH102" i="260"/>
  <c r="AQ610" i="260"/>
  <c r="J159" i="260"/>
  <c r="N471" i="260"/>
  <c r="Z331" i="260"/>
  <c r="AN527" i="260"/>
  <c r="AZ301" i="260"/>
  <c r="AH467" i="260"/>
  <c r="AV144" i="260"/>
  <c r="BQ551" i="260"/>
  <c r="N411" i="260"/>
  <c r="R677" i="260"/>
  <c r="Z727" i="260"/>
  <c r="R767" i="260"/>
  <c r="BU437" i="260"/>
  <c r="AZ768" i="260"/>
  <c r="V382" i="260"/>
  <c r="BJ482" i="260"/>
  <c r="G509" i="260"/>
  <c r="J444" i="260"/>
  <c r="BQ588" i="260"/>
  <c r="BF758" i="260"/>
  <c r="BQ749" i="260"/>
  <c r="BU286" i="260"/>
  <c r="N224" i="260"/>
  <c r="AZ583" i="260"/>
  <c r="V298" i="260"/>
  <c r="BF769" i="260"/>
  <c r="BJ244" i="260"/>
  <c r="BM685" i="260"/>
  <c r="BQ658" i="260"/>
  <c r="BM467" i="260"/>
  <c r="BU649" i="260"/>
  <c r="AV737" i="260"/>
  <c r="J138" i="260"/>
  <c r="AZ518" i="260"/>
  <c r="N744" i="260"/>
  <c r="AQ475" i="260"/>
  <c r="BF507" i="260"/>
  <c r="J609" i="260"/>
  <c r="V356" i="260"/>
  <c r="AZ198" i="260"/>
  <c r="AH461" i="260"/>
  <c r="AH196" i="260"/>
  <c r="AZ759" i="260"/>
  <c r="AH337" i="260"/>
  <c r="V369" i="260"/>
  <c r="AV343" i="260"/>
  <c r="G521" i="260"/>
  <c r="AQ587" i="260"/>
  <c r="BQ531" i="260"/>
  <c r="N245" i="260"/>
  <c r="BQ133" i="260"/>
  <c r="AD715" i="260"/>
  <c r="AD435" i="260"/>
  <c r="V437" i="260"/>
  <c r="BM669" i="260"/>
  <c r="AN327" i="260"/>
  <c r="Z387" i="260"/>
  <c r="AD411" i="260"/>
  <c r="AH474" i="260"/>
  <c r="R548" i="260"/>
  <c r="AZ524" i="260"/>
  <c r="BF302" i="260"/>
  <c r="AD565" i="260"/>
  <c r="BU126" i="260"/>
  <c r="BJ435" i="260"/>
  <c r="BU718" i="260"/>
  <c r="N705" i="260"/>
  <c r="BU447" i="260"/>
  <c r="AQ442" i="260"/>
  <c r="BQ651" i="260"/>
  <c r="AQ633" i="260"/>
  <c r="BM602" i="260"/>
  <c r="Z217" i="260"/>
  <c r="BJ575" i="260"/>
  <c r="BQ153" i="260"/>
  <c r="R514" i="260"/>
  <c r="AQ230" i="260"/>
  <c r="AV117" i="260"/>
  <c r="BQ413" i="260"/>
  <c r="BJ770" i="260"/>
  <c r="BU95" i="260"/>
  <c r="G437" i="260"/>
  <c r="V120" i="260"/>
  <c r="AH352" i="260"/>
  <c r="N326" i="260"/>
  <c r="AH166" i="260"/>
  <c r="BM567" i="260"/>
  <c r="J242" i="260"/>
  <c r="Z386" i="260"/>
  <c r="AV171" i="260"/>
  <c r="V582" i="260"/>
  <c r="AQ341" i="260"/>
  <c r="G292" i="260"/>
  <c r="AV410" i="260"/>
  <c r="AV420" i="260"/>
  <c r="BM720" i="260"/>
  <c r="N144" i="260"/>
  <c r="V114" i="260"/>
  <c r="AZ471" i="260"/>
  <c r="G224" i="260"/>
  <c r="AZ525" i="260"/>
  <c r="BF219" i="260"/>
  <c r="R181" i="260"/>
  <c r="AH570" i="260"/>
  <c r="BJ637" i="260"/>
  <c r="R174" i="260"/>
  <c r="AQ171" i="260"/>
  <c r="AN603" i="260"/>
  <c r="R337" i="260"/>
  <c r="BM517" i="260"/>
  <c r="BU497" i="260"/>
  <c r="BF589" i="260"/>
  <c r="AQ625" i="260"/>
  <c r="AN439" i="260"/>
  <c r="N580" i="260"/>
  <c r="R427" i="260"/>
  <c r="V744" i="260"/>
  <c r="BM623" i="260"/>
  <c r="BF473" i="260"/>
  <c r="AV739" i="260"/>
  <c r="J533" i="260"/>
  <c r="V472" i="260"/>
  <c r="V90" i="260"/>
  <c r="AD495" i="260"/>
  <c r="BJ367" i="260"/>
  <c r="AH511" i="260"/>
  <c r="AN260" i="260"/>
  <c r="AQ426" i="260"/>
  <c r="G596" i="260"/>
  <c r="AZ203" i="260"/>
  <c r="AV447" i="260"/>
  <c r="AQ778" i="260"/>
  <c r="V464" i="260"/>
  <c r="BM713" i="260"/>
  <c r="AN358" i="260"/>
  <c r="BM381" i="260"/>
  <c r="R215" i="260"/>
  <c r="J612" i="260"/>
  <c r="AN445" i="260"/>
  <c r="V273" i="260"/>
  <c r="V751" i="260"/>
  <c r="BU239" i="260"/>
  <c r="R97" i="260"/>
  <c r="V495" i="260"/>
  <c r="AD572" i="260"/>
  <c r="G720" i="260"/>
  <c r="BM749" i="260"/>
  <c r="Z388" i="260"/>
  <c r="Z652" i="260"/>
  <c r="G97" i="260"/>
  <c r="G321" i="260"/>
  <c r="BM688" i="260"/>
  <c r="AQ605" i="260"/>
  <c r="Z345" i="260"/>
  <c r="BJ374" i="260"/>
  <c r="AQ573" i="260"/>
  <c r="V757" i="260"/>
  <c r="AD653" i="260"/>
  <c r="BJ237" i="260"/>
  <c r="AZ461" i="260"/>
  <c r="Z489" i="260"/>
  <c r="G755" i="260"/>
  <c r="AN766" i="260"/>
  <c r="AN733" i="260"/>
  <c r="AV137" i="260"/>
  <c r="BJ283" i="260"/>
  <c r="AV607" i="260"/>
  <c r="R221" i="260"/>
  <c r="BJ765" i="260"/>
  <c r="AQ317" i="260"/>
  <c r="J309" i="260"/>
  <c r="G592" i="260"/>
  <c r="AD602" i="260"/>
  <c r="G302" i="260"/>
  <c r="BU246" i="260"/>
  <c r="BF525" i="260"/>
  <c r="J247" i="260"/>
  <c r="BM733" i="260"/>
  <c r="AZ533" i="260"/>
  <c r="BQ361" i="260"/>
  <c r="AZ374" i="260"/>
  <c r="AQ181" i="260"/>
  <c r="BU272" i="260"/>
  <c r="BJ768" i="260"/>
  <c r="BJ392" i="260"/>
  <c r="Z531" i="260"/>
  <c r="AD774" i="260"/>
  <c r="G453" i="260"/>
  <c r="BU313" i="260"/>
  <c r="AD115" i="260"/>
  <c r="J520" i="260"/>
  <c r="BJ340" i="260"/>
  <c r="BM687" i="260"/>
  <c r="BM464" i="260"/>
  <c r="G305" i="260"/>
  <c r="J521" i="260"/>
  <c r="AN264" i="260"/>
  <c r="BJ155" i="260"/>
  <c r="AD136" i="260"/>
  <c r="BU244" i="260"/>
  <c r="BF141" i="260"/>
  <c r="G118" i="260"/>
  <c r="AN281" i="260"/>
  <c r="AQ416" i="260"/>
  <c r="BM102" i="260"/>
  <c r="AD369" i="260"/>
  <c r="Z285" i="260"/>
  <c r="R636" i="260"/>
  <c r="BU635" i="260"/>
  <c r="AZ291" i="260"/>
  <c r="V632" i="260"/>
  <c r="BF574" i="260"/>
  <c r="BM639" i="260"/>
  <c r="BM163" i="260"/>
  <c r="BF494" i="260"/>
  <c r="BJ611" i="260"/>
  <c r="AQ220" i="260"/>
  <c r="G155" i="260"/>
  <c r="J676" i="260"/>
  <c r="BJ635" i="260"/>
  <c r="BQ557" i="260"/>
  <c r="AN306" i="260"/>
  <c r="V622" i="260"/>
  <c r="N96" i="260"/>
  <c r="G698" i="260"/>
  <c r="N186" i="260"/>
  <c r="BM425" i="260"/>
  <c r="G683" i="260"/>
  <c r="AN530" i="260"/>
  <c r="BM351" i="260"/>
  <c r="BJ294" i="260"/>
  <c r="AN651" i="260"/>
  <c r="BM437" i="260"/>
  <c r="BQ705" i="260"/>
  <c r="BQ513" i="260"/>
  <c r="Z424" i="260"/>
  <c r="J164" i="260"/>
  <c r="AZ178" i="260"/>
  <c r="BM362" i="260"/>
  <c r="BJ652" i="260"/>
  <c r="V315" i="260"/>
  <c r="BM378" i="260"/>
  <c r="R162" i="260"/>
  <c r="J509" i="260"/>
  <c r="AH633" i="260"/>
  <c r="AH233" i="260"/>
  <c r="BU576" i="260"/>
  <c r="BQ117" i="260"/>
  <c r="BU564" i="260"/>
  <c r="R168" i="260"/>
  <c r="J287" i="260"/>
  <c r="AV695" i="260"/>
  <c r="BQ316" i="260"/>
  <c r="V471" i="260"/>
  <c r="AN575" i="260"/>
  <c r="BM582" i="260"/>
  <c r="AD531" i="260"/>
  <c r="BU348" i="260"/>
  <c r="G393" i="260"/>
  <c r="AZ369" i="260"/>
  <c r="BQ362" i="260"/>
  <c r="J488" i="260"/>
  <c r="AZ87" i="260"/>
  <c r="BU251" i="260"/>
  <c r="AN158" i="260"/>
  <c r="N617" i="260"/>
  <c r="G632" i="260"/>
  <c r="BU397" i="260"/>
  <c r="N728" i="260"/>
  <c r="AQ219" i="260"/>
  <c r="G480" i="260"/>
  <c r="AQ455" i="260"/>
  <c r="R721" i="260"/>
  <c r="AV722" i="260"/>
  <c r="BQ514" i="260"/>
  <c r="J625" i="260"/>
  <c r="AZ391" i="260"/>
  <c r="BF592" i="260"/>
  <c r="AZ115" i="260"/>
  <c r="BF185" i="260"/>
  <c r="BQ503" i="260"/>
  <c r="AH560" i="260"/>
  <c r="AH613" i="260"/>
  <c r="BJ98" i="260"/>
  <c r="BM606" i="260"/>
  <c r="V323" i="260"/>
  <c r="AQ698" i="260"/>
  <c r="BJ582" i="260"/>
  <c r="BF305" i="260"/>
  <c r="AN658" i="260"/>
  <c r="R283" i="260"/>
  <c r="V707" i="260"/>
  <c r="BF418" i="260"/>
  <c r="BM248" i="260"/>
  <c r="AV360" i="260"/>
  <c r="AH423" i="260"/>
  <c r="V328" i="260"/>
  <c r="AV519" i="260"/>
  <c r="R411" i="260"/>
  <c r="R594" i="260"/>
  <c r="AV627" i="260"/>
  <c r="AQ389" i="260"/>
  <c r="Z620" i="260"/>
  <c r="BJ230" i="260"/>
  <c r="G141" i="260"/>
  <c r="BQ573" i="260"/>
  <c r="AH421" i="260"/>
  <c r="Z582" i="260"/>
  <c r="BU575" i="260"/>
  <c r="J726" i="260"/>
  <c r="BF342" i="260"/>
  <c r="V777" i="260"/>
  <c r="AQ649" i="260"/>
  <c r="BM156" i="260"/>
  <c r="N357" i="260"/>
  <c r="BJ249" i="260"/>
  <c r="AN187" i="260"/>
  <c r="AN602" i="260"/>
  <c r="G560" i="260"/>
  <c r="AH711" i="260"/>
  <c r="AV310" i="260"/>
  <c r="AD694" i="260"/>
  <c r="J434" i="260"/>
  <c r="Z688" i="260"/>
  <c r="BM302" i="260"/>
  <c r="J551" i="260"/>
  <c r="G568" i="260"/>
  <c r="V762" i="260"/>
  <c r="BF598" i="260"/>
  <c r="AH114" i="260"/>
  <c r="AN220" i="260"/>
  <c r="BM197" i="260"/>
  <c r="BU355" i="260"/>
  <c r="BF559" i="260"/>
  <c r="G417" i="260"/>
  <c r="AV692" i="260"/>
  <c r="AV111" i="260"/>
  <c r="V656" i="260"/>
  <c r="AZ193" i="260"/>
  <c r="N337" i="260"/>
  <c r="AN303" i="260"/>
  <c r="BF352" i="260"/>
  <c r="G748" i="260"/>
  <c r="J537" i="260"/>
  <c r="R425" i="260"/>
  <c r="BM314" i="260"/>
  <c r="AH451" i="260"/>
  <c r="BJ478" i="260"/>
  <c r="R567" i="260"/>
  <c r="AV113" i="260"/>
  <c r="BJ83" i="260"/>
  <c r="R133" i="260"/>
  <c r="V706" i="260"/>
  <c r="AN557" i="260"/>
  <c r="N465" i="260"/>
  <c r="AV542" i="260"/>
  <c r="R487" i="260"/>
  <c r="AN474" i="260"/>
  <c r="BJ539" i="260"/>
  <c r="J700" i="260"/>
  <c r="G711" i="260"/>
  <c r="AH382" i="260"/>
  <c r="R443" i="260"/>
  <c r="V228" i="260"/>
  <c r="G766" i="260"/>
  <c r="BQ590" i="260"/>
  <c r="R186" i="260"/>
  <c r="BJ473" i="260"/>
  <c r="AD606" i="260"/>
  <c r="BU110" i="260"/>
  <c r="BQ550" i="260"/>
  <c r="AV158" i="260"/>
  <c r="R697" i="260"/>
  <c r="R274" i="260"/>
  <c r="AH437" i="260"/>
  <c r="AN361" i="260"/>
  <c r="G567" i="260"/>
  <c r="BF748" i="260"/>
  <c r="BU402" i="260"/>
  <c r="AH603" i="260"/>
  <c r="N134" i="260"/>
  <c r="R569" i="260"/>
  <c r="N413" i="260"/>
  <c r="AZ741" i="260"/>
  <c r="BJ499" i="260"/>
  <c r="BU495" i="260"/>
  <c r="V774" i="260"/>
  <c r="AN641" i="260"/>
  <c r="AV328" i="260"/>
  <c r="Z293" i="260"/>
  <c r="AN548" i="260"/>
  <c r="AN669" i="260"/>
  <c r="AQ559" i="260"/>
  <c r="AH271" i="260"/>
  <c r="BJ228" i="260"/>
  <c r="G764" i="260"/>
  <c r="BF171" i="260"/>
  <c r="BQ619" i="260"/>
  <c r="N235" i="260"/>
  <c r="BJ310" i="260"/>
  <c r="AH583" i="260"/>
  <c r="BU169" i="260"/>
  <c r="AZ184" i="260"/>
  <c r="BF383" i="260"/>
  <c r="J412" i="260"/>
  <c r="AZ427" i="260"/>
  <c r="BU108" i="260"/>
  <c r="AN430" i="260"/>
  <c r="AV323" i="260"/>
  <c r="AN383" i="260"/>
  <c r="BU446" i="260"/>
  <c r="AD250" i="260"/>
  <c r="N346" i="260"/>
  <c r="Z87" i="260"/>
  <c r="N456" i="260"/>
  <c r="AZ355" i="260"/>
  <c r="BU690" i="260"/>
  <c r="AZ390" i="260"/>
  <c r="BU124" i="260"/>
  <c r="AQ423" i="260"/>
  <c r="N136" i="260"/>
  <c r="BF496" i="260"/>
  <c r="G120" i="260"/>
  <c r="BJ101" i="260"/>
  <c r="AZ670" i="260"/>
  <c r="BQ261" i="260"/>
  <c r="AV764" i="260"/>
  <c r="AV573" i="260"/>
  <c r="AH238" i="260"/>
  <c r="BQ315" i="260"/>
  <c r="AV590" i="260"/>
  <c r="Z641" i="260"/>
  <c r="BQ457" i="260"/>
  <c r="BU233" i="260"/>
  <c r="AV271" i="260"/>
  <c r="AH152" i="260"/>
  <c r="AD420" i="260"/>
  <c r="BJ375" i="260"/>
  <c r="AQ238" i="260"/>
  <c r="N708" i="260"/>
  <c r="BU730" i="260"/>
  <c r="AD608" i="260"/>
  <c r="AN388" i="260"/>
  <c r="G495" i="260"/>
  <c r="Z348" i="260"/>
  <c r="G655" i="260"/>
  <c r="AZ733" i="260"/>
  <c r="BQ174" i="260"/>
  <c r="AQ422" i="260"/>
  <c r="BF339" i="260"/>
  <c r="V360" i="260"/>
  <c r="V367" i="260"/>
  <c r="BF374" i="260"/>
  <c r="BQ648" i="260"/>
  <c r="AH738" i="260"/>
  <c r="AQ407" i="260"/>
  <c r="AZ651" i="260"/>
  <c r="V285" i="260"/>
  <c r="V421" i="260"/>
  <c r="BM650" i="260"/>
  <c r="AQ686" i="260"/>
  <c r="V638" i="260"/>
  <c r="BQ394" i="260"/>
  <c r="V416" i="260"/>
  <c r="BJ566" i="260"/>
  <c r="AD343" i="260"/>
  <c r="AH142" i="260"/>
  <c r="AQ768" i="260"/>
  <c r="AV226" i="260"/>
  <c r="AH742" i="260"/>
  <c r="AV140" i="260"/>
  <c r="AV716" i="260"/>
  <c r="N724" i="260"/>
  <c r="AV92" i="260"/>
  <c r="AV532" i="260"/>
  <c r="BM136" i="260"/>
  <c r="BM657" i="260"/>
  <c r="AQ298" i="260"/>
  <c r="BJ477" i="260"/>
  <c r="V691" i="260"/>
  <c r="J692" i="260"/>
  <c r="AD730" i="260"/>
  <c r="Z323" i="260"/>
  <c r="BU101" i="260"/>
  <c r="G722" i="260"/>
  <c r="BJ178" i="260"/>
  <c r="AN725" i="260"/>
  <c r="AN719" i="260"/>
  <c r="Z317" i="260"/>
  <c r="N653" i="260"/>
  <c r="AN257" i="260"/>
  <c r="BJ386" i="260"/>
  <c r="BF613" i="260"/>
  <c r="AZ613" i="260"/>
  <c r="AV678" i="260"/>
  <c r="AQ262" i="260"/>
  <c r="BQ736" i="260"/>
  <c r="V692" i="260"/>
  <c r="BF560" i="260"/>
  <c r="BJ678" i="260"/>
  <c r="BM736" i="260"/>
  <c r="AV653" i="260"/>
  <c r="BM284" i="260"/>
  <c r="BQ469" i="260"/>
  <c r="Z136" i="260"/>
  <c r="Z571" i="260"/>
  <c r="AH267" i="260"/>
  <c r="V637" i="260"/>
  <c r="J482" i="260"/>
  <c r="J298" i="260"/>
  <c r="J359" i="260"/>
  <c r="R395" i="260"/>
  <c r="R542" i="260"/>
  <c r="V316" i="260"/>
  <c r="BF347" i="260"/>
  <c r="G507" i="260"/>
  <c r="G197" i="260"/>
  <c r="BF370" i="260"/>
  <c r="AD272" i="260"/>
  <c r="BM411" i="260"/>
  <c r="AV100" i="260"/>
  <c r="AZ710" i="260"/>
  <c r="AV234" i="260"/>
  <c r="BU535" i="260"/>
  <c r="J324" i="260"/>
  <c r="BJ103" i="260"/>
  <c r="N425" i="260"/>
  <c r="AV459" i="260"/>
  <c r="BJ373" i="260"/>
  <c r="R88" i="260"/>
  <c r="AH599" i="260"/>
  <c r="AV761" i="260"/>
  <c r="BQ627" i="260"/>
  <c r="AZ401" i="260"/>
  <c r="Z713" i="260"/>
  <c r="AH168" i="260"/>
  <c r="AQ342" i="260"/>
  <c r="AH383" i="260"/>
  <c r="BF92" i="260"/>
  <c r="V239" i="260"/>
  <c r="J141" i="260"/>
  <c r="AN637" i="260"/>
  <c r="AZ515" i="260"/>
  <c r="BM367" i="260"/>
  <c r="AN531" i="260"/>
  <c r="BJ500" i="260"/>
  <c r="N125" i="260"/>
  <c r="G562" i="260"/>
  <c r="V525" i="260"/>
  <c r="AQ750" i="260"/>
  <c r="BQ288" i="260"/>
  <c r="N742" i="260"/>
  <c r="J555" i="260"/>
  <c r="R673" i="260"/>
  <c r="BM360" i="260"/>
  <c r="BM363" i="260"/>
  <c r="BQ666" i="260"/>
  <c r="AN172" i="260"/>
  <c r="N310" i="260"/>
  <c r="BU284" i="260"/>
  <c r="AD377" i="260"/>
  <c r="AV723" i="260"/>
  <c r="BM709" i="260"/>
  <c r="N464" i="260"/>
  <c r="AN543" i="260"/>
  <c r="BQ159" i="260"/>
  <c r="N89" i="260"/>
  <c r="BU100" i="260"/>
  <c r="BU209" i="260"/>
  <c r="V710" i="260"/>
  <c r="BF600" i="260"/>
  <c r="N201" i="260"/>
  <c r="J348" i="260"/>
  <c r="AV460" i="260"/>
  <c r="AD128" i="260"/>
  <c r="AD231" i="260"/>
  <c r="AD314" i="260"/>
  <c r="AQ333" i="260"/>
  <c r="BJ334" i="260"/>
  <c r="BF443" i="260"/>
  <c r="G636" i="260"/>
  <c r="AD743" i="260"/>
  <c r="G98" i="260"/>
  <c r="BU676" i="260"/>
  <c r="J527" i="260"/>
  <c r="BU656" i="260"/>
  <c r="R105" i="260"/>
  <c r="R688" i="260"/>
  <c r="AZ584" i="260"/>
  <c r="BF465" i="260"/>
  <c r="AD747" i="260"/>
  <c r="AQ714" i="260"/>
  <c r="AD670" i="260"/>
  <c r="BJ172" i="260"/>
  <c r="BM589" i="260"/>
  <c r="AH652" i="260"/>
  <c r="G668" i="260"/>
  <c r="BM498" i="260"/>
  <c r="R682" i="260"/>
  <c r="AV747" i="260"/>
  <c r="R740" i="260"/>
  <c r="AN119" i="260"/>
  <c r="BJ612" i="260"/>
  <c r="AQ588" i="260"/>
  <c r="BQ714" i="260"/>
  <c r="R296" i="260"/>
  <c r="BJ342" i="260"/>
  <c r="BU165" i="260"/>
  <c r="AD175" i="260"/>
  <c r="AN456" i="260"/>
  <c r="V636" i="260"/>
  <c r="V659" i="260"/>
  <c r="AN90" i="260"/>
  <c r="AH700" i="260"/>
  <c r="AH333" i="260"/>
  <c r="N534" i="260"/>
  <c r="AV197" i="260"/>
  <c r="G341" i="260"/>
  <c r="AH551" i="260"/>
  <c r="BF101" i="260"/>
  <c r="AD751" i="260"/>
  <c r="V673" i="260"/>
  <c r="Z423" i="260"/>
  <c r="BM316" i="260"/>
  <c r="AH320" i="260"/>
  <c r="R136" i="260"/>
  <c r="AD451" i="260"/>
  <c r="Z216" i="260"/>
  <c r="BM207" i="260"/>
  <c r="N359" i="260"/>
  <c r="AD583" i="260"/>
  <c r="BJ475" i="260"/>
  <c r="Z88" i="260"/>
  <c r="R345" i="260"/>
  <c r="G134" i="260"/>
  <c r="AV763" i="260"/>
  <c r="BJ757" i="260"/>
  <c r="AQ615" i="260"/>
  <c r="J397" i="260"/>
  <c r="V371" i="260"/>
  <c r="N772" i="260"/>
  <c r="AN466" i="260"/>
  <c r="V131" i="260"/>
  <c r="BJ344" i="260"/>
  <c r="AZ484" i="260"/>
  <c r="Z82" i="260"/>
  <c r="AQ155" i="260"/>
  <c r="AN298" i="260"/>
  <c r="BU774" i="260"/>
  <c r="AH662" i="260"/>
  <c r="AV402" i="260"/>
  <c r="N696" i="260"/>
  <c r="BF106" i="260"/>
  <c r="G559" i="260"/>
  <c r="AD727" i="260"/>
  <c r="N276" i="260"/>
  <c r="BM506" i="260"/>
  <c r="BQ480" i="260"/>
  <c r="J650" i="260"/>
  <c r="Z483" i="260"/>
  <c r="R646" i="260"/>
  <c r="AZ453" i="260"/>
  <c r="AQ122" i="260"/>
  <c r="R284" i="260"/>
  <c r="BF776" i="260"/>
  <c r="R678" i="260"/>
  <c r="AD117" i="260"/>
  <c r="BQ689" i="260"/>
  <c r="BJ194" i="260"/>
  <c r="R89" i="260"/>
  <c r="J423" i="260"/>
  <c r="BM277" i="260"/>
  <c r="BF653" i="260"/>
  <c r="AV121" i="260"/>
  <c r="BM141" i="260"/>
  <c r="AN105" i="260"/>
  <c r="AH718" i="260"/>
  <c r="AN169" i="260"/>
  <c r="N725" i="260"/>
  <c r="G149" i="260"/>
  <c r="N757" i="260"/>
  <c r="V763" i="260"/>
  <c r="BU673" i="260"/>
  <c r="J122" i="260"/>
  <c r="BJ206" i="260"/>
  <c r="AZ101" i="260"/>
  <c r="V661" i="260"/>
  <c r="BU385" i="260"/>
  <c r="N199" i="260"/>
  <c r="J769" i="260"/>
  <c r="BJ406" i="260"/>
  <c r="R620" i="260"/>
  <c r="R621" i="260"/>
  <c r="BQ682" i="260"/>
  <c r="R116" i="260"/>
  <c r="BF163" i="260"/>
  <c r="N306" i="260"/>
  <c r="J611" i="260"/>
  <c r="G262" i="260"/>
  <c r="J134" i="260"/>
  <c r="AH694" i="260"/>
  <c r="BU512" i="260"/>
  <c r="AV461" i="260"/>
  <c r="AN689" i="260"/>
  <c r="R628" i="260"/>
  <c r="N562" i="260"/>
  <c r="J435" i="260"/>
  <c r="N718" i="260"/>
  <c r="BU531" i="260"/>
  <c r="AH82" i="260"/>
  <c r="V484" i="260"/>
  <c r="N339" i="260"/>
  <c r="AD239" i="260"/>
  <c r="Z581" i="260"/>
  <c r="AQ363" i="260"/>
  <c r="AH366" i="260"/>
  <c r="Z539" i="260"/>
  <c r="G411" i="260"/>
  <c r="BQ286" i="260"/>
  <c r="AZ360" i="260"/>
  <c r="AH537" i="260"/>
  <c r="J269" i="260"/>
  <c r="G700" i="260"/>
  <c r="V183" i="260"/>
  <c r="AV314" i="260"/>
  <c r="BU517" i="260"/>
  <c r="BQ262" i="260"/>
  <c r="AN425" i="260"/>
  <c r="AV157" i="260"/>
  <c r="G724" i="260"/>
  <c r="AD457" i="260"/>
  <c r="AH313" i="260"/>
  <c r="R387" i="260"/>
  <c r="N713" i="260"/>
  <c r="AQ300" i="260"/>
  <c r="J118" i="260"/>
  <c r="AZ575" i="260"/>
  <c r="AV644" i="260"/>
  <c r="BJ189" i="260"/>
  <c r="AH485" i="260"/>
  <c r="BJ455" i="260"/>
  <c r="BJ594" i="260"/>
  <c r="AZ695" i="260"/>
  <c r="N435" i="260"/>
  <c r="V347" i="260"/>
  <c r="R712" i="260"/>
  <c r="AZ416" i="260"/>
  <c r="V294" i="260"/>
  <c r="BJ317" i="260"/>
  <c r="V207" i="260"/>
  <c r="N320" i="260"/>
  <c r="AN399" i="260"/>
  <c r="BM178" i="260"/>
  <c r="BU106" i="260"/>
  <c r="J221" i="260"/>
  <c r="AQ626" i="260"/>
  <c r="G498" i="260"/>
  <c r="R224" i="260"/>
  <c r="BF732" i="260"/>
  <c r="AQ320" i="260"/>
  <c r="G226" i="260"/>
  <c r="AZ128" i="260"/>
  <c r="BM723" i="260"/>
  <c r="Z760" i="260"/>
  <c r="N662" i="260"/>
  <c r="AN321" i="260"/>
  <c r="AV557" i="260"/>
  <c r="AN735" i="260"/>
  <c r="R270" i="260"/>
  <c r="BM760" i="260"/>
  <c r="J212" i="260"/>
  <c r="AN411" i="260"/>
  <c r="R302" i="260"/>
  <c r="N582" i="260"/>
  <c r="AH101" i="260"/>
  <c r="AV438" i="260"/>
  <c r="BJ207" i="260"/>
  <c r="BM441" i="260"/>
  <c r="N418" i="260"/>
  <c r="J635" i="260"/>
  <c r="AQ560" i="260"/>
  <c r="J303" i="260"/>
  <c r="BF343" i="260"/>
  <c r="AH683" i="260"/>
  <c r="N164" i="260"/>
  <c r="BJ391" i="260"/>
  <c r="BQ266" i="260"/>
  <c r="BU444" i="260"/>
  <c r="AV320" i="260"/>
  <c r="N677" i="260"/>
  <c r="AQ659" i="260"/>
  <c r="AQ272" i="260"/>
  <c r="R295" i="260"/>
  <c r="R357" i="260"/>
  <c r="Z534" i="260"/>
  <c r="AZ386" i="260"/>
  <c r="BQ756" i="260"/>
  <c r="BM564" i="260"/>
  <c r="AD86" i="260"/>
  <c r="AD240" i="260"/>
  <c r="AN649" i="260"/>
  <c r="AZ322" i="260"/>
  <c r="AD516" i="260"/>
  <c r="AN194" i="260"/>
  <c r="AZ523" i="260"/>
  <c r="AQ574" i="260"/>
  <c r="AZ702" i="260"/>
  <c r="BF630" i="260"/>
  <c r="G89" i="260"/>
  <c r="AD530" i="260"/>
  <c r="BQ351" i="260"/>
  <c r="N510" i="260"/>
  <c r="J428" i="260"/>
  <c r="G751" i="260"/>
  <c r="BU141" i="260"/>
  <c r="AH595" i="260"/>
  <c r="AZ711" i="260"/>
  <c r="BJ313" i="260"/>
  <c r="BF702" i="260"/>
  <c r="R359" i="260"/>
  <c r="J389" i="260"/>
  <c r="J503" i="260"/>
  <c r="Z425" i="260"/>
  <c r="N185" i="260"/>
  <c r="Z484" i="260"/>
  <c r="AV599" i="260"/>
  <c r="AN414" i="260"/>
  <c r="V449" i="260"/>
  <c r="AN116" i="260"/>
  <c r="Z178" i="260"/>
  <c r="AN695" i="260"/>
  <c r="Z186" i="260"/>
  <c r="R480" i="260"/>
  <c r="AD330" i="260"/>
  <c r="AV424" i="260"/>
  <c r="AZ620" i="260"/>
  <c r="AQ500" i="260"/>
  <c r="V314" i="260"/>
  <c r="G263" i="260"/>
  <c r="BF295" i="260"/>
  <c r="Z603" i="260"/>
  <c r="BJ466" i="260"/>
  <c r="BF337" i="260"/>
  <c r="BM628" i="260"/>
  <c r="AQ618" i="260"/>
  <c r="BM576" i="260"/>
  <c r="N122" i="260"/>
  <c r="N595" i="260"/>
  <c r="BJ223" i="260"/>
  <c r="R266" i="260"/>
  <c r="R150" i="260"/>
  <c r="V722" i="260"/>
  <c r="BJ383" i="260"/>
  <c r="BQ387" i="260"/>
  <c r="AV451" i="260"/>
  <c r="AZ177" i="260"/>
  <c r="BF736" i="260"/>
  <c r="BQ369" i="260"/>
  <c r="BQ577" i="260"/>
  <c r="V743" i="260"/>
  <c r="BJ558" i="260"/>
  <c r="AD264" i="260"/>
  <c r="BJ718" i="260"/>
  <c r="BJ743" i="260"/>
  <c r="AV312" i="260"/>
  <c r="AV539" i="260"/>
  <c r="BQ769" i="260"/>
  <c r="AH403" i="260"/>
  <c r="R637" i="260"/>
  <c r="AZ634" i="260"/>
  <c r="N157" i="260"/>
  <c r="AD474" i="260"/>
  <c r="V156" i="260"/>
  <c r="BU344" i="260"/>
  <c r="V280" i="260"/>
  <c r="R517" i="260"/>
  <c r="BQ586" i="260"/>
  <c r="R107" i="260"/>
  <c r="BM201" i="260"/>
  <c r="BQ540" i="260"/>
  <c r="V423" i="260"/>
  <c r="AD417" i="260"/>
  <c r="AQ530" i="260"/>
  <c r="Z474" i="260"/>
  <c r="Z358" i="260"/>
  <c r="AQ271" i="260"/>
  <c r="AV155" i="260"/>
  <c r="N392" i="260"/>
  <c r="V444" i="260"/>
  <c r="BJ312" i="260"/>
  <c r="BU88" i="260"/>
  <c r="AN453" i="260"/>
  <c r="AZ106" i="260"/>
  <c r="BQ715" i="260"/>
  <c r="AQ648" i="260"/>
  <c r="N351" i="260"/>
  <c r="AZ209" i="260"/>
  <c r="AH643" i="260"/>
  <c r="AN317" i="260"/>
  <c r="N618" i="260"/>
  <c r="V136" i="260"/>
  <c r="V275" i="260"/>
  <c r="J641" i="260"/>
  <c r="BM702" i="260"/>
  <c r="BM282" i="260"/>
  <c r="BJ543" i="260"/>
  <c r="AD680" i="260"/>
  <c r="BU515" i="260"/>
  <c r="AV373" i="260"/>
  <c r="BQ589" i="260"/>
  <c r="BJ220" i="260"/>
  <c r="AD427" i="260"/>
  <c r="G586" i="260"/>
  <c r="BF195" i="260"/>
  <c r="BU84" i="260"/>
  <c r="BU277" i="260"/>
  <c r="AQ382" i="260"/>
  <c r="AN241" i="260"/>
  <c r="BJ746" i="260"/>
  <c r="AV640" i="260"/>
  <c r="Z611" i="260"/>
  <c r="AV209" i="260"/>
  <c r="G424" i="260"/>
  <c r="Z681" i="260"/>
  <c r="AZ528" i="260"/>
  <c r="AH486" i="260"/>
  <c r="BU723" i="260"/>
  <c r="BQ731" i="260"/>
  <c r="V274" i="260"/>
  <c r="BQ373" i="260"/>
  <c r="BU721" i="260"/>
  <c r="V89" i="260"/>
  <c r="AQ642" i="260"/>
  <c r="AZ98" i="260"/>
  <c r="BJ655" i="260"/>
  <c r="N497" i="260"/>
  <c r="BQ725" i="260"/>
  <c r="AH660" i="260"/>
  <c r="AH109" i="260"/>
  <c r="AN660" i="260"/>
  <c r="G264" i="260"/>
  <c r="AH488" i="260"/>
  <c r="BU273" i="260"/>
  <c r="AD452" i="260"/>
  <c r="Z569" i="260"/>
  <c r="AN703" i="260"/>
  <c r="R82" i="260"/>
  <c r="J770" i="260"/>
  <c r="BU275" i="260"/>
  <c r="BQ389" i="260"/>
  <c r="Z761" i="260"/>
  <c r="Z299" i="260"/>
  <c r="AV664" i="260"/>
  <c r="V351" i="260"/>
  <c r="G399" i="260"/>
  <c r="BF157" i="260"/>
  <c r="N148" i="260"/>
  <c r="AZ665" i="260"/>
  <c r="BM287" i="260"/>
  <c r="AH681" i="260"/>
  <c r="AN600" i="260"/>
  <c r="J691" i="260"/>
  <c r="G701" i="260"/>
  <c r="V138" i="260"/>
  <c r="Z378" i="260"/>
  <c r="BM647" i="260"/>
  <c r="BJ709" i="260"/>
  <c r="AN222" i="260"/>
  <c r="AQ663" i="260"/>
  <c r="BF588" i="260"/>
  <c r="AH80" i="260"/>
  <c r="AD438" i="260"/>
  <c r="G736" i="260"/>
  <c r="AZ466" i="260"/>
  <c r="AZ110" i="260"/>
  <c r="N446" i="260"/>
  <c r="AN512" i="260"/>
  <c r="AZ409" i="260"/>
  <c r="Z295" i="260"/>
  <c r="G624" i="260"/>
  <c r="R121" i="260"/>
  <c r="BF524" i="260"/>
  <c r="Z640" i="260"/>
  <c r="R410" i="260"/>
  <c r="AZ335" i="260"/>
  <c r="AQ297" i="260"/>
  <c r="BJ125" i="260"/>
  <c r="Z288" i="260"/>
  <c r="AQ688" i="260"/>
  <c r="BU610" i="260"/>
  <c r="BJ514" i="260"/>
  <c r="BQ437" i="260"/>
  <c r="AD571" i="260"/>
  <c r="BQ450" i="260"/>
  <c r="AH326" i="260"/>
  <c r="R606" i="260"/>
  <c r="N443" i="260"/>
  <c r="BF467" i="260"/>
  <c r="AZ623" i="260"/>
  <c r="AZ228" i="260"/>
  <c r="AH273" i="260"/>
  <c r="AH112" i="260"/>
  <c r="G343" i="260"/>
  <c r="R340" i="260"/>
  <c r="BU325" i="260"/>
  <c r="V538" i="260"/>
  <c r="BJ702" i="260"/>
  <c r="N760" i="260"/>
  <c r="AN214" i="260"/>
  <c r="AQ581" i="260"/>
  <c r="AD496" i="260"/>
  <c r="Z195" i="260"/>
  <c r="BU310" i="260"/>
  <c r="BM320" i="260"/>
  <c r="Z318" i="260"/>
  <c r="AZ323" i="260"/>
  <c r="R690" i="260"/>
  <c r="BQ502" i="260"/>
  <c r="AN540" i="260"/>
  <c r="AQ641" i="260"/>
  <c r="AQ140" i="260"/>
  <c r="BM563" i="260"/>
  <c r="V189" i="260"/>
  <c r="V338" i="260"/>
  <c r="G769" i="260"/>
  <c r="AZ649" i="260"/>
  <c r="N399" i="260"/>
  <c r="V565" i="260"/>
  <c r="Z233" i="260"/>
  <c r="BQ364" i="260"/>
  <c r="AH644" i="260"/>
  <c r="G494" i="260"/>
  <c r="N558" i="260"/>
  <c r="BJ109" i="260"/>
  <c r="BU630" i="260"/>
  <c r="J569" i="260"/>
  <c r="G669" i="260"/>
  <c r="BJ619" i="260"/>
  <c r="BF519" i="260"/>
  <c r="BF381" i="260"/>
  <c r="AN359" i="260"/>
  <c r="J136" i="260"/>
  <c r="J394" i="260"/>
  <c r="BM473" i="260"/>
  <c r="AD487" i="260"/>
  <c r="G85" i="260"/>
  <c r="AZ225" i="260"/>
  <c r="BU591" i="260"/>
  <c r="J409" i="260"/>
  <c r="R753" i="260"/>
  <c r="J331" i="260"/>
  <c r="AN502" i="260"/>
  <c r="AV570" i="260"/>
  <c r="AV230" i="260"/>
  <c r="AQ473" i="260"/>
  <c r="AN293" i="260"/>
  <c r="BQ483" i="260"/>
  <c r="V430" i="260"/>
  <c r="BU280" i="260"/>
  <c r="AQ523" i="260"/>
  <c r="AH143" i="260"/>
  <c r="BF90" i="260"/>
  <c r="AN394" i="260"/>
  <c r="Z715" i="260"/>
  <c r="BU530" i="260"/>
  <c r="BM513" i="260"/>
  <c r="BJ378" i="260"/>
  <c r="AQ709" i="260"/>
  <c r="AD178" i="260"/>
  <c r="BU266" i="260"/>
  <c r="BM446" i="260"/>
  <c r="R220" i="260"/>
  <c r="BU386" i="260"/>
  <c r="BQ765" i="260"/>
  <c r="N508" i="260"/>
  <c r="Z544" i="260"/>
  <c r="AZ191" i="260"/>
  <c r="BU464" i="260"/>
  <c r="AD705" i="260"/>
  <c r="V480" i="260"/>
  <c r="R685" i="260"/>
  <c r="BF593" i="260"/>
  <c r="BM462" i="260"/>
  <c r="BF636" i="260"/>
  <c r="G385" i="260"/>
  <c r="BU117" i="260"/>
  <c r="V601" i="260"/>
  <c r="AN551" i="260"/>
  <c r="AQ432" i="260"/>
  <c r="AD252" i="260"/>
  <c r="R434" i="260"/>
  <c r="BF517" i="260"/>
  <c r="Z140" i="260"/>
  <c r="V665" i="260"/>
  <c r="BQ250" i="260"/>
  <c r="AH361" i="260"/>
  <c r="BU201" i="260"/>
  <c r="Z227" i="260"/>
  <c r="R422" i="260"/>
  <c r="AH195" i="260"/>
  <c r="G252" i="260"/>
  <c r="BF394" i="260"/>
  <c r="AZ469" i="260"/>
  <c r="BM359" i="260"/>
  <c r="BJ198" i="260"/>
  <c r="AN435" i="260"/>
  <c r="R350" i="260"/>
  <c r="V312" i="260"/>
  <c r="V83" i="260"/>
  <c r="BJ322" i="260"/>
  <c r="AV498" i="260"/>
  <c r="R758" i="260"/>
  <c r="Z256" i="260"/>
  <c r="V549" i="260"/>
  <c r="BU202" i="260"/>
  <c r="G757" i="260"/>
  <c r="J472" i="260"/>
  <c r="G603" i="260"/>
  <c r="BJ571" i="260"/>
  <c r="AN389" i="260"/>
  <c r="AQ424" i="260"/>
  <c r="N274" i="260"/>
  <c r="G622" i="260"/>
  <c r="R539" i="260"/>
  <c r="G327" i="260"/>
  <c r="BJ331" i="260"/>
  <c r="G621" i="260"/>
  <c r="BU366" i="260"/>
  <c r="AQ712" i="260"/>
  <c r="AZ557" i="260"/>
  <c r="AH749" i="260"/>
  <c r="R491" i="260"/>
  <c r="BM457" i="260"/>
  <c r="G240" i="260"/>
  <c r="BF468" i="260"/>
  <c r="V600" i="260"/>
  <c r="R694" i="260"/>
  <c r="Z608" i="260"/>
  <c r="AZ247" i="260"/>
  <c r="G269" i="260"/>
  <c r="N750" i="260"/>
  <c r="BF616" i="260"/>
  <c r="BJ528" i="260"/>
  <c r="BQ710" i="260"/>
  <c r="N503" i="260"/>
  <c r="AH370" i="260"/>
  <c r="N452" i="260"/>
  <c r="BF535" i="260"/>
  <c r="BJ647" i="260"/>
  <c r="BJ683" i="260"/>
  <c r="AH242" i="260"/>
  <c r="N442" i="260"/>
  <c r="AD196" i="260"/>
  <c r="BU657" i="260"/>
  <c r="N109" i="260"/>
  <c r="R293" i="260"/>
  <c r="BJ238" i="260"/>
  <c r="BF223" i="260"/>
  <c r="G556" i="260"/>
  <c r="BQ390" i="260"/>
  <c r="J561" i="260"/>
  <c r="Z261" i="260"/>
  <c r="BQ527" i="260"/>
  <c r="BU540" i="260"/>
  <c r="G773" i="260"/>
  <c r="G485" i="260"/>
  <c r="AV568" i="260"/>
  <c r="G738" i="260"/>
  <c r="AD387" i="260"/>
  <c r="Z537" i="260"/>
  <c r="AZ194" i="260"/>
  <c r="AZ349" i="260"/>
  <c r="AD401" i="260"/>
  <c r="V755" i="260"/>
  <c r="AZ565" i="260"/>
  <c r="G511" i="260"/>
  <c r="R680" i="260"/>
  <c r="BF306" i="260"/>
  <c r="R603" i="260"/>
  <c r="AN375" i="260"/>
  <c r="AH334" i="260"/>
  <c r="Z151" i="260"/>
  <c r="AH293" i="260"/>
  <c r="G335" i="260"/>
  <c r="J398" i="260"/>
  <c r="J731" i="260"/>
  <c r="BM630" i="260"/>
  <c r="AV249" i="260"/>
  <c r="N121" i="260"/>
  <c r="AV322" i="260"/>
  <c r="V589" i="260"/>
  <c r="V339" i="260"/>
  <c r="G164" i="260"/>
  <c r="AN436" i="260"/>
  <c r="G187" i="260"/>
  <c r="BU420" i="260"/>
  <c r="BM83" i="260"/>
  <c r="N240" i="260"/>
  <c r="BU203" i="260"/>
  <c r="N556" i="260"/>
  <c r="AZ86" i="260"/>
  <c r="BJ436" i="260"/>
  <c r="Z516" i="260"/>
  <c r="BF774" i="260"/>
  <c r="AD289" i="260"/>
  <c r="AQ406" i="260"/>
  <c r="N616" i="260"/>
  <c r="J290" i="260"/>
  <c r="N516" i="260"/>
  <c r="AD703" i="260"/>
  <c r="Z527" i="260"/>
  <c r="V595" i="260"/>
  <c r="AH93" i="260"/>
  <c r="AZ95" i="260"/>
  <c r="BM508" i="260"/>
  <c r="BF765" i="260"/>
  <c r="BU345" i="260"/>
  <c r="AV742" i="260"/>
  <c r="BQ428" i="260"/>
  <c r="N282" i="260"/>
  <c r="BM538" i="260"/>
  <c r="R541" i="260"/>
  <c r="J425" i="260"/>
  <c r="AD187" i="260"/>
  <c r="BQ778" i="260"/>
  <c r="AN92" i="260"/>
  <c r="BJ145" i="260"/>
  <c r="V172" i="260"/>
  <c r="N778" i="260"/>
  <c r="G719" i="260"/>
  <c r="V669" i="260"/>
  <c r="J684" i="260"/>
  <c r="BU637" i="260"/>
  <c r="AZ756" i="260"/>
  <c r="BM168" i="260"/>
  <c r="V740" i="260"/>
  <c r="AQ372" i="260"/>
  <c r="AV274" i="260"/>
  <c r="Z507" i="260"/>
  <c r="AZ587" i="260"/>
  <c r="BJ241" i="260"/>
  <c r="G200" i="260"/>
  <c r="Z128" i="260"/>
  <c r="AD168" i="260"/>
  <c r="AQ178" i="260"/>
  <c r="N130" i="260"/>
  <c r="AZ171" i="260"/>
  <c r="BU458" i="260"/>
  <c r="G587" i="260"/>
  <c r="J531" i="260"/>
  <c r="AQ146" i="260"/>
  <c r="G502" i="260"/>
  <c r="BJ165" i="260"/>
  <c r="R363" i="260"/>
  <c r="AN292" i="260"/>
  <c r="N387" i="260"/>
  <c r="AN117" i="260"/>
  <c r="AN727" i="260"/>
  <c r="BM762" i="260"/>
  <c r="BQ555" i="260"/>
  <c r="R309" i="260"/>
  <c r="AQ234" i="260"/>
  <c r="BQ137" i="260"/>
  <c r="R367" i="260"/>
  <c r="R744" i="260"/>
  <c r="Z370" i="260"/>
  <c r="Z612" i="260"/>
  <c r="N458" i="260"/>
  <c r="G152" i="260"/>
  <c r="AZ202" i="260"/>
  <c r="BJ533" i="260"/>
  <c r="AV101" i="260"/>
  <c r="AV153" i="260"/>
  <c r="BJ670" i="260"/>
  <c r="AQ459" i="260"/>
  <c r="BM274" i="260"/>
  <c r="G570" i="260"/>
  <c r="AQ664" i="260"/>
  <c r="BU258" i="260"/>
  <c r="AD605" i="260"/>
  <c r="N408" i="260"/>
  <c r="Z520" i="260"/>
  <c r="AH619" i="260"/>
  <c r="AV709" i="260"/>
  <c r="AQ740" i="260"/>
  <c r="BF364" i="260"/>
  <c r="BJ358" i="260"/>
  <c r="BQ108" i="260"/>
  <c r="N606" i="260"/>
  <c r="G647" i="260"/>
  <c r="Z162" i="260"/>
  <c r="BU586" i="260"/>
  <c r="R247" i="260"/>
  <c r="AN663" i="260"/>
  <c r="AQ770" i="260"/>
  <c r="AQ593" i="260"/>
  <c r="AH119" i="260"/>
  <c r="BF196" i="260"/>
  <c r="BQ331" i="260"/>
  <c r="R344" i="260"/>
  <c r="V148" i="260"/>
  <c r="BJ136" i="260"/>
  <c r="BQ471" i="260"/>
  <c r="R167" i="260"/>
  <c r="BQ612" i="260"/>
  <c r="V113" i="260"/>
  <c r="R440" i="260"/>
  <c r="V745" i="260"/>
  <c r="AH758" i="260"/>
  <c r="AV535" i="260"/>
  <c r="AN688" i="260"/>
  <c r="V245" i="260"/>
  <c r="AH747" i="260"/>
  <c r="AN251" i="260"/>
  <c r="AZ120" i="260"/>
  <c r="J600" i="260"/>
  <c r="AZ113" i="260"/>
  <c r="BJ676" i="260"/>
  <c r="BJ376" i="260"/>
  <c r="AD359" i="260"/>
  <c r="R667" i="260"/>
  <c r="G310" i="260"/>
  <c r="G234" i="260"/>
  <c r="J326" i="260"/>
  <c r="AD193" i="260"/>
  <c r="AQ103" i="260"/>
  <c r="N381" i="260"/>
  <c r="N739" i="260"/>
  <c r="BM573" i="260"/>
  <c r="G356" i="260"/>
  <c r="N470" i="260"/>
  <c r="AZ176" i="260"/>
  <c r="R245" i="260"/>
  <c r="AH171" i="260"/>
  <c r="BQ751" i="260"/>
  <c r="AH211" i="260"/>
  <c r="BQ88" i="260"/>
  <c r="V330" i="260"/>
  <c r="BJ281" i="260"/>
  <c r="AV371" i="260"/>
  <c r="BM471" i="260"/>
  <c r="AQ90" i="260"/>
  <c r="AD760" i="260"/>
  <c r="BM374" i="260"/>
  <c r="BM426" i="260"/>
  <c r="AN282" i="260"/>
  <c r="N748" i="260"/>
  <c r="BQ86" i="260"/>
  <c r="Z210" i="260"/>
  <c r="BQ453" i="260"/>
  <c r="BM342" i="260"/>
  <c r="BQ581" i="260"/>
  <c r="AZ556" i="260"/>
  <c r="AQ207" i="260"/>
  <c r="BU766" i="260"/>
  <c r="AQ499" i="260"/>
  <c r="BJ567" i="260"/>
  <c r="G680" i="260"/>
  <c r="BF772" i="260"/>
  <c r="V642" i="260"/>
  <c r="AH226" i="260"/>
  <c r="V257" i="260"/>
  <c r="R733" i="260"/>
  <c r="R380" i="260"/>
  <c r="AZ722" i="260"/>
  <c r="BJ203" i="260"/>
  <c r="N513" i="260"/>
  <c r="BU292" i="260"/>
  <c r="AD300" i="260"/>
  <c r="R495" i="260"/>
  <c r="AD181" i="260"/>
  <c r="AV425" i="260"/>
  <c r="BF663" i="260"/>
  <c r="J124" i="260"/>
  <c r="R248" i="260"/>
  <c r="AN681" i="260"/>
  <c r="AV407" i="260"/>
  <c r="J177" i="260"/>
  <c r="AD555" i="260"/>
  <c r="BJ85" i="260"/>
  <c r="BF415" i="260"/>
  <c r="R290" i="260"/>
  <c r="BM510" i="260"/>
  <c r="R696" i="260"/>
  <c r="AD263" i="260"/>
  <c r="V584" i="260"/>
  <c r="AZ688" i="260"/>
  <c r="Z578" i="260"/>
  <c r="BQ683" i="260"/>
  <c r="AQ348" i="260"/>
  <c r="AV553" i="260"/>
  <c r="AQ575" i="260"/>
  <c r="V265" i="260"/>
  <c r="G690" i="260"/>
  <c r="BQ595" i="260"/>
  <c r="N691" i="260"/>
  <c r="AV724" i="260"/>
  <c r="G213" i="260"/>
  <c r="BJ308" i="260"/>
  <c r="BF691" i="260"/>
  <c r="W103" i="352"/>
  <c r="W108" i="352" s="1"/>
  <c r="V103" i="352"/>
  <c r="V108" i="352" s="1"/>
  <c r="BM43" i="260"/>
  <c r="BM42" i="260"/>
  <c r="BM41" i="260"/>
  <c r="Q99" i="352"/>
  <c r="Q103" i="352" s="1"/>
  <c r="Q108" i="352" s="1"/>
  <c r="BJ38" i="260"/>
  <c r="N98" i="352"/>
  <c r="N103" i="352" s="1"/>
  <c r="N108" i="352" s="1"/>
  <c r="BM37" i="260"/>
  <c r="M99" i="352"/>
  <c r="M103" i="352" s="1"/>
  <c r="M108" i="352" s="1"/>
  <c r="BM36" i="260"/>
  <c r="L99" i="352"/>
  <c r="BM35" i="260"/>
  <c r="K99" i="352"/>
  <c r="K103" i="352" s="1"/>
  <c r="K108" i="352" s="1"/>
  <c r="BM31" i="260"/>
  <c r="G99" i="352"/>
  <c r="G103" i="352" s="1"/>
  <c r="G108" i="352" s="1"/>
  <c r="L83" i="352"/>
  <c r="P103" i="352"/>
  <c r="P108" i="352" s="1"/>
  <c r="M83" i="352"/>
  <c r="S99" i="352"/>
  <c r="S103" i="352" s="1"/>
  <c r="S108" i="352" s="1"/>
  <c r="S83" i="352"/>
  <c r="R99" i="352"/>
  <c r="R103" i="352" s="1"/>
  <c r="R108" i="352" s="1"/>
  <c r="R83" i="352"/>
  <c r="AH64" i="352"/>
  <c r="AG64" i="352"/>
  <c r="L103" i="352"/>
  <c r="L108" i="352" s="1"/>
  <c r="AI61" i="352"/>
  <c r="M109" i="352"/>
  <c r="AF64" i="352"/>
  <c r="AF86" i="352"/>
  <c r="T103" i="352"/>
  <c r="T108" i="352" s="1"/>
  <c r="K83" i="352"/>
  <c r="Q83" i="352"/>
  <c r="F11" i="88"/>
  <c r="F14" i="88"/>
  <c r="F64" i="351"/>
  <c r="F62" i="351"/>
  <c r="F10" i="88"/>
  <c r="F80" i="351"/>
  <c r="F76" i="351"/>
  <c r="F60" i="351"/>
  <c r="F34" i="351"/>
  <c r="F31" i="351"/>
  <c r="F25" i="351"/>
  <c r="F22" i="351"/>
  <c r="F17" i="351"/>
  <c r="F65" i="351" l="1"/>
  <c r="F83" i="351"/>
  <c r="AH64" i="351"/>
  <c r="AH63" i="351"/>
  <c r="F98" i="351"/>
  <c r="F96" i="351"/>
  <c r="F93" i="351"/>
  <c r="F89" i="351"/>
  <c r="AC107" i="351"/>
  <c r="AB107" i="351"/>
  <c r="AA107" i="351"/>
  <c r="Z107" i="351"/>
  <c r="Y107" i="351"/>
  <c r="X107" i="351"/>
  <c r="W107" i="351"/>
  <c r="V107" i="351"/>
  <c r="U107" i="351"/>
  <c r="T107" i="351"/>
  <c r="S107" i="351"/>
  <c r="R107" i="351"/>
  <c r="Q107" i="351"/>
  <c r="P107" i="351"/>
  <c r="O107" i="351"/>
  <c r="N107" i="351"/>
  <c r="M107" i="351"/>
  <c r="L107" i="351"/>
  <c r="K107" i="351"/>
  <c r="J107" i="351"/>
  <c r="I107" i="351"/>
  <c r="H107" i="351"/>
  <c r="G107" i="351"/>
  <c r="F107" i="351"/>
  <c r="AC102" i="351"/>
  <c r="AB102" i="351"/>
  <c r="AA102" i="351"/>
  <c r="Z102" i="351"/>
  <c r="Y102" i="351"/>
  <c r="X102" i="351"/>
  <c r="W102" i="351"/>
  <c r="V102" i="351"/>
  <c r="U102" i="351"/>
  <c r="T102" i="351"/>
  <c r="S102" i="351"/>
  <c r="R102" i="351"/>
  <c r="Q102" i="351"/>
  <c r="P102" i="351"/>
  <c r="O102" i="351"/>
  <c r="N102" i="351"/>
  <c r="M102" i="351"/>
  <c r="L102" i="351"/>
  <c r="K102" i="351"/>
  <c r="J102" i="351"/>
  <c r="I102" i="351"/>
  <c r="H102" i="351"/>
  <c r="G102" i="351"/>
  <c r="F102" i="351"/>
  <c r="F101" i="351"/>
  <c r="AC80" i="351"/>
  <c r="AC101" i="351" s="1"/>
  <c r="AB80" i="351"/>
  <c r="AB101" i="351" s="1"/>
  <c r="AA80" i="351"/>
  <c r="AA101" i="351" s="1"/>
  <c r="Z80" i="351"/>
  <c r="Z101" i="351" s="1"/>
  <c r="Y80" i="351"/>
  <c r="Y101" i="351" s="1"/>
  <c r="X80" i="351"/>
  <c r="X101" i="351" s="1"/>
  <c r="W80" i="351"/>
  <c r="W101" i="351" s="1"/>
  <c r="V80" i="351"/>
  <c r="V101" i="351" s="1"/>
  <c r="U80" i="351"/>
  <c r="U101" i="351" s="1"/>
  <c r="T80" i="351"/>
  <c r="T101" i="351" s="1"/>
  <c r="S80" i="351"/>
  <c r="S101" i="351" s="1"/>
  <c r="R80" i="351"/>
  <c r="R101" i="351" s="1"/>
  <c r="Q80" i="351"/>
  <c r="Q101" i="351" s="1"/>
  <c r="P80" i="351"/>
  <c r="P101" i="351" s="1"/>
  <c r="O80" i="351"/>
  <c r="O101" i="351" s="1"/>
  <c r="N80" i="351"/>
  <c r="N101" i="351" s="1"/>
  <c r="M80" i="351"/>
  <c r="M101" i="351" s="1"/>
  <c r="L80" i="351"/>
  <c r="L101" i="351" s="1"/>
  <c r="K80" i="351"/>
  <c r="K101" i="351" s="1"/>
  <c r="J80" i="351"/>
  <c r="J101" i="351" s="1"/>
  <c r="I80" i="351"/>
  <c r="I101" i="351" s="1"/>
  <c r="H80" i="351"/>
  <c r="H101" i="351" s="1"/>
  <c r="G80" i="351"/>
  <c r="G101" i="351" s="1"/>
  <c r="C80" i="351"/>
  <c r="B80" i="351"/>
  <c r="B25" i="351" s="1"/>
  <c r="AH79" i="351"/>
  <c r="AG79" i="351"/>
  <c r="AF79" i="351"/>
  <c r="AH78" i="351"/>
  <c r="AG78" i="351"/>
  <c r="AF78" i="351"/>
  <c r="AI77" i="351"/>
  <c r="AC76" i="351"/>
  <c r="AC100" i="351" s="1"/>
  <c r="AB76" i="351"/>
  <c r="AB100" i="351" s="1"/>
  <c r="AA76" i="351"/>
  <c r="AA100" i="351" s="1"/>
  <c r="Z76" i="351"/>
  <c r="Z100" i="351" s="1"/>
  <c r="Y76" i="351"/>
  <c r="Y100" i="351" s="1"/>
  <c r="X76" i="351"/>
  <c r="X100" i="351" s="1"/>
  <c r="W76" i="351"/>
  <c r="W100" i="351" s="1"/>
  <c r="V76" i="351"/>
  <c r="V100" i="351" s="1"/>
  <c r="U76" i="351"/>
  <c r="U100" i="351" s="1"/>
  <c r="T76" i="351"/>
  <c r="T100" i="351" s="1"/>
  <c r="S76" i="351"/>
  <c r="S100" i="351" s="1"/>
  <c r="R76" i="351"/>
  <c r="R100" i="351" s="1"/>
  <c r="Q76" i="351"/>
  <c r="Q100" i="351" s="1"/>
  <c r="P76" i="351"/>
  <c r="P100" i="351" s="1"/>
  <c r="O76" i="351"/>
  <c r="O100" i="351" s="1"/>
  <c r="N76" i="351"/>
  <c r="N100" i="351" s="1"/>
  <c r="M76" i="351"/>
  <c r="M100" i="351" s="1"/>
  <c r="L76" i="351"/>
  <c r="L100" i="351" s="1"/>
  <c r="K76" i="351"/>
  <c r="K100" i="351" s="1"/>
  <c r="J76" i="351"/>
  <c r="J100" i="351" s="1"/>
  <c r="I76" i="351"/>
  <c r="I100" i="351" s="1"/>
  <c r="H76" i="351"/>
  <c r="H100" i="351" s="1"/>
  <c r="G76" i="351"/>
  <c r="G100" i="351" s="1"/>
  <c r="F100" i="351"/>
  <c r="C76" i="351"/>
  <c r="B76" i="351"/>
  <c r="AH75" i="351"/>
  <c r="AG75" i="351"/>
  <c r="AF75" i="351"/>
  <c r="AH74" i="351"/>
  <c r="AG74" i="351"/>
  <c r="AF74" i="351"/>
  <c r="AH73" i="351"/>
  <c r="AG73" i="351"/>
  <c r="AF73" i="351"/>
  <c r="AH72" i="351"/>
  <c r="AG72" i="351"/>
  <c r="AF72" i="351"/>
  <c r="AH71" i="351"/>
  <c r="AG71" i="351"/>
  <c r="AF71" i="351"/>
  <c r="AH70" i="351"/>
  <c r="AG70" i="351"/>
  <c r="AF70" i="351"/>
  <c r="AH69" i="351"/>
  <c r="AG69" i="351"/>
  <c r="AF69" i="351"/>
  <c r="AH68" i="351"/>
  <c r="AG68" i="351"/>
  <c r="AF68" i="351"/>
  <c r="AH67" i="351"/>
  <c r="AG67" i="351"/>
  <c r="AF67" i="351"/>
  <c r="AI66" i="351"/>
  <c r="AB65" i="351"/>
  <c r="AB99" i="351" s="1"/>
  <c r="AA65" i="351"/>
  <c r="AA99" i="351" s="1"/>
  <c r="Z65" i="351"/>
  <c r="Z99" i="351" s="1"/>
  <c r="Y65" i="351"/>
  <c r="Y99" i="351" s="1"/>
  <c r="X65" i="351"/>
  <c r="X99" i="351" s="1"/>
  <c r="W65" i="351"/>
  <c r="W99" i="351" s="1"/>
  <c r="V65" i="351"/>
  <c r="V99" i="351" s="1"/>
  <c r="U65" i="351"/>
  <c r="U99" i="351" s="1"/>
  <c r="T65" i="351"/>
  <c r="T99" i="351" s="1"/>
  <c r="Q65" i="351"/>
  <c r="Q99" i="351" s="1"/>
  <c r="C65" i="351"/>
  <c r="B65" i="351"/>
  <c r="N65" i="351"/>
  <c r="N99" i="351" s="1"/>
  <c r="M65" i="351"/>
  <c r="M99" i="351" s="1"/>
  <c r="L65" i="351"/>
  <c r="L99" i="351" s="1"/>
  <c r="R65" i="351"/>
  <c r="R99" i="351" s="1"/>
  <c r="P65" i="351"/>
  <c r="P99" i="351" s="1"/>
  <c r="O65" i="351"/>
  <c r="O99" i="351" s="1"/>
  <c r="S65" i="351"/>
  <c r="S99" i="351" s="1"/>
  <c r="AC60" i="351"/>
  <c r="AC98" i="351" s="1"/>
  <c r="AB60" i="351"/>
  <c r="AB98" i="351" s="1"/>
  <c r="AA60" i="351"/>
  <c r="AA98" i="351" s="1"/>
  <c r="Z60" i="351"/>
  <c r="Z98" i="351" s="1"/>
  <c r="Y60" i="351"/>
  <c r="Y98" i="351" s="1"/>
  <c r="X60" i="351"/>
  <c r="X98" i="351" s="1"/>
  <c r="W60" i="351"/>
  <c r="W98" i="351" s="1"/>
  <c r="V60" i="351"/>
  <c r="V98" i="351" s="1"/>
  <c r="U60" i="351"/>
  <c r="U98" i="351" s="1"/>
  <c r="T60" i="351"/>
  <c r="T98" i="351" s="1"/>
  <c r="S60" i="351"/>
  <c r="S98" i="351" s="1"/>
  <c r="R60" i="351"/>
  <c r="R98" i="351" s="1"/>
  <c r="Q60" i="351"/>
  <c r="Q98" i="351" s="1"/>
  <c r="N60" i="351"/>
  <c r="N98" i="351" s="1"/>
  <c r="M60" i="351"/>
  <c r="M98" i="351" s="1"/>
  <c r="K60" i="351"/>
  <c r="K98" i="351" s="1"/>
  <c r="J60" i="351"/>
  <c r="J98" i="351" s="1"/>
  <c r="I60" i="351"/>
  <c r="I98" i="351" s="1"/>
  <c r="H60" i="351"/>
  <c r="H98" i="351" s="1"/>
  <c r="G60" i="351"/>
  <c r="G98" i="351" s="1"/>
  <c r="C60" i="351"/>
  <c r="B60" i="351"/>
  <c r="AH59" i="351"/>
  <c r="AG59" i="351"/>
  <c r="AF59" i="351"/>
  <c r="AH58" i="351"/>
  <c r="AG58" i="351"/>
  <c r="AF58" i="351"/>
  <c r="AH57" i="351"/>
  <c r="AG57" i="351"/>
  <c r="AF57" i="351"/>
  <c r="AH56" i="351"/>
  <c r="AH55" i="351"/>
  <c r="AG55" i="351"/>
  <c r="AF55" i="351"/>
  <c r="AH52" i="351"/>
  <c r="AG52" i="351"/>
  <c r="AF52" i="351"/>
  <c r="AH51" i="351"/>
  <c r="AG51" i="351"/>
  <c r="AF51" i="351"/>
  <c r="AH50" i="351"/>
  <c r="AG50" i="351"/>
  <c r="AF50" i="351"/>
  <c r="AH49" i="351"/>
  <c r="AG49" i="351"/>
  <c r="AF49" i="351"/>
  <c r="O60" i="351"/>
  <c r="O98" i="351" s="1"/>
  <c r="AF48" i="351"/>
  <c r="AH47" i="351"/>
  <c r="AG47" i="351"/>
  <c r="AF47" i="351"/>
  <c r="AH46" i="351"/>
  <c r="AG46" i="351"/>
  <c r="AF46" i="351"/>
  <c r="AH45" i="351"/>
  <c r="AG45" i="351"/>
  <c r="AF45" i="351"/>
  <c r="AH44" i="351"/>
  <c r="AG44" i="351"/>
  <c r="AF44" i="351"/>
  <c r="AH43" i="351"/>
  <c r="AG43" i="351"/>
  <c r="AF43" i="351"/>
  <c r="AH42" i="351"/>
  <c r="AG42" i="351"/>
  <c r="AF42" i="351"/>
  <c r="AH41" i="351"/>
  <c r="AG41" i="351"/>
  <c r="AF41" i="351"/>
  <c r="AH40" i="351"/>
  <c r="AH39" i="351"/>
  <c r="AG39" i="351"/>
  <c r="AF39" i="351"/>
  <c r="AH38" i="351"/>
  <c r="AG38" i="351"/>
  <c r="AF38" i="351"/>
  <c r="AH37" i="351"/>
  <c r="AG37" i="351"/>
  <c r="AF37" i="351"/>
  <c r="AH36" i="351"/>
  <c r="AG36" i="351"/>
  <c r="AF36" i="351"/>
  <c r="AI35" i="351"/>
  <c r="AC34" i="351"/>
  <c r="AC96" i="351" s="1"/>
  <c r="AB34" i="351"/>
  <c r="AB96" i="351" s="1"/>
  <c r="AA34" i="351"/>
  <c r="AA96" i="351" s="1"/>
  <c r="Z34" i="351"/>
  <c r="Z96" i="351" s="1"/>
  <c r="Y34" i="351"/>
  <c r="Y96" i="351" s="1"/>
  <c r="X34" i="351"/>
  <c r="X96" i="351" s="1"/>
  <c r="W34" i="351"/>
  <c r="W96" i="351" s="1"/>
  <c r="V34" i="351"/>
  <c r="V96" i="351" s="1"/>
  <c r="U34" i="351"/>
  <c r="U96" i="351" s="1"/>
  <c r="T34" i="351"/>
  <c r="T96" i="351" s="1"/>
  <c r="S34" i="351"/>
  <c r="S96" i="351" s="1"/>
  <c r="R34" i="351"/>
  <c r="R96" i="351" s="1"/>
  <c r="Q34" i="351"/>
  <c r="Q96" i="351" s="1"/>
  <c r="P34" i="351"/>
  <c r="P96" i="351" s="1"/>
  <c r="O34" i="351"/>
  <c r="O96" i="351" s="1"/>
  <c r="N34" i="351"/>
  <c r="N96" i="351" s="1"/>
  <c r="M34" i="351"/>
  <c r="M96" i="351" s="1"/>
  <c r="L34" i="351"/>
  <c r="L96" i="351" s="1"/>
  <c r="K34" i="351"/>
  <c r="K96" i="351" s="1"/>
  <c r="J34" i="351"/>
  <c r="J96" i="351" s="1"/>
  <c r="I34" i="351"/>
  <c r="I96" i="351" s="1"/>
  <c r="H34" i="351"/>
  <c r="H96" i="351" s="1"/>
  <c r="G34" i="351"/>
  <c r="G96" i="351" s="1"/>
  <c r="C34" i="351"/>
  <c r="B34" i="351"/>
  <c r="AH33" i="351"/>
  <c r="AG33" i="351"/>
  <c r="AF33" i="351"/>
  <c r="AI32" i="351"/>
  <c r="AC31" i="351"/>
  <c r="AC93" i="351" s="1"/>
  <c r="AB31" i="351"/>
  <c r="AB93" i="351" s="1"/>
  <c r="AA31" i="351"/>
  <c r="AA93" i="351" s="1"/>
  <c r="Z31" i="351"/>
  <c r="Z93" i="351" s="1"/>
  <c r="Y31" i="351"/>
  <c r="Y93" i="351" s="1"/>
  <c r="X31" i="351"/>
  <c r="X93" i="351" s="1"/>
  <c r="W31" i="351"/>
  <c r="W93" i="351" s="1"/>
  <c r="V31" i="351"/>
  <c r="V93" i="351" s="1"/>
  <c r="U31" i="351"/>
  <c r="U93" i="351" s="1"/>
  <c r="T31" i="351"/>
  <c r="T93" i="351" s="1"/>
  <c r="S31" i="351"/>
  <c r="S93" i="351" s="1"/>
  <c r="R31" i="351"/>
  <c r="R93" i="351" s="1"/>
  <c r="Q31" i="351"/>
  <c r="Q93" i="351" s="1"/>
  <c r="P31" i="351"/>
  <c r="P93" i="351" s="1"/>
  <c r="O31" i="351"/>
  <c r="O93" i="351" s="1"/>
  <c r="N31" i="351"/>
  <c r="N93" i="351" s="1"/>
  <c r="M31" i="351"/>
  <c r="M93" i="351" s="1"/>
  <c r="L31" i="351"/>
  <c r="L93" i="351" s="1"/>
  <c r="K31" i="351"/>
  <c r="K93" i="351" s="1"/>
  <c r="J31" i="351"/>
  <c r="J93" i="351" s="1"/>
  <c r="I31" i="351"/>
  <c r="I93" i="351" s="1"/>
  <c r="H31" i="351"/>
  <c r="H93" i="351" s="1"/>
  <c r="G31" i="351"/>
  <c r="G93" i="351" s="1"/>
  <c r="C31" i="351"/>
  <c r="B31" i="351"/>
  <c r="AI28" i="351"/>
  <c r="AH28" i="351"/>
  <c r="AG28" i="351"/>
  <c r="AF28" i="351"/>
  <c r="AH27" i="351"/>
  <c r="AG27" i="351"/>
  <c r="AF27" i="351"/>
  <c r="AI26" i="351"/>
  <c r="AC25" i="351"/>
  <c r="AB25" i="351"/>
  <c r="AA25" i="351"/>
  <c r="Z25" i="351"/>
  <c r="Y25" i="351"/>
  <c r="X25" i="351"/>
  <c r="W25" i="351"/>
  <c r="V25" i="351"/>
  <c r="U25" i="351"/>
  <c r="T25" i="351"/>
  <c r="S25" i="351"/>
  <c r="R25" i="351"/>
  <c r="Q25" i="351"/>
  <c r="P25" i="351"/>
  <c r="O25" i="351"/>
  <c r="N25" i="351"/>
  <c r="M25" i="351"/>
  <c r="L25" i="351"/>
  <c r="K25" i="351"/>
  <c r="J25" i="351"/>
  <c r="I25" i="351"/>
  <c r="H25" i="351"/>
  <c r="G25" i="351"/>
  <c r="C25" i="351"/>
  <c r="AH24" i="351"/>
  <c r="AG24" i="351"/>
  <c r="AF24" i="351"/>
  <c r="AI23" i="351"/>
  <c r="AC22" i="351"/>
  <c r="AB22" i="351"/>
  <c r="AA22" i="351"/>
  <c r="Z22" i="351"/>
  <c r="Y22" i="351"/>
  <c r="X22" i="351"/>
  <c r="W22" i="351"/>
  <c r="V22" i="351"/>
  <c r="U22" i="351"/>
  <c r="T22" i="351"/>
  <c r="S22" i="351"/>
  <c r="R22" i="351"/>
  <c r="Q22" i="351"/>
  <c r="P22" i="351"/>
  <c r="O22" i="351"/>
  <c r="N22" i="351"/>
  <c r="M22" i="351"/>
  <c r="L22" i="351"/>
  <c r="K22" i="351"/>
  <c r="J22" i="351"/>
  <c r="I22" i="351"/>
  <c r="H22" i="351"/>
  <c r="G22" i="351"/>
  <c r="C22" i="351"/>
  <c r="B22" i="351"/>
  <c r="B83" i="351" s="1"/>
  <c r="AH21" i="351"/>
  <c r="AG21" i="351"/>
  <c r="AF21" i="351"/>
  <c r="AH20" i="351"/>
  <c r="AG20" i="351"/>
  <c r="AF20" i="351"/>
  <c r="AH19" i="351"/>
  <c r="AG19" i="351"/>
  <c r="AF19" i="351"/>
  <c r="AI18" i="351"/>
  <c r="AC17" i="351"/>
  <c r="AC91" i="351" s="1"/>
  <c r="AB17" i="351"/>
  <c r="AA17" i="351"/>
  <c r="AA91" i="351" s="1"/>
  <c r="Z17" i="351"/>
  <c r="Z91" i="351" s="1"/>
  <c r="Y17" i="351"/>
  <c r="X17" i="351"/>
  <c r="X91" i="351" s="1"/>
  <c r="W17" i="351"/>
  <c r="V17" i="351"/>
  <c r="V91" i="351" s="1"/>
  <c r="U17" i="351"/>
  <c r="U91" i="351" s="1"/>
  <c r="T17" i="351"/>
  <c r="T91" i="351" s="1"/>
  <c r="S17" i="351"/>
  <c r="S91" i="351" s="1"/>
  <c r="R17" i="351"/>
  <c r="Q17" i="351"/>
  <c r="Q91" i="351" s="1"/>
  <c r="P17" i="351"/>
  <c r="O17" i="351"/>
  <c r="O91" i="351" s="1"/>
  <c r="N17" i="351"/>
  <c r="M17" i="351"/>
  <c r="L17" i="351"/>
  <c r="L91" i="351" s="1"/>
  <c r="K17" i="351"/>
  <c r="K91" i="351" s="1"/>
  <c r="J17" i="351"/>
  <c r="J91" i="351" s="1"/>
  <c r="J109" i="351" s="1"/>
  <c r="I17" i="351"/>
  <c r="I91" i="351" s="1"/>
  <c r="H17" i="351"/>
  <c r="H91" i="351" s="1"/>
  <c r="G17" i="351"/>
  <c r="G91" i="351" s="1"/>
  <c r="C17" i="351"/>
  <c r="C83" i="351" s="1"/>
  <c r="B17" i="351"/>
  <c r="AH16" i="351"/>
  <c r="AG16" i="351"/>
  <c r="AF16" i="351"/>
  <c r="AH15" i="351"/>
  <c r="AG15" i="351"/>
  <c r="AF15" i="351"/>
  <c r="AH14" i="351"/>
  <c r="AG14" i="351"/>
  <c r="AF14" i="351"/>
  <c r="AH13" i="351"/>
  <c r="AG13" i="351"/>
  <c r="AF13" i="351"/>
  <c r="AI12" i="351"/>
  <c r="M9" i="351" a="1"/>
  <c r="M9" i="351" s="1"/>
  <c r="Z109" i="351" l="1"/>
  <c r="P110" i="351"/>
  <c r="AC109" i="351"/>
  <c r="Z89" i="351"/>
  <c r="Z103" i="351" s="1"/>
  <c r="Z108" i="351" s="1"/>
  <c r="Y89" i="351"/>
  <c r="U109" i="351"/>
  <c r="P89" i="351"/>
  <c r="N110" i="351"/>
  <c r="H65" i="351"/>
  <c r="K65" i="351"/>
  <c r="K99" i="351" s="1"/>
  <c r="I65" i="351"/>
  <c r="I109" i="351"/>
  <c r="G65" i="351"/>
  <c r="G83" i="351" s="1"/>
  <c r="AI61" i="351"/>
  <c r="F99" i="351"/>
  <c r="V109" i="351"/>
  <c r="X109" i="351"/>
  <c r="AA109" i="351"/>
  <c r="H109" i="351"/>
  <c r="Y83" i="351"/>
  <c r="K109" i="351"/>
  <c r="Y91" i="351"/>
  <c r="Y109" i="351" s="1"/>
  <c r="K110" i="351"/>
  <c r="AA110" i="351"/>
  <c r="S89" i="351"/>
  <c r="S103" i="351" s="1"/>
  <c r="S108" i="351" s="1"/>
  <c r="J110" i="351"/>
  <c r="O110" i="351"/>
  <c r="T110" i="351"/>
  <c r="K89" i="351"/>
  <c r="G109" i="351"/>
  <c r="W83" i="351"/>
  <c r="Z83" i="351"/>
  <c r="AB83" i="351"/>
  <c r="I83" i="351"/>
  <c r="L110" i="351"/>
  <c r="Q110" i="351"/>
  <c r="R110" i="351"/>
  <c r="U110" i="351"/>
  <c r="R83" i="351"/>
  <c r="V89" i="351"/>
  <c r="V103" i="351" s="1"/>
  <c r="V108" i="351" s="1"/>
  <c r="M89" i="351"/>
  <c r="AA83" i="351"/>
  <c r="M110" i="351"/>
  <c r="AB89" i="351"/>
  <c r="AB91" i="351"/>
  <c r="AB109" i="351" s="1"/>
  <c r="AC89" i="351"/>
  <c r="L89" i="351"/>
  <c r="S109" i="351"/>
  <c r="W89" i="351"/>
  <c r="N89" i="351"/>
  <c r="V83" i="351"/>
  <c r="H83" i="351"/>
  <c r="W91" i="351"/>
  <c r="W109" i="351" s="1"/>
  <c r="G110" i="351"/>
  <c r="H89" i="351"/>
  <c r="N83" i="351"/>
  <c r="I89" i="351"/>
  <c r="T109" i="351"/>
  <c r="X89" i="351"/>
  <c r="X103" i="351" s="1"/>
  <c r="X108" i="351" s="1"/>
  <c r="O89" i="351"/>
  <c r="O103" i="351" s="1"/>
  <c r="O108" i="351" s="1"/>
  <c r="F91" i="351"/>
  <c r="F109" i="351" s="1"/>
  <c r="L109" i="351"/>
  <c r="O109" i="351"/>
  <c r="Q109" i="351"/>
  <c r="AF63" i="351"/>
  <c r="AG63" i="351"/>
  <c r="S110" i="351"/>
  <c r="S83" i="351"/>
  <c r="V110" i="351"/>
  <c r="AG48" i="351"/>
  <c r="T83" i="351"/>
  <c r="W110" i="351"/>
  <c r="AH48" i="351"/>
  <c r="AF56" i="351"/>
  <c r="L60" i="351"/>
  <c r="U83" i="351"/>
  <c r="X110" i="351"/>
  <c r="AI36" i="351"/>
  <c r="AG56" i="351"/>
  <c r="Q89" i="351"/>
  <c r="Q103" i="351" s="1"/>
  <c r="Q108" i="351" s="1"/>
  <c r="M91" i="351"/>
  <c r="M109" i="351" s="1"/>
  <c r="Y110" i="351"/>
  <c r="R89" i="351"/>
  <c r="N91" i="351"/>
  <c r="N109" i="351" s="1"/>
  <c r="F110" i="351"/>
  <c r="Z110" i="351"/>
  <c r="AF62" i="351"/>
  <c r="AA89" i="351"/>
  <c r="AA103" i="351" s="1"/>
  <c r="AA108" i="351" s="1"/>
  <c r="J89" i="351"/>
  <c r="P60" i="351"/>
  <c r="T89" i="351"/>
  <c r="T103" i="351" s="1"/>
  <c r="T108" i="351" s="1"/>
  <c r="P91" i="351"/>
  <c r="P109" i="351" s="1"/>
  <c r="H110" i="351"/>
  <c r="AB110" i="351"/>
  <c r="G89" i="351"/>
  <c r="Q83" i="351"/>
  <c r="U89" i="351"/>
  <c r="U103" i="351" s="1"/>
  <c r="U108" i="351" s="1"/>
  <c r="I110" i="351"/>
  <c r="AC110" i="351"/>
  <c r="X83" i="351"/>
  <c r="AF40" i="351"/>
  <c r="O83" i="351"/>
  <c r="AC65" i="351"/>
  <c r="AC99" i="351" s="1"/>
  <c r="J65" i="351"/>
  <c r="J99" i="351" s="1"/>
  <c r="R91" i="351"/>
  <c r="R109" i="351" s="1"/>
  <c r="AG64" i="351"/>
  <c r="AG62" i="351"/>
  <c r="M83" i="351"/>
  <c r="AG40" i="351"/>
  <c r="AH62" i="351"/>
  <c r="AF64" i="351"/>
  <c r="K83" i="351" l="1"/>
  <c r="F103" i="351"/>
  <c r="F108" i="351" s="1"/>
  <c r="AC103" i="351"/>
  <c r="AC108" i="351" s="1"/>
  <c r="AC83" i="351"/>
  <c r="AB103" i="351"/>
  <c r="AB108" i="351" s="1"/>
  <c r="Y103" i="351"/>
  <c r="Y108" i="351" s="1"/>
  <c r="N103" i="351"/>
  <c r="N108" i="351" s="1"/>
  <c r="H99" i="351"/>
  <c r="H103" i="351" s="1"/>
  <c r="H108" i="351" s="1"/>
  <c r="J103" i="351"/>
  <c r="J108" i="351" s="1"/>
  <c r="I99" i="351"/>
  <c r="I103" i="351" s="1"/>
  <c r="I108" i="351" s="1"/>
  <c r="G99" i="351"/>
  <c r="G103" i="351" s="1"/>
  <c r="G108" i="351" s="1"/>
  <c r="P98" i="351"/>
  <c r="P103" i="351" s="1"/>
  <c r="P108" i="351" s="1"/>
  <c r="J83" i="351"/>
  <c r="W103" i="351"/>
  <c r="W108" i="351" s="1"/>
  <c r="AF86" i="351"/>
  <c r="K103" i="351"/>
  <c r="K108" i="351" s="1"/>
  <c r="P83" i="351"/>
  <c r="L98" i="351"/>
  <c r="L103" i="351" s="1"/>
  <c r="L108" i="351" s="1"/>
  <c r="L83" i="351"/>
  <c r="M103" i="351"/>
  <c r="M108" i="351" s="1"/>
  <c r="R103" i="351"/>
  <c r="R108" i="351" s="1"/>
  <c r="AC501" i="79" l="1"/>
  <c r="AB501" i="79"/>
  <c r="R5" i="260" a="1"/>
  <c r="R20" i="260" a="1"/>
  <c r="R6" i="260" a="1"/>
  <c r="R7" i="260" a="1"/>
  <c r="R10" i="260" a="1"/>
  <c r="R28" i="260" a="1"/>
  <c r="R19" i="260" a="1"/>
  <c r="R8" i="260" a="1"/>
  <c r="R26" i="260" a="1"/>
  <c r="R21" i="260" a="1"/>
  <c r="R11" i="260" a="1"/>
  <c r="R12" i="260" a="1"/>
  <c r="R22" i="260" a="1"/>
  <c r="R16" i="260" a="1"/>
  <c r="R24" i="260" a="1"/>
  <c r="R14" i="260" a="1"/>
  <c r="R15" i="260" a="1"/>
  <c r="R18" i="260" a="1"/>
  <c r="R23" i="260" a="1"/>
  <c r="R25" i="260" a="1"/>
  <c r="R27" i="260" a="1"/>
  <c r="R13" i="260" a="1"/>
  <c r="R17" i="260" a="1"/>
  <c r="R9" i="260" a="1"/>
  <c r="R16" i="260" l="1"/>
  <c r="R9" i="260"/>
  <c r="R19" i="260"/>
  <c r="R10" i="260"/>
  <c r="R24" i="260"/>
  <c r="R11" i="260"/>
  <c r="R6" i="260"/>
  <c r="R26" i="260"/>
  <c r="R15" i="260"/>
  <c r="R20" i="260"/>
  <c r="R5" i="260"/>
  <c r="R13" i="260"/>
  <c r="R23" i="260"/>
  <c r="R18" i="260"/>
  <c r="R27" i="260"/>
  <c r="R12" i="260"/>
  <c r="R14" i="260"/>
  <c r="R21" i="260"/>
  <c r="R28" i="260"/>
  <c r="R22" i="260"/>
  <c r="R25" i="260"/>
  <c r="R7" i="260"/>
  <c r="R8" i="260"/>
  <c r="R17" i="260"/>
  <c r="AZ27" i="260" a="1"/>
  <c r="AZ12" i="260" a="1"/>
  <c r="AZ17" i="260" a="1"/>
  <c r="AZ18" i="260" a="1"/>
  <c r="AZ22" i="260" a="1"/>
  <c r="AZ7" i="260" a="1"/>
  <c r="AZ11" i="260" a="1"/>
  <c r="AZ23" i="260" a="1"/>
  <c r="AZ13" i="260" a="1"/>
  <c r="AZ15" i="260" a="1"/>
  <c r="AZ6" i="260" a="1"/>
  <c r="AZ24" i="260" a="1"/>
  <c r="AZ14" i="260" a="1"/>
  <c r="AZ20" i="260" a="1"/>
  <c r="AZ19" i="260" a="1"/>
  <c r="AZ25" i="260" a="1"/>
  <c r="AZ9" i="260" a="1"/>
  <c r="AZ10" i="260" a="1"/>
  <c r="AZ28" i="260" a="1"/>
  <c r="AZ26" i="260" a="1"/>
  <c r="AZ8" i="260" a="1"/>
  <c r="AZ5" i="260" a="1"/>
  <c r="AZ16" i="260" a="1"/>
  <c r="AZ21" i="260" a="1"/>
  <c r="AZ5" i="260" l="1"/>
  <c r="AZ15" i="260"/>
  <c r="AZ14" i="260"/>
  <c r="AZ13" i="260"/>
  <c r="AZ10" i="260"/>
  <c r="AZ25" i="260"/>
  <c r="AZ24" i="260"/>
  <c r="AZ23" i="260"/>
  <c r="AZ22" i="260"/>
  <c r="AZ21" i="260"/>
  <c r="AZ20" i="260"/>
  <c r="AZ9" i="260"/>
  <c r="AZ18" i="260"/>
  <c r="AZ8" i="260"/>
  <c r="AZ12" i="260"/>
  <c r="AZ11" i="260"/>
  <c r="AZ19" i="260"/>
  <c r="AZ28" i="260"/>
  <c r="AZ27" i="260"/>
  <c r="AZ17" i="260"/>
  <c r="AZ7" i="260"/>
  <c r="AZ26" i="260"/>
  <c r="AZ16" i="260"/>
  <c r="AZ6" i="260"/>
  <c r="G23" i="299" l="1"/>
  <c r="G22" i="299"/>
  <c r="G21" i="299"/>
  <c r="G20" i="299"/>
  <c r="G19" i="299"/>
  <c r="G18" i="299"/>
  <c r="G17" i="299"/>
  <c r="G16" i="299"/>
  <c r="G15" i="299"/>
  <c r="G14" i="299"/>
  <c r="G13" i="299"/>
  <c r="G12" i="299"/>
  <c r="G11" i="299"/>
  <c r="G10" i="299"/>
  <c r="G9" i="299"/>
  <c r="P18" i="299" l="1"/>
  <c r="G8" i="299"/>
  <c r="G3" i="299"/>
  <c r="G4" i="299"/>
  <c r="G5" i="299"/>
  <c r="G6" i="299"/>
  <c r="G7" i="299"/>
  <c r="G2" i="299"/>
  <c r="A7" i="79"/>
  <c r="A10" i="79" s="1"/>
  <c r="A13" i="79" s="1"/>
  <c r="A8" i="79"/>
  <c r="A11" i="79" s="1"/>
  <c r="A14" i="79" s="1"/>
  <c r="A20" i="79" s="1"/>
  <c r="C20" i="79" s="1"/>
  <c r="G19" i="254"/>
  <c r="G18" i="254"/>
  <c r="G17" i="254"/>
  <c r="G16" i="254"/>
  <c r="G15" i="254"/>
  <c r="G14" i="254"/>
  <c r="G8" i="254"/>
  <c r="G5" i="254"/>
  <c r="G4" i="254"/>
  <c r="G3" i="254"/>
  <c r="G6" i="254"/>
  <c r="G2" i="254"/>
  <c r="G9" i="254"/>
  <c r="A1" i="260"/>
  <c r="G13" i="254"/>
  <c r="G12" i="254"/>
  <c r="G11" i="254"/>
  <c r="G10" i="254"/>
  <c r="G7" i="254"/>
  <c r="AB30" i="253"/>
  <c r="H36" i="253"/>
  <c r="D36" i="253"/>
  <c r="E36" i="253" s="1"/>
  <c r="V36" i="253"/>
  <c r="H25" i="253"/>
  <c r="D25" i="253"/>
  <c r="V25" i="253" s="1"/>
  <c r="H17" i="253"/>
  <c r="E17" i="253"/>
  <c r="D17" i="253"/>
  <c r="V17" i="253" s="1"/>
  <c r="H9" i="253"/>
  <c r="AI5" i="253"/>
  <c r="AI3" i="253"/>
  <c r="G21" i="226"/>
  <c r="G20" i="226"/>
  <c r="G19" i="226"/>
  <c r="G18" i="226"/>
  <c r="T37" i="251"/>
  <c r="H37" i="251"/>
  <c r="D37" i="251"/>
  <c r="E37" i="251"/>
  <c r="H25" i="251"/>
  <c r="D25" i="251"/>
  <c r="T25" i="251"/>
  <c r="T17" i="251"/>
  <c r="H17" i="251"/>
  <c r="E17" i="251"/>
  <c r="D17" i="251"/>
  <c r="T9" i="251"/>
  <c r="H9" i="251"/>
  <c r="E9" i="251"/>
  <c r="D9" i="251"/>
  <c r="AG5" i="251"/>
  <c r="AG3" i="251"/>
  <c r="I37" i="251" s="1"/>
  <c r="G27" i="254"/>
  <c r="G28" i="254"/>
  <c r="V9" i="253"/>
  <c r="G22" i="226"/>
  <c r="G17" i="226"/>
  <c r="G11" i="226"/>
  <c r="G12" i="226"/>
  <c r="G13" i="226"/>
  <c r="G14" i="226"/>
  <c r="G15" i="226"/>
  <c r="G16" i="226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D22" i="105"/>
  <c r="D9" i="105"/>
  <c r="D10" i="105"/>
  <c r="D8" i="105"/>
  <c r="G10" i="226"/>
  <c r="G9" i="226"/>
  <c r="G8" i="226"/>
  <c r="G7" i="226"/>
  <c r="G6" i="226"/>
  <c r="D3" i="105"/>
  <c r="D32" i="105"/>
  <c r="G5" i="226"/>
  <c r="G4" i="226"/>
  <c r="E2" i="105" a="1"/>
  <c r="E2" i="105" s="1"/>
  <c r="D2" i="105"/>
  <c r="D27" i="105"/>
  <c r="D11" i="105"/>
  <c r="D6" i="105"/>
  <c r="C6" i="105"/>
  <c r="G3" i="226"/>
  <c r="G2" i="226"/>
  <c r="G23" i="226"/>
  <c r="G24" i="226"/>
  <c r="D4" i="105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22" i="105"/>
  <c r="H9" i="102"/>
  <c r="E9" i="102"/>
  <c r="C40" i="105"/>
  <c r="C23" i="105"/>
  <c r="C12" i="105"/>
  <c r="C19" i="105"/>
  <c r="C27" i="105"/>
  <c r="C21" i="105"/>
  <c r="C26" i="105"/>
  <c r="C5" i="105"/>
  <c r="C45" i="105"/>
  <c r="C10" i="105"/>
  <c r="C34" i="105"/>
  <c r="C8" i="105"/>
  <c r="C3" i="105"/>
  <c r="P8" i="137"/>
  <c r="C2" i="105"/>
  <c r="C30" i="105"/>
  <c r="C11" i="105"/>
  <c r="B2" i="105"/>
  <c r="C42" i="105"/>
  <c r="C16" i="105"/>
  <c r="C43" i="105"/>
  <c r="P2" i="137"/>
  <c r="P7" i="137"/>
  <c r="P6" i="137"/>
  <c r="P5" i="137"/>
  <c r="P4" i="137"/>
  <c r="P3" i="137"/>
  <c r="Q32" i="137"/>
  <c r="Q31" i="137"/>
  <c r="G9" i="137"/>
  <c r="P17" i="137"/>
  <c r="P18" i="137"/>
  <c r="P19" i="137"/>
  <c r="G8" i="137"/>
  <c r="G7" i="137"/>
  <c r="H32" i="137"/>
  <c r="H31" i="137"/>
  <c r="G6" i="137"/>
  <c r="G5" i="137"/>
  <c r="G4" i="137"/>
  <c r="AG3" i="102"/>
  <c r="G3" i="137"/>
  <c r="G2" i="137"/>
  <c r="G17" i="137"/>
  <c r="AG5" i="102"/>
  <c r="C10" i="156"/>
  <c r="D10" i="156"/>
  <c r="B10" i="156"/>
  <c r="C8" i="156"/>
  <c r="D8" i="156"/>
  <c r="B8" i="156"/>
  <c r="G18" i="137"/>
  <c r="G19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D9" i="102"/>
  <c r="T9" i="102"/>
  <c r="A19" i="79"/>
  <c r="A21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9" i="253" l="1"/>
  <c r="A23" i="79"/>
  <c r="C21" i="79"/>
  <c r="C19" i="79"/>
  <c r="A22" i="79"/>
  <c r="C9" i="105"/>
  <c r="G27" i="299"/>
  <c r="G28" i="299" s="1"/>
  <c r="I36" i="253"/>
  <c r="I25" i="253"/>
  <c r="I9" i="251"/>
  <c r="I17" i="253"/>
  <c r="I25" i="251"/>
  <c r="I17" i="251"/>
  <c r="I17" i="102"/>
  <c r="I36" i="102"/>
  <c r="I25" i="102"/>
  <c r="I9" i="102"/>
  <c r="A24" i="79" l="1"/>
  <c r="C22" i="79"/>
  <c r="A25" i="79"/>
  <c r="C23" i="79"/>
  <c r="A27" i="79" l="1"/>
  <c r="C25" i="79"/>
  <c r="C24" i="79"/>
  <c r="A26" i="79"/>
  <c r="A29" i="79" l="1"/>
  <c r="C27" i="79"/>
  <c r="A28" i="79"/>
  <c r="C26" i="79"/>
  <c r="C28" i="79" l="1"/>
  <c r="A30" i="79"/>
  <c r="A31" i="79"/>
  <c r="C29" i="79"/>
  <c r="C31" i="79" l="1"/>
  <c r="A33" i="79"/>
  <c r="A32" i="79"/>
  <c r="C30" i="79"/>
  <c r="C32" i="79" l="1"/>
  <c r="A34" i="79"/>
  <c r="C33" i="79"/>
  <c r="A35" i="79"/>
  <c r="A37" i="79" l="1"/>
  <c r="C35" i="79"/>
  <c r="A36" i="79"/>
  <c r="C34" i="79"/>
  <c r="A39" i="79" l="1"/>
  <c r="C37" i="79"/>
  <c r="A38" i="79"/>
  <c r="C36" i="79"/>
  <c r="A40" i="79" l="1"/>
  <c r="C38" i="79"/>
  <c r="A41" i="79"/>
  <c r="C39" i="79"/>
  <c r="C41" i="79" l="1"/>
  <c r="A43" i="79"/>
  <c r="C40" i="79"/>
  <c r="A42" i="79"/>
  <c r="A44" i="79" l="1"/>
  <c r="C42" i="79"/>
  <c r="A45" i="79"/>
  <c r="C43" i="79"/>
  <c r="C45" i="79" l="1"/>
  <c r="A47" i="79"/>
  <c r="C44" i="79"/>
  <c r="A46" i="79"/>
  <c r="A48" i="79" l="1"/>
  <c r="C46" i="79"/>
  <c r="A49" i="79"/>
  <c r="C47" i="79"/>
  <c r="A51" i="79" l="1"/>
  <c r="C49" i="79"/>
  <c r="A50" i="79"/>
  <c r="C48" i="79"/>
  <c r="A52" i="79" l="1"/>
  <c r="C50" i="79"/>
  <c r="A53" i="79"/>
  <c r="C51" i="79"/>
  <c r="A55" i="79" l="1"/>
  <c r="C53" i="79"/>
  <c r="C52" i="79"/>
  <c r="A54" i="79"/>
  <c r="C54" i="79" l="1"/>
  <c r="A56" i="79"/>
  <c r="C55" i="79"/>
  <c r="A57" i="79"/>
  <c r="C56" i="79" l="1"/>
  <c r="A58" i="79"/>
  <c r="C57" i="79"/>
  <c r="A59" i="79"/>
  <c r="C59" i="79" l="1"/>
  <c r="A62" i="79"/>
  <c r="A60" i="79"/>
  <c r="C58" i="79"/>
  <c r="C60" i="79" l="1"/>
  <c r="A63" i="79"/>
  <c r="C62" i="79"/>
  <c r="A64" i="79"/>
  <c r="A66" i="79" l="1"/>
  <c r="C64" i="79"/>
  <c r="A65" i="79"/>
  <c r="C63" i="79"/>
  <c r="A67" i="79" l="1"/>
  <c r="C65" i="79"/>
  <c r="C66" i="79"/>
  <c r="A68" i="79"/>
  <c r="C68" i="79" l="1"/>
  <c r="A70" i="79"/>
  <c r="C67" i="79"/>
  <c r="A69" i="79"/>
  <c r="A71" i="79" l="1"/>
  <c r="C69" i="79"/>
  <c r="C70" i="79"/>
  <c r="A72" i="79"/>
  <c r="A74" i="79" l="1"/>
  <c r="C72" i="79"/>
  <c r="A73" i="79"/>
  <c r="C71" i="79"/>
  <c r="C73" i="79" l="1"/>
  <c r="A75" i="79"/>
  <c r="A76" i="79"/>
  <c r="C74" i="79"/>
  <c r="A77" i="79" l="1"/>
  <c r="C75" i="79"/>
  <c r="C76" i="79"/>
  <c r="A78" i="79"/>
  <c r="C78" i="79" l="1"/>
  <c r="A80" i="79"/>
  <c r="C77" i="79"/>
  <c r="A79" i="79"/>
  <c r="A81" i="79" l="1"/>
  <c r="C79" i="79"/>
  <c r="A82" i="79"/>
  <c r="C80" i="79"/>
  <c r="A84" i="79" l="1"/>
  <c r="C82" i="79"/>
  <c r="C81" i="79"/>
  <c r="A83" i="79"/>
  <c r="A85" i="79" l="1"/>
  <c r="C83" i="79"/>
  <c r="A86" i="79"/>
  <c r="C84" i="79"/>
  <c r="C86" i="79" l="1"/>
  <c r="A88" i="79"/>
  <c r="C85" i="79"/>
  <c r="A87" i="79"/>
  <c r="C87" i="79" l="1"/>
  <c r="A89" i="79"/>
  <c r="C88" i="79"/>
  <c r="A90" i="79"/>
  <c r="A92" i="79" l="1"/>
  <c r="C90" i="79"/>
  <c r="C89" i="79"/>
  <c r="A91" i="79"/>
  <c r="A93" i="79" l="1"/>
  <c r="C91" i="79"/>
  <c r="A94" i="79"/>
  <c r="C92" i="79"/>
  <c r="A96" i="79" l="1"/>
  <c r="C94" i="79"/>
  <c r="A95" i="79"/>
  <c r="C93" i="79"/>
  <c r="A97" i="79" l="1"/>
  <c r="C95" i="79"/>
  <c r="C96" i="79"/>
  <c r="A98" i="79"/>
  <c r="A100" i="79" l="1"/>
  <c r="C98" i="79"/>
  <c r="C97" i="79"/>
  <c r="A99" i="79"/>
  <c r="A101" i="79" l="1"/>
  <c r="C99" i="79"/>
  <c r="A102" i="79"/>
  <c r="C100" i="79"/>
  <c r="A104" i="79" l="1"/>
  <c r="C102" i="79"/>
  <c r="A103" i="79"/>
  <c r="C101" i="79"/>
  <c r="A105" i="79" l="1"/>
  <c r="C103" i="79"/>
  <c r="C104" i="79"/>
  <c r="A106" i="79"/>
  <c r="C106" i="79" l="1"/>
  <c r="A108" i="79"/>
  <c r="C105" i="79"/>
  <c r="A107" i="79"/>
  <c r="C107" i="79" l="1"/>
  <c r="A109" i="79"/>
  <c r="A110" i="79"/>
  <c r="C108" i="79"/>
  <c r="C110" i="79" l="1"/>
  <c r="A112" i="79"/>
  <c r="C109" i="79"/>
  <c r="A111" i="79"/>
  <c r="A114" i="79" l="1"/>
  <c r="C112" i="79"/>
  <c r="C111" i="79"/>
  <c r="A113" i="79"/>
  <c r="C113" i="79" l="1"/>
  <c r="A115" i="79"/>
  <c r="C114" i="79"/>
  <c r="A116" i="79"/>
  <c r="C115" i="79" l="1"/>
  <c r="A117" i="79"/>
  <c r="C116" i="79"/>
  <c r="A118" i="79"/>
  <c r="C118" i="79" l="1"/>
  <c r="A120" i="79"/>
  <c r="C117" i="79"/>
  <c r="A119" i="79"/>
  <c r="A122" i="79" l="1"/>
  <c r="C120" i="79"/>
  <c r="A121" i="79"/>
  <c r="C119" i="79"/>
  <c r="A123" i="79" l="1"/>
  <c r="C121" i="79"/>
  <c r="C122" i="79"/>
  <c r="A125" i="79"/>
  <c r="C125" i="79" l="1"/>
  <c r="A127" i="79"/>
  <c r="A126" i="79"/>
  <c r="C123" i="79"/>
  <c r="C126" i="79" l="1"/>
  <c r="A128" i="79"/>
  <c r="C127" i="79"/>
  <c r="A129" i="79"/>
  <c r="A131" i="79" l="1"/>
  <c r="C129" i="79"/>
  <c r="C128" i="79"/>
  <c r="A130" i="79"/>
  <c r="C130" i="79" l="1"/>
  <c r="A132" i="79"/>
  <c r="A133" i="79"/>
  <c r="C131" i="79"/>
  <c r="C133" i="79" l="1"/>
  <c r="A135" i="79"/>
  <c r="A134" i="79"/>
  <c r="C132" i="79"/>
  <c r="A136" i="79" l="1"/>
  <c r="C134" i="79"/>
  <c r="A137" i="79"/>
  <c r="C135" i="79"/>
  <c r="A139" i="79" l="1"/>
  <c r="C137" i="79"/>
  <c r="A138" i="79"/>
  <c r="C136" i="79"/>
  <c r="C138" i="79" l="1"/>
  <c r="A140" i="79"/>
  <c r="A141" i="79"/>
  <c r="C139" i="79"/>
  <c r="C141" i="79" l="1"/>
  <c r="A143" i="79"/>
  <c r="C140" i="79"/>
  <c r="A142" i="79"/>
  <c r="A144" i="79" l="1"/>
  <c r="C142" i="79"/>
  <c r="C143" i="79"/>
  <c r="A145" i="79"/>
  <c r="C145" i="79" l="1"/>
  <c r="A147" i="79"/>
  <c r="A146" i="79"/>
  <c r="C144" i="79"/>
  <c r="A148" i="79" l="1"/>
  <c r="C146" i="79"/>
  <c r="A149" i="79"/>
  <c r="C147" i="79"/>
  <c r="C149" i="79" l="1"/>
  <c r="A151" i="79"/>
  <c r="C148" i="79"/>
  <c r="A150" i="79"/>
  <c r="C150" i="79" l="1"/>
  <c r="A152" i="79"/>
  <c r="A153" i="79"/>
  <c r="C151" i="79"/>
  <c r="C153" i="79" l="1"/>
  <c r="A155" i="79"/>
  <c r="A154" i="79"/>
  <c r="C152" i="79"/>
  <c r="A156" i="79" l="1"/>
  <c r="C154" i="79"/>
  <c r="C155" i="79"/>
  <c r="A157" i="79"/>
  <c r="C157" i="79" l="1"/>
  <c r="A159" i="79"/>
  <c r="A158" i="79"/>
  <c r="C156" i="79"/>
  <c r="C158" i="79" l="1"/>
  <c r="A160" i="79"/>
  <c r="A161" i="79"/>
  <c r="C159" i="79"/>
  <c r="C161" i="79" l="1"/>
  <c r="A163" i="79"/>
  <c r="A162" i="79"/>
  <c r="C160" i="79"/>
  <c r="C162" i="79" l="1"/>
  <c r="A164" i="79"/>
  <c r="A165" i="79"/>
  <c r="C163" i="79"/>
  <c r="A167" i="79" l="1"/>
  <c r="C165" i="79"/>
  <c r="A166" i="79"/>
  <c r="C164" i="79"/>
  <c r="A168" i="79" l="1"/>
  <c r="C166" i="79"/>
  <c r="C167" i="79"/>
  <c r="A169" i="79"/>
  <c r="C169" i="79" l="1"/>
  <c r="A171" i="79"/>
  <c r="A170" i="79"/>
  <c r="C168" i="79"/>
  <c r="C170" i="79" l="1"/>
  <c r="A172" i="79"/>
  <c r="A173" i="79"/>
  <c r="C171" i="79"/>
  <c r="C173" i="79" l="1"/>
  <c r="A175" i="79"/>
  <c r="C172" i="79"/>
  <c r="A174" i="79"/>
  <c r="A177" i="79" l="1"/>
  <c r="C175" i="79"/>
  <c r="A176" i="79"/>
  <c r="C174" i="79"/>
  <c r="A178" i="79" l="1"/>
  <c r="C176" i="79"/>
  <c r="C177" i="79"/>
  <c r="A179" i="79"/>
  <c r="A181" i="79" l="1"/>
  <c r="C179" i="79"/>
  <c r="C178" i="79"/>
  <c r="A180" i="79"/>
  <c r="A182" i="79" l="1"/>
  <c r="C180" i="79"/>
  <c r="C181" i="79"/>
  <c r="A183" i="79"/>
  <c r="A186" i="79" s="1"/>
  <c r="C186" i="79" l="1"/>
  <c r="A188" i="79"/>
  <c r="C183" i="79"/>
  <c r="A184" i="79"/>
  <c r="A187" i="79" s="1"/>
  <c r="C182" i="79"/>
  <c r="C187" i="79" l="1"/>
  <c r="A189" i="79"/>
  <c r="C188" i="79"/>
  <c r="A190" i="79"/>
  <c r="C184" i="79"/>
  <c r="A192" i="79" l="1"/>
  <c r="C190" i="79"/>
  <c r="C189" i="79"/>
  <c r="A191" i="79"/>
  <c r="A193" i="79" l="1"/>
  <c r="C191" i="79"/>
  <c r="C192" i="79"/>
  <c r="A194" i="79"/>
  <c r="A196" i="79" l="1"/>
  <c r="C194" i="79"/>
  <c r="A195" i="79"/>
  <c r="C193" i="79"/>
  <c r="A197" i="79" l="1"/>
  <c r="C195" i="79"/>
  <c r="C196" i="79"/>
  <c r="A198" i="79"/>
  <c r="A200" i="79" l="1"/>
  <c r="C198" i="79"/>
  <c r="C197" i="79"/>
  <c r="A199" i="79"/>
  <c r="C199" i="79" l="1"/>
  <c r="A201" i="79"/>
  <c r="C200" i="79"/>
  <c r="A202" i="79"/>
  <c r="C202" i="79" l="1"/>
  <c r="A204" i="79"/>
  <c r="C201" i="79"/>
  <c r="A203" i="79"/>
  <c r="A205" i="79" l="1"/>
  <c r="C203" i="79"/>
  <c r="A206" i="79"/>
  <c r="C204" i="79"/>
  <c r="A208" i="79" l="1"/>
  <c r="C206" i="79"/>
  <c r="A207" i="79"/>
  <c r="C205" i="79"/>
  <c r="C207" i="79" l="1"/>
  <c r="A209" i="79"/>
  <c r="C208" i="79"/>
  <c r="A210" i="79"/>
  <c r="C210" i="79" l="1"/>
  <c r="A212" i="79"/>
  <c r="C209" i="79"/>
  <c r="A211" i="79"/>
  <c r="C211" i="79" l="1"/>
  <c r="A213" i="79"/>
  <c r="C212" i="79"/>
  <c r="A214" i="79"/>
  <c r="A216" i="79" l="1"/>
  <c r="C214" i="79"/>
  <c r="A215" i="79"/>
  <c r="C213" i="79"/>
  <c r="A217" i="79" l="1"/>
  <c r="C215" i="79"/>
  <c r="A218" i="79"/>
  <c r="C216" i="79"/>
  <c r="A220" i="79" l="1"/>
  <c r="C218" i="79"/>
  <c r="C217" i="79"/>
  <c r="A219" i="79"/>
  <c r="C219" i="79" l="1"/>
  <c r="A221" i="79"/>
  <c r="A222" i="79"/>
  <c r="C220" i="79"/>
  <c r="C222" i="79" l="1"/>
  <c r="A224" i="79"/>
  <c r="C221" i="79"/>
  <c r="A223" i="79"/>
  <c r="C223" i="79" l="1"/>
  <c r="A225" i="79"/>
  <c r="A226" i="79"/>
  <c r="C224" i="79"/>
  <c r="A228" i="79" l="1"/>
  <c r="C226" i="79"/>
  <c r="A227" i="79"/>
  <c r="C225" i="79"/>
  <c r="A229" i="79" l="1"/>
  <c r="C227" i="79"/>
  <c r="C228" i="79"/>
  <c r="A230" i="79"/>
  <c r="C230" i="79" l="1"/>
  <c r="A232" i="79"/>
  <c r="A231" i="79"/>
  <c r="C229" i="79"/>
  <c r="C231" i="79" l="1"/>
  <c r="A233" i="79"/>
  <c r="C232" i="79"/>
  <c r="A234" i="79"/>
  <c r="A235" i="79" l="1"/>
  <c r="C233" i="79"/>
  <c r="A236" i="79"/>
  <c r="C234" i="79"/>
  <c r="A238" i="79" l="1"/>
  <c r="C236" i="79"/>
  <c r="A237" i="79"/>
  <c r="C235" i="79"/>
  <c r="C237" i="79" l="1"/>
  <c r="A239" i="79"/>
  <c r="C238" i="79"/>
  <c r="A240" i="79"/>
  <c r="A242" i="79" l="1"/>
  <c r="C240" i="79"/>
  <c r="C239" i="79"/>
  <c r="A241" i="79"/>
  <c r="C241" i="79" l="1"/>
  <c r="A243" i="79"/>
  <c r="C242" i="79"/>
  <c r="A244" i="79"/>
  <c r="A246" i="79" l="1"/>
  <c r="C244" i="79"/>
  <c r="C243" i="79"/>
  <c r="A245" i="79"/>
  <c r="A247" i="79" l="1"/>
  <c r="C245" i="79"/>
  <c r="A249" i="79"/>
  <c r="C246" i="79"/>
  <c r="A251" i="79" l="1"/>
  <c r="C249" i="79"/>
  <c r="A250" i="79"/>
  <c r="C247" i="79"/>
  <c r="C250" i="79" l="1"/>
  <c r="A252" i="79"/>
  <c r="C251" i="79"/>
  <c r="A253" i="79"/>
  <c r="C253" i="79" l="1"/>
  <c r="A255" i="79"/>
  <c r="C252" i="79"/>
  <c r="A254" i="79"/>
  <c r="A256" i="79" l="1"/>
  <c r="C254" i="79"/>
  <c r="A257" i="79"/>
  <c r="C255" i="79"/>
  <c r="C257" i="79" l="1"/>
  <c r="A259" i="79"/>
  <c r="A258" i="79"/>
  <c r="C256" i="79"/>
  <c r="C258" i="79" l="1"/>
  <c r="A260" i="79"/>
  <c r="C259" i="79"/>
  <c r="A261" i="79"/>
  <c r="M36" i="177" a="1"/>
  <c r="C53" i="177" a="1"/>
  <c r="P30" i="177" a="1"/>
  <c r="W49" i="177" a="1"/>
  <c r="T35" i="177" a="1"/>
  <c r="O47" i="177" a="1"/>
  <c r="V6" i="260" a="1"/>
  <c r="H41" i="177" a="1"/>
  <c r="AV25" i="260" a="1"/>
  <c r="H38" i="177" a="1"/>
  <c r="R61" i="177" a="1"/>
  <c r="W38" i="177" a="1"/>
  <c r="J11" i="177" a="1"/>
  <c r="H21" i="177" a="1"/>
  <c r="D48" i="177" a="1"/>
  <c r="S49" i="177" a="1"/>
  <c r="R55" i="177" a="1"/>
  <c r="BM24" i="260" a="1"/>
  <c r="E44" i="177" a="1"/>
  <c r="J65" i="177" a="1"/>
  <c r="R43" i="177" a="1"/>
  <c r="O63" i="177" a="1"/>
  <c r="N14" i="260" a="1"/>
  <c r="C38" i="177" a="1"/>
  <c r="K33" i="177" a="1"/>
  <c r="N20" i="260" a="1"/>
  <c r="S33" i="177" a="1"/>
  <c r="V45" i="177" a="1"/>
  <c r="W23" i="177" a="1"/>
  <c r="BQ25" i="260" a="1"/>
  <c r="Z12" i="260" a="1"/>
  <c r="X42" i="177" a="1"/>
  <c r="J56" i="177" a="1"/>
  <c r="N53" i="177" a="1"/>
  <c r="I51" i="177" a="1"/>
  <c r="J40" i="177" a="1"/>
  <c r="S42" i="177" a="1"/>
  <c r="T32" i="177" a="1"/>
  <c r="M46" i="177" a="1"/>
  <c r="N13" i="177" a="1"/>
  <c r="P11" i="177" a="1"/>
  <c r="R12" i="177" a="1"/>
  <c r="AN15" i="260" a="1"/>
  <c r="AV19" i="260" a="1"/>
  <c r="AQ21" i="260" a="1"/>
  <c r="I46" i="177" a="1"/>
  <c r="C42" i="177" a="1"/>
  <c r="W42" i="177" a="1"/>
  <c r="G47" i="177" a="1"/>
  <c r="Z9" i="260" a="1"/>
  <c r="R25" i="177" a="1"/>
  <c r="U21" i="251" a="1"/>
  <c r="AN12" i="260" a="1"/>
  <c r="AD19" i="260" a="1"/>
  <c r="BU16" i="260" a="1"/>
  <c r="X5" i="177" a="1"/>
  <c r="C60" i="177" a="1"/>
  <c r="N17" i="260" a="1"/>
  <c r="K3" i="177" a="1"/>
  <c r="O37" i="177" a="1"/>
  <c r="AV5" i="260" a="1"/>
  <c r="Q26" i="177" a="1"/>
  <c r="X40" i="177" a="1"/>
  <c r="K4" i="177" a="1"/>
  <c r="BJ28" i="260" a="1"/>
  <c r="Y44" i="177" a="1"/>
  <c r="D52" i="177" a="1"/>
  <c r="Q52" i="177" a="1"/>
  <c r="BQ20" i="260" a="1"/>
  <c r="AN20" i="260" a="1"/>
  <c r="J42" i="177" a="1"/>
  <c r="Q48" i="177" a="1"/>
  <c r="BU13" i="260" a="1"/>
  <c r="R33" i="177" a="1"/>
  <c r="K44" i="177" a="1"/>
  <c r="V8" i="260" a="1"/>
  <c r="O42" i="177" a="1"/>
  <c r="H11" i="177" a="1"/>
  <c r="BQ12" i="260" a="1"/>
  <c r="H22" i="177" a="1"/>
  <c r="O9" i="177" a="1"/>
  <c r="E5" i="177" a="1"/>
  <c r="BM27" i="260" a="1"/>
  <c r="AV14" i="260" a="1"/>
  <c r="G29" i="177" a="1"/>
  <c r="N11" i="260" a="1"/>
  <c r="AH15" i="260" a="1"/>
  <c r="Q9" i="177" a="1"/>
  <c r="BM8" i="260" a="1"/>
  <c r="L16" i="177" a="1"/>
  <c r="C64" i="177" a="1"/>
  <c r="L39" i="177" a="1"/>
  <c r="BJ14" i="260" a="1"/>
  <c r="Z51" i="177" a="1"/>
  <c r="H51" i="177" a="1"/>
  <c r="AD27" i="260" a="1"/>
  <c r="BQ27" i="260" a="1"/>
  <c r="E41" i="177" a="1"/>
  <c r="W16" i="177" a="1"/>
  <c r="BF27" i="260" a="1"/>
  <c r="BJ8" i="260" a="1"/>
  <c r="E12" i="177" a="1"/>
  <c r="V12" i="177" a="1"/>
  <c r="G37" i="177" a="1"/>
  <c r="J14" i="260" a="1"/>
  <c r="U24" i="177" a="1"/>
  <c r="X31" i="177" a="1"/>
  <c r="Q32" i="177" a="1"/>
  <c r="Y58" i="177" a="1"/>
  <c r="G53" i="177" a="1"/>
  <c r="X25" i="177" a="1"/>
  <c r="C5" i="177" a="1"/>
  <c r="F54" i="177" a="1"/>
  <c r="G22" i="260" a="1"/>
  <c r="H4" i="177" a="1"/>
  <c r="W45" i="177" a="1"/>
  <c r="X55" i="177" a="1"/>
  <c r="L44" i="177" a="1"/>
  <c r="N58" i="177" a="1"/>
  <c r="AV20" i="260" a="1"/>
  <c r="G8" i="260" a="1"/>
  <c r="Z19" i="260" a="1"/>
  <c r="Z11" i="177" a="1"/>
  <c r="W6" i="177" a="1"/>
  <c r="AV6" i="260" a="1"/>
  <c r="R16" i="177" a="1"/>
  <c r="G25" i="260" a="1"/>
  <c r="C12" i="177" a="1"/>
  <c r="U52" i="177" a="1"/>
  <c r="K54" i="177" a="1"/>
  <c r="AQ7" i="260" a="1"/>
  <c r="E17" i="177" a="1"/>
  <c r="BU17" i="260" a="1"/>
  <c r="AD15" i="260" a="1"/>
  <c r="L47" i="177" a="1"/>
  <c r="E57" i="177" a="1"/>
  <c r="E22" i="177" a="1"/>
  <c r="N26" i="260" a="1"/>
  <c r="Z47" i="177" a="1"/>
  <c r="BJ19" i="260" a="1"/>
  <c r="M56" i="177" a="1"/>
  <c r="R54" i="177" a="1"/>
  <c r="BJ25" i="260" a="1"/>
  <c r="G8" i="177" a="1"/>
  <c r="T27" i="177" a="1"/>
  <c r="Z17" i="177" a="1"/>
  <c r="W29" i="177" a="1"/>
  <c r="W31" i="253" a="1"/>
  <c r="M59" i="177" a="1"/>
  <c r="Y57" i="177" a="1"/>
  <c r="N20" i="177" a="1"/>
  <c r="L20" i="177" a="1"/>
  <c r="I31" i="177" a="1"/>
  <c r="H5" i="177" a="1"/>
  <c r="M37" i="177" a="1"/>
  <c r="Z56" i="177" a="1"/>
  <c r="U28" i="251" a="1"/>
  <c r="L30" i="177" a="1"/>
  <c r="E35" i="177" a="1"/>
  <c r="H56" i="177" a="1"/>
  <c r="E9" i="177" a="1"/>
  <c r="Q10" i="177" a="1"/>
  <c r="AV24" i="260" a="1"/>
  <c r="G6" i="177" a="1"/>
  <c r="BQ7" i="260" a="1"/>
  <c r="O19" i="177" a="1"/>
  <c r="N6" i="177" a="1"/>
  <c r="Z38" i="177" a="1"/>
  <c r="O21" i="177" a="1"/>
  <c r="X63" i="177" a="1"/>
  <c r="O60" i="177" a="1"/>
  <c r="BU22" i="260" a="1"/>
  <c r="F53" i="177" a="1"/>
  <c r="H42" i="177" a="1"/>
  <c r="V6" i="177" a="1"/>
  <c r="U8" i="177" a="1"/>
  <c r="J17" i="177" a="1"/>
  <c r="S16" i="177" a="1"/>
  <c r="Z3" i="177" a="1"/>
  <c r="T51" i="177" a="1"/>
  <c r="X54" i="177" a="1"/>
  <c r="I53" i="177" a="1"/>
  <c r="BF10" i="260" a="1"/>
  <c r="J28" i="260" a="1"/>
  <c r="O36" i="177" a="1"/>
  <c r="Q22" i="177" a="1"/>
  <c r="T61" i="177" a="1"/>
  <c r="AQ10" i="260" a="1"/>
  <c r="S4" i="177" a="1"/>
  <c r="Q41" i="177" a="1"/>
  <c r="E39" i="177" a="1"/>
  <c r="W28" i="253" a="1"/>
  <c r="F40" i="177" a="1"/>
  <c r="AH5" i="260" a="1"/>
  <c r="G50" i="177" a="1"/>
  <c r="O48" i="177" a="1"/>
  <c r="L15" i="177" a="1"/>
  <c r="V48" i="177" a="1"/>
  <c r="P6" i="177" a="1"/>
  <c r="L61" i="177" a="1"/>
  <c r="T63" i="177" a="1"/>
  <c r="F47" i="177" a="1"/>
  <c r="F28" i="177" a="1"/>
  <c r="BJ26" i="260" a="1"/>
  <c r="R47" i="177" a="1"/>
  <c r="X6" i="177" a="1"/>
  <c r="G63" i="177" a="1"/>
  <c r="H58" i="177" a="1"/>
  <c r="BM21" i="260" a="1"/>
  <c r="AN13" i="260" a="1"/>
  <c r="X45" i="177" a="1"/>
  <c r="F14" i="177" a="1"/>
  <c r="S28" i="177" a="1"/>
  <c r="AH25" i="260" a="1"/>
  <c r="V28" i="260" a="1"/>
  <c r="D15" i="177" a="1"/>
  <c r="C23" i="177" a="1"/>
  <c r="O62" i="177" a="1"/>
  <c r="AH27" i="260" a="1"/>
  <c r="Q30" i="177" a="1"/>
  <c r="K29" i="177" a="1"/>
  <c r="M12" i="177" a="1"/>
  <c r="AV26" i="260" a="1"/>
  <c r="W20" i="177" a="1"/>
  <c r="P18" i="177" a="1"/>
  <c r="P59" i="177" a="1"/>
  <c r="G18" i="177" a="1"/>
  <c r="BF8" i="260" a="1"/>
  <c r="J21" i="260" a="1"/>
  <c r="W29" i="253" a="1"/>
  <c r="J19" i="260" a="1"/>
  <c r="O46" i="177" a="1"/>
  <c r="D14" i="177" a="1"/>
  <c r="M16" i="177" a="1"/>
  <c r="J13" i="177" a="1"/>
  <c r="M50" i="177" a="1"/>
  <c r="J64" i="177" a="1"/>
  <c r="N15" i="260" a="1"/>
  <c r="M54" i="177" a="1"/>
  <c r="T65" i="177" a="1"/>
  <c r="N7" i="177" a="1"/>
  <c r="AV11" i="260" a="1"/>
  <c r="T16" i="177" a="1"/>
  <c r="Z35" i="177" a="1"/>
  <c r="G12" i="177" a="1"/>
  <c r="P4" i="177" a="1"/>
  <c r="G28" i="177" a="1"/>
  <c r="X60" i="177" a="1"/>
  <c r="Z5" i="260" a="1"/>
  <c r="H65" i="177" a="1"/>
  <c r="Q27" i="177" a="1"/>
  <c r="W28" i="177" a="1"/>
  <c r="Q5" i="177" a="1"/>
  <c r="I7" i="177" a="1"/>
  <c r="V9" i="260" a="1"/>
  <c r="AH8" i="260" a="1"/>
  <c r="AN27" i="260" a="1"/>
  <c r="F12" i="177" a="1"/>
  <c r="N40" i="177" a="1"/>
  <c r="R11" i="177" a="1"/>
  <c r="O8" i="177" a="1"/>
  <c r="L24" i="177" a="1"/>
  <c r="K13" i="177" a="1"/>
  <c r="W8" i="177" a="1"/>
  <c r="J15" i="177" a="1"/>
  <c r="I20" i="177" a="1"/>
  <c r="S63" i="177" a="1"/>
  <c r="K10" i="177" a="1"/>
  <c r="C11" i="177" a="1"/>
  <c r="J47" i="177" a="1"/>
  <c r="N24" i="260" a="1"/>
  <c r="Z26" i="177" a="1"/>
  <c r="K11" i="177" a="1"/>
  <c r="R29" i="177" a="1"/>
  <c r="C41" i="177" a="1"/>
  <c r="Q24" i="177" a="1"/>
  <c r="D60" i="177" a="1"/>
  <c r="M18" i="177" a="1"/>
  <c r="C27" i="177" a="1"/>
  <c r="W65" i="177" a="1"/>
  <c r="Z14" i="177" a="1"/>
  <c r="H48" i="177" a="1"/>
  <c r="J11" i="260" a="1"/>
  <c r="P37" i="177" a="1"/>
  <c r="F61" i="177" a="1"/>
  <c r="G23" i="260" a="1"/>
  <c r="P14" i="177" a="1"/>
  <c r="X12" i="177" a="1"/>
  <c r="V47" i="177" a="1"/>
  <c r="M5" i="177" a="1"/>
  <c r="T29" i="177" a="1"/>
  <c r="AV16" i="260" a="1"/>
  <c r="Z23" i="177" a="1"/>
  <c r="W62" i="177" a="1"/>
  <c r="G27" i="177" a="1"/>
  <c r="J6" i="260" a="1"/>
  <c r="C19" i="177" a="1"/>
  <c r="AV27" i="260" a="1"/>
  <c r="M52" i="177" a="1"/>
  <c r="G48" i="177" a="1"/>
  <c r="J26" i="177" a="1"/>
  <c r="M45" i="177" a="1"/>
  <c r="D58" i="177" a="1"/>
  <c r="W9" i="177" a="1"/>
  <c r="U51" i="177" a="1"/>
  <c r="AQ12" i="260" a="1"/>
  <c r="C45" i="177" a="1"/>
  <c r="U31" i="102" a="1"/>
  <c r="Q39" i="177" a="1"/>
  <c r="E10" i="177" a="1"/>
  <c r="M6" i="177" a="1"/>
  <c r="N16" i="260" a="1"/>
  <c r="G26" i="260" a="1"/>
  <c r="U10" i="177" a="1"/>
  <c r="Q43" i="177" a="1"/>
  <c r="G55" i="177" a="1"/>
  <c r="K5" i="177" a="1"/>
  <c r="F64" i="177" a="1"/>
  <c r="I37" i="177" a="1"/>
  <c r="C32" i="177" a="1"/>
  <c r="P17" i="177" a="1"/>
  <c r="Q17" i="177" a="1"/>
  <c r="S47" i="177" a="1"/>
  <c r="I61" i="177" a="1"/>
  <c r="V13" i="177" a="1"/>
  <c r="U40" i="251" a="1"/>
  <c r="X48" i="177" a="1"/>
  <c r="E20" i="177" a="1"/>
  <c r="Z46" i="177" a="1"/>
  <c r="U41" i="177" a="1"/>
  <c r="W27" i="177" a="1"/>
  <c r="O58" i="177" a="1"/>
  <c r="AQ22" i="260" a="1"/>
  <c r="BJ21" i="260" a="1"/>
  <c r="K36" i="177" a="1"/>
  <c r="U63" i="177" a="1"/>
  <c r="L42" i="177" a="1"/>
  <c r="G24" i="177" a="1"/>
  <c r="M43" i="177" a="1"/>
  <c r="Y39" i="177" a="1"/>
  <c r="Y10" i="177" a="1"/>
  <c r="J46" i="177" a="1"/>
  <c r="Q3" i="177" a="1"/>
  <c r="I42" i="177" a="1"/>
  <c r="I47" i="177" a="1"/>
  <c r="BF7" i="260" a="1"/>
  <c r="V25" i="260" a="1"/>
  <c r="P54" i="177" a="1"/>
  <c r="I58" i="177" a="1"/>
  <c r="AD14" i="260" a="1"/>
  <c r="N22" i="260" a="1"/>
  <c r="AH12" i="260" a="1"/>
  <c r="BU5" i="260" a="1"/>
  <c r="G21" i="260" a="1"/>
  <c r="K22" i="177" a="1"/>
  <c r="T22" i="177" a="1"/>
  <c r="F8" i="177" a="1"/>
  <c r="J44" i="177" a="1"/>
  <c r="R23" i="177" a="1"/>
  <c r="F9" i="177" a="1"/>
  <c r="S52" i="177" a="1"/>
  <c r="AQ28" i="260" a="1"/>
  <c r="H47" i="177" a="1"/>
  <c r="Q7" i="177" a="1"/>
  <c r="L56" i="177" a="1"/>
  <c r="G36" i="177" a="1"/>
  <c r="Q53" i="177" a="1"/>
  <c r="G57" i="177" a="1"/>
  <c r="L59" i="177" a="1"/>
  <c r="W30" i="177" a="1"/>
  <c r="K57" i="177" a="1"/>
  <c r="Z10" i="177" a="1"/>
  <c r="D46" i="177" a="1"/>
  <c r="O20" i="177" a="1"/>
  <c r="M32" i="177" a="1"/>
  <c r="L6" i="177" a="1"/>
  <c r="U54" i="177" a="1"/>
  <c r="U32" i="177" a="1"/>
  <c r="AV21" i="260" a="1"/>
  <c r="Q35" i="177" a="1"/>
  <c r="D65" i="177" a="1"/>
  <c r="BJ23" i="260" a="1"/>
  <c r="C62" i="177" a="1"/>
  <c r="V52" i="177" a="1"/>
  <c r="R44" i="177" a="1"/>
  <c r="Y29" i="177" a="1"/>
  <c r="P64" i="177" a="1"/>
  <c r="N62" i="177" a="1"/>
  <c r="X58" i="177" a="1"/>
  <c r="G13" i="177" a="1"/>
  <c r="AN21" i="260" a="1"/>
  <c r="O7" i="177" a="1"/>
  <c r="D12" i="177" a="1"/>
  <c r="Z25" i="177" a="1"/>
  <c r="W63" i="177" a="1"/>
  <c r="W47" i="177" a="1"/>
  <c r="AV28" i="260" a="1"/>
  <c r="AH7" i="260" a="1"/>
  <c r="C58" i="177" a="1"/>
  <c r="D63" i="177" a="1"/>
  <c r="U22" i="177" a="1"/>
  <c r="E43" i="177" a="1"/>
  <c r="U36" i="177" a="1"/>
  <c r="Q37" i="177" a="1"/>
  <c r="G35" i="177" a="1"/>
  <c r="G19" i="260" a="1"/>
  <c r="H15" i="177" a="1"/>
  <c r="M25" i="177" a="1"/>
  <c r="BQ17" i="260" a="1"/>
  <c r="W26" i="177" a="1"/>
  <c r="K19" i="177" a="1"/>
  <c r="F45" i="177" a="1"/>
  <c r="AQ24" i="260" a="1"/>
  <c r="U33" i="177" a="1"/>
  <c r="L8" i="177" a="1"/>
  <c r="AH18" i="260" a="1"/>
  <c r="G52" i="177" a="1"/>
  <c r="R36" i="177" a="1"/>
  <c r="X22" i="177" a="1"/>
  <c r="Q60" i="177" a="1"/>
  <c r="BU25" i="260" a="1"/>
  <c r="T49" i="177" a="1"/>
  <c r="E40" i="177" a="1"/>
  <c r="Z21" i="260" a="1"/>
  <c r="G10" i="177" a="1"/>
  <c r="C46" i="177" a="1"/>
  <c r="F18" i="177" a="1"/>
  <c r="X62" i="177" a="1"/>
  <c r="J25" i="260" a="1"/>
  <c r="K56" i="177" a="1"/>
  <c r="BJ6" i="260" a="1"/>
  <c r="BU10" i="260" a="1"/>
  <c r="F21" i="177" a="1"/>
  <c r="V8" i="177" a="1"/>
  <c r="X53" i="177" a="1"/>
  <c r="J4" i="177" a="1"/>
  <c r="R4" i="177" a="1"/>
  <c r="H63" i="177" a="1"/>
  <c r="D23" i="177" a="1"/>
  <c r="BU20" i="260" a="1"/>
  <c r="D49" i="177" a="1"/>
  <c r="Z58" i="177" a="1"/>
  <c r="S60" i="177" a="1"/>
  <c r="AV23" i="260" a="1"/>
  <c r="N27" i="177" a="1"/>
  <c r="BM25" i="260" a="1"/>
  <c r="L65" i="177" a="1"/>
  <c r="T38" i="177" a="1"/>
  <c r="H55" i="177" a="1"/>
  <c r="J51" i="177" a="1"/>
  <c r="X17" i="177" a="1"/>
  <c r="D5" i="177" a="1"/>
  <c r="O32" i="177" a="1"/>
  <c r="D22" i="177" a="1"/>
  <c r="Y35" i="177" a="1"/>
  <c r="V53" i="177" a="1"/>
  <c r="V61" i="177" a="1"/>
  <c r="F65" i="177" a="1"/>
  <c r="T10" i="177" a="1"/>
  <c r="H9" i="177" a="1"/>
  <c r="R3" i="177" a="1"/>
  <c r="I22" i="177" a="1"/>
  <c r="E46" i="177" a="1"/>
  <c r="AV12" i="260" a="1"/>
  <c r="Y14" i="177" a="1"/>
  <c r="V5" i="260" a="1"/>
  <c r="Y23" i="177" a="1"/>
  <c r="L12" i="177" a="1"/>
  <c r="L32" i="177" a="1"/>
  <c r="K14" i="177" a="1"/>
  <c r="D31" i="177" a="1"/>
  <c r="J35" i="177" a="1"/>
  <c r="U65" i="177" a="1"/>
  <c r="K50" i="177" a="1"/>
  <c r="D29" i="177" a="1"/>
  <c r="O26" i="177" a="1"/>
  <c r="X16" i="177" a="1"/>
  <c r="O10" i="177" a="1"/>
  <c r="AV15" i="260" a="1"/>
  <c r="Q29" i="177" a="1"/>
  <c r="AQ17" i="260" a="1"/>
  <c r="X56" i="177" a="1"/>
  <c r="J19" i="177" a="1"/>
  <c r="H12" i="177" a="1"/>
  <c r="Y30" i="177" a="1"/>
  <c r="U45" i="177" a="1"/>
  <c r="H62" i="177" a="1"/>
  <c r="Z28" i="177" a="1"/>
  <c r="J8" i="260" a="1"/>
  <c r="F52" i="177" a="1"/>
  <c r="D8" i="177" a="1"/>
  <c r="X50" i="177" a="1"/>
  <c r="I50" i="177" a="1"/>
  <c r="BU6" i="260" a="1"/>
  <c r="BU23" i="260" a="1"/>
  <c r="G54" i="177" a="1"/>
  <c r="D53" i="177" a="1"/>
  <c r="H50" i="177" a="1"/>
  <c r="N27" i="260" a="1"/>
  <c r="T54" i="177" a="1"/>
  <c r="Q51" i="177" a="1"/>
  <c r="V13" i="260" a="1"/>
  <c r="BM6" i="260" a="1"/>
  <c r="V32" i="177" a="1"/>
  <c r="N28" i="177" a="1"/>
  <c r="G30" i="177" a="1"/>
  <c r="R39" i="177" a="1"/>
  <c r="J23" i="177" a="1"/>
  <c r="W41" i="177" a="1"/>
  <c r="Z32" i="177" a="1"/>
  <c r="X49" i="177" a="1"/>
  <c r="U38" i="177" a="1"/>
  <c r="K51" i="177" a="1"/>
  <c r="W61" i="177" a="1"/>
  <c r="K20" i="177" a="1"/>
  <c r="Z22" i="260" a="1"/>
  <c r="N43" i="177" a="1"/>
  <c r="Z20" i="260" a="1"/>
  <c r="M10" i="177" a="1"/>
  <c r="X65" i="177" a="1"/>
  <c r="G44" i="177" a="1"/>
  <c r="Y3" i="177" a="1"/>
  <c r="S31" i="177" a="1"/>
  <c r="E30" i="177" a="1"/>
  <c r="J8" i="177" a="1"/>
  <c r="AQ9" i="260" a="1"/>
  <c r="X10" i="177" a="1"/>
  <c r="P27" i="177" a="1"/>
  <c r="C25" i="177" a="1"/>
  <c r="K45" i="177" a="1"/>
  <c r="BJ27" i="260" a="1"/>
  <c r="I62" i="177" a="1"/>
  <c r="C29" i="177" a="1"/>
  <c r="Y7" i="177" a="1"/>
  <c r="J61" i="177" a="1"/>
  <c r="N32" i="177" a="1"/>
  <c r="I44" i="177" a="1"/>
  <c r="F30" i="177" a="1"/>
  <c r="Q8" i="177" a="1"/>
  <c r="BF14" i="260" a="1"/>
  <c r="AH23" i="260" a="1"/>
  <c r="M62" i="177" a="1"/>
  <c r="D32" i="177" a="1"/>
  <c r="K47" i="177" a="1"/>
  <c r="J13" i="260" a="1"/>
  <c r="X11" i="177" a="1"/>
  <c r="BM11" i="260" a="1"/>
  <c r="AN14" i="260" a="1"/>
  <c r="Z17" i="260" a="1"/>
  <c r="N11" i="177" a="1"/>
  <c r="Z29" i="177" a="1"/>
  <c r="Y52" i="177" a="1"/>
  <c r="L49" i="177" a="1"/>
  <c r="C16" i="177" a="1"/>
  <c r="T21" i="177" a="1"/>
  <c r="V23" i="177" a="1"/>
  <c r="C63" i="177" a="1"/>
  <c r="J26" i="260" a="1"/>
  <c r="G41" i="177" a="1"/>
  <c r="G64" i="177" a="1"/>
  <c r="BM18" i="260" a="1"/>
  <c r="Q16" i="177" a="1"/>
  <c r="AQ8" i="260" a="1"/>
  <c r="S11" i="177" a="1"/>
  <c r="S65" i="177" a="1"/>
  <c r="BQ5" i="260" a="1"/>
  <c r="Q62" i="177" a="1"/>
  <c r="S32" i="177" a="1"/>
  <c r="Q49" i="177" a="1"/>
  <c r="H57" i="177" a="1"/>
  <c r="S29" i="177" a="1"/>
  <c r="Y28" i="177" a="1"/>
  <c r="Y42" i="177" a="1"/>
  <c r="U29" i="177" a="1"/>
  <c r="F39" i="177" a="1"/>
  <c r="K37" i="177" a="1"/>
  <c r="AN17" i="260" a="1"/>
  <c r="K25" i="177" a="1"/>
  <c r="P38" i="177" a="1"/>
  <c r="N5" i="260" a="1"/>
  <c r="W46" i="177" a="1"/>
  <c r="U20" i="251" a="1"/>
  <c r="S21" i="177" a="1"/>
  <c r="G17" i="260" a="1"/>
  <c r="F37" i="177" a="1"/>
  <c r="AD17" i="260" a="1"/>
  <c r="BQ19" i="260" a="1"/>
  <c r="K30" i="177" a="1"/>
  <c r="I41" i="177" a="1"/>
  <c r="T58" i="177" a="1"/>
  <c r="Z25" i="260" a="1"/>
  <c r="N8" i="260" a="1"/>
  <c r="W40" i="253" a="1"/>
  <c r="Z45" i="177" a="1"/>
  <c r="BQ14" i="260" a="1"/>
  <c r="J55" i="177" a="1"/>
  <c r="R27" i="177" a="1"/>
  <c r="V46" i="177" a="1"/>
  <c r="I48" i="177" a="1"/>
  <c r="J57" i="177" a="1"/>
  <c r="G51" i="177" a="1"/>
  <c r="Q15" i="177" a="1"/>
  <c r="U35" i="177" a="1"/>
  <c r="V9" i="177" a="1"/>
  <c r="BM28" i="260" a="1"/>
  <c r="AN8" i="260" a="1"/>
  <c r="M44" i="177" a="1"/>
  <c r="U61" i="177" a="1"/>
  <c r="U20" i="102" a="1"/>
  <c r="C4" i="177" a="1"/>
  <c r="D25" i="177" a="1"/>
  <c r="H24" i="177" a="1"/>
  <c r="J24" i="260" a="1"/>
  <c r="G21" i="177" a="1"/>
  <c r="K65" i="177" a="1"/>
  <c r="N48" i="177" a="1"/>
  <c r="Z40" i="177" a="1"/>
  <c r="H32" i="177" a="1"/>
  <c r="K28" i="177" a="1"/>
  <c r="N25" i="177" a="1"/>
  <c r="V26" i="177" a="1"/>
  <c r="I65" i="177" a="1"/>
  <c r="T7" i="177" a="1"/>
  <c r="H10" i="177" a="1"/>
  <c r="P31" i="177" a="1"/>
  <c r="H7" i="177" a="1"/>
  <c r="O35" i="177" a="1"/>
  <c r="I33" i="177" a="1"/>
  <c r="R13" i="177" a="1"/>
  <c r="I56" i="177" a="1"/>
  <c r="F50" i="177" a="1"/>
  <c r="AQ6" i="260" a="1"/>
  <c r="Z18" i="177" a="1"/>
  <c r="L28" i="177" a="1"/>
  <c r="S38" i="177" a="1"/>
  <c r="AV18" i="260" a="1"/>
  <c r="O25" i="177" a="1"/>
  <c r="C13" i="177" a="1"/>
  <c r="N10" i="177" a="1"/>
  <c r="N9" i="260" a="1"/>
  <c r="O33" i="177" a="1"/>
  <c r="S64" i="177" a="1"/>
  <c r="T13" i="177" a="1"/>
  <c r="W42" i="253" a="1"/>
  <c r="BM16" i="260" a="1"/>
  <c r="H49" i="177" a="1"/>
  <c r="C51" i="177" a="1"/>
  <c r="S24" i="177" a="1"/>
  <c r="L37" i="177" a="1"/>
  <c r="I21" i="177" a="1"/>
  <c r="Y45" i="177" a="1"/>
  <c r="E42" i="177" a="1"/>
  <c r="AH10" i="260" a="1"/>
  <c r="I11" i="177" a="1"/>
  <c r="P13" i="177" a="1"/>
  <c r="P61" i="177" a="1"/>
  <c r="V41" i="177" a="1"/>
  <c r="L11" i="177" a="1"/>
  <c r="C54" i="177" a="1"/>
  <c r="AN28" i="260" a="1"/>
  <c r="G49" i="177" a="1"/>
  <c r="V51" i="177" a="1"/>
  <c r="D16" i="177" a="1"/>
  <c r="G16" i="260" a="1"/>
  <c r="F36" i="177" a="1"/>
  <c r="K27" i="177" a="1"/>
  <c r="BF11" i="260" a="1"/>
  <c r="R15" i="177" a="1"/>
  <c r="C15" i="177" a="1"/>
  <c r="S54" i="177" a="1"/>
  <c r="V55" i="177" a="1"/>
  <c r="Z12" i="177" a="1"/>
  <c r="H37" i="177" a="1"/>
  <c r="Z27" i="177" a="1"/>
  <c r="L18" i="177" a="1"/>
  <c r="S55" i="177" a="1"/>
  <c r="R40" i="177" a="1"/>
  <c r="BF22" i="260" a="1"/>
  <c r="E14" i="177" a="1"/>
  <c r="P28" i="177" a="1"/>
  <c r="T18" i="177" a="1"/>
  <c r="J10" i="177" a="1"/>
  <c r="J52" i="177" a="1"/>
  <c r="E32" i="177" a="1"/>
  <c r="N31" i="177" a="1"/>
  <c r="T56" i="177" a="1"/>
  <c r="W64" i="177" a="1"/>
  <c r="E47" i="177" a="1"/>
  <c r="AH11" i="260" a="1"/>
  <c r="X39" i="177" a="1"/>
  <c r="L48" i="177" a="1"/>
  <c r="S22" i="177" a="1"/>
  <c r="G14" i="260" a="1"/>
  <c r="N54" i="177" a="1"/>
  <c r="Q18" i="177" a="1"/>
  <c r="T60" i="177" a="1"/>
  <c r="S50" i="177" a="1"/>
  <c r="D18" i="177" a="1"/>
  <c r="V40" i="177" a="1"/>
  <c r="J62" i="177" a="1"/>
  <c r="BF19" i="260" a="1"/>
  <c r="G20" i="260" a="1"/>
  <c r="P36" i="177" a="1"/>
  <c r="L4" i="177" a="1"/>
  <c r="F13" i="177" a="1"/>
  <c r="AQ16" i="260" a="1"/>
  <c r="R5" i="177" a="1"/>
  <c r="H53" i="177" a="1"/>
  <c r="AV8" i="260" a="1"/>
  <c r="H64" i="177" a="1"/>
  <c r="W7" i="177" a="1"/>
  <c r="T50" i="177" a="1"/>
  <c r="Z41" i="177" a="1"/>
  <c r="J6" i="177" a="1"/>
  <c r="N64" i="177" a="1"/>
  <c r="W51" i="177" a="1"/>
  <c r="N59" i="177" a="1"/>
  <c r="M65" i="177" a="1"/>
  <c r="BF21" i="260" a="1"/>
  <c r="BQ6" i="260" a="1"/>
  <c r="I59" i="177" a="1"/>
  <c r="T42" i="177" a="1"/>
  <c r="U12" i="177" a="1"/>
  <c r="Y60" i="177" a="1"/>
  <c r="F10" i="177" a="1"/>
  <c r="Q14" i="177" a="1"/>
  <c r="Y18" i="177" a="1"/>
  <c r="Z50" i="177" a="1"/>
  <c r="C18" i="177" a="1"/>
  <c r="U14" i="177" a="1"/>
  <c r="O52" i="177" a="1"/>
  <c r="N33" i="177" a="1"/>
  <c r="R28" i="177" a="1"/>
  <c r="W19" i="177" a="1"/>
  <c r="D56" i="177" a="1"/>
  <c r="C33" i="177" a="1"/>
  <c r="X52" i="177" a="1"/>
  <c r="Q12" i="177" a="1"/>
  <c r="W48" i="177" a="1"/>
  <c r="W44" i="177" a="1"/>
  <c r="K35" i="177" a="1"/>
  <c r="Y12" i="177" a="1"/>
  <c r="G4" i="177" a="1"/>
  <c r="V21" i="177" a="1"/>
  <c r="J24" i="177" a="1"/>
  <c r="E54" i="177" a="1"/>
  <c r="U26" i="177" a="1"/>
  <c r="U48" i="177" a="1"/>
  <c r="BJ12" i="260" a="1"/>
  <c r="W13" i="177" a="1"/>
  <c r="J53" i="177" a="1"/>
  <c r="D21" i="177" a="1"/>
  <c r="K26" i="177" a="1"/>
  <c r="Z16" i="260" a="1"/>
  <c r="G5" i="177" a="1"/>
  <c r="G40" i="177" a="1"/>
  <c r="H8" i="177" a="1"/>
  <c r="S20" i="177" a="1"/>
  <c r="W41" i="253" a="1"/>
  <c r="O43" i="177" a="1"/>
  <c r="V22" i="260" a="1"/>
  <c r="D4" i="177" a="1"/>
  <c r="G11" i="177" a="1"/>
  <c r="Q56" i="177" a="1"/>
  <c r="U16" i="177" a="1"/>
  <c r="W21" i="253" a="1"/>
  <c r="H17" i="177" a="1"/>
  <c r="T4" i="177" a="1"/>
  <c r="T26" i="177" a="1"/>
  <c r="M23" i="177" a="1"/>
  <c r="Q54" i="177" a="1"/>
  <c r="G9" i="260" a="1"/>
  <c r="U57" i="177" a="1"/>
  <c r="J5" i="177" a="1"/>
  <c r="J63" i="177" a="1"/>
  <c r="W25" i="177" a="1"/>
  <c r="E50" i="177" a="1"/>
  <c r="BQ23" i="260" a="1"/>
  <c r="K17" i="177" a="1"/>
  <c r="G5" i="260" a="1"/>
  <c r="N42" i="177" a="1"/>
  <c r="U11" i="177" a="1"/>
  <c r="M39" i="177" a="1"/>
  <c r="Y16" i="177" a="1"/>
  <c r="P53" i="177" a="1"/>
  <c r="D7" i="177" a="1"/>
  <c r="T31" i="177" a="1"/>
  <c r="Z52" i="177" a="1"/>
  <c r="BJ7" i="260" a="1"/>
  <c r="W32" i="177" a="1"/>
  <c r="G58" i="177" a="1"/>
  <c r="C44" i="177" a="1"/>
  <c r="AV13" i="260" a="1"/>
  <c r="Z7" i="177" a="1"/>
  <c r="Y47" i="177" a="1"/>
  <c r="S19" i="177" a="1"/>
  <c r="P41" i="177" a="1"/>
  <c r="AN10" i="260" a="1"/>
  <c r="U3" i="177" a="1"/>
  <c r="V19" i="260" a="1"/>
  <c r="C52" i="177" a="1"/>
  <c r="K6" i="177" a="1"/>
  <c r="V31" i="177" a="1"/>
  <c r="P58" i="177" a="1"/>
  <c r="E4" i="177" a="1"/>
  <c r="Z31" i="177" a="1"/>
  <c r="C7" i="177" a="1"/>
  <c r="I14" i="177" a="1"/>
  <c r="Q19" i="177" a="1"/>
  <c r="BF17" i="260" a="1"/>
  <c r="AV9" i="260" a="1"/>
  <c r="T25" i="177" a="1"/>
  <c r="J22" i="177" a="1"/>
  <c r="E33" i="177" a="1"/>
  <c r="G9" i="177" a="1"/>
  <c r="O57" i="177" a="1"/>
  <c r="BQ28" i="260" a="1"/>
  <c r="AN24" i="260" a="1"/>
  <c r="G42" i="177" a="1"/>
  <c r="S10" i="177" a="1"/>
  <c r="U30" i="251" a="1"/>
  <c r="Y51" i="177" a="1"/>
  <c r="Z48" i="177" a="1"/>
  <c r="C50" i="177" a="1"/>
  <c r="X26" i="177" a="1"/>
  <c r="K12" i="177" a="1"/>
  <c r="D44" i="177" a="1"/>
  <c r="F23" i="177" a="1"/>
  <c r="Y22" i="177" a="1"/>
  <c r="F56" i="177" a="1"/>
  <c r="I5" i="177" a="1"/>
  <c r="AD22" i="260" a="1"/>
  <c r="I32" i="177" a="1"/>
  <c r="AD7" i="260" a="1"/>
  <c r="M30" i="177" a="1"/>
  <c r="N30" i="177" a="1"/>
  <c r="U17" i="177" a="1"/>
  <c r="X20" i="177" a="1"/>
  <c r="V54" i="177" a="1"/>
  <c r="J28" i="177" a="1"/>
  <c r="N10" i="260" a="1"/>
  <c r="O12" i="177" a="1"/>
  <c r="Y59" i="177" a="1"/>
  <c r="C47" i="177" a="1"/>
  <c r="E15" i="177" a="1"/>
  <c r="V25" i="177" a="1"/>
  <c r="Q46" i="177" a="1"/>
  <c r="L22" i="177" a="1"/>
  <c r="V29" i="177" a="1"/>
  <c r="C17" i="177" a="1"/>
  <c r="BQ16" i="260" a="1"/>
  <c r="BU19" i="260" a="1"/>
  <c r="Z15" i="260" a="1"/>
  <c r="P50" i="177" a="1"/>
  <c r="O23" i="177" a="1"/>
  <c r="Y33" i="177" a="1"/>
  <c r="AN11" i="260" a="1"/>
  <c r="V15" i="177" a="1"/>
  <c r="R30" i="177" a="1"/>
  <c r="X27" i="177" a="1"/>
  <c r="I8" i="177" a="1"/>
  <c r="G62" i="177" a="1"/>
  <c r="G39" i="177" a="1"/>
  <c r="R65" i="177" a="1"/>
  <c r="J10" i="260" a="1"/>
  <c r="G61" i="177" a="1"/>
  <c r="F22" i="177" a="1"/>
  <c r="N60" i="177" a="1"/>
  <c r="S9" i="177" a="1"/>
  <c r="W50" i="177" a="1"/>
  <c r="AN25" i="260" a="1"/>
  <c r="T45" i="177" a="1"/>
  <c r="P19" i="177" a="1"/>
  <c r="R18" i="177" a="1"/>
  <c r="AD6" i="260" a="1"/>
  <c r="Z16" i="177" a="1"/>
  <c r="M19" i="177" a="1"/>
  <c r="Y61" i="177" a="1"/>
  <c r="Z62" i="177" a="1"/>
  <c r="H3" i="177" a="1"/>
  <c r="AH13" i="260" a="1"/>
  <c r="I63" i="177" a="1"/>
  <c r="Q58" i="177" a="1"/>
  <c r="E55" i="177" a="1"/>
  <c r="R9" i="177" a="1"/>
  <c r="G28" i="260" a="1"/>
  <c r="E16" i="177" a="1"/>
  <c r="X33" i="177" a="1"/>
  <c r="AH17" i="260" a="1"/>
  <c r="Z54" i="177" a="1"/>
  <c r="R53" i="177" a="1"/>
  <c r="Y20" i="177" a="1"/>
  <c r="Y38" i="177" a="1"/>
  <c r="W39" i="253" a="1"/>
  <c r="L41" i="177" a="1"/>
  <c r="X59" i="177" a="1"/>
  <c r="BM14" i="260" a="1"/>
  <c r="P46" i="177" a="1"/>
  <c r="X51" i="177" a="1"/>
  <c r="K23" i="177" a="1"/>
  <c r="R41" i="177" a="1"/>
  <c r="W59" i="177" a="1"/>
  <c r="L10" i="177" a="1"/>
  <c r="M21" i="177" a="1"/>
  <c r="C22" i="177" a="1"/>
  <c r="H18" i="177" a="1"/>
  <c r="L60" i="177" a="1"/>
  <c r="F49" i="177" a="1"/>
  <c r="AH14" i="260" a="1"/>
  <c r="M58" i="177" a="1"/>
  <c r="AQ26" i="260" a="1"/>
  <c r="C49" i="177" a="1"/>
  <c r="P39" i="177" a="1"/>
  <c r="C48" i="177" a="1"/>
  <c r="E31" i="177" a="1"/>
  <c r="AN16" i="260" a="1"/>
  <c r="E21" i="177" a="1"/>
  <c r="G33" i="177" a="1"/>
  <c r="C37" i="177" a="1"/>
  <c r="Y53" i="177" a="1"/>
  <c r="C28" i="177" a="1"/>
  <c r="E48" i="177" a="1"/>
  <c r="M7" i="177" a="1"/>
  <c r="Z18" i="260" a="1"/>
  <c r="M35" i="177" a="1"/>
  <c r="G46" i="177" a="1"/>
  <c r="P32" i="177" a="1"/>
  <c r="N41" i="177" a="1"/>
  <c r="F42" i="177" a="1"/>
  <c r="BU26" i="260" a="1"/>
  <c r="AD24" i="260" a="1"/>
  <c r="N39" i="177" a="1"/>
  <c r="H40" i="177" a="1"/>
  <c r="N18" i="260" a="1"/>
  <c r="J18" i="260" a="1"/>
  <c r="P57" i="177" a="1"/>
  <c r="I17" i="177" a="1"/>
  <c r="E56" i="177" a="1"/>
  <c r="V18" i="177" a="1"/>
  <c r="W4" i="177" a="1"/>
  <c r="E38" i="177" a="1"/>
  <c r="W9" i="253" a="1"/>
  <c r="D37" i="177" a="1"/>
  <c r="Y64" i="177" a="1"/>
  <c r="R7" i="177" a="1"/>
  <c r="M63" i="177" a="1"/>
  <c r="J58" i="177" a="1"/>
  <c r="Y6" i="177" a="1"/>
  <c r="Y13" i="177" a="1"/>
  <c r="W56" i="177" a="1"/>
  <c r="V17" i="177" a="1"/>
  <c r="I28" i="177" a="1"/>
  <c r="N21" i="260" a="1"/>
  <c r="N28" i="260" a="1"/>
  <c r="T15" i="177" a="1"/>
  <c r="D38" i="177" a="1"/>
  <c r="V7" i="177" a="1"/>
  <c r="G17" i="177" a="1"/>
  <c r="F33" i="177" a="1"/>
  <c r="I40" i="177" a="1"/>
  <c r="I55" i="177" a="1"/>
  <c r="P24" i="177" a="1"/>
  <c r="W60" i="177" a="1"/>
  <c r="U28" i="102" a="1"/>
  <c r="AH22" i="260" a="1"/>
  <c r="N57" i="177" a="1"/>
  <c r="N45" i="177" a="1"/>
  <c r="C36" i="177" a="1"/>
  <c r="T47" i="177" a="1"/>
  <c r="C6" i="177" a="1"/>
  <c r="F32" i="177" a="1"/>
  <c r="S26" i="177" a="1"/>
  <c r="AD12" i="260" a="1"/>
  <c r="L46" i="177" a="1"/>
  <c r="AQ15" i="260" a="1"/>
  <c r="R50" i="177" a="1"/>
  <c r="E25" i="177" a="1"/>
  <c r="J9" i="260" a="1"/>
  <c r="M3" i="177" a="1"/>
  <c r="E49" i="177" a="1"/>
  <c r="U56" i="177" a="1"/>
  <c r="AQ11" i="260" a="1"/>
  <c r="C3" i="177" a="1"/>
  <c r="Z37" i="177" a="1"/>
  <c r="Z22" i="177" a="1"/>
  <c r="Z11" i="260" a="1"/>
  <c r="X28" i="177" a="1"/>
  <c r="I3" i="177" a="1"/>
  <c r="U15" i="177" a="1"/>
  <c r="U5" i="177" a="1"/>
  <c r="N24" i="177" a="1"/>
  <c r="AD26" i="260" a="1"/>
  <c r="Z23" i="260" a="1"/>
  <c r="O45" i="177" a="1"/>
  <c r="T12" i="177" a="1"/>
  <c r="Z64" i="177" a="1"/>
  <c r="O16" i="177" a="1"/>
  <c r="T6" i="177" a="1"/>
  <c r="Q44" i="177" a="1"/>
  <c r="T30" i="177" a="1"/>
  <c r="H60" i="177" a="1"/>
  <c r="W58" i="177" a="1"/>
  <c r="X61" i="177" a="1"/>
  <c r="D64" i="177" a="1"/>
  <c r="V4" i="177" a="1"/>
  <c r="M4" i="177" a="1"/>
  <c r="J27" i="177" a="1"/>
  <c r="E26" i="177" a="1"/>
  <c r="AD11" i="260" a="1"/>
  <c r="S37" i="177" a="1"/>
  <c r="AH16" i="260" a="1"/>
  <c r="G7" i="177" a="1"/>
  <c r="AH21" i="260" a="1"/>
  <c r="F25" i="177" a="1"/>
  <c r="V14" i="177" a="1"/>
  <c r="V28" i="177" a="1"/>
  <c r="H45" i="177" a="1"/>
  <c r="K16" i="177" a="1"/>
  <c r="Q11" i="177" a="1"/>
  <c r="AQ27" i="260" a="1"/>
  <c r="K32" i="177" a="1"/>
  <c r="E36" i="177" a="1"/>
  <c r="M8" i="177" a="1"/>
  <c r="AH26" i="260" a="1"/>
  <c r="W15" i="177" a="1"/>
  <c r="R56" i="177" a="1"/>
  <c r="BM17" i="260" a="1"/>
  <c r="I54" i="177" a="1"/>
  <c r="Y26" i="177" a="1"/>
  <c r="BU24" i="260" a="1"/>
  <c r="K8" i="177" a="1"/>
  <c r="F26" i="177" a="1"/>
  <c r="Q4" i="177" a="1"/>
  <c r="L45" i="177" a="1"/>
  <c r="D57" i="177" a="1"/>
  <c r="U44" i="177" a="1"/>
  <c r="D41" i="177" a="1"/>
  <c r="N15" i="177" a="1"/>
  <c r="C43" i="177" a="1"/>
  <c r="U30" i="177" a="1"/>
  <c r="I64" i="177" a="1"/>
  <c r="G13" i="260" a="1"/>
  <c r="W37" i="177" a="1"/>
  <c r="AQ25" i="260" a="1"/>
  <c r="D33" i="177" a="1"/>
  <c r="P35" i="177" a="1"/>
  <c r="J18" i="177" a="1"/>
  <c r="V59" i="177" a="1"/>
  <c r="M64" i="177" a="1"/>
  <c r="T44" i="177" a="1"/>
  <c r="P33" i="177" a="1"/>
  <c r="H13" i="177" a="1"/>
  <c r="M29" i="177" a="1"/>
  <c r="U18" i="177" a="1"/>
  <c r="G38" i="177" a="1"/>
  <c r="I49" i="177" a="1"/>
  <c r="BM12" i="260" a="1"/>
  <c r="M31" i="177" a="1"/>
  <c r="N49" i="177" a="1"/>
  <c r="U7" i="177" a="1"/>
  <c r="Q50" i="177" a="1"/>
  <c r="L62" i="177" a="1"/>
  <c r="Q55" i="177" a="1"/>
  <c r="G22" i="177" a="1"/>
  <c r="BM5" i="260" a="1"/>
  <c r="E7" i="177" a="1"/>
  <c r="K64" i="177" a="1"/>
  <c r="R38" i="177" a="1"/>
  <c r="I52" i="177" a="1"/>
  <c r="J25" i="177" a="1"/>
  <c r="J12" i="260" a="1"/>
  <c r="AN19" i="260" a="1"/>
  <c r="E45" i="177" a="1"/>
  <c r="I9" i="177" a="1"/>
  <c r="L19" i="177" a="1"/>
  <c r="I38" i="177" a="1"/>
  <c r="L35" i="177" a="1"/>
  <c r="V16" i="260" a="1"/>
  <c r="U58" i="177" a="1"/>
  <c r="T53" i="177" a="1"/>
  <c r="H27" i="177" a="1"/>
  <c r="S23" i="177" a="1"/>
  <c r="D47" i="177" a="1"/>
  <c r="Y50" i="177" a="1"/>
  <c r="K61" i="177" a="1"/>
  <c r="BQ21" i="260" a="1"/>
  <c r="D35" i="177" a="1"/>
  <c r="D10" i="177" a="1"/>
  <c r="H19" i="177" a="1"/>
  <c r="L64" i="177" a="1"/>
  <c r="BU15" i="260" a="1"/>
  <c r="V36" i="177" a="1"/>
  <c r="S7" i="177" a="1"/>
  <c r="K15" i="177" a="1"/>
  <c r="H35" i="177" a="1"/>
  <c r="T40" i="177" a="1"/>
  <c r="T23" i="177" a="1"/>
  <c r="I19" i="177" a="1"/>
  <c r="V26" i="260" a="1"/>
  <c r="R63" i="177" a="1"/>
  <c r="M13" i="177" a="1"/>
  <c r="G3" i="177" a="1"/>
  <c r="W20" i="253" a="1"/>
  <c r="AD13" i="260" a="1"/>
  <c r="K43" i="177" a="1"/>
  <c r="R58" i="177" a="1"/>
  <c r="Y9" i="177" a="1"/>
  <c r="H6" i="177" a="1"/>
  <c r="H44" i="177" a="1"/>
  <c r="Y21" i="177" a="1"/>
  <c r="F43" i="177" a="1"/>
  <c r="Z28" i="260" a="1"/>
  <c r="BJ13" i="260" a="1"/>
  <c r="BF23" i="260" a="1"/>
  <c r="V62" i="177" a="1"/>
  <c r="O14" i="177" a="1"/>
  <c r="F20" i="177" a="1"/>
  <c r="T14" i="177" a="1"/>
  <c r="S46" i="177" a="1"/>
  <c r="Z39" i="177" a="1"/>
  <c r="W31" i="177" a="1"/>
  <c r="M40" i="177" a="1"/>
  <c r="V57" i="177" a="1"/>
  <c r="M48" i="177" a="1"/>
  <c r="Q28" i="177" a="1"/>
  <c r="J21" i="177" a="1"/>
  <c r="L63" i="177" a="1"/>
  <c r="U28" i="177" a="1"/>
  <c r="U25" i="177" a="1"/>
  <c r="L36" i="177" a="1"/>
  <c r="P23" i="177" a="1"/>
  <c r="M14" i="177" a="1"/>
  <c r="W12" i="177" a="1"/>
  <c r="Y5" i="177" a="1"/>
  <c r="M22" i="177" a="1"/>
  <c r="BQ15" i="260" a="1"/>
  <c r="W39" i="177" a="1"/>
  <c r="L52" i="177" a="1"/>
  <c r="AH19" i="260" a="1"/>
  <c r="L14" i="177" a="1"/>
  <c r="AN9" i="260" a="1"/>
  <c r="O50" i="177" a="1"/>
  <c r="G16" i="177" a="1"/>
  <c r="V27" i="260" a="1"/>
  <c r="T55" i="177" a="1"/>
  <c r="N65" i="177" a="1"/>
  <c r="P47" i="177" a="1"/>
  <c r="V16" i="177" a="1"/>
  <c r="R31" i="177" a="1"/>
  <c r="Q38" i="177" a="1"/>
  <c r="G26" i="177" a="1"/>
  <c r="N23" i="177" a="1"/>
  <c r="T5" i="177" a="1"/>
  <c r="Z4" i="177" a="1"/>
  <c r="P3" i="177" a="1"/>
  <c r="O41" i="177" a="1"/>
  <c r="O64" i="177" a="1"/>
  <c r="Q57" i="177" a="1"/>
  <c r="AD18" i="260" a="1"/>
  <c r="N14" i="177" a="1"/>
  <c r="K38" i="177" a="1"/>
  <c r="X57" i="177" a="1"/>
  <c r="X64" i="177" a="1"/>
  <c r="R42" i="177" a="1"/>
  <c r="P44" i="177" a="1"/>
  <c r="E29" i="177" a="1"/>
  <c r="Y24" i="177" a="1"/>
  <c r="K62" i="177" a="1"/>
  <c r="M61" i="177" a="1"/>
  <c r="Y54" i="177" a="1"/>
  <c r="I26" i="177" a="1"/>
  <c r="Q42" i="177" a="1"/>
  <c r="S43" i="177" a="1"/>
  <c r="R32" i="177" a="1"/>
  <c r="Q21" i="177" a="1"/>
  <c r="E28" i="177" a="1"/>
  <c r="J45" i="177" a="1"/>
  <c r="BU14" i="260" a="1"/>
  <c r="J39" i="177" a="1"/>
  <c r="D39" i="177" a="1"/>
  <c r="BU27" i="260" a="1"/>
  <c r="F4" i="177" a="1"/>
  <c r="F17" i="177" a="1"/>
  <c r="H61" i="177" a="1"/>
  <c r="Z36" i="177" a="1"/>
  <c r="X24" i="177" a="1"/>
  <c r="C57" i="177" a="1"/>
  <c r="BJ10" i="260" a="1"/>
  <c r="V19" i="177" a="1"/>
  <c r="AH20" i="260" a="1"/>
  <c r="O24" i="177" a="1"/>
  <c r="J37" i="177" a="1"/>
  <c r="AN5" i="260" a="1"/>
  <c r="BM20" i="260" a="1"/>
  <c r="S45" i="177" a="1"/>
  <c r="AN7" i="260" a="1"/>
  <c r="AN6" i="260" a="1"/>
  <c r="I25" i="177" a="1"/>
  <c r="F16" i="177" a="1"/>
  <c r="Y46" i="177" a="1"/>
  <c r="I16" i="177" a="1"/>
  <c r="R51" i="177" a="1"/>
  <c r="K60" i="177" a="1"/>
  <c r="Q6" i="177" a="1"/>
  <c r="P48" i="177" a="1"/>
  <c r="T3" i="177" a="1"/>
  <c r="P65" i="177" a="1"/>
  <c r="D28" i="177" a="1"/>
  <c r="J32" i="177" a="1"/>
  <c r="Q63" i="177" a="1"/>
  <c r="N29" i="177" a="1"/>
  <c r="H23" i="177" a="1"/>
  <c r="F63" i="177" a="1"/>
  <c r="H25" i="177" a="1"/>
  <c r="N4" i="177" a="1"/>
  <c r="L25" i="177" a="1"/>
  <c r="Z20" i="177" a="1"/>
  <c r="M17" i="177" a="1"/>
  <c r="J16" i="260" a="1"/>
  <c r="BF28" i="260" a="1"/>
  <c r="I13" i="177" a="1"/>
  <c r="S15" i="177" a="1"/>
  <c r="C39" i="177" a="1"/>
  <c r="BU11" i="260" a="1"/>
  <c r="G15" i="177" a="1"/>
  <c r="AV22" i="260" a="1"/>
  <c r="D19" i="177" a="1"/>
  <c r="AH24" i="260" a="1"/>
  <c r="BU7" i="260" a="1"/>
  <c r="I6" i="177" a="1"/>
  <c r="R20" i="177" a="1"/>
  <c r="X37" i="177" a="1"/>
  <c r="Z57" i="177" a="1"/>
  <c r="X30" i="177" a="1"/>
  <c r="O13" i="177" a="1"/>
  <c r="S30" i="177" a="1"/>
  <c r="L55" i="177" a="1"/>
  <c r="J49" i="177" a="1"/>
  <c r="Z61" i="177" a="1"/>
  <c r="V18" i="260" a="1"/>
  <c r="E51" i="177" a="1"/>
  <c r="J20" i="260" a="1"/>
  <c r="U20" i="177" a="1"/>
  <c r="M33" i="177" a="1"/>
  <c r="P22" i="177" a="1"/>
  <c r="X47" i="177" a="1"/>
  <c r="BJ11" i="260" a="1"/>
  <c r="X9" i="177" a="1"/>
  <c r="N18" i="177" a="1"/>
  <c r="N21" i="177" a="1"/>
  <c r="E58" i="177" a="1"/>
  <c r="AV7" i="260" a="1"/>
  <c r="D3" i="177" a="1"/>
  <c r="U23" i="177" a="1"/>
  <c r="K63" i="177" a="1"/>
  <c r="I36" i="177" a="1"/>
  <c r="D42" i="177" a="1"/>
  <c r="Z8" i="177" a="1"/>
  <c r="P10" i="177" a="1"/>
  <c r="BQ11" i="260" a="1"/>
  <c r="W35" i="177" a="1"/>
  <c r="W21" i="177" a="1"/>
  <c r="T37" i="177" a="1"/>
  <c r="Y27" i="177" a="1"/>
  <c r="S59" i="177" a="1"/>
  <c r="I18" i="177" a="1"/>
  <c r="I15" i="177" a="1"/>
  <c r="V10" i="260" a="1"/>
  <c r="C35" i="177" a="1"/>
  <c r="C55" i="177" a="1"/>
  <c r="O44" i="177" a="1"/>
  <c r="J3" i="177" a="1"/>
  <c r="AD8" i="260" a="1"/>
  <c r="L31" i="177" a="1"/>
  <c r="R10" i="177" a="1"/>
  <c r="F57" i="177" a="1"/>
  <c r="BM26" i="260" a="1"/>
  <c r="F5" i="177" a="1"/>
  <c r="U19" i="177" a="1"/>
  <c r="K18" i="177" a="1"/>
  <c r="BF16" i="260" a="1"/>
  <c r="O40" i="177" a="1"/>
  <c r="V10" i="177" a="1"/>
  <c r="R48" i="177" a="1"/>
  <c r="AQ14" i="260" a="1"/>
  <c r="T39" i="177" a="1"/>
  <c r="S39" i="177" a="1"/>
  <c r="L27" i="177" a="1"/>
  <c r="G43" i="177" a="1"/>
  <c r="F6" i="177" a="1"/>
  <c r="R57" i="177" a="1"/>
  <c r="Y8" i="177" a="1"/>
  <c r="I39" i="177" a="1"/>
  <c r="X7" i="177" a="1"/>
  <c r="F11" i="177" a="1"/>
  <c r="J59" i="177" a="1"/>
  <c r="G27" i="260" a="1"/>
  <c r="BF5" i="260" a="1"/>
  <c r="S6" i="177" a="1"/>
  <c r="BJ17" i="260" a="1"/>
  <c r="D13" i="177" a="1"/>
  <c r="I60" i="177" a="1"/>
  <c r="E62" i="177" a="1"/>
  <c r="BJ5" i="260" a="1"/>
  <c r="Y17" i="177" a="1"/>
  <c r="N9" i="177" a="1"/>
  <c r="X41" i="177" a="1"/>
  <c r="N3" i="177" a="1"/>
  <c r="H46" i="177" a="1"/>
  <c r="N44" i="177" a="1"/>
  <c r="J9" i="177" a="1"/>
  <c r="P16" i="177" a="1"/>
  <c r="U42" i="177" a="1"/>
  <c r="V21" i="260" a="1"/>
  <c r="P15" i="177" a="1"/>
  <c r="T41" i="177" a="1"/>
  <c r="Z5" i="177" a="1"/>
  <c r="BQ18" i="260" a="1"/>
  <c r="H14" i="177" a="1"/>
  <c r="F41" i="177" a="1"/>
  <c r="Q65" i="177" a="1"/>
  <c r="N36" i="177" a="1"/>
  <c r="Z24" i="177" a="1"/>
  <c r="L29" i="177" a="1"/>
  <c r="Q45" i="177" a="1"/>
  <c r="M20" i="177" a="1"/>
  <c r="V22" i="177" a="1"/>
  <c r="Y48" i="177" a="1"/>
  <c r="K39" i="177" a="1"/>
  <c r="D36" i="177" a="1"/>
  <c r="D43" i="177" a="1"/>
  <c r="F46" i="177" a="1"/>
  <c r="N8" i="177" a="1"/>
  <c r="U39" i="102" a="1"/>
  <c r="W11" i="177" a="1"/>
  <c r="V7" i="260" a="1"/>
  <c r="Y62" i="177" a="1"/>
  <c r="M38" i="177" a="1"/>
  <c r="H26" i="177" a="1"/>
  <c r="S13" i="177" a="1"/>
  <c r="Z43" i="177" a="1"/>
  <c r="N55" i="177" a="1"/>
  <c r="S27" i="177" a="1"/>
  <c r="N25" i="260" a="1"/>
  <c r="V24" i="260" a="1"/>
  <c r="O18" i="177" a="1"/>
  <c r="BU21" i="260" a="1"/>
  <c r="F7" i="177" a="1"/>
  <c r="C21" i="177" a="1"/>
  <c r="Y40" i="177" a="1"/>
  <c r="J12" i="177" a="1"/>
  <c r="Z30" i="177" a="1"/>
  <c r="L21" i="177" a="1"/>
  <c r="R26" i="177" a="1"/>
  <c r="Q23" i="177" a="1"/>
  <c r="T9" i="177" a="1"/>
  <c r="V12" i="260" a="1"/>
  <c r="Z60" i="177" a="1"/>
  <c r="N56" i="177" a="1"/>
  <c r="E24" i="177" a="1"/>
  <c r="X15" i="177" a="1"/>
  <c r="T64" i="177" a="1"/>
  <c r="O27" i="177" a="1"/>
  <c r="X4" i="177" a="1"/>
  <c r="Z65" i="177" a="1"/>
  <c r="AQ13" i="260" a="1"/>
  <c r="J50" i="177" a="1"/>
  <c r="V58" i="177" a="1"/>
  <c r="U29" i="251" a="1"/>
  <c r="U13" i="177" a="1"/>
  <c r="W5" i="177" a="1"/>
  <c r="U40" i="177" a="1"/>
  <c r="J22" i="260" a="1"/>
  <c r="Z59" i="177" a="1"/>
  <c r="E23" i="177" a="1"/>
  <c r="D54" i="177" a="1"/>
  <c r="V49" i="177" a="1"/>
  <c r="R37" i="177" a="1"/>
  <c r="AD20" i="260" a="1"/>
  <c r="W33" i="177" a="1"/>
  <c r="Y15" i="177" a="1"/>
  <c r="X46" i="177" a="1"/>
  <c r="K40" i="177" a="1"/>
  <c r="Y43" i="177" a="1"/>
  <c r="K55" i="177" a="1"/>
  <c r="R35" i="177" a="1"/>
  <c r="BM22" i="260" a="1"/>
  <c r="P29" i="177" a="1"/>
  <c r="AQ18" i="260" a="1"/>
  <c r="V11" i="177" a="1"/>
  <c r="C59" i="177" a="1"/>
  <c r="D59" i="177" a="1"/>
  <c r="N50" i="177" a="1"/>
  <c r="R49" i="177" a="1"/>
  <c r="BF24" i="260" a="1"/>
  <c r="C24" i="177" a="1"/>
  <c r="R64" i="177" a="1"/>
  <c r="N37" i="177" a="1"/>
  <c r="BQ9" i="260" a="1"/>
  <c r="O55" i="177" a="1"/>
  <c r="P26" i="177" a="1"/>
  <c r="V39" i="177" a="1"/>
  <c r="Y4" i="177" a="1"/>
  <c r="Y41" i="177" a="1"/>
  <c r="J43" i="177" a="1"/>
  <c r="E19" i="177" a="1"/>
  <c r="U62" i="177" a="1"/>
  <c r="U6" i="177" a="1"/>
  <c r="G18" i="260" a="1"/>
  <c r="K42" i="177" a="1"/>
  <c r="J17" i="260" a="1"/>
  <c r="J41" i="177" a="1"/>
  <c r="L13" i="177" a="1"/>
  <c r="V20" i="260" a="1"/>
  <c r="W52" i="177" a="1"/>
  <c r="AN23" i="260" a="1"/>
  <c r="V63" i="177" a="1"/>
  <c r="L50" i="177" a="1"/>
  <c r="G14" i="177" a="1"/>
  <c r="P56" i="177" a="1"/>
  <c r="K58" i="177" a="1"/>
  <c r="BJ18" i="260" a="1"/>
  <c r="Y65" i="177" a="1"/>
  <c r="I57" i="177" a="1"/>
  <c r="Q25" i="177" a="1"/>
  <c r="O65" i="177" a="1"/>
  <c r="M55" i="177" a="1"/>
  <c r="AH9" i="260" a="1"/>
  <c r="S14" i="177" a="1"/>
  <c r="T52" i="177" a="1"/>
  <c r="Z8" i="260" a="1"/>
  <c r="S62" i="177" a="1"/>
  <c r="C31" i="177" a="1"/>
  <c r="AD5" i="260" a="1"/>
  <c r="J30" i="177" a="1"/>
  <c r="N19" i="177" a="1"/>
  <c r="V20" i="177" a="1"/>
  <c r="R17" i="177" a="1"/>
  <c r="J15" i="260" a="1"/>
  <c r="L57" i="177" a="1"/>
  <c r="M57" i="177" a="1"/>
  <c r="M51" i="177" a="1"/>
  <c r="Q13" i="177" a="1"/>
  <c r="G24" i="260" a="1"/>
  <c r="J31" i="177" a="1"/>
  <c r="W3" i="177" a="1"/>
  <c r="Y31" i="177" a="1"/>
  <c r="O5" i="177" a="1"/>
  <c r="N52" i="177" a="1"/>
  <c r="F48" i="177" a="1"/>
  <c r="X35" i="177" a="1"/>
  <c r="V44" i="177" a="1"/>
  <c r="Q20" i="177" a="1"/>
  <c r="D17" i="177" a="1"/>
  <c r="J29" i="177" a="1"/>
  <c r="O38" i="177" a="1"/>
  <c r="Y63" i="177" a="1"/>
  <c r="D11" i="177" a="1"/>
  <c r="V50" i="177" a="1"/>
  <c r="D55" i="177" a="1"/>
  <c r="M28" i="177" a="1"/>
  <c r="V56" i="177" a="1"/>
  <c r="S53" i="177" a="1"/>
  <c r="T62" i="177" a="1"/>
  <c r="BJ16" i="260" a="1"/>
  <c r="K41" i="177" a="1"/>
  <c r="V33" i="177" a="1"/>
  <c r="R59" i="177" a="1"/>
  <c r="X14" i="177" a="1"/>
  <c r="F55" i="177" a="1"/>
  <c r="E65" i="177" a="1"/>
  <c r="H36" i="177" a="1"/>
  <c r="F19" i="177" a="1"/>
  <c r="N13" i="260" a="1"/>
  <c r="U47" i="177" a="1"/>
  <c r="BM9" i="260" a="1"/>
  <c r="N35" i="177" a="1"/>
  <c r="E60" i="177" a="1"/>
  <c r="BM23" i="260" a="1"/>
  <c r="W14" i="177" a="1"/>
  <c r="F29" i="177" a="1"/>
  <c r="V37" i="177" a="1"/>
  <c r="W22" i="177" a="1"/>
  <c r="U50" i="177" a="1"/>
  <c r="S57" i="177" a="1"/>
  <c r="G32" i="177" a="1"/>
  <c r="G45" i="177" a="1"/>
  <c r="BF18" i="260" a="1"/>
  <c r="S18" i="177" a="1"/>
  <c r="J54" i="177" a="1"/>
  <c r="M47" i="177" a="1"/>
  <c r="Y55" i="177" a="1"/>
  <c r="Z10" i="260" a="1"/>
  <c r="H52" i="177" a="1"/>
  <c r="Z15" i="177" a="1"/>
  <c r="N61" i="177" a="1"/>
  <c r="U27" i="177" a="1"/>
  <c r="AQ20" i="260" a="1"/>
  <c r="J27" i="260" a="1"/>
  <c r="W40" i="177" a="1"/>
  <c r="BQ22" i="260" a="1"/>
  <c r="E18" i="177" a="1"/>
  <c r="V23" i="260" a="1"/>
  <c r="Y25" i="177" a="1"/>
  <c r="I27" i="177" a="1"/>
  <c r="N12" i="177" a="1"/>
  <c r="O49" i="177" a="1"/>
  <c r="BJ22" i="260" a="1"/>
  <c r="S25" i="177" a="1"/>
  <c r="G31" i="177" a="1"/>
  <c r="N51" i="177" a="1"/>
  <c r="S58" i="177" a="1"/>
  <c r="T8" i="177" a="1"/>
  <c r="O59" i="177" a="1"/>
  <c r="Q59" i="177" a="1"/>
  <c r="K52" i="177" a="1"/>
  <c r="Z21" i="177" a="1"/>
  <c r="X36" i="177" a="1"/>
  <c r="S5" i="177" a="1"/>
  <c r="H43" i="177" a="1"/>
  <c r="AD10" i="260" a="1"/>
  <c r="F38" i="177" a="1"/>
  <c r="N22" i="177" a="1"/>
  <c r="K24" i="177" a="1"/>
  <c r="F51" i="177" a="1"/>
  <c r="N16" i="177" a="1"/>
  <c r="AV17" i="260" a="1"/>
  <c r="C61" i="177" a="1"/>
  <c r="C10" i="177" a="1"/>
  <c r="M27" i="177" a="1"/>
  <c r="X43" i="177" a="1"/>
  <c r="Z33" i="177" a="1"/>
  <c r="BF9" i="260" a="1"/>
  <c r="P12" i="177" a="1"/>
  <c r="L58" i="177" a="1"/>
  <c r="F60" i="177" a="1"/>
  <c r="H59" i="177" a="1"/>
  <c r="AH28" i="260" a="1"/>
  <c r="F3" i="177" a="1"/>
  <c r="F62" i="177" a="1"/>
  <c r="O4" i="177" a="1"/>
  <c r="E11" i="177" a="1"/>
  <c r="M49" i="177" a="1"/>
  <c r="V35" i="177" a="1"/>
  <c r="H28" i="177" a="1"/>
  <c r="P5" i="177" a="1"/>
  <c r="Y36" i="177" a="1"/>
  <c r="U37" i="177" a="1"/>
  <c r="M9" i="177" a="1"/>
  <c r="V42" i="177" a="1"/>
  <c r="G11" i="260" a="1"/>
  <c r="P52" i="177" a="1"/>
  <c r="U39" i="177" a="1"/>
  <c r="Q64" i="177" a="1"/>
  <c r="AD25" i="260" a="1"/>
  <c r="U49" i="177" a="1"/>
  <c r="BM10" i="260" a="1"/>
  <c r="X8" i="177" a="1"/>
  <c r="W55" i="177" a="1"/>
  <c r="BJ20" i="260" a="1"/>
  <c r="L33" i="177" a="1"/>
  <c r="O56" i="177" a="1"/>
  <c r="R24" i="177" a="1"/>
  <c r="P60" i="177" a="1"/>
  <c r="Q47" i="177" a="1"/>
  <c r="G6" i="260" a="1"/>
  <c r="O31" i="177" a="1"/>
  <c r="Z6" i="260" a="1"/>
  <c r="V60" i="177" a="1"/>
  <c r="X23" i="177" a="1"/>
  <c r="Z13" i="177" a="1"/>
  <c r="K31" i="177" a="1"/>
  <c r="E61" i="177" a="1"/>
  <c r="BF15" i="260" a="1"/>
  <c r="N23" i="260" a="1"/>
  <c r="T46" i="177" a="1"/>
  <c r="Z19" i="177" a="1"/>
  <c r="M24" i="177" a="1"/>
  <c r="P7" i="177" a="1"/>
  <c r="U43" i="177" a="1"/>
  <c r="S44" i="177" a="1"/>
  <c r="I29" i="177" a="1"/>
  <c r="G20" i="177" a="1"/>
  <c r="C20" i="177" a="1"/>
  <c r="U21" i="102" a="1"/>
  <c r="O17" i="177" a="1"/>
  <c r="U64" i="177" a="1"/>
  <c r="BF6" i="260" a="1"/>
  <c r="BF12" i="260" a="1"/>
  <c r="R14" i="177" a="1"/>
  <c r="AD21" i="260" a="1"/>
  <c r="N38" i="177" a="1"/>
  <c r="O30" i="177" a="1"/>
  <c r="P45" i="177" a="1"/>
  <c r="N17" i="177" a="1"/>
  <c r="BU9" i="260" a="1"/>
  <c r="D9" i="177" a="1"/>
  <c r="O3" i="177" a="1"/>
  <c r="BU8" i="260" a="1"/>
  <c r="C26" i="177" a="1"/>
  <c r="BM13" i="260" a="1"/>
  <c r="E3" i="177" a="1"/>
  <c r="X3" i="177" a="1"/>
  <c r="E53" i="177" a="1"/>
  <c r="BU12" i="260" a="1"/>
  <c r="BQ13" i="260" a="1"/>
  <c r="J48" i="177" a="1"/>
  <c r="Z9" i="177" a="1"/>
  <c r="W36" i="177" a="1"/>
  <c r="BF13" i="260" a="1"/>
  <c r="V38" i="177" a="1"/>
  <c r="P40" i="177" a="1"/>
  <c r="Y19" i="177" a="1"/>
  <c r="P63" i="177" a="1"/>
  <c r="N12" i="260" a="1"/>
  <c r="Q36" i="177" a="1"/>
  <c r="T20" i="177" a="1"/>
  <c r="BU18" i="260" a="1"/>
  <c r="J20" i="177" a="1"/>
  <c r="G60" i="177" a="1"/>
  <c r="S3" i="177" a="1"/>
  <c r="T43" i="177" a="1"/>
  <c r="F59" i="177" a="1"/>
  <c r="X18" i="177" a="1"/>
  <c r="Z42" i="177" a="1"/>
  <c r="W10" i="177" a="1"/>
  <c r="Z53" i="177" a="1"/>
  <c r="T28" i="177" a="1"/>
  <c r="H39" i="177" a="1"/>
  <c r="J38" i="177" a="1"/>
  <c r="P51" i="177" a="1"/>
  <c r="X13" i="177" a="1"/>
  <c r="BM19" i="260" a="1"/>
  <c r="I30" i="177" a="1"/>
  <c r="Z63" i="177" a="1"/>
  <c r="G12" i="260" a="1"/>
  <c r="T24" i="177" a="1"/>
  <c r="U31" i="177" a="1"/>
  <c r="P20" i="177" a="1"/>
  <c r="F35" i="177" a="1"/>
  <c r="P21" i="177" a="1"/>
  <c r="J7" i="177" a="1"/>
  <c r="D40" i="177" a="1"/>
  <c r="U21" i="177" a="1"/>
  <c r="Z27" i="260" a="1"/>
  <c r="F58" i="177" a="1"/>
  <c r="U31" i="251" a="1"/>
  <c r="E52" i="177" a="1"/>
  <c r="E8" i="177" a="1"/>
  <c r="O39" i="177" a="1"/>
  <c r="R60" i="177" a="1"/>
  <c r="S17" i="177" a="1"/>
  <c r="L53" i="177" a="1"/>
  <c r="Q61" i="177" a="1"/>
  <c r="Y32" i="177" a="1"/>
  <c r="S40" i="177" a="1"/>
  <c r="G23" i="177" a="1"/>
  <c r="BJ9" i="260" a="1"/>
  <c r="D27" i="177" a="1"/>
  <c r="J23" i="260" a="1"/>
  <c r="W53" i="177" a="1"/>
  <c r="J5" i="260" a="1"/>
  <c r="O53" i="177" a="1"/>
  <c r="G59" i="177" a="1"/>
  <c r="V17" i="260" a="1"/>
  <c r="T59" i="177" a="1"/>
  <c r="BJ24" i="260" a="1"/>
  <c r="E13" i="177" a="1"/>
  <c r="U41" i="251" a="1"/>
  <c r="BM7" i="260" a="1"/>
  <c r="G15" i="260" a="1"/>
  <c r="O54" i="177" a="1"/>
  <c r="X44" i="177" a="1"/>
  <c r="U46" i="177" a="1"/>
  <c r="U40" i="102" a="1"/>
  <c r="U53" i="177" a="1"/>
  <c r="F44" i="177" a="1"/>
  <c r="F27" i="177" a="1"/>
  <c r="N6" i="260" a="1"/>
  <c r="H31" i="177" a="1"/>
  <c r="W57" i="177" a="1"/>
  <c r="U4" i="177" a="1"/>
  <c r="I43" i="177" a="1"/>
  <c r="J16" i="177" a="1"/>
  <c r="L23" i="177" a="1"/>
  <c r="P55" i="177" a="1"/>
  <c r="L38" i="177" a="1"/>
  <c r="S12" i="177" a="1"/>
  <c r="U9" i="251" a="1"/>
  <c r="Y56" i="177" a="1"/>
  <c r="AN26" i="260" a="1"/>
  <c r="P25" i="177" a="1"/>
  <c r="K48" i="177" a="1"/>
  <c r="P43" i="177" a="1"/>
  <c r="R6" i="177" a="1"/>
  <c r="Z44" i="177" a="1"/>
  <c r="L5" i="177" a="1"/>
  <c r="M41" i="177" a="1"/>
  <c r="S61" i="177" a="1"/>
  <c r="L40" i="177" a="1"/>
  <c r="Z14" i="260" a="1"/>
  <c r="P49" i="177" a="1"/>
  <c r="T48" i="177" a="1"/>
  <c r="R21" i="177" a="1"/>
  <c r="R45" i="177" a="1"/>
  <c r="N26" i="177" a="1"/>
  <c r="O61" i="177" a="1"/>
  <c r="Z6" i="177" a="1"/>
  <c r="I23" i="177" a="1"/>
  <c r="AD23" i="260" a="1"/>
  <c r="H30" i="177" a="1"/>
  <c r="S51" i="177" a="1"/>
  <c r="O11" i="177" a="1"/>
  <c r="K46" i="177" a="1"/>
  <c r="S48" i="177" a="1"/>
  <c r="O51" i="177" a="1"/>
  <c r="M60" i="177" a="1"/>
  <c r="J33" i="177" a="1"/>
  <c r="BQ26" i="260" a="1"/>
  <c r="M53" i="177" a="1"/>
  <c r="BF25" i="260" a="1"/>
  <c r="I4" i="177" a="1"/>
  <c r="AV10" i="260" a="1"/>
  <c r="N19" i="260" a="1"/>
  <c r="J7" i="260" a="1"/>
  <c r="O6" i="177" a="1"/>
  <c r="T33" i="177" a="1"/>
  <c r="V27" i="177" a="1"/>
  <c r="G25" i="177" a="1"/>
  <c r="D51" i="177" a="1"/>
  <c r="F31" i="177" a="1"/>
  <c r="U30" i="102" a="1"/>
  <c r="R62" i="177" a="1"/>
  <c r="C65" i="177" a="1"/>
  <c r="D26" i="177" a="1"/>
  <c r="Z55" i="177" a="1"/>
  <c r="M11" i="177" a="1"/>
  <c r="R19" i="177" a="1"/>
  <c r="E6" i="177" a="1"/>
  <c r="V5" i="177" a="1"/>
  <c r="C56" i="177" a="1"/>
  <c r="D6" i="177" a="1"/>
  <c r="AH6" i="260" a="1"/>
  <c r="N63" i="177" a="1"/>
  <c r="Q40" i="177" a="1"/>
  <c r="W24" i="177" a="1"/>
  <c r="X38" i="177" a="1"/>
  <c r="D50" i="177" a="1"/>
  <c r="C8" i="177" a="1"/>
  <c r="O28" i="177" a="1"/>
  <c r="BU28" i="260" a="1"/>
  <c r="W18" i="177" a="1"/>
  <c r="P8" i="177" a="1"/>
  <c r="S8" i="177" a="1"/>
  <c r="AQ5" i="260" a="1"/>
  <c r="V3" i="177" a="1"/>
  <c r="X29" i="177" a="1"/>
  <c r="T19" i="177" a="1"/>
  <c r="E64" i="177" a="1"/>
  <c r="F24" i="177" a="1"/>
  <c r="R22" i="177" a="1"/>
  <c r="G10" i="260" a="1"/>
  <c r="AD16" i="260" a="1"/>
  <c r="K9" i="177" a="1"/>
  <c r="I24" i="177" a="1"/>
  <c r="W54" i="177" a="1"/>
  <c r="C14" i="177" a="1"/>
  <c r="G65" i="177" a="1"/>
  <c r="N46" i="177" a="1"/>
  <c r="L9" i="177" a="1"/>
  <c r="L17" i="177" a="1"/>
  <c r="I45" i="177" a="1"/>
  <c r="BQ24" i="260" a="1"/>
  <c r="V14" i="260" a="1"/>
  <c r="X21" i="177" a="1"/>
  <c r="BM15" i="260" a="1"/>
  <c r="AD28" i="260" a="1"/>
  <c r="P42" i="177" a="1"/>
  <c r="D62" i="177" a="1"/>
  <c r="E59" i="177" a="1"/>
  <c r="H20" i="177" a="1"/>
  <c r="O29" i="177" a="1"/>
  <c r="N47" i="177" a="1"/>
  <c r="U29" i="102" a="1"/>
  <c r="D61" i="177" a="1"/>
  <c r="S56" i="177" a="1"/>
  <c r="K21" i="177" a="1"/>
  <c r="V65" i="177" a="1"/>
  <c r="S36" i="177" a="1"/>
  <c r="L43" i="177" a="1"/>
  <c r="L51" i="177" a="1"/>
  <c r="D20" i="177" a="1"/>
  <c r="Q33" i="177" a="1"/>
  <c r="U9" i="177" a="1"/>
  <c r="X32" i="177" a="1"/>
  <c r="J60" i="177" a="1"/>
  <c r="T57" i="177" a="1"/>
  <c r="I12" i="177" a="1"/>
  <c r="M15" i="177" a="1"/>
  <c r="C9" i="177" a="1"/>
  <c r="Q31" i="177" a="1"/>
  <c r="Z49" i="177" a="1"/>
  <c r="S35" i="177" a="1"/>
  <c r="AN22" i="260" a="1"/>
  <c r="P62" i="177" a="1"/>
  <c r="H29" i="177" a="1"/>
  <c r="N5" i="177" a="1"/>
  <c r="E63" i="177" a="1"/>
  <c r="AD9" i="260" a="1"/>
  <c r="G7" i="260" a="1"/>
  <c r="H54" i="177" a="1"/>
  <c r="R52" i="177" a="1"/>
  <c r="D30" i="177" a="1"/>
  <c r="V24" i="177" a="1"/>
  <c r="D45" i="177" a="1"/>
  <c r="Y11" i="177" a="1"/>
  <c r="N7" i="260" a="1"/>
  <c r="T11" i="177" a="1"/>
  <c r="W17" i="177" a="1"/>
  <c r="Y37" i="177" a="1"/>
  <c r="H33" i="177" a="1"/>
  <c r="V30" i="177" a="1"/>
  <c r="C40" i="177" a="1"/>
  <c r="C30" i="177" a="1"/>
  <c r="I10" i="177" a="1"/>
  <c r="Z13" i="260" a="1"/>
  <c r="BQ10" i="260" a="1"/>
  <c r="AQ23" i="260" a="1"/>
  <c r="U55" i="177" a="1"/>
  <c r="V15" i="260" a="1"/>
  <c r="J14" i="177" a="1"/>
  <c r="T36" i="177" a="1"/>
  <c r="U9" i="102" a="1"/>
  <c r="V64" i="177" a="1"/>
  <c r="K59" i="177" a="1"/>
  <c r="BF20" i="260" a="1"/>
  <c r="L7" i="177" a="1"/>
  <c r="AN18" i="260" a="1"/>
  <c r="V43" i="177" a="1"/>
  <c r="R8" i="177" a="1"/>
  <c r="M26" i="177" a="1"/>
  <c r="L3" i="177" a="1"/>
  <c r="J36" i="177" a="1"/>
  <c r="I35" i="177" a="1"/>
  <c r="K7" i="177" a="1"/>
  <c r="P9" i="177" a="1"/>
  <c r="F15" i="177" a="1"/>
  <c r="U60" i="177" a="1"/>
  <c r="S41" i="177" a="1"/>
  <c r="Z26" i="260" a="1"/>
  <c r="K49" i="177" a="1"/>
  <c r="R46" i="177" a="1"/>
  <c r="W43" i="177" a="1"/>
  <c r="M42" i="177" a="1"/>
  <c r="K53" i="177" a="1"/>
  <c r="O15" i="177" a="1"/>
  <c r="L26" i="177" a="1"/>
  <c r="E37" i="177" a="1"/>
  <c r="G19" i="177" a="1"/>
  <c r="G56" i="177" a="1"/>
  <c r="BQ8" i="260" a="1"/>
  <c r="D24" i="177" a="1"/>
  <c r="Z24" i="260" a="1"/>
  <c r="O22" i="177" a="1"/>
  <c r="X19" i="177" a="1"/>
  <c r="Y49" i="177" a="1"/>
  <c r="V11" i="260" a="1"/>
  <c r="BJ15" i="260" a="1"/>
  <c r="AQ19" i="260" a="1"/>
  <c r="H16" i="177" a="1"/>
  <c r="E27" i="177" a="1"/>
  <c r="T17" i="177" a="1"/>
  <c r="L54" i="177" a="1"/>
  <c r="BF26" i="260" a="1"/>
  <c r="BF26" i="260" l="1"/>
  <c r="L54" i="177"/>
  <c r="T17" i="177"/>
  <c r="E27" i="177"/>
  <c r="H16" i="177"/>
  <c r="AQ19" i="260"/>
  <c r="BJ15" i="260"/>
  <c r="V11" i="260"/>
  <c r="Y49" i="177"/>
  <c r="X19" i="177"/>
  <c r="O22" i="177"/>
  <c r="Z24" i="260"/>
  <c r="D24" i="177"/>
  <c r="BQ8" i="260"/>
  <c r="G56" i="177"/>
  <c r="G19" i="177"/>
  <c r="E37" i="177"/>
  <c r="L26" i="177"/>
  <c r="O15" i="177"/>
  <c r="K53" i="177"/>
  <c r="M42" i="177"/>
  <c r="W43" i="177"/>
  <c r="R46" i="177"/>
  <c r="K49" i="177"/>
  <c r="Z26" i="260"/>
  <c r="S41" i="177"/>
  <c r="U60" i="177"/>
  <c r="F15" i="177"/>
  <c r="P9" i="177"/>
  <c r="K7" i="177"/>
  <c r="I35" i="177"/>
  <c r="J36" i="177"/>
  <c r="L3" i="177"/>
  <c r="M26" i="177"/>
  <c r="R8" i="177"/>
  <c r="V43" i="177"/>
  <c r="AN18" i="260"/>
  <c r="L7" i="177"/>
  <c r="BF20" i="260"/>
  <c r="K59" i="177"/>
  <c r="V64" i="177"/>
  <c r="U9" i="102"/>
  <c r="T36" i="177"/>
  <c r="J14" i="177"/>
  <c r="V15" i="260"/>
  <c r="U55" i="177"/>
  <c r="AQ23" i="260"/>
  <c r="BQ10" i="260"/>
  <c r="Z13" i="260"/>
  <c r="I10" i="177"/>
  <c r="C30" i="177"/>
  <c r="C40" i="177"/>
  <c r="V30" i="177"/>
  <c r="H33" i="177"/>
  <c r="Y37" i="177"/>
  <c r="W17" i="177"/>
  <c r="T11" i="177"/>
  <c r="N7" i="260"/>
  <c r="Y11" i="177"/>
  <c r="D45" i="177"/>
  <c r="V24" i="177"/>
  <c r="D30" i="177"/>
  <c r="R52" i="177"/>
  <c r="H54" i="177"/>
  <c r="G7" i="260"/>
  <c r="AD9" i="260"/>
  <c r="E63" i="177"/>
  <c r="N5" i="177"/>
  <c r="H29" i="177"/>
  <c r="P62" i="177"/>
  <c r="AN22" i="260"/>
  <c r="S35" i="177"/>
  <c r="Z49" i="177"/>
  <c r="Q31" i="177"/>
  <c r="C9" i="177"/>
  <c r="M15" i="177"/>
  <c r="I12" i="177"/>
  <c r="T57" i="177"/>
  <c r="J60" i="177"/>
  <c r="X32" i="177"/>
  <c r="U9" i="177"/>
  <c r="Q33" i="177"/>
  <c r="D20" i="177"/>
  <c r="L51" i="177"/>
  <c r="L43" i="177"/>
  <c r="S36" i="177"/>
  <c r="V65" i="177"/>
  <c r="K21" i="177"/>
  <c r="S56" i="177"/>
  <c r="D61" i="177"/>
  <c r="U29" i="102"/>
  <c r="N47" i="177"/>
  <c r="O29" i="177"/>
  <c r="H20" i="177"/>
  <c r="E59" i="177"/>
  <c r="D62" i="177"/>
  <c r="P42" i="177"/>
  <c r="AD28" i="260"/>
  <c r="BM15" i="260"/>
  <c r="X21" i="177"/>
  <c r="V14" i="260"/>
  <c r="BQ24" i="260"/>
  <c r="I45" i="177"/>
  <c r="L17" i="177"/>
  <c r="L9" i="177"/>
  <c r="N46" i="177"/>
  <c r="G65" i="177"/>
  <c r="C14" i="177"/>
  <c r="W54" i="177"/>
  <c r="I24" i="177"/>
  <c r="K9" i="177"/>
  <c r="AD16" i="260"/>
  <c r="G10" i="260"/>
  <c r="R22" i="177"/>
  <c r="F24" i="177"/>
  <c r="E64" i="177"/>
  <c r="T19" i="177"/>
  <c r="X29" i="177"/>
  <c r="V3" i="177"/>
  <c r="AQ5" i="260"/>
  <c r="S8" i="177"/>
  <c r="P8" i="177"/>
  <c r="W18" i="177"/>
  <c r="BU28" i="260"/>
  <c r="O28" i="177"/>
  <c r="C8" i="177"/>
  <c r="D50" i="177"/>
  <c r="X38" i="177"/>
  <c r="W24" i="177"/>
  <c r="Q40" i="177"/>
  <c r="N63" i="177"/>
  <c r="AH6" i="260"/>
  <c r="D6" i="177"/>
  <c r="C56" i="177"/>
  <c r="V5" i="177"/>
  <c r="E6" i="177"/>
  <c r="R19" i="177"/>
  <c r="M11" i="177"/>
  <c r="Z55" i="177"/>
  <c r="D26" i="177"/>
  <c r="C65" i="177"/>
  <c r="R62" i="177"/>
  <c r="U30" i="102"/>
  <c r="F31" i="177"/>
  <c r="D51" i="177"/>
  <c r="G25" i="177"/>
  <c r="V27" i="177"/>
  <c r="T33" i="177"/>
  <c r="O6" i="177"/>
  <c r="J7" i="260"/>
  <c r="N19" i="260"/>
  <c r="AV10" i="260"/>
  <c r="I4" i="177"/>
  <c r="BF25" i="260"/>
  <c r="M53" i="177"/>
  <c r="BQ26" i="260"/>
  <c r="J33" i="177"/>
  <c r="M60" i="177"/>
  <c r="O51" i="177"/>
  <c r="S48" i="177"/>
  <c r="K46" i="177"/>
  <c r="O11" i="177"/>
  <c r="S51" i="177"/>
  <c r="H30" i="177"/>
  <c r="AD23" i="260"/>
  <c r="I23" i="177"/>
  <c r="Z6" i="177"/>
  <c r="O61" i="177"/>
  <c r="N26" i="177"/>
  <c r="R45" i="177"/>
  <c r="R21" i="177"/>
  <c r="T48" i="177"/>
  <c r="P49" i="177"/>
  <c r="Z14" i="260"/>
  <c r="L40" i="177"/>
  <c r="S61" i="177"/>
  <c r="M41" i="177"/>
  <c r="L5" i="177"/>
  <c r="Z44" i="177"/>
  <c r="R6" i="177"/>
  <c r="P43" i="177"/>
  <c r="K48" i="177"/>
  <c r="P25" i="177"/>
  <c r="AN26" i="260"/>
  <c r="Y56" i="177"/>
  <c r="U9" i="251"/>
  <c r="S12" i="177"/>
  <c r="L38" i="177"/>
  <c r="P55" i="177"/>
  <c r="L23" i="177"/>
  <c r="J16" i="177"/>
  <c r="I43" i="177"/>
  <c r="U4" i="177"/>
  <c r="W57" i="177"/>
  <c r="H31" i="177"/>
  <c r="N6" i="260"/>
  <c r="F27" i="177"/>
  <c r="F44" i="177"/>
  <c r="U53" i="177"/>
  <c r="U40" i="102"/>
  <c r="U46" i="177"/>
  <c r="X44" i="177"/>
  <c r="O54" i="177"/>
  <c r="G15" i="260"/>
  <c r="BM7" i="260"/>
  <c r="U41" i="251"/>
  <c r="E13" i="177"/>
  <c r="BJ24" i="260"/>
  <c r="T59" i="177"/>
  <c r="V17" i="260"/>
  <c r="G59" i="177"/>
  <c r="O53" i="177"/>
  <c r="J5" i="260"/>
  <c r="W53" i="177"/>
  <c r="J23" i="260"/>
  <c r="D27" i="177"/>
  <c r="BJ9" i="260"/>
  <c r="G23" i="177"/>
  <c r="S40" i="177"/>
  <c r="Y32" i="177"/>
  <c r="Q61" i="177"/>
  <c r="L53" i="177"/>
  <c r="S17" i="177"/>
  <c r="R60" i="177"/>
  <c r="O39" i="177"/>
  <c r="E8" i="177"/>
  <c r="E52" i="177"/>
  <c r="U31" i="251"/>
  <c r="F58" i="177"/>
  <c r="Z27" i="260"/>
  <c r="U21" i="177"/>
  <c r="D40" i="177"/>
  <c r="J7" i="177"/>
  <c r="P21" i="177"/>
  <c r="F35" i="177"/>
  <c r="P20" i="177"/>
  <c r="U31" i="177"/>
  <c r="T24" i="177"/>
  <c r="G12" i="260"/>
  <c r="Z63" i="177"/>
  <c r="I30" i="177"/>
  <c r="BM19" i="260"/>
  <c r="X13" i="177"/>
  <c r="P51" i="177"/>
  <c r="J38" i="177"/>
  <c r="H39" i="177"/>
  <c r="T28" i="177"/>
  <c r="Z53" i="177"/>
  <c r="W10" i="177"/>
  <c r="Z42" i="177"/>
  <c r="X18" i="177"/>
  <c r="F59" i="177"/>
  <c r="T43" i="177"/>
  <c r="S3" i="177"/>
  <c r="G60" i="177"/>
  <c r="J20" i="177"/>
  <c r="BU18" i="260"/>
  <c r="T20" i="177"/>
  <c r="Q36" i="177"/>
  <c r="N12" i="260"/>
  <c r="P63" i="177"/>
  <c r="Y19" i="177"/>
  <c r="P40" i="177"/>
  <c r="V38" i="177"/>
  <c r="BF13" i="260"/>
  <c r="W36" i="177"/>
  <c r="Z9" i="177"/>
  <c r="J48" i="177"/>
  <c r="BQ13" i="260"/>
  <c r="BU12" i="260"/>
  <c r="E53" i="177"/>
  <c r="X3" i="177"/>
  <c r="E3" i="177"/>
  <c r="BM13" i="260"/>
  <c r="C26" i="177"/>
  <c r="BU8" i="260"/>
  <c r="O3" i="177"/>
  <c r="D9" i="177"/>
  <c r="BU9" i="260"/>
  <c r="N17" i="177"/>
  <c r="P45" i="177"/>
  <c r="O30" i="177"/>
  <c r="N38" i="177"/>
  <c r="AD21" i="260"/>
  <c r="R14" i="177"/>
  <c r="BF12" i="260"/>
  <c r="BF6" i="260"/>
  <c r="U64" i="177"/>
  <c r="O17" i="177"/>
  <c r="U21" i="102"/>
  <c r="C20" i="177"/>
  <c r="G20" i="177"/>
  <c r="I29" i="177"/>
  <c r="S44" i="177"/>
  <c r="U43" i="177"/>
  <c r="P7" i="177"/>
  <c r="M24" i="177"/>
  <c r="Z19" i="177"/>
  <c r="T46" i="177"/>
  <c r="N23" i="260"/>
  <c r="BF15" i="260"/>
  <c r="E61" i="177"/>
  <c r="K31" i="177"/>
  <c r="Z13" i="177"/>
  <c r="X23" i="177"/>
  <c r="V60" i="177"/>
  <c r="Z6" i="260"/>
  <c r="O31" i="177"/>
  <c r="G6" i="260"/>
  <c r="Q47" i="177"/>
  <c r="P60" i="177"/>
  <c r="R24" i="177"/>
  <c r="O56" i="177"/>
  <c r="L33" i="177"/>
  <c r="BJ20" i="260"/>
  <c r="W55" i="177"/>
  <c r="X8" i="177"/>
  <c r="BM10" i="260"/>
  <c r="U49" i="177"/>
  <c r="AD25" i="260"/>
  <c r="Q64" i="177"/>
  <c r="U39" i="177"/>
  <c r="P52" i="177"/>
  <c r="G11" i="260"/>
  <c r="V42" i="177"/>
  <c r="M9" i="177"/>
  <c r="U37" i="177"/>
  <c r="Y36" i="177"/>
  <c r="P5" i="177"/>
  <c r="H28" i="177"/>
  <c r="V35" i="177"/>
  <c r="M49" i="177"/>
  <c r="E11" i="177"/>
  <c r="O4" i="177"/>
  <c r="F62" i="177"/>
  <c r="F3" i="177"/>
  <c r="AH28" i="260"/>
  <c r="H59" i="177"/>
  <c r="F60" i="177"/>
  <c r="L58" i="177"/>
  <c r="P12" i="177"/>
  <c r="BF9" i="260"/>
  <c r="Z33" i="177"/>
  <c r="X43" i="177"/>
  <c r="M27" i="177"/>
  <c r="C10" i="177"/>
  <c r="C61" i="177"/>
  <c r="AV17" i="260"/>
  <c r="N16" i="177"/>
  <c r="F51" i="177"/>
  <c r="K24" i="177"/>
  <c r="N22" i="177"/>
  <c r="F38" i="177"/>
  <c r="AD10" i="260"/>
  <c r="H43" i="177"/>
  <c r="S5" i="177"/>
  <c r="X36" i="177"/>
  <c r="Z21" i="177"/>
  <c r="K52" i="177"/>
  <c r="Q59" i="177"/>
  <c r="O59" i="177"/>
  <c r="T8" i="177"/>
  <c r="S58" i="177"/>
  <c r="N51" i="177"/>
  <c r="G31" i="177"/>
  <c r="S25" i="177"/>
  <c r="BJ22" i="260"/>
  <c r="O49" i="177"/>
  <c r="N12" i="177"/>
  <c r="I27" i="177"/>
  <c r="Y25" i="177"/>
  <c r="V23" i="260"/>
  <c r="E18" i="177"/>
  <c r="BQ22" i="260"/>
  <c r="W40" i="177"/>
  <c r="J27" i="260"/>
  <c r="AQ20" i="260"/>
  <c r="U27" i="177"/>
  <c r="N61" i="177"/>
  <c r="Z15" i="177"/>
  <c r="H52" i="177"/>
  <c r="Z10" i="260"/>
  <c r="Y55" i="177"/>
  <c r="M47" i="177"/>
  <c r="J54" i="177"/>
  <c r="S18" i="177"/>
  <c r="BF18" i="260"/>
  <c r="G45" i="177"/>
  <c r="G32" i="177"/>
  <c r="S57" i="177"/>
  <c r="U50" i="177"/>
  <c r="W22" i="177"/>
  <c r="V37" i="177"/>
  <c r="F29" i="177"/>
  <c r="W14" i="177"/>
  <c r="BM23" i="260"/>
  <c r="E60" i="177"/>
  <c r="N35" i="177"/>
  <c r="BM9" i="260"/>
  <c r="U47" i="177"/>
  <c r="N13" i="260"/>
  <c r="F19" i="177"/>
  <c r="H36" i="177"/>
  <c r="E65" i="177"/>
  <c r="F55" i="177"/>
  <c r="X14" i="177"/>
  <c r="R59" i="177"/>
  <c r="V33" i="177"/>
  <c r="K41" i="177"/>
  <c r="BJ16" i="260"/>
  <c r="T62" i="177"/>
  <c r="S53" i="177"/>
  <c r="V56" i="177"/>
  <c r="M28" i="177"/>
  <c r="D55" i="177"/>
  <c r="V50" i="177"/>
  <c r="D11" i="177"/>
  <c r="Y63" i="177"/>
  <c r="O38" i="177"/>
  <c r="J29" i="177"/>
  <c r="D17" i="177"/>
  <c r="Q20" i="177"/>
  <c r="V44" i="177"/>
  <c r="X35" i="177"/>
  <c r="F48" i="177"/>
  <c r="N52" i="177"/>
  <c r="O5" i="177"/>
  <c r="Y31" i="177"/>
  <c r="W3" i="177"/>
  <c r="J31" i="177"/>
  <c r="G24" i="260"/>
  <c r="Q13" i="177"/>
  <c r="M51" i="177"/>
  <c r="M57" i="177"/>
  <c r="L57" i="177"/>
  <c r="J15" i="260"/>
  <c r="R17" i="177"/>
  <c r="V20" i="177"/>
  <c r="N19" i="177"/>
  <c r="J30" i="177"/>
  <c r="AD5" i="260"/>
  <c r="C31" i="177"/>
  <c r="S62" i="177"/>
  <c r="Z8" i="260"/>
  <c r="T52" i="177"/>
  <c r="S14" i="177"/>
  <c r="AH9" i="260"/>
  <c r="M55" i="177"/>
  <c r="O65" i="177"/>
  <c r="Q25" i="177"/>
  <c r="I57" i="177"/>
  <c r="Y65" i="177"/>
  <c r="BJ18" i="260"/>
  <c r="K58" i="177"/>
  <c r="P56" i="177"/>
  <c r="G14" i="177"/>
  <c r="L50" i="177"/>
  <c r="V63" i="177"/>
  <c r="AN23" i="260"/>
  <c r="W52" i="177"/>
  <c r="V20" i="260"/>
  <c r="L13" i="177"/>
  <c r="J41" i="177"/>
  <c r="J17" i="260"/>
  <c r="K42" i="177"/>
  <c r="G18" i="260"/>
  <c r="U6" i="177"/>
  <c r="U62" i="177"/>
  <c r="E19" i="177"/>
  <c r="J43" i="177"/>
  <c r="Y41" i="177"/>
  <c r="Y4" i="177"/>
  <c r="V39" i="177"/>
  <c r="P26" i="177"/>
  <c r="O55" i="177"/>
  <c r="BQ9" i="260"/>
  <c r="N37" i="177"/>
  <c r="R64" i="177"/>
  <c r="C24" i="177"/>
  <c r="BF24" i="260"/>
  <c r="R49" i="177"/>
  <c r="N50" i="177"/>
  <c r="D59" i="177"/>
  <c r="C59" i="177"/>
  <c r="V11" i="177"/>
  <c r="AQ18" i="260"/>
  <c r="P29" i="177"/>
  <c r="BM22" i="260"/>
  <c r="R35" i="177"/>
  <c r="K55" i="177"/>
  <c r="Y43" i="177"/>
  <c r="K40" i="177"/>
  <c r="X46" i="177"/>
  <c r="Y15" i="177"/>
  <c r="W33" i="177"/>
  <c r="AD20" i="260"/>
  <c r="R37" i="177"/>
  <c r="V49" i="177"/>
  <c r="D54" i="177"/>
  <c r="E23" i="177"/>
  <c r="Z59" i="177"/>
  <c r="J22" i="260"/>
  <c r="U40" i="177"/>
  <c r="W5" i="177"/>
  <c r="U13" i="177"/>
  <c r="U29" i="251"/>
  <c r="V58" i="177"/>
  <c r="J50" i="177"/>
  <c r="AQ13" i="260"/>
  <c r="Z65" i="177"/>
  <c r="X4" i="177"/>
  <c r="O27" i="177"/>
  <c r="T64" i="177"/>
  <c r="X15" i="177"/>
  <c r="E24" i="177"/>
  <c r="N56" i="177"/>
  <c r="Z60" i="177"/>
  <c r="V12" i="260"/>
  <c r="T9" i="177"/>
  <c r="Q23" i="177"/>
  <c r="R26" i="177"/>
  <c r="L21" i="177"/>
  <c r="Z30" i="177"/>
  <c r="J12" i="177"/>
  <c r="Y40" i="177"/>
  <c r="C21" i="177"/>
  <c r="F7" i="177"/>
  <c r="BU21" i="260"/>
  <c r="O18" i="177"/>
  <c r="V24" i="260"/>
  <c r="N25" i="260"/>
  <c r="S27" i="177"/>
  <c r="N55" i="177"/>
  <c r="Z43" i="177"/>
  <c r="S13" i="177"/>
  <c r="H26" i="177"/>
  <c r="M38" i="177"/>
  <c r="Y62" i="177"/>
  <c r="V7" i="260"/>
  <c r="W11" i="177"/>
  <c r="U39" i="102"/>
  <c r="N8" i="177"/>
  <c r="F46" i="177"/>
  <c r="D43" i="177"/>
  <c r="D36" i="177"/>
  <c r="K39" i="177"/>
  <c r="Y48" i="177"/>
  <c r="V22" i="177"/>
  <c r="M20" i="177"/>
  <c r="Q45" i="177"/>
  <c r="L29" i="177"/>
  <c r="Z24" i="177"/>
  <c r="N36" i="177"/>
  <c r="Q65" i="177"/>
  <c r="F41" i="177"/>
  <c r="H14" i="177"/>
  <c r="BQ18" i="260"/>
  <c r="Z5" i="177"/>
  <c r="T41" i="177"/>
  <c r="P15" i="177"/>
  <c r="V21" i="260"/>
  <c r="U42" i="177"/>
  <c r="P16" i="177"/>
  <c r="J9" i="177"/>
  <c r="N44" i="177"/>
  <c r="H46" i="177"/>
  <c r="N3" i="177"/>
  <c r="X41" i="177"/>
  <c r="N9" i="177"/>
  <c r="Y17" i="177"/>
  <c r="BJ5" i="260"/>
  <c r="E62" i="177"/>
  <c r="I60" i="177"/>
  <c r="D13" i="177"/>
  <c r="BJ17" i="260"/>
  <c r="S6" i="177"/>
  <c r="BF5" i="260"/>
  <c r="G27" i="260"/>
  <c r="J59" i="177"/>
  <c r="F11" i="177"/>
  <c r="X7" i="177"/>
  <c r="I39" i="177"/>
  <c r="Y8" i="177"/>
  <c r="R57" i="177"/>
  <c r="F6" i="177"/>
  <c r="G43" i="177"/>
  <c r="L27" i="177"/>
  <c r="S39" i="177"/>
  <c r="T39" i="177"/>
  <c r="AQ14" i="260"/>
  <c r="R48" i="177"/>
  <c r="V10" i="177"/>
  <c r="O40" i="177"/>
  <c r="BF16" i="260"/>
  <c r="K18" i="177"/>
  <c r="U19" i="177"/>
  <c r="F5" i="177"/>
  <c r="BM26" i="260"/>
  <c r="F57" i="177"/>
  <c r="R10" i="177"/>
  <c r="L31" i="177"/>
  <c r="AD8" i="260"/>
  <c r="J3" i="177"/>
  <c r="O44" i="177"/>
  <c r="C55" i="177"/>
  <c r="C35" i="177"/>
  <c r="V10" i="260"/>
  <c r="I15" i="177"/>
  <c r="I18" i="177"/>
  <c r="S59" i="177"/>
  <c r="Y27" i="177"/>
  <c r="T37" i="177"/>
  <c r="W21" i="177"/>
  <c r="W35" i="177"/>
  <c r="BQ11" i="260"/>
  <c r="P10" i="177"/>
  <c r="Z8" i="177"/>
  <c r="D42" i="177"/>
  <c r="I36" i="177"/>
  <c r="K63" i="177"/>
  <c r="U23" i="177"/>
  <c r="D3" i="177"/>
  <c r="AV7" i="260"/>
  <c r="E58" i="177"/>
  <c r="N21" i="177"/>
  <c r="N18" i="177"/>
  <c r="X9" i="177"/>
  <c r="BJ11" i="260"/>
  <c r="X47" i="177"/>
  <c r="P22" i="177"/>
  <c r="M33" i="177"/>
  <c r="U20" i="177"/>
  <c r="J20" i="260"/>
  <c r="E51" i="177"/>
  <c r="V18" i="260"/>
  <c r="Z61" i="177"/>
  <c r="J49" i="177"/>
  <c r="L55" i="177"/>
  <c r="S30" i="177"/>
  <c r="O13" i="177"/>
  <c r="X30" i="177"/>
  <c r="Z57" i="177"/>
  <c r="X37" i="177"/>
  <c r="R20" i="177"/>
  <c r="I6" i="177"/>
  <c r="BU7" i="260"/>
  <c r="AH24" i="260"/>
  <c r="D19" i="177"/>
  <c r="AV22" i="260"/>
  <c r="G15" i="177"/>
  <c r="BU11" i="260"/>
  <c r="C39" i="177"/>
  <c r="S15" i="177"/>
  <c r="I13" i="177"/>
  <c r="BF28" i="260"/>
  <c r="J16" i="260"/>
  <c r="M17" i="177"/>
  <c r="Z20" i="177"/>
  <c r="L25" i="177"/>
  <c r="N4" i="177"/>
  <c r="H25" i="177"/>
  <c r="F63" i="177"/>
  <c r="H23" i="177"/>
  <c r="N29" i="177"/>
  <c r="Q63" i="177"/>
  <c r="J32" i="177"/>
  <c r="D28" i="177"/>
  <c r="P65" i="177"/>
  <c r="T3" i="177"/>
  <c r="P48" i="177"/>
  <c r="Q6" i="177"/>
  <c r="K60" i="177"/>
  <c r="R51" i="177"/>
  <c r="I16" i="177"/>
  <c r="Y46" i="177"/>
  <c r="F16" i="177"/>
  <c r="I25" i="177"/>
  <c r="AN6" i="260"/>
  <c r="AN7" i="260"/>
  <c r="S45" i="177"/>
  <c r="BM20" i="260"/>
  <c r="AN5" i="260"/>
  <c r="J37" i="177"/>
  <c r="O24" i="177"/>
  <c r="AH20" i="260"/>
  <c r="V19" i="177"/>
  <c r="BJ10" i="260"/>
  <c r="C57" i="177"/>
  <c r="X24" i="177"/>
  <c r="Z36" i="177"/>
  <c r="H61" i="177"/>
  <c r="F17" i="177"/>
  <c r="F4" i="177"/>
  <c r="BU27" i="260"/>
  <c r="D39" i="177"/>
  <c r="J39" i="177"/>
  <c r="BU14" i="260"/>
  <c r="J45" i="177"/>
  <c r="E28" i="177"/>
  <c r="Q21" i="177"/>
  <c r="R32" i="177"/>
  <c r="S43" i="177"/>
  <c r="Q42" i="177"/>
  <c r="I26" i="177"/>
  <c r="Y54" i="177"/>
  <c r="M61" i="177"/>
  <c r="K62" i="177"/>
  <c r="Y24" i="177"/>
  <c r="E29" i="177"/>
  <c r="P44" i="177"/>
  <c r="R42" i="177"/>
  <c r="X64" i="177"/>
  <c r="X57" i="177"/>
  <c r="K38" i="177"/>
  <c r="N14" i="177"/>
  <c r="AD18" i="260"/>
  <c r="Q57" i="177"/>
  <c r="O64" i="177"/>
  <c r="O41" i="177"/>
  <c r="P3" i="177"/>
  <c r="Z4" i="177"/>
  <c r="T5" i="177"/>
  <c r="N23" i="177"/>
  <c r="G26" i="177"/>
  <c r="Q38" i="177"/>
  <c r="R31" i="177"/>
  <c r="V16" i="177"/>
  <c r="P47" i="177"/>
  <c r="N65" i="177"/>
  <c r="T55" i="177"/>
  <c r="V27" i="260"/>
  <c r="G16" i="177"/>
  <c r="O50" i="177"/>
  <c r="AN9" i="260"/>
  <c r="L14" i="177"/>
  <c r="AH19" i="260"/>
  <c r="L52" i="177"/>
  <c r="W39" i="177"/>
  <c r="BQ15" i="260"/>
  <c r="M22" i="177"/>
  <c r="Y5" i="177"/>
  <c r="W12" i="177"/>
  <c r="M14" i="177"/>
  <c r="P23" i="177"/>
  <c r="L36" i="177"/>
  <c r="U25" i="177"/>
  <c r="U28" i="177"/>
  <c r="L63" i="177"/>
  <c r="J21" i="177"/>
  <c r="Q28" i="177"/>
  <c r="M48" i="177"/>
  <c r="V57" i="177"/>
  <c r="M40" i="177"/>
  <c r="W31" i="177"/>
  <c r="Z39" i="177"/>
  <c r="S46" i="177"/>
  <c r="T14" i="177"/>
  <c r="F20" i="177"/>
  <c r="O14" i="177"/>
  <c r="V62" i="177"/>
  <c r="BF23" i="260"/>
  <c r="BJ13" i="260"/>
  <c r="Z28" i="260"/>
  <c r="F43" i="177"/>
  <c r="Y21" i="177"/>
  <c r="H44" i="177"/>
  <c r="H6" i="177"/>
  <c r="Y9" i="177"/>
  <c r="R58" i="177"/>
  <c r="K43" i="177"/>
  <c r="AD13" i="260"/>
  <c r="W20" i="253"/>
  <c r="G3" i="177"/>
  <c r="M13" i="177"/>
  <c r="R63" i="177"/>
  <c r="V26" i="260"/>
  <c r="I19" i="177"/>
  <c r="T23" i="177"/>
  <c r="T40" i="177"/>
  <c r="H35" i="177"/>
  <c r="K15" i="177"/>
  <c r="S7" i="177"/>
  <c r="V36" i="177"/>
  <c r="BU15" i="260"/>
  <c r="L64" i="177"/>
  <c r="H19" i="177"/>
  <c r="D10" i="177"/>
  <c r="D35" i="177"/>
  <c r="BQ21" i="260"/>
  <c r="K61" i="177"/>
  <c r="Y50" i="177"/>
  <c r="D47" i="177"/>
  <c r="S23" i="177"/>
  <c r="H27" i="177"/>
  <c r="T53" i="177"/>
  <c r="U58" i="177"/>
  <c r="V16" i="260"/>
  <c r="L35" i="177"/>
  <c r="I38" i="177"/>
  <c r="L19" i="177"/>
  <c r="I9" i="177"/>
  <c r="E45" i="177"/>
  <c r="AN19" i="260"/>
  <c r="J12" i="260"/>
  <c r="J25" i="177"/>
  <c r="I52" i="177"/>
  <c r="R38" i="177"/>
  <c r="K64" i="177"/>
  <c r="E7" i="177"/>
  <c r="BM5" i="260"/>
  <c r="G22" i="177"/>
  <c r="Q55" i="177"/>
  <c r="L62" i="177"/>
  <c r="Q50" i="177"/>
  <c r="U7" i="177"/>
  <c r="N49" i="177"/>
  <c r="M31" i="177"/>
  <c r="BM12" i="260"/>
  <c r="I49" i="177"/>
  <c r="G38" i="177"/>
  <c r="U18" i="177"/>
  <c r="M29" i="177"/>
  <c r="H13" i="177"/>
  <c r="P33" i="177"/>
  <c r="T44" i="177"/>
  <c r="M64" i="177"/>
  <c r="V59" i="177"/>
  <c r="J18" i="177"/>
  <c r="P35" i="177"/>
  <c r="D33" i="177"/>
  <c r="AQ25" i="260"/>
  <c r="W37" i="177"/>
  <c r="G13" i="260"/>
  <c r="I64" i="177"/>
  <c r="U30" i="177"/>
  <c r="C43" i="177"/>
  <c r="N15" i="177"/>
  <c r="D41" i="177"/>
  <c r="U44" i="177"/>
  <c r="D57" i="177"/>
  <c r="L45" i="177"/>
  <c r="Q4" i="177"/>
  <c r="F26" i="177"/>
  <c r="K8" i="177"/>
  <c r="BU24" i="260"/>
  <c r="Y26" i="177"/>
  <c r="I54" i="177"/>
  <c r="BM17" i="260"/>
  <c r="R56" i="177"/>
  <c r="W15" i="177"/>
  <c r="AH26" i="260"/>
  <c r="M8" i="177"/>
  <c r="E36" i="177"/>
  <c r="K32" i="177"/>
  <c r="AQ27" i="260"/>
  <c r="Q11" i="177"/>
  <c r="K16" i="177"/>
  <c r="H45" i="177"/>
  <c r="V28" i="177"/>
  <c r="V14" i="177"/>
  <c r="F25" i="177"/>
  <c r="AH21" i="260"/>
  <c r="G7" i="177"/>
  <c r="AH16" i="260"/>
  <c r="S37" i="177"/>
  <c r="AD11" i="260"/>
  <c r="E26" i="177"/>
  <c r="J27" i="177"/>
  <c r="M4" i="177"/>
  <c r="V4" i="177"/>
  <c r="D64" i="177"/>
  <c r="X61" i="177"/>
  <c r="W58" i="177"/>
  <c r="H60" i="177"/>
  <c r="T30" i="177"/>
  <c r="Q44" i="177"/>
  <c r="T6" i="177"/>
  <c r="O16" i="177"/>
  <c r="Z64" i="177"/>
  <c r="T12" i="177"/>
  <c r="O45" i="177"/>
  <c r="Z23" i="260"/>
  <c r="AD26" i="260"/>
  <c r="N24" i="177"/>
  <c r="U5" i="177"/>
  <c r="U15" i="177"/>
  <c r="I3" i="177"/>
  <c r="X28" i="177"/>
  <c r="Z11" i="260"/>
  <c r="Z22" i="177"/>
  <c r="Z37" i="177"/>
  <c r="C3" i="177"/>
  <c r="AQ11" i="260"/>
  <c r="U56" i="177"/>
  <c r="E49" i="177"/>
  <c r="M3" i="177"/>
  <c r="J9" i="260"/>
  <c r="E25" i="177"/>
  <c r="R50" i="177"/>
  <c r="AQ15" i="260"/>
  <c r="L46" i="177"/>
  <c r="AD12" i="260"/>
  <c r="S26" i="177"/>
  <c r="F32" i="177"/>
  <c r="C6" i="177"/>
  <c r="T47" i="177"/>
  <c r="C36" i="177"/>
  <c r="N45" i="177"/>
  <c r="N57" i="177"/>
  <c r="AH22" i="260"/>
  <c r="U28" i="102"/>
  <c r="W60" i="177"/>
  <c r="P24" i="177"/>
  <c r="I55" i="177"/>
  <c r="I40" i="177"/>
  <c r="F33" i="177"/>
  <c r="G17" i="177"/>
  <c r="V7" i="177"/>
  <c r="D38" i="177"/>
  <c r="T15" i="177"/>
  <c r="N28" i="260"/>
  <c r="N21" i="260"/>
  <c r="I28" i="177"/>
  <c r="V17" i="177"/>
  <c r="W56" i="177"/>
  <c r="Y13" i="177"/>
  <c r="Y6" i="177"/>
  <c r="J58" i="177"/>
  <c r="M63" i="177"/>
  <c r="R7" i="177"/>
  <c r="Y64" i="177"/>
  <c r="D37" i="177"/>
  <c r="W9" i="253"/>
  <c r="E38" i="177"/>
  <c r="W4" i="177"/>
  <c r="V18" i="177"/>
  <c r="E56" i="177"/>
  <c r="I17" i="177"/>
  <c r="P57" i="177"/>
  <c r="J18" i="260"/>
  <c r="N18" i="260"/>
  <c r="H40" i="177"/>
  <c r="N39" i="177"/>
  <c r="AD24" i="260"/>
  <c r="BU26" i="260"/>
  <c r="F42" i="177"/>
  <c r="N41" i="177"/>
  <c r="P32" i="177"/>
  <c r="G46" i="177"/>
  <c r="M35" i="177"/>
  <c r="Z18" i="260"/>
  <c r="M7" i="177"/>
  <c r="E48" i="177"/>
  <c r="C28" i="177"/>
  <c r="Y53" i="177"/>
  <c r="C37" i="177"/>
  <c r="G33" i="177"/>
  <c r="E21" i="177"/>
  <c r="AN16" i="260"/>
  <c r="E31" i="177"/>
  <c r="C48" i="177"/>
  <c r="P39" i="177"/>
  <c r="C49" i="177"/>
  <c r="AQ26" i="260"/>
  <c r="M58" i="177"/>
  <c r="AH14" i="260"/>
  <c r="F49" i="177"/>
  <c r="L60" i="177"/>
  <c r="H18" i="177"/>
  <c r="C22" i="177"/>
  <c r="M21" i="177"/>
  <c r="L10" i="177"/>
  <c r="W59" i="177"/>
  <c r="R41" i="177"/>
  <c r="K23" i="177"/>
  <c r="X51" i="177"/>
  <c r="P46" i="177"/>
  <c r="BM14" i="260"/>
  <c r="X59" i="177"/>
  <c r="L41" i="177"/>
  <c r="W39" i="253"/>
  <c r="Y38" i="177"/>
  <c r="Y20" i="177"/>
  <c r="R53" i="177"/>
  <c r="Z54" i="177"/>
  <c r="AH17" i="260"/>
  <c r="X33" i="177"/>
  <c r="E16" i="177"/>
  <c r="G28" i="260"/>
  <c r="R9" i="177"/>
  <c r="E55" i="177"/>
  <c r="Q58" i="177"/>
  <c r="I63" i="177"/>
  <c r="AH13" i="260"/>
  <c r="H3" i="177"/>
  <c r="Z62" i="177"/>
  <c r="Y61" i="177"/>
  <c r="M19" i="177"/>
  <c r="Z16" i="177"/>
  <c r="AD6" i="260"/>
  <c r="R18" i="177"/>
  <c r="P19" i="177"/>
  <c r="T45" i="177"/>
  <c r="AN25" i="260"/>
  <c r="W50" i="177"/>
  <c r="S9" i="177"/>
  <c r="N60" i="177"/>
  <c r="F22" i="177"/>
  <c r="G61" i="177"/>
  <c r="J10" i="260"/>
  <c r="R65" i="177"/>
  <c r="G39" i="177"/>
  <c r="G62" i="177"/>
  <c r="I8" i="177"/>
  <c r="X27" i="177"/>
  <c r="R30" i="177"/>
  <c r="V15" i="177"/>
  <c r="AN11" i="260"/>
  <c r="Y33" i="177"/>
  <c r="O23" i="177"/>
  <c r="P50" i="177"/>
  <c r="Z15" i="260"/>
  <c r="BU19" i="260"/>
  <c r="BQ16" i="260"/>
  <c r="C17" i="177"/>
  <c r="V29" i="177"/>
  <c r="L22" i="177"/>
  <c r="Q46" i="177"/>
  <c r="V25" i="177"/>
  <c r="E15" i="177"/>
  <c r="C47" i="177"/>
  <c r="Y59" i="177"/>
  <c r="O12" i="177"/>
  <c r="N10" i="260"/>
  <c r="J28" i="177"/>
  <c r="V54" i="177"/>
  <c r="X20" i="177"/>
  <c r="U17" i="177"/>
  <c r="N30" i="177"/>
  <c r="M30" i="177"/>
  <c r="AD7" i="260"/>
  <c r="I32" i="177"/>
  <c r="AD22" i="260"/>
  <c r="I5" i="177"/>
  <c r="F56" i="177"/>
  <c r="Y22" i="177"/>
  <c r="F23" i="177"/>
  <c r="D44" i="177"/>
  <c r="K12" i="177"/>
  <c r="X26" i="177"/>
  <c r="C50" i="177"/>
  <c r="Z48" i="177"/>
  <c r="Y51" i="177"/>
  <c r="U30" i="251"/>
  <c r="S10" i="177"/>
  <c r="G42" i="177"/>
  <c r="AN24" i="260"/>
  <c r="BQ28" i="260"/>
  <c r="O57" i="177"/>
  <c r="G9" i="177"/>
  <c r="E33" i="177"/>
  <c r="J22" i="177"/>
  <c r="T25" i="177"/>
  <c r="AV9" i="260"/>
  <c r="BF17" i="260"/>
  <c r="Q19" i="177"/>
  <c r="I14" i="177"/>
  <c r="C7" i="177"/>
  <c r="Z31" i="177"/>
  <c r="E4" i="177"/>
  <c r="P58" i="177"/>
  <c r="V31" i="177"/>
  <c r="K6" i="177"/>
  <c r="C52" i="177"/>
  <c r="V19" i="260"/>
  <c r="U3" i="177"/>
  <c r="AN10" i="260"/>
  <c r="P41" i="177"/>
  <c r="S19" i="177"/>
  <c r="Y47" i="177"/>
  <c r="Z7" i="177"/>
  <c r="AV13" i="260"/>
  <c r="C44" i="177"/>
  <c r="G58" i="177"/>
  <c r="W32" i="177"/>
  <c r="BJ7" i="260"/>
  <c r="Z52" i="177"/>
  <c r="T31" i="177"/>
  <c r="D7" i="177"/>
  <c r="P53" i="177"/>
  <c r="Y16" i="177"/>
  <c r="M39" i="177"/>
  <c r="U11" i="177"/>
  <c r="N42" i="177"/>
  <c r="G5" i="260"/>
  <c r="K17" i="177"/>
  <c r="BQ23" i="260"/>
  <c r="E50" i="177"/>
  <c r="W25" i="177"/>
  <c r="J63" i="177"/>
  <c r="J5" i="177"/>
  <c r="U57" i="177"/>
  <c r="G9" i="260"/>
  <c r="Q54" i="177"/>
  <c r="M23" i="177"/>
  <c r="T26" i="177"/>
  <c r="T4" i="177"/>
  <c r="H17" i="177"/>
  <c r="W21" i="253"/>
  <c r="U16" i="177"/>
  <c r="Q56" i="177"/>
  <c r="G11" i="177"/>
  <c r="D4" i="177"/>
  <c r="V22" i="260"/>
  <c r="O43" i="177"/>
  <c r="W41" i="253"/>
  <c r="S20" i="177"/>
  <c r="H8" i="177"/>
  <c r="G40" i="177"/>
  <c r="G5" i="177"/>
  <c r="Z16" i="260"/>
  <c r="K26" i="177"/>
  <c r="D21" i="177"/>
  <c r="J53" i="177"/>
  <c r="W13" i="177"/>
  <c r="BJ12" i="260"/>
  <c r="U48" i="177"/>
  <c r="U26" i="177"/>
  <c r="E54" i="177"/>
  <c r="J24" i="177"/>
  <c r="V21" i="177"/>
  <c r="G4" i="177"/>
  <c r="Y12" i="177"/>
  <c r="K35" i="177"/>
  <c r="W44" i="177"/>
  <c r="W48" i="177"/>
  <c r="Q12" i="177"/>
  <c r="X52" i="177"/>
  <c r="C33" i="177"/>
  <c r="D56" i="177"/>
  <c r="W19" i="177"/>
  <c r="R28" i="177"/>
  <c r="N33" i="177"/>
  <c r="O52" i="177"/>
  <c r="U14" i="177"/>
  <c r="C18" i="177"/>
  <c r="Z50" i="177"/>
  <c r="Y18" i="177"/>
  <c r="Q14" i="177"/>
  <c r="F10" i="177"/>
  <c r="Y60" i="177"/>
  <c r="U12" i="177"/>
  <c r="T42" i="177"/>
  <c r="I59" i="177"/>
  <c r="BQ6" i="260"/>
  <c r="BF21" i="260"/>
  <c r="M65" i="177"/>
  <c r="N59" i="177"/>
  <c r="W51" i="177"/>
  <c r="N64" i="177"/>
  <c r="J6" i="177"/>
  <c r="Z41" i="177"/>
  <c r="T50" i="177"/>
  <c r="W7" i="177"/>
  <c r="H64" i="177"/>
  <c r="AV8" i="260"/>
  <c r="H53" i="177"/>
  <c r="R5" i="177"/>
  <c r="AQ16" i="260"/>
  <c r="F13" i="177"/>
  <c r="L4" i="177"/>
  <c r="P36" i="177"/>
  <c r="G20" i="260"/>
  <c r="BF19" i="260"/>
  <c r="J62" i="177"/>
  <c r="V40" i="177"/>
  <c r="D18" i="177"/>
  <c r="S50" i="177"/>
  <c r="T60" i="177"/>
  <c r="Q18" i="177"/>
  <c r="N54" i="177"/>
  <c r="G14" i="260"/>
  <c r="S22" i="177"/>
  <c r="L48" i="177"/>
  <c r="X39" i="177"/>
  <c r="AH11" i="260"/>
  <c r="E47" i="177"/>
  <c r="W64" i="177"/>
  <c r="T56" i="177"/>
  <c r="N31" i="177"/>
  <c r="E32" i="177"/>
  <c r="J52" i="177"/>
  <c r="J10" i="177"/>
  <c r="T18" i="177"/>
  <c r="P28" i="177"/>
  <c r="E14" i="177"/>
  <c r="BF22" i="260"/>
  <c r="R40" i="177"/>
  <c r="S55" i="177"/>
  <c r="L18" i="177"/>
  <c r="Z27" i="177"/>
  <c r="H37" i="177"/>
  <c r="Z12" i="177"/>
  <c r="V55" i="177"/>
  <c r="S54" i="177"/>
  <c r="C15" i="177"/>
  <c r="R15" i="177"/>
  <c r="BF11" i="260"/>
  <c r="K27" i="177"/>
  <c r="F36" i="177"/>
  <c r="G16" i="260"/>
  <c r="D16" i="177"/>
  <c r="V51" i="177"/>
  <c r="G49" i="177"/>
  <c r="AN28" i="260"/>
  <c r="C54" i="177"/>
  <c r="L11" i="177"/>
  <c r="V41" i="177"/>
  <c r="P61" i="177"/>
  <c r="P13" i="177"/>
  <c r="I11" i="177"/>
  <c r="AH10" i="260"/>
  <c r="E42" i="177"/>
  <c r="Y45" i="177"/>
  <c r="I21" i="177"/>
  <c r="L37" i="177"/>
  <c r="S24" i="177"/>
  <c r="C51" i="177"/>
  <c r="H49" i="177"/>
  <c r="BM16" i="260"/>
  <c r="W42" i="253"/>
  <c r="T13" i="177"/>
  <c r="S64" i="177"/>
  <c r="O33" i="177"/>
  <c r="N9" i="260"/>
  <c r="N10" i="177"/>
  <c r="C13" i="177"/>
  <c r="O25" i="177"/>
  <c r="AV18" i="260"/>
  <c r="S38" i="177"/>
  <c r="L28" i="177"/>
  <c r="Z18" i="177"/>
  <c r="AQ6" i="260"/>
  <c r="F50" i="177"/>
  <c r="I56" i="177"/>
  <c r="R13" i="177"/>
  <c r="I33" i="177"/>
  <c r="O35" i="177"/>
  <c r="H7" i="177"/>
  <c r="P31" i="177"/>
  <c r="H10" i="177"/>
  <c r="T7" i="177"/>
  <c r="I65" i="177"/>
  <c r="V26" i="177"/>
  <c r="N25" i="177"/>
  <c r="K28" i="177"/>
  <c r="H32" i="177"/>
  <c r="Z40" i="177"/>
  <c r="N48" i="177"/>
  <c r="K65" i="177"/>
  <c r="G21" i="177"/>
  <c r="J24" i="260"/>
  <c r="H24" i="177"/>
  <c r="D25" i="177"/>
  <c r="C4" i="177"/>
  <c r="U20" i="102"/>
  <c r="U17" i="102" s="1"/>
  <c r="U61" i="177"/>
  <c r="M44" i="177"/>
  <c r="AN8" i="260"/>
  <c r="BM28" i="260"/>
  <c r="V9" i="177"/>
  <c r="U35" i="177"/>
  <c r="Q15" i="177"/>
  <c r="G51" i="177"/>
  <c r="J57" i="177"/>
  <c r="I48" i="177"/>
  <c r="V46" i="177"/>
  <c r="R27" i="177"/>
  <c r="J55" i="177"/>
  <c r="BQ14" i="260"/>
  <c r="Z45" i="177"/>
  <c r="W40" i="253"/>
  <c r="N8" i="260"/>
  <c r="Z25" i="260"/>
  <c r="T58" i="177"/>
  <c r="I41" i="177"/>
  <c r="K30" i="177"/>
  <c r="BQ19" i="260"/>
  <c r="AD17" i="260"/>
  <c r="F37" i="177"/>
  <c r="G17" i="260"/>
  <c r="S21" i="177"/>
  <c r="U20" i="251"/>
  <c r="W46" i="177"/>
  <c r="N5" i="260"/>
  <c r="P38" i="177"/>
  <c r="K25" i="177"/>
  <c r="AN17" i="260"/>
  <c r="K37" i="177"/>
  <c r="F39" i="177"/>
  <c r="U29" i="177"/>
  <c r="Y42" i="177"/>
  <c r="Y28" i="177"/>
  <c r="S29" i="177"/>
  <c r="H57" i="177"/>
  <c r="Q49" i="177"/>
  <c r="S32" i="177"/>
  <c r="Q62" i="177"/>
  <c r="BQ5" i="260"/>
  <c r="S65" i="177"/>
  <c r="S11" i="177"/>
  <c r="AQ8" i="260"/>
  <c r="Q16" i="177"/>
  <c r="BM18" i="260"/>
  <c r="G64" i="177"/>
  <c r="G41" i="177"/>
  <c r="J26" i="260"/>
  <c r="C63" i="177"/>
  <c r="V23" i="177"/>
  <c r="T21" i="177"/>
  <c r="C16" i="177"/>
  <c r="L49" i="177"/>
  <c r="Y52" i="177"/>
  <c r="Z29" i="177"/>
  <c r="N11" i="177"/>
  <c r="Z17" i="260"/>
  <c r="AN14" i="260"/>
  <c r="BM11" i="260"/>
  <c r="X11" i="177"/>
  <c r="J13" i="260"/>
  <c r="K47" i="177"/>
  <c r="D32" i="177"/>
  <c r="M62" i="177"/>
  <c r="AH23" i="260"/>
  <c r="BF14" i="260"/>
  <c r="Q8" i="177"/>
  <c r="F30" i="177"/>
  <c r="I44" i="177"/>
  <c r="N32" i="177"/>
  <c r="J61" i="177"/>
  <c r="Y7" i="177"/>
  <c r="C29" i="177"/>
  <c r="I62" i="177"/>
  <c r="BJ27" i="260"/>
  <c r="K45" i="177"/>
  <c r="C25" i="177"/>
  <c r="P27" i="177"/>
  <c r="X10" i="177"/>
  <c r="AQ9" i="260"/>
  <c r="J8" i="177"/>
  <c r="E30" i="177"/>
  <c r="S31" i="177"/>
  <c r="Y3" i="177"/>
  <c r="G44" i="177"/>
  <c r="X65" i="177"/>
  <c r="M10" i="177"/>
  <c r="Z20" i="260"/>
  <c r="N43" i="177"/>
  <c r="Z22" i="260"/>
  <c r="K20" i="177"/>
  <c r="W61" i="177"/>
  <c r="K51" i="177"/>
  <c r="U38" i="177"/>
  <c r="X49" i="177"/>
  <c r="Z32" i="177"/>
  <c r="W41" i="177"/>
  <c r="J23" i="177"/>
  <c r="R39" i="177"/>
  <c r="G30" i="177"/>
  <c r="N28" i="177"/>
  <c r="V32" i="177"/>
  <c r="BM6" i="260"/>
  <c r="V13" i="260"/>
  <c r="Q51" i="177"/>
  <c r="T54" i="177"/>
  <c r="N27" i="260"/>
  <c r="H50" i="177"/>
  <c r="D53" i="177"/>
  <c r="G54" i="177"/>
  <c r="BU23" i="260"/>
  <c r="BU6" i="260"/>
  <c r="I50" i="177"/>
  <c r="X50" i="177"/>
  <c r="D8" i="177"/>
  <c r="F52" i="177"/>
  <c r="J8" i="260"/>
  <c r="Z28" i="177"/>
  <c r="H62" i="177"/>
  <c r="U45" i="177"/>
  <c r="Y30" i="177"/>
  <c r="H12" i="177"/>
  <c r="J19" i="177"/>
  <c r="X56" i="177"/>
  <c r="AQ17" i="260"/>
  <c r="Q29" i="177"/>
  <c r="AV15" i="260"/>
  <c r="O10" i="177"/>
  <c r="X16" i="177"/>
  <c r="O26" i="177"/>
  <c r="D29" i="177"/>
  <c r="K50" i="177"/>
  <c r="U65" i="177"/>
  <c r="J35" i="177"/>
  <c r="D31" i="177"/>
  <c r="K14" i="177"/>
  <c r="L32" i="177"/>
  <c r="L12" i="177"/>
  <c r="Y23" i="177"/>
  <c r="V5" i="260"/>
  <c r="Y14" i="177"/>
  <c r="AV12" i="260"/>
  <c r="E46" i="177"/>
  <c r="I22" i="177"/>
  <c r="R3" i="177"/>
  <c r="H9" i="177"/>
  <c r="T10" i="177"/>
  <c r="F65" i="177"/>
  <c r="V61" i="177"/>
  <c r="V53" i="177"/>
  <c r="Y35" i="177"/>
  <c r="D22" i="177"/>
  <c r="O32" i="177"/>
  <c r="D5" i="177"/>
  <c r="X17" i="177"/>
  <c r="J51" i="177"/>
  <c r="H55" i="177"/>
  <c r="T38" i="177"/>
  <c r="L65" i="177"/>
  <c r="BM25" i="260"/>
  <c r="N27" i="177"/>
  <c r="AV23" i="260"/>
  <c r="S60" i="177"/>
  <c r="Z58" i="177"/>
  <c r="D49" i="177"/>
  <c r="BU20" i="260"/>
  <c r="D23" i="177"/>
  <c r="H63" i="177"/>
  <c r="R4" i="177"/>
  <c r="J4" i="177"/>
  <c r="X53" i="177"/>
  <c r="V8" i="177"/>
  <c r="F21" i="177"/>
  <c r="BU10" i="260"/>
  <c r="BJ6" i="260"/>
  <c r="K56" i="177"/>
  <c r="J25" i="260"/>
  <c r="X62" i="177"/>
  <c r="F18" i="177"/>
  <c r="C46" i="177"/>
  <c r="G10" i="177"/>
  <c r="G1" i="177" s="1"/>
  <c r="Z21" i="260"/>
  <c r="E40" i="177"/>
  <c r="T49" i="177"/>
  <c r="BU25" i="260"/>
  <c r="Q60" i="177"/>
  <c r="X22" i="177"/>
  <c r="R36" i="177"/>
  <c r="G52" i="177"/>
  <c r="AH18" i="260"/>
  <c r="L8" i="177"/>
  <c r="U33" i="177"/>
  <c r="AQ24" i="260"/>
  <c r="F45" i="177"/>
  <c r="K19" i="177"/>
  <c r="W26" i="177"/>
  <c r="BQ17" i="260"/>
  <c r="M25" i="177"/>
  <c r="H15" i="177"/>
  <c r="G19" i="260"/>
  <c r="G35" i="177"/>
  <c r="Q37" i="177"/>
  <c r="U36" i="177"/>
  <c r="E43" i="177"/>
  <c r="U22" i="177"/>
  <c r="D63" i="177"/>
  <c r="C58" i="177"/>
  <c r="AH7" i="260"/>
  <c r="AV28" i="260"/>
  <c r="W47" i="177"/>
  <c r="W63" i="177"/>
  <c r="Z25" i="177"/>
  <c r="D12" i="177"/>
  <c r="O7" i="177"/>
  <c r="AN21" i="260"/>
  <c r="G13" i="177"/>
  <c r="X58" i="177"/>
  <c r="N62" i="177"/>
  <c r="P64" i="177"/>
  <c r="Y29" i="177"/>
  <c r="R44" i="177"/>
  <c r="V52" i="177"/>
  <c r="C62" i="177"/>
  <c r="BJ23" i="260"/>
  <c r="D65" i="177"/>
  <c r="Q35" i="177"/>
  <c r="AV21" i="260"/>
  <c r="U32" i="177"/>
  <c r="U54" i="177"/>
  <c r="L6" i="177"/>
  <c r="M32" i="177"/>
  <c r="O20" i="177"/>
  <c r="D46" i="177"/>
  <c r="Z10" i="177"/>
  <c r="K57" i="177"/>
  <c r="W30" i="177"/>
  <c r="L59" i="177"/>
  <c r="G57" i="177"/>
  <c r="Q53" i="177"/>
  <c r="G36" i="177"/>
  <c r="L56" i="177"/>
  <c r="Q7" i="177"/>
  <c r="H47" i="177"/>
  <c r="AQ28" i="260"/>
  <c r="S52" i="177"/>
  <c r="F9" i="177"/>
  <c r="R23" i="177"/>
  <c r="J44" i="177"/>
  <c r="F8" i="177"/>
  <c r="T22" i="177"/>
  <c r="K22" i="177"/>
  <c r="G21" i="260"/>
  <c r="BU5" i="260"/>
  <c r="AH12" i="260"/>
  <c r="N22" i="260"/>
  <c r="AD14" i="260"/>
  <c r="I58" i="177"/>
  <c r="P54" i="177"/>
  <c r="V25" i="260"/>
  <c r="BF7" i="260"/>
  <c r="I47" i="177"/>
  <c r="I42" i="177"/>
  <c r="Q3" i="177"/>
  <c r="J46" i="177"/>
  <c r="Y10" i="177"/>
  <c r="Y39" i="177"/>
  <c r="M43" i="177"/>
  <c r="G24" i="177"/>
  <c r="L42" i="177"/>
  <c r="U63" i="177"/>
  <c r="K36" i="177"/>
  <c r="BJ21" i="260"/>
  <c r="AQ22" i="260"/>
  <c r="O58" i="177"/>
  <c r="W27" i="177"/>
  <c r="U41" i="177"/>
  <c r="Z46" i="177"/>
  <c r="E20" i="177"/>
  <c r="X48" i="177"/>
  <c r="U40" i="251"/>
  <c r="U37" i="251" s="1"/>
  <c r="V13" i="177"/>
  <c r="I61" i="177"/>
  <c r="S47" i="177"/>
  <c r="Q17" i="177"/>
  <c r="P17" i="177"/>
  <c r="C32" i="177"/>
  <c r="I37" i="177"/>
  <c r="F64" i="177"/>
  <c r="K5" i="177"/>
  <c r="G55" i="177"/>
  <c r="Q43" i="177"/>
  <c r="U10" i="177"/>
  <c r="G26" i="260"/>
  <c r="N16" i="260"/>
  <c r="M6" i="177"/>
  <c r="E10" i="177"/>
  <c r="Q39" i="177"/>
  <c r="U31" i="102"/>
  <c r="U25" i="102" s="1"/>
  <c r="C45" i="177"/>
  <c r="AQ12" i="260"/>
  <c r="U51" i="177"/>
  <c r="W9" i="177"/>
  <c r="D58" i="177"/>
  <c r="M45" i="177"/>
  <c r="J26" i="177"/>
  <c r="G48" i="177"/>
  <c r="M52" i="177"/>
  <c r="AV27" i="260"/>
  <c r="C19" i="177"/>
  <c r="J6" i="260"/>
  <c r="G27" i="177"/>
  <c r="W62" i="177"/>
  <c r="Z23" i="177"/>
  <c r="AV16" i="260"/>
  <c r="T29" i="177"/>
  <c r="M5" i="177"/>
  <c r="V47" i="177"/>
  <c r="X12" i="177"/>
  <c r="P14" i="177"/>
  <c r="G23" i="260"/>
  <c r="F61" i="177"/>
  <c r="P37" i="177"/>
  <c r="J11" i="260"/>
  <c r="H48" i="177"/>
  <c r="Z14" i="177"/>
  <c r="W65" i="177"/>
  <c r="C27" i="177"/>
  <c r="M18" i="177"/>
  <c r="D60" i="177"/>
  <c r="Q24" i="177"/>
  <c r="C41" i="177"/>
  <c r="R29" i="177"/>
  <c r="K11" i="177"/>
  <c r="Z26" i="177"/>
  <c r="N24" i="260"/>
  <c r="J47" i="177"/>
  <c r="C11" i="177"/>
  <c r="K10" i="177"/>
  <c r="S63" i="177"/>
  <c r="I20" i="177"/>
  <c r="J15" i="177"/>
  <c r="W8" i="177"/>
  <c r="K13" i="177"/>
  <c r="L24" i="177"/>
  <c r="O8" i="177"/>
  <c r="R11" i="177"/>
  <c r="N40" i="177"/>
  <c r="F12" i="177"/>
  <c r="AN27" i="260"/>
  <c r="AH8" i="260"/>
  <c r="V9" i="260"/>
  <c r="I7" i="177"/>
  <c r="Q5" i="177"/>
  <c r="W28" i="177"/>
  <c r="Q27" i="177"/>
  <c r="H65" i="177"/>
  <c r="Z5" i="260"/>
  <c r="X60" i="177"/>
  <c r="G28" i="177"/>
  <c r="P4" i="177"/>
  <c r="G12" i="177"/>
  <c r="Z35" i="177"/>
  <c r="T16" i="177"/>
  <c r="AV11" i="260"/>
  <c r="N7" i="177"/>
  <c r="T65" i="177"/>
  <c r="M54" i="177"/>
  <c r="N15" i="260"/>
  <c r="J64" i="177"/>
  <c r="M50" i="177"/>
  <c r="J13" i="177"/>
  <c r="M16" i="177"/>
  <c r="D14" i="177"/>
  <c r="O46" i="177"/>
  <c r="J19" i="260"/>
  <c r="W29" i="253"/>
  <c r="J21" i="260"/>
  <c r="BF8" i="260"/>
  <c r="G18" i="177"/>
  <c r="P59" i="177"/>
  <c r="P18" i="177"/>
  <c r="W20" i="177"/>
  <c r="AV26" i="260"/>
  <c r="M12" i="177"/>
  <c r="K29" i="177"/>
  <c r="Q30" i="177"/>
  <c r="AH27" i="260"/>
  <c r="O62" i="177"/>
  <c r="C23" i="177"/>
  <c r="D15" i="177"/>
  <c r="V28" i="260"/>
  <c r="AH25" i="260"/>
  <c r="S28" i="177"/>
  <c r="F14" i="177"/>
  <c r="X45" i="177"/>
  <c r="AN13" i="260"/>
  <c r="BM21" i="260"/>
  <c r="H58" i="177"/>
  <c r="G63" i="177"/>
  <c r="X6" i="177"/>
  <c r="R47" i="177"/>
  <c r="BJ26" i="260"/>
  <c r="F28" i="177"/>
  <c r="F47" i="177"/>
  <c r="T63" i="177"/>
  <c r="L61" i="177"/>
  <c r="P6" i="177"/>
  <c r="V48" i="177"/>
  <c r="L15" i="177"/>
  <c r="O48" i="177"/>
  <c r="G50" i="177"/>
  <c r="AH5" i="260"/>
  <c r="F40" i="177"/>
  <c r="W28" i="253"/>
  <c r="E39" i="177"/>
  <c r="Q41" i="177"/>
  <c r="S4" i="177"/>
  <c r="AQ10" i="260"/>
  <c r="T61" i="177"/>
  <c r="Q22" i="177"/>
  <c r="O36" i="177"/>
  <c r="J28" i="260"/>
  <c r="BF10" i="260"/>
  <c r="I53" i="177"/>
  <c r="X54" i="177"/>
  <c r="T51" i="177"/>
  <c r="Z3" i="177"/>
  <c r="S16" i="177"/>
  <c r="J17" i="177"/>
  <c r="U8" i="177"/>
  <c r="V6" i="177"/>
  <c r="H42" i="177"/>
  <c r="F53" i="177"/>
  <c r="BU22" i="260"/>
  <c r="O60" i="177"/>
  <c r="X63" i="177"/>
  <c r="O21" i="177"/>
  <c r="Z38" i="177"/>
  <c r="N6" i="177"/>
  <c r="O19" i="177"/>
  <c r="BQ7" i="260"/>
  <c r="G6" i="177"/>
  <c r="AV24" i="260"/>
  <c r="Q10" i="177"/>
  <c r="E9" i="177"/>
  <c r="H56" i="177"/>
  <c r="E35" i="177"/>
  <c r="L30" i="177"/>
  <c r="U28" i="251"/>
  <c r="U25" i="251" s="1"/>
  <c r="Z56" i="177"/>
  <c r="M37" i="177"/>
  <c r="H5" i="177"/>
  <c r="I31" i="177"/>
  <c r="L20" i="177"/>
  <c r="N20" i="177"/>
  <c r="Y57" i="177"/>
  <c r="M59" i="177"/>
  <c r="W31" i="253"/>
  <c r="W25" i="253" s="1"/>
  <c r="W29" i="177"/>
  <c r="Z17" i="177"/>
  <c r="T27" i="177"/>
  <c r="G8" i="177"/>
  <c r="BJ25" i="260"/>
  <c r="R54" i="177"/>
  <c r="M56" i="177"/>
  <c r="BJ19" i="260"/>
  <c r="Z47" i="177"/>
  <c r="N26" i="260"/>
  <c r="E22" i="177"/>
  <c r="E57" i="177"/>
  <c r="L47" i="177"/>
  <c r="AD15" i="260"/>
  <c r="BU17" i="260"/>
  <c r="E17" i="177"/>
  <c r="AQ7" i="260"/>
  <c r="K54" i="177"/>
  <c r="U52" i="177"/>
  <c r="C12" i="177"/>
  <c r="G25" i="260"/>
  <c r="R16" i="177"/>
  <c r="AV6" i="260"/>
  <c r="W6" i="177"/>
  <c r="Z11" i="177"/>
  <c r="Z19" i="260"/>
  <c r="G8" i="260"/>
  <c r="AV20" i="260"/>
  <c r="N58" i="177"/>
  <c r="L44" i="177"/>
  <c r="X55" i="177"/>
  <c r="W45" i="177"/>
  <c r="H4" i="177"/>
  <c r="G22" i="260"/>
  <c r="F54" i="177"/>
  <c r="C5" i="177"/>
  <c r="X25" i="177"/>
  <c r="G53" i="177"/>
  <c r="Y58" i="177"/>
  <c r="Q32" i="177"/>
  <c r="X31" i="177"/>
  <c r="U24" i="177"/>
  <c r="J14" i="260"/>
  <c r="G37" i="177"/>
  <c r="V12" i="177"/>
  <c r="E12" i="177"/>
  <c r="BJ8" i="260"/>
  <c r="BF27" i="260"/>
  <c r="W16" i="177"/>
  <c r="E41" i="177"/>
  <c r="BQ27" i="260"/>
  <c r="AD27" i="260"/>
  <c r="H51" i="177"/>
  <c r="Z51" i="177"/>
  <c r="BJ14" i="260"/>
  <c r="L39" i="177"/>
  <c r="C64" i="177"/>
  <c r="L16" i="177"/>
  <c r="BM8" i="260"/>
  <c r="Q9" i="177"/>
  <c r="AH15" i="260"/>
  <c r="N11" i="260"/>
  <c r="G29" i="177"/>
  <c r="AV14" i="260"/>
  <c r="BM27" i="260"/>
  <c r="E5" i="177"/>
  <c r="O9" i="177"/>
  <c r="H22" i="177"/>
  <c r="BQ12" i="260"/>
  <c r="H11" i="177"/>
  <c r="O42" i="177"/>
  <c r="V8" i="260"/>
  <c r="K44" i="177"/>
  <c r="R33" i="177"/>
  <c r="BU13" i="260"/>
  <c r="Q48" i="177"/>
  <c r="J42" i="177"/>
  <c r="AN20" i="260"/>
  <c r="BQ20" i="260"/>
  <c r="Q52" i="177"/>
  <c r="D52" i="177"/>
  <c r="Y44" i="177"/>
  <c r="BJ28" i="260"/>
  <c r="K4" i="177"/>
  <c r="X40" i="177"/>
  <c r="Q26" i="177"/>
  <c r="AV5" i="260"/>
  <c r="O37" i="177"/>
  <c r="K3" i="177"/>
  <c r="N17" i="260"/>
  <c r="C60" i="177"/>
  <c r="X5" i="177"/>
  <c r="BU16" i="260"/>
  <c r="AD19" i="260"/>
  <c r="AN12" i="260"/>
  <c r="U21" i="251"/>
  <c r="U17" i="251" s="1"/>
  <c r="R25" i="177"/>
  <c r="Z9" i="260"/>
  <c r="G47" i="177"/>
  <c r="W42" i="177"/>
  <c r="C42" i="177"/>
  <c r="I46" i="177"/>
  <c r="AQ21" i="260"/>
  <c r="AV19" i="260"/>
  <c r="AN15" i="260"/>
  <c r="R12" i="177"/>
  <c r="P11" i="177"/>
  <c r="N13" i="177"/>
  <c r="M46" i="177"/>
  <c r="T32" i="177"/>
  <c r="S42" i="177"/>
  <c r="J40" i="177"/>
  <c r="I51" i="177"/>
  <c r="N53" i="177"/>
  <c r="J56" i="177"/>
  <c r="X42" i="177"/>
  <c r="Z12" i="260"/>
  <c r="BQ25" i="260"/>
  <c r="W23" i="177"/>
  <c r="V45" i="177"/>
  <c r="S33" i="177"/>
  <c r="N20" i="260"/>
  <c r="K33" i="177"/>
  <c r="C38" i="177"/>
  <c r="N14" i="260"/>
  <c r="O63" i="177"/>
  <c r="R43" i="177"/>
  <c r="J65" i="177"/>
  <c r="E44" i="177"/>
  <c r="BM24" i="260"/>
  <c r="R55" i="177"/>
  <c r="S49" i="177"/>
  <c r="D48" i="177"/>
  <c r="H21" i="177"/>
  <c r="J11" i="177"/>
  <c r="W38" i="177"/>
  <c r="R61" i="177"/>
  <c r="H38" i="177"/>
  <c r="AV25" i="260"/>
  <c r="H41" i="177"/>
  <c r="V6" i="260"/>
  <c r="O47" i="177"/>
  <c r="T35" i="177"/>
  <c r="W49" i="177"/>
  <c r="P30" i="177"/>
  <c r="C53" i="177"/>
  <c r="M36" i="177"/>
  <c r="H1" i="177"/>
  <c r="F1" i="177"/>
  <c r="W17" i="253"/>
  <c r="U36" i="102"/>
  <c r="C261" i="79"/>
  <c r="A263" i="79"/>
  <c r="C260" i="79"/>
  <c r="A262" i="79"/>
  <c r="I1" i="177" l="1"/>
  <c r="J1" i="177"/>
  <c r="W36" i="253"/>
  <c r="E1" i="177"/>
  <c r="A264" i="79"/>
  <c r="C262" i="79"/>
  <c r="A265" i="79"/>
  <c r="C263" i="79"/>
  <c r="A267" i="79" l="1"/>
  <c r="C265" i="79"/>
  <c r="C264" i="79"/>
  <c r="A266" i="79"/>
  <c r="A268" i="79" l="1"/>
  <c r="C266" i="79"/>
  <c r="A269" i="79"/>
  <c r="C267" i="79"/>
  <c r="C269" i="79" l="1"/>
  <c r="A271" i="79"/>
  <c r="C268" i="79"/>
  <c r="A270" i="79"/>
  <c r="C270" i="79" l="1"/>
  <c r="A272" i="79"/>
  <c r="C271" i="79"/>
  <c r="A273" i="79"/>
  <c r="C273" i="79" l="1"/>
  <c r="A275" i="79"/>
  <c r="C272" i="79"/>
  <c r="A274" i="79"/>
  <c r="A276" i="79" l="1"/>
  <c r="C274" i="79"/>
  <c r="A277" i="79"/>
  <c r="C275" i="79"/>
  <c r="A279" i="79" l="1"/>
  <c r="C277" i="79"/>
  <c r="A278" i="79"/>
  <c r="C276" i="79"/>
  <c r="C278" i="79" l="1"/>
  <c r="A280" i="79"/>
  <c r="C279" i="79"/>
  <c r="A281" i="79"/>
  <c r="C281" i="79" l="1"/>
  <c r="A283" i="79"/>
  <c r="C280" i="79"/>
  <c r="A282" i="79"/>
  <c r="C282" i="79" l="1"/>
  <c r="A284" i="79"/>
  <c r="C283" i="79"/>
  <c r="A285" i="79"/>
  <c r="A287" i="79" l="1"/>
  <c r="C285" i="79"/>
  <c r="C284" i="79"/>
  <c r="A286" i="79"/>
  <c r="A288" i="79" l="1"/>
  <c r="C286" i="79"/>
  <c r="C287" i="79"/>
  <c r="A289" i="79"/>
  <c r="C289" i="79" l="1"/>
  <c r="A291" i="79"/>
  <c r="C288" i="79"/>
  <c r="A290" i="79"/>
  <c r="C290" i="79" l="1"/>
  <c r="A292" i="79"/>
  <c r="C291" i="79"/>
  <c r="A293" i="79"/>
  <c r="C293" i="79" l="1"/>
  <c r="A295" i="79"/>
  <c r="C292" i="79"/>
  <c r="A294" i="79"/>
  <c r="C294" i="79" l="1"/>
  <c r="A296" i="79"/>
  <c r="A297" i="79"/>
  <c r="C295" i="79"/>
  <c r="A299" i="79" l="1"/>
  <c r="C297" i="79"/>
  <c r="A298" i="79"/>
  <c r="C296" i="79"/>
  <c r="C298" i="79" l="1"/>
  <c r="A300" i="79"/>
  <c r="C299" i="79"/>
  <c r="A301" i="79"/>
  <c r="C301" i="79" l="1"/>
  <c r="A303" i="79"/>
  <c r="C300" i="79"/>
  <c r="A302" i="79"/>
  <c r="C302" i="79" l="1"/>
  <c r="A304" i="79"/>
  <c r="C303" i="79"/>
  <c r="A305" i="79"/>
  <c r="A307" i="79" l="1"/>
  <c r="C305" i="79"/>
  <c r="C304" i="79"/>
  <c r="A306" i="79"/>
  <c r="A308" i="79" l="1"/>
  <c r="C306" i="79"/>
  <c r="C307" i="79"/>
  <c r="A309" i="79"/>
  <c r="C309" i="79" l="1"/>
  <c r="A312" i="79"/>
  <c r="C308" i="79"/>
  <c r="A310" i="79"/>
  <c r="C310" i="79" l="1"/>
  <c r="A313" i="79"/>
  <c r="C312" i="79"/>
  <c r="A314" i="79"/>
  <c r="C314" i="79" l="1"/>
  <c r="A316" i="79"/>
  <c r="A315" i="79"/>
  <c r="C313" i="79"/>
  <c r="A317" i="79" l="1"/>
  <c r="C315" i="79"/>
  <c r="C316" i="79"/>
  <c r="A318" i="79"/>
  <c r="C318" i="79" l="1"/>
  <c r="A320" i="79"/>
  <c r="C317" i="79"/>
  <c r="A319" i="79"/>
  <c r="C319" i="79" l="1"/>
  <c r="A321" i="79"/>
  <c r="C320" i="79"/>
  <c r="A322" i="79"/>
  <c r="C322" i="79" l="1"/>
  <c r="A324" i="79"/>
  <c r="A323" i="79"/>
  <c r="C321" i="79"/>
  <c r="A325" i="79" l="1"/>
  <c r="C323" i="79"/>
  <c r="A326" i="79"/>
  <c r="C324" i="79"/>
  <c r="C326" i="79" l="1"/>
  <c r="A328" i="79"/>
  <c r="A327" i="79"/>
  <c r="C325" i="79"/>
  <c r="C327" i="79" l="1"/>
  <c r="A329" i="79"/>
  <c r="C328" i="79"/>
  <c r="A330" i="79"/>
  <c r="C330" i="79" l="1"/>
  <c r="A332" i="79"/>
  <c r="A331" i="79"/>
  <c r="C329" i="79"/>
  <c r="C331" i="79" l="1"/>
  <c r="A333" i="79"/>
  <c r="C332" i="79"/>
  <c r="A334" i="79"/>
  <c r="A336" i="79" l="1"/>
  <c r="C334" i="79"/>
  <c r="A335" i="79"/>
  <c r="C333" i="79"/>
  <c r="A337" i="79" l="1"/>
  <c r="C335" i="79"/>
  <c r="C336" i="79"/>
  <c r="A338" i="79"/>
  <c r="A340" i="79" l="1"/>
  <c r="C338" i="79"/>
  <c r="A339" i="79"/>
  <c r="C337" i="79"/>
  <c r="A341" i="79" l="1"/>
  <c r="C339" i="79"/>
  <c r="C340" i="79"/>
  <c r="A342" i="79"/>
  <c r="A344" i="79" l="1"/>
  <c r="C342" i="79"/>
  <c r="A343" i="79"/>
  <c r="C341" i="79"/>
  <c r="A345" i="79" l="1"/>
  <c r="C343" i="79"/>
  <c r="C344" i="79"/>
  <c r="A346" i="79"/>
  <c r="A348" i="79" l="1"/>
  <c r="C346" i="79"/>
  <c r="A347" i="79"/>
  <c r="C345" i="79"/>
  <c r="A349" i="79" l="1"/>
  <c r="C347" i="79"/>
  <c r="A350" i="79"/>
  <c r="C348" i="79"/>
  <c r="A352" i="79" l="1"/>
  <c r="C350" i="79"/>
  <c r="A351" i="79"/>
  <c r="C349" i="79"/>
  <c r="C351" i="79" l="1"/>
  <c r="A353" i="79"/>
  <c r="C352" i="79"/>
  <c r="A354" i="79"/>
  <c r="A356" i="79" l="1"/>
  <c r="C354" i="79"/>
  <c r="A355" i="79"/>
  <c r="C353" i="79"/>
  <c r="A357" i="79" l="1"/>
  <c r="C355" i="79"/>
  <c r="A358" i="79"/>
  <c r="C356" i="79"/>
  <c r="A360" i="79" l="1"/>
  <c r="C358" i="79"/>
  <c r="C357" i="79"/>
  <c r="A359" i="79"/>
  <c r="A361" i="79" l="1"/>
  <c r="C359" i="79"/>
  <c r="A362" i="79"/>
  <c r="C360" i="79"/>
  <c r="C362" i="79" l="1"/>
  <c r="A364" i="79"/>
  <c r="A363" i="79"/>
  <c r="C361" i="79"/>
  <c r="A365" i="79" l="1"/>
  <c r="C363" i="79"/>
  <c r="A366" i="79"/>
  <c r="C364" i="79"/>
  <c r="S21" i="102"/>
  <c r="S20" i="102"/>
  <c r="R31" i="102"/>
  <c r="S31" i="102"/>
  <c r="Q29" i="102"/>
  <c r="P39" i="102"/>
  <c r="R39" i="102"/>
  <c r="R40" i="102"/>
  <c r="Q39" i="102"/>
  <c r="R21" i="102"/>
  <c r="Q28" i="102"/>
  <c r="S30" i="102"/>
  <c r="S32" i="102"/>
  <c r="Q9" i="102"/>
  <c r="P9" i="102"/>
  <c r="S40" i="102"/>
  <c r="R9" i="102"/>
  <c r="P29" i="102"/>
  <c r="S39" i="102"/>
  <c r="P28" i="102"/>
  <c r="R20" i="102"/>
  <c r="R30" i="102"/>
  <c r="S9" i="102"/>
  <c r="R32" i="102"/>
  <c r="A369" i="79" l="1"/>
  <c r="C366" i="79"/>
  <c r="C365" i="79"/>
  <c r="A367" i="79"/>
  <c r="C367" i="79" l="1"/>
  <c r="A370" i="79"/>
  <c r="A371" i="79"/>
  <c r="C369" i="79"/>
  <c r="C371" i="79" l="1"/>
  <c r="A373" i="79"/>
  <c r="C370" i="79"/>
  <c r="A372" i="79"/>
  <c r="A374" i="79" l="1"/>
  <c r="C372" i="79"/>
  <c r="C373" i="79"/>
  <c r="A375" i="79"/>
  <c r="C375" i="79" l="1"/>
  <c r="A377" i="79"/>
  <c r="A376" i="79"/>
  <c r="C374" i="79"/>
  <c r="A378" i="79" l="1"/>
  <c r="C376" i="79"/>
  <c r="A379" i="79"/>
  <c r="C377" i="79"/>
  <c r="U59" i="177" a="1"/>
  <c r="A381" i="79" l="1"/>
  <c r="C379" i="79"/>
  <c r="A380" i="79"/>
  <c r="C378" i="79"/>
  <c r="U59" i="177"/>
  <c r="C380" i="79" l="1"/>
  <c r="A382" i="79"/>
  <c r="C381" i="79"/>
  <c r="A383" i="79"/>
  <c r="A385" i="79" l="1"/>
  <c r="C383" i="79"/>
  <c r="C382" i="79"/>
  <c r="A384" i="79"/>
  <c r="A386" i="79" l="1"/>
  <c r="C384" i="79"/>
  <c r="A387" i="79"/>
  <c r="C385" i="79"/>
  <c r="S30" i="251"/>
  <c r="A389" i="79" l="1"/>
  <c r="C387" i="79"/>
  <c r="A388" i="79"/>
  <c r="C386" i="79"/>
  <c r="R40" i="251"/>
  <c r="R21" i="251"/>
  <c r="S33" i="251"/>
  <c r="R30" i="251"/>
  <c r="R31" i="251"/>
  <c r="P40" i="251"/>
  <c r="P9" i="251"/>
  <c r="R9" i="251"/>
  <c r="S41" i="251"/>
  <c r="Q28" i="251"/>
  <c r="S20" i="251"/>
  <c r="R32" i="251"/>
  <c r="S40" i="251"/>
  <c r="S9" i="251"/>
  <c r="S32" i="251"/>
  <c r="Q40" i="251"/>
  <c r="Q29" i="251"/>
  <c r="Q9" i="251"/>
  <c r="P29" i="251"/>
  <c r="R41" i="251"/>
  <c r="P28" i="251"/>
  <c r="S31" i="251"/>
  <c r="R33" i="251"/>
  <c r="S21" i="251"/>
  <c r="R20" i="251"/>
  <c r="A390" i="79" l="1"/>
  <c r="C388" i="79"/>
  <c r="A391" i="79"/>
  <c r="C389" i="79"/>
  <c r="A393" i="79" l="1"/>
  <c r="C391" i="79"/>
  <c r="C390" i="79"/>
  <c r="A392" i="79"/>
  <c r="C393" i="79" l="1"/>
  <c r="A395" i="79"/>
  <c r="A394" i="79"/>
  <c r="C392" i="79"/>
  <c r="A397" i="79" l="1"/>
  <c r="C395" i="79"/>
  <c r="A396" i="79"/>
  <c r="C394" i="79"/>
  <c r="A398" i="79" l="1"/>
  <c r="C396" i="79"/>
  <c r="A399" i="79"/>
  <c r="C397" i="79"/>
  <c r="A401" i="79" l="1"/>
  <c r="C399" i="79"/>
  <c r="A400" i="79"/>
  <c r="C398" i="79"/>
  <c r="C400" i="79" l="1"/>
  <c r="A402" i="79"/>
  <c r="A403" i="79"/>
  <c r="C401" i="79"/>
  <c r="A405" i="79" l="1"/>
  <c r="C403" i="79"/>
  <c r="A404" i="79"/>
  <c r="C402" i="79"/>
  <c r="A406" i="79" l="1"/>
  <c r="C404" i="79"/>
  <c r="C405" i="79"/>
  <c r="A407" i="79"/>
  <c r="C407" i="79" l="1"/>
  <c r="A409" i="79"/>
  <c r="C406" i="79"/>
  <c r="A408" i="79"/>
  <c r="C408" i="79" l="1"/>
  <c r="A410" i="79"/>
  <c r="A411" i="79"/>
  <c r="C409" i="79"/>
  <c r="C411" i="79" l="1"/>
  <c r="A413" i="79"/>
  <c r="A412" i="79"/>
  <c r="C410" i="79"/>
  <c r="A414" i="79" l="1"/>
  <c r="C412" i="79"/>
  <c r="A415" i="79"/>
  <c r="C413" i="79"/>
  <c r="C415" i="79" l="1"/>
  <c r="A417" i="79"/>
  <c r="C414" i="79"/>
  <c r="A416" i="79"/>
  <c r="A418" i="79" l="1"/>
  <c r="C416" i="79"/>
  <c r="A419" i="79"/>
  <c r="C417" i="79"/>
  <c r="A421" i="79" l="1"/>
  <c r="C419" i="79"/>
  <c r="A420" i="79"/>
  <c r="C418" i="79"/>
  <c r="C420" i="79" l="1"/>
  <c r="A422" i="79"/>
  <c r="C421" i="79"/>
  <c r="A423" i="79"/>
  <c r="C423" i="79" l="1"/>
  <c r="A425" i="79"/>
  <c r="A424" i="79"/>
  <c r="C422" i="79"/>
  <c r="A426" i="79" l="1"/>
  <c r="C424" i="79"/>
  <c r="A427" i="79"/>
  <c r="C425" i="79"/>
  <c r="A429" i="79" l="1"/>
  <c r="C427" i="79"/>
  <c r="C426" i="79"/>
  <c r="A428" i="79"/>
  <c r="A430" i="79" l="1"/>
  <c r="C428" i="79"/>
  <c r="C429" i="79"/>
  <c r="A432" i="79"/>
  <c r="C432" i="79" l="1"/>
  <c r="A434" i="79"/>
  <c r="C430" i="79"/>
  <c r="A433" i="79"/>
  <c r="C433" i="79" l="1"/>
  <c r="A435" i="79"/>
  <c r="C434" i="79"/>
  <c r="A436" i="79"/>
  <c r="C436" i="79" l="1"/>
  <c r="A438" i="79"/>
  <c r="A437" i="79"/>
  <c r="C435" i="79"/>
  <c r="A439" i="79" l="1"/>
  <c r="C437" i="79"/>
  <c r="C438" i="79"/>
  <c r="A440" i="79"/>
  <c r="C440" i="79" l="1"/>
  <c r="A442" i="79"/>
  <c r="C439" i="79"/>
  <c r="A441" i="79"/>
  <c r="C441" i="79" l="1"/>
  <c r="A443" i="79"/>
  <c r="A444" i="79"/>
  <c r="C442" i="79"/>
  <c r="C444" i="79" l="1"/>
  <c r="A446" i="79"/>
  <c r="A445" i="79"/>
  <c r="C443" i="79"/>
  <c r="C445" i="79" l="1"/>
  <c r="A447" i="79"/>
  <c r="C446" i="79"/>
  <c r="A448" i="79"/>
  <c r="A450" i="79" l="1"/>
  <c r="C448" i="79"/>
  <c r="C447" i="79"/>
  <c r="A449" i="79"/>
  <c r="A451" i="79" l="1"/>
  <c r="C449" i="79"/>
  <c r="C450" i="79"/>
  <c r="A452" i="79"/>
  <c r="A454" i="79" l="1"/>
  <c r="C452" i="79"/>
  <c r="A453" i="79"/>
  <c r="C451" i="79"/>
  <c r="A455" i="79" l="1"/>
  <c r="C453" i="79"/>
  <c r="C454" i="79"/>
  <c r="A456" i="79"/>
  <c r="A458" i="79" l="1"/>
  <c r="C456" i="79"/>
  <c r="A457" i="79"/>
  <c r="C455" i="79"/>
  <c r="C457" i="79" l="1"/>
  <c r="A459" i="79"/>
  <c r="C458" i="79"/>
  <c r="A460" i="79"/>
  <c r="A462" i="79" l="1"/>
  <c r="C460" i="79"/>
  <c r="C459" i="79"/>
  <c r="A461" i="79"/>
  <c r="A463" i="79" l="1"/>
  <c r="C461" i="79"/>
  <c r="C462" i="79"/>
  <c r="A464" i="79"/>
  <c r="A466" i="79" l="1"/>
  <c r="C464" i="79"/>
  <c r="A465" i="79"/>
  <c r="C463" i="79"/>
  <c r="C465" i="79" l="1"/>
  <c r="A467" i="79"/>
  <c r="C466" i="79"/>
  <c r="A468" i="79"/>
  <c r="A469" i="79" l="1"/>
  <c r="C467" i="79"/>
  <c r="C468" i="79"/>
  <c r="A470" i="79"/>
  <c r="C470" i="79" l="1"/>
  <c r="A472" i="79"/>
  <c r="A471" i="79"/>
  <c r="C469" i="79"/>
  <c r="C471" i="79" l="1"/>
  <c r="A473" i="79"/>
  <c r="A474" i="79"/>
  <c r="C472" i="79"/>
  <c r="A476" i="79" l="1"/>
  <c r="C474" i="79"/>
  <c r="C473" i="79"/>
  <c r="A475" i="79"/>
  <c r="C475" i="79" l="1"/>
  <c r="A477" i="79"/>
  <c r="C476" i="79"/>
  <c r="A478" i="79"/>
  <c r="C478" i="79" l="1"/>
  <c r="A480" i="79"/>
  <c r="C477" i="79"/>
  <c r="A479" i="79"/>
  <c r="A481" i="79" l="1"/>
  <c r="C479" i="79"/>
  <c r="A482" i="79"/>
  <c r="C480" i="79"/>
  <c r="C482" i="79" l="1"/>
  <c r="A484" i="79"/>
  <c r="C481" i="79"/>
  <c r="A483" i="79"/>
  <c r="A485" i="79" l="1"/>
  <c r="C483" i="79"/>
  <c r="A486" i="79"/>
  <c r="C484" i="79"/>
  <c r="C486" i="79" l="1"/>
  <c r="A488" i="79"/>
  <c r="A487" i="79"/>
  <c r="C485" i="79"/>
  <c r="C487" i="79" l="1"/>
  <c r="A489" i="79"/>
  <c r="C488" i="79"/>
  <c r="A490" i="79"/>
  <c r="C490" i="79" l="1"/>
  <c r="A493" i="79"/>
  <c r="C489" i="79"/>
  <c r="A491" i="79"/>
  <c r="A494" i="79" s="1"/>
  <c r="C491" i="79" l="1"/>
  <c r="A495" i="79"/>
  <c r="C493" i="79"/>
  <c r="A497" i="79" l="1"/>
  <c r="C495" i="79"/>
  <c r="A496" i="79"/>
  <c r="C494" i="79"/>
  <c r="A498" i="79" l="1"/>
  <c r="C496" i="79"/>
  <c r="A499" i="79"/>
  <c r="C497" i="79"/>
  <c r="C499" i="79" l="1"/>
  <c r="A501" i="79"/>
  <c r="A500" i="79"/>
  <c r="C498" i="79"/>
  <c r="C500" i="79" l="1"/>
  <c r="A502" i="79"/>
  <c r="C501" i="79"/>
  <c r="A503" i="79"/>
  <c r="C503" i="79" l="1"/>
  <c r="A505" i="79"/>
  <c r="A504" i="79"/>
  <c r="C502" i="79"/>
  <c r="C504" i="79" l="1"/>
  <c r="A506" i="79"/>
  <c r="C505" i="79"/>
  <c r="A507" i="79"/>
  <c r="C507" i="79" l="1"/>
  <c r="A509" i="79"/>
  <c r="C506" i="79"/>
  <c r="A508" i="79"/>
  <c r="C508" i="79" l="1"/>
  <c r="A510" i="79"/>
  <c r="C509" i="79"/>
  <c r="A511" i="79"/>
  <c r="A513" i="79" s="1"/>
  <c r="A515" i="79" s="1"/>
  <c r="C515" i="79" l="1"/>
  <c r="A517" i="79"/>
  <c r="C511" i="79"/>
  <c r="C513" i="79"/>
  <c r="C510" i="79"/>
  <c r="A512" i="79"/>
  <c r="C517" i="79" l="1"/>
  <c r="A519" i="79"/>
  <c r="C512" i="79"/>
  <c r="A514" i="79"/>
  <c r="C514" i="79" l="1"/>
  <c r="A516" i="79"/>
  <c r="C519" i="79"/>
  <c r="A521" i="79"/>
  <c r="C521" i="79" l="1"/>
  <c r="A523" i="79"/>
  <c r="C516" i="79"/>
  <c r="A518" i="79"/>
  <c r="C518" i="79" l="1"/>
  <c r="A520" i="79"/>
  <c r="C523" i="79"/>
  <c r="A525" i="79"/>
  <c r="C525" i="79" l="1"/>
  <c r="A527" i="79"/>
  <c r="C520" i="79"/>
  <c r="A522" i="79"/>
  <c r="C527" i="79" l="1"/>
  <c r="A529" i="79"/>
  <c r="C522" i="79"/>
  <c r="A524" i="79"/>
  <c r="C529" i="79" l="1"/>
  <c r="A531" i="79"/>
  <c r="A526" i="79"/>
  <c r="C524" i="79"/>
  <c r="C531" i="79" l="1"/>
  <c r="A533" i="79"/>
  <c r="C526" i="79"/>
  <c r="A528" i="79"/>
  <c r="C533" i="79" l="1"/>
  <c r="A535" i="79"/>
  <c r="C528" i="79"/>
  <c r="A530" i="79"/>
  <c r="C535" i="79" l="1"/>
  <c r="A537" i="79"/>
  <c r="C530" i="79"/>
  <c r="A532" i="79"/>
  <c r="C537" i="79" l="1"/>
  <c r="A539" i="79"/>
  <c r="C532" i="79"/>
  <c r="A534" i="79"/>
  <c r="C534" i="79" l="1"/>
  <c r="A536" i="79"/>
  <c r="C539" i="79"/>
  <c r="A541" i="79"/>
  <c r="C541" i="79" l="1"/>
  <c r="A543" i="79"/>
  <c r="C536" i="79"/>
  <c r="A538" i="79"/>
  <c r="C538" i="79" l="1"/>
  <c r="A540" i="79"/>
  <c r="C543" i="79"/>
  <c r="A545" i="79"/>
  <c r="C545" i="79" l="1"/>
  <c r="A547" i="79"/>
  <c r="C540" i="79"/>
  <c r="A542" i="79"/>
  <c r="C542" i="79" l="1"/>
  <c r="A544" i="79"/>
  <c r="C547" i="79"/>
  <c r="A549" i="79"/>
  <c r="C549" i="79" l="1"/>
  <c r="A551" i="79"/>
  <c r="C544" i="79"/>
  <c r="A546" i="79"/>
  <c r="A548" i="79" l="1"/>
  <c r="C546" i="79"/>
  <c r="A553" i="79"/>
  <c r="C553" i="79" s="1"/>
  <c r="C551" i="79"/>
  <c r="C548" i="79" l="1"/>
  <c r="A550" i="79"/>
  <c r="C550" i="79" l="1"/>
  <c r="A552" i="79"/>
  <c r="A554" i="79" l="1"/>
  <c r="C552" i="79"/>
  <c r="C554" i="79" l="1"/>
  <c r="A556" i="79"/>
  <c r="A558" i="79" l="1"/>
  <c r="A560" i="79" s="1"/>
  <c r="A562" i="79" s="1"/>
  <c r="A564" i="79" s="1"/>
  <c r="A566" i="79" s="1"/>
  <c r="A568" i="79" s="1"/>
  <c r="A570" i="79" s="1"/>
  <c r="A572" i="79" s="1"/>
  <c r="A574" i="79" s="1"/>
  <c r="A576" i="79" s="1"/>
  <c r="A578" i="79" s="1"/>
  <c r="A580" i="79" s="1"/>
  <c r="A582" i="79" s="1"/>
  <c r="A584" i="79" s="1"/>
  <c r="A586" i="79" s="1"/>
  <c r="A588" i="79" s="1"/>
  <c r="A590" i="79" s="1"/>
  <c r="A592" i="79" s="1"/>
  <c r="A594" i="79" s="1"/>
  <c r="A596" i="79" s="1"/>
  <c r="A598" i="79" s="1"/>
  <c r="A600" i="79" s="1"/>
  <c r="A602" i="79" s="1"/>
  <c r="A604" i="79" s="1"/>
  <c r="A606" i="79" s="1"/>
  <c r="A608" i="79" s="1"/>
  <c r="A610" i="79" s="1"/>
  <c r="A612" i="79" s="1"/>
  <c r="A614" i="79" s="1"/>
  <c r="A557" i="79"/>
  <c r="C556" i="79"/>
  <c r="A559" i="79" l="1"/>
  <c r="C557" i="79"/>
  <c r="C558" i="79"/>
  <c r="A561" i="79" l="1"/>
  <c r="C559" i="79"/>
  <c r="C560" i="79"/>
  <c r="A563" i="79" l="1"/>
  <c r="C561" i="79"/>
  <c r="C562" i="79"/>
  <c r="A565" i="79" l="1"/>
  <c r="C563" i="79"/>
  <c r="C564" i="79"/>
  <c r="A567" i="79" l="1"/>
  <c r="C565" i="79"/>
  <c r="C566" i="79"/>
  <c r="A569" i="79" l="1"/>
  <c r="C567" i="79"/>
  <c r="C568" i="79"/>
  <c r="A571" i="79" l="1"/>
  <c r="C569" i="79"/>
  <c r="C570" i="79"/>
  <c r="A573" i="79" l="1"/>
  <c r="C571" i="79"/>
  <c r="C572" i="79"/>
  <c r="A575" i="79" l="1"/>
  <c r="C573" i="79"/>
  <c r="C574" i="79"/>
  <c r="A577" i="79" l="1"/>
  <c r="C575" i="79"/>
  <c r="C576" i="79"/>
  <c r="A579" i="79" l="1"/>
  <c r="C577" i="79"/>
  <c r="C578" i="79"/>
  <c r="A581" i="79" l="1"/>
  <c r="C579" i="79"/>
  <c r="C580" i="79"/>
  <c r="A583" i="79" l="1"/>
  <c r="C581" i="79"/>
  <c r="C582" i="79"/>
  <c r="A585" i="79" l="1"/>
  <c r="C583" i="79"/>
  <c r="C584" i="79"/>
  <c r="A587" i="79" l="1"/>
  <c r="C585" i="79"/>
  <c r="C586" i="79"/>
  <c r="A589" i="79" l="1"/>
  <c r="C587" i="79"/>
  <c r="C588" i="79"/>
  <c r="A591" i="79" l="1"/>
  <c r="C589" i="79"/>
  <c r="C590" i="79"/>
  <c r="A593" i="79" l="1"/>
  <c r="C591" i="79"/>
  <c r="C592" i="79"/>
  <c r="A595" i="79" l="1"/>
  <c r="C593" i="79"/>
  <c r="C594" i="79"/>
  <c r="A597" i="79" l="1"/>
  <c r="C595" i="79"/>
  <c r="C596" i="79"/>
  <c r="A599" i="79" l="1"/>
  <c r="C597" i="79"/>
  <c r="C598" i="79"/>
  <c r="A601" i="79" l="1"/>
  <c r="C599" i="79"/>
  <c r="C600" i="79"/>
  <c r="A603" i="79" l="1"/>
  <c r="C601" i="79"/>
  <c r="C602" i="79"/>
  <c r="A605" i="79" l="1"/>
  <c r="C603" i="79"/>
  <c r="C604" i="79"/>
  <c r="A607" i="79" l="1"/>
  <c r="C605" i="79"/>
  <c r="C606" i="79"/>
  <c r="A609" i="79" l="1"/>
  <c r="C607" i="79"/>
  <c r="C608" i="79"/>
  <c r="A611" i="79" l="1"/>
  <c r="C609" i="79"/>
  <c r="C610" i="79"/>
  <c r="A613" i="79" l="1"/>
  <c r="A615" i="79" s="1"/>
  <c r="C611" i="79"/>
  <c r="C612" i="79"/>
  <c r="C615" i="79" l="1"/>
  <c r="C613" i="79"/>
  <c r="C614" i="79"/>
  <c r="AB42" i="253" l="1"/>
  <c r="T20" i="253"/>
  <c r="R42" i="253"/>
  <c r="AC42" i="253" s="1"/>
  <c r="R32" i="253"/>
  <c r="AC32" i="253" s="1"/>
  <c r="S32" i="253"/>
  <c r="S28" i="253"/>
  <c r="T39" i="253"/>
  <c r="U41" i="253"/>
  <c r="U9" i="253"/>
  <c r="S42" i="253"/>
  <c r="U39" i="253"/>
  <c r="T9" i="253"/>
  <c r="S39" i="253"/>
  <c r="T40" i="253"/>
  <c r="S9" i="253"/>
  <c r="S29" i="253"/>
  <c r="R29" i="253"/>
  <c r="R9" i="253"/>
  <c r="AC9" i="253" s="1"/>
  <c r="U20" i="253"/>
  <c r="U40" i="253"/>
  <c r="T41" i="253"/>
  <c r="R28" i="253"/>
  <c r="AC28" i="253" s="1"/>
  <c r="T21" i="253"/>
  <c r="U21" i="253"/>
  <c r="R39" i="253"/>
  <c r="AA30" i="251"/>
  <c r="Z20" i="102"/>
  <c r="AA28" i="253"/>
  <c r="Z31" i="102"/>
  <c r="AB9" i="253"/>
  <c r="AF9" i="253" s="1"/>
  <c r="Z31" i="251"/>
  <c r="Z32" i="251"/>
  <c r="Y29" i="102"/>
  <c r="AB29" i="253"/>
  <c r="AA29" i="253"/>
  <c r="AA32" i="102"/>
  <c r="AA32" i="251"/>
  <c r="Z30" i="102"/>
  <c r="AB21" i="253"/>
  <c r="Y30" i="102"/>
  <c r="Z41" i="251"/>
  <c r="AA21" i="102"/>
  <c r="AA29" i="251"/>
  <c r="Z9" i="251"/>
  <c r="AD9" i="251" s="1"/>
  <c r="Z40" i="102"/>
  <c r="AB41" i="253"/>
  <c r="AA40" i="102"/>
  <c r="Y29" i="251"/>
  <c r="AA41" i="253"/>
  <c r="AA28" i="102"/>
  <c r="Z40" i="251"/>
  <c r="Z32" i="102"/>
  <c r="AB28" i="253"/>
  <c r="AA41" i="251"/>
  <c r="AA31" i="251"/>
  <c r="AA33" i="251"/>
  <c r="AA21" i="251"/>
  <c r="Y28" i="251"/>
  <c r="AB39" i="253"/>
  <c r="AA29" i="102"/>
  <c r="AB20" i="253"/>
  <c r="Z20" i="251"/>
  <c r="Z21" i="251"/>
  <c r="AA28" i="251"/>
  <c r="AA39" i="102"/>
  <c r="AA9" i="251"/>
  <c r="Z39" i="102"/>
  <c r="Y30" i="251"/>
  <c r="AC21" i="253"/>
  <c r="AA20" i="251"/>
  <c r="AA9" i="102"/>
  <c r="AB31" i="253"/>
  <c r="AC20" i="253"/>
  <c r="AA40" i="251"/>
  <c r="AC39" i="253"/>
  <c r="Z29" i="102"/>
  <c r="AB40" i="253"/>
  <c r="AA20" i="102"/>
  <c r="Y31" i="251"/>
  <c r="Z30" i="251"/>
  <c r="AA31" i="102"/>
  <c r="Y31" i="102"/>
  <c r="AA30" i="102"/>
  <c r="Z29" i="251"/>
  <c r="Z28" i="251"/>
  <c r="Z33" i="251"/>
  <c r="Z28" i="102"/>
  <c r="Y28" i="102"/>
  <c r="Z21" i="102"/>
  <c r="AC29" i="253" l="1"/>
  <c r="AC25" i="253" s="1"/>
  <c r="AC40" i="253"/>
  <c r="AC41" i="253"/>
  <c r="AA37" i="251"/>
  <c r="V37" i="251" s="1"/>
  <c r="W37" i="251" s="1"/>
  <c r="Z36" i="102"/>
  <c r="AK36" i="102" s="1"/>
  <c r="AA17" i="251"/>
  <c r="X17" i="251" s="1"/>
  <c r="AB17" i="253"/>
  <c r="AF17" i="253" s="1"/>
  <c r="Y25" i="102"/>
  <c r="Z25" i="102"/>
  <c r="AD25" i="102" s="1"/>
  <c r="AA25" i="251"/>
  <c r="AD28" i="251" s="1"/>
  <c r="AA17" i="102"/>
  <c r="V17" i="102" s="1"/>
  <c r="W17" i="102" s="1"/>
  <c r="Z37" i="251"/>
  <c r="AK37" i="251" s="1"/>
  <c r="AA36" i="102"/>
  <c r="X36" i="102" s="1"/>
  <c r="AB36" i="253"/>
  <c r="Z9" i="253"/>
  <c r="AF12" i="253"/>
  <c r="X9" i="253"/>
  <c r="Y9" i="253" s="1"/>
  <c r="Y25" i="251"/>
  <c r="AC17" i="253"/>
  <c r="AB25" i="253"/>
  <c r="AF25" i="253" s="1"/>
  <c r="AA25" i="102"/>
  <c r="Z25" i="251"/>
  <c r="X9" i="251"/>
  <c r="V9" i="251"/>
  <c r="W9" i="251" s="1"/>
  <c r="AD12" i="251"/>
  <c r="AD12" i="102"/>
  <c r="X9" i="102"/>
  <c r="V9" i="102"/>
  <c r="W9" i="102" s="1"/>
  <c r="AD9" i="102"/>
  <c r="AA25" i="253"/>
  <c r="Z17" i="102"/>
  <c r="AD17" i="102" s="1"/>
  <c r="Z17" i="251"/>
  <c r="AD17" i="251" s="1"/>
  <c r="AC36" i="253" l="1"/>
  <c r="Z36" i="253" s="1"/>
  <c r="AD40" i="251"/>
  <c r="X37" i="251"/>
  <c r="AD36" i="102"/>
  <c r="AD20" i="251"/>
  <c r="V17" i="251"/>
  <c r="W17" i="251" s="1"/>
  <c r="X25" i="251"/>
  <c r="AK25" i="102"/>
  <c r="V25" i="251"/>
  <c r="W25" i="251" s="1"/>
  <c r="AD20" i="102"/>
  <c r="X17" i="102"/>
  <c r="AD37" i="251"/>
  <c r="V36" i="102"/>
  <c r="W36" i="102" s="1"/>
  <c r="AD39" i="102"/>
  <c r="X25" i="253"/>
  <c r="Y25" i="253" s="1"/>
  <c r="AF28" i="253"/>
  <c r="Z25" i="253"/>
  <c r="AM25" i="253"/>
  <c r="X17" i="253"/>
  <c r="Y17" i="253" s="1"/>
  <c r="Z17" i="253"/>
  <c r="AF20" i="253"/>
  <c r="AD25" i="251"/>
  <c r="AK25" i="251"/>
  <c r="V25" i="102"/>
  <c r="W25" i="102" s="1"/>
  <c r="AD28" i="102"/>
  <c r="X25" i="102"/>
  <c r="AF36" i="253"/>
  <c r="AM36" i="253"/>
  <c r="AF39" i="253" l="1"/>
  <c r="X36" i="253"/>
  <c r="Y36" i="253" s="1"/>
  <c r="AN760" i="260"/>
  <c r="AN760" i="260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0B8D59-E7C2-427E-A399-F8873251EC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0845FD2-ECA3-4218-BFBA-3EE46DC45B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B866D74-9839-4C1F-8D0D-93F714EE955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221A2D7-2289-42E9-8BBC-9E0B933D5A3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6858CB70-476C-4F19-BD0F-947533D024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F039164-3036-4C94-ABED-4BABE25BE7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1974F24-210E-475E-8DB4-05F376F9F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D70FC9F-7E5D-4C4D-A243-44C18FA893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A979BFF-3564-4FC0-8538-E7E4FCC6D8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781199E-1FC0-47A1-98FD-04E0F2485F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F7B0FB2-7FB2-48D8-AC3B-92D52692D3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2A696B-473F-4BE0-8E19-9613687D52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F5ADDBC-6E56-4541-9CAC-81C682A35E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699500-B25E-4E29-A234-BB347BB5F0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BCBAF21-DDBB-4524-AC1B-A936180219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060D21-1CB3-4738-9C8D-B25FDC867AC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B4D265FE-CB49-4834-A0A4-01EE720440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P105" authorId="1" shapeId="0" xr:uid="{622A6CAE-C9F5-4BF5-9017-E9837B43133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Q105" authorId="1" shapeId="0" xr:uid="{65E27143-5A6F-4A67-AE8B-7348F348B3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R105" authorId="1" shapeId="0" xr:uid="{234C7B2F-3324-4660-91D3-5C0540FB44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S105" authorId="1" shapeId="0" xr:uid="{B85253AA-5897-4683-8D09-2DB232DDE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T105" authorId="1" shapeId="0" xr:uid="{8A423A93-5775-4E06-95C5-FD379A7C98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U105" authorId="1" shapeId="0" xr:uid="{C351B57A-7F99-4AF1-BB3D-68E203E10F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V105" authorId="1" shapeId="0" xr:uid="{74811E0F-8F85-4428-9ADD-0F075A539A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PENRO: PALECO activity</t>
        </r>
      </text>
    </comment>
    <comment ref="Z106" authorId="1" shapeId="0" xr:uid="{E97935D8-82A9-445F-9E14-27B0E1162A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AA106" authorId="1" shapeId="0" xr:uid="{6999393D-4014-4165-8747-409B063A21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85260F2-C6AB-47F2-87AE-1C78A34F331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B5B5631-0BE3-465B-BC98-6F47D5EBE1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1F90D99-A466-41A5-A885-418B56EBDEC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B626F18-A71D-4D2C-9162-6B1D908C1E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20" authorId="1" shapeId="0" xr:uid="{079642D2-39F7-43A5-8D32-0B209CF3CF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67CE2424-0751-43E3-9B08-ACE3359C7D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D4ABE25-F343-49DC-BA98-2DBD979CF8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3B63E57-2B56-43F8-860B-BA4C4D9E2F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DE46633-BB2A-4E8B-B980-3401C3DEFE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9B1910B-4B8A-4614-8F50-1AEE9280D9E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C3D95F1-5C51-4623-AF28-5606467618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2A17A24-5AB4-4973-BEB7-4E523569A58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E4C2939-EE00-40D3-8195-4D44CC4869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B65B09-040F-497E-8BAB-CF4C502F29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E7EF82-EA55-449C-B14F-F54DE379FB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41DBCEE-8C94-4805-838C-0CB5D3FA50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A26AA37-A42E-4A07-8EBF-CE3A51492E1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6" authorId="1" shapeId="0" xr:uid="{76554140-C4E2-4B47-B6C7-4033607208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3BB1675-17E8-448B-B491-827260ABC7D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FFB8C3E-A705-4CB4-9A2B-AB5F8992633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6C3B32C-8727-4D03-9494-F86A4651A1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9958236-52C9-4FE2-85A0-7FC180D36BC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14" authorId="1" shapeId="0" xr:uid="{780DBC16-41D4-44C2-B2B0-AD3DF86809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Checking of Cylinder Head Tightness</t>
        </r>
      </text>
    </comment>
    <comment ref="F30" authorId="1" shapeId="0" xr:uid="{EAE5821F-3177-4FBE-BF3F-B678274B5A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Emergency Unload due to Lube Oil Leak between Turbo Carger A &amp; B Bank</t>
        </r>
      </text>
    </comment>
    <comment ref="CG63" authorId="0" shapeId="0" xr:uid="{3821AA7C-FEC8-44FC-B851-8F1CF730E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4320B53-A628-4C16-8777-0D3F8E7656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BBC17E2-D341-4F34-AEBE-A7EAE699CA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DFF93AE-806B-46B5-80FE-7D9DA0EF44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5A81932-0D65-486E-A122-8A04811EA3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22445A4-1A86-49CA-B774-9DB8B4416E4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B400FFD2-2F02-427A-ADC5-EE5CD52AB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7374D91-6224-48E7-9592-AE6A1DBE8B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1AF4FEE-532E-486F-BD07-7E24E4005D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A68126C-C673-4A68-82CA-B5C688F4B6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F754327-2BF1-45EF-87EE-D7784B37313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FDBB267-09B9-4A7D-8934-E44A097247F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06" authorId="1" shapeId="0" xr:uid="{783E9899-5B33-40C8-906A-AD5C4FEA07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
Rio Tuba
</t>
        </r>
      </text>
    </comment>
    <comment ref="S106" authorId="1" shapeId="0" xr:uid="{721EE8F1-7EE4-40E0-AA5A-A274E02642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T106" authorId="1" shapeId="0" xr:uid="{635E7659-F811-488F-B70A-403E675FAC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21bp4-2,RT
</t>
        </r>
      </text>
    </comment>
    <comment ref="U106" authorId="1" shapeId="0" xr:uid="{E09A3DCD-7D89-4359-8E03-77F35B253E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V106" authorId="1" shapeId="0" xr:uid="{BF73B1A4-B627-458D-8533-0BA15841DF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U111" authorId="1" shapeId="0" xr:uid="{35AB7DF6-6391-40B5-8844-36297146A5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132055D-CD05-46D2-8FB9-6C8EF911C57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A157926-729F-40EB-B77A-A3FB72DA25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4183B93-3F07-4E42-938B-75FA72E769C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D511E06-0A69-4B91-AABB-766E1E54CCD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0" authorId="1" shapeId="0" xr:uid="{D0FDAF6A-46DB-43E6-B335-031BC057A8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Air Leak at Charger Air Cooler Pipe</t>
        </r>
      </text>
    </comment>
    <comment ref="CG63" authorId="0" shapeId="0" xr:uid="{1295D4AC-1A93-4D57-BBAE-63883AAB69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3772D507-67CF-4853-9117-F66A38FC22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3676FB1-2BD1-443C-A258-6500A590BF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DE443BA-87F9-47D7-BB08-EB78AD409C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60E7833-329E-4450-9B45-74C06F08A48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CB78B23-CCBE-41A9-B7BA-63DDD76063C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30208A4-1EA3-40A8-A1E7-405711097D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283BD4B-5ED2-41C6-AB26-8099DFF6E0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C1D7FD3-B9D3-42FD-BB0D-FF204C965E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9755BFB-AA86-4783-B9FB-5AF742F923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B1FB73F-4C7E-4128-A17D-B53DAE0C7AE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B287776-C524-4734-B728-9ED4FCCC9D5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C1806627-9B8D-4E5C-BCF8-A4D2501A5DA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9B65B3-6712-42BC-B84E-FE51E838A8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7CACDFB-CA76-47CA-9279-F0CC897C5A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7B71B58-882D-4BEA-8CB7-62F123C014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D33165C-2AD7-4DA3-908E-750A19B423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A3AB73E-0175-4C74-B4F3-C3D65AD109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C5E64BD-BD9F-49D7-A9F0-0694CD51D6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C1EB0DD-AFBA-48EA-858D-C6D5204AD0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726EA91-D601-4B90-AEEB-BCE8CAD8CC0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DA476CD1-E0C0-4330-A9DC-34103B648C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5B7CC54-AF86-4F6F-A9D6-12AAEE46BE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D569CE9-7CDD-45BF-A93E-9C0E9F9612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6830561-F1DA-4638-8C4B-0EF4CA6D99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27F2BC2-741F-44E7-B5F1-C7E893A967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71F620-73BE-4DFC-BF59-8198E1E14D6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9F6871F-BE51-4471-B065-BDEB367185B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FD5E5F2-1B7C-4280-B1B2-F383834D4FC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F16E261-10A5-46D5-A61E-F7E6F59271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D2634AB-3DD6-4F86-9C07-A6155E7C93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DCE4D4-5CD1-4C2A-8622-4D5D5068EF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B5E42A1A-4E46-431B-B03D-62A420DA8A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EE2C64A-EA22-4017-ACCA-C40EB61C84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916FFF2-C06F-4D8A-9D72-5041CEB2EF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2949867-1283-48D9-9412-307EB36138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2D64CCA-D7BC-44AA-A746-57BC4C3986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B810656-E07D-4980-9B18-A5E33C6CC1D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5C30875-FD16-408D-AD49-7DEE5D568C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CFCB277-56FE-409A-9B4B-81FD79EEFD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BD678E-1E80-4FB9-9898-EAEEFCE9D5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E9C8D58-325F-4C4C-9BB5-8950134447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EB84AE1-CAAC-4D93-8A8D-2971B9B229C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4AEE8BD-FA5D-4E3E-AC0B-F8E1F4A9D99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6" authorId="1" shapeId="0" xr:uid="{11D1C8A2-FEA5-4037-8593-910453AE71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427E452D-6863-463E-AB67-784BB6BA0D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C0C7DFA-DF7F-4902-B063-8A78A48539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42E2DDB-F193-4633-9CE7-10A5547073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18C8DB3-BF64-4CE0-9CF8-5608F82E1A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AAB89C2C-23B0-4DCD-811B-F3885BE452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131BFE8-F30A-45E0-AE6D-0B9A321424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03F0364-70A5-4964-938E-468CA32A8B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EE52E3D-9897-444B-9D67-C88687E4BE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EBEE3AE-DD59-4B83-8B84-1833E177EA7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B77A25E-F851-4304-B808-F7FB5F9135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6CB802B-65D4-4829-805A-AF325E8032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C32D1EA-56E4-44CB-B166-8EDC60F160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CB99447-109B-4DAE-81D2-1153B92BBB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29ABBD4-7D71-47EE-BE62-1A8B5B59B0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602F009-0ECB-4C2F-901A-E8F7599A8A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3571EE3-50FE-4B69-832C-D6169E63C03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856A55-A2A6-49D9-8689-1BED2E237F6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08D8EB6-6343-478B-97F1-348662702DF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615B309-0920-452E-9057-30B48D69550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AE98C2F-AD9A-4E9A-943B-D9240E78244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20" authorId="1" shapeId="0" xr:uid="{9B65C941-5D3B-4D94-BF11-3345AE03C9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3757A90C-A3D3-4FC6-8963-99BAFBF7A4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EA6E5CD-29F2-4BE0-A1E5-0D6B09BB6E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A4EA541-1713-4A20-896D-0B046EA6FA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CA57B47-BC8E-41D8-9C5F-A742AD5235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535A8DC-1518-4DD3-8C85-AC8EAB71C86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52ADF83-B0F6-4470-91BE-8A3AE22F76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17FE573-EE4F-4484-9D59-BC72A736EB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72C024E-76F0-4660-B4AD-879716A519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56A330E-1774-4F89-85FF-517D87F6BC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696F312-857A-4B03-A3E2-65B69EC356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2641D13-929C-4F91-BBCA-52148908040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DFA62A5-54B3-46B1-8CA1-0BFCF6626AC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6" authorId="1" shapeId="0" xr:uid="{077B5D72-5AA2-4F64-88FB-DC3CC67B18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2E90C49-02D0-4FBC-8EA1-31B22DC1A3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9EA2BE0-6735-4889-AB56-8BE6EB31ED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7CD3FA9-D64D-4664-A6AC-4DC967CF9B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214AAF9-327A-4058-8554-DAEA4CC1F3E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909C272-8728-4D27-AACE-EF36C9FB43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2CC86A1-477D-467F-A517-E3AB665923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E504AF8-C8C0-4AF7-A2AE-B35791525C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8A06BDE-5787-42E1-964D-8EADEA5F67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5335859-44A9-49A4-94D5-FEB5180F5A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05BBEA3-3153-4A54-933F-E66E5AC2134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15DCD08-8EA6-4189-965B-947F1A86EA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306ADFA-8C52-4DA3-88BF-CEE6C84941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D5E86D-11F2-4F80-822A-1B0AF8716F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454D2B4-E57F-449B-A69B-B94957C234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4733A9E-E12F-49AD-9A0D-6B296247973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67814EF-F844-48C4-882D-087592B81FC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EC083557-2399-4E46-AE24-39030EC84B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 and F2-LU)
</t>
        </r>
      </text>
    </comment>
    <comment ref="Q105" authorId="1" shapeId="0" xr:uid="{A0E88754-FE35-4C61-A4E7-845E6FFACA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 and F2-LU)
</t>
        </r>
      </text>
    </comment>
    <comment ref="R105" authorId="1" shapeId="0" xr:uid="{B4721C90-877C-47E6-B4A3-0DC213262F1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 and F2-LU)
</t>
        </r>
      </text>
    </comment>
    <comment ref="S105" authorId="1" shapeId="0" xr:uid="{6C13241F-2D76-499C-BB33-953771E65D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 and F2-LU)
</t>
        </r>
      </text>
    </comment>
    <comment ref="T105" authorId="1" shapeId="0" xr:uid="{3558E86A-AA82-4264-AC6D-7B8CB8AEBD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 and F2-LU)
</t>
        </r>
      </text>
    </comment>
    <comment ref="U105" authorId="1" shapeId="0" xr:uid="{86879F7F-C24E-4300-88EC-36D1F48D59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 and F2-LU)
</t>
        </r>
      </text>
    </comment>
    <comment ref="V105" authorId="1" shapeId="0" xr:uid="{1CDB837A-F19A-44D4-BD11-601BDF2CEB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 and F2-LU)
</t>
        </r>
      </text>
    </comment>
    <comment ref="W105" authorId="1" shapeId="0" xr:uid="{7D7429FF-CF7E-4A6E-9AFB-FF2287177AA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(R9)
</t>
        </r>
      </text>
    </comment>
    <comment ref="X105" authorId="1" shapeId="0" xr:uid="{9BF72A35-929A-4E45-B513-BCE6589F1C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(R9)
</t>
        </r>
      </text>
    </comment>
    <comment ref="M106" authorId="1" shapeId="0" xr:uid="{B4531277-DE97-4760-B67F-7CBBA6600A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VS3
</t>
        </r>
      </text>
    </comment>
    <comment ref="T106" authorId="1" shapeId="0" xr:uid="{52F4E00A-EEB4-4CD6-A5DE-8D22FD63ED2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  <comment ref="U106" authorId="1" shapeId="0" xr:uid="{D23D4A56-E428-4418-8CD2-47B9E475B63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D2576AD-9F45-49C5-A923-E8C46A8B77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5EFBA98-6327-45EA-8C7A-0EF008E3209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BCDFFD1-DEC0-4576-AC49-5C98FD2F423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C2E2DAE-9D67-40BA-A52D-78A42BC3CDD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5" authorId="1" shapeId="0" xr:uid="{0DF71206-303E-4C12-AB06-4E61D2CC0C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F146F708-8BFC-436A-B6F0-4612ED747B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B8555E5-BA70-4A63-A35E-9DD7DB3106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40527A47-68C5-4A2F-8984-8C489B49F5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2E986295-DD34-4898-8FCC-1162FC57AA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4E62353-C2B8-4914-8E9C-590A432803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462E4DF-F893-4DD9-90F2-DC03235046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C84B0E3-F2C6-4E5C-A469-854104704D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EE8A4E2-9B6F-4221-92C9-21A0C0B9C5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39A7497-417A-4F75-B2C7-8A7154D988D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EA83F69-7E39-4BDE-A457-F357A23A0B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2033865-BA0F-4038-A1C9-480CD4A774B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A1C7613-FD76-4748-9548-1B30F4A53E1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6" authorId="1" shapeId="0" xr:uid="{BE15F47B-6842-4DAA-89A3-E36AFEB90C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
</t>
        </r>
      </text>
    </comment>
    <comment ref="R106" authorId="1" shapeId="0" xr:uid="{ADA84804-7C22-482A-9980-CF25FDAF0F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
RT
</t>
        </r>
      </text>
    </comment>
    <comment ref="T106" authorId="1" shapeId="0" xr:uid="{3E01D87B-D00C-48E9-B6E7-398232F58D6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U106" authorId="1" shapeId="0" xr:uid="{5A9795AA-95FA-4B0E-BA4A-D088D47CDE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X106" authorId="1" shapeId="0" xr:uid="{2036C4B1-B140-4F09-A9AB-BA9746383A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AURIN, TIMOTHY</author>
  </authors>
  <commentList>
    <comment ref="C6" authorId="0" shapeId="0" xr:uid="{EBB98B5A-6AC4-45DD-9A4C-AE3E5728411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BB56E1-4131-4EF1-81F0-DEA3F86E5E7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CA5ADE8-FB48-4CED-A280-E8FBAC4E508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7610E41-4761-46C0-B367-4A93B0DDE4D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5" authorId="1" shapeId="0" xr:uid="{74006E8E-AF1F-404E-97C0-BD7B41694F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DBD6CFFB-D28E-484C-B721-6C0E00978B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5B7E714-7591-4136-87B9-D55D647605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59E3E1B-4D99-4702-A890-2B45280335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B53D606-D67A-4E15-92D5-5C39A0260C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5060151-B952-45E8-A8F3-50FC7BF8E71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593679A-8EEC-461B-A77C-EF0D3DF7D01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C831BBC-2FE6-4112-995F-6B33CAA8F3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BBDB604-F5E8-4A27-9CF1-2D62CF3F53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1D112C9-8403-4199-A051-84D2CC41FB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B539A51-25C0-4B94-B1D1-08F9F7851D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D094B0E-1254-43E2-A4D4-D3367CB737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74139DF-3F63-4BC3-B903-0C29AC46CA6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83C7FEB5-C18F-4A87-82B5-C7E76823AE6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(R6)
</t>
        </r>
      </text>
    </comment>
    <comment ref="Q105" authorId="1" shapeId="0" xr:uid="{6D8354AB-ACB5-43B6-BF5A-3E540949B8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(R6)
</t>
        </r>
      </text>
    </comment>
    <comment ref="R105" authorId="1" shapeId="0" xr:uid="{5643B0C9-08D9-48C2-AE14-957E07EA28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(R6)
</t>
        </r>
      </text>
    </comment>
    <comment ref="S105" authorId="1" shapeId="0" xr:uid="{394A8919-1D58-4FCD-8542-DAE971C6FE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(R6)
</t>
        </r>
      </text>
    </comment>
    <comment ref="T105" authorId="1" shapeId="0" xr:uid="{9B303D66-FE6F-433B-9371-F05E8DECD3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(R6)
</t>
        </r>
      </text>
    </comment>
    <comment ref="U105" authorId="1" shapeId="0" xr:uid="{2CF4C075-8686-4982-A064-52844A0A2A1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(R6)
</t>
        </r>
      </text>
    </comment>
    <comment ref="V105" authorId="1" shapeId="0" xr:uid="{11557411-F34E-47EC-AB7D-6001171899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(R6)
</t>
        </r>
      </text>
    </comment>
    <comment ref="O106" authorId="2" shapeId="0" xr:uid="{0CFB71A0-D24D-4E3E-A18F-F5EEB72563FA}">
      <text>
        <r>
          <rPr>
            <sz val="11"/>
            <color theme="1"/>
            <rFont val="Calibri"/>
            <family val="2"/>
            <scheme val="minor"/>
          </rPr>
          <t>AURIN, TIMOTHY:
RIO TUBA</t>
        </r>
      </text>
    </comment>
    <comment ref="P106" authorId="2" shapeId="0" xr:uid="{5319307B-139C-4CD3-BEAF-BE5AFCB287FD}">
      <text>
        <r>
          <rPr>
            <sz val="11"/>
            <color theme="1"/>
            <rFont val="Calibri"/>
            <family val="2"/>
            <scheme val="minor"/>
          </rPr>
          <t>AURIN, TIMOTHY:
RIO TUBA</t>
        </r>
      </text>
    </comment>
    <comment ref="Q106" authorId="2" shapeId="0" xr:uid="{E0BBD49F-B5E9-4A59-A482-B3AE8FD8DA80}">
      <text>
        <r>
          <rPr>
            <sz val="11"/>
            <color theme="1"/>
            <rFont val="Calibri"/>
            <family val="2"/>
            <scheme val="minor"/>
          </rPr>
          <t>AURIN, TIMOTHY:
RIO TUBA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14F2B67-9D97-41F4-B2E1-5DEFCF6A83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56462AB-ED16-460A-AE53-320D13B292D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7F8C8C9-DA05-4832-9C51-FA2F92D81B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555A360-B16F-44AC-96FB-AA2BD63049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5" authorId="1" shapeId="0" xr:uid="{AABD97C2-5EB5-4D87-9366-6239DC31B0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P15" authorId="1" shapeId="0" xr:uid="{0A54A188-6D26-4DD0-8CCF-141C60E390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CG63" authorId="0" shapeId="0" xr:uid="{3677B9AD-1B6F-41DA-90FD-806A8E029F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1BAEB94-FA79-4D51-B6AA-A1C7C37381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BE1DFD40-87C8-409B-9CD1-547C0C1229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EEDB7BE-4219-4698-B40D-940054DFDB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3071F0A-8946-420F-8069-5D98A42982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341B8B4-DB96-4B95-900A-DC28659FB2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11DD4351-52A9-4F38-A0C4-CD8FD1C614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61CFBFE-FA37-4041-A224-0D8966A192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521797A9-33A8-44AB-811B-3326F29BAA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7FFEBE7-6DDD-4A2D-88AB-B9C8385F3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4043406-6226-40B3-82AF-98C5365AF5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2A706BE-0A38-4F96-A591-537A959FFA6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B106" authorId="1" shapeId="0" xr:uid="{91B18B24-9613-4ED6-819D-D53C34E80FF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AT MENDOZA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DCA608F-CD4E-4E1B-A239-BD8AEEE79D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9794DD9-AA1A-4D02-B57F-94602603A1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4E173D3-690C-4704-9AAB-609FBCD375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E3CFC85-47DF-4964-B4F3-28314573CDF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29C2867-3813-47DD-9F1C-A819483D55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CE7A51E-6CBB-4222-9DDE-17B6C87FCF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73B72C9-1FB5-49CF-966C-CAE0A0B26B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0D3F948-9E91-4B9C-B28F-E8CEC663E5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7FAEC8D-2A6B-40AF-8AB3-296598884EC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EFB7F79-9587-4F39-98CB-BD888C8895E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A038118-51A5-4F1C-A415-9720A066C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745AEDD-6F88-4B35-8528-3875EAFF1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F170262-45F5-400A-82C4-30C8C0EA85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6547209-BC22-4DD0-AFF8-17F971A856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266CF7B-0C2D-4AE0-AEE6-F38204BFD2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7F5D41D-C4A7-42AC-8001-E9635CAC2AA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E95A521-B339-474B-B0DB-E38FB64032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6FE95FF-A2AA-48F3-B6AD-2DC100EAA5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9E77CF1-D7E6-4728-A410-8A23D9212A6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CD993DD-827F-4BE0-8F1F-E0AF828A9E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66D5F739-352C-4442-8E32-CACBE78CB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E0A81AB-25B7-435B-9E21-1C4B2863B2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AFF59A0-B72D-4EFD-BB33-89940E52D9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71A58D5-5048-4BB9-A4FC-C565123270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521E939-A910-4255-A4F1-508079709D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8D7F5C6-56FC-4296-85C0-5F099F2E709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3806981-7F83-434A-BA20-B9056A2226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88400B8-123B-47BB-9C4F-92C323E6DF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E780841-373C-49BC-B452-A625E38E9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90171F4-21B4-4C16-BDFE-61F942C634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C10A6D8-6B12-4D68-BEDA-F8A05B91DCA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0DBE4D7-FCD0-4B9A-B32A-2DAA52C34CA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6" authorId="1" shapeId="0" xr:uid="{317625DE-22F9-42E3-BC5B-1B382DA1892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BD2D707-85D5-4B1F-999C-2311A54C23C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2B507EF-6620-4B02-844B-87129675FC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5BCC648-02AD-49CF-912F-DAA32599E1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A24E2D7-58E2-4A62-AC89-885E7366F85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14" authorId="1" shapeId="0" xr:uid="{976729AE-E6E5-4773-9DAC-000BA1378D9D}">
      <text>
        <r>
          <rPr>
            <sz val="9"/>
            <color indexed="81"/>
            <rFont val="Tahoma"/>
            <family val="2"/>
          </rPr>
          <t>LOAD TEST</t>
        </r>
      </text>
    </comment>
    <comment ref="CG63" authorId="0" shapeId="0" xr:uid="{89ADD3F4-ED57-4B40-AA06-6AB5F5B439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468E080-EB63-4F8C-B495-FB56E6B7EB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6E01748-A586-4CF5-891F-D491ED4BC5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4941641-F10B-471F-B38B-2717DD2D23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FE78883-0D24-4CBA-B4B6-A2B1768C8C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F6C8C4B-B510-4E54-B218-76BC9B0CD2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FF80421-7E42-4E55-B85D-6E8621576E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B6C9D46-FAB3-4C3E-848B-BA0C35E290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7CE31C84-BECB-49C3-AE1E-3951DCD4A1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E8C34E2-472B-4D11-B661-42AD16001F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9B1EAF9-76C9-4AA5-B142-6CEE63B4F2B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8929632-567F-4BC1-B6FC-894E5F998A8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5" authorId="1" shapeId="0" xr:uid="{F74C3F0F-14BE-4B88-9324-817E119A13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(R10)
</t>
        </r>
      </text>
    </comment>
    <comment ref="Q105" authorId="1" shapeId="0" xr:uid="{EE9561D2-DD88-4C0F-AA8B-D693E0742F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(R10)
</t>
        </r>
      </text>
    </comment>
    <comment ref="R105" authorId="1" shapeId="0" xr:uid="{56A2D4EB-CF28-4368-9BBA-C3BA96F749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(R10)
</t>
        </r>
      </text>
    </comment>
    <comment ref="S105" authorId="1" shapeId="0" xr:uid="{B8E6FB4C-BCC8-4BAE-AE7F-DF97FE8AE8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(R10)
</t>
        </r>
      </text>
    </comment>
    <comment ref="T105" authorId="1" shapeId="0" xr:uid="{D94BB41C-A65B-4FCF-A96A-7DEB1C0ACA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(R10)
</t>
        </r>
      </text>
    </comment>
    <comment ref="I106" authorId="1" shapeId="0" xr:uid="{96DECBF4-DD7E-4001-A4AD-FA12047816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J106" authorId="1" shapeId="0" xr:uid="{BA5028C0-AACF-4E4A-B8D9-BD61CE2367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K106" authorId="1" shapeId="0" xr:uid="{412BFEF7-04A9-4C82-8808-A775BD9C79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Q106" authorId="1" shapeId="0" xr:uid="{B426C418-6336-4434-9BFB-F12DC62E38D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 xml:space="preserve">1059h A/T TAYTAY BARRIO 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7327159-35F0-499C-9AD7-0F893147C23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67CD015-7491-4943-B47E-E47D68E6EB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0AFBAC6-AB76-4F82-8BDA-30C66EC56F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36BA6C1-AF24-4113-82AB-71BB5FB515C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4" authorId="1" shapeId="0" xr:uid="{E39E4A58-3D71-48D0-A288-245727C47A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Y14" authorId="1" shapeId="0" xr:uid="{6F7FBBA5-248A-46C4-873B-3088274D1F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etst</t>
        </r>
      </text>
    </comment>
    <comment ref="CG63" authorId="0" shapeId="0" xr:uid="{A019A9B0-BB81-414B-9C5B-8756ACBFD9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CF3CF09-AFDA-468C-A5AA-59C9B9F23C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6C09D50F-B436-4010-A8BB-FB34AFF36E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A8C93D7-83FA-4E27-869F-C77F9682AA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CCDD487-185D-47DD-9012-DC5CDC68AB4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525F915-5F22-41C2-9BD4-934C2243A66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7F7D367-83E0-4EAB-8CBA-363EBBF17D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FB6EC52-DBD2-4503-AE3D-EE5F13B443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2B573B6-8CE1-479A-90F7-19D68CDFCE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E1DBBAC-4152-41BD-973B-1AEA06AFB7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BBB8B45-EB2A-45E5-BEA5-621D80BF50F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04A1711-29EA-48D9-8F65-A68644D5937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62A59F9C-11F9-4F87-9079-2E769C5E2577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P105" authorId="1" shapeId="0" xr:uid="{942E110B-48BA-4956-BCDC-5DEFA9F8ADBF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Q105" authorId="1" shapeId="0" xr:uid="{133EBD08-C8D8-4C99-977E-0234749D4A7E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R105" authorId="1" shapeId="0" xr:uid="{992EFBF2-AD29-4C65-A79B-F34300041541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S105" authorId="1" shapeId="0" xr:uid="{4B1BC61E-2E59-4559-AE4D-DF3D3FD04E8F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T105" authorId="1" shapeId="0" xr:uid="{08682DD1-F2A1-486B-8554-FD6C6301BC13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U105" authorId="1" shapeId="0" xr:uid="{C9F55F82-C83B-4154-A60A-9E2F7278E812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V105" authorId="1" shapeId="0" xr:uid="{55EB9D1B-B461-4ED8-AFBD-904B864DFDF1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W105" authorId="1" shapeId="0" xr:uid="{9D9CAF77-8130-44D7-BF8F-7D25A6F8AF58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X105" authorId="1" shapeId="0" xr:uid="{33D65194-55C4-4FC0-8634-80CF048A1B0C}">
      <text>
        <r>
          <rPr>
            <sz val="9"/>
            <color indexed="81"/>
            <rFont val="Tahoma"/>
            <family val="2"/>
          </rPr>
          <t>SCHEDULED (MALIGAYA RECLOSER)</t>
        </r>
      </text>
    </comment>
    <comment ref="O106" authorId="1" shapeId="0" xr:uid="{4F59C126-CCF8-4844-97BC-FC203FA64B6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 + R1 rec</t>
        </r>
      </text>
    </comment>
    <comment ref="Z106" authorId="1" shapeId="0" xr:uid="{E0C888B0-D788-454F-BFFC-9B5A65141E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</t>
        </r>
      </text>
    </comment>
    <comment ref="AB106" authorId="1" shapeId="0" xr:uid="{072B3559-5778-4ADF-AA00-241CC13847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AC106" authorId="1" shapeId="0" xr:uid="{A95F63A6-5033-4E4D-ACFC-B92FF68256F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CE85354-D830-4278-8EF2-D2F45D5E5A3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D997F39-8530-43F6-8A2E-FE860FEE599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9EBCACB-939D-40BD-A6CC-2742E0F5AEC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188D3D6-0ED5-4ACA-A416-BE1FB26A320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62ED1B1-571C-4C1D-88A4-08DA3CBD0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4791C42-66D2-48E7-89D3-F232CA3C3B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18AB4967-FD1A-4431-BFDC-0FFCF2C826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3C73F2C-21F0-410A-A882-F5E88EFA9F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EB1FC9E-A989-4FA4-BDB2-ED6CC56CE52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9E8BA51C-E6A9-474C-B8D9-3186C56ECC6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9605916-DFBF-473D-B9DF-02AB62B114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CEBBD65-1BC8-4931-8E1D-E4FD90AAB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B6F80F3-0485-4DD1-A296-6899C2E2D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97FA40F-B45B-4ACE-B444-74CA637D7B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782325-2023-44E7-A375-92B07E8C71F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07371AB-4045-444B-AD14-54BA6C46250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DD7BDF36-7258-4DD3-8B43-030BDA5DC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I106" authorId="1" shapeId="0" xr:uid="{51147847-9850-4488-B4CD-CB01932E63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K106" authorId="1" shapeId="0" xr:uid="{FBD2FD84-24E6-4275-A200-F01039C9035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Quezon, R11, pobalcion
</t>
        </r>
      </text>
    </comment>
    <comment ref="L106" authorId="1" shapeId="0" xr:uid="{C5B2BF6D-125D-4B93-8AD1-5B6735A593F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Quezon, R11, Resuma
</t>
        </r>
      </text>
    </comment>
    <comment ref="M106" authorId="1" shapeId="0" xr:uid="{A4B1F725-A9B3-41C9-BCBC-E73E4D2E1A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Resuma, RT
</t>
        </r>
      </text>
    </comment>
    <comment ref="N106" authorId="1" shapeId="0" xr:uid="{D1855E78-8057-46B8-881B-DC9CB242E7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R11, Resuma, RT
</t>
        </r>
      </text>
    </comment>
    <comment ref="O106" authorId="1" shapeId="0" xr:uid="{2A973C81-338F-4ECC-92B0-190176AF31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 Resuma
</t>
        </r>
      </text>
    </comment>
    <comment ref="P106" authorId="1" shapeId="0" xr:uid="{8A40C26C-FFCA-4310-82AF-479167C9B0E8}">
      <text>
        <r>
          <rPr>
            <sz val="9"/>
            <color indexed="81"/>
            <rFont val="Tahoma"/>
            <family val="2"/>
          </rPr>
          <t>R11</t>
        </r>
      </text>
    </comment>
    <comment ref="Q106" authorId="1" shapeId="0" xr:uid="{D05D060F-8FBF-4A30-A06E-CF75A56DEE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 + TAYTAY BARRIO Rec</t>
        </r>
      </text>
    </comment>
    <comment ref="R106" authorId="1" shapeId="0" xr:uid="{B66896B1-56B0-4F9F-B21A-DD6FE5536F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 + TAYTAY BARRIO Rec</t>
        </r>
      </text>
    </comment>
    <comment ref="S106" authorId="1" shapeId="0" xr:uid="{4233E071-C741-4BD0-B930-97E0BB316E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Recloser</t>
        </r>
      </text>
    </comment>
    <comment ref="T106" authorId="1" shapeId="0" xr:uid="{5B888558-BEB7-49A5-8CBC-9104E7A266F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 Recloser</t>
        </r>
      </text>
    </comment>
    <comment ref="U106" authorId="1" shapeId="0" xr:uid="{A517D3E7-22A4-4DC2-84FE-D8346C8DEE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Recloser + PENRO Recloser</t>
        </r>
      </text>
    </comment>
    <comment ref="V106" authorId="1" shapeId="0" xr:uid="{E9DECE36-AB87-4801-9BF7-C41A5C49E5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Recloser + PENRO Recloser + RIO TUBA</t>
        </r>
      </text>
    </comment>
    <comment ref="W106" authorId="1" shapeId="0" xr:uid="{F9E63A01-7CDB-4338-AAB2-F2197D433A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Recloser + R9 Recloser</t>
        </r>
      </text>
    </comment>
    <comment ref="X106" authorId="1" shapeId="0" xr:uid="{ADC53626-A7CD-441D-8AA7-F0F81340FA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Recloser + QUEZON</t>
        </r>
      </text>
    </comment>
    <comment ref="Z106" authorId="1" shapeId="0" xr:uid="{EA95D980-0B38-4E17-B45A-7685565C8E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R6</t>
        </r>
      </text>
    </comment>
    <comment ref="AA106" authorId="1" shapeId="0" xr:uid="{B03AE777-3F42-4187-A0E2-DA32CDC622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R3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F7D9508-26B7-4C75-878E-548E9F2A600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1A93C74-5AEE-42F5-8C9E-BAF1EA8E9BF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6126633-1FBE-4EB3-BEBD-5B1EB0B5557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A38B299-8F2A-44B2-B635-D85BF5F86D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4E91D176-AC8E-4CAC-99DE-1D3AE8BEA2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CA95E7A-A41F-4EF5-BA6D-69EE4B6252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1A59862-0012-4864-B19F-8CCAAA4108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A2839F3-E642-4BC8-9D2A-D747784FB0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BED421D-9C33-4A48-88A9-323011D5B8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F009DFA-4A24-440D-B2E6-7FEFAE94AE2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D3F0626-50F5-4996-8A40-8AC510E88D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3D14A84-B977-46EB-BAC0-F520384928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4466741-C8E0-4E80-B729-D588FA0593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97D121E-98EB-4564-AD3A-052D0573B69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91B5442-E545-4CFA-8706-A500834AF5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43D9507-6181-421F-A31C-D401D39C4D4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6" authorId="1" shapeId="0" xr:uid="{FF68067D-D735-45A3-88D6-E83F082550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</t>
        </r>
      </text>
    </comment>
    <comment ref="M106" authorId="1" shapeId="0" xr:uid="{B749EC20-85E6-4C49-A246-260A5C82D7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</t>
        </r>
      </text>
    </comment>
    <comment ref="N106" authorId="1" shapeId="0" xr:uid="{01338754-5C09-4024-B92B-2F9A29C542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52-3RO4, MENDOZA, QUEZON</t>
        </r>
      </text>
    </comment>
    <comment ref="O106" authorId="1" shapeId="0" xr:uid="{C8E5E939-DBFB-43E8-A7AF-77CB474BB1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52-3RO4, MENDOZA</t>
        </r>
      </text>
    </comment>
    <comment ref="P106" authorId="1" shapeId="0" xr:uid="{F2C197A8-1369-43A8-8430-9EBE92A2E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52-3RO4, MENDOZA</t>
        </r>
      </text>
    </comment>
    <comment ref="Q106" authorId="1" shapeId="0" xr:uid="{3A487EC8-A1EA-45DA-8305-B03CD3D497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52-3RO4, MENDOZA</t>
        </r>
      </text>
    </comment>
    <comment ref="R106" authorId="1" shapeId="0" xr:uid="{B13E6116-D792-4E89-B9A7-C34AC9775A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52-3RO4, Quezon, PENRO</t>
        </r>
      </text>
    </comment>
    <comment ref="S106" authorId="1" shapeId="0" xr:uid="{79E670BE-FD32-4D11-BC4E-FC9336E81F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Quezon, PENRO, RT
</t>
        </r>
      </text>
    </comment>
    <comment ref="AC106" authorId="1" shapeId="0" xr:uid="{8C00EF56-F6C4-49FA-9D65-9232035BE6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</t>
        </r>
      </text>
    </comment>
    <comment ref="T111" authorId="1" shapeId="0" xr:uid="{22753A9F-E071-47CA-AB9C-15A0DBD538D4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01AF212-08DE-4CFB-9013-64467C22AFE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665EB46-EB26-45A3-8425-FD1FD93A9DD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BCB50A0-0959-4022-9AE0-C1DCF69B6E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1B8985F-47AC-4295-B88B-DC7EEEC43FC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A16" authorId="1" shapeId="0" xr:uid="{6BC966C5-4248-4973-9923-11F96342D6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To rectify water leak at HT pipe</t>
        </r>
      </text>
    </comment>
    <comment ref="Z29" authorId="1" shapeId="0" xr:uid="{E184D3C1-EA1B-4ADF-B0C5-BB87DBF8E29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flushing (30 mins duration)
</t>
        </r>
      </text>
    </comment>
    <comment ref="CG63" authorId="0" shapeId="0" xr:uid="{F046C353-5635-4FC2-9482-92C5D42678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FE400EF-C0E4-4CCC-9DEA-8E404BD9C2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C315345-DA96-48B5-8EFF-AA0E703750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913791D-062E-4E10-A3D3-16CE93360F4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0A2A0DC-3E33-4E58-AF95-E74ECFF55E2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CF0ADCC-AF55-4DFE-8628-E830052AA49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E6AD157-F74C-4240-B855-3DC298E295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03BBEFA-133C-40A1-A971-5F64EB527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E7E3F1A-BC6F-4F6C-9196-F3FD4248D7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E70CC3E-92E5-43C5-BDA9-050C91A512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60C4839-E66D-47C6-885C-6D8995736F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A212B32-DC38-4B74-B79A-3E09D02874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1A0BCF4C-64B5-49E9-B4B3-8E43A958B7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Taytay
</t>
        </r>
      </text>
    </comment>
    <comment ref="G106" authorId="1" shapeId="0" xr:uid="{5C7B4CBB-A799-4ACF-80DD-C2879D5589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Taytay
</t>
        </r>
      </text>
    </comment>
    <comment ref="H106" authorId="1" shapeId="0" xr:uid="{DCEE6A98-7B28-442B-81FB-97B85DE4A4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Taytay
</t>
        </r>
      </text>
    </comment>
    <comment ref="I106" authorId="1" shapeId="0" xr:uid="{02B74054-2E75-47BE-9768-683776981C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Taytay
+ Mendoza
</t>
        </r>
      </text>
    </comment>
    <comment ref="J106" authorId="1" shapeId="0" xr:uid="{E261B62F-FBDA-4ACC-83A9-DEF970D52F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Taytay
</t>
        </r>
      </text>
    </comment>
    <comment ref="K106" authorId="1" shapeId="0" xr:uid="{A3432EA0-5CD0-433D-AB04-009C52B0E41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Taytay
</t>
        </r>
      </text>
    </comment>
    <comment ref="L106" authorId="1" shapeId="0" xr:uid="{1475B1C8-4AE4-422F-B860-AB178469B0F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 + Taytay
</t>
        </r>
      </text>
    </comment>
    <comment ref="M106" authorId="1" shapeId="0" xr:uid="{4017CAD6-8A32-4BDF-9DB2-EC7A20F0C7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 + Taytay
</t>
        </r>
      </text>
    </comment>
    <comment ref="N106" authorId="1" shapeId="0" xr:uid="{73649A6C-71FF-4136-B476-36344329C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 + Taytay
</t>
        </r>
      </text>
    </comment>
    <comment ref="O106" authorId="1" shapeId="0" xr:uid="{08DA5FB0-6B53-4A90-BAB3-14E2495D56C5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
</t>
        </r>
      </text>
    </comment>
    <comment ref="P106" authorId="1" shapeId="0" xr:uid="{2B210147-FB9C-47DF-AC1F-5850CECE5787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
</t>
        </r>
      </text>
    </comment>
    <comment ref="Q106" authorId="1" shapeId="0" xr:uid="{4F36031E-2CD2-4CDF-B07A-948B45F318A8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
</t>
        </r>
      </text>
    </comment>
    <comment ref="R106" authorId="1" shapeId="0" xr:uid="{FD928C35-AFDE-4094-9154-B3BD636EE868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Taytay, Poblacion circuit, CB12
</t>
        </r>
      </text>
    </comment>
    <comment ref="S106" authorId="1" shapeId="0" xr:uid="{89990BDA-638C-4AE5-99AB-9FE741B1D51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Taytay,R11
</t>
        </r>
      </text>
    </comment>
    <comment ref="T106" authorId="1" shapeId="0" xr:uid="{9B2F6F45-6E4E-41D5-8BDB-6B5286597D4B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 + R11 + R3 + Rio Tuba
</t>
        </r>
      </text>
    </comment>
    <comment ref="U106" authorId="1" shapeId="0" xr:uid="{6CF675FF-83BC-41B0-A4BE-4AC81E31BFF6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 + R11 + R3
</t>
        </r>
      </text>
    </comment>
    <comment ref="V106" authorId="1" shapeId="0" xr:uid="{0913F0C5-82D1-4779-8E3F-BFA3DD2383B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 + R11 + R3
</t>
        </r>
      </text>
    </comment>
    <comment ref="W106" authorId="1" shapeId="0" xr:uid="{04842F3B-42DC-4070-8FB5-F49840C53C25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 + R3 + R6
</t>
        </r>
      </text>
    </comment>
    <comment ref="X106" authorId="1" shapeId="0" xr:uid="{AF77EC4F-5164-443A-859E-E1BEF38BAD63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 xml:space="preserve"> Taytay + R6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901A11C-707F-49ED-A9B4-1A86E35738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0036AEE-C0FE-44DF-83F0-53C16864F1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9F1DF19-7961-4E09-8BF8-4964A88936D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32EDD94-EB35-4179-9BAF-E263AA0663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21" authorId="1" shapeId="0" xr:uid="{F108CF6A-421E-4B4E-8906-28E8229B99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Z29" authorId="1" shapeId="0" xr:uid="{99EC8DE9-BAC4-4CC2-A341-0A8A108117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flushing (30 mins duration)
</t>
        </r>
      </text>
    </comment>
    <comment ref="CG63" authorId="0" shapeId="0" xr:uid="{2A9F6A56-74A7-4AE0-A73C-6C2156FC6C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DF81AA16-1E14-4D77-932F-3FD6CDC06B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C04737E-7339-4CF6-A486-50F4591045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D32AA73-2FDF-4F39-BE50-9C6AB01FCD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28DBDA2-7D26-45BB-8D9A-971FFDD4A18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F6B2A76-8B2E-4F04-AA7D-302D2C10BCD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985BA7B-1B44-4280-A0C5-520F9E0FAF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47AA048-DCBD-4761-9490-B7F99DEC8B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68829E0-44CA-48AA-9550-F89863711D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26F1012-E52B-4731-BE73-7D0D093240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30FED40-73F6-491F-8843-C8EE50CBA57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C1C012D-A1D5-4D19-AF6E-4EDF536BD70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6" authorId="1" shapeId="0" xr:uid="{DE9169F0-C0C4-44AB-8E2A-87C0F96C7D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I106" authorId="1" shapeId="0" xr:uid="{14CB30EE-5311-480F-A01B-2A2E4395F8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J106" authorId="1" shapeId="0" xr:uid="{9B495C05-9B20-4613-9AF7-EED0E038FA0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K106" authorId="1" shapeId="0" xr:uid="{BB58E6D1-7DB4-4C50-89B3-A724E6A4684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R3+R9</t>
        </r>
      </text>
    </comment>
    <comment ref="V106" authorId="1" shapeId="0" xr:uid="{4577DF64-6827-4843-91BE-4CA46CE47B8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RT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DB637C7-6CF8-45C2-B3CB-95601A7BD11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887D457-58C0-4703-B8DD-034FD7E842E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87C7BC9-7474-4322-90A5-03FD5C8B7D8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694B2E8-C8E9-4B88-B488-036088002F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X21" authorId="1" shapeId="0" xr:uid="{A37F21E6-1B98-4729-AFD1-C92970F204F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Z29" authorId="1" shapeId="0" xr:uid="{A8F6DEB0-58B8-4B93-9D70-08ECE71470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flushing (30 mins duration)
</t>
        </r>
      </text>
    </comment>
    <comment ref="CG63" authorId="0" shapeId="0" xr:uid="{B3387683-59EC-414A-A405-6BCF27571B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95F1959-C546-4E59-963E-091D009785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C30345E-9970-46E8-95D4-F954C6963D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8239E476-2F9A-4255-B7D7-AB605F2EDB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CC150811-11BB-4B2D-BEC2-D97FEBBA077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8FE1D70-518D-4BE0-A57C-5758A8E35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3EB39E8-D6EA-4B57-8C5D-4CEE698787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3A698C6-75E0-426E-B067-8D2C5162F3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10ED0D9-DFE2-481D-AEA6-9A6C2BF0FB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AB27437-2063-4C50-880D-E2613CFD5E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FF556B-73C0-45A0-8635-AA06AAAA97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BE89ED8-E848-42E1-8864-D9D3184D2E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06" authorId="1" shapeId="0" xr:uid="{1B3391C2-DBBD-4E03-868F-3094DDDA2B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WESCOM</t>
        </r>
      </text>
    </comment>
    <comment ref="U106" authorId="1" shapeId="0" xr:uid="{8FBFA3AC-F640-434A-BF44-DFC4C66DA0C0}">
      <text>
        <r>
          <rPr>
            <sz val="9"/>
            <color indexed="81"/>
            <rFont val="Tahoma"/>
            <family val="2"/>
          </rPr>
          <t>VS13</t>
        </r>
      </text>
    </comment>
    <comment ref="X106" authorId="1" shapeId="0" xr:uid="{5EDD86D3-666C-42E7-A084-4D680EB7DEDF}">
      <text>
        <r>
          <rPr>
            <sz val="9"/>
            <color indexed="81"/>
            <rFont val="Tahoma"/>
            <family val="2"/>
          </rPr>
          <t>R1 + ANHS</t>
        </r>
      </text>
    </comment>
    <comment ref="Y106" authorId="1" shapeId="0" xr:uid="{085DC144-DD9C-4522-A4B5-CE5E4D223379}">
      <text>
        <r>
          <rPr>
            <sz val="9"/>
            <color indexed="81"/>
            <rFont val="Tahoma"/>
            <family val="2"/>
          </rPr>
          <t>R1 + ANHS</t>
        </r>
      </text>
    </comment>
    <comment ref="Z106" authorId="1" shapeId="0" xr:uid="{A0398345-AB22-42A9-A2AF-9CBCC9C0B4EF}">
      <text>
        <r>
          <rPr>
            <sz val="9"/>
            <color indexed="81"/>
            <rFont val="Tahoma"/>
            <family val="2"/>
          </rPr>
          <t>R1 + ANHS</t>
        </r>
      </text>
    </comment>
    <comment ref="AA106" authorId="1" shapeId="0" xr:uid="{427DA852-7745-4A53-A00E-2C20962E75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
</t>
        </r>
      </text>
    </comment>
    <comment ref="AB106" authorId="1" shapeId="0" xr:uid="{66CF2CAF-64F9-41E3-962A-8D65D22D34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
</t>
        </r>
      </text>
    </comment>
    <comment ref="AC106" authorId="1" shapeId="0" xr:uid="{31140A08-14D9-412D-A3FB-D3BDE14425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A759314-7450-4F95-A39C-D018C34B6A7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C50926E-9F17-42D8-BF18-DA510383755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9AA43F1-D7F6-4F9F-A2F8-E21A9D81B5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2502E8A-2F63-4364-B3BC-69B469EF335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5A26BD0-3339-4194-AF9D-F76F4E5912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D2746D8-B8C5-4BF8-969F-7DE2D9E4C0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101C200-849D-46BC-87E8-96F98494A3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2B0F354-4112-487B-8063-D84414A715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C070A2A-F42A-425F-8289-D3BF65A2D2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31D5008F-2643-4633-A56B-5D17D91C106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EA69967F-92BF-4823-84CC-F9381E432F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C32E0B0-D24E-4D71-9F58-CFE7DE9D98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F7E3C10-FA0F-4081-8FF3-8EE479206E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EB95C57-071B-471C-8D82-0455DE1A9E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02674DB-3249-49E8-AD7D-D5120EC39E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BE13254-A7E4-4D58-BC9F-163E16A67F4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6" authorId="1" shapeId="0" xr:uid="{E5D01F4F-484C-4FE1-8498-8E48B06EF6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Salvacion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0CEC88B-6513-4106-97DF-25C109CD35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691F0BF-7785-4336-A429-DECF012E53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F146671-2020-43FC-A6E3-2D128BB8B5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589B37-5241-4B81-8D3D-DA5CA5F6C1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6602F4CC-485F-4A9D-B39F-99FD23E5BF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76479AB-5AFD-4B2E-B311-E6654308DC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D93AFEB-B752-43C5-8626-49243D6EB6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633F24D-EED1-4FB5-AC2C-137F98F53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972FF21-8228-4152-91F6-84B8A7C0F8C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6F44A79-C0C0-4475-84C2-F8B1C903C2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2E2EAB81-5946-4E00-B2A7-91690A36BB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D6A356E-1097-467E-8AD4-18A5849E8D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9399861-972A-4043-882D-C9DC87E814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AC6AEAE-D34D-4637-8100-1FB37295CE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2922BBC-6AFE-4C4D-B75F-7CA9CFF236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40E7C0F-02E3-485C-99CF-F212BC435A1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6" authorId="1" shapeId="0" xr:uid="{5B2A8F57-E51D-4428-9F96-9B63E04F38F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
</t>
        </r>
      </text>
    </comment>
    <comment ref="T106" authorId="1" shapeId="0" xr:uid="{55C9BF1F-4699-4995-974D-AEB1354E2C53}">
      <text>
        <r>
          <rPr>
            <b/>
            <sz val="9"/>
            <color indexed="81"/>
            <rFont val="Tahoma"/>
            <family val="2"/>
          </rPr>
          <t>R10 RECLOSER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C3E70CA-4334-4422-AAD8-11E557B26A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0C3FCC0-89C4-45AC-B7EC-BE72F4D41DD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C5E1669-8A4C-4CC2-BB6D-57A2B36DD02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49BEAE2-A1C2-4C05-90AF-BBC5DFC78ED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3BB61A0F-7F8E-4C61-9472-4D6161A440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AC5CBE6-9B53-4BC9-822D-3BE4CDCC96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AFCF48F-4032-48CD-B616-2577CE48ED1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13FA5772-D95D-49DC-ADBF-EACD14EE4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AE233C4-BD18-483B-9A8E-6CD06BCAF0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A7C5C4A7-3F37-4D6F-9237-67C20338EE5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333338E-8A4A-4C48-9535-A2ACA3E27E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041178F-3E64-4696-883A-0DEA162CF9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7FC9BE2-0E56-484D-BD91-F581C71658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D917EEB-4D3F-4884-92AC-503D381ED9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6253F3B-320F-4EB9-8438-3EC6C03700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329837C-C489-472B-BA0E-1495A094C2A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34420077-B70C-42C0-9376-7DDA7E4660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P105" authorId="1" shapeId="0" xr:uid="{F686079F-3D3D-444A-9812-60B6DF53D8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Q105" authorId="1" shapeId="0" xr:uid="{A22F2303-1697-4141-9402-4227378642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R105" authorId="1" shapeId="0" xr:uid="{3AFD281D-50B8-413F-9EE6-A2D4C49757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S105" authorId="1" shapeId="0" xr:uid="{48B1820B-ECFB-46C6-AF93-20E736858D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T105" authorId="1" shapeId="0" xr:uid="{CE72F8D5-3EB6-47E3-A5AF-6A576DF501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U105" authorId="1" shapeId="0" xr:uid="{CFC5B112-EE76-4C57-8386-3970B33091D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V105" authorId="1" shapeId="0" xr:uid="{AF8AB97C-1521-4681-90EA-7D30FC18EF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 rec &amp; B5 cutout</t>
        </r>
      </text>
    </comment>
    <comment ref="M106" authorId="1" shapeId="0" xr:uid="{7BEC501F-1988-43CB-B93E-F2EB9D36F2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F1 &amp; Anilawan rec</t>
        </r>
      </text>
    </comment>
    <comment ref="Q106" authorId="1" shapeId="0" xr:uid="{9807500C-13CA-4C0B-9A05-D8E127B9B1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F971DAF-4035-4321-AC51-8A1ACA913DB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83C0D79-5B37-4B09-90B3-0C407C7ACFD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5942A52-2FEF-4820-84DC-810360D1AE3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0636082-9D47-4334-9F6A-DB7A985247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E1132B04-3565-440E-A6D8-F8878AB72D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941F4CB-5F9B-4543-A184-5D5EC9E82A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313E3F0-33B8-4167-BCDC-728111A7E6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75197F0-D825-475F-AD84-E95175E0A4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0B3D229-DD02-4B52-A186-B00790200E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52169F5-F8EC-4C72-A6A3-ACF1DECAF16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603280E-CAAB-4B4B-AC02-D0175BA989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46C4FCD-C2EC-48E4-91C2-AD2F287048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7F24D29-E7F9-41F9-AC31-80FA195D73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1257FAC-1B77-4CCB-9A42-1EF3AE84FC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AA4A1E9-B3EE-482A-B045-158772F4DA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2566047E-D68A-4CE1-A4E4-CA308DBBBA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06" authorId="1" shapeId="0" xr:uid="{564D7926-7943-4BFC-B2E8-95675B9D65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51CFEA2-9A19-482E-B20A-4340AAE5500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DA14EAA-BAD8-464A-A6E1-D6D64C008E5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36AFB63-2CE6-4E5A-BF4F-BDBB1A3A77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292CE4B-2878-44E4-8704-6142C21A0C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5" authorId="1" shapeId="0" xr:uid="{BB8C22E7-A67A-4AC4-B99A-EFC8683A35C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CG63" authorId="0" shapeId="0" xr:uid="{4057E74B-2615-4BA4-85C0-CE622F14F9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F165840-50CA-4935-909E-4046FC48FF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1B12500-3458-4DC2-9AB3-12684AC797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9CC5D0D-F271-4F53-BDAB-5EDE43D6F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2D31B50-BECB-4A25-B866-E348D09CAE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204130F6-D2E3-4AE1-9343-52DB3AD39AA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112DAFB-4F53-47A0-AD2B-F9E32574FF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109BD31-42FF-4F5F-816F-CDCC08B3FD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B930C03-3548-49CD-96EF-D68B7C6234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422322E-DDBE-4F5C-9B4E-80FCC7B226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FB4AE145-F1C7-4AA4-B130-BBC60B0CCA0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6CBFFF7-25D4-4D01-97D8-F1530E622D0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5" authorId="1" shapeId="0" xr:uid="{AAACC1AA-5309-45F8-A381-1C21FFDE08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P105" authorId="1" shapeId="0" xr:uid="{9E3B6998-B620-42BB-94BA-CAE39F955AA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Q105" authorId="1" shapeId="0" xr:uid="{2C28D8F7-459C-4480-AF52-7042FAF3A1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R105" authorId="1" shapeId="0" xr:uid="{81258107-4830-4FCE-87D3-36FFEDD8C6E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T106" authorId="1" shapeId="0" xr:uid="{3BE01F41-B117-4A21-8F15-2BC8101E60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U106" authorId="1" shapeId="0" xr:uid="{0B308A7E-2D52-4950-AEC6-504C258F6EE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V106" authorId="1" shapeId="0" xr:uid="{AA82AB51-B6A0-4032-92B0-16B4149230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 &amp; 22BP4-1</t>
        </r>
      </text>
    </comment>
    <comment ref="W106" authorId="1" shapeId="0" xr:uid="{B9193608-7CF0-4841-AFFA-0C6768C5E1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X106" authorId="1" shapeId="0" xr:uid="{668DEF7B-69B5-4CCD-BFD7-A5154B15432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AC111" authorId="1" shapeId="0" xr:uid="{4BAFE4B3-2E39-444F-B0A6-57A8B643683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11E4030-692E-4B53-B485-28A5985171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DCFAE7D-18F5-4050-8D98-AE65698F4C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40897BC-F08D-45D6-8625-19F7F0D92F0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5D63ECB-EA5B-4440-BBFC-CC214C34174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20" authorId="1" shapeId="0" xr:uid="{0D0E6B37-FF7E-41B8-BF6A-EB4A9F1AB40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B85D3C53-293A-4A01-B662-EE3E7F0BD0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A868653F-F6F4-4DE2-A6F5-39E9D44ABC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3B36FAB-359A-468C-9D2D-566F249CEDA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D46031E-88C3-483B-B512-743BE15859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E7F5C536-1E31-4562-9E97-B9938E3F38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14CB2616-A36D-4F65-9C11-D31048F69BF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9B8A300-A973-4AEF-9768-D77D1E1E1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F68BE3E-B57B-4FCF-A418-B3A4AC9F31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0EF6F97-A544-416C-80A8-B5FB89664F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401DB41-8C11-4088-8DB4-3609B514614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8AA421B-81C1-4BEA-9D0C-91F45B25D5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4D6B5B39-D140-4BFA-866D-A9C2A690E93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06" authorId="1" shapeId="0" xr:uid="{B3581F1D-A614-442F-BF1A-100C46A383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S106" authorId="1" shapeId="0" xr:uid="{3CD6060A-2FDB-46E8-AC16-98CA1E4E68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W106" authorId="1" shapeId="0" xr:uid="{43C6E716-F0DC-4746-9650-0F05210494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EC06249-8DC5-459B-A37B-92C1B0147DD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A9F21A6-B0E2-4452-83A6-8156F88CEBE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007B7CA-5681-4054-BA25-7027C5B5EE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5774659-D403-4E7D-ADFA-00213F40D90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15" authorId="1" shapeId="0" xr:uid="{3FB6C092-BB90-436A-AFD4-66B97768B7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L15" authorId="1" shapeId="0" xr:uid="{0D3BA08D-4DBB-4081-8237-13796148DF2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L30" authorId="1" shapeId="0" xr:uid="{3CD85A4F-FCC7-425F-89DF-80321BE8AB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</t>
        </r>
      </text>
    </comment>
    <comment ref="CG63" authorId="0" shapeId="0" xr:uid="{017A7F0C-DED8-4AFC-BC2D-6BBA44EF50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515BCAF-4DDA-499D-BA6C-85CE32E785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6881900-A2BA-4C4B-88DA-E4C9F2098A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A4B1F10-F27E-453D-98E7-96CEBB2F7B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6517D590-B038-495F-98C8-63BD87AD1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6DFEC2B-BF97-4F61-9617-2B70DC49E5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126712E-3AB6-4C4A-8D06-05B69DBF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43F879E-9540-470F-8A7D-4051822FE6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0A696BF-F7B8-4AE3-9AF1-2A16CCC6A7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D140B63-D2D9-4382-A562-E1BBC9A48A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D005DAE-801E-4E35-A78C-434851A25C0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0ABE684-855A-47A2-A882-D8E1F1EEE49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6" authorId="1" shapeId="0" xr:uid="{A7A70A49-C4A8-454A-BCC1-FA07C14171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 &amp; kalikasan
</t>
        </r>
      </text>
    </comment>
    <comment ref="T106" authorId="1" shapeId="0" xr:uid="{0D79C782-DA80-47ED-9BAD-78120A2FB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U106" authorId="1" shapeId="0" xr:uid="{91FF8F98-0321-418C-8959-0FDF301CE2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V106" authorId="1" shapeId="0" xr:uid="{35DE2C89-61AF-4E35-AC0F-1537E5A797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W106" authorId="1" shapeId="0" xr:uid="{4A35C662-50C9-4EF1-9A78-C25AC07F46B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X106" authorId="1" shapeId="0" xr:uid="{50CE63D4-F32A-4E1A-90FE-F9DCAA77F15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742C5364-EE13-4D4D-82E1-2C03A974EC6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E772E08-70E8-45EA-B9E9-A6A2BE322FC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DBB3BB7-1A46-4E26-A1DA-A9CE302389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EE912CC-EDD2-4452-AD52-52B16B93EC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B95A784-776F-47EF-AE1F-D3D800575C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464E919-0497-4BC4-A617-FEEC63877A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9B65585-7B22-480A-861B-976CFE442C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76EC664-6417-4713-9D5B-DD6D72C271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F5DF46F-92E6-49E7-BA2E-1F07ECAD1A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3409902-0743-4033-AEE6-628C634AED5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3252E24-FF7C-4658-8E01-E6609E0F46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834D3593-F081-49F2-A296-7C50845AF5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4BE9D5E-169B-40B1-82FA-2997AAD7D5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BF5AC43-153C-4CD9-BBCD-B575568D14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AE56098-BD10-4048-A5C0-E578A66E9E2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596092A-F435-4E5F-B510-1F280A8494B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06" authorId="1" shapeId="0" xr:uid="{D610A943-0306-4297-BAD7-57D42116141B}">
      <text>
        <r>
          <rPr>
            <b/>
            <sz val="9"/>
            <color indexed="81"/>
            <rFont val="Tahoma"/>
            <family val="2"/>
          </rPr>
          <t>22RO4</t>
        </r>
      </text>
    </comment>
    <comment ref="L106" authorId="1" shapeId="0" xr:uid="{E99C93C8-A375-4377-90E4-DB4DEB370C98}">
      <text>
        <r>
          <rPr>
            <b/>
            <sz val="9"/>
            <color indexed="81"/>
            <rFont val="Tahoma"/>
            <family val="2"/>
          </rPr>
          <t>22RO4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666BB5C-DD0D-4CB9-93BC-60CC96FA29B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ED93661-B2A3-41ED-AE40-FA84DFDDC4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1A9A8DD-3318-4862-9B31-222FB4D87E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276ACC1-9302-4BD5-A086-C3151EF262C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15" authorId="1" shapeId="0" xr:uid="{30F2EF15-C03F-42DF-92DE-82084E9C52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U16" authorId="1" shapeId="0" xr:uid="{962E1BFA-FAEF-417A-91C0-73885ECB7EB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U19" authorId="1" shapeId="0" xr:uid="{DF6A52D1-0D34-4CA5-98C3-21F7D4E065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V19" authorId="1" shapeId="0" xr:uid="{7BFA6F11-E86C-49BD-8AE6-4E4AA96D436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5B2BAC25-148F-4445-91DC-516BCE3E24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BA1D6D7A-84AE-4D89-AE90-F80D7C5890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DBFD8DE-0C2F-4257-A51B-5956AE118A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EDB58186-A953-40A2-A2AD-13A01AF493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FAF0BCA-2418-41D2-B799-992C2F6B8CD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F480FCF-6727-44D4-B141-BA20C7D7B15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D0CD4DE-252A-4C34-BDBD-4D6C6A060E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8298266-AF1F-4FCE-B2BD-E0CD46D134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F9DC633-D309-4A49-A5D1-3684BAFCC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8997DB7-572A-446A-BB01-78E170E2D6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07F6FAB-E3FA-46D2-858B-140B7E4539A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66D8A2C-214A-48AD-9A5F-244C23A90BA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04" authorId="1" shapeId="0" xr:uid="{829B9784-B574-4A2D-8718-133F67AB86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F1&amp;F2, 22BP4-1</t>
        </r>
      </text>
    </comment>
    <comment ref="T104" authorId="1" shapeId="0" xr:uid="{BE5B3068-8C50-4A97-9644-AE62B25F0B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F1&amp;F2, 22BP4-1</t>
        </r>
      </text>
    </comment>
    <comment ref="U104" authorId="1" shapeId="0" xr:uid="{10B3D226-621E-4BBD-921C-C72D9D6C5D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F1&amp;F2, 22BP4-1</t>
        </r>
      </text>
    </comment>
    <comment ref="V104" authorId="1" shapeId="0" xr:uid="{48F5D236-3FD0-43AB-BBF6-94806B6F1EF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</t>
        </r>
      </text>
    </comment>
    <comment ref="P105" authorId="1" shapeId="0" xr:uid="{F9E3697B-658B-4917-A3B7-3C870A6909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05" authorId="1" shapeId="0" xr:uid="{2FDCA19F-3F40-49A2-ABF3-E7BA080A9ED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R105" authorId="1" shapeId="0" xr:uid="{0E3F9B92-AA79-4391-BE81-2443E74FA0F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S105" authorId="1" shapeId="0" xr:uid="{5FD93166-F471-4409-A075-4D53F34FE3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T105" authorId="1" shapeId="0" xr:uid="{F936DF15-2E00-4FB3-88C9-103E1B4A07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U105" authorId="1" shapeId="0" xr:uid="{2BFB1881-E1A4-4C56-AE1D-69F0839372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V105" authorId="1" shapeId="0" xr:uid="{0DC5EAE7-9B0D-41D1-90BD-84C57025E1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BE1094D-513D-4D41-9DD7-FE29A33A754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4EE54FE-7ACB-4FF2-A2A7-6DA71DA5444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F8A5067-9801-43F7-A3AF-CCD3218B0B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C574D69-9847-4355-A7E4-CB8013BD5D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D07644EB-0C75-45F1-BEBB-740BC3332D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3498205-030C-49AA-9A32-52CAD81C4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3827380-528B-4915-B862-3E28602824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6EDFEDF4-DC0C-473B-BFA9-10D922483D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1F15A35-17E7-4B1F-AF8D-EBABCCCB5CC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4B56D13-72FC-43DD-9CA5-497C471AA56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8C1E729F-4B3A-4D69-953E-4C79724B57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EAF70C7-1431-4711-A1D4-B8162DB590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72B2592-563E-4013-AE11-ED2B776175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A8A48DC-02AB-419F-B749-A0CE74C113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560D965-3C46-4787-84F7-D444F53F47E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A01F9BD-87A5-4914-84A1-21923B9FF67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6" authorId="1" shapeId="0" xr:uid="{5733CB1A-E3C1-4C2C-BF4E-289589EB0A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MENDOZA REC
</t>
        </r>
      </text>
    </comment>
    <comment ref="AB106" authorId="1" shapeId="0" xr:uid="{BA1B891F-95D8-42FA-B326-DE9FBB581D7B}">
      <text>
        <r>
          <rPr>
            <b/>
            <sz val="9"/>
            <color indexed="81"/>
            <rFont val="Tahoma"/>
            <family val="2"/>
          </rPr>
          <t>22ML4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<sst xmlns="http://schemas.openxmlformats.org/spreadsheetml/2006/main" count="41563" uniqueCount="3425">
  <si>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</si>
  <si>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</si>
  <si>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</si>
  <si>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</si>
  <si>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</si>
  <si>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</si>
  <si>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</si>
  <si>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</si>
  <si>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</si>
  <si>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</si>
  <si>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</si>
  <si>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</si>
  <si>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</si>
  <si>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</si>
  <si>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</si>
  <si>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</si>
  <si>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</si>
  <si>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</si>
  <si>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</si>
  <si>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</si>
  <si>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</si>
  <si>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</si>
  <si>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</si>
  <si>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</si>
  <si>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</si>
  <si>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</si>
  <si>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</si>
  <si>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</si>
  <si>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</si>
  <si>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</si>
  <si>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</si>
  <si>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MAN 2</t>
  </si>
  <si>
    <t>DMCI NARRA</t>
  </si>
  <si>
    <t>DMCI IRAWAN</t>
  </si>
  <si>
    <t>N-1</t>
  </si>
  <si>
    <t>CAT 40</t>
  </si>
  <si>
    <t>EPSA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</si>
  <si>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</si>
  <si>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</si>
  <si>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</si>
  <si>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</si>
  <si>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</si>
  <si>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</si>
  <si>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</si>
  <si>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</si>
  <si>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</si>
  <si>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</si>
  <si>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</si>
  <si>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</si>
  <si>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</si>
  <si>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</si>
  <si>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</si>
  <si>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</si>
  <si>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</si>
  <si>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</si>
  <si>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</si>
  <si>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</si>
  <si>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</si>
  <si>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</si>
  <si>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</si>
  <si>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</si>
  <si>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</si>
  <si>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</si>
  <si>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</si>
  <si>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</si>
  <si>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</si>
  <si>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</si>
  <si>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</si>
  <si>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</si>
  <si>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</si>
  <si>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</si>
  <si>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</si>
  <si>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</si>
  <si>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</si>
  <si>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</si>
  <si>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..211</t>
  </si>
  <si>
    <t>eDelta P</t>
  </si>
  <si>
    <t>eDelta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</si>
  <si>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</si>
  <si>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</si>
  <si>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</si>
  <si>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</si>
  <si>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</si>
  <si>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</si>
  <si>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</si>
  <si>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</si>
  <si>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</si>
  <si>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</si>
  <si>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</si>
  <si>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</si>
  <si>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</si>
  <si>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</si>
  <si>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DMCI SHORTFALL</t>
  </si>
  <si>
    <t>below 25 MW but not needed due to emergency</t>
  </si>
  <si>
    <t>PPGI SHORTFALL</t>
  </si>
  <si>
    <t>TEMPERATURE</t>
  </si>
  <si>
    <t>WEATHER CONDITION</t>
  </si>
  <si>
    <t>FAIR</t>
  </si>
  <si>
    <t>Moderate rain</t>
  </si>
  <si>
    <t>Light rain</t>
  </si>
  <si>
    <t>cloudy</t>
  </si>
  <si>
    <t>fair</t>
  </si>
  <si>
    <t>sunny</t>
  </si>
  <si>
    <t>moderate rain</t>
  </si>
  <si>
    <t>heavy rain</t>
  </si>
  <si>
    <t>Sunny</t>
  </si>
  <si>
    <t>Clear</t>
  </si>
  <si>
    <t>Cloudy</t>
  </si>
  <si>
    <t>Partly Cloudy/Partly Sunny</t>
  </si>
  <si>
    <t>light rain</t>
  </si>
  <si>
    <t>Partly Sunny/ Cloudy</t>
  </si>
  <si>
    <t>Moderate Rain</t>
  </si>
  <si>
    <t>Partly sunny/ cloudy</t>
  </si>
  <si>
    <t>clear</t>
  </si>
  <si>
    <t>partly cloudy</t>
  </si>
  <si>
    <t>rainy</t>
  </si>
  <si>
    <t>intense rain</t>
  </si>
  <si>
    <t>strong wind</t>
  </si>
  <si>
    <t>Strong winds</t>
  </si>
  <si>
    <t>DATE</t>
  </si>
  <si>
    <t>eDELTA-P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</si>
  <si>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</si>
  <si>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</si>
  <si>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</si>
  <si>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</si>
  <si>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</si>
  <si>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</si>
  <si>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</si>
  <si>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</si>
  <si>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</si>
  <si>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</si>
  <si>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</si>
  <si>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</si>
  <si>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</si>
  <si>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</si>
  <si>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</si>
  <si>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</si>
  <si>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</si>
  <si>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</si>
  <si>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</si>
  <si>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</si>
  <si>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</si>
  <si>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</si>
  <si>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</si>
  <si>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</si>
  <si>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</si>
  <si>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</si>
  <si>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</si>
  <si>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</si>
  <si>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</si>
  <si>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</si>
  <si>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</si>
  <si>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</si>
  <si>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</si>
  <si>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</si>
  <si>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</si>
  <si>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</si>
  <si>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</si>
  <si>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</si>
  <si>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</si>
  <si>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</si>
  <si>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</si>
  <si>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</si>
  <si>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</si>
  <si>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</si>
  <si>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</si>
  <si>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1..8</t>
  </si>
  <si>
    <t>`</t>
  </si>
  <si>
    <t>69..88</t>
  </si>
  <si>
    <t>70..8</t>
  </si>
  <si>
    <t>71..65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</si>
  <si>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</si>
  <si>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</si>
  <si>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</si>
  <si>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</si>
  <si>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</si>
  <si>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</si>
  <si>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</si>
  <si>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</si>
  <si>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</si>
  <si>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</si>
  <si>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</si>
  <si>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IRAWAN_39</t>
  </si>
  <si>
    <t>1342H</t>
  </si>
  <si>
    <t>1344H</t>
  </si>
  <si>
    <t>DMCI IRAWAN_CAT 42</t>
  </si>
  <si>
    <t>1304H</t>
  </si>
  <si>
    <t>Emergency unload for inspection</t>
  </si>
  <si>
    <t>e-Delta P_Unit 1</t>
  </si>
  <si>
    <t>0926H</t>
  </si>
  <si>
    <t>MECHANICAL PROBLEM / EXCESSIVE FUEL AND LUBE OIL LEAK ON UNIT 1 AFFECTING THE UNIT 2</t>
  </si>
  <si>
    <t>DMCI NARRA_Unit 1</t>
  </si>
  <si>
    <t>1338H</t>
  </si>
  <si>
    <t>1348H</t>
  </si>
  <si>
    <t>DMCI ABORLAN_MAN 2</t>
  </si>
  <si>
    <t>1441H</t>
  </si>
  <si>
    <t>2301H</t>
  </si>
  <si>
    <t>e-Delta P_Unit 3</t>
  </si>
  <si>
    <t>1516H</t>
  </si>
  <si>
    <t>0052H</t>
  </si>
  <si>
    <t>e-Delta P_Unit 2</t>
  </si>
  <si>
    <t>1610H</t>
  </si>
  <si>
    <t>0318H</t>
  </si>
  <si>
    <t>e-Delta P_Unit 4</t>
  </si>
  <si>
    <t>0738H</t>
  </si>
  <si>
    <t>2336H</t>
  </si>
  <si>
    <t>DMCI ABORLAN_Unit 2</t>
  </si>
  <si>
    <t>1019H</t>
  </si>
  <si>
    <t>0046H</t>
  </si>
  <si>
    <t>PPGI_Unit 3</t>
  </si>
  <si>
    <t>1429H</t>
  </si>
  <si>
    <t>0532H</t>
  </si>
  <si>
    <t>for inspection may umuusok sa cyl b4</t>
  </si>
  <si>
    <t>DMCI RIO TUBA_UP 38</t>
  </si>
  <si>
    <t>1804H</t>
  </si>
  <si>
    <t>0602H</t>
  </si>
  <si>
    <t>DMCI QUEZON_UP 24</t>
  </si>
  <si>
    <t>1201H</t>
  </si>
  <si>
    <t>0002H</t>
  </si>
  <si>
    <t>DMCI QUEZON_UP 17</t>
  </si>
  <si>
    <t>1801H</t>
  </si>
  <si>
    <t>0902H</t>
  </si>
  <si>
    <t>DMCI QUEZON_UP 18A</t>
  </si>
  <si>
    <t>0001H</t>
  </si>
  <si>
    <t>1602H</t>
  </si>
  <si>
    <t>0256H</t>
  </si>
  <si>
    <t>2050H</t>
  </si>
  <si>
    <t>DMCI IRAWAN_UP 11</t>
  </si>
  <si>
    <t>0521H</t>
  </si>
  <si>
    <t>0544H</t>
  </si>
  <si>
    <t>DMCI IRAWAN_UP 15</t>
  </si>
  <si>
    <t>0524H</t>
  </si>
  <si>
    <t>0553H</t>
  </si>
  <si>
    <t>DMCI ABORLAN_Unit 1</t>
  </si>
  <si>
    <t>0536H</t>
  </si>
  <si>
    <t>DMCI RIO TUBA_UP 37</t>
  </si>
  <si>
    <t>0601H</t>
  </si>
  <si>
    <t>1216H</t>
  </si>
  <si>
    <t>0736H</t>
  </si>
  <si>
    <t>0331H</t>
  </si>
  <si>
    <t>DMCI IRAWAN_UP 9</t>
  </si>
  <si>
    <t>0752H</t>
  </si>
  <si>
    <t>0813H</t>
  </si>
  <si>
    <t>DMCI IRAWAN_UP 14</t>
  </si>
  <si>
    <t>0805H</t>
  </si>
  <si>
    <t>0818H</t>
  </si>
  <si>
    <t>DMCI IRAWAN_UP 27</t>
  </si>
  <si>
    <t>0825H</t>
  </si>
  <si>
    <t>0836H</t>
  </si>
  <si>
    <t>0032H</t>
  </si>
  <si>
    <t>0901H</t>
  </si>
  <si>
    <t>PPGI_Unit 1</t>
  </si>
  <si>
    <t>0916H</t>
  </si>
  <si>
    <t>2238H</t>
  </si>
  <si>
    <t>P4_Unit 1</t>
  </si>
  <si>
    <t>1003H</t>
  </si>
  <si>
    <t>2135H</t>
  </si>
  <si>
    <t>1228H</t>
  </si>
  <si>
    <t>1230H</t>
  </si>
  <si>
    <t>1307H</t>
  </si>
  <si>
    <t>1351H</t>
  </si>
  <si>
    <t>1315H</t>
  </si>
  <si>
    <t>1454H</t>
  </si>
  <si>
    <t>1325H</t>
  </si>
  <si>
    <t>1507H</t>
  </si>
  <si>
    <t>1329H</t>
  </si>
  <si>
    <t>0127H</t>
  </si>
  <si>
    <t>1413H</t>
  </si>
  <si>
    <t>1513H</t>
  </si>
  <si>
    <t>1601H</t>
  </si>
  <si>
    <t>1002H</t>
  </si>
  <si>
    <t>0028H</t>
  </si>
  <si>
    <t>SERVICING OF FUEL FILTER</t>
  </si>
  <si>
    <t>0844H</t>
  </si>
  <si>
    <t>CHECK UP TURBO CHARGER</t>
  </si>
  <si>
    <t>2156H</t>
  </si>
  <si>
    <t>2123H</t>
  </si>
  <si>
    <t>1802H</t>
  </si>
  <si>
    <t>0214H</t>
  </si>
  <si>
    <t>LOW EGT</t>
  </si>
  <si>
    <t>0224H</t>
  </si>
  <si>
    <t xml:space="preserve">load test </t>
  </si>
  <si>
    <t>0507H</t>
  </si>
  <si>
    <t>0624H</t>
  </si>
  <si>
    <t>loadtest</t>
  </si>
  <si>
    <t>1821H</t>
  </si>
  <si>
    <t>0600H</t>
  </si>
  <si>
    <t>1131H</t>
  </si>
  <si>
    <t>0744H</t>
  </si>
  <si>
    <t>0826H</t>
  </si>
  <si>
    <t>0749H</t>
  </si>
  <si>
    <t>0832H</t>
  </si>
  <si>
    <t>0750H</t>
  </si>
  <si>
    <t>0755H</t>
  </si>
  <si>
    <t>0847H</t>
  </si>
  <si>
    <t>0801H</t>
  </si>
  <si>
    <t>0837H</t>
  </si>
  <si>
    <t>DMCI IRAWAN_35</t>
  </si>
  <si>
    <t>0821H</t>
  </si>
  <si>
    <t>0811H</t>
  </si>
  <si>
    <t>2309H</t>
  </si>
  <si>
    <t>0054H</t>
  </si>
  <si>
    <t>2029H</t>
  </si>
  <si>
    <t>0945H</t>
  </si>
  <si>
    <t>0904H</t>
  </si>
  <si>
    <t>0950H</t>
  </si>
  <si>
    <t>0908H</t>
  </si>
  <si>
    <t>0953H</t>
  </si>
  <si>
    <t>0919H</t>
  </si>
  <si>
    <t>1208H</t>
  </si>
  <si>
    <t>0932H</t>
  </si>
  <si>
    <t>1055H</t>
  </si>
  <si>
    <t>DMCI ABORLAN_MAN 1</t>
  </si>
  <si>
    <t>0940H</t>
  </si>
  <si>
    <t>1512H</t>
  </si>
  <si>
    <t>1001H</t>
  </si>
  <si>
    <t>1017H</t>
  </si>
  <si>
    <t>1030H</t>
  </si>
  <si>
    <t>1235H</t>
  </si>
  <si>
    <t>1036H</t>
  </si>
  <si>
    <t>1251H</t>
  </si>
  <si>
    <t>1221H</t>
  </si>
  <si>
    <t>1150H</t>
  </si>
  <si>
    <t>LEAK ON EXHAUST</t>
  </si>
  <si>
    <t>1310H</t>
  </si>
  <si>
    <t>1401H</t>
  </si>
  <si>
    <t>PPGI_Unit 2</t>
  </si>
  <si>
    <t>1343H</t>
  </si>
  <si>
    <t>1447H</t>
  </si>
  <si>
    <t>FUEL LEAK</t>
  </si>
  <si>
    <t>1722H</t>
  </si>
  <si>
    <t>2130H</t>
  </si>
  <si>
    <t>1816H</t>
  </si>
  <si>
    <t>0047H</t>
  </si>
  <si>
    <t>0254H</t>
  </si>
  <si>
    <t>load test</t>
  </si>
  <si>
    <t>0727H</t>
  </si>
  <si>
    <t>declared commercial</t>
  </si>
  <si>
    <t>0852H</t>
  </si>
  <si>
    <t>inspection main bearing 4 and cyl A1 and B1</t>
  </si>
  <si>
    <t>0604H</t>
  </si>
  <si>
    <t>Low tightness of cylinder B5 and replacement of cylinderhead.</t>
  </si>
  <si>
    <t>2323H</t>
  </si>
  <si>
    <t>2320H</t>
  </si>
  <si>
    <t>2326H</t>
  </si>
  <si>
    <t>2315H</t>
  </si>
  <si>
    <t>0924H</t>
  </si>
  <si>
    <t>0448H</t>
  </si>
  <si>
    <t>Lube Oil Leak Bet. Turbo Charger A&amp;B Bank</t>
  </si>
  <si>
    <t>0639H</t>
  </si>
  <si>
    <t>0637H</t>
  </si>
  <si>
    <t>0525H</t>
  </si>
  <si>
    <t>0535H</t>
  </si>
  <si>
    <t>0605H</t>
  </si>
  <si>
    <t>0537H</t>
  </si>
  <si>
    <t>0548H</t>
  </si>
  <si>
    <t>2108H</t>
  </si>
  <si>
    <t>0607H</t>
  </si>
  <si>
    <t>2002H</t>
  </si>
  <si>
    <t>0857H</t>
  </si>
  <si>
    <t>FUEL LEAK AT BOOSTER UNIT</t>
  </si>
  <si>
    <t>0712H</t>
  </si>
  <si>
    <t>1254H</t>
  </si>
  <si>
    <t>0827H</t>
  </si>
  <si>
    <t>0830H</t>
  </si>
  <si>
    <t>0757H</t>
  </si>
  <si>
    <t>0858H</t>
  </si>
  <si>
    <t>1202H</t>
  </si>
  <si>
    <t>2021H</t>
  </si>
  <si>
    <t>0815H</t>
  </si>
  <si>
    <t>0903H</t>
  </si>
  <si>
    <t>0645H</t>
  </si>
  <si>
    <t>0724H</t>
  </si>
  <si>
    <t>0838H</t>
  </si>
  <si>
    <t>1042H</t>
  </si>
  <si>
    <t>0846H</t>
  </si>
  <si>
    <t>1045H</t>
  </si>
  <si>
    <t>0848H</t>
  </si>
  <si>
    <t>0909H</t>
  </si>
  <si>
    <t>2358H</t>
  </si>
  <si>
    <t>Declared Commertial</t>
  </si>
  <si>
    <t>0941H</t>
  </si>
  <si>
    <t>1132H</t>
  </si>
  <si>
    <t>1027H</t>
  </si>
  <si>
    <t>1159H</t>
  </si>
  <si>
    <t>1038H</t>
  </si>
  <si>
    <t>1538H</t>
  </si>
  <si>
    <t>1151H</t>
  </si>
  <si>
    <t>0402H</t>
  </si>
  <si>
    <t>1301H</t>
  </si>
  <si>
    <t>1504H</t>
  </si>
  <si>
    <t>1333H</t>
  </si>
  <si>
    <t>1546H</t>
  </si>
  <si>
    <t>1603H</t>
  </si>
  <si>
    <t>1615H</t>
  </si>
  <si>
    <t>1617H</t>
  </si>
  <si>
    <t>2001H</t>
  </si>
  <si>
    <t>2348H</t>
  </si>
  <si>
    <t>0039H</t>
  </si>
  <si>
    <t>2357H</t>
  </si>
  <si>
    <t>0016H</t>
  </si>
  <si>
    <t>0021H</t>
  </si>
  <si>
    <t>1713H</t>
  </si>
  <si>
    <t>0401H</t>
  </si>
  <si>
    <t>2102H</t>
  </si>
  <si>
    <t>0454H</t>
  </si>
  <si>
    <t>0859H</t>
  </si>
  <si>
    <t>LOADTEST</t>
  </si>
  <si>
    <t>0519H</t>
  </si>
  <si>
    <t>1733H</t>
  </si>
  <si>
    <t>0703H</t>
  </si>
  <si>
    <t>0720H</t>
  </si>
  <si>
    <t>0759H</t>
  </si>
  <si>
    <t>0907H</t>
  </si>
  <si>
    <t>0802H</t>
  </si>
  <si>
    <t>0803H</t>
  </si>
  <si>
    <t>0809H</t>
  </si>
  <si>
    <t>1049H</t>
  </si>
  <si>
    <t>0810H</t>
  </si>
  <si>
    <t>1109H</t>
  </si>
  <si>
    <t>0823H</t>
  </si>
  <si>
    <t>1018H</t>
  </si>
  <si>
    <t>0022H</t>
  </si>
  <si>
    <t>1749H</t>
  </si>
  <si>
    <t>LOW EGT AT CYL B4</t>
  </si>
  <si>
    <t>0942H</t>
  </si>
  <si>
    <t>1024H</t>
  </si>
  <si>
    <t>LOAD TEST</t>
  </si>
  <si>
    <t>0324H</t>
  </si>
  <si>
    <t>0956H</t>
  </si>
  <si>
    <t>1116H</t>
  </si>
  <si>
    <t>1433H</t>
  </si>
  <si>
    <t>1330H</t>
  </si>
  <si>
    <t>1708H</t>
  </si>
  <si>
    <t>1710H</t>
  </si>
  <si>
    <t>1730H</t>
  </si>
  <si>
    <t>0125H</t>
  </si>
  <si>
    <t>0538H</t>
  </si>
  <si>
    <t>1812H</t>
  </si>
  <si>
    <t>1923H</t>
  </si>
  <si>
    <t>1824H</t>
  </si>
  <si>
    <t>1937H</t>
  </si>
  <si>
    <t>1832H</t>
  </si>
  <si>
    <t>1933H</t>
  </si>
  <si>
    <t>1841H</t>
  </si>
  <si>
    <t>1946H</t>
  </si>
  <si>
    <t>1846H</t>
  </si>
  <si>
    <t>1957H</t>
  </si>
  <si>
    <t>1902H</t>
  </si>
  <si>
    <t>1930H</t>
  </si>
  <si>
    <t>2101H</t>
  </si>
  <si>
    <t>1302H</t>
  </si>
  <si>
    <t>2118H</t>
  </si>
  <si>
    <t>2146H</t>
  </si>
  <si>
    <t>2203H</t>
  </si>
  <si>
    <t>2132H</t>
  </si>
  <si>
    <t>2213H</t>
  </si>
  <si>
    <t>0851H</t>
  </si>
  <si>
    <t>replacement charge air cooler</t>
  </si>
  <si>
    <t>0314H</t>
  </si>
  <si>
    <t>0330H</t>
  </si>
  <si>
    <t>0335H</t>
  </si>
  <si>
    <t>0328H</t>
  </si>
  <si>
    <t>0652H</t>
  </si>
  <si>
    <t>0333H</t>
  </si>
  <si>
    <t>0323H</t>
  </si>
  <si>
    <t>0142H</t>
  </si>
  <si>
    <t>0510H</t>
  </si>
  <si>
    <t>0526H</t>
  </si>
  <si>
    <t>0655H</t>
  </si>
  <si>
    <t>0650H</t>
  </si>
  <si>
    <t>0539H</t>
  </si>
  <si>
    <t>0708H</t>
  </si>
  <si>
    <t>0710H</t>
  </si>
  <si>
    <t>0707H</t>
  </si>
  <si>
    <t>Loadtest</t>
  </si>
  <si>
    <t>0706H</t>
  </si>
  <si>
    <t>2225H</t>
  </si>
  <si>
    <t>0833H</t>
  </si>
  <si>
    <t>0911H</t>
  </si>
  <si>
    <t>0914H</t>
  </si>
  <si>
    <t>1000H</t>
  </si>
  <si>
    <t>0839H</t>
  </si>
  <si>
    <t>0946H</t>
  </si>
  <si>
    <t>0948H</t>
  </si>
  <si>
    <t>2053H</t>
  </si>
  <si>
    <t>0917H</t>
  </si>
  <si>
    <t>0951H</t>
  </si>
  <si>
    <t>0920H</t>
  </si>
  <si>
    <t>0959H</t>
  </si>
  <si>
    <t>0933H</t>
  </si>
  <si>
    <t>Fuel Leak at cyl B1</t>
  </si>
  <si>
    <t>1446H</t>
  </si>
  <si>
    <t>0923H</t>
  </si>
  <si>
    <t>1059H</t>
  </si>
  <si>
    <t>0930H</t>
  </si>
  <si>
    <t>1153H</t>
  </si>
  <si>
    <t>1015H</t>
  </si>
  <si>
    <t>1104H</t>
  </si>
  <si>
    <t>0549H</t>
  </si>
  <si>
    <t>Declared Commercial</t>
  </si>
  <si>
    <t>1047H</t>
  </si>
  <si>
    <t>1106H</t>
  </si>
  <si>
    <t>1056H</t>
  </si>
  <si>
    <t>1209H</t>
  </si>
  <si>
    <t>1111H</t>
  </si>
  <si>
    <t>1145H</t>
  </si>
  <si>
    <t>1213H</t>
  </si>
  <si>
    <t>1146H</t>
  </si>
  <si>
    <t>1140H</t>
  </si>
  <si>
    <t>0559H</t>
  </si>
  <si>
    <t>0302H</t>
  </si>
  <si>
    <t>1738H</t>
  </si>
  <si>
    <t>1836H</t>
  </si>
  <si>
    <t>1737H</t>
  </si>
  <si>
    <t>1858H</t>
  </si>
  <si>
    <t>2258H</t>
  </si>
  <si>
    <t>1817H</t>
  </si>
  <si>
    <t>1915H</t>
  </si>
  <si>
    <t>1814H</t>
  </si>
  <si>
    <t>1859H</t>
  </si>
  <si>
    <t>1942H</t>
  </si>
  <si>
    <t>1820H</t>
  </si>
  <si>
    <t>1851H</t>
  </si>
  <si>
    <t>1102H</t>
  </si>
  <si>
    <t>1155H</t>
  </si>
  <si>
    <t>0154H</t>
  </si>
  <si>
    <t>1212H</t>
  </si>
  <si>
    <t>1852H</t>
  </si>
  <si>
    <t>2248H</t>
  </si>
  <si>
    <t>1349H</t>
  </si>
  <si>
    <t>1352H</t>
  </si>
  <si>
    <t>1425H</t>
  </si>
  <si>
    <t>1354H</t>
  </si>
  <si>
    <t>1359H</t>
  </si>
  <si>
    <t>1549H</t>
  </si>
  <si>
    <t>1410H</t>
  </si>
  <si>
    <t>1417H</t>
  </si>
  <si>
    <t>1629H</t>
  </si>
  <si>
    <t>1650H</t>
  </si>
  <si>
    <t>1654H</t>
  </si>
  <si>
    <t>18005H</t>
  </si>
  <si>
    <t>1939H</t>
  </si>
  <si>
    <t>1815H</t>
  </si>
  <si>
    <t>1950H</t>
  </si>
  <si>
    <t>2011H</t>
  </si>
  <si>
    <t>1826H</t>
  </si>
  <si>
    <t>2103H</t>
  </si>
  <si>
    <t>1831H</t>
  </si>
  <si>
    <t>2110H</t>
  </si>
  <si>
    <t>1839H</t>
  </si>
  <si>
    <t>1935H</t>
  </si>
  <si>
    <t>1901H</t>
  </si>
  <si>
    <t>1203H</t>
  </si>
  <si>
    <t>0301H</t>
  </si>
  <si>
    <t>2027H</t>
  </si>
  <si>
    <t>1046H</t>
  </si>
  <si>
    <t>0514H</t>
  </si>
  <si>
    <t>1101H</t>
  </si>
  <si>
    <t>0527H</t>
  </si>
  <si>
    <t>0540H</t>
  </si>
  <si>
    <t>0631H</t>
  </si>
  <si>
    <t>0740H</t>
  </si>
  <si>
    <t>0845H</t>
  </si>
  <si>
    <t>0912H</t>
  </si>
  <si>
    <t>0746H</t>
  </si>
  <si>
    <t>2224H</t>
  </si>
  <si>
    <t>0500H</t>
  </si>
  <si>
    <t>1136H</t>
  </si>
  <si>
    <t>0312H</t>
  </si>
  <si>
    <t>0020H</t>
  </si>
  <si>
    <t>0835H</t>
  </si>
  <si>
    <t>1048H</t>
  </si>
  <si>
    <t>1205H</t>
  </si>
  <si>
    <t>0841H</t>
  </si>
  <si>
    <t>0347H</t>
  </si>
  <si>
    <t>0931H</t>
  </si>
  <si>
    <t>1255H</t>
  </si>
  <si>
    <t>2125H</t>
  </si>
  <si>
    <t>1219H</t>
  </si>
  <si>
    <t>1110H</t>
  </si>
  <si>
    <t>1416H</t>
  </si>
  <si>
    <t>1117H</t>
  </si>
  <si>
    <t>1257H</t>
  </si>
  <si>
    <t>1120H</t>
  </si>
  <si>
    <t>1226H</t>
  </si>
  <si>
    <t>1856H</t>
  </si>
  <si>
    <t>repair gas leak &amp; silencer</t>
  </si>
  <si>
    <t>1244H</t>
  </si>
  <si>
    <t>1231H</t>
  </si>
  <si>
    <t>1451H</t>
  </si>
  <si>
    <t>1241H</t>
  </si>
  <si>
    <t>1605H</t>
  </si>
  <si>
    <t>high egt</t>
  </si>
  <si>
    <t>1842H</t>
  </si>
  <si>
    <t>0327H</t>
  </si>
  <si>
    <t>2218H</t>
  </si>
  <si>
    <t>0545H</t>
  </si>
  <si>
    <t>0633H</t>
  </si>
  <si>
    <t>1229H</t>
  </si>
  <si>
    <t>0829H</t>
  </si>
  <si>
    <t>0751H</t>
  </si>
  <si>
    <t>0831H</t>
  </si>
  <si>
    <t>0641H</t>
  </si>
  <si>
    <t>0037H</t>
  </si>
  <si>
    <t>0817H</t>
  </si>
  <si>
    <t>Replacement of Fuel Injector in cyl. 1, 3, 8</t>
  </si>
  <si>
    <t>1134H</t>
  </si>
  <si>
    <t>0925H</t>
  </si>
  <si>
    <t>1130H</t>
  </si>
  <si>
    <t>1924H</t>
  </si>
  <si>
    <t>0958H</t>
  </si>
  <si>
    <t>1103H</t>
  </si>
  <si>
    <t>0102H</t>
  </si>
  <si>
    <t>1006H</t>
  </si>
  <si>
    <t>1951H</t>
  </si>
  <si>
    <t>1129H</t>
  </si>
  <si>
    <t>0109H</t>
  </si>
  <si>
    <t>1214H</t>
  </si>
  <si>
    <t>0635H</t>
  </si>
  <si>
    <t>1409H</t>
  </si>
  <si>
    <t>1309H</t>
  </si>
  <si>
    <t>1655H</t>
  </si>
  <si>
    <t>1335H</t>
  </si>
  <si>
    <t>1657H</t>
  </si>
  <si>
    <t>1414H</t>
  </si>
  <si>
    <t>1643H</t>
  </si>
  <si>
    <t>1415H</t>
  </si>
  <si>
    <t>1706H</t>
  </si>
  <si>
    <t>2013H</t>
  </si>
  <si>
    <t>2232H</t>
  </si>
  <si>
    <t>0049H</t>
  </si>
  <si>
    <t>low fuel pressure</t>
  </si>
  <si>
    <t>2347H</t>
  </si>
  <si>
    <t>0014H</t>
  </si>
  <si>
    <t>0008H</t>
  </si>
  <si>
    <t>0458H</t>
  </si>
  <si>
    <t>low EGT</t>
  </si>
  <si>
    <t>0101H</t>
  </si>
  <si>
    <t>0246H</t>
  </si>
  <si>
    <t>0621H</t>
  </si>
  <si>
    <t>0516H</t>
  </si>
  <si>
    <t>2353H</t>
  </si>
  <si>
    <t>servicing of turbo charger &amp; lube oil cooler</t>
  </si>
  <si>
    <t>2306H</t>
  </si>
  <si>
    <t>0552H</t>
  </si>
  <si>
    <t>2137H</t>
  </si>
  <si>
    <t>2004H</t>
  </si>
  <si>
    <t>0730H</t>
  </si>
  <si>
    <t>0058H</t>
  </si>
  <si>
    <t>0840H</t>
  </si>
  <si>
    <t>0943H</t>
  </si>
  <si>
    <t>0915H</t>
  </si>
  <si>
    <t>0921H</t>
  </si>
  <si>
    <t>0949H</t>
  </si>
  <si>
    <t>0928H</t>
  </si>
  <si>
    <t>0936H</t>
  </si>
  <si>
    <t>2154H</t>
  </si>
  <si>
    <t>1022H</t>
  </si>
  <si>
    <t>1133H</t>
  </si>
  <si>
    <t>1031H</t>
  </si>
  <si>
    <t>1152H</t>
  </si>
  <si>
    <t>FOR CHECKING OF TURBO</t>
  </si>
  <si>
    <t>1125H</t>
  </si>
  <si>
    <t>2055H</t>
  </si>
  <si>
    <t>1319H</t>
  </si>
  <si>
    <t>1340H</t>
  </si>
  <si>
    <t>1456H</t>
  </si>
  <si>
    <t>1541H</t>
  </si>
  <si>
    <t>1701H</t>
  </si>
  <si>
    <t>1828H</t>
  </si>
  <si>
    <t>1844H</t>
  </si>
  <si>
    <t>1843H</t>
  </si>
  <si>
    <t>1920H</t>
  </si>
  <si>
    <t>0550H</t>
  </si>
  <si>
    <t>0533H</t>
  </si>
  <si>
    <t>2256H</t>
  </si>
  <si>
    <t>0623H</t>
  </si>
  <si>
    <t>0541H</t>
  </si>
  <si>
    <t>0029H</t>
  </si>
  <si>
    <t>1121H</t>
  </si>
  <si>
    <t>0629H</t>
  </si>
  <si>
    <t>1420H</t>
  </si>
  <si>
    <t>2047H</t>
  </si>
  <si>
    <t>0853H</t>
  </si>
  <si>
    <t>2140H</t>
  </si>
  <si>
    <t>1157H</t>
  </si>
  <si>
    <t>1051H</t>
  </si>
  <si>
    <t>1005H</t>
  </si>
  <si>
    <t>1217H</t>
  </si>
  <si>
    <t>1147H</t>
  </si>
  <si>
    <t>1237H</t>
  </si>
  <si>
    <t>1242H</t>
  </si>
  <si>
    <t>1215H</t>
  </si>
  <si>
    <t>1633H</t>
  </si>
  <si>
    <t>1339H</t>
  </si>
  <si>
    <t>1406H</t>
  </si>
  <si>
    <t>1356H</t>
  </si>
  <si>
    <t>0515H</t>
  </si>
  <si>
    <t>1526H</t>
  </si>
  <si>
    <t>1715H</t>
  </si>
  <si>
    <t>1127H</t>
  </si>
  <si>
    <t>Rectify Gas leak at Cyl B1, Rectify cut-off support on exhaust manifold</t>
  </si>
  <si>
    <t>2141H</t>
  </si>
  <si>
    <t>2149H</t>
  </si>
  <si>
    <t>2158H</t>
  </si>
  <si>
    <t>2251H</t>
  </si>
  <si>
    <t>2308H</t>
  </si>
  <si>
    <t>2324H</t>
  </si>
  <si>
    <t>2332H</t>
  </si>
  <si>
    <t>2314H</t>
  </si>
  <si>
    <t>2310H</t>
  </si>
  <si>
    <t>0025H</t>
  </si>
  <si>
    <t>0506H</t>
  </si>
  <si>
    <t>1436H</t>
  </si>
  <si>
    <t>0342H</t>
  </si>
  <si>
    <t>0522H</t>
  </si>
  <si>
    <t>0556H</t>
  </si>
  <si>
    <t>1259H</t>
  </si>
  <si>
    <t>0753H</t>
  </si>
  <si>
    <t>2318H</t>
  </si>
  <si>
    <t>0842H</t>
  </si>
  <si>
    <t>0814H</t>
  </si>
  <si>
    <t>0822H</t>
  </si>
  <si>
    <t>0828H</t>
  </si>
  <si>
    <t>1959H</t>
  </si>
  <si>
    <t>1032H</t>
  </si>
  <si>
    <t>1033H</t>
  </si>
  <si>
    <t>1008H</t>
  </si>
  <si>
    <t>1223H</t>
  </si>
  <si>
    <t>1029H</t>
  </si>
  <si>
    <t>2035H</t>
  </si>
  <si>
    <t>LOAD TEST
DECLARED COMMERCIAL AT 1235H</t>
  </si>
  <si>
    <t>1138H</t>
  </si>
  <si>
    <t>1245H</t>
  </si>
  <si>
    <t>2155H</t>
  </si>
  <si>
    <t>1510H</t>
  </si>
  <si>
    <t>1559H</t>
  </si>
  <si>
    <t>1626H</t>
  </si>
  <si>
    <t>1646H</t>
  </si>
  <si>
    <t>0150H</t>
  </si>
  <si>
    <t>1909H</t>
  </si>
  <si>
    <t>0502H</t>
  </si>
  <si>
    <t>0122H</t>
  </si>
  <si>
    <t>INSPECTION CYL A9</t>
  </si>
  <si>
    <t>LOW EGT CYL A9</t>
  </si>
  <si>
    <t>0501H</t>
  </si>
  <si>
    <t>0725H</t>
  </si>
  <si>
    <t>CYLINDER B9 FOR INSPECTION (LOW FIRING)</t>
  </si>
  <si>
    <t>0804H</t>
  </si>
  <si>
    <t>0944H</t>
  </si>
  <si>
    <t>0927H</t>
  </si>
  <si>
    <t>LOW EGT CYLINDER B9</t>
  </si>
  <si>
    <t>0849H</t>
  </si>
  <si>
    <t>2235H</t>
  </si>
  <si>
    <t>1847H</t>
  </si>
  <si>
    <t>Rectification of gas leak at Cyl 4,5&amp;6</t>
  </si>
  <si>
    <t>1515H</t>
  </si>
  <si>
    <t>LOW LUBE OIL PRESSURE + LOW LUBE OIL INLET TEMPERATURE</t>
  </si>
  <si>
    <t>2126H</t>
  </si>
  <si>
    <t>1028H</t>
  </si>
  <si>
    <t>1035H</t>
  </si>
  <si>
    <t>0112H</t>
  </si>
  <si>
    <t>1525H</t>
  </si>
  <si>
    <t>1827H</t>
  </si>
  <si>
    <t>1914H</t>
  </si>
  <si>
    <t>1834H</t>
  </si>
  <si>
    <t>1953H</t>
  </si>
  <si>
    <t>2120H</t>
  </si>
  <si>
    <t>0007H</t>
  </si>
  <si>
    <t>2124H</t>
  </si>
  <si>
    <t>0051H</t>
  </si>
  <si>
    <t>replacement of lube oil thermostatic valve</t>
  </si>
  <si>
    <t>0620H</t>
  </si>
  <si>
    <t>1324H</t>
  </si>
  <si>
    <t>0855H</t>
  </si>
  <si>
    <t>0906H</t>
  </si>
  <si>
    <t>0913H</t>
  </si>
  <si>
    <t>0939H</t>
  </si>
  <si>
    <t>0952H</t>
  </si>
  <si>
    <t>1412H</t>
  </si>
  <si>
    <t>1232H</t>
  </si>
  <si>
    <t>1128H</t>
  </si>
  <si>
    <t>FOR TROUBLESHOOTING</t>
  </si>
  <si>
    <t>1256H</t>
  </si>
  <si>
    <t>LOAD TEST
DECLARED COMMERCIAL AT 1256H</t>
  </si>
  <si>
    <t>1640H</t>
  </si>
  <si>
    <t>TRIPPED
INDICATION: OIL MIST DETECTION</t>
  </si>
  <si>
    <t>2316H</t>
  </si>
  <si>
    <t>1308H</t>
  </si>
  <si>
    <t>0206H</t>
  </si>
  <si>
    <t>1448H</t>
  </si>
  <si>
    <t>1614H</t>
  </si>
  <si>
    <t>0011H</t>
  </si>
  <si>
    <t>1941H</t>
  </si>
  <si>
    <t>2034H</t>
  </si>
  <si>
    <t>1929H</t>
  </si>
  <si>
    <t>1835H</t>
  </si>
  <si>
    <t>1925H</t>
  </si>
  <si>
    <t>1840H</t>
  </si>
  <si>
    <t>2257H</t>
  </si>
  <si>
    <t>1932H</t>
  </si>
  <si>
    <t>END OF LOAD TEST, still CMS</t>
  </si>
  <si>
    <t>2210H</t>
  </si>
  <si>
    <t>2207H</t>
  </si>
  <si>
    <t>2219H</t>
  </si>
  <si>
    <t>2250H</t>
  </si>
  <si>
    <t>REPLACEMENT OF TURBO CHARGER</t>
  </si>
  <si>
    <t>0236H</t>
  </si>
  <si>
    <t>0504H</t>
  </si>
  <si>
    <t>0517H</t>
  </si>
  <si>
    <t>0511H</t>
  </si>
  <si>
    <t>2020H</t>
  </si>
  <si>
    <t>0543H</t>
  </si>
  <si>
    <t>0636H</t>
  </si>
  <si>
    <t>0630H</t>
  </si>
  <si>
    <t>0651H</t>
  </si>
  <si>
    <t>FOR INSPECTION
TURBO CHARGER A HIGH TEMP</t>
  </si>
  <si>
    <t>0741H</t>
  </si>
  <si>
    <t>0747H</t>
  </si>
  <si>
    <t>0756H</t>
  </si>
  <si>
    <t>2237H</t>
  </si>
  <si>
    <t>0806H</t>
  </si>
  <si>
    <t>2327H</t>
  </si>
  <si>
    <t>ACTIVITY: CLEAN MAIN LUBE OIL FILTER DUE TO LOW PRESSURE</t>
  </si>
  <si>
    <t>0935H</t>
  </si>
  <si>
    <t>2230H</t>
  </si>
  <si>
    <t>1053H</t>
  </si>
  <si>
    <t>DMCI IRAWAN_37</t>
  </si>
  <si>
    <t>1021H</t>
  </si>
  <si>
    <t>1750H</t>
  </si>
  <si>
    <t>0252H</t>
  </si>
  <si>
    <t>1803H</t>
  </si>
  <si>
    <t>0850H</t>
  </si>
  <si>
    <t>Unloaded due to leakage "tumatagas na"</t>
  </si>
  <si>
    <t>end of Loadtest, still CMS (high EGT)</t>
  </si>
  <si>
    <t>1904H</t>
  </si>
  <si>
    <t>2111H</t>
  </si>
  <si>
    <t>2131H</t>
  </si>
  <si>
    <t>2222H</t>
  </si>
  <si>
    <t>2205H</t>
  </si>
  <si>
    <t>0713H</t>
  </si>
  <si>
    <t>0416H</t>
  </si>
  <si>
    <t>0441H</t>
  </si>
  <si>
    <t>1034H</t>
  </si>
  <si>
    <t>0613H</t>
  </si>
  <si>
    <t>2223H</t>
  </si>
  <si>
    <t>0743H</t>
  </si>
  <si>
    <t>0824H</t>
  </si>
  <si>
    <t>1218H</t>
  </si>
  <si>
    <t>1011H</t>
  </si>
  <si>
    <t>0856H</t>
  </si>
  <si>
    <t>1014H</t>
  </si>
  <si>
    <t>0947H</t>
  </si>
  <si>
    <t>2152H</t>
  </si>
  <si>
    <t>1552H</t>
  </si>
  <si>
    <t>DECLARED COMMERCIAL 1014H
DECLARED CAPACITY: 6.5MW</t>
  </si>
  <si>
    <t>1238H</t>
  </si>
  <si>
    <t>1727H</t>
  </si>
  <si>
    <t>1736H</t>
  </si>
  <si>
    <t>1759H</t>
  </si>
  <si>
    <t>2037H</t>
  </si>
  <si>
    <t>1539H</t>
  </si>
  <si>
    <t>1723H</t>
  </si>
  <si>
    <t>0721H</t>
  </si>
  <si>
    <t>replacement of charge air cooler</t>
  </si>
  <si>
    <t>1656H</t>
  </si>
  <si>
    <t>2345H</t>
  </si>
  <si>
    <t>Declared Commercial Operation</t>
  </si>
  <si>
    <t>2344H</t>
  </si>
  <si>
    <t>2352H</t>
  </si>
  <si>
    <t>0012H</t>
  </si>
  <si>
    <t>0412H</t>
  </si>
  <si>
    <t>1545H</t>
  </si>
  <si>
    <t>0542H</t>
  </si>
  <si>
    <t>0546H</t>
  </si>
  <si>
    <t>0646H</t>
  </si>
  <si>
    <t>0654H</t>
  </si>
  <si>
    <t>0742H</t>
  </si>
  <si>
    <t>1922H</t>
  </si>
  <si>
    <t>0816H</t>
  </si>
  <si>
    <t>1805H</t>
  </si>
  <si>
    <t>2000H</t>
  </si>
  <si>
    <t>0918H</t>
  </si>
  <si>
    <t>0938H</t>
  </si>
  <si>
    <t>1143H</t>
  </si>
  <si>
    <t>1211H</t>
  </si>
  <si>
    <t>1321H</t>
  </si>
  <si>
    <t>1320H</t>
  </si>
  <si>
    <t>1341H</t>
  </si>
  <si>
    <t>1620H</t>
  </si>
  <si>
    <t>1322H</t>
  </si>
  <si>
    <t>1529H</t>
  </si>
  <si>
    <t>0010H</t>
  </si>
  <si>
    <t>1907H</t>
  </si>
  <si>
    <t>Loadtest / 1857H declared na daw pero checking parameters pa di pa maka abosorb load</t>
  </si>
  <si>
    <t>0210H</t>
  </si>
  <si>
    <t>DECLARED COMMERCIAL</t>
  </si>
  <si>
    <t>2006H</t>
  </si>
  <si>
    <t>2022H</t>
  </si>
  <si>
    <t>2017H</t>
  </si>
  <si>
    <t>0003H</t>
  </si>
  <si>
    <t>2211H</t>
  </si>
  <si>
    <t>0421H</t>
  </si>
  <si>
    <t>0216H</t>
  </si>
  <si>
    <t>A/T ind: Over current</t>
  </si>
  <si>
    <t>0640H</t>
  </si>
  <si>
    <t>1731H</t>
  </si>
  <si>
    <t>1623H</t>
  </si>
  <si>
    <t>0748H</t>
  </si>
  <si>
    <t>0310H</t>
  </si>
  <si>
    <t>1149H</t>
  </si>
  <si>
    <t>1026H</t>
  </si>
  <si>
    <t>TRIPPED
INDICATION: OVERCURRENT</t>
  </si>
  <si>
    <t>1336H</t>
  </si>
  <si>
    <t>1347H</t>
  </si>
  <si>
    <t>1609H</t>
  </si>
  <si>
    <t>1607H</t>
  </si>
  <si>
    <t>0717H</t>
  </si>
  <si>
    <t>1702H</t>
  </si>
  <si>
    <t>1810H</t>
  </si>
  <si>
    <t>1745H</t>
  </si>
  <si>
    <t>2133H</t>
  </si>
  <si>
    <t>2142H</t>
  </si>
  <si>
    <t>0250H</t>
  </si>
  <si>
    <t>0530H</t>
  </si>
  <si>
    <t>0819H</t>
  </si>
  <si>
    <t>1317H</t>
  </si>
  <si>
    <t>0820H</t>
  </si>
  <si>
    <t>1119H</t>
  </si>
  <si>
    <t>1126H</t>
  </si>
  <si>
    <t>1250H</t>
  </si>
  <si>
    <t>1025H</t>
  </si>
  <si>
    <t>1222H</t>
  </si>
  <si>
    <t>1328H</t>
  </si>
  <si>
    <t>1306H</t>
  </si>
  <si>
    <t>1316H</t>
  </si>
  <si>
    <t>1740H</t>
  </si>
  <si>
    <t>1434H</t>
  </si>
  <si>
    <t>2059H</t>
  </si>
  <si>
    <t>1452H</t>
  </si>
  <si>
    <t>0215H</t>
  </si>
  <si>
    <t>1501H</t>
  </si>
  <si>
    <t>0642H</t>
  </si>
  <si>
    <t>1530H</t>
  </si>
  <si>
    <t>1543H</t>
  </si>
  <si>
    <t>2221H</t>
  </si>
  <si>
    <t>1645H</t>
  </si>
  <si>
    <t>0114H</t>
  </si>
  <si>
    <t>1649H</t>
  </si>
  <si>
    <t>1652H</t>
  </si>
  <si>
    <t>1945H</t>
  </si>
  <si>
    <t>1908H</t>
  </si>
  <si>
    <t>1940H</t>
  </si>
  <si>
    <t>2116H</t>
  </si>
  <si>
    <t>2105H</t>
  </si>
  <si>
    <t>1917H</t>
  </si>
  <si>
    <t>0111H</t>
  </si>
  <si>
    <t>0308H</t>
  </si>
  <si>
    <t>2054H</t>
  </si>
  <si>
    <t>0644H</t>
  </si>
  <si>
    <t>0632H</t>
  </si>
  <si>
    <t>2319H</t>
  </si>
  <si>
    <t>0701H</t>
  </si>
  <si>
    <t>1300H</t>
  </si>
  <si>
    <t>1039H</t>
  </si>
  <si>
    <t>1012H</t>
  </si>
  <si>
    <t>0937H</t>
  </si>
  <si>
    <t>2329H</t>
  </si>
  <si>
    <t>1135H</t>
  </si>
  <si>
    <t>1705H</t>
  </si>
  <si>
    <t>1403H</t>
  </si>
  <si>
    <t>1428H</t>
  </si>
  <si>
    <t>1728H</t>
  </si>
  <si>
    <t>0027H</t>
  </si>
  <si>
    <t>1934H</t>
  </si>
  <si>
    <t>1944H</t>
  </si>
  <si>
    <t>1838H</t>
  </si>
  <si>
    <t>1854H</t>
  </si>
  <si>
    <t>2019H</t>
  </si>
  <si>
    <t>2014H</t>
  </si>
  <si>
    <t>2321H</t>
  </si>
  <si>
    <t>1747H</t>
  </si>
  <si>
    <t>2049H</t>
  </si>
  <si>
    <t>2151H</t>
  </si>
  <si>
    <t>2229H</t>
  </si>
  <si>
    <t>2134H</t>
  </si>
  <si>
    <t>0603H</t>
  </si>
  <si>
    <t>1112H</t>
  </si>
  <si>
    <t>0433H</t>
  </si>
  <si>
    <t>1443H</t>
  </si>
  <si>
    <t>0558H</t>
  </si>
  <si>
    <t>0954H</t>
  </si>
  <si>
    <t>0934H</t>
  </si>
  <si>
    <t>1010H</t>
  </si>
  <si>
    <t>1424H</t>
  </si>
  <si>
    <t>1331H</t>
  </si>
  <si>
    <t>1449H</t>
  </si>
  <si>
    <t>1450H</t>
  </si>
  <si>
    <t>1521H</t>
  </si>
  <si>
    <t>LOAD TEST
DECLARED COMMERCIAL AT 1840H</t>
  </si>
  <si>
    <t>0702H</t>
  </si>
  <si>
    <t>0326H</t>
  </si>
  <si>
    <t>1830H</t>
  </si>
  <si>
    <t>1822H</t>
  </si>
  <si>
    <t>2018H</t>
  </si>
  <si>
    <t>0404H</t>
  </si>
  <si>
    <t>1311H</t>
  </si>
  <si>
    <t>0531H</t>
  </si>
  <si>
    <t>1258H</t>
  </si>
  <si>
    <t>0625H</t>
  </si>
  <si>
    <t>0754H</t>
  </si>
  <si>
    <t>FOR INSPECTION (MAY NAKITANG METAL SA OIL FILTER)</t>
  </si>
  <si>
    <t>0758H</t>
  </si>
  <si>
    <t>2150H</t>
  </si>
  <si>
    <t>1105H</t>
  </si>
  <si>
    <t>1108H</t>
  </si>
  <si>
    <t>2040H</t>
  </si>
  <si>
    <t>1058H</t>
  </si>
  <si>
    <t>1113H</t>
  </si>
  <si>
    <t>1949H</t>
  </si>
  <si>
    <t>1141H</t>
  </si>
  <si>
    <t>1142H</t>
  </si>
  <si>
    <t>1233H</t>
  </si>
  <si>
    <t>1156H</t>
  </si>
  <si>
    <t>1438H</t>
  </si>
  <si>
    <t>1440H</t>
  </si>
  <si>
    <t>1758H</t>
  </si>
  <si>
    <t>1243H</t>
  </si>
  <si>
    <t>1435H</t>
  </si>
  <si>
    <t>1554H</t>
  </si>
  <si>
    <t>1659H</t>
  </si>
  <si>
    <t>1618H</t>
  </si>
  <si>
    <t>1703H</t>
  </si>
  <si>
    <t>1636H</t>
  </si>
  <si>
    <t>2243H</t>
  </si>
  <si>
    <t>2214H</t>
  </si>
  <si>
    <t>0509H</t>
  </si>
  <si>
    <t>0529H</t>
  </si>
  <si>
    <t>0523H</t>
  </si>
  <si>
    <t>0638H</t>
  </si>
  <si>
    <t>0033H</t>
  </si>
  <si>
    <t>0812H</t>
  </si>
  <si>
    <t>2215H</t>
  </si>
  <si>
    <t>0922H</t>
  </si>
  <si>
    <t>1829H</t>
  </si>
  <si>
    <t>2003H</t>
  </si>
  <si>
    <t>0634H</t>
  </si>
  <si>
    <t>0107H</t>
  </si>
  <si>
    <t>1313H</t>
  </si>
  <si>
    <t>1631H</t>
  </si>
  <si>
    <t>1752H</t>
  </si>
  <si>
    <t>1818H</t>
  </si>
  <si>
    <t>2030H</t>
  </si>
  <si>
    <t>2051H</t>
  </si>
  <si>
    <t>2058H</t>
  </si>
  <si>
    <t>0225H</t>
  </si>
  <si>
    <t>0105H</t>
  </si>
  <si>
    <t>gas leak test</t>
  </si>
  <si>
    <t>0729H</t>
  </si>
  <si>
    <t>0739H</t>
  </si>
  <si>
    <t>0745H</t>
  </si>
  <si>
    <t>0808H</t>
  </si>
  <si>
    <t>1809H</t>
  </si>
  <si>
    <t>0106H</t>
  </si>
  <si>
    <t>1220H</t>
  </si>
  <si>
    <t>1353H</t>
  </si>
  <si>
    <t>1236H</t>
  </si>
  <si>
    <t>1408H</t>
  </si>
  <si>
    <t>1608H</t>
  </si>
  <si>
    <t>0658H</t>
  </si>
  <si>
    <t>0705H</t>
  </si>
  <si>
    <t>1853H</t>
  </si>
  <si>
    <t>1958H</t>
  </si>
  <si>
    <t>2043H</t>
  </si>
  <si>
    <t>2136H</t>
  </si>
  <si>
    <t>2159H</t>
  </si>
  <si>
    <t>0414H</t>
  </si>
  <si>
    <t>0232H</t>
  </si>
  <si>
    <t>1357H</t>
  </si>
  <si>
    <t>0704H</t>
  </si>
  <si>
    <t>0728H</t>
  </si>
  <si>
    <t>2239H</t>
  </si>
  <si>
    <t>2350H</t>
  </si>
  <si>
    <t>1528H</t>
  </si>
  <si>
    <t>1547H</t>
  </si>
  <si>
    <t>1346H</t>
  </si>
  <si>
    <t>0159H</t>
  </si>
  <si>
    <t>1709H</t>
  </si>
  <si>
    <t>1647H</t>
  </si>
  <si>
    <t>1729H</t>
  </si>
  <si>
    <t>1903H</t>
  </si>
  <si>
    <t>1825H</t>
  </si>
  <si>
    <t>1921H</t>
  </si>
  <si>
    <t>1919H</t>
  </si>
  <si>
    <t>2119H</t>
  </si>
  <si>
    <t>2153H</t>
  </si>
  <si>
    <t>2057H</t>
  </si>
  <si>
    <t>2247H</t>
  </si>
  <si>
    <t>0612H</t>
  </si>
  <si>
    <t>0554H</t>
  </si>
  <si>
    <t>0610H</t>
  </si>
  <si>
    <t>Replacement of cylinder head on cylinder 1</t>
  </si>
  <si>
    <t>2015H</t>
  </si>
  <si>
    <t>0955H</t>
  </si>
  <si>
    <t>0929H</t>
  </si>
  <si>
    <t>1107H</t>
  </si>
  <si>
    <t>1806H</t>
  </si>
  <si>
    <t>1044H</t>
  </si>
  <si>
    <t>1247H</t>
  </si>
  <si>
    <t>1305H</t>
  </si>
  <si>
    <t>1442H</t>
  </si>
  <si>
    <t>1455H</t>
  </si>
  <si>
    <t>Loadtest Done, Declared Commercial</t>
  </si>
  <si>
    <t>0409H</t>
  </si>
  <si>
    <t>For final inspection</t>
  </si>
  <si>
    <t>0209H</t>
  </si>
  <si>
    <t>2335H</t>
  </si>
  <si>
    <t>1411H</t>
  </si>
  <si>
    <t>1041H</t>
  </si>
  <si>
    <t>1748H</t>
  </si>
  <si>
    <t>0100H</t>
  </si>
  <si>
    <t>1421H</t>
  </si>
  <si>
    <t>1916H</t>
  </si>
  <si>
    <t>1850H</t>
  </si>
  <si>
    <t>1739H</t>
  </si>
  <si>
    <t>2046H</t>
  </si>
  <si>
    <t>2313H</t>
  </si>
  <si>
    <t>2322H</t>
  </si>
  <si>
    <t>2330H</t>
  </si>
  <si>
    <t>GAS LEAK</t>
  </si>
  <si>
    <t>0843H</t>
  </si>
  <si>
    <t>1422H</t>
  </si>
  <si>
    <t>0905H</t>
  </si>
  <si>
    <t>0048H</t>
  </si>
  <si>
    <t>0212H</t>
  </si>
  <si>
    <t>1845H</t>
  </si>
  <si>
    <t>1819H</t>
  </si>
  <si>
    <t>2201H</t>
  </si>
  <si>
    <t>FLUCTUATION (BUMABABA) IN FUEL PRESSURE</t>
  </si>
  <si>
    <t>0340H</t>
  </si>
  <si>
    <t>0512H</t>
  </si>
  <si>
    <t>0520H</t>
  </si>
  <si>
    <t>0619H</t>
  </si>
  <si>
    <t>0609H</t>
  </si>
  <si>
    <t>0311H</t>
  </si>
  <si>
    <t>0211H</t>
  </si>
  <si>
    <t>0910H</t>
  </si>
  <si>
    <t>0957H</t>
  </si>
  <si>
    <t>1714H</t>
  </si>
  <si>
    <t>1718H</t>
  </si>
  <si>
    <t>1628H</t>
  </si>
  <si>
    <t>1833H</t>
  </si>
  <si>
    <t>2148H</t>
  </si>
  <si>
    <t>2212H</t>
  </si>
  <si>
    <t>0015H</t>
  </si>
  <si>
    <t>0030H</t>
  </si>
  <si>
    <t>2351H</t>
  </si>
  <si>
    <t>2334H</t>
  </si>
  <si>
    <t>2339H</t>
  </si>
  <si>
    <t>0233H</t>
  </si>
  <si>
    <t>0019H</t>
  </si>
  <si>
    <t>0202H</t>
  </si>
  <si>
    <t>0508H</t>
  </si>
  <si>
    <t>0518H</t>
  </si>
  <si>
    <t>1139H</t>
  </si>
  <si>
    <t>0551H</t>
  </si>
  <si>
    <t>0615H</t>
  </si>
  <si>
    <t>0834H</t>
  </si>
  <si>
    <t>0854H</t>
  </si>
  <si>
    <t>2328H</t>
  </si>
  <si>
    <t>1303H</t>
  </si>
  <si>
    <t>1423H</t>
  </si>
  <si>
    <t>2032H</t>
  </si>
  <si>
    <t>0201H</t>
  </si>
  <si>
    <t>0714H</t>
  </si>
  <si>
    <t>2253H</t>
  </si>
  <si>
    <t>1711H</t>
  </si>
  <si>
    <t>1712H</t>
  </si>
  <si>
    <t>1716H</t>
  </si>
  <si>
    <t>2107H</t>
  </si>
  <si>
    <t>water leak connection to water pump</t>
  </si>
  <si>
    <t>1720H</t>
  </si>
  <si>
    <t>1627H</t>
  </si>
  <si>
    <t>Leak on oil filter</t>
  </si>
  <si>
    <t>Sensor fault alarm</t>
  </si>
  <si>
    <t>1453H</t>
  </si>
  <si>
    <t>1537H</t>
  </si>
  <si>
    <t>1630H</t>
  </si>
  <si>
    <t>2036H</t>
  </si>
  <si>
    <t>0017H</t>
  </si>
  <si>
    <t>0042H</t>
  </si>
  <si>
    <t>0234H</t>
  </si>
  <si>
    <t>0618H</t>
  </si>
  <si>
    <t>0611H</t>
  </si>
  <si>
    <t>2209H</t>
  </si>
  <si>
    <t>fuel leak cylinder B6</t>
  </si>
  <si>
    <t>1200H</t>
  </si>
  <si>
    <t>2127H</t>
  </si>
  <si>
    <t>1658H</t>
  </si>
  <si>
    <t>1020H</t>
  </si>
  <si>
    <t>1704H</t>
  </si>
  <si>
    <t>1707H</t>
  </si>
  <si>
    <t>1115H</t>
  </si>
  <si>
    <t>1648H</t>
  </si>
  <si>
    <t>2117H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</si>
  <si>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</si>
  <si>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</si>
  <si>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</si>
  <si>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</si>
  <si>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</si>
  <si>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</si>
  <si>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</si>
  <si>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$F$16 1</t>
  </si>
  <si>
    <t>$G$63 1</t>
  </si>
  <si>
    <t>$G$64 1</t>
  </si>
  <si>
    <t>$G$28 1</t>
  </si>
  <si>
    <t>$I$16 1</t>
  </si>
  <si>
    <t>$J$14 1</t>
  </si>
  <si>
    <t>$L$48 1</t>
  </si>
  <si>
    <t>$L$51 1</t>
  </si>
  <si>
    <t>$L$21 1</t>
  </si>
  <si>
    <t>$L$27 1</t>
  </si>
  <si>
    <t>$M$78 1</t>
  </si>
  <si>
    <t>$M$79 1</t>
  </si>
  <si>
    <t>$N$14 1</t>
  </si>
  <si>
    <t>$N$47 1</t>
  </si>
  <si>
    <t>$O$50 1</t>
  </si>
  <si>
    <t>$O$56 1</t>
  </si>
  <si>
    <t>$O$47 1</t>
  </si>
  <si>
    <t>$O$21 1</t>
  </si>
  <si>
    <t>$P$64 1</t>
  </si>
  <si>
    <t>$P$62 1</t>
  </si>
  <si>
    <t>$P$19 1</t>
  </si>
  <si>
    <t>$Q$24 1</t>
  </si>
  <si>
    <t>$S$78 1</t>
  </si>
  <si>
    <t>LogCode</t>
  </si>
  <si>
    <t>$S$79 1</t>
  </si>
  <si>
    <t>$T$51 1</t>
  </si>
  <si>
    <t>$T$47 1</t>
  </si>
  <si>
    <t>$T$50 1</t>
  </si>
  <si>
    <t>$T$28 1</t>
  </si>
  <si>
    <t>$T$27 1</t>
  </si>
  <si>
    <t>$U$56 1</t>
  </si>
  <si>
    <t>$U$47 1</t>
  </si>
  <si>
    <t>$V$50 1</t>
  </si>
  <si>
    <t>$V$56 1</t>
  </si>
  <si>
    <t>$W$62 1</t>
  </si>
  <si>
    <t>$W$63 1</t>
  </si>
  <si>
    <t>$AA$16 1</t>
  </si>
  <si>
    <t>$AB$24 1</t>
  </si>
  <si>
    <t>$AB$51 1</t>
  </si>
  <si>
    <t>$AC$19 1</t>
  </si>
  <si>
    <t>$G$16 2</t>
  </si>
  <si>
    <t>$G$21 2</t>
  </si>
  <si>
    <t>$G$15 2</t>
  </si>
  <si>
    <t>$G$63 2</t>
  </si>
  <si>
    <t>$G$64 2</t>
  </si>
  <si>
    <t>$H$28 2</t>
  </si>
  <si>
    <t>$I$15 2</t>
  </si>
  <si>
    <t>$J$14 2</t>
  </si>
  <si>
    <t>$L$14 2</t>
  </si>
  <si>
    <t>$L$27 2</t>
  </si>
  <si>
    <t>$L$19 2</t>
  </si>
  <si>
    <t>$M$14 2</t>
  </si>
  <si>
    <t>$M$78 2</t>
  </si>
  <si>
    <t>$M$79 2</t>
  </si>
  <si>
    <t>$M$47 2</t>
  </si>
  <si>
    <t>$M$50 2</t>
  </si>
  <si>
    <t>$M$56 2</t>
  </si>
  <si>
    <t>$N$51 2</t>
  </si>
  <si>
    <t>$O$48 2</t>
  </si>
  <si>
    <t>$O$40 2</t>
  </si>
  <si>
    <t>$O$14 2</t>
  </si>
  <si>
    <t>$O$21 2</t>
  </si>
  <si>
    <t>$O$47 2</t>
  </si>
  <si>
    <t>$O$50 2</t>
  </si>
  <si>
    <t>$O$56 2</t>
  </si>
  <si>
    <t>$O$51 2</t>
  </si>
  <si>
    <t>$O$24 2</t>
  </si>
  <si>
    <t>$P$47 2</t>
  </si>
  <si>
    <t>$P$50 2</t>
  </si>
  <si>
    <t>$P$56 2</t>
  </si>
  <si>
    <t>$P$51 2</t>
  </si>
  <si>
    <t>$P$48 2</t>
  </si>
  <si>
    <t>$P$29 2</t>
  </si>
  <si>
    <t>$Q$64 2</t>
  </si>
  <si>
    <t>$Q$62 2</t>
  </si>
  <si>
    <t>$Q$47 2</t>
  </si>
  <si>
    <t>$Q$50 2</t>
  </si>
  <si>
    <t>$Q$56 2</t>
  </si>
  <si>
    <t>$Q$48 2</t>
  </si>
  <si>
    <t>$R$40 2</t>
  </si>
  <si>
    <t>$R$48 2</t>
  </si>
  <si>
    <t>$S$51 2</t>
  </si>
  <si>
    <t>$S$47 2</t>
  </si>
  <si>
    <t>$S$40 2</t>
  </si>
  <si>
    <t>$S$50 2</t>
  </si>
  <si>
    <t>$S$56 2</t>
  </si>
  <si>
    <t>$T$51 2</t>
  </si>
  <si>
    <t>$T$20 2</t>
  </si>
  <si>
    <t>$U$51 2</t>
  </si>
  <si>
    <t>$U$20 2</t>
  </si>
  <si>
    <t>$V$29 2</t>
  </si>
  <si>
    <t>$X$20 2</t>
  </si>
  <si>
    <t>$Y$79 2</t>
  </si>
  <si>
    <t>$Y$78 2</t>
  </si>
  <si>
    <t>$Y$62 2</t>
  </si>
  <si>
    <t>$Y$63 2</t>
  </si>
  <si>
    <t>$Y$28 2</t>
  </si>
  <si>
    <t>$Y$27 2</t>
  </si>
  <si>
    <t>$AA$24 2</t>
  </si>
  <si>
    <t>$AA$15 2</t>
  </si>
  <si>
    <t>$AB$20 2</t>
  </si>
  <si>
    <t>$F$30 3</t>
  </si>
  <si>
    <t>$F$14 3</t>
  </si>
  <si>
    <t>$F$48 3</t>
  </si>
  <si>
    <t>$F$47 3</t>
  </si>
  <si>
    <t>$F$50 3</t>
  </si>
  <si>
    <t>$F$51 3</t>
  </si>
  <si>
    <t>$F$56 3</t>
  </si>
  <si>
    <t>$F$27 3</t>
  </si>
  <si>
    <t>$G$63 3</t>
  </si>
  <si>
    <t>$G$64 3</t>
  </si>
  <si>
    <t>$G$21 3</t>
  </si>
  <si>
    <t>$K$30 3</t>
  </si>
  <si>
    <t>$L$48 3</t>
  </si>
  <si>
    <t>$L$51 3</t>
  </si>
  <si>
    <t>$L$47 3</t>
  </si>
  <si>
    <t>$L$21 3</t>
  </si>
  <si>
    <t>$M$48 3</t>
  </si>
  <si>
    <t>$M$64 3</t>
  </si>
  <si>
    <t>$M$62 3</t>
  </si>
  <si>
    <t>$M$14 3</t>
  </si>
  <si>
    <t>$M$47 3</t>
  </si>
  <si>
    <t>$M$51 3</t>
  </si>
  <si>
    <t>$M$30 3</t>
  </si>
  <si>
    <t>$M$79 3</t>
  </si>
  <si>
    <t>$M$63 3</t>
  </si>
  <si>
    <t>$N$78 3</t>
  </si>
  <si>
    <t>$N$15 3</t>
  </si>
  <si>
    <t>$N$50 3</t>
  </si>
  <si>
    <t>$N$56 3</t>
  </si>
  <si>
    <t>$N$48 3</t>
  </si>
  <si>
    <t>$N$63 3</t>
  </si>
  <si>
    <t>$N$64 3</t>
  </si>
  <si>
    <t>$O$24 3</t>
  </si>
  <si>
    <t>$O$47 3</t>
  </si>
  <si>
    <t>$O$51 3</t>
  </si>
  <si>
    <t>$O$15 3</t>
  </si>
  <si>
    <t>$O$50 3</t>
  </si>
  <si>
    <t>$O$56 3</t>
  </si>
  <si>
    <t>$O$40 3</t>
  </si>
  <si>
    <t>$O$30 3</t>
  </si>
  <si>
    <t>$O$48 3</t>
  </si>
  <si>
    <t>$P$47 3</t>
  </si>
  <si>
    <t>$P$51 3</t>
  </si>
  <si>
    <t>$P$30 3</t>
  </si>
  <si>
    <t>$P$27 3</t>
  </si>
  <si>
    <t>$P$48 3</t>
  </si>
  <si>
    <t>$Q$47 3</t>
  </si>
  <si>
    <t>$Q$29 3</t>
  </si>
  <si>
    <t>$Q$50 3</t>
  </si>
  <si>
    <t>$Q$56 3</t>
  </si>
  <si>
    <t>$R$48 3</t>
  </si>
  <si>
    <t>$R$51 3</t>
  </si>
  <si>
    <t>$R$47 3</t>
  </si>
  <si>
    <t>$S$62 3</t>
  </si>
  <si>
    <t>$S$63 3</t>
  </si>
  <si>
    <t>$S$78 3</t>
  </si>
  <si>
    <t>$T$50 3</t>
  </si>
  <si>
    <t>$T$56 3</t>
  </si>
  <si>
    <t>$U$48 3</t>
  </si>
  <si>
    <t>$V$50 3</t>
  </si>
  <si>
    <t>$V$29 3</t>
  </si>
  <si>
    <t>$V$56 3</t>
  </si>
  <si>
    <t>$W$48 3</t>
  </si>
  <si>
    <t>$W$78 3</t>
  </si>
  <si>
    <t>$W$79 3</t>
  </si>
  <si>
    <t>$AA$63 3</t>
  </si>
  <si>
    <t>$AA$64 3</t>
  </si>
  <si>
    <t>$AA$24 3</t>
  </si>
  <si>
    <t>$AB$21 3</t>
  </si>
  <si>
    <t>$F$15 4</t>
  </si>
  <si>
    <t>$F$27 4</t>
  </si>
  <si>
    <t>$F$30 4</t>
  </si>
  <si>
    <t>$F$47 4</t>
  </si>
  <si>
    <t>$G$47 4</t>
  </si>
  <si>
    <t>$G$30 4</t>
  </si>
  <si>
    <t>$G$27 4</t>
  </si>
  <si>
    <t>$G$28 4</t>
  </si>
  <si>
    <t>$K$64 4</t>
  </si>
  <si>
    <t>$K$62 4</t>
  </si>
  <si>
    <t>$K$15 4</t>
  </si>
  <si>
    <t>$L$28 4</t>
  </si>
  <si>
    <t>$L$14 4</t>
  </si>
  <si>
    <t>$X$79 3</t>
  </si>
  <si>
    <t>$Y$78 3</t>
  </si>
  <si>
    <t>$M$78 4</t>
  </si>
  <si>
    <t>$M$79 4</t>
  </si>
  <si>
    <t>$N$14 4</t>
  </si>
  <si>
    <t>$N$50 4</t>
  </si>
  <si>
    <t>$O$56 4</t>
  </si>
  <si>
    <t>$O$48 4</t>
  </si>
  <si>
    <t>$O$51 4</t>
  </si>
  <si>
    <t>$O$47 4</t>
  </si>
  <si>
    <t>$O$14 4</t>
  </si>
  <si>
    <t>$O$40 4</t>
  </si>
  <si>
    <t>$O$21 4</t>
  </si>
  <si>
    <t>$O$29 4</t>
  </si>
  <si>
    <t>$O$15 4</t>
  </si>
  <si>
    <t>$P$24 4</t>
  </si>
  <si>
    <t>$P$40 4</t>
  </si>
  <si>
    <t>$P$50 4</t>
  </si>
  <si>
    <t>$P$15 4</t>
  </si>
  <si>
    <t>$P$56 4</t>
  </si>
  <si>
    <t>$P$48 4</t>
  </si>
  <si>
    <t>$P$51 4</t>
  </si>
  <si>
    <t>$R$47 4</t>
  </si>
  <si>
    <t>$R$50 4</t>
  </si>
  <si>
    <t>$S$62 4</t>
  </si>
  <si>
    <t>$S$63 4</t>
  </si>
  <si>
    <t>$S$56 4</t>
  </si>
  <si>
    <t>$S$48 4</t>
  </si>
  <si>
    <t>$U$50 4</t>
  </si>
  <si>
    <t>$X$56 4</t>
  </si>
  <si>
    <t>$X$48 4</t>
  </si>
  <si>
    <t>$X$27 4</t>
  </si>
  <si>
    <t>$X$28 4</t>
  </si>
  <si>
    <t>$X$29 4</t>
  </si>
  <si>
    <t>$Y$79 4</t>
  </si>
  <si>
    <t>$Y$78 4</t>
  </si>
  <si>
    <t>$Y$51 4</t>
  </si>
  <si>
    <t>$Y$47 4</t>
  </si>
  <si>
    <t>$Y$50 4</t>
  </si>
  <si>
    <t>$Y$56 4</t>
  </si>
  <si>
    <t>$Y$48 4</t>
  </si>
  <si>
    <t>$Z$51 4</t>
  </si>
  <si>
    <t>$Z$40 4</t>
  </si>
  <si>
    <t>$Z$50 4</t>
  </si>
  <si>
    <t>$Z$47 4</t>
  </si>
  <si>
    <t>$Z$56 4</t>
  </si>
  <si>
    <t>$Z$48 4</t>
  </si>
  <si>
    <t>$AB$63 4</t>
  </si>
  <si>
    <t>$AB$64 4</t>
  </si>
  <si>
    <t>$AB$56 4</t>
  </si>
  <si>
    <t>$AB$47 4</t>
  </si>
  <si>
    <t>$AB$48 4</t>
  </si>
  <si>
    <t>$AB$50 4</t>
  </si>
  <si>
    <t>$AB$51 4</t>
  </si>
  <si>
    <t>$AB$16 4</t>
  </si>
  <si>
    <t>$AC$48 4</t>
  </si>
  <si>
    <t>$AC$51 4</t>
  </si>
  <si>
    <t>$F$24 5</t>
  </si>
  <si>
    <t>$G$21 5</t>
  </si>
  <si>
    <t>$H$27 5</t>
  </si>
  <si>
    <t>$J$47 5</t>
  </si>
  <si>
    <t>$J$48 5</t>
  </si>
  <si>
    <t>$J$50 5</t>
  </si>
  <si>
    <t>$J$51 5</t>
  </si>
  <si>
    <t>$J$56 5</t>
  </si>
  <si>
    <t>$J$28 5</t>
  </si>
  <si>
    <t>$J$15 5</t>
  </si>
  <si>
    <t>LOW EGT @ CYL A1</t>
  </si>
  <si>
    <t>$K$64 5</t>
  </si>
  <si>
    <t>$K$62 5</t>
  </si>
  <si>
    <t>0450H</t>
  </si>
  <si>
    <t>$K$56 5</t>
  </si>
  <si>
    <t>$L$15 5</t>
  </si>
  <si>
    <t>$L$47 5</t>
  </si>
  <si>
    <t>$L$50 5</t>
  </si>
  <si>
    <t>$L$48 5</t>
  </si>
  <si>
    <t>$M$51 5</t>
  </si>
  <si>
    <t>$M$15 5</t>
  </si>
  <si>
    <t>$M$47 5</t>
  </si>
  <si>
    <t>$N$21 5</t>
  </si>
  <si>
    <t>$N$50 5</t>
  </si>
  <si>
    <t>$L$78 5</t>
  </si>
  <si>
    <t>TRIP YELLOW LAMP</t>
  </si>
  <si>
    <t>$L$79 5</t>
  </si>
  <si>
    <t>$N$56 5</t>
  </si>
  <si>
    <t>$N$48 5</t>
  </si>
  <si>
    <t>end of loadtest</t>
  </si>
  <si>
    <t>$N$15 5</t>
  </si>
  <si>
    <t>$O$51 5</t>
  </si>
  <si>
    <t>$O$47 5</t>
  </si>
  <si>
    <t>$O$16 5</t>
  </si>
  <si>
    <t>$O$20 5</t>
  </si>
  <si>
    <t>$O$50 5</t>
  </si>
  <si>
    <t>$O$56 5</t>
  </si>
  <si>
    <t>$O$24 5</t>
  </si>
  <si>
    <t>$P$51 5</t>
  </si>
  <si>
    <t>$P$48 5</t>
  </si>
  <si>
    <t>$P$47 5</t>
  </si>
  <si>
    <t>$P$20 5</t>
  </si>
  <si>
    <t>$P$29 5</t>
  </si>
  <si>
    <t>$P$50 5</t>
  </si>
  <si>
    <t>$P$56 5</t>
  </si>
  <si>
    <t>$Q$50 5</t>
  </si>
  <si>
    <t>$Q$14 5</t>
  </si>
  <si>
    <t>$Q$16 5</t>
  </si>
  <si>
    <t>$Q$56 5</t>
  </si>
  <si>
    <t>$Q$48 5</t>
  </si>
  <si>
    <t>$Q$51 5</t>
  </si>
  <si>
    <t>$Q$47 5</t>
  </si>
  <si>
    <t>$R$50 5</t>
  </si>
  <si>
    <t>$R$56 5</t>
  </si>
  <si>
    <t>$R$47 5</t>
  </si>
  <si>
    <t>$R$29 5</t>
  </si>
  <si>
    <t>$R$14 5</t>
  </si>
  <si>
    <t>$S$48 5</t>
  </si>
  <si>
    <t>$S$51 5</t>
  </si>
  <si>
    <t>$S$47 5</t>
  </si>
  <si>
    <t>$S$50 5</t>
  </si>
  <si>
    <t>$S$56 5</t>
  </si>
  <si>
    <t>$T$62 5</t>
  </si>
  <si>
    <t>$T$63 5</t>
  </si>
  <si>
    <t>$U$20 5</t>
  </si>
  <si>
    <t>$X$30 5</t>
  </si>
  <si>
    <t>A/T OVERFREQ</t>
  </si>
  <si>
    <t>$X$48 5</t>
  </si>
  <si>
    <t>$X$51 5</t>
  </si>
  <si>
    <t>$Y$29 5</t>
  </si>
  <si>
    <t>$Y$79 5</t>
  </si>
  <si>
    <t>$Y$78 5</t>
  </si>
  <si>
    <t>$Y$47 5</t>
  </si>
  <si>
    <t>$Y$50 5</t>
  </si>
  <si>
    <t>$Y$56 5</t>
  </si>
  <si>
    <t>$Y$40 5</t>
  </si>
  <si>
    <t>$Y$48 5</t>
  </si>
  <si>
    <t>$Y$51 5</t>
  </si>
  <si>
    <t>$Z$29 5</t>
  </si>
  <si>
    <t>$Z$50 5</t>
  </si>
  <si>
    <t>$Z$56 5</t>
  </si>
  <si>
    <t>$AA$63 5</t>
  </si>
  <si>
    <t>$AA$64 5</t>
  </si>
  <si>
    <t>$AA$24 5</t>
  </si>
  <si>
    <t>$AC$21 5</t>
  </si>
  <si>
    <t>$G$15 6</t>
  </si>
  <si>
    <t>$H$28 6</t>
  </si>
  <si>
    <t>$J$64 6</t>
  </si>
  <si>
    <t>$J$62 6</t>
  </si>
  <si>
    <t>$L$15 6</t>
  </si>
  <si>
    <t>$L$16 6</t>
  </si>
  <si>
    <t>$M$78 6</t>
  </si>
  <si>
    <t>$M$79 6</t>
  </si>
  <si>
    <t>0627H</t>
  </si>
  <si>
    <t>$M$48 6</t>
  </si>
  <si>
    <t>$M$51 6</t>
  </si>
  <si>
    <t>$M$47 6</t>
  </si>
  <si>
    <t>$O$50 6</t>
  </si>
  <si>
    <t>$O$56 6</t>
  </si>
  <si>
    <t>$O$27 6</t>
  </si>
  <si>
    <t>$O$51 6</t>
  </si>
  <si>
    <t>$O$16 6</t>
  </si>
  <si>
    <t>$O$48 6</t>
  </si>
  <si>
    <t>$P$51 6</t>
  </si>
  <si>
    <t>$P$47 6</t>
  </si>
  <si>
    <t>$P$50 6</t>
  </si>
  <si>
    <t>$P$56 6</t>
  </si>
  <si>
    <t>$P$48 6</t>
  </si>
  <si>
    <t>$Q$47 6</t>
  </si>
  <si>
    <t>1050H</t>
  </si>
  <si>
    <t>$Q$51 6</t>
  </si>
  <si>
    <t>$Q$21 6</t>
  </si>
  <si>
    <t>$R$62 6</t>
  </si>
  <si>
    <t>$R$63 6</t>
  </si>
  <si>
    <t>$R$47 6</t>
  </si>
  <si>
    <t>$R$19 6</t>
  </si>
  <si>
    <t>$R$28 6</t>
  </si>
  <si>
    <t>$R$27 6</t>
  </si>
  <si>
    <t>$S$19 6</t>
  </si>
  <si>
    <t>$S$50 6</t>
  </si>
  <si>
    <t>$T$50 6</t>
  </si>
  <si>
    <t>$T$56 6</t>
  </si>
  <si>
    <t>$T$48 6</t>
  </si>
  <si>
    <t>$U$51 6</t>
  </si>
  <si>
    <t>$U$50 6</t>
  </si>
  <si>
    <t>$U$78 6</t>
  </si>
  <si>
    <t>$U$47 6</t>
  </si>
  <si>
    <t>$V$56 6</t>
  </si>
  <si>
    <t>$V$48 6</t>
  </si>
  <si>
    <t>$W$51 6</t>
  </si>
  <si>
    <t>$W$47 6</t>
  </si>
  <si>
    <t>$W$78 6</t>
  </si>
  <si>
    <t>$W$79 6</t>
  </si>
  <si>
    <t>$Y$50 6</t>
  </si>
  <si>
    <t>$Y$79 6</t>
  </si>
  <si>
    <t>$Y$78 6</t>
  </si>
  <si>
    <t>$Y$56 6</t>
  </si>
  <si>
    <t>$Y$48 6</t>
  </si>
  <si>
    <t>$Y$51 6</t>
  </si>
  <si>
    <t>$Y$47 6</t>
  </si>
  <si>
    <t>$Y$40 6</t>
  </si>
  <si>
    <t>$Y$19 6</t>
  </si>
  <si>
    <t>$Z$63 6</t>
  </si>
  <si>
    <t>$Z$40 6</t>
  </si>
  <si>
    <t>$Z$50 6</t>
  </si>
  <si>
    <t>$Z$56 6</t>
  </si>
  <si>
    <t>$AA$48 6</t>
  </si>
  <si>
    <t>$AA$64 6</t>
  </si>
  <si>
    <t>$AB$51 6</t>
  </si>
  <si>
    <t>$AB$47 6</t>
  </si>
  <si>
    <t>$AC$21 6</t>
  </si>
  <si>
    <t>$AC$19 6</t>
  </si>
  <si>
    <t>$G$15 7</t>
  </si>
  <si>
    <t>$H$28 7</t>
  </si>
  <si>
    <t>$J$15 7</t>
  </si>
  <si>
    <t>$J$16 7</t>
  </si>
  <si>
    <t>$K$64 7</t>
  </si>
  <si>
    <t>$K$62 7</t>
  </si>
  <si>
    <t>$K$27 7</t>
  </si>
  <si>
    <t>$L$56 7</t>
  </si>
  <si>
    <t>$L$48 7</t>
  </si>
  <si>
    <t>$M$56 7</t>
  </si>
  <si>
    <t>$M$48 7</t>
  </si>
  <si>
    <t>$N$47 7</t>
  </si>
  <si>
    <t>$N$21 7</t>
  </si>
  <si>
    <t>$N$50 7</t>
  </si>
  <si>
    <t>$N$56 7</t>
  </si>
  <si>
    <t>$O$78 7</t>
  </si>
  <si>
    <t>$O$79 7</t>
  </si>
  <si>
    <t>$O$19 7</t>
  </si>
  <si>
    <t>$O$51 7</t>
  </si>
  <si>
    <t>$O$48 7</t>
  </si>
  <si>
    <t>$O$47 7</t>
  </si>
  <si>
    <t>$O$16 7</t>
  </si>
  <si>
    <t>$O$50 7</t>
  </si>
  <si>
    <t>$P$56 7</t>
  </si>
  <si>
    <t>$P$48 7</t>
  </si>
  <si>
    <t>$P$24 7</t>
  </si>
  <si>
    <t>$Q$20 7</t>
  </si>
  <si>
    <t>$Q$51 7</t>
  </si>
  <si>
    <t>$R$51 7</t>
  </si>
  <si>
    <t>$R$48 7</t>
  </si>
  <si>
    <t>$R$28 7</t>
  </si>
  <si>
    <t>$R$27 7</t>
  </si>
  <si>
    <t>$S$47 7</t>
  </si>
  <si>
    <t>$S$20 7</t>
  </si>
  <si>
    <t>$S$50 7</t>
  </si>
  <si>
    <t>$S$40 7</t>
  </si>
  <si>
    <t>$S$27 7</t>
  </si>
  <si>
    <t>$S$62 7</t>
  </si>
  <si>
    <t>$S$63 7</t>
  </si>
  <si>
    <t>$S$29 7</t>
  </si>
  <si>
    <t>$S$56 7</t>
  </si>
  <si>
    <t>$S$48 7</t>
  </si>
  <si>
    <t>$U$51 7</t>
  </si>
  <si>
    <t>$U$27 7</t>
  </si>
  <si>
    <t>$V$29 7</t>
  </si>
  <si>
    <t>$Y$63 7</t>
  </si>
  <si>
    <t>$Y$64 7</t>
  </si>
  <si>
    <t>$Y$79 7</t>
  </si>
  <si>
    <t>$Y$78 7</t>
  </si>
  <si>
    <t>$Y$47 7</t>
  </si>
  <si>
    <t>$Y$50 7</t>
  </si>
  <si>
    <t>$Z$47 7</t>
  </si>
  <si>
    <t>$Z$50 7</t>
  </si>
  <si>
    <t>$AA$19 7</t>
  </si>
  <si>
    <t>$AB$24 7</t>
  </si>
  <si>
    <t>$AC$21 7</t>
  </si>
  <si>
    <t>$G$15 8</t>
  </si>
  <si>
    <t>$J$15 8</t>
  </si>
  <si>
    <t>$J$16 8</t>
  </si>
  <si>
    <t>$K$64 8</t>
  </si>
  <si>
    <t>$K$62 8</t>
  </si>
  <si>
    <t>$L$16 8</t>
  </si>
  <si>
    <t>$L$56 8</t>
  </si>
  <si>
    <t>$L$19 8</t>
  </si>
  <si>
    <t>$L$14 8</t>
  </si>
  <si>
    <t>$M$78 8</t>
  </si>
  <si>
    <t>$M$79 8</t>
  </si>
  <si>
    <t>$M$27 8</t>
  </si>
  <si>
    <t>$M$28 8</t>
  </si>
  <si>
    <t>$N$48 8</t>
  </si>
  <si>
    <t>$N$51 8</t>
  </si>
  <si>
    <t>$N$47 8</t>
  </si>
  <si>
    <t>$N$56 8</t>
  </si>
  <si>
    <t>$N$14 8</t>
  </si>
  <si>
    <t>$O$21 8</t>
  </si>
  <si>
    <t>$O$48 8</t>
  </si>
  <si>
    <t>$O$51 8</t>
  </si>
  <si>
    <t>$O$19 8</t>
  </si>
  <si>
    <t>$O$47 8</t>
  </si>
  <si>
    <t>$O$56 8</t>
  </si>
  <si>
    <t>$O$24 8</t>
  </si>
  <si>
    <t>$P$47 8</t>
  </si>
  <si>
    <t>$P$56 8</t>
  </si>
  <si>
    <t>$P$48 8</t>
  </si>
  <si>
    <t>$P$51 8</t>
  </si>
  <si>
    <t>$L$50 8</t>
  </si>
  <si>
    <t>$P$40 8</t>
  </si>
  <si>
    <t>$Q$62 8</t>
  </si>
  <si>
    <t>$Q$63 8</t>
  </si>
  <si>
    <t>$Q$29 8</t>
  </si>
  <si>
    <t>$R$40 8</t>
  </si>
  <si>
    <t>$R$19 8</t>
  </si>
  <si>
    <t>$R$51 8</t>
  </si>
  <si>
    <t>$R$48 8</t>
  </si>
  <si>
    <t>$R$56 8</t>
  </si>
  <si>
    <t>$R$47 8</t>
  </si>
  <si>
    <t>$S$28 8</t>
  </si>
  <si>
    <t>$S$27 8</t>
  </si>
  <si>
    <t>$T$47 8</t>
  </si>
  <si>
    <t>$T$56 8</t>
  </si>
  <si>
    <t>$T$48 8</t>
  </si>
  <si>
    <t>$U$47 8</t>
  </si>
  <si>
    <t>$U$51 8</t>
  </si>
  <si>
    <t>$W$47 8</t>
  </si>
  <si>
    <t>$W$56 8</t>
  </si>
  <si>
    <t>$W$48 8</t>
  </si>
  <si>
    <t>$X$20 8</t>
  </si>
  <si>
    <t>$X$51 8</t>
  </si>
  <si>
    <t>$Y$79 8</t>
  </si>
  <si>
    <t>$Y$78 8</t>
  </si>
  <si>
    <t>$Y$63 8</t>
  </si>
  <si>
    <t>$Y$64 8</t>
  </si>
  <si>
    <t>$Z$64 8</t>
  </si>
  <si>
    <t>$Z$29 8</t>
  </si>
  <si>
    <t>$AA$20 8</t>
  </si>
  <si>
    <t>$AA$64 8</t>
  </si>
  <si>
    <t>$AC$15 8</t>
  </si>
  <si>
    <t>$AC$27 8</t>
  </si>
  <si>
    <t>$AC$30 8</t>
  </si>
  <si>
    <t>Low fuel pressure</t>
  </si>
  <si>
    <t>$F$47 9</t>
  </si>
  <si>
    <t>$F$24 9</t>
  </si>
  <si>
    <t>$G$47 9</t>
  </si>
  <si>
    <t>$G$30 9</t>
  </si>
  <si>
    <t>$G$21 9</t>
  </si>
  <si>
    <t>$G$27 9</t>
  </si>
  <si>
    <t>$H$64 9</t>
  </si>
  <si>
    <t>$H$62 9</t>
  </si>
  <si>
    <t>$H$19 9</t>
  </si>
  <si>
    <t>$I$15 9</t>
  </si>
  <si>
    <t>$J$16 9</t>
  </si>
  <si>
    <t>$K$21 9</t>
  </si>
  <si>
    <t>$L$19 9</t>
  </si>
  <si>
    <t>$L$21 9</t>
  </si>
  <si>
    <t>$L$56 9</t>
  </si>
  <si>
    <t>$L$16 9</t>
  </si>
  <si>
    <t>$M$62 9</t>
  </si>
  <si>
    <t>$M$63 9</t>
  </si>
  <si>
    <t>$M$78 9</t>
  </si>
  <si>
    <t>$M$79 9</t>
  </si>
  <si>
    <t>$M$15 9</t>
  </si>
  <si>
    <t>$M$56 9</t>
  </si>
  <si>
    <t>$N$15 9</t>
  </si>
  <si>
    <t>$O$48 9</t>
  </si>
  <si>
    <t>$P$51 9</t>
  </si>
  <si>
    <t>$P$47 9</t>
  </si>
  <si>
    <t>$P$56 9</t>
  </si>
  <si>
    <t>$P$40 9</t>
  </si>
  <si>
    <t>$P$20 9</t>
  </si>
  <si>
    <t>$P$48 9</t>
  </si>
  <si>
    <t>$Q$48 9</t>
  </si>
  <si>
    <t>$Q$51 9</t>
  </si>
  <si>
    <t>$Q$47 9</t>
  </si>
  <si>
    <t>$Q$56 9</t>
  </si>
  <si>
    <t>$R$40 9</t>
  </si>
  <si>
    <t>$R$24 9</t>
  </si>
  <si>
    <t>$R$51 9</t>
  </si>
  <si>
    <t>$R$47 9</t>
  </si>
  <si>
    <t>$R$56 9</t>
  </si>
  <si>
    <t>$S$63 9</t>
  </si>
  <si>
    <t>$S$64 9</t>
  </si>
  <si>
    <t>$T$48 9</t>
  </si>
  <si>
    <t>$T$51 9</t>
  </si>
  <si>
    <t>$T$47 9</t>
  </si>
  <si>
    <t>$U$47 9</t>
  </si>
  <si>
    <t>$U$48 9</t>
  </si>
  <si>
    <t>$U$51 9</t>
  </si>
  <si>
    <t>$V$56 9</t>
  </si>
  <si>
    <t>$X$56 9</t>
  </si>
  <si>
    <t>$Y$79 9</t>
  </si>
  <si>
    <t>$Y$78 9</t>
  </si>
  <si>
    <t>$Y$48 9</t>
  </si>
  <si>
    <t>$Y$51 9</t>
  </si>
  <si>
    <t>$Y$56 9</t>
  </si>
  <si>
    <t>$Y$47 9</t>
  </si>
  <si>
    <t>$Z$64 9</t>
  </si>
  <si>
    <t>$Z$48 9</t>
  </si>
  <si>
    <t>$Z$51 9</t>
  </si>
  <si>
    <t>$Z$47 9</t>
  </si>
  <si>
    <t>$AA$56 9</t>
  </si>
  <si>
    <t>$AA$62 9</t>
  </si>
  <si>
    <t>$AA$24 9</t>
  </si>
  <si>
    <t>$AB$20 9</t>
  </si>
  <si>
    <t>$F$21 10</t>
  </si>
  <si>
    <t>$G$15 10</t>
  </si>
  <si>
    <t>$H$62 10</t>
  </si>
  <si>
    <t>$H$63 10</t>
  </si>
  <si>
    <t>$L$51 10</t>
  </si>
  <si>
    <t>$L$48 10</t>
  </si>
  <si>
    <t>$L$15 10</t>
  </si>
  <si>
    <t>$L$47 10</t>
  </si>
  <si>
    <t>$L$20 10</t>
  </si>
  <si>
    <t>$M$78 10</t>
  </si>
  <si>
    <t>$M$79 10</t>
  </si>
  <si>
    <t>$M$63 10</t>
  </si>
  <si>
    <t>$M$64 10</t>
  </si>
  <si>
    <t>$M$47 10</t>
  </si>
  <si>
    <t>$M$27 10</t>
  </si>
  <si>
    <t>$M$28 10</t>
  </si>
  <si>
    <t>$M$14 10</t>
  </si>
  <si>
    <t>$N$14 10</t>
  </si>
  <si>
    <t>$N$48 10</t>
  </si>
  <si>
    <t>$O$21 10</t>
  </si>
  <si>
    <t>$O$51 10</t>
  </si>
  <si>
    <t>$P$24 10</t>
  </si>
  <si>
    <t>$P$48 10</t>
  </si>
  <si>
    <t>$P$51 10</t>
  </si>
  <si>
    <t>$P$56 10</t>
  </si>
  <si>
    <t>$Q$51 10</t>
  </si>
  <si>
    <t>$Q$47 10</t>
  </si>
  <si>
    <t>$Q$48 10</t>
  </si>
  <si>
    <t>A/T OVERCURRENT</t>
  </si>
  <si>
    <t>$R$78 10</t>
  </si>
  <si>
    <t>$R$48 10</t>
  </si>
  <si>
    <t>$R$51 10</t>
  </si>
  <si>
    <t>$R$47 10</t>
  </si>
  <si>
    <t>$R$56 10</t>
  </si>
  <si>
    <t>$S$64 10</t>
  </si>
  <si>
    <t>$S$62 10</t>
  </si>
  <si>
    <t>$S$48 10</t>
  </si>
  <si>
    <t>$S$47 10</t>
  </si>
  <si>
    <t>$S$56 10</t>
  </si>
  <si>
    <t>$S$78 10</t>
  </si>
  <si>
    <t>$T$78 10</t>
  </si>
  <si>
    <t>$T$48 10</t>
  </si>
  <si>
    <t>$T$40 10</t>
  </si>
  <si>
    <t>$T$44 10</t>
  </si>
  <si>
    <t>$T$29 10</t>
  </si>
  <si>
    <t>$U$40 10</t>
  </si>
  <si>
    <t>$U$51 10</t>
  </si>
  <si>
    <t>$U$47 10</t>
  </si>
  <si>
    <t>$U$28 10</t>
  </si>
  <si>
    <t>$U$56 10</t>
  </si>
  <si>
    <t>$U$27 10</t>
  </si>
  <si>
    <t>$V$78 10</t>
  </si>
  <si>
    <t>$W$48 10</t>
  </si>
  <si>
    <t>$X$29 10</t>
  </si>
  <si>
    <t>$X$78 10</t>
  </si>
  <si>
    <t>$Y$62 10</t>
  </si>
  <si>
    <t>$Y$63 10</t>
  </si>
  <si>
    <t>$Y$79 10</t>
  </si>
  <si>
    <t>$Z$63 10</t>
  </si>
  <si>
    <t>$AA$21 10</t>
  </si>
  <si>
    <t>$AA$63 10</t>
  </si>
  <si>
    <t>$AB$48 10</t>
  </si>
  <si>
    <t>$AB$50 10</t>
  </si>
  <si>
    <t>$AB$51 10</t>
  </si>
  <si>
    <t>$AB$24 10</t>
  </si>
  <si>
    <t>$AC$47 10</t>
  </si>
  <si>
    <t>$AC$48 10</t>
  </si>
  <si>
    <t>$AC$51 10</t>
  </si>
  <si>
    <t>$AC$56 10</t>
  </si>
  <si>
    <t>$AC$40 10</t>
  </si>
  <si>
    <t>$AC$15 10</t>
  </si>
  <si>
    <t>$F$47 11</t>
  </si>
  <si>
    <t>$F$40 11</t>
  </si>
  <si>
    <t>$F$56 11</t>
  </si>
  <si>
    <t>$F$48 11</t>
  </si>
  <si>
    <t>$F$51 11</t>
  </si>
  <si>
    <t>$F$19 11</t>
  </si>
  <si>
    <t>$G$19 11</t>
  </si>
  <si>
    <t>$G$47 11</t>
  </si>
  <si>
    <t>$G$20 11</t>
  </si>
  <si>
    <t>$H$63 11</t>
  </si>
  <si>
    <t>$H$64 11</t>
  </si>
  <si>
    <t>$L$27 11</t>
  </si>
  <si>
    <t>$L$15 11</t>
  </si>
  <si>
    <t>$L$28 11</t>
  </si>
  <si>
    <t>$L$56 11</t>
  </si>
  <si>
    <t>$L$48 11</t>
  </si>
  <si>
    <t>$L$20 11</t>
  </si>
  <si>
    <t>$L$14 11</t>
  </si>
  <si>
    <t>$M$64 11</t>
  </si>
  <si>
    <t>$M$62 11</t>
  </si>
  <si>
    <t>$M$78 11</t>
  </si>
  <si>
    <t>$M$79 11</t>
  </si>
  <si>
    <t>$N$14 11</t>
  </si>
  <si>
    <t>$O$48 11</t>
  </si>
  <si>
    <t>$O$51 11</t>
  </si>
  <si>
    <t>$O$47 11</t>
  </si>
  <si>
    <t>$O$56 11</t>
  </si>
  <si>
    <t>$O$40 11</t>
  </si>
  <si>
    <t>$O$19 11</t>
  </si>
  <si>
    <t>$O$78 11</t>
  </si>
  <si>
    <t>$P$48 11</t>
  </si>
  <si>
    <t>$P$51 11</t>
  </si>
  <si>
    <t>$Q$47 11</t>
  </si>
  <si>
    <t>$Q$56 11</t>
  </si>
  <si>
    <t>$Q$24 11</t>
  </si>
  <si>
    <t>$Q$48 11</t>
  </si>
  <si>
    <t>$Q$51 11</t>
  </si>
  <si>
    <t>$R$78 11</t>
  </si>
  <si>
    <t>$R$21 11</t>
  </si>
  <si>
    <t>$R$51 11</t>
  </si>
  <si>
    <t>$S$47 11</t>
  </si>
  <si>
    <t>$S$56 11</t>
  </si>
  <si>
    <t>$S$48 11</t>
  </si>
  <si>
    <t>END OF LOAD TEST</t>
  </si>
  <si>
    <t>$S$21 11</t>
  </si>
  <si>
    <t>$S$51 11</t>
  </si>
  <si>
    <t>$S$20 11</t>
  </si>
  <si>
    <t>$T$56 11</t>
  </si>
  <si>
    <t>$T$62 11</t>
  </si>
  <si>
    <t>$T$63 11</t>
  </si>
  <si>
    <t>$T$48 11</t>
  </si>
  <si>
    <t>$T$51 11</t>
  </si>
  <si>
    <t>$U$28 11</t>
  </si>
  <si>
    <t>$U$27 11</t>
  </si>
  <si>
    <t>$V$47 11</t>
  </si>
  <si>
    <t>$V$56 11</t>
  </si>
  <si>
    <t>$W$48 11</t>
  </si>
  <si>
    <t>$W$51 11</t>
  </si>
  <si>
    <t>$Y$79 11</t>
  </si>
  <si>
    <t>$Y$78 11</t>
  </si>
  <si>
    <t>$Y$47 11</t>
  </si>
  <si>
    <t>$Z$47 11</t>
  </si>
  <si>
    <t>$Z$63 11</t>
  </si>
  <si>
    <t>$Z$64 11</t>
  </si>
  <si>
    <t>$Z$19 11</t>
  </si>
  <si>
    <t>$AA$24 11</t>
  </si>
  <si>
    <t>$AB$21 11</t>
  </si>
  <si>
    <t>$F$14 12</t>
  </si>
  <si>
    <t>$G$64 12</t>
  </si>
  <si>
    <t>$G$62 12</t>
  </si>
  <si>
    <t>$H$14 12</t>
  </si>
  <si>
    <t>$H$28 12</t>
  </si>
  <si>
    <t>$J$14 12</t>
  </si>
  <si>
    <t>$J$15 12</t>
  </si>
  <si>
    <t>$L$62 12</t>
  </si>
  <si>
    <t>$L$63 12</t>
  </si>
  <si>
    <t>$M$56 12</t>
  </si>
  <si>
    <t>$N$48 12</t>
  </si>
  <si>
    <t>$N$27 12</t>
  </si>
  <si>
    <t>$N$56 12</t>
  </si>
  <si>
    <t>$N$15 12</t>
  </si>
  <si>
    <t>$O$51 12</t>
  </si>
  <si>
    <t>$O$56 12</t>
  </si>
  <si>
    <t>$O$21 12</t>
  </si>
  <si>
    <t>START OF LOAD TEST</t>
  </si>
  <si>
    <t>$O$15 12</t>
  </si>
  <si>
    <t>$O$47 12</t>
  </si>
  <si>
    <t>$O$48 12</t>
  </si>
  <si>
    <t>$O$40 12</t>
  </si>
  <si>
    <t>$P$24 12</t>
  </si>
  <si>
    <t>$P$19 12</t>
  </si>
  <si>
    <t>$P$21 12</t>
  </si>
  <si>
    <t>$P$20 12</t>
  </si>
  <si>
    <t>$P$40 12</t>
  </si>
  <si>
    <t>$P$48 12</t>
  </si>
  <si>
    <t>$P$51 12</t>
  </si>
  <si>
    <t>$P$47 12</t>
  </si>
  <si>
    <t>$P$56 12</t>
  </si>
  <si>
    <t>$P$15 12</t>
  </si>
  <si>
    <t>$M$78 12</t>
  </si>
  <si>
    <t>$M$79 12</t>
  </si>
  <si>
    <t>$Q$48 12</t>
  </si>
  <si>
    <t>INSPECTION CYL A9 due to LOW EGT (est. time duration:1hr)</t>
  </si>
  <si>
    <t>$Q$14 12</t>
  </si>
  <si>
    <t>$Q$51 12</t>
  </si>
  <si>
    <t>$Q$47 12</t>
  </si>
  <si>
    <t>$R$56 12</t>
  </si>
  <si>
    <t>$R$14 12</t>
  </si>
  <si>
    <t>$R$51 12</t>
  </si>
  <si>
    <t>$R$47 12</t>
  </si>
  <si>
    <t>$S$56 12</t>
  </si>
  <si>
    <t>Shutdown due to low demand</t>
  </si>
  <si>
    <t>$S$19 12</t>
  </si>
  <si>
    <t>$S$63 12</t>
  </si>
  <si>
    <t>$S$64 12</t>
  </si>
  <si>
    <t>$U$28 12</t>
  </si>
  <si>
    <t>$U$27 12</t>
  </si>
  <si>
    <t>$V$56 12</t>
  </si>
  <si>
    <t>$Y$48 12</t>
  </si>
  <si>
    <t>$Y$51 12</t>
  </si>
  <si>
    <t>$Y$47 12</t>
  </si>
  <si>
    <t>$Y$19 12</t>
  </si>
  <si>
    <t>$Y$56 11</t>
  </si>
  <si>
    <t>$Z$48 12</t>
  </si>
  <si>
    <t>$Z$51 12</t>
  </si>
  <si>
    <t>$Z$47 12</t>
  </si>
  <si>
    <t>$Z$56 12</t>
  </si>
  <si>
    <t>$AB$19 12</t>
  </si>
  <si>
    <t>$AB$48 12</t>
  </si>
  <si>
    <t>$AB$51 12</t>
  </si>
  <si>
    <t>$AB$15 12</t>
  </si>
  <si>
    <t>$AC$24 12</t>
  </si>
  <si>
    <t>$F$20 13</t>
  </si>
  <si>
    <t>$G$19 13</t>
  </si>
  <si>
    <t>$Y$64 12</t>
  </si>
  <si>
    <t>$Y$62 12</t>
  </si>
  <si>
    <t>$G$62 13</t>
  </si>
  <si>
    <t>$G$63 13</t>
  </si>
  <si>
    <t>$G$15 13</t>
  </si>
  <si>
    <t>$H$14 13</t>
  </si>
  <si>
    <t>$I$28 13</t>
  </si>
  <si>
    <t>$X$79 12</t>
  </si>
  <si>
    <t>$X$78 12</t>
  </si>
  <si>
    <t>$O$14 13</t>
  </si>
  <si>
    <t>$M$78 13</t>
  </si>
  <si>
    <t>$M$79 13</t>
  </si>
  <si>
    <t>$M$27 13</t>
  </si>
  <si>
    <t>$O$48 13</t>
  </si>
  <si>
    <t>$O$51 13</t>
  </si>
  <si>
    <t>$O$47 13</t>
  </si>
  <si>
    <t>$P$56 13</t>
  </si>
  <si>
    <t>$P$20 13</t>
  </si>
  <si>
    <t>$P$40 13</t>
  </si>
  <si>
    <t>$P$48 13</t>
  </si>
  <si>
    <t>$P$51 13</t>
  </si>
  <si>
    <t>$P$19 13</t>
  </si>
  <si>
    <t>$P$47 13</t>
  </si>
  <si>
    <t>$Q$48 13</t>
  </si>
  <si>
    <t>$Q$51 13</t>
  </si>
  <si>
    <t>$R$47 13</t>
  </si>
  <si>
    <t>$R$14 13</t>
  </si>
  <si>
    <t>$R$56 13</t>
  </si>
  <si>
    <t>$R$48 13</t>
  </si>
  <si>
    <t>$M$63 13</t>
  </si>
  <si>
    <t>$M$64 13</t>
  </si>
  <si>
    <t>$S$14 13</t>
  </si>
  <si>
    <t>$S$64 13</t>
  </si>
  <si>
    <t>$S$62 13</t>
  </si>
  <si>
    <t>$S$24 13</t>
  </si>
  <si>
    <t>$S$56 13</t>
  </si>
  <si>
    <t>$S$51 13</t>
  </si>
  <si>
    <t>$S$47 13</t>
  </si>
  <si>
    <t>$S$48 13</t>
  </si>
  <si>
    <t>$S$20 13</t>
  </si>
  <si>
    <t>$T$28 13</t>
  </si>
  <si>
    <t>$T$27 13</t>
  </si>
  <si>
    <t>$U$19 13</t>
  </si>
  <si>
    <t>$U$48 13</t>
  </si>
  <si>
    <t>$V$21 13</t>
  </si>
  <si>
    <t>$V$48 13</t>
  </si>
  <si>
    <t>$W$21 13</t>
  </si>
  <si>
    <t>$W$24 13</t>
  </si>
  <si>
    <t>$Y$51 13</t>
  </si>
  <si>
    <t>$Y$47 13</t>
  </si>
  <si>
    <t>$Y$62 13</t>
  </si>
  <si>
    <t>$Y$79 13</t>
  </si>
  <si>
    <t>$Y$63 13</t>
  </si>
  <si>
    <t>$Y$78 13</t>
  </si>
  <si>
    <t>$Y$56 13</t>
  </si>
  <si>
    <t>$Y$48 13</t>
  </si>
  <si>
    <t>$Y$40 13</t>
  </si>
  <si>
    <t>$Y$19 13</t>
  </si>
  <si>
    <t>$Z$50 13</t>
  </si>
  <si>
    <t>$Z$40 13</t>
  </si>
  <si>
    <t>$AA$50 13</t>
  </si>
  <si>
    <t>$Z$48 13</t>
  </si>
  <si>
    <t>$Z$51 13</t>
  </si>
  <si>
    <t>$Z$47 13</t>
  </si>
  <si>
    <t>$AA$56 13</t>
  </si>
  <si>
    <t>$AB$40 13</t>
  </si>
  <si>
    <t>$AB$47 13</t>
  </si>
  <si>
    <t>$AB$48 13</t>
  </si>
  <si>
    <t>$AB$51 13</t>
  </si>
  <si>
    <t>$AB$56 13</t>
  </si>
  <si>
    <t>$AB$15 13</t>
  </si>
  <si>
    <t>$AC$51 13</t>
  </si>
  <si>
    <t>$AC$47 13</t>
  </si>
  <si>
    <t>$AC$56 13</t>
  </si>
  <si>
    <t>LAOD TEST</t>
  </si>
  <si>
    <t>$AC$15 13</t>
  </si>
  <si>
    <t>$AC$19 13</t>
  </si>
  <si>
    <t>$F$14 14</t>
  </si>
  <si>
    <t>$F$15 14</t>
  </si>
  <si>
    <t>$G$21 14</t>
  </si>
  <si>
    <t>$I$28 14</t>
  </si>
  <si>
    <t>$K$48 14</t>
  </si>
  <si>
    <t>$L$51 14</t>
  </si>
  <si>
    <t>$L$27 14</t>
  </si>
  <si>
    <t>$L$48 14</t>
  </si>
  <si>
    <t>$G$63 14</t>
  </si>
  <si>
    <t>$G$64 14</t>
  </si>
  <si>
    <t>$L$19 14</t>
  </si>
  <si>
    <t>$L$56 14</t>
  </si>
  <si>
    <t>$L$47 14</t>
  </si>
  <si>
    <t>$L$14 14</t>
  </si>
  <si>
    <t>$M$78 14</t>
  </si>
  <si>
    <t>$M$79 14</t>
  </si>
  <si>
    <t>$M$64 14</t>
  </si>
  <si>
    <t>$M$62 14</t>
  </si>
  <si>
    <t>$M$47 14</t>
  </si>
  <si>
    <t>$M$56 14</t>
  </si>
  <si>
    <t>$M$14 14</t>
  </si>
  <si>
    <t>$N$48 14</t>
  </si>
  <si>
    <t>$N$51 14</t>
  </si>
  <si>
    <t>$N$47 14</t>
  </si>
  <si>
    <t>$N$56 14</t>
  </si>
  <si>
    <t>$O$40 14</t>
  </si>
  <si>
    <t>$O$19 14</t>
  </si>
  <si>
    <t>$O$21 14</t>
  </si>
  <si>
    <t>$O$24 14</t>
  </si>
  <si>
    <t>$O$29 14</t>
  </si>
  <si>
    <t>$P$14 14</t>
  </si>
  <si>
    <t>$P$50 14</t>
  </si>
  <si>
    <t>$P$40 14</t>
  </si>
  <si>
    <t>$Q$42 14</t>
  </si>
  <si>
    <t>$Q$28 14</t>
  </si>
  <si>
    <t>$Q$14 14</t>
  </si>
  <si>
    <t>$R$62 14</t>
  </si>
  <si>
    <t>$R$14 14</t>
  </si>
  <si>
    <t>$W$63 14</t>
  </si>
  <si>
    <t>$X$42 14</t>
  </si>
  <si>
    <t>$Y$14 14</t>
  </si>
  <si>
    <t>$Y$79 14</t>
  </si>
  <si>
    <t>$Y$78 14</t>
  </si>
  <si>
    <t>$Z$63 14</t>
  </si>
  <si>
    <t>$AA$27 14</t>
  </si>
  <si>
    <t>$AA$40 14</t>
  </si>
  <si>
    <t>$AB$63 14</t>
  </si>
  <si>
    <t>$AB$48 14</t>
  </si>
  <si>
    <t>$AB$40 14</t>
  </si>
  <si>
    <t>$AB$16 14</t>
  </si>
  <si>
    <t>$AC$16 14</t>
  </si>
  <si>
    <t>$AC$40 14</t>
  </si>
  <si>
    <t>$AC$48 14</t>
  </si>
  <si>
    <t>$AC$51 14</t>
  </si>
  <si>
    <t>$AC$50 14</t>
  </si>
  <si>
    <t>$AC$47 14</t>
  </si>
  <si>
    <t>$AC$56 14</t>
  </si>
  <si>
    <t>$AC$29 14</t>
  </si>
  <si>
    <t>$F$19 15</t>
  </si>
  <si>
    <t>$G$24 15</t>
  </si>
  <si>
    <t>$I$28 15</t>
  </si>
  <si>
    <t>$K$63 15</t>
  </si>
  <si>
    <t>$K$64 15</t>
  </si>
  <si>
    <t>$K$51 15</t>
  </si>
  <si>
    <t>$K$27 15</t>
  </si>
  <si>
    <t>$L$50 15</t>
  </si>
  <si>
    <t>$L$47 15</t>
  </si>
  <si>
    <t>$L$56 15</t>
  </si>
  <si>
    <t>$L$19 15</t>
  </si>
  <si>
    <t>$M$47 15</t>
  </si>
  <si>
    <t>$M$50 15</t>
  </si>
  <si>
    <t>$M$78 15</t>
  </si>
  <si>
    <t>$M$79 15</t>
  </si>
  <si>
    <t>$M$56 15</t>
  </si>
  <si>
    <t>$N$48 15</t>
  </si>
  <si>
    <t>$N$51 15</t>
  </si>
  <si>
    <t>$N$47 15</t>
  </si>
  <si>
    <t>$N$24 15</t>
  </si>
  <si>
    <t>$O$50 15</t>
  </si>
  <si>
    <t>$O$56 15</t>
  </si>
  <si>
    <t>$O$40 15</t>
  </si>
  <si>
    <t>$O$42 15</t>
  </si>
  <si>
    <t>$O$29 15</t>
  </si>
  <si>
    <t>$O$28 15</t>
  </si>
  <si>
    <t>$P$14 15</t>
  </si>
  <si>
    <t>$P$78 15</t>
  </si>
  <si>
    <t>$P$79 15</t>
  </si>
  <si>
    <t>$Q$29 15</t>
  </si>
  <si>
    <t>$Q$14 15</t>
  </si>
  <si>
    <t>$Q$42 15</t>
  </si>
  <si>
    <t>$Q$27 15</t>
  </si>
  <si>
    <t>$Q$40 15</t>
  </si>
  <si>
    <t>$Q$48 15</t>
  </si>
  <si>
    <t>$R$51 15</t>
  </si>
  <si>
    <t>$R$47 15</t>
  </si>
  <si>
    <t>$S$64 15</t>
  </si>
  <si>
    <t>$S$62 15</t>
  </si>
  <si>
    <t>$S$50 15</t>
  </si>
  <si>
    <t>$S$56 15</t>
  </si>
  <si>
    <t>$S$48 15</t>
  </si>
  <si>
    <t>$T$51 15</t>
  </si>
  <si>
    <t>$T$47 15</t>
  </si>
  <si>
    <t>$T$50 15</t>
  </si>
  <si>
    <t>$V$21 15</t>
  </si>
  <si>
    <t>$V$56 15</t>
  </si>
  <si>
    <t>$V$27 15</t>
  </si>
  <si>
    <t>$V$14 15</t>
  </si>
  <si>
    <t>$V$40 15</t>
  </si>
  <si>
    <t>$W$40 15</t>
  </si>
  <si>
    <t>$W$21 15</t>
  </si>
  <si>
    <t>$X$27 15</t>
  </si>
  <si>
    <t>$X$48 15</t>
  </si>
  <si>
    <t>$X$51 15</t>
  </si>
  <si>
    <t>$X$47 15</t>
  </si>
  <si>
    <t>$Y$48 15</t>
  </si>
  <si>
    <t>$Y$62 15</t>
  </si>
  <si>
    <t>$Y$63 15</t>
  </si>
  <si>
    <t>$Y$79 15</t>
  </si>
  <si>
    <t>$Y$78 15</t>
  </si>
  <si>
    <t>$Z$50 15</t>
  </si>
  <si>
    <t>$AA$56 15</t>
  </si>
  <si>
    <t>$AA$48 15</t>
  </si>
  <si>
    <t>$AB$29 15</t>
  </si>
  <si>
    <t>$AC$19 15</t>
  </si>
  <si>
    <t>$F$24 16</t>
  </si>
  <si>
    <t>$F$51 16</t>
  </si>
  <si>
    <t>$F$21 16</t>
  </si>
  <si>
    <t>$F$47 16</t>
  </si>
  <si>
    <t>$G$51 16</t>
  </si>
  <si>
    <t>$G$47 16</t>
  </si>
  <si>
    <t>$G$63 16</t>
  </si>
  <si>
    <t>$G$64 16</t>
  </si>
  <si>
    <t>$I$28 16</t>
  </si>
  <si>
    <t>$K$27 16</t>
  </si>
  <si>
    <t>$L$50 16</t>
  </si>
  <si>
    <t>$L$56 16</t>
  </si>
  <si>
    <t>$L$48 16</t>
  </si>
  <si>
    <t>$M$64 16</t>
  </si>
  <si>
    <t>$M$62 16</t>
  </si>
  <si>
    <t>$M$78 16</t>
  </si>
  <si>
    <t>$M$79 16</t>
  </si>
  <si>
    <t>$M$50 16</t>
  </si>
  <si>
    <t>$M$56 16</t>
  </si>
  <si>
    <t>$M$48 16</t>
  </si>
  <si>
    <t>$M$14 16</t>
  </si>
  <si>
    <t>$N$14 16</t>
  </si>
  <si>
    <t>$N$51 16</t>
  </si>
  <si>
    <t>$N$21 16</t>
  </si>
  <si>
    <t>$O$50 16</t>
  </si>
  <si>
    <t>$O$19 16</t>
  </si>
  <si>
    <t>$O$14 16</t>
  </si>
  <si>
    <t>$O$51 16</t>
  </si>
  <si>
    <t>$O$78 16</t>
  </si>
  <si>
    <t>$O$24 16</t>
  </si>
  <si>
    <t>$P$47 16</t>
  </si>
  <si>
    <t>$P$50 16</t>
  </si>
  <si>
    <t xml:space="preserve">Isolated Marabajay sectionalizing </t>
  </si>
  <si>
    <t>$P$78 16</t>
  </si>
  <si>
    <t>$P$56 16</t>
  </si>
  <si>
    <t>$P$48 16</t>
  </si>
  <si>
    <t>$P$51 16</t>
  </si>
  <si>
    <t>$P$29 16</t>
  </si>
  <si>
    <t>UNLOADED DUE TO TRIPPING OF QUEZON STATION RECLOSER (C - 507 N - 540)</t>
  </si>
  <si>
    <t>$Q$63 16</t>
  </si>
  <si>
    <t>$Q$64 16</t>
  </si>
  <si>
    <t>$R$62 16</t>
  </si>
  <si>
    <t>$R$64 16</t>
  </si>
  <si>
    <t>$R$50 16</t>
  </si>
  <si>
    <t>$R$56 16</t>
  </si>
  <si>
    <t>$R$48 16</t>
  </si>
  <si>
    <t>$S$51 16</t>
  </si>
  <si>
    <t>$T$47 16</t>
  </si>
  <si>
    <t>$T$50 16</t>
  </si>
  <si>
    <t>$T$29 16</t>
  </si>
  <si>
    <t>$T$56 16</t>
  </si>
  <si>
    <t>$V$28 16</t>
  </si>
  <si>
    <t>$V$27 16</t>
  </si>
  <si>
    <t>$W$50 16</t>
  </si>
  <si>
    <t>$W$56 16</t>
  </si>
  <si>
    <t>$Y$14 16</t>
  </si>
  <si>
    <t>$Y$79 16</t>
  </si>
  <si>
    <t>$Y$78 16</t>
  </si>
  <si>
    <t>$Y$63 16</t>
  </si>
  <si>
    <t>$Y$64 16</t>
  </si>
  <si>
    <t>$Z$21 16</t>
  </si>
  <si>
    <t>$Z$14 16</t>
  </si>
  <si>
    <t>$Z$62 16</t>
  </si>
  <si>
    <t>$Z$63 16</t>
  </si>
  <si>
    <t>$Z$48 16</t>
  </si>
  <si>
    <t>$Z$51 16</t>
  </si>
  <si>
    <t>$Z$24 16</t>
  </si>
  <si>
    <t>$AA$48 16</t>
  </si>
  <si>
    <t>$AA$51 16</t>
  </si>
  <si>
    <t>$AA$62 16</t>
  </si>
  <si>
    <t>$AA$63 16</t>
  </si>
  <si>
    <t>$AA$19 16</t>
  </si>
  <si>
    <t>$AB$47 16</t>
  </si>
  <si>
    <t>$AB$14 16</t>
  </si>
  <si>
    <t>$AC$47 16</t>
  </si>
  <si>
    <t>$G$63 17</t>
  </si>
  <si>
    <t>$G$64 17</t>
  </si>
  <si>
    <t>$G$62 17</t>
  </si>
  <si>
    <t>$G$28 17</t>
  </si>
  <si>
    <t>$I$79 17</t>
  </si>
  <si>
    <t>$I$14 17</t>
  </si>
  <si>
    <t>$I$15 17</t>
  </si>
  <si>
    <t>$J$79 17</t>
  </si>
  <si>
    <t>A/T (A-26, B-25, C-296, E-293)</t>
  </si>
  <si>
    <t>$K$64 17</t>
  </si>
  <si>
    <t>$M$78 17</t>
  </si>
  <si>
    <t>$M$79 17</t>
  </si>
  <si>
    <t>$M$15 17</t>
  </si>
  <si>
    <t>$M$62 17</t>
  </si>
  <si>
    <t>$M$64 17</t>
  </si>
  <si>
    <t>$N$16 17</t>
  </si>
  <si>
    <t>$N$27 17</t>
  </si>
  <si>
    <t>$N$78 17</t>
  </si>
  <si>
    <t>$N$79 17</t>
  </si>
  <si>
    <t>$O$16 17</t>
  </si>
  <si>
    <t>$O$50 17</t>
  </si>
  <si>
    <t>$O$56 17</t>
  </si>
  <si>
    <t>$P$48 17</t>
  </si>
  <si>
    <t>$P$21 17</t>
  </si>
  <si>
    <t>$Q$78 17</t>
  </si>
  <si>
    <t>$Q$79 17</t>
  </si>
  <si>
    <t>$R$21 17</t>
  </si>
  <si>
    <t>$S$63 17</t>
  </si>
  <si>
    <t>$S$64 17</t>
  </si>
  <si>
    <t>$T$51 17</t>
  </si>
  <si>
    <t>$T$47 17</t>
  </si>
  <si>
    <t>$V$78 17</t>
  </si>
  <si>
    <t>$W$78 17</t>
  </si>
  <si>
    <t>$W$28 17</t>
  </si>
  <si>
    <t>$W$27 17</t>
  </si>
  <si>
    <t>$X$50 17</t>
  </si>
  <si>
    <t>$X$56 17</t>
  </si>
  <si>
    <t>$X$51 17</t>
  </si>
  <si>
    <t>$X$47 17</t>
  </si>
  <si>
    <t>UNLOADED DUE TO TRIPPING OF QUEZON STATION RECLOSER (A - 34 B - 37 C - 533 N - 512)</t>
  </si>
  <si>
    <t>$X$62 17</t>
  </si>
  <si>
    <t>$X$63 17</t>
  </si>
  <si>
    <t>$X$48 17</t>
  </si>
  <si>
    <t>$Y$79 17</t>
  </si>
  <si>
    <t>$Y$78 17</t>
  </si>
  <si>
    <t>$Y$56 17</t>
  </si>
  <si>
    <t>$Y$63 17</t>
  </si>
  <si>
    <t>$Y$64 17</t>
  </si>
  <si>
    <t>$Y$47 17</t>
  </si>
  <si>
    <t>$Y$51 17</t>
  </si>
  <si>
    <t>$Z$48 17</t>
  </si>
  <si>
    <t>$Z$51 17</t>
  </si>
  <si>
    <t>$Z$47 17</t>
  </si>
  <si>
    <t>$AA$50 17</t>
  </si>
  <si>
    <t>$AA$56 17</t>
  </si>
  <si>
    <t>$AB$14 17</t>
  </si>
  <si>
    <t>$AB$50 17</t>
  </si>
  <si>
    <t>$AB$56 17</t>
  </si>
  <si>
    <t>$G$63 18</t>
  </si>
  <si>
    <t>$G$30 18</t>
  </si>
  <si>
    <t>$G$62 18</t>
  </si>
  <si>
    <t>$G$64 18</t>
  </si>
  <si>
    <t>$I$14 18</t>
  </si>
  <si>
    <t>$J$16 18</t>
  </si>
  <si>
    <t>$L$63 18</t>
  </si>
  <si>
    <t>$L$30 18</t>
  </si>
  <si>
    <t>$M$78 18</t>
  </si>
  <si>
    <t>$M$79 18</t>
  </si>
  <si>
    <t>$N$30 18</t>
  </si>
  <si>
    <t>$N$28 18</t>
  </si>
  <si>
    <t>$N$62 18</t>
  </si>
  <si>
    <t>$N$63 18</t>
  </si>
  <si>
    <t>$N$27 18</t>
  </si>
  <si>
    <t>$O$64 18</t>
  </si>
  <si>
    <t>$O$63 18</t>
  </si>
  <si>
    <t>$O$78 18</t>
  </si>
  <si>
    <t>$O$79 18</t>
  </si>
  <si>
    <t>$P$48 18</t>
  </si>
  <si>
    <t>$P$78 18</t>
  </si>
  <si>
    <t>$P$51 18</t>
  </si>
  <si>
    <t>$P$47 18</t>
  </si>
  <si>
    <t>$P$50 18</t>
  </si>
  <si>
    <t>$Q$56 18</t>
  </si>
  <si>
    <t>$R$51 18</t>
  </si>
  <si>
    <t>$R$47 18</t>
  </si>
  <si>
    <t>$R$21 18</t>
  </si>
  <si>
    <t>$R$50 18</t>
  </si>
  <si>
    <t>$R$56 18</t>
  </si>
  <si>
    <t>$R$63 18</t>
  </si>
  <si>
    <t>$R$64 18</t>
  </si>
  <si>
    <t>$S$63 18</t>
  </si>
  <si>
    <t>$S$64 18</t>
  </si>
  <si>
    <t>$S$78 18</t>
  </si>
  <si>
    <t>$T$28 18</t>
  </si>
  <si>
    <t>$T$16 18</t>
  </si>
  <si>
    <t>$T$27 18</t>
  </si>
  <si>
    <t>TOTAL SYSTEM BLACKOUT
INDICATION: OVERCURRENT</t>
  </si>
  <si>
    <t>$T$14 18</t>
  </si>
  <si>
    <t>$T$15 18</t>
  </si>
  <si>
    <t>TOTAL SYSTEM BLACKOUT
INDICATION: REVERSE KVAR</t>
  </si>
  <si>
    <t>$T$21 18</t>
  </si>
  <si>
    <t>TOTAL SYSTEM BLACKOUT
INDICATION: UNDERFREQUENCY</t>
  </si>
  <si>
    <t>$T$30 18</t>
  </si>
  <si>
    <t>$T$33 18</t>
  </si>
  <si>
    <t>$T$78 18</t>
  </si>
  <si>
    <t>$U$16 18</t>
  </si>
  <si>
    <t>$U$15 18</t>
  </si>
  <si>
    <t>$V$14 18</t>
  </si>
  <si>
    <t>$V$21 18</t>
  </si>
  <si>
    <t>$V$28 18</t>
  </si>
  <si>
    <t>$W$48 18</t>
  </si>
  <si>
    <t>$W$51 18</t>
  </si>
  <si>
    <t>$W$30 18</t>
  </si>
  <si>
    <t>$W$47 18</t>
  </si>
  <si>
    <t>$W$50 18</t>
  </si>
  <si>
    <t>$W$56 18</t>
  </si>
  <si>
    <t>$X$78 18</t>
  </si>
  <si>
    <t>TRIPPED DUE TO LOW LUBE OIL PRESSURE</t>
  </si>
  <si>
    <t>$Y$21 18</t>
  </si>
  <si>
    <t>$Y$47 18</t>
  </si>
  <si>
    <t>$Y$48 18</t>
  </si>
  <si>
    <t>$Y$51 18</t>
  </si>
  <si>
    <t>$Y$50 18</t>
  </si>
  <si>
    <t>$Y$56 18</t>
  </si>
  <si>
    <t>$Y$40 18</t>
  </si>
  <si>
    <t>$Y$19 18</t>
  </si>
  <si>
    <t>$Z$40 18</t>
  </si>
  <si>
    <t>$Z$48 18</t>
  </si>
  <si>
    <t>$Y$79 18</t>
  </si>
  <si>
    <t>$Z$50 18</t>
  </si>
  <si>
    <t>$Z$51 18</t>
  </si>
  <si>
    <t>$Z$47 18</t>
  </si>
  <si>
    <t>$Z$56 18</t>
  </si>
  <si>
    <t>$Z$19 18</t>
  </si>
  <si>
    <t>$T$63 18</t>
  </si>
  <si>
    <t>$T$64 18</t>
  </si>
  <si>
    <t>$U$62 18</t>
  </si>
  <si>
    <t>$U$64 18</t>
  </si>
  <si>
    <t>$Y$62 18</t>
  </si>
  <si>
    <t>$Y$64 18</t>
  </si>
  <si>
    <t>$Z$62 18</t>
  </si>
  <si>
    <t>$Z$64 18</t>
  </si>
  <si>
    <t>$AA$47 18</t>
  </si>
  <si>
    <t>$AA$48 18</t>
  </si>
  <si>
    <t>$AA$51 18</t>
  </si>
  <si>
    <t>$AA$16 18</t>
  </si>
  <si>
    <t>$AB$48 18</t>
  </si>
  <si>
    <t>$AB$51 18</t>
  </si>
  <si>
    <t>$AB$47 18</t>
  </si>
  <si>
    <t>$Z$33 18</t>
  </si>
  <si>
    <t>$AC$28 18</t>
  </si>
  <si>
    <t>$F$64 19</t>
  </si>
  <si>
    <t>$H$28 19</t>
  </si>
  <si>
    <t>$H$30 19</t>
  </si>
  <si>
    <t>$H$16 19</t>
  </si>
  <si>
    <t>$I$16 19</t>
  </si>
  <si>
    <t>$I$15 19</t>
  </si>
  <si>
    <t>$J$28 19</t>
  </si>
  <si>
    <t>$L$50 19</t>
  </si>
  <si>
    <t>$L$56 19</t>
  </si>
  <si>
    <t>$M$64 19</t>
  </si>
  <si>
    <t>$M$62 19</t>
  </si>
  <si>
    <t>$M$48 19</t>
  </si>
  <si>
    <t>$M$30 19</t>
  </si>
  <si>
    <t>$M$50 19</t>
  </si>
  <si>
    <t>$M$56 19</t>
  </si>
  <si>
    <t>$N$63 19</t>
  </si>
  <si>
    <t>$O$51 19</t>
  </si>
  <si>
    <t>$O$27 19</t>
  </si>
  <si>
    <t>$O$78 19</t>
  </si>
  <si>
    <t>$O$79 19</t>
  </si>
  <si>
    <t>$P$47 19</t>
  </si>
  <si>
    <t>$P$50 19</t>
  </si>
  <si>
    <t>$P$56 19</t>
  </si>
  <si>
    <t>$P$63 19</t>
  </si>
  <si>
    <t>$P$64 19</t>
  </si>
  <si>
    <t>$P$48 19</t>
  </si>
  <si>
    <t>$P$51 19</t>
  </si>
  <si>
    <t>$P$15 19</t>
  </si>
  <si>
    <t>$Q$48 19</t>
  </si>
  <si>
    <t>$Q$51 19</t>
  </si>
  <si>
    <t>$Q$78 19</t>
  </si>
  <si>
    <t>$R$78 19</t>
  </si>
  <si>
    <t>$S$27 19</t>
  </si>
  <si>
    <t>$T$48 19</t>
  </si>
  <si>
    <t>$T$78 19</t>
  </si>
  <si>
    <t>$U$51 19</t>
  </si>
  <si>
    <t>$U$78 19</t>
  </si>
  <si>
    <t>$U$56 19</t>
  </si>
  <si>
    <t>$W$47 19</t>
  </si>
  <si>
    <t>$X$62 19</t>
  </si>
  <si>
    <t>$X$64 19</t>
  </si>
  <si>
    <t>$X$48 19</t>
  </si>
  <si>
    <t>$X$28 19</t>
  </si>
  <si>
    <t>$X$51 19</t>
  </si>
  <si>
    <t>$X$56 19</t>
  </si>
  <si>
    <t>$Y$48 19</t>
  </si>
  <si>
    <t>$Y$51 19</t>
  </si>
  <si>
    <t>$Y$56 19</t>
  </si>
  <si>
    <t>$Y$50 19</t>
  </si>
  <si>
    <t>$Y$40 19</t>
  </si>
  <si>
    <t>$Y$79 19</t>
  </si>
  <si>
    <t>$Y$78 19</t>
  </si>
  <si>
    <t>$Y$29 19</t>
  </si>
  <si>
    <t>$Z$40 19</t>
  </si>
  <si>
    <t>$Z$48 19</t>
  </si>
  <si>
    <t>$Z$21 19</t>
  </si>
  <si>
    <t>$Z$51 19</t>
  </si>
  <si>
    <t>$Z$50 19</t>
  </si>
  <si>
    <t>$Z$47 19</t>
  </si>
  <si>
    <t>$Z$56 19</t>
  </si>
  <si>
    <t>$AA$19 19</t>
  </si>
  <si>
    <t>$AA$21 19</t>
  </si>
  <si>
    <t>$AA$29 19</t>
  </si>
  <si>
    <t>$AA$47 19</t>
  </si>
  <si>
    <t>$AA$50 19</t>
  </si>
  <si>
    <t>$AA$56 19</t>
  </si>
  <si>
    <t>Emergency unload due to erratic lube oil pressure</t>
  </si>
  <si>
    <t>$AA$48 19</t>
  </si>
  <si>
    <t>$AA$51 19</t>
  </si>
  <si>
    <t>$AA$40 19</t>
  </si>
  <si>
    <t xml:space="preserve">To rectify water leak at HT pipe (availablity: 8am tentative) </t>
  </si>
  <si>
    <t>$AA$16 19</t>
  </si>
  <si>
    <t>$AB$48 19</t>
  </si>
  <si>
    <t>$AB$40 19</t>
  </si>
  <si>
    <t>$AB$51 19</t>
  </si>
  <si>
    <t>$AC$50 19</t>
  </si>
  <si>
    <t>$AC$47 19</t>
  </si>
  <si>
    <t>$AC$56 19</t>
  </si>
  <si>
    <t>$F$19 20</t>
  </si>
  <si>
    <t>$G$28 20</t>
  </si>
  <si>
    <t>$G$64 20</t>
  </si>
  <si>
    <t>$G$62 20</t>
  </si>
  <si>
    <t>$M$78 20</t>
  </si>
  <si>
    <t>$M$79 20</t>
  </si>
  <si>
    <t>$M$62 20</t>
  </si>
  <si>
    <t>$M$63 20</t>
  </si>
  <si>
    <t>$M$16 20</t>
  </si>
  <si>
    <t>$M$14 20</t>
  </si>
  <si>
    <t>$N$14 20</t>
  </si>
  <si>
    <t>$N$27 20</t>
  </si>
  <si>
    <t>$O$48 20</t>
  </si>
  <si>
    <t>$O$51 20</t>
  </si>
  <si>
    <t>$O$47 20</t>
  </si>
  <si>
    <t>$O$14 20</t>
  </si>
  <si>
    <t>$O$50 20</t>
  </si>
  <si>
    <t>$P$56 20</t>
  </si>
  <si>
    <t>$P$40 20</t>
  </si>
  <si>
    <t>$P$48 20</t>
  </si>
  <si>
    <t>$P$51 20</t>
  </si>
  <si>
    <t>$P$47 20</t>
  </si>
  <si>
    <t>$P$50 20</t>
  </si>
  <si>
    <t>$Q$19 20</t>
  </si>
  <si>
    <t>$Q$56 20</t>
  </si>
  <si>
    <t>$R$78 20</t>
  </si>
  <si>
    <t>$R$48 20</t>
  </si>
  <si>
    <t>$R$51 20</t>
  </si>
  <si>
    <t>$S$63 20</t>
  </si>
  <si>
    <t>$S$64 20</t>
  </si>
  <si>
    <t>$T$47 20</t>
  </si>
  <si>
    <t>$T$50 20</t>
  </si>
  <si>
    <t>$T$56 20</t>
  </si>
  <si>
    <t>$U$48 20</t>
  </si>
  <si>
    <t>Overcurrent</t>
  </si>
  <si>
    <t>$U$78 20</t>
  </si>
  <si>
    <t>$U$28 20</t>
  </si>
  <si>
    <t>$U$27 20</t>
  </si>
  <si>
    <t>$U$50 20</t>
  </si>
  <si>
    <t>$U$56 20</t>
  </si>
  <si>
    <t>$V$78 20</t>
  </si>
  <si>
    <t>$W$78 20</t>
  </si>
  <si>
    <t>$X$51 20</t>
  </si>
  <si>
    <t>$X$21 20</t>
  </si>
  <si>
    <t>$Y$79 20</t>
  </si>
  <si>
    <t>$Y$78 20</t>
  </si>
  <si>
    <t>$Y$64 20</t>
  </si>
  <si>
    <t>$Y$62 20</t>
  </si>
  <si>
    <t>$Y$47 20</t>
  </si>
  <si>
    <t>$Y$50 20</t>
  </si>
  <si>
    <t>$Y$51 20</t>
  </si>
  <si>
    <t>$Y$24 20</t>
  </si>
  <si>
    <t>END OF LOAD TEST
DECLARED COMMERCIAL</t>
  </si>
  <si>
    <t>$Y$21 20</t>
  </si>
  <si>
    <t>$Z$50 20</t>
  </si>
  <si>
    <t>$Z$19 20</t>
  </si>
  <si>
    <t>$AA$21 20</t>
  </si>
  <si>
    <t>$AB$24 20</t>
  </si>
  <si>
    <t>$F$15 21</t>
  </si>
  <si>
    <t>$G$62 21</t>
  </si>
  <si>
    <t>$G$63 21</t>
  </si>
  <si>
    <t>$H$28 21</t>
  </si>
  <si>
    <t>$J$62 21</t>
  </si>
  <si>
    <t>$J$64 21</t>
  </si>
  <si>
    <t>$K$62 21</t>
  </si>
  <si>
    <t>$K$64 21</t>
  </si>
  <si>
    <t>$L$48 21</t>
  </si>
  <si>
    <t>$L$51 21</t>
  </si>
  <si>
    <t>$L$56 21</t>
  </si>
  <si>
    <t>$L$27 21</t>
  </si>
  <si>
    <t>$L$15 21</t>
  </si>
  <si>
    <t>$L$14 21</t>
  </si>
  <si>
    <t>$M$63 21</t>
  </si>
  <si>
    <t>$M$64 21</t>
  </si>
  <si>
    <t>$M$47 21</t>
  </si>
  <si>
    <t>$N$78 21</t>
  </si>
  <si>
    <t>$N$79 21</t>
  </si>
  <si>
    <t>$N$21 21</t>
  </si>
  <si>
    <t>$N$50 21</t>
  </si>
  <si>
    <t>$N$14 21</t>
  </si>
  <si>
    <t>$O$19 21</t>
  </si>
  <si>
    <t>$O$56 21</t>
  </si>
  <si>
    <t>$O$51 21</t>
  </si>
  <si>
    <t>$P$47 21</t>
  </si>
  <si>
    <t>$P$24 21</t>
  </si>
  <si>
    <t>$Q$56 21</t>
  </si>
  <si>
    <t>$Q$50 21</t>
  </si>
  <si>
    <t>$Q$48 21</t>
  </si>
  <si>
    <t>$R$48 21</t>
  </si>
  <si>
    <t>$R$51 21</t>
  </si>
  <si>
    <t>$R$47 21</t>
  </si>
  <si>
    <t>$R$50 21</t>
  </si>
  <si>
    <t>$R$19 21</t>
  </si>
  <si>
    <t>$R$56 21</t>
  </si>
  <si>
    <t>$S$48 21</t>
  </si>
  <si>
    <t>$S$40 21</t>
  </si>
  <si>
    <t>$S$64 21</t>
  </si>
  <si>
    <t>$S$29 21</t>
  </si>
  <si>
    <t>$S$28 21</t>
  </si>
  <si>
    <t>$S$51 21</t>
  </si>
  <si>
    <t>$S$47 21</t>
  </si>
  <si>
    <t>$S$27 21</t>
  </si>
  <si>
    <t>$T$51 21</t>
  </si>
  <si>
    <t>$T$47 21</t>
  </si>
  <si>
    <t>$T$62 21</t>
  </si>
  <si>
    <t>$T$48 21</t>
  </si>
  <si>
    <t>$U$40 21</t>
  </si>
  <si>
    <t>$U$48 21</t>
  </si>
  <si>
    <t>$U$51 21</t>
  </si>
  <si>
    <t>$U$47 21</t>
  </si>
  <si>
    <t>$U$50 21</t>
  </si>
  <si>
    <t>$U$56 21</t>
  </si>
  <si>
    <t>$V$51 21</t>
  </si>
  <si>
    <t>$W$47 21</t>
  </si>
  <si>
    <t>$W$50 21</t>
  </si>
  <si>
    <t>$W$51 21</t>
  </si>
  <si>
    <t>$X$47 21</t>
  </si>
  <si>
    <t>$X$50 21</t>
  </si>
  <si>
    <t>$X$29 21</t>
  </si>
  <si>
    <t>$Y$62 21</t>
  </si>
  <si>
    <t>$Y$63 21</t>
  </si>
  <si>
    <t>$Y$79 21</t>
  </si>
  <si>
    <t>$Y$78 21</t>
  </si>
  <si>
    <t>$Z$19 21</t>
  </si>
  <si>
    <t>$AA$24 21</t>
  </si>
  <si>
    <t>$AB$50 21</t>
  </si>
  <si>
    <t>$AB$51 21</t>
  </si>
  <si>
    <t>$AB$56 21</t>
  </si>
  <si>
    <t>$AB$14 21</t>
  </si>
  <si>
    <t>$AC$50 21</t>
  </si>
  <si>
    <t>$AC$56 21</t>
  </si>
  <si>
    <t>$AC$51 21</t>
  </si>
  <si>
    <t>$G$28 22</t>
  </si>
  <si>
    <t>$I$14 22</t>
  </si>
  <si>
    <t>$J$15 22</t>
  </si>
  <si>
    <t>$L$47 22</t>
  </si>
  <si>
    <t>$L$27 22</t>
  </si>
  <si>
    <t>$L$50 22</t>
  </si>
  <si>
    <t>$M$78 22</t>
  </si>
  <si>
    <t>$M$79 22</t>
  </si>
  <si>
    <t>$G$63 22</t>
  </si>
  <si>
    <t>$G$64 22</t>
  </si>
  <si>
    <t>$M$64 22</t>
  </si>
  <si>
    <t>$M$62 22</t>
  </si>
  <si>
    <t>$M$56 22</t>
  </si>
  <si>
    <t>$M$50 22</t>
  </si>
  <si>
    <t>$N$51 22</t>
  </si>
  <si>
    <t>$N$47 22</t>
  </si>
  <si>
    <t>$N$50 22</t>
  </si>
  <si>
    <t>$N$15 22</t>
  </si>
  <si>
    <t>$N$56 22</t>
  </si>
  <si>
    <t>$O$48 22</t>
  </si>
  <si>
    <t>$O$19 22</t>
  </si>
  <si>
    <t>$O$51 22</t>
  </si>
  <si>
    <t>$O$47 22</t>
  </si>
  <si>
    <t>$O$50 22</t>
  </si>
  <si>
    <t>$O$24 22</t>
  </si>
  <si>
    <t>$O$56 22</t>
  </si>
  <si>
    <t>$P$51 22</t>
  </si>
  <si>
    <t>$P$47 22</t>
  </si>
  <si>
    <t>$P$50 22</t>
  </si>
  <si>
    <t>$P$56 22</t>
  </si>
  <si>
    <t>$P$48 22</t>
  </si>
  <si>
    <t>$Q$40 22</t>
  </si>
  <si>
    <t>$Q$29 22</t>
  </si>
  <si>
    <t>$Q$48 22</t>
  </si>
  <si>
    <t>$Q$51 22</t>
  </si>
  <si>
    <t>$R$51 22</t>
  </si>
  <si>
    <t>$R$28 22</t>
  </si>
  <si>
    <t>$S$27 22</t>
  </si>
  <si>
    <t>$S$62 22</t>
  </si>
  <si>
    <t>$S$63 22</t>
  </si>
  <si>
    <t>$T$48 22</t>
  </si>
  <si>
    <t>$T$40 22</t>
  </si>
  <si>
    <t>$W$40 22</t>
  </si>
  <si>
    <t>$W$48 22</t>
  </si>
  <si>
    <t>$X$51 22</t>
  </si>
  <si>
    <t>$X$29 22</t>
  </si>
  <si>
    <t>$X$48 22</t>
  </si>
  <si>
    <t>$Y$79 22</t>
  </si>
  <si>
    <t>$Y$78 22</t>
  </si>
  <si>
    <t>$Y$29 22</t>
  </si>
  <si>
    <t>$Y$48 22</t>
  </si>
  <si>
    <t>$Y$51 22</t>
  </si>
  <si>
    <t>$Y$47 22</t>
  </si>
  <si>
    <t>$Z$63 22</t>
  </si>
  <si>
    <t>$Z$64 22</t>
  </si>
  <si>
    <t>$Z$50 22</t>
  </si>
  <si>
    <t>$AA$56 22</t>
  </si>
  <si>
    <t>$AA$47 22</t>
  </si>
  <si>
    <t>$AA$50 22</t>
  </si>
  <si>
    <t>$AA$29 22</t>
  </si>
  <si>
    <t>$AB$24 22</t>
  </si>
  <si>
    <t>$AC$48 22</t>
  </si>
  <si>
    <t>$AC$19 22</t>
  </si>
  <si>
    <t>$G$15 23</t>
  </si>
  <si>
    <t>$I$15 23</t>
  </si>
  <si>
    <t>$I$14 23</t>
  </si>
  <si>
    <t>$M$27 23</t>
  </si>
  <si>
    <t>$M$28 23</t>
  </si>
  <si>
    <t>$M$14 23</t>
  </si>
  <si>
    <t>$N$48 23</t>
  </si>
  <si>
    <t>$N$51 23</t>
  </si>
  <si>
    <t>$N$50 23</t>
  </si>
  <si>
    <t>$N$56 23</t>
  </si>
  <si>
    <t>$N$14 23</t>
  </si>
  <si>
    <t>$O$40 23</t>
  </si>
  <si>
    <t>$O$47 23</t>
  </si>
  <si>
    <t>$O$19 23</t>
  </si>
  <si>
    <t>$H$64 23</t>
  </si>
  <si>
    <t>$H$62 23</t>
  </si>
  <si>
    <t>$M$62 23</t>
  </si>
  <si>
    <t>$M$63 23</t>
  </si>
  <si>
    <t>$O$78 23</t>
  </si>
  <si>
    <t>$O$79 23</t>
  </si>
  <si>
    <t>$O$50 23</t>
  </si>
  <si>
    <t>$O$56 23</t>
  </si>
  <si>
    <t>$O$48 23</t>
  </si>
  <si>
    <t>$O$51 23</t>
  </si>
  <si>
    <t>$O$24 23</t>
  </si>
  <si>
    <t>$P$48 23</t>
  </si>
  <si>
    <t>$P$51 23</t>
  </si>
  <si>
    <t>$P$56 23</t>
  </si>
  <si>
    <t>$Q$50 23</t>
  </si>
  <si>
    <t>$S$63 23</t>
  </si>
  <si>
    <t>$S$64 23</t>
  </si>
  <si>
    <t>$S$48 23</t>
  </si>
  <si>
    <t>$S$51 23</t>
  </si>
  <si>
    <t>$S$50 23</t>
  </si>
  <si>
    <t>$T$48 23</t>
  </si>
  <si>
    <t>$T$51 23</t>
  </si>
  <si>
    <t>$T$56 23</t>
  </si>
  <si>
    <t>$U$48 23</t>
  </si>
  <si>
    <t>$U$28 23</t>
  </si>
  <si>
    <t>$U$50 23</t>
  </si>
  <si>
    <t>$U$27 23</t>
  </si>
  <si>
    <t>$W$51 23</t>
  </si>
  <si>
    <t>$X$50 23</t>
  </si>
  <si>
    <t>$Y$64 23</t>
  </si>
  <si>
    <t>$Y$62 23</t>
  </si>
  <si>
    <t>$Y$79 23</t>
  </si>
  <si>
    <t>$Y$78 23</t>
  </si>
  <si>
    <t>$Y$47 23</t>
  </si>
  <si>
    <t>$Y$50 23</t>
  </si>
  <si>
    <t>$Y$56 23</t>
  </si>
  <si>
    <t>$Y$48 23</t>
  </si>
  <si>
    <t>$Z$47 23</t>
  </si>
  <si>
    <t>$Z$50 23</t>
  </si>
  <si>
    <t>$Z$56 23</t>
  </si>
  <si>
    <t>$Z$48 23</t>
  </si>
  <si>
    <t>Fuel leak at cylinder A1</t>
  </si>
  <si>
    <t>$AA$29 23</t>
  </si>
  <si>
    <t>$AA$19 23</t>
  </si>
  <si>
    <t>$AA$51 23</t>
  </si>
  <si>
    <t>$AB$51 23</t>
  </si>
  <si>
    <t>$AB$24 23</t>
  </si>
  <si>
    <t>$AB$47 23</t>
  </si>
  <si>
    <t>$AB$50 23</t>
  </si>
  <si>
    <t>$AC$29 23</t>
  </si>
  <si>
    <t>$G$62 24</t>
  </si>
  <si>
    <t>$G$63 24</t>
  </si>
  <si>
    <t>$H$15 24</t>
  </si>
  <si>
    <t>$K$15 24</t>
  </si>
  <si>
    <t>$K$16 24</t>
  </si>
  <si>
    <t>$M$63 24</t>
  </si>
  <si>
    <t>$M$64 24</t>
  </si>
  <si>
    <t>$M$27 24</t>
  </si>
  <si>
    <t>$M$28 24</t>
  </si>
  <si>
    <t>$N$78 24</t>
  </si>
  <si>
    <t>$N$79 24</t>
  </si>
  <si>
    <t>$N$16 24</t>
  </si>
  <si>
    <t>$N$50 24</t>
  </si>
  <si>
    <t>$N$56 24</t>
  </si>
  <si>
    <t>$O$48 24</t>
  </si>
  <si>
    <t>$O$51 24</t>
  </si>
  <si>
    <t>$O$47 24</t>
  </si>
  <si>
    <t>$O$19 24</t>
  </si>
  <si>
    <t>$P$50 24</t>
  </si>
  <si>
    <t>$P$56 24</t>
  </si>
  <si>
    <t>$P$48 24</t>
  </si>
  <si>
    <t>$P$24 24</t>
  </si>
  <si>
    <t>$P$47 24</t>
  </si>
  <si>
    <t>$P$51 24</t>
  </si>
  <si>
    <t>$R$50 24</t>
  </si>
  <si>
    <t>$R$56 24</t>
  </si>
  <si>
    <t>$S$48 24</t>
  </si>
  <si>
    <t>$S$64 24</t>
  </si>
  <si>
    <t>$S$62 24</t>
  </si>
  <si>
    <t>$S$51 24</t>
  </si>
  <si>
    <t>$T$56 24</t>
  </si>
  <si>
    <t>$T$28 24</t>
  </si>
  <si>
    <t>$T$27 24</t>
  </si>
  <si>
    <t>$U$48 24</t>
  </si>
  <si>
    <t>$V$47 24</t>
  </si>
  <si>
    <t>$V$50 24</t>
  </si>
  <si>
    <t>$W$56 24</t>
  </si>
  <si>
    <t>$W$51 24</t>
  </si>
  <si>
    <t>$X$48 24</t>
  </si>
  <si>
    <t>$X$51 24</t>
  </si>
  <si>
    <t>$X$47 24</t>
  </si>
  <si>
    <t>$Y$79 24</t>
  </si>
  <si>
    <t>$Y$78 24</t>
  </si>
  <si>
    <t>$Y$50 24</t>
  </si>
  <si>
    <t>$Y$62 24</t>
  </si>
  <si>
    <t>$Y$63 24</t>
  </si>
  <si>
    <t>$Y$48 24</t>
  </si>
  <si>
    <t>$Y$40 24</t>
  </si>
  <si>
    <t>$Z$51 24</t>
  </si>
  <si>
    <t>$Z$40 24</t>
  </si>
  <si>
    <t>$Z$47 24</t>
  </si>
  <si>
    <t>$Z$50 24</t>
  </si>
  <si>
    <t>$Y$56 24</t>
  </si>
  <si>
    <t>$Z$56 24</t>
  </si>
  <si>
    <t>$Z$48 24</t>
  </si>
  <si>
    <t>$AA$47 24</t>
  </si>
  <si>
    <t>$AA$48 24</t>
  </si>
  <si>
    <t>$AA$50 24</t>
  </si>
  <si>
    <t>$AA$51 24</t>
  </si>
  <si>
    <t>$AA$56 24</t>
  </si>
  <si>
    <t>$AA$40 24</t>
  </si>
  <si>
    <t>$AA$16 24</t>
  </si>
  <si>
    <t>change expansion tank</t>
  </si>
  <si>
    <t>$AB$40 24</t>
  </si>
  <si>
    <t>$AB$47 24</t>
  </si>
  <si>
    <t>$AB$50 24</t>
  </si>
  <si>
    <t>$AB$56 24</t>
  </si>
  <si>
    <t>$AB$48 24</t>
  </si>
  <si>
    <t>$AB$51 24</t>
  </si>
  <si>
    <t>$AC$47 24</t>
  </si>
  <si>
    <t>$AC$50 24</t>
  </si>
  <si>
    <t>$AC$19 24</t>
  </si>
  <si>
    <t>$F$24 25</t>
  </si>
  <si>
    <t>$G$63 25</t>
  </si>
  <si>
    <t>$G$64 25</t>
  </si>
  <si>
    <t>$H$28 25</t>
  </si>
  <si>
    <t>$L$56 25</t>
  </si>
  <si>
    <t>$L$50 25</t>
  </si>
  <si>
    <t>$M$50 25</t>
  </si>
  <si>
    <t>$M$19 25</t>
  </si>
  <si>
    <t>$M$56 25</t>
  </si>
  <si>
    <t>$M$27 25</t>
  </si>
  <si>
    <t>$N$16 25</t>
  </si>
  <si>
    <t>$N$56 25</t>
  </si>
  <si>
    <t>$N$51 25</t>
  </si>
  <si>
    <t>$N$48 25</t>
  </si>
  <si>
    <t>$N$47 25</t>
  </si>
  <si>
    <t>$O$50 25</t>
  </si>
  <si>
    <t>$O$56 25</t>
  </si>
  <si>
    <t>$O$48 25</t>
  </si>
  <si>
    <t>$O$24 25</t>
  </si>
  <si>
    <t>$O$51 25</t>
  </si>
  <si>
    <t>$O$47 25</t>
  </si>
  <si>
    <t>$P$56 25</t>
  </si>
  <si>
    <t>$P$50 25</t>
  </si>
  <si>
    <t>$P$48 25</t>
  </si>
  <si>
    <t>$P$51 25</t>
  </si>
  <si>
    <t>$P$29 25</t>
  </si>
  <si>
    <t>$M$78 25</t>
  </si>
  <si>
    <t>$M$79 25</t>
  </si>
  <si>
    <t>$M$64 25</t>
  </si>
  <si>
    <t>$M$62 25</t>
  </si>
  <si>
    <t>$Q$47 25</t>
  </si>
  <si>
    <t>$R$51 25</t>
  </si>
  <si>
    <t>$R$47 25</t>
  </si>
  <si>
    <t>$S$62 25</t>
  </si>
  <si>
    <t>$S$63 25</t>
  </si>
  <si>
    <t>$S$29 25</t>
  </si>
  <si>
    <t>$S$50 25</t>
  </si>
  <si>
    <t>$S$56 25</t>
  </si>
  <si>
    <t>$S$28 25</t>
  </si>
  <si>
    <t>$S$27 25</t>
  </si>
  <si>
    <t>$S$48 25</t>
  </si>
  <si>
    <t>$T$51 25</t>
  </si>
  <si>
    <t>$T$50 25</t>
  </si>
  <si>
    <t>$U$20 25</t>
  </si>
  <si>
    <t>$U$56 25</t>
  </si>
  <si>
    <t>$U$19 25</t>
  </si>
  <si>
    <t>$U$48 25</t>
  </si>
  <si>
    <t>$U$51 25</t>
  </si>
  <si>
    <t>$W$20 25</t>
  </si>
  <si>
    <t>$Y$79 25</t>
  </si>
  <si>
    <t>$Y$78 25</t>
  </si>
  <si>
    <t>$Y$63 25</t>
  </si>
  <si>
    <t>$Y$64 25</t>
  </si>
  <si>
    <t>$Z$20 25</t>
  </si>
  <si>
    <t>$AA$24 25</t>
  </si>
  <si>
    <t>$AC$14 25</t>
  </si>
  <si>
    <t>$F$28 26</t>
  </si>
  <si>
    <t>$H$64 26</t>
  </si>
  <si>
    <t>$H$62 26</t>
  </si>
  <si>
    <t>$I$14 26</t>
  </si>
  <si>
    <t>$I$15 26</t>
  </si>
  <si>
    <t>overcurrent</t>
  </si>
  <si>
    <t>$K$79 26</t>
  </si>
  <si>
    <t>$L$15 26</t>
  </si>
  <si>
    <t>$L$78 26</t>
  </si>
  <si>
    <t>$M$62 26</t>
  </si>
  <si>
    <t>$M$63 26</t>
  </si>
  <si>
    <t>$M$15 26</t>
  </si>
  <si>
    <t>$N$27 26</t>
  </si>
  <si>
    <t>$O$15 26</t>
  </si>
  <si>
    <t>$O$47 26</t>
  </si>
  <si>
    <t>$O$50 26</t>
  </si>
  <si>
    <t>$P$47 26</t>
  </si>
  <si>
    <t>$P$50 26</t>
  </si>
  <si>
    <t>$Q$56 26</t>
  </si>
  <si>
    <t>$Q$19 26</t>
  </si>
  <si>
    <t>$R$48 26</t>
  </si>
  <si>
    <t>$S$51 26</t>
  </si>
  <si>
    <t>$S$47 26</t>
  </si>
  <si>
    <t>$S$50 26</t>
  </si>
  <si>
    <t>$S$63 26</t>
  </si>
  <si>
    <t>$S$64 26</t>
  </si>
  <si>
    <t>$S$48 26</t>
  </si>
  <si>
    <t>$T$56 26</t>
  </si>
  <si>
    <t>$T$47 26</t>
  </si>
  <si>
    <t>$T$48 26</t>
  </si>
  <si>
    <t>$T$50 26</t>
  </si>
  <si>
    <t>$U$28 26</t>
  </si>
  <si>
    <t>$U$56 26</t>
  </si>
  <si>
    <t>$U$27 26</t>
  </si>
  <si>
    <t>$U$51 26</t>
  </si>
  <si>
    <t>$U$47 26</t>
  </si>
  <si>
    <t>$U$50 26</t>
  </si>
  <si>
    <t>$V$47 26</t>
  </si>
  <si>
    <t>$V$48 26</t>
  </si>
  <si>
    <t>$V$51 26</t>
  </si>
  <si>
    <t>$W$50 26</t>
  </si>
  <si>
    <t>$X$47 26</t>
  </si>
  <si>
    <t>$X$48 26</t>
  </si>
  <si>
    <t>$X$50 26</t>
  </si>
  <si>
    <t>$X$51 26</t>
  </si>
  <si>
    <t>$X$56 26</t>
  </si>
  <si>
    <t>$X$40 26</t>
  </si>
  <si>
    <t>$X$16 26</t>
  </si>
  <si>
    <t>Emergency unload due to fluctuation of starting air inlet pressure</t>
  </si>
  <si>
    <t>$X$24 26</t>
  </si>
  <si>
    <t>$X$19 26</t>
  </si>
  <si>
    <t>Emergency unload due high EGT at cylinder No. 1</t>
  </si>
  <si>
    <t>$Y$29 26</t>
  </si>
  <si>
    <t>$Y$16 26</t>
  </si>
  <si>
    <t>$Y$56 26</t>
  </si>
  <si>
    <t>$Y$47 26</t>
  </si>
  <si>
    <t>$Y$50 26</t>
  </si>
  <si>
    <t>$Y$79 26</t>
  </si>
  <si>
    <t>$Y$78 26</t>
  </si>
  <si>
    <t>$Y$64 26</t>
  </si>
  <si>
    <t>$Y$62 26</t>
  </si>
  <si>
    <t>$Z$48 26</t>
  </si>
  <si>
    <t>$Z$40 26</t>
  </si>
  <si>
    <t>$Z$51 26</t>
  </si>
  <si>
    <t>$AA$29 26</t>
  </si>
  <si>
    <t>$AB$24 26</t>
  </si>
  <si>
    <t>$F$47 27</t>
  </si>
  <si>
    <t>$F$50 27</t>
  </si>
  <si>
    <t>$F$15 27</t>
  </si>
  <si>
    <t>$F$19 27</t>
  </si>
  <si>
    <t>$G$62 27</t>
  </si>
  <si>
    <t>$G$63 27</t>
  </si>
  <si>
    <t>$G$28 27</t>
  </si>
  <si>
    <t>$L$63 27</t>
  </si>
  <si>
    <t>$L$64 27</t>
  </si>
  <si>
    <t>$M$78 27</t>
  </si>
  <si>
    <t>$M$79 27</t>
  </si>
  <si>
    <t>$M$15 27</t>
  </si>
  <si>
    <t>$O$50 27</t>
  </si>
  <si>
    <t>$O$47 27</t>
  </si>
  <si>
    <t>$O$56 27</t>
  </si>
  <si>
    <t>$O$27 27</t>
  </si>
  <si>
    <t>$O$24 27</t>
  </si>
  <si>
    <t>$P$48 27</t>
  </si>
  <si>
    <t>$P$51 27</t>
  </si>
  <si>
    <t>$P$20 27</t>
  </si>
  <si>
    <t>$Q$15 27</t>
  </si>
  <si>
    <t>$Q$48 27</t>
  </si>
  <si>
    <t>$Q$51 27</t>
  </si>
  <si>
    <t>$R$15 27</t>
  </si>
  <si>
    <t>$R$20 27</t>
  </si>
  <si>
    <t>$S$64 27</t>
  </si>
  <si>
    <t>$S$62 27</t>
  </si>
  <si>
    <t>$U$28 27</t>
  </si>
  <si>
    <t>$U$27 27</t>
  </si>
  <si>
    <t>$Y$79 27</t>
  </si>
  <si>
    <t>$Y$78 27</t>
  </si>
  <si>
    <t>$Y$62 27</t>
  </si>
  <si>
    <t>$Y$63 27</t>
  </si>
  <si>
    <t>$Y$47 27</t>
  </si>
  <si>
    <t>$Y$50 27</t>
  </si>
  <si>
    <t>$Y$56 27</t>
  </si>
  <si>
    <t>$Y$20 27</t>
  </si>
  <si>
    <t>$Z$48 27</t>
  </si>
  <si>
    <t>$Z$63 27</t>
  </si>
  <si>
    <t>$Z$50 27</t>
  </si>
  <si>
    <t>$Z$56 27</t>
  </si>
  <si>
    <t>$AB$24 27</t>
  </si>
  <si>
    <t>$AC$63 27</t>
  </si>
  <si>
    <t>$AC$20 27</t>
  </si>
  <si>
    <t>$F$27 28</t>
  </si>
  <si>
    <t>$F$30 28</t>
  </si>
  <si>
    <t>$G$15 28</t>
  </si>
  <si>
    <t>$J$15 28</t>
  </si>
  <si>
    <t>HIGH EGT @ CYL B3</t>
  </si>
  <si>
    <t>$K$15 28</t>
  </si>
  <si>
    <t>$L$51 28</t>
  </si>
  <si>
    <t>$L$15 28</t>
  </si>
  <si>
    <t>$L$47 28</t>
  </si>
  <si>
    <t>$L$30 28</t>
  </si>
  <si>
    <t>$L$50 28</t>
  </si>
  <si>
    <t>$L$20 28</t>
  </si>
  <si>
    <t>$L$56 28</t>
  </si>
  <si>
    <t>$L$48 28</t>
  </si>
  <si>
    <t>$M$30 28</t>
  </si>
  <si>
    <t>$M$51 28</t>
  </si>
  <si>
    <t>$M$47 28</t>
  </si>
  <si>
    <t>$M$24 28</t>
  </si>
  <si>
    <t>$M$50 28</t>
  </si>
  <si>
    <t>$M$56 28</t>
  </si>
  <si>
    <t>$M$48 28</t>
  </si>
  <si>
    <t>$M$15 28</t>
  </si>
  <si>
    <t>$N$27 28</t>
  </si>
  <si>
    <t>$N$16 28</t>
  </si>
  <si>
    <t>$N$30 28</t>
  </si>
  <si>
    <t>$N$15 28</t>
  </si>
  <si>
    <t>$O$47 28</t>
  </si>
  <si>
    <t>$O$51 28</t>
  </si>
  <si>
    <t>$O$50 28</t>
  </si>
  <si>
    <t>$O$16 28</t>
  </si>
  <si>
    <t>$O$56 28</t>
  </si>
  <si>
    <t>$O$78 28</t>
  </si>
  <si>
    <t>$O$79 28</t>
  </si>
  <si>
    <t>$O$48 28</t>
  </si>
  <si>
    <t>$O$40 28</t>
  </si>
  <si>
    <t>$P$51 28</t>
  </si>
  <si>
    <t>$P$47 28</t>
  </si>
  <si>
    <t>$H$63 28</t>
  </si>
  <si>
    <t>$H$64 28</t>
  </si>
  <si>
    <t>$P$29 28</t>
  </si>
  <si>
    <t>$P$50 28</t>
  </si>
  <si>
    <t>$P$56 28</t>
  </si>
  <si>
    <t>$Q$64 28</t>
  </si>
  <si>
    <t>$Q$62 28</t>
  </si>
  <si>
    <t>$Q$56 28</t>
  </si>
  <si>
    <t>$Q$40 28</t>
  </si>
  <si>
    <t>$R$62 28</t>
  </si>
  <si>
    <t>$T$20 28</t>
  </si>
  <si>
    <t>$W$40 28</t>
  </si>
  <si>
    <t>$W$62 28</t>
  </si>
  <si>
    <t>$W$48 28</t>
  </si>
  <si>
    <t>$X$51 28</t>
  </si>
  <si>
    <t>$X$47 28</t>
  </si>
  <si>
    <t>$X$50 28</t>
  </si>
  <si>
    <t>$X$56 28</t>
  </si>
  <si>
    <t>$Y$79 28</t>
  </si>
  <si>
    <t>$Y$78 28</t>
  </si>
  <si>
    <t>$Y$51 28</t>
  </si>
  <si>
    <t>$Y$48 28</t>
  </si>
  <si>
    <t>$Y$47 28</t>
  </si>
  <si>
    <t>$Y$62 28</t>
  </si>
  <si>
    <t>$Z$48 28</t>
  </si>
  <si>
    <t>$Z$51 28</t>
  </si>
  <si>
    <t>$Z$47 28</t>
  </si>
  <si>
    <t>$AB$29 28</t>
  </si>
  <si>
    <t>$AB$50 28</t>
  </si>
  <si>
    <t>$AB$24 28</t>
  </si>
  <si>
    <t>$AC$63 28</t>
  </si>
  <si>
    <t>$AC$50 28</t>
  </si>
  <si>
    <t>$AC$20 28</t>
  </si>
  <si>
    <t>$F$50 29</t>
  </si>
  <si>
    <t>$F$56 29</t>
  </si>
  <si>
    <t>$F$48 29</t>
  </si>
  <si>
    <t>$F$51 29</t>
  </si>
  <si>
    <t>$F$47 29</t>
  </si>
  <si>
    <t>$F$14 29</t>
  </si>
  <si>
    <t>$G$50 29</t>
  </si>
  <si>
    <t>$G$56 29</t>
  </si>
  <si>
    <t>$I$14 29</t>
  </si>
  <si>
    <t>$J$16 29</t>
  </si>
  <si>
    <t>$J$28 29</t>
  </si>
  <si>
    <t>$K$63 29</t>
  </si>
  <si>
    <t>$K$64 29</t>
  </si>
  <si>
    <t>$L$47 29</t>
  </si>
  <si>
    <t>$L$27 29</t>
  </si>
  <si>
    <t>$L$50 29</t>
  </si>
  <si>
    <t>$L$48 29</t>
  </si>
  <si>
    <t>$M$78 29</t>
  </si>
  <si>
    <t>$M$79 29</t>
  </si>
  <si>
    <t>$M$51 29</t>
  </si>
  <si>
    <t>$M$50 29</t>
  </si>
  <si>
    <t>$M$48 29</t>
  </si>
  <si>
    <t>$N$16 29</t>
  </si>
  <si>
    <t>$N$50 29</t>
  </si>
  <si>
    <t>$N$56 29</t>
  </si>
  <si>
    <t>$N$48 29</t>
  </si>
  <si>
    <t>$N$51 29</t>
  </si>
  <si>
    <t>$O$50 29</t>
  </si>
  <si>
    <t>$O$56 29</t>
  </si>
  <si>
    <t>$O$20 29</t>
  </si>
  <si>
    <t>$O$48 29</t>
  </si>
  <si>
    <t>$O$51 29</t>
  </si>
  <si>
    <t>$O$24 29</t>
  </si>
  <si>
    <t>$P$56 29</t>
  </si>
  <si>
    <t>$P$48 29</t>
  </si>
  <si>
    <t>$P$51 29</t>
  </si>
  <si>
    <t>$P$50 29</t>
  </si>
  <si>
    <t>$P$47 29</t>
  </si>
  <si>
    <t>$P$29 29</t>
  </si>
  <si>
    <t>$R$64 29</t>
  </si>
  <si>
    <t>$R$28 29</t>
  </si>
  <si>
    <t>$R$27 29</t>
  </si>
  <si>
    <t>$T$56 29</t>
  </si>
  <si>
    <t>$T$48 29</t>
  </si>
  <si>
    <t>$U$40 29</t>
  </si>
  <si>
    <t>$W$62 29</t>
  </si>
  <si>
    <t>$W$40 29</t>
  </si>
  <si>
    <t>$W$51 29</t>
  </si>
  <si>
    <t>$W$47 29</t>
  </si>
  <si>
    <t>$W$50 29</t>
  </si>
  <si>
    <t>$X$56 29</t>
  </si>
  <si>
    <t>$X$48 29</t>
  </si>
  <si>
    <t>$Y$79 29</t>
  </si>
  <si>
    <t>$Y$78 29</t>
  </si>
  <si>
    <t>$Y$62 29</t>
  </si>
  <si>
    <t>$AA$15 29</t>
  </si>
  <si>
    <t>$AA$47 29</t>
  </si>
  <si>
    <t>$AA$48 29</t>
  </si>
  <si>
    <t>$AA$51 29</t>
  </si>
  <si>
    <t>$AB$62 29</t>
  </si>
  <si>
    <t>$AC$29 29</t>
  </si>
  <si>
    <t>$F$24 30</t>
  </si>
  <si>
    <t>$G$20 30</t>
  </si>
  <si>
    <t>$I$62 30</t>
  </si>
  <si>
    <t>$I$63 30</t>
  </si>
  <si>
    <t>$J$28 30</t>
  </si>
  <si>
    <t>$K$56 30</t>
  </si>
  <si>
    <t>$L$56 30</t>
  </si>
  <si>
    <t>$L$50 30</t>
  </si>
  <si>
    <t>A/T vector jump</t>
  </si>
  <si>
    <t>$L$48 30</t>
  </si>
  <si>
    <t>$L$27 30</t>
  </si>
  <si>
    <t>$M$50 30</t>
  </si>
  <si>
    <t>$M$56 30</t>
  </si>
  <si>
    <t>$M$48 30</t>
  </si>
  <si>
    <t>$N$51 30</t>
  </si>
  <si>
    <t>$N$20 30</t>
  </si>
  <si>
    <t>$N$24 30</t>
  </si>
  <si>
    <t>$O$50 30</t>
  </si>
  <si>
    <t>$O$56 30</t>
  </si>
  <si>
    <t>$O$48 30</t>
  </si>
  <si>
    <t>$O$29 30</t>
  </si>
  <si>
    <t>$P$47 30</t>
  </si>
  <si>
    <t>$P$40 30</t>
  </si>
  <si>
    <t>$P$28 30</t>
  </si>
  <si>
    <t>$P$51 30</t>
  </si>
  <si>
    <t>$O$64 30</t>
  </si>
  <si>
    <t>$O$63 30</t>
  </si>
  <si>
    <t>$Q$64 30</t>
  </si>
  <si>
    <t>$R$42 30</t>
  </si>
  <si>
    <t>$S$15 30</t>
  </si>
  <si>
    <t>$T$42 30</t>
  </si>
  <si>
    <t>$T$16 30</t>
  </si>
  <si>
    <t>$U$19 30</t>
  </si>
  <si>
    <t>$U$16 30</t>
  </si>
  <si>
    <t>$V$19 30</t>
  </si>
  <si>
    <t>1601H, Declared Commercial</t>
  </si>
  <si>
    <t>$W$16 30</t>
  </si>
  <si>
    <t>$W$64 30</t>
  </si>
  <si>
    <t>$X$27 30</t>
  </si>
  <si>
    <t>$X$40 30</t>
  </si>
  <si>
    <t>$X$47 30</t>
  </si>
  <si>
    <t>$X$50 30</t>
  </si>
  <si>
    <t>$X$56 30</t>
  </si>
  <si>
    <t>$X$48 30</t>
  </si>
  <si>
    <t>$X$51 30</t>
  </si>
  <si>
    <t>$O$78 30</t>
  </si>
  <si>
    <t>$O$79 30</t>
  </si>
  <si>
    <t>$Y$79 30</t>
  </si>
  <si>
    <t>$Y$78 30</t>
  </si>
  <si>
    <t>$Z$64 30</t>
  </si>
  <si>
    <t>$AA$47 30</t>
  </si>
  <si>
    <t>$AB$62 30</t>
  </si>
  <si>
    <t>$AB$29 30</t>
  </si>
  <si>
    <t>$AB$24 30</t>
  </si>
  <si>
    <t>$AC$19 30</t>
  </si>
  <si>
    <t>$AC$20 30</t>
  </si>
  <si>
    <t>$G$14 31</t>
  </si>
  <si>
    <t>$G$50 31</t>
  </si>
  <si>
    <t>$G$56 31</t>
  </si>
  <si>
    <t>$I$14 31</t>
  </si>
  <si>
    <t>$I$16 31</t>
  </si>
  <si>
    <t>$K$62 31</t>
  </si>
  <si>
    <t>$K$63 31</t>
  </si>
  <si>
    <t>$L$78 31</t>
  </si>
  <si>
    <t>$L$79 31</t>
  </si>
  <si>
    <t>$L$51 31</t>
  </si>
  <si>
    <t>$L$48 31</t>
  </si>
  <si>
    <t>$L$56 31</t>
  </si>
  <si>
    <t>$L$50 31</t>
  </si>
  <si>
    <t>$L$47 31</t>
  </si>
  <si>
    <t>$M$50 31</t>
  </si>
  <si>
    <t>$M$27 31</t>
  </si>
  <si>
    <t>$M$48 31</t>
  </si>
  <si>
    <t>$M$28 31</t>
  </si>
  <si>
    <t>$M$51 31</t>
  </si>
  <si>
    <t>$M$56 31</t>
  </si>
  <si>
    <t>$N$16 31</t>
  </si>
  <si>
    <t>$N$50 31</t>
  </si>
  <si>
    <t>$N$56 31</t>
  </si>
  <si>
    <t>$P$48 31</t>
  </si>
  <si>
    <t>$P$51 31</t>
  </si>
  <si>
    <t>$P$50 31</t>
  </si>
  <si>
    <t>$P$56 31</t>
  </si>
  <si>
    <t>$P$47 31</t>
  </si>
  <si>
    <t>$O$19 31</t>
  </si>
  <si>
    <t>$O$20 31</t>
  </si>
  <si>
    <t>$O$48 31</t>
  </si>
  <si>
    <t>$P$24 31</t>
  </si>
  <si>
    <t>$P$40 31</t>
  </si>
  <si>
    <t>$P$29 31</t>
  </si>
  <si>
    <t>$Q$48 31</t>
  </si>
  <si>
    <t>$Q$47 31</t>
  </si>
  <si>
    <t>$Q$50 31</t>
  </si>
  <si>
    <t>$Q$63 31</t>
  </si>
  <si>
    <t>$Q$56 31</t>
  </si>
  <si>
    <t>$R$48 31</t>
  </si>
  <si>
    <t>$S$51 31</t>
  </si>
  <si>
    <t>$S$48 31</t>
  </si>
  <si>
    <t>$T$40 31</t>
  </si>
  <si>
    <t>$U$28 31</t>
  </si>
  <si>
    <t>$U$27 31</t>
  </si>
  <si>
    <t>$W$40 31</t>
  </si>
  <si>
    <t>$W$47 31</t>
  </si>
  <si>
    <t>$X$50 31</t>
  </si>
  <si>
    <t>$X$56 31</t>
  </si>
  <si>
    <t>$X$48 31</t>
  </si>
  <si>
    <t>$X$51 31</t>
  </si>
  <si>
    <t>$Y$79 31</t>
  </si>
  <si>
    <t>$Y$78 31</t>
  </si>
  <si>
    <t>$Z$78 31</t>
  </si>
  <si>
    <t>$AB$29 31</t>
  </si>
  <si>
    <t>$AB$24 31</t>
  </si>
  <si>
    <t>$W$64 31</t>
  </si>
  <si>
    <t>$Z$64 31</t>
  </si>
  <si>
    <t>$AB$64 31</t>
  </si>
  <si>
    <t>$AC$19 31</t>
  </si>
  <si>
    <t>$AC$47 31</t>
  </si>
  <si>
    <t>DELTA P 69kV</t>
  </si>
  <si>
    <t>DELTA P 13.8kV</t>
  </si>
  <si>
    <t>DMCI</t>
  </si>
  <si>
    <t>MAN TOTAL</t>
  </si>
  <si>
    <t>RATIO</t>
  </si>
  <si>
    <t xml:space="preserve">DATE </t>
  </si>
  <si>
    <t>PUERTO</t>
  </si>
  <si>
    <t>THERMAL</t>
  </si>
  <si>
    <t>ABORLAN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</si>
  <si>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</si>
  <si>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</si>
  <si>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</si>
  <si>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</si>
  <si>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</si>
  <si>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</si>
  <si>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</si>
  <si>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</si>
  <si>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</si>
  <si>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</si>
  <si>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</si>
  <si>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</si>
  <si>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</si>
  <si>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</si>
  <si>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</si>
  <si>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</si>
  <si>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</si>
  <si>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</si>
  <si>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</si>
  <si>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</si>
  <si>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</si>
  <si>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</si>
  <si>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</si>
  <si>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</si>
  <si>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</si>
  <si>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</si>
  <si>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</si>
  <si>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</si>
  <si>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</si>
  <si>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</si>
  <si>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</si>
  <si>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</si>
  <si>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</si>
  <si>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</si>
  <si>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</si>
  <si>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</si>
  <si>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</si>
  <si>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</si>
  <si>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</si>
  <si>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</si>
  <si>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</si>
  <si>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</si>
  <si>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</si>
  <si>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</si>
  <si>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</si>
  <si>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</si>
  <si>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</si>
  <si>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</si>
  <si>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</si>
  <si>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</si>
  <si>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</si>
  <si>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</si>
  <si>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</si>
  <si>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</si>
  <si>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</si>
  <si>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</si>
  <si>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</si>
  <si>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</si>
  <si>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</si>
  <si>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</si>
  <si>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</si>
  <si>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</si>
  <si>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</si>
  <si>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</si>
  <si>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</si>
  <si>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</si>
  <si>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</si>
  <si>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</si>
  <si>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</si>
  <si>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DMCI MAN (13.8kV)</t>
  </si>
  <si>
    <t>Unit No.</t>
  </si>
  <si>
    <t>DG2</t>
  </si>
  <si>
    <t>DG1</t>
  </si>
  <si>
    <t>1125H load test</t>
  </si>
  <si>
    <t>DG3</t>
  </si>
  <si>
    <t>1402H</t>
  </si>
  <si>
    <t>1948H</t>
  </si>
  <si>
    <t>DG4</t>
  </si>
  <si>
    <t>1813H</t>
  </si>
  <si>
    <t>2145H</t>
  </si>
  <si>
    <t>1555H</t>
  </si>
  <si>
    <t>2259H</t>
  </si>
  <si>
    <t>2236H</t>
  </si>
  <si>
    <t>2349H</t>
  </si>
  <si>
    <t>2359H</t>
  </si>
  <si>
    <t>2255H</t>
  </si>
  <si>
    <t>TOTAL Remaining HR</t>
  </si>
  <si>
    <t>LOW EGT IN CYLINDER A-1</t>
  </si>
  <si>
    <t>1755H</t>
  </si>
  <si>
    <t>2144H</t>
  </si>
  <si>
    <t>2227H</t>
  </si>
  <si>
    <t>1327H</t>
  </si>
  <si>
    <t>2138H</t>
  </si>
  <si>
    <t>RECTIFY LOW &amp; HIGH EGT</t>
  </si>
  <si>
    <t>1918H</t>
  </si>
  <si>
    <t>INSPECTION OF MAIN BEARINGS W/ HIGH TEMP IND.</t>
  </si>
  <si>
    <t>requested to unload for fuel &amp; LO filter replacement  and LO sweetening</t>
  </si>
  <si>
    <t>1955H</t>
  </si>
  <si>
    <t>DETACHED PYROPIPE</t>
  </si>
  <si>
    <t>communication failure bet.WOIS and PLC. Suspected problem on CPU of CFC011</t>
  </si>
  <si>
    <t>1910H</t>
  </si>
  <si>
    <t>1926H</t>
  </si>
  <si>
    <t>DG1 declared commercial at 1910h</t>
  </si>
  <si>
    <t>1004H</t>
  </si>
  <si>
    <t>1753H</t>
  </si>
  <si>
    <t>1043H</t>
  </si>
  <si>
    <t>2048H</t>
  </si>
  <si>
    <t>With turbine Wash for 30min</t>
  </si>
  <si>
    <t>CMS (Sensor Failure lube oil inlet temperature)</t>
  </si>
  <si>
    <t>1437H</t>
  </si>
  <si>
    <t>1808H</t>
  </si>
  <si>
    <t>1224H</t>
  </si>
  <si>
    <t>Loadtest started at 0657H</t>
  </si>
  <si>
    <t>2139H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</si>
  <si>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</si>
  <si>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</si>
  <si>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</si>
  <si>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</si>
  <si>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</si>
  <si>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</si>
  <si>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</si>
  <si>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</si>
  <si>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</si>
  <si>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MAX</t>
  </si>
  <si>
    <t>DEMAND</t>
  </si>
  <si>
    <t>ABORLAN1</t>
  </si>
  <si>
    <t>ABORLAN2</t>
  </si>
  <si>
    <t>DEP CAP</t>
  </si>
  <si>
    <t>LACK OF SUPPLY DUE TO HIGH DEMAND AND LOW COST</t>
  </si>
  <si>
    <t>2311H</t>
  </si>
  <si>
    <t>2114H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</si>
  <si>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</si>
  <si>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</si>
  <si>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</si>
  <si>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</si>
  <si>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</si>
  <si>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</si>
  <si>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</si>
  <si>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</si>
  <si>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DMCI IRAWAN_CAT 41</t>
  </si>
  <si>
    <t>DMCI IRAWAN_34</t>
  </si>
  <si>
    <t>DMCI IRAWAN_36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</si>
  <si>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</si>
  <si>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</si>
  <si>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</si>
  <si>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</si>
  <si>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</si>
  <si>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</si>
  <si>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</si>
  <si>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</si>
  <si>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</si>
  <si>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</si>
  <si>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</si>
  <si>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</si>
  <si>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</si>
  <si>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</si>
  <si>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</si>
  <si>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</si>
  <si>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</si>
  <si>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</si>
  <si>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</si>
  <si>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</si>
  <si>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</si>
  <si>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 xml:space="preserve">DMCI IRAWAN </t>
  </si>
  <si>
    <t xml:space="preserve">PPGI U3 </t>
  </si>
  <si>
    <t>PPGI U4</t>
  </si>
  <si>
    <t>TOTAL SUPPLY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</si>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</sst>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sz val="12"/>
      <color rgb="FF111111"/>
      <name val="Arial"/>
      <family val="2"/>
    </font>
    <font>
      <b/>
      <sz val="12"/>
      <color rgb="FF00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A9D08E"/>
        <bgColor rgb="FF000000"/>
      </patternFill>
    </fill>
  </fills>
  <borders count="1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90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1" fontId="40" fillId="8" borderId="0" xfId="0" applyNumberFormat="1" applyFont="1" applyFill="1" applyAlignment="1">
      <alignment horizontal="center"/>
    </xf>
    <xf numFmtId="2" fontId="69" fillId="16" borderId="61" xfId="0" applyNumberFormat="1" applyFont="1" applyFill="1" applyBorder="1" applyAlignment="1">
      <alignment horizontal="center" vertical="center" wrapText="1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0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172" fontId="7" fillId="8" borderId="0" xfId="0" applyNumberFormat="1" applyFont="1" applyFill="1" applyAlignment="1">
      <alignment horizontal="center" vertical="center"/>
    </xf>
    <xf numFmtId="0" fontId="0" fillId="18" borderId="95" xfId="0" applyFill="1" applyBorder="1" applyAlignment="1">
      <alignment horizontal="center" vertical="center"/>
    </xf>
    <xf numFmtId="0" fontId="0" fillId="18" borderId="96" xfId="0" applyFill="1" applyBorder="1" applyAlignment="1">
      <alignment horizontal="center" vertical="center"/>
    </xf>
    <xf numFmtId="164" fontId="64" fillId="22" borderId="96" xfId="1" applyFont="1" applyFill="1" applyBorder="1" applyAlignment="1">
      <alignment horizontal="center" vertical="center"/>
    </xf>
    <xf numFmtId="164" fontId="44" fillId="18" borderId="96" xfId="1" applyFont="1" applyFill="1" applyBorder="1" applyAlignment="1">
      <alignment horizontal="center" vertical="center"/>
    </xf>
    <xf numFmtId="164" fontId="44" fillId="22" borderId="96" xfId="1" applyFont="1" applyFill="1" applyBorder="1" applyAlignment="1">
      <alignment horizontal="center" vertical="center"/>
    </xf>
    <xf numFmtId="164" fontId="44" fillId="8" borderId="96" xfId="1" applyFont="1" applyFill="1" applyBorder="1" applyAlignment="1">
      <alignment horizontal="center" vertical="center"/>
    </xf>
    <xf numFmtId="168" fontId="0" fillId="18" borderId="96" xfId="0" applyNumberFormat="1" applyFill="1" applyBorder="1" applyAlignment="1">
      <alignment horizontal="center" vertical="center"/>
    </xf>
    <xf numFmtId="0" fontId="64" fillId="18" borderId="96" xfId="1" applyNumberFormat="1" applyFont="1" applyFill="1" applyBorder="1" applyAlignment="1">
      <alignment horizontal="center" vertical="center"/>
    </xf>
    <xf numFmtId="0" fontId="44" fillId="18" borderId="96" xfId="1" applyNumberFormat="1" applyFont="1" applyFill="1" applyBorder="1" applyAlignment="1">
      <alignment horizontal="center" vertical="center"/>
    </xf>
    <xf numFmtId="175" fontId="44" fillId="18" borderId="96" xfId="0" applyNumberFormat="1" applyFont="1" applyFill="1" applyBorder="1" applyAlignment="1">
      <alignment horizontal="center" vertical="center"/>
    </xf>
    <xf numFmtId="164" fontId="64" fillId="18" borderId="96" xfId="0" applyNumberFormat="1" applyFont="1" applyFill="1" applyBorder="1" applyAlignment="1">
      <alignment horizontal="center" vertical="center"/>
    </xf>
    <xf numFmtId="164" fontId="64" fillId="18" borderId="97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2" fontId="9" fillId="7" borderId="2" xfId="0" quotePrefix="1" applyNumberFormat="1" applyFont="1" applyFill="1" applyBorder="1" applyAlignment="1">
      <alignment horizontal="center" vertical="center"/>
    </xf>
    <xf numFmtId="14" fontId="7" fillId="0" borderId="2" xfId="0" applyNumberFormat="1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wrapText="1"/>
    </xf>
    <xf numFmtId="0" fontId="0" fillId="6" borderId="0" xfId="0" applyFill="1"/>
    <xf numFmtId="0" fontId="3" fillId="26" borderId="0" xfId="3" applyFont="1" applyFill="1" applyAlignment="1">
      <alignment vertical="center"/>
    </xf>
    <xf numFmtId="0" fontId="5" fillId="27" borderId="0" xfId="3" applyFont="1" applyFill="1" applyAlignment="1">
      <alignment vertical="center"/>
    </xf>
    <xf numFmtId="0" fontId="71" fillId="0" borderId="0" xfId="3" applyFont="1" applyAlignment="1">
      <alignment vertical="center"/>
    </xf>
    <xf numFmtId="46" fontId="52" fillId="0" borderId="2" xfId="0" applyNumberFormat="1" applyFont="1" applyBorder="1" applyAlignment="1">
      <alignment horizontal="center" vertical="center"/>
    </xf>
    <xf numFmtId="172" fontId="52" fillId="8" borderId="2" xfId="0" applyNumberFormat="1" applyFont="1" applyFill="1" applyBorder="1" applyAlignment="1">
      <alignment horizontal="center" vertical="center"/>
    </xf>
    <xf numFmtId="0" fontId="52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172" fontId="7" fillId="8" borderId="2" xfId="0" applyNumberFormat="1" applyFont="1" applyFill="1" applyBorder="1" applyAlignment="1">
      <alignment horizontal="center" vertical="center"/>
    </xf>
    <xf numFmtId="20" fontId="7" fillId="8" borderId="2" xfId="0" applyNumberFormat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4" fontId="7" fillId="8" borderId="2" xfId="0" applyNumberFormat="1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/>
    </xf>
    <xf numFmtId="172" fontId="52" fillId="0" borderId="2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172" fontId="7" fillId="0" borderId="3" xfId="0" applyNumberFormat="1" applyFont="1" applyBorder="1" applyAlignment="1">
      <alignment horizontal="center" vertical="center"/>
    </xf>
    <xf numFmtId="172" fontId="7" fillId="0" borderId="15" xfId="0" applyNumberFormat="1" applyFont="1" applyBorder="1" applyAlignment="1">
      <alignment horizontal="center" vertical="center"/>
    </xf>
    <xf numFmtId="20" fontId="7" fillId="0" borderId="15" xfId="0" applyNumberFormat="1" applyFont="1" applyBorder="1" applyAlignment="1">
      <alignment horizontal="center" vertical="center"/>
    </xf>
    <xf numFmtId="172" fontId="7" fillId="0" borderId="5" xfId="0" applyNumberFormat="1" applyFont="1" applyBorder="1" applyAlignment="1">
      <alignment horizontal="center" vertical="center"/>
    </xf>
    <xf numFmtId="0" fontId="7" fillId="0" borderId="15" xfId="0" applyFont="1" applyBorder="1" applyAlignment="1">
      <alignment horizontal="center"/>
    </xf>
    <xf numFmtId="172" fontId="7" fillId="8" borderId="14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172" fontId="7" fillId="8" borderId="2" xfId="0" applyNumberFormat="1" applyFont="1" applyFill="1" applyBorder="1" applyAlignment="1">
      <alignment horizontal="center"/>
    </xf>
    <xf numFmtId="2" fontId="36" fillId="2" borderId="2" xfId="0" applyNumberFormat="1" applyFont="1" applyFill="1" applyBorder="1" applyAlignment="1">
      <alignment horizontal="center" vertical="center"/>
    </xf>
    <xf numFmtId="2" fontId="39" fillId="2" borderId="5" xfId="0" applyNumberFormat="1" applyFont="1" applyFill="1" applyBorder="1" applyAlignment="1">
      <alignment horizontal="center" vertical="center"/>
    </xf>
    <xf numFmtId="0" fontId="16" fillId="2" borderId="0" xfId="0" applyFont="1" applyFill="1"/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36" xfId="0" applyNumberFormat="1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89" xfId="0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2" fontId="7" fillId="0" borderId="63" xfId="0" applyNumberFormat="1" applyFont="1" applyBorder="1" applyAlignment="1">
      <alignment horizontal="center"/>
    </xf>
    <xf numFmtId="2" fontId="7" fillId="28" borderId="18" xfId="0" applyNumberFormat="1" applyFont="1" applyFill="1" applyBorder="1" applyAlignment="1">
      <alignment horizontal="center"/>
    </xf>
    <xf numFmtId="2" fontId="7" fillId="0" borderId="94" xfId="0" applyNumberFormat="1" applyFont="1" applyBorder="1" applyAlignment="1">
      <alignment horizontal="center"/>
    </xf>
    <xf numFmtId="2" fontId="7" fillId="28" borderId="60" xfId="0" applyNumberFormat="1" applyFont="1" applyFill="1" applyBorder="1" applyAlignment="1">
      <alignment horizontal="center"/>
    </xf>
    <xf numFmtId="164" fontId="7" fillId="11" borderId="18" xfId="1" applyFont="1" applyFill="1" applyBorder="1" applyAlignment="1">
      <alignment horizontal="center"/>
    </xf>
    <xf numFmtId="164" fontId="7" fillId="11" borderId="3" xfId="1" applyFont="1" applyFill="1" applyBorder="1" applyAlignment="1">
      <alignment horizontal="center"/>
    </xf>
    <xf numFmtId="164" fontId="7" fillId="11" borderId="2" xfId="1" applyFont="1" applyFill="1" applyBorder="1" applyAlignment="1">
      <alignment horizontal="center"/>
    </xf>
    <xf numFmtId="164" fontId="7" fillId="11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41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41" fillId="14" borderId="14" xfId="0" applyNumberFormat="1" applyFont="1" applyFill="1" applyBorder="1" applyAlignment="1">
      <alignment horizontal="center" vertical="center"/>
    </xf>
    <xf numFmtId="164" fontId="7" fillId="14" borderId="62" xfId="1" applyFont="1" applyFill="1" applyBorder="1" applyAlignment="1">
      <alignment horizontal="center"/>
    </xf>
    <xf numFmtId="164" fontId="7" fillId="14" borderId="14" xfId="1" applyFont="1" applyFill="1" applyBorder="1" applyAlignment="1">
      <alignment horizontal="center"/>
    </xf>
    <xf numFmtId="164" fontId="7" fillId="14" borderId="10" xfId="1" applyFont="1" applyFill="1" applyBorder="1" applyAlignment="1">
      <alignment horizontal="center"/>
    </xf>
    <xf numFmtId="164" fontId="7" fillId="14" borderId="23" xfId="1" applyFont="1" applyFill="1" applyBorder="1" applyAlignment="1">
      <alignment horizontal="center"/>
    </xf>
    <xf numFmtId="14" fontId="41" fillId="17" borderId="20" xfId="0" applyNumberFormat="1" applyFont="1" applyFill="1" applyBorder="1" applyAlignment="1">
      <alignment horizontal="center" vertical="center"/>
    </xf>
    <xf numFmtId="14" fontId="41" fillId="17" borderId="21" xfId="0" applyNumberFormat="1" applyFont="1" applyFill="1" applyBorder="1" applyAlignment="1">
      <alignment horizontal="center" vertical="center"/>
    </xf>
    <xf numFmtId="14" fontId="41" fillId="17" borderId="57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7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41" fillId="17" borderId="18" xfId="0" applyNumberFormat="1" applyFont="1" applyFill="1" applyBorder="1" applyAlignment="1">
      <alignment horizontal="center" vertical="center"/>
    </xf>
    <xf numFmtId="14" fontId="41" fillId="17" borderId="75" xfId="0" applyNumberFormat="1" applyFont="1" applyFill="1" applyBorder="1" applyAlignment="1">
      <alignment horizontal="center" vertical="center"/>
    </xf>
    <xf numFmtId="164" fontId="7" fillId="29" borderId="60" xfId="1" applyFont="1" applyFill="1" applyBorder="1" applyAlignment="1">
      <alignment horizontal="center"/>
    </xf>
    <xf numFmtId="164" fontId="7" fillId="29" borderId="75" xfId="1" applyFont="1" applyFill="1" applyBorder="1" applyAlignment="1">
      <alignment horizontal="center"/>
    </xf>
    <xf numFmtId="164" fontId="7" fillId="29" borderId="61" xfId="1" applyFont="1" applyFill="1" applyBorder="1" applyAlignment="1">
      <alignment horizontal="center"/>
    </xf>
    <xf numFmtId="164" fontId="7" fillId="29" borderId="16" xfId="1" applyFont="1" applyFill="1" applyBorder="1" applyAlignment="1">
      <alignment horizontal="center"/>
    </xf>
    <xf numFmtId="14" fontId="41" fillId="26" borderId="60" xfId="0" applyNumberFormat="1" applyFont="1" applyFill="1" applyBorder="1" applyAlignment="1">
      <alignment horizontal="center" vertical="center"/>
    </xf>
    <xf numFmtId="14" fontId="41" fillId="26" borderId="61" xfId="0" applyNumberFormat="1" applyFont="1" applyFill="1" applyBorder="1" applyAlignment="1">
      <alignment horizontal="center" vertical="center"/>
    </xf>
    <xf numFmtId="14" fontId="41" fillId="26" borderId="75" xfId="0" applyNumberFormat="1" applyFont="1" applyFill="1" applyBorder="1" applyAlignment="1">
      <alignment horizontal="center" vertical="center"/>
    </xf>
    <xf numFmtId="164" fontId="7" fillId="26" borderId="60" xfId="1" applyFont="1" applyFill="1" applyBorder="1" applyAlignment="1">
      <alignment horizontal="center"/>
    </xf>
    <xf numFmtId="164" fontId="7" fillId="26" borderId="75" xfId="1" applyFont="1" applyFill="1" applyBorder="1" applyAlignment="1">
      <alignment horizontal="center"/>
    </xf>
    <xf numFmtId="164" fontId="7" fillId="26" borderId="61" xfId="1" applyFont="1" applyFill="1" applyBorder="1" applyAlignment="1">
      <alignment horizontal="center"/>
    </xf>
    <xf numFmtId="164" fontId="7" fillId="26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1" borderId="18" xfId="1" applyFont="1" applyFill="1" applyBorder="1"/>
    <xf numFmtId="164" fontId="7" fillId="0" borderId="62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9" borderId="60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6" borderId="60" xfId="1" applyFont="1" applyFill="1" applyBorder="1"/>
    <xf numFmtId="164" fontId="7" fillId="0" borderId="18" xfId="1" applyFont="1" applyFill="1" applyBorder="1" applyAlignment="1">
      <alignment horizontal="center"/>
    </xf>
    <xf numFmtId="0" fontId="72" fillId="7" borderId="2" xfId="0" applyFont="1" applyFill="1" applyBorder="1" applyAlignment="1">
      <alignment horizontal="left" vertical="center" indent="2"/>
    </xf>
    <xf numFmtId="2" fontId="30" fillId="7" borderId="2" xfId="0" applyNumberFormat="1" applyFont="1" applyFill="1" applyBorder="1" applyAlignment="1">
      <alignment horizontal="center" vertical="center"/>
    </xf>
    <xf numFmtId="2" fontId="30" fillId="6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164" fontId="73" fillId="11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8" borderId="18" xfId="1" applyFont="1" applyFill="1" applyBorder="1" applyAlignment="1">
      <alignment horizontal="center"/>
    </xf>
    <xf numFmtId="164" fontId="7" fillId="28" borderId="3" xfId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2" fontId="7" fillId="11" borderId="90" xfId="0" applyNumberFormat="1" applyFont="1" applyFill="1" applyBorder="1" applyAlignment="1">
      <alignment horizontal="center"/>
    </xf>
    <xf numFmtId="2" fontId="7" fillId="0" borderId="90" xfId="0" applyNumberFormat="1" applyFont="1" applyBorder="1" applyAlignment="1">
      <alignment horizontal="center"/>
    </xf>
    <xf numFmtId="164" fontId="26" fillId="16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6" borderId="39" xfId="1" quotePrefix="1" applyFont="1" applyFill="1" applyBorder="1" applyAlignment="1">
      <alignment horizontal="center" vertical="center"/>
    </xf>
    <xf numFmtId="164" fontId="7" fillId="11" borderId="18" xfId="1" applyFont="1" applyFill="1" applyBorder="1" applyAlignment="1">
      <alignment horizontal="right"/>
    </xf>
    <xf numFmtId="2" fontId="7" fillId="2" borderId="18" xfId="0" applyNumberFormat="1" applyFont="1" applyFill="1" applyBorder="1" applyAlignment="1">
      <alignment horizontal="center"/>
    </xf>
    <xf numFmtId="0" fontId="74" fillId="0" borderId="0" xfId="0" applyFont="1"/>
    <xf numFmtId="0" fontId="7" fillId="0" borderId="0" xfId="0" applyFont="1" applyAlignment="1">
      <alignment horizontal="center" wrapText="1"/>
    </xf>
    <xf numFmtId="2" fontId="30" fillId="12" borderId="2" xfId="0" applyNumberFormat="1" applyFont="1" applyFill="1" applyBorder="1" applyAlignment="1">
      <alignment horizontal="center" vertical="center"/>
    </xf>
    <xf numFmtId="164" fontId="8" fillId="11" borderId="2" xfId="1" applyFont="1" applyFill="1" applyBorder="1" applyAlignment="1">
      <alignment horizontal="center"/>
    </xf>
    <xf numFmtId="0" fontId="7" fillId="8" borderId="0" xfId="0" applyFont="1" applyFill="1" applyAlignment="1">
      <alignment horizontal="center"/>
    </xf>
    <xf numFmtId="2" fontId="9" fillId="27" borderId="2" xfId="0" applyNumberFormat="1" applyFont="1" applyFill="1" applyBorder="1" applyAlignment="1">
      <alignment horizontal="center" vertical="center"/>
    </xf>
    <xf numFmtId="2" fontId="30" fillId="27" borderId="2" xfId="0" applyNumberFormat="1" applyFont="1" applyFill="1" applyBorder="1" applyAlignment="1">
      <alignment horizontal="center" vertical="center"/>
    </xf>
    <xf numFmtId="164" fontId="7" fillId="30" borderId="2" xfId="1" applyFont="1" applyFill="1" applyBorder="1" applyAlignment="1">
      <alignment horizontal="center"/>
    </xf>
    <xf numFmtId="164" fontId="7" fillId="11" borderId="60" xfId="1" applyFont="1" applyFill="1" applyBorder="1" applyAlignment="1">
      <alignment horizontal="center"/>
    </xf>
    <xf numFmtId="164" fontId="7" fillId="11" borderId="75" xfId="1" applyFont="1" applyFill="1" applyBorder="1" applyAlignment="1">
      <alignment horizontal="center"/>
    </xf>
    <xf numFmtId="164" fontId="7" fillId="11" borderId="61" xfId="1" applyFont="1" applyFill="1" applyBorder="1" applyAlignment="1">
      <alignment horizontal="center"/>
    </xf>
    <xf numFmtId="164" fontId="7" fillId="11" borderId="16" xfId="1" applyFont="1" applyFill="1" applyBorder="1" applyAlignment="1">
      <alignment horizontal="center"/>
    </xf>
    <xf numFmtId="164" fontId="7" fillId="11" borderId="60" xfId="1" applyFont="1" applyFill="1" applyBorder="1"/>
    <xf numFmtId="14" fontId="41" fillId="17" borderId="60" xfId="0" applyNumberFormat="1" applyFont="1" applyFill="1" applyBorder="1" applyAlignment="1">
      <alignment horizontal="center" vertical="center"/>
    </xf>
    <xf numFmtId="14" fontId="41" fillId="17" borderId="61" xfId="0" applyNumberFormat="1" applyFont="1" applyFill="1" applyBorder="1" applyAlignment="1">
      <alignment horizontal="center" vertical="center"/>
    </xf>
    <xf numFmtId="164" fontId="52" fillId="11" borderId="18" xfId="1" applyFont="1" applyFill="1" applyBorder="1" applyAlignment="1">
      <alignment horizontal="center"/>
    </xf>
    <xf numFmtId="164" fontId="7" fillId="2" borderId="56" xfId="1" applyFont="1" applyFill="1" applyBorder="1" applyAlignment="1">
      <alignment horizontal="center"/>
    </xf>
    <xf numFmtId="164" fontId="7" fillId="11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7" fillId="11" borderId="74" xfId="1" applyFont="1" applyFill="1" applyBorder="1" applyAlignment="1">
      <alignment horizontal="center"/>
    </xf>
    <xf numFmtId="164" fontId="8" fillId="11" borderId="19" xfId="1" applyFont="1" applyFill="1" applyBorder="1" applyAlignment="1">
      <alignment horizontal="center"/>
    </xf>
    <xf numFmtId="14" fontId="41" fillId="17" borderId="94" xfId="0" applyNumberFormat="1" applyFont="1" applyFill="1" applyBorder="1" applyAlignment="1">
      <alignment horizontal="center" vertical="center"/>
    </xf>
    <xf numFmtId="14" fontId="41" fillId="17" borderId="15" xfId="0" applyNumberFormat="1" applyFont="1" applyFill="1" applyBorder="1" applyAlignment="1">
      <alignment horizontal="center" vertical="center"/>
    </xf>
    <xf numFmtId="14" fontId="41" fillId="17" borderId="7" xfId="0" applyNumberFormat="1" applyFont="1" applyFill="1" applyBorder="1" applyAlignment="1">
      <alignment horizontal="center" vertical="center"/>
    </xf>
    <xf numFmtId="164" fontId="7" fillId="2" borderId="94" xfId="1" applyFont="1" applyFill="1" applyBorder="1" applyAlignment="1">
      <alignment horizontal="center"/>
    </xf>
    <xf numFmtId="164" fontId="7" fillId="2" borderId="7" xfId="1" applyFont="1" applyFill="1" applyBorder="1" applyAlignment="1">
      <alignment horizontal="center"/>
    </xf>
    <xf numFmtId="164" fontId="7" fillId="2" borderId="15" xfId="1" applyFont="1" applyFill="1" applyBorder="1" applyAlignment="1">
      <alignment horizontal="center"/>
    </xf>
    <xf numFmtId="164" fontId="7" fillId="2" borderId="93" xfId="1" applyFont="1" applyFill="1" applyBorder="1" applyAlignment="1">
      <alignment horizontal="center"/>
    </xf>
    <xf numFmtId="164" fontId="7" fillId="2" borderId="9" xfId="1" applyFont="1" applyFill="1" applyBorder="1" applyAlignment="1">
      <alignment horizontal="center"/>
    </xf>
    <xf numFmtId="164" fontId="7" fillId="2" borderId="94" xfId="1" applyFont="1" applyFill="1" applyBorder="1"/>
    <xf numFmtId="14" fontId="41" fillId="26" borderId="3" xfId="0" applyNumberFormat="1" applyFont="1" applyFill="1" applyBorder="1" applyAlignment="1">
      <alignment horizontal="center" vertical="center"/>
    </xf>
    <xf numFmtId="164" fontId="52" fillId="11" borderId="3" xfId="1" applyFont="1" applyFill="1" applyBorder="1" applyAlignment="1">
      <alignment horizontal="center"/>
    </xf>
    <xf numFmtId="0" fontId="75" fillId="31" borderId="2" xfId="0" applyFont="1" applyFill="1" applyBorder="1"/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26" fillId="16" borderId="24" xfId="0" applyNumberFormat="1" applyFont="1" applyFill="1" applyBorder="1" applyAlignment="1">
      <alignment horizontal="center" vertical="center"/>
    </xf>
    <xf numFmtId="2" fontId="26" fillId="16" borderId="25" xfId="0" applyNumberFormat="1" applyFont="1" applyFill="1" applyBorder="1" applyAlignment="1">
      <alignment horizontal="center" vertical="center"/>
    </xf>
    <xf numFmtId="2" fontId="26" fillId="16" borderId="92" xfId="0" applyNumberFormat="1" applyFont="1" applyFill="1" applyBorder="1" applyAlignment="1">
      <alignment horizontal="center" vertical="center"/>
    </xf>
    <xf numFmtId="2" fontId="58" fillId="16" borderId="98" xfId="0" applyNumberFormat="1" applyFont="1" applyFill="1" applyBorder="1" applyAlignment="1">
      <alignment horizontal="center" vertical="center" wrapText="1"/>
    </xf>
    <xf numFmtId="2" fontId="58" fillId="16" borderId="99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6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46"/>
      <color rgb="FFFFFF99"/>
      <color rgb="FFE9B0F2"/>
      <color rgb="FFCF8BDD"/>
      <color rgb="FFCC99FF"/>
      <color rgb="FFCCCCFF"/>
      <color rgb="FF99FF6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hartsheet" Target="chartsheets/sheet1.xml"/><Relationship Id="rId50" Type="http://schemas.openxmlformats.org/officeDocument/2006/relationships/styles" Target="styles.xml"/><Relationship Id="rId55" Type="http://schemas.microsoft.com/office/2017/06/relationships/rdArray" Target="richData/rdarray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17/06/relationships/rdRichValue" Target="richData/rdrichvalue.xml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7.xml"/><Relationship Id="rId56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Structure" Target="richData/rdrichvaluestructure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'1'!$F$103:$AC$103</c:f>
              <c:numCache>
                <c:formatCode>0.00</c:formatCode>
                <c:ptCount val="24"/>
                <c:pt idx="0">
                  <c:v>38.059999999999995</c:v>
                </c:pt>
                <c:pt idx="1">
                  <c:v>35.47</c:v>
                </c:pt>
                <c:pt idx="2">
                  <c:v>34.21</c:v>
                </c:pt>
                <c:pt idx="3">
                  <c:v>33.699999999999996</c:v>
                </c:pt>
                <c:pt idx="4">
                  <c:v>32.94</c:v>
                </c:pt>
                <c:pt idx="5">
                  <c:v>35.550000000000004</c:v>
                </c:pt>
                <c:pt idx="6">
                  <c:v>40.39</c:v>
                </c:pt>
                <c:pt idx="7">
                  <c:v>37.669999999999995</c:v>
                </c:pt>
                <c:pt idx="8">
                  <c:v>43.8</c:v>
                </c:pt>
                <c:pt idx="9">
                  <c:v>48.899999999999991</c:v>
                </c:pt>
                <c:pt idx="10">
                  <c:v>53.010000000000005</c:v>
                </c:pt>
                <c:pt idx="11">
                  <c:v>56.269999999999996</c:v>
                </c:pt>
                <c:pt idx="12">
                  <c:v>55</c:v>
                </c:pt>
                <c:pt idx="13">
                  <c:v>56.28</c:v>
                </c:pt>
                <c:pt idx="14">
                  <c:v>59.17</c:v>
                </c:pt>
                <c:pt idx="15">
                  <c:v>58.46</c:v>
                </c:pt>
                <c:pt idx="16">
                  <c:v>55.660000000000004</c:v>
                </c:pt>
                <c:pt idx="17">
                  <c:v>52.82</c:v>
                </c:pt>
                <c:pt idx="18">
                  <c:v>51.599999999999994</c:v>
                </c:pt>
                <c:pt idx="19">
                  <c:v>57.429999999999986</c:v>
                </c:pt>
                <c:pt idx="20">
                  <c:v>53.4</c:v>
                </c:pt>
                <c:pt idx="21">
                  <c:v>50.239999999999995</c:v>
                </c:pt>
                <c:pt idx="22">
                  <c:v>46.400000000000006</c:v>
                </c:pt>
                <c:pt idx="23">
                  <c:v>43.28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B-4DF6-A284-FA6C9BEC33BB}"/>
            </c:ext>
          </c:extLst>
        </c:ser>
        <c:ser>
          <c:idx val="4"/>
          <c:order val="1"/>
          <c:tx>
            <c:strRef>
              <c:f>'1'!$A$107:$C$107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1.86</c:v>
                </c:pt>
                <c:pt idx="10">
                  <c:v>1.86</c:v>
                </c:pt>
                <c:pt idx="11">
                  <c:v>1.86</c:v>
                </c:pt>
                <c:pt idx="12">
                  <c:v>1.86</c:v>
                </c:pt>
                <c:pt idx="13">
                  <c:v>1.86</c:v>
                </c:pt>
                <c:pt idx="14">
                  <c:v>1.86</c:v>
                </c:pt>
                <c:pt idx="15">
                  <c:v>1.86</c:v>
                </c:pt>
                <c:pt idx="16">
                  <c:v>1.86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0.95</c:v>
                </c:pt>
                <c:pt idx="21">
                  <c:v>0.95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B-4DF6-A284-FA6C9BEC33B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ECB-4DF6-A284-FA6C9BEC3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'2'!$F$103:$AC$103</c:f>
              <c:numCache>
                <c:formatCode>0.00</c:formatCode>
                <c:ptCount val="24"/>
                <c:pt idx="0">
                  <c:v>39.409999999999997</c:v>
                </c:pt>
                <c:pt idx="1">
                  <c:v>37.18</c:v>
                </c:pt>
                <c:pt idx="2">
                  <c:v>35.510000000000005</c:v>
                </c:pt>
                <c:pt idx="3">
                  <c:v>34.340000000000003</c:v>
                </c:pt>
                <c:pt idx="4">
                  <c:v>34.29</c:v>
                </c:pt>
                <c:pt idx="5">
                  <c:v>36.24</c:v>
                </c:pt>
                <c:pt idx="6">
                  <c:v>41.03</c:v>
                </c:pt>
                <c:pt idx="7">
                  <c:v>38.31</c:v>
                </c:pt>
                <c:pt idx="8">
                  <c:v>43.959999999999994</c:v>
                </c:pt>
                <c:pt idx="9">
                  <c:v>52.230000000000011</c:v>
                </c:pt>
                <c:pt idx="10">
                  <c:v>56.629999999999995</c:v>
                </c:pt>
                <c:pt idx="11">
                  <c:v>60.620000000000012</c:v>
                </c:pt>
                <c:pt idx="12">
                  <c:v>61.100000000000009</c:v>
                </c:pt>
                <c:pt idx="13">
                  <c:v>58.310000000000009</c:v>
                </c:pt>
                <c:pt idx="14">
                  <c:v>59.050000000000004</c:v>
                </c:pt>
                <c:pt idx="15">
                  <c:v>55.319999999999993</c:v>
                </c:pt>
                <c:pt idx="16">
                  <c:v>54.05</c:v>
                </c:pt>
                <c:pt idx="17">
                  <c:v>53.370000000000005</c:v>
                </c:pt>
                <c:pt idx="18">
                  <c:v>50.439999999999991</c:v>
                </c:pt>
                <c:pt idx="19">
                  <c:v>55.230000000000004</c:v>
                </c:pt>
                <c:pt idx="20">
                  <c:v>52.45</c:v>
                </c:pt>
                <c:pt idx="21">
                  <c:v>50.42</c:v>
                </c:pt>
                <c:pt idx="22">
                  <c:v>46.02</c:v>
                </c:pt>
                <c:pt idx="23">
                  <c:v>41.17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2-4B2E-B196-FE0FD00F88B8}"/>
            </c:ext>
          </c:extLst>
        </c:ser>
        <c:ser>
          <c:idx val="4"/>
          <c:order val="1"/>
          <c:tx>
            <c:strRef>
              <c:f>'2'!$A$107:$C$107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1.1000000000000001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2-4B2E-B196-FE0FD00F88B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F32-4B2E-B196-FE0FD00F8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'3'!$F$103:$AC$103</c:f>
              <c:numCache>
                <c:formatCode>0.00</c:formatCode>
                <c:ptCount val="24"/>
                <c:pt idx="0">
                  <c:v>38.44</c:v>
                </c:pt>
                <c:pt idx="1">
                  <c:v>36.36</c:v>
                </c:pt>
                <c:pt idx="2">
                  <c:v>34.409999999999997</c:v>
                </c:pt>
                <c:pt idx="3">
                  <c:v>33.870000000000005</c:v>
                </c:pt>
                <c:pt idx="4">
                  <c:v>33.629999999999995</c:v>
                </c:pt>
                <c:pt idx="5">
                  <c:v>36.239999999999995</c:v>
                </c:pt>
                <c:pt idx="6">
                  <c:v>42</c:v>
                </c:pt>
                <c:pt idx="7">
                  <c:v>36.51</c:v>
                </c:pt>
                <c:pt idx="8">
                  <c:v>43.499999999999993</c:v>
                </c:pt>
                <c:pt idx="9">
                  <c:v>53.41</c:v>
                </c:pt>
                <c:pt idx="10">
                  <c:v>58.089999999999996</c:v>
                </c:pt>
                <c:pt idx="11">
                  <c:v>59.34</c:v>
                </c:pt>
                <c:pt idx="12">
                  <c:v>55.5</c:v>
                </c:pt>
                <c:pt idx="13">
                  <c:v>56.94</c:v>
                </c:pt>
                <c:pt idx="14">
                  <c:v>55.459999999999994</c:v>
                </c:pt>
                <c:pt idx="15">
                  <c:v>55.260000000000005</c:v>
                </c:pt>
                <c:pt idx="16">
                  <c:v>54.600000000000009</c:v>
                </c:pt>
                <c:pt idx="17">
                  <c:v>52.400000000000006</c:v>
                </c:pt>
                <c:pt idx="18">
                  <c:v>52.429999999999993</c:v>
                </c:pt>
                <c:pt idx="19">
                  <c:v>53.139999999999993</c:v>
                </c:pt>
                <c:pt idx="20">
                  <c:v>50.339999999999989</c:v>
                </c:pt>
                <c:pt idx="21">
                  <c:v>47.480000000000004</c:v>
                </c:pt>
                <c:pt idx="22">
                  <c:v>43.26</c:v>
                </c:pt>
                <c:pt idx="23">
                  <c:v>39.22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E-4ECC-A480-2FED4E11C924}"/>
            </c:ext>
          </c:extLst>
        </c:ser>
        <c:ser>
          <c:idx val="4"/>
          <c:order val="1"/>
          <c:tx>
            <c:strRef>
              <c:f>'3'!$A$107:$C$107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</c:v>
                </c:pt>
                <c:pt idx="14">
                  <c:v>4.22</c:v>
                </c:pt>
                <c:pt idx="15">
                  <c:v>0.85</c:v>
                </c:pt>
                <c:pt idx="16">
                  <c:v>0.85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0E-4ECC-A480-2FED4E11C9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10E-4ECC-A480-2FED4E11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'4'!$F$103:$AC$103</c:f>
              <c:numCache>
                <c:formatCode>0.00</c:formatCode>
                <c:ptCount val="24"/>
                <c:pt idx="0">
                  <c:v>37.93</c:v>
                </c:pt>
                <c:pt idx="1">
                  <c:v>35.179999999999993</c:v>
                </c:pt>
                <c:pt idx="2">
                  <c:v>33.69</c:v>
                </c:pt>
                <c:pt idx="3">
                  <c:v>32.630000000000003</c:v>
                </c:pt>
                <c:pt idx="4">
                  <c:v>32.54</c:v>
                </c:pt>
                <c:pt idx="5">
                  <c:v>34.5</c:v>
                </c:pt>
                <c:pt idx="6">
                  <c:v>39.57</c:v>
                </c:pt>
                <c:pt idx="7">
                  <c:v>36.919999999999995</c:v>
                </c:pt>
                <c:pt idx="8">
                  <c:v>41.48</c:v>
                </c:pt>
                <c:pt idx="9">
                  <c:v>50.570000000000007</c:v>
                </c:pt>
                <c:pt idx="10">
                  <c:v>53.489999999999988</c:v>
                </c:pt>
                <c:pt idx="11">
                  <c:v>57.749999999999993</c:v>
                </c:pt>
                <c:pt idx="12">
                  <c:v>58.390000000000008</c:v>
                </c:pt>
                <c:pt idx="13">
                  <c:v>60.37</c:v>
                </c:pt>
                <c:pt idx="14">
                  <c:v>62.389999999999993</c:v>
                </c:pt>
                <c:pt idx="15">
                  <c:v>59.7</c:v>
                </c:pt>
                <c:pt idx="16">
                  <c:v>60.519999999999996</c:v>
                </c:pt>
                <c:pt idx="17">
                  <c:v>57.420000000000009</c:v>
                </c:pt>
                <c:pt idx="18">
                  <c:v>54.839999999999996</c:v>
                </c:pt>
                <c:pt idx="19">
                  <c:v>59.129999999999995</c:v>
                </c:pt>
                <c:pt idx="20">
                  <c:v>55.445</c:v>
                </c:pt>
                <c:pt idx="21">
                  <c:v>52.970000000000006</c:v>
                </c:pt>
                <c:pt idx="22">
                  <c:v>49.89</c:v>
                </c:pt>
                <c:pt idx="23">
                  <c:v>43.47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6-43C9-A0EA-8199607A3D3A}"/>
            </c:ext>
          </c:extLst>
        </c:ser>
        <c:ser>
          <c:idx val="4"/>
          <c:order val="1"/>
          <c:tx>
            <c:strRef>
              <c:f>'4'!$A$107:$C$107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6-43C9-A0EA-8199607A3D3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46-43C9-A0EA-8199607A3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'5'!$F$103:$AC$103</c:f>
              <c:numCache>
                <c:formatCode>0.00</c:formatCode>
                <c:ptCount val="24"/>
                <c:pt idx="0">
                  <c:v>40.110000000000007</c:v>
                </c:pt>
                <c:pt idx="1">
                  <c:v>37.83</c:v>
                </c:pt>
                <c:pt idx="2">
                  <c:v>35.33</c:v>
                </c:pt>
                <c:pt idx="3">
                  <c:v>34.030000000000008</c:v>
                </c:pt>
                <c:pt idx="4">
                  <c:v>34.309999999999995</c:v>
                </c:pt>
                <c:pt idx="5">
                  <c:v>35.160000000000004</c:v>
                </c:pt>
                <c:pt idx="6">
                  <c:v>37.959999999999994</c:v>
                </c:pt>
                <c:pt idx="7">
                  <c:v>37.92</c:v>
                </c:pt>
                <c:pt idx="8">
                  <c:v>40.82</c:v>
                </c:pt>
                <c:pt idx="9">
                  <c:v>48.300000000000004</c:v>
                </c:pt>
                <c:pt idx="10">
                  <c:v>52.350000000000009</c:v>
                </c:pt>
                <c:pt idx="11">
                  <c:v>51.519999999999996</c:v>
                </c:pt>
                <c:pt idx="12">
                  <c:v>55.829999999999991</c:v>
                </c:pt>
                <c:pt idx="13">
                  <c:v>53.3</c:v>
                </c:pt>
                <c:pt idx="14">
                  <c:v>54.15</c:v>
                </c:pt>
                <c:pt idx="15">
                  <c:v>54.100000000000009</c:v>
                </c:pt>
                <c:pt idx="16">
                  <c:v>52.659999999999989</c:v>
                </c:pt>
                <c:pt idx="17">
                  <c:v>50.81</c:v>
                </c:pt>
                <c:pt idx="18">
                  <c:v>51.95</c:v>
                </c:pt>
                <c:pt idx="19">
                  <c:v>57.180000000000007</c:v>
                </c:pt>
                <c:pt idx="20">
                  <c:v>55.3</c:v>
                </c:pt>
                <c:pt idx="21">
                  <c:v>52.859999999999992</c:v>
                </c:pt>
                <c:pt idx="22">
                  <c:v>47.96</c:v>
                </c:pt>
                <c:pt idx="23">
                  <c:v>44.07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5-41DB-B3E9-E872FAD83868}"/>
            </c:ext>
          </c:extLst>
        </c:ser>
        <c:ser>
          <c:idx val="4"/>
          <c:order val="1"/>
          <c:tx>
            <c:strRef>
              <c:f>'5'!$A$107:$C$107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5-41DB-B3E9-E872FAD8386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825-41DB-B3E9-E872FAD83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'6'!$F$103:$AC$103</c:f>
              <c:numCache>
                <c:formatCode>0.00</c:formatCode>
                <c:ptCount val="24"/>
                <c:pt idx="0">
                  <c:v>39.83</c:v>
                </c:pt>
                <c:pt idx="1">
                  <c:v>38.25</c:v>
                </c:pt>
                <c:pt idx="2">
                  <c:v>35.550000000000004</c:v>
                </c:pt>
                <c:pt idx="3">
                  <c:v>34.49</c:v>
                </c:pt>
                <c:pt idx="4">
                  <c:v>33.979999999999997</c:v>
                </c:pt>
                <c:pt idx="5">
                  <c:v>33.739999999999995</c:v>
                </c:pt>
                <c:pt idx="6">
                  <c:v>35.94</c:v>
                </c:pt>
                <c:pt idx="7">
                  <c:v>38.93</c:v>
                </c:pt>
                <c:pt idx="8">
                  <c:v>38.93</c:v>
                </c:pt>
                <c:pt idx="9">
                  <c:v>44.839999999999996</c:v>
                </c:pt>
                <c:pt idx="10">
                  <c:v>47.980000000000004</c:v>
                </c:pt>
                <c:pt idx="11">
                  <c:v>49.089999999999996</c:v>
                </c:pt>
                <c:pt idx="12">
                  <c:v>49.480000000000004</c:v>
                </c:pt>
                <c:pt idx="13">
                  <c:v>50.46</c:v>
                </c:pt>
                <c:pt idx="14">
                  <c:v>53.330000000000005</c:v>
                </c:pt>
                <c:pt idx="15">
                  <c:v>51.519999999999996</c:v>
                </c:pt>
                <c:pt idx="16">
                  <c:v>49.81</c:v>
                </c:pt>
                <c:pt idx="17">
                  <c:v>50.850000000000009</c:v>
                </c:pt>
                <c:pt idx="18">
                  <c:v>51.499999999999993</c:v>
                </c:pt>
                <c:pt idx="19">
                  <c:v>58.349999999999994</c:v>
                </c:pt>
                <c:pt idx="20">
                  <c:v>56.249999999999993</c:v>
                </c:pt>
                <c:pt idx="21">
                  <c:v>54.390000000000008</c:v>
                </c:pt>
                <c:pt idx="22">
                  <c:v>51.07</c:v>
                </c:pt>
                <c:pt idx="23">
                  <c:v>44.83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9-4B07-84C5-C7CAAAE2ADEB}"/>
            </c:ext>
          </c:extLst>
        </c:ser>
        <c:ser>
          <c:idx val="4"/>
          <c:order val="1"/>
          <c:tx>
            <c:strRef>
              <c:f>'6'!$A$107:$C$107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2.27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9-4B07-84C5-C7CAAAE2ADE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1E9-4B07-84C5-C7CAAAE2A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'7'!$F$103:$AC$103</c:f>
              <c:numCache>
                <c:formatCode>0.00</c:formatCode>
                <c:ptCount val="24"/>
                <c:pt idx="0">
                  <c:v>40.999999999999993</c:v>
                </c:pt>
                <c:pt idx="1">
                  <c:v>37.51</c:v>
                </c:pt>
                <c:pt idx="2">
                  <c:v>35.169999999999995</c:v>
                </c:pt>
                <c:pt idx="3">
                  <c:v>34.856999999999999</c:v>
                </c:pt>
                <c:pt idx="4">
                  <c:v>35.130000000000003</c:v>
                </c:pt>
                <c:pt idx="5">
                  <c:v>37.659999999999997</c:v>
                </c:pt>
                <c:pt idx="6">
                  <c:v>42.089999999999996</c:v>
                </c:pt>
                <c:pt idx="7">
                  <c:v>38.580000000000005</c:v>
                </c:pt>
                <c:pt idx="8">
                  <c:v>44.69</c:v>
                </c:pt>
                <c:pt idx="9">
                  <c:v>53.70000000000001</c:v>
                </c:pt>
                <c:pt idx="10">
                  <c:v>58.79</c:v>
                </c:pt>
                <c:pt idx="11">
                  <c:v>59.569999999999993</c:v>
                </c:pt>
                <c:pt idx="12">
                  <c:v>60.69</c:v>
                </c:pt>
                <c:pt idx="13">
                  <c:v>62.859999999999985</c:v>
                </c:pt>
                <c:pt idx="14">
                  <c:v>61.069999999999993</c:v>
                </c:pt>
                <c:pt idx="15">
                  <c:v>57.03</c:v>
                </c:pt>
                <c:pt idx="16">
                  <c:v>57.4</c:v>
                </c:pt>
                <c:pt idx="17">
                  <c:v>54.550000000000004</c:v>
                </c:pt>
                <c:pt idx="18">
                  <c:v>53.079999999999991</c:v>
                </c:pt>
                <c:pt idx="19">
                  <c:v>59.709999999999994</c:v>
                </c:pt>
                <c:pt idx="20">
                  <c:v>55.419999999999995</c:v>
                </c:pt>
                <c:pt idx="21">
                  <c:v>51.949999999999996</c:v>
                </c:pt>
                <c:pt idx="22">
                  <c:v>48.040000000000006</c:v>
                </c:pt>
                <c:pt idx="23">
                  <c:v>44.730000000000004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5-4459-B863-B2008C73E7F3}"/>
            </c:ext>
          </c:extLst>
        </c:ser>
        <c:ser>
          <c:idx val="4"/>
          <c:order val="1"/>
          <c:tx>
            <c:strRef>
              <c:f>'7'!$A$107:$C$107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C5-4459-B863-B2008C73E7F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2C5-4459-B863-B2008C73E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'8'!$F$103:$AC$103</c:f>
              <c:numCache>
                <c:formatCode>0.00</c:formatCode>
                <c:ptCount val="24"/>
                <c:pt idx="0">
                  <c:v>40.819999999999993</c:v>
                </c:pt>
                <c:pt idx="1">
                  <c:v>38.86</c:v>
                </c:pt>
                <c:pt idx="2">
                  <c:v>35.450000000000003</c:v>
                </c:pt>
                <c:pt idx="3">
                  <c:v>36.299999999999997</c:v>
                </c:pt>
                <c:pt idx="4">
                  <c:v>36.07</c:v>
                </c:pt>
                <c:pt idx="5">
                  <c:v>38.270000000000003</c:v>
                </c:pt>
                <c:pt idx="6">
                  <c:v>43.26</c:v>
                </c:pt>
                <c:pt idx="7">
                  <c:v>39.72</c:v>
                </c:pt>
                <c:pt idx="8">
                  <c:v>45.78</c:v>
                </c:pt>
                <c:pt idx="9">
                  <c:v>54.47</c:v>
                </c:pt>
                <c:pt idx="10">
                  <c:v>59.519999999999996</c:v>
                </c:pt>
                <c:pt idx="11">
                  <c:v>61.81</c:v>
                </c:pt>
                <c:pt idx="12">
                  <c:v>61</c:v>
                </c:pt>
                <c:pt idx="13">
                  <c:v>62.82</c:v>
                </c:pt>
                <c:pt idx="14">
                  <c:v>65.819999999999993</c:v>
                </c:pt>
                <c:pt idx="15">
                  <c:v>63.989999999999995</c:v>
                </c:pt>
                <c:pt idx="16">
                  <c:v>64.3</c:v>
                </c:pt>
                <c:pt idx="17">
                  <c:v>61.25</c:v>
                </c:pt>
                <c:pt idx="18">
                  <c:v>54.550000000000004</c:v>
                </c:pt>
                <c:pt idx="19">
                  <c:v>57.430000000000007</c:v>
                </c:pt>
                <c:pt idx="20">
                  <c:v>55.02</c:v>
                </c:pt>
                <c:pt idx="21">
                  <c:v>53.890000000000008</c:v>
                </c:pt>
                <c:pt idx="22">
                  <c:v>50.6</c:v>
                </c:pt>
                <c:pt idx="23">
                  <c:v>46.940000000000005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7-4C0D-9674-D9767F502953}"/>
            </c:ext>
          </c:extLst>
        </c:ser>
        <c:ser>
          <c:idx val="4"/>
          <c:order val="1"/>
          <c:tx>
            <c:strRef>
              <c:f>'8'!$A$107:$C$107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67-4C0D-9674-D9767F50295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67-4C0D-9674-D9767F502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'9'!$F$103:$AC$103</c:f>
              <c:numCache>
                <c:formatCode>0.00</c:formatCode>
                <c:ptCount val="24"/>
                <c:pt idx="0">
                  <c:v>44.230000000000004</c:v>
                </c:pt>
                <c:pt idx="1">
                  <c:v>41.09</c:v>
                </c:pt>
                <c:pt idx="2">
                  <c:v>35.380000000000003</c:v>
                </c:pt>
                <c:pt idx="3">
                  <c:v>37.619999999999997</c:v>
                </c:pt>
                <c:pt idx="4">
                  <c:v>37.380000000000003</c:v>
                </c:pt>
                <c:pt idx="5">
                  <c:v>39.600000000000009</c:v>
                </c:pt>
                <c:pt idx="6">
                  <c:v>45.41</c:v>
                </c:pt>
                <c:pt idx="7">
                  <c:v>36.129999999999995</c:v>
                </c:pt>
                <c:pt idx="8">
                  <c:v>46.970000000000006</c:v>
                </c:pt>
                <c:pt idx="9">
                  <c:v>52.82</c:v>
                </c:pt>
                <c:pt idx="10">
                  <c:v>54.440000000000005</c:v>
                </c:pt>
                <c:pt idx="11">
                  <c:v>57.070000000000007</c:v>
                </c:pt>
                <c:pt idx="12">
                  <c:v>58.179999999999993</c:v>
                </c:pt>
                <c:pt idx="13">
                  <c:v>57.839999999999996</c:v>
                </c:pt>
                <c:pt idx="14">
                  <c:v>58.120000000000005</c:v>
                </c:pt>
                <c:pt idx="15">
                  <c:v>55.99</c:v>
                </c:pt>
                <c:pt idx="16">
                  <c:v>58.87</c:v>
                </c:pt>
                <c:pt idx="17">
                  <c:v>57.980000000000004</c:v>
                </c:pt>
                <c:pt idx="18">
                  <c:v>53.65</c:v>
                </c:pt>
                <c:pt idx="19">
                  <c:v>61.61</c:v>
                </c:pt>
                <c:pt idx="20">
                  <c:v>58.97</c:v>
                </c:pt>
                <c:pt idx="21">
                  <c:v>54.669999999999987</c:v>
                </c:pt>
                <c:pt idx="22">
                  <c:v>49.209999999999994</c:v>
                </c:pt>
                <c:pt idx="23">
                  <c:v>47.379999999999995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5-40E8-9C52-0454C4A6FDDB}"/>
            </c:ext>
          </c:extLst>
        </c:ser>
        <c:ser>
          <c:idx val="4"/>
          <c:order val="1"/>
          <c:tx>
            <c:strRef>
              <c:f>'9'!$A$107:$C$107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4.4000000000000004</c:v>
                </c:pt>
                <c:pt idx="8">
                  <c:v>0</c:v>
                </c:pt>
                <c:pt idx="9">
                  <c:v>0</c:v>
                </c:pt>
                <c:pt idx="10">
                  <c:v>2.2000000000000002</c:v>
                </c:pt>
                <c:pt idx="11">
                  <c:v>2.36</c:v>
                </c:pt>
                <c:pt idx="12">
                  <c:v>2.2999999999999998</c:v>
                </c:pt>
                <c:pt idx="13">
                  <c:v>2.31</c:v>
                </c:pt>
                <c:pt idx="14">
                  <c:v>4.47</c:v>
                </c:pt>
                <c:pt idx="15">
                  <c:v>4.46</c:v>
                </c:pt>
                <c:pt idx="16">
                  <c:v>2.35</c:v>
                </c:pt>
                <c:pt idx="17">
                  <c:v>1.25</c:v>
                </c:pt>
                <c:pt idx="18">
                  <c:v>1.1200000000000001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25-40E8-9C52-0454C4A6FDD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725-40E8-9C52-0454C4A6F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'10'!$F$103:$AC$103</c:f>
              <c:numCache>
                <c:formatCode>0.00</c:formatCode>
                <c:ptCount val="24"/>
                <c:pt idx="0">
                  <c:v>42.63</c:v>
                </c:pt>
                <c:pt idx="1">
                  <c:v>40.239999999999995</c:v>
                </c:pt>
                <c:pt idx="2">
                  <c:v>34.97</c:v>
                </c:pt>
                <c:pt idx="3">
                  <c:v>37.970000000000006</c:v>
                </c:pt>
                <c:pt idx="4">
                  <c:v>37.42</c:v>
                </c:pt>
                <c:pt idx="5">
                  <c:v>39.979999999999997</c:v>
                </c:pt>
                <c:pt idx="6">
                  <c:v>44.39</c:v>
                </c:pt>
                <c:pt idx="7">
                  <c:v>40.839999999999996</c:v>
                </c:pt>
                <c:pt idx="8">
                  <c:v>46.069999999999993</c:v>
                </c:pt>
                <c:pt idx="9">
                  <c:v>55.449999999999996</c:v>
                </c:pt>
                <c:pt idx="10">
                  <c:v>60.68</c:v>
                </c:pt>
                <c:pt idx="11">
                  <c:v>59.69</c:v>
                </c:pt>
                <c:pt idx="12">
                  <c:v>58.63</c:v>
                </c:pt>
                <c:pt idx="13">
                  <c:v>60.36</c:v>
                </c:pt>
                <c:pt idx="14">
                  <c:v>61.7</c:v>
                </c:pt>
                <c:pt idx="15">
                  <c:v>61.739999999999988</c:v>
                </c:pt>
                <c:pt idx="16">
                  <c:v>62.349999999999994</c:v>
                </c:pt>
                <c:pt idx="17">
                  <c:v>56.009999999999991</c:v>
                </c:pt>
                <c:pt idx="18">
                  <c:v>52.37</c:v>
                </c:pt>
                <c:pt idx="19">
                  <c:v>57.779999999999994</c:v>
                </c:pt>
                <c:pt idx="20">
                  <c:v>55.4</c:v>
                </c:pt>
                <c:pt idx="21">
                  <c:v>53.289999999999992</c:v>
                </c:pt>
                <c:pt idx="22">
                  <c:v>48.97</c:v>
                </c:pt>
                <c:pt idx="23">
                  <c:v>46.55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0-4536-9A32-50D89260AD60}"/>
            </c:ext>
          </c:extLst>
        </c:ser>
        <c:ser>
          <c:idx val="4"/>
          <c:order val="1"/>
          <c:tx>
            <c:strRef>
              <c:f>'10'!$A$107:$C$107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0.56000000000000005</c:v>
                </c:pt>
                <c:pt idx="12">
                  <c:v>1.36</c:v>
                </c:pt>
                <c:pt idx="13">
                  <c:v>0</c:v>
                </c:pt>
                <c:pt idx="14">
                  <c:v>0.83</c:v>
                </c:pt>
                <c:pt idx="15">
                  <c:v>0.83</c:v>
                </c:pt>
                <c:pt idx="16">
                  <c:v>0</c:v>
                </c:pt>
                <c:pt idx="17">
                  <c:v>0</c:v>
                </c:pt>
                <c:pt idx="18">
                  <c:v>0.91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0-4536-9A32-50D89260AD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DC0-4536-9A32-50D89260A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17804498264432"/>
          <c:y val="2.990938990648458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'11'!$F$103:$AC$103</c:f>
              <c:numCache>
                <c:formatCode>0.00</c:formatCode>
                <c:ptCount val="24"/>
                <c:pt idx="0">
                  <c:v>42.34</c:v>
                </c:pt>
                <c:pt idx="1">
                  <c:v>40.330000000000005</c:v>
                </c:pt>
                <c:pt idx="2">
                  <c:v>35.18</c:v>
                </c:pt>
                <c:pt idx="3">
                  <c:v>38.019999999999996</c:v>
                </c:pt>
                <c:pt idx="4">
                  <c:v>37.089999999999996</c:v>
                </c:pt>
                <c:pt idx="5">
                  <c:v>38.43</c:v>
                </c:pt>
                <c:pt idx="6">
                  <c:v>43.2</c:v>
                </c:pt>
                <c:pt idx="7">
                  <c:v>40.780000000000008</c:v>
                </c:pt>
                <c:pt idx="8">
                  <c:v>45.8</c:v>
                </c:pt>
                <c:pt idx="9">
                  <c:v>51.85</c:v>
                </c:pt>
                <c:pt idx="10">
                  <c:v>54.65</c:v>
                </c:pt>
                <c:pt idx="11">
                  <c:v>57.660000000000004</c:v>
                </c:pt>
                <c:pt idx="12">
                  <c:v>59.129999999999995</c:v>
                </c:pt>
                <c:pt idx="13">
                  <c:v>59.08</c:v>
                </c:pt>
                <c:pt idx="14">
                  <c:v>60.07</c:v>
                </c:pt>
                <c:pt idx="15">
                  <c:v>57.290000000000006</c:v>
                </c:pt>
                <c:pt idx="16">
                  <c:v>57.489999999999995</c:v>
                </c:pt>
                <c:pt idx="17">
                  <c:v>55.199999999999996</c:v>
                </c:pt>
                <c:pt idx="18">
                  <c:v>54.18</c:v>
                </c:pt>
                <c:pt idx="19">
                  <c:v>58.28</c:v>
                </c:pt>
                <c:pt idx="20">
                  <c:v>54.58</c:v>
                </c:pt>
                <c:pt idx="21">
                  <c:v>51.68</c:v>
                </c:pt>
                <c:pt idx="22">
                  <c:v>46.1</c:v>
                </c:pt>
                <c:pt idx="23">
                  <c:v>41.500000000000007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5-4293-9D35-349EC426E263}"/>
            </c:ext>
          </c:extLst>
        </c:ser>
        <c:ser>
          <c:idx val="4"/>
          <c:order val="1"/>
          <c:tx>
            <c:strRef>
              <c:f>'11'!$A$107:$C$107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0.77</c:v>
                </c:pt>
                <c:pt idx="10">
                  <c:v>1.5899999999999999</c:v>
                </c:pt>
                <c:pt idx="11">
                  <c:v>1.5899999999999999</c:v>
                </c:pt>
                <c:pt idx="12">
                  <c:v>0.82</c:v>
                </c:pt>
                <c:pt idx="13">
                  <c:v>0.82</c:v>
                </c:pt>
                <c:pt idx="14">
                  <c:v>0.82</c:v>
                </c:pt>
                <c:pt idx="15">
                  <c:v>0.82</c:v>
                </c:pt>
                <c:pt idx="16">
                  <c:v>0.82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5-4293-9D35-349EC426E26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565-4293-9D35-349EC426E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'12'!$F$103:$AC$103</c:f>
              <c:numCache>
                <c:formatCode>0.00</c:formatCode>
                <c:ptCount val="24"/>
                <c:pt idx="0">
                  <c:v>38.879999999999995</c:v>
                </c:pt>
                <c:pt idx="1">
                  <c:v>36.800000000000004</c:v>
                </c:pt>
                <c:pt idx="2">
                  <c:v>34.959999999999994</c:v>
                </c:pt>
                <c:pt idx="3">
                  <c:v>34.449999999999996</c:v>
                </c:pt>
                <c:pt idx="4">
                  <c:v>33.840000000000003</c:v>
                </c:pt>
                <c:pt idx="5">
                  <c:v>34.42</c:v>
                </c:pt>
                <c:pt idx="6">
                  <c:v>36.68</c:v>
                </c:pt>
                <c:pt idx="7">
                  <c:v>37.19</c:v>
                </c:pt>
                <c:pt idx="8">
                  <c:v>40.67</c:v>
                </c:pt>
                <c:pt idx="9">
                  <c:v>46.37</c:v>
                </c:pt>
                <c:pt idx="10">
                  <c:v>49.490000000000009</c:v>
                </c:pt>
                <c:pt idx="11">
                  <c:v>51.690000000000005</c:v>
                </c:pt>
                <c:pt idx="12">
                  <c:v>53.819999999999993</c:v>
                </c:pt>
                <c:pt idx="13">
                  <c:v>53.23</c:v>
                </c:pt>
                <c:pt idx="14">
                  <c:v>52.879999999999988</c:v>
                </c:pt>
                <c:pt idx="15">
                  <c:v>52.859999999999992</c:v>
                </c:pt>
                <c:pt idx="16">
                  <c:v>53.900000000000006</c:v>
                </c:pt>
                <c:pt idx="17">
                  <c:v>50.76</c:v>
                </c:pt>
                <c:pt idx="18">
                  <c:v>50.67</c:v>
                </c:pt>
                <c:pt idx="19">
                  <c:v>57.809999999999995</c:v>
                </c:pt>
                <c:pt idx="20">
                  <c:v>54.73</c:v>
                </c:pt>
                <c:pt idx="21">
                  <c:v>51.689999999999991</c:v>
                </c:pt>
                <c:pt idx="22">
                  <c:v>46.639999999999993</c:v>
                </c:pt>
                <c:pt idx="23">
                  <c:v>44.559999999999995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2-4E7B-8360-C1455AE5F544}"/>
            </c:ext>
          </c:extLst>
        </c:ser>
        <c:ser>
          <c:idx val="4"/>
          <c:order val="1"/>
          <c:tx>
            <c:strRef>
              <c:f>'12'!$A$107:$C$107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1.6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02-4E7B-8360-C1455AE5F54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902-4E7B-8360-C1455AE5F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'13'!$F$103:$AC$103</c:f>
              <c:numCache>
                <c:formatCode>0.00</c:formatCode>
                <c:ptCount val="24"/>
                <c:pt idx="0">
                  <c:v>41.160000000000004</c:v>
                </c:pt>
                <c:pt idx="1">
                  <c:v>38.28</c:v>
                </c:pt>
                <c:pt idx="2">
                  <c:v>35.359999999999992</c:v>
                </c:pt>
                <c:pt idx="3">
                  <c:v>35.24</c:v>
                </c:pt>
                <c:pt idx="4">
                  <c:v>34.909999999999997</c:v>
                </c:pt>
                <c:pt idx="5">
                  <c:v>34.96</c:v>
                </c:pt>
                <c:pt idx="6">
                  <c:v>36.510000000000005</c:v>
                </c:pt>
                <c:pt idx="7">
                  <c:v>37.270000000000003</c:v>
                </c:pt>
                <c:pt idx="8">
                  <c:v>40.36</c:v>
                </c:pt>
                <c:pt idx="9">
                  <c:v>43.03</c:v>
                </c:pt>
                <c:pt idx="10">
                  <c:v>45.829999999999991</c:v>
                </c:pt>
                <c:pt idx="11">
                  <c:v>47.79</c:v>
                </c:pt>
                <c:pt idx="12">
                  <c:v>49.62</c:v>
                </c:pt>
                <c:pt idx="13">
                  <c:v>49.98</c:v>
                </c:pt>
                <c:pt idx="14">
                  <c:v>49.530000000000008</c:v>
                </c:pt>
                <c:pt idx="15">
                  <c:v>49.24</c:v>
                </c:pt>
                <c:pt idx="16">
                  <c:v>48.459999999999994</c:v>
                </c:pt>
                <c:pt idx="17">
                  <c:v>50.4</c:v>
                </c:pt>
                <c:pt idx="18">
                  <c:v>50.970000000000006</c:v>
                </c:pt>
                <c:pt idx="19">
                  <c:v>57.720000000000013</c:v>
                </c:pt>
                <c:pt idx="20">
                  <c:v>55.059999999999995</c:v>
                </c:pt>
                <c:pt idx="21">
                  <c:v>52.390000000000008</c:v>
                </c:pt>
                <c:pt idx="22">
                  <c:v>48.640000000000008</c:v>
                </c:pt>
                <c:pt idx="23">
                  <c:v>43.87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39-4CBB-AF5B-AFA24B2180E8}"/>
            </c:ext>
          </c:extLst>
        </c:ser>
        <c:ser>
          <c:idx val="4"/>
          <c:order val="1"/>
          <c:tx>
            <c:strRef>
              <c:f>'13'!$A$107:$C$107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39-4CBB-AF5B-AFA24B2180E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339-4CBB-AF5B-AFA24B218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'14'!$F$103:$AC$103</c:f>
              <c:numCache>
                <c:formatCode>0.00</c:formatCode>
                <c:ptCount val="24"/>
                <c:pt idx="0">
                  <c:v>40.440000000000005</c:v>
                </c:pt>
                <c:pt idx="1">
                  <c:v>37.445</c:v>
                </c:pt>
                <c:pt idx="2">
                  <c:v>35.39</c:v>
                </c:pt>
                <c:pt idx="3">
                  <c:v>35.659999999999997</c:v>
                </c:pt>
                <c:pt idx="4">
                  <c:v>35.06</c:v>
                </c:pt>
                <c:pt idx="5">
                  <c:v>37.649999999999991</c:v>
                </c:pt>
                <c:pt idx="6">
                  <c:v>42.54</c:v>
                </c:pt>
                <c:pt idx="7">
                  <c:v>39.089999999999996</c:v>
                </c:pt>
                <c:pt idx="8">
                  <c:v>43.85</c:v>
                </c:pt>
                <c:pt idx="9">
                  <c:v>53.53</c:v>
                </c:pt>
                <c:pt idx="10">
                  <c:v>59.01</c:v>
                </c:pt>
                <c:pt idx="11">
                  <c:v>59.77</c:v>
                </c:pt>
                <c:pt idx="12">
                  <c:v>59.489999999999995</c:v>
                </c:pt>
                <c:pt idx="13">
                  <c:v>62.019999999999996</c:v>
                </c:pt>
                <c:pt idx="14">
                  <c:v>62.43</c:v>
                </c:pt>
                <c:pt idx="15">
                  <c:v>61.8</c:v>
                </c:pt>
                <c:pt idx="16">
                  <c:v>60.629999999999988</c:v>
                </c:pt>
                <c:pt idx="17">
                  <c:v>58.77</c:v>
                </c:pt>
                <c:pt idx="18">
                  <c:v>57.16</c:v>
                </c:pt>
                <c:pt idx="19">
                  <c:v>58.779999999999994</c:v>
                </c:pt>
                <c:pt idx="20">
                  <c:v>59.46</c:v>
                </c:pt>
                <c:pt idx="21">
                  <c:v>54.029999999999994</c:v>
                </c:pt>
                <c:pt idx="22">
                  <c:v>50.129999999999995</c:v>
                </c:pt>
                <c:pt idx="23">
                  <c:v>45.410000000000004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34-4D07-8A01-5C28533A197E}"/>
            </c:ext>
          </c:extLst>
        </c:ser>
        <c:ser>
          <c:idx val="4"/>
          <c:order val="1"/>
          <c:tx>
            <c:strRef>
              <c:f>'14'!$A$107:$C$107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34-4D07-8A01-5C28533A197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134-4D07-8A01-5C28533A1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'15'!$F$103:$AC$103</c:f>
              <c:numCache>
                <c:formatCode>0.00</c:formatCode>
                <c:ptCount val="24"/>
                <c:pt idx="0">
                  <c:v>40.869999999999997</c:v>
                </c:pt>
                <c:pt idx="1">
                  <c:v>39.18</c:v>
                </c:pt>
                <c:pt idx="2">
                  <c:v>35.5</c:v>
                </c:pt>
                <c:pt idx="3">
                  <c:v>36.14</c:v>
                </c:pt>
                <c:pt idx="4">
                  <c:v>35.79</c:v>
                </c:pt>
                <c:pt idx="5">
                  <c:v>37.32</c:v>
                </c:pt>
                <c:pt idx="6">
                  <c:v>43.540000000000006</c:v>
                </c:pt>
                <c:pt idx="7">
                  <c:v>40.65</c:v>
                </c:pt>
                <c:pt idx="8">
                  <c:v>46.300000000000011</c:v>
                </c:pt>
                <c:pt idx="9">
                  <c:v>54.239999999999995</c:v>
                </c:pt>
                <c:pt idx="10">
                  <c:v>56.73</c:v>
                </c:pt>
                <c:pt idx="11">
                  <c:v>57.529999999999994</c:v>
                </c:pt>
                <c:pt idx="12">
                  <c:v>57.52</c:v>
                </c:pt>
                <c:pt idx="13">
                  <c:v>58.63</c:v>
                </c:pt>
                <c:pt idx="14">
                  <c:v>60.209999999999994</c:v>
                </c:pt>
                <c:pt idx="15">
                  <c:v>60.77</c:v>
                </c:pt>
                <c:pt idx="16">
                  <c:v>62.519999999999996</c:v>
                </c:pt>
                <c:pt idx="17">
                  <c:v>57.160000000000004</c:v>
                </c:pt>
                <c:pt idx="18">
                  <c:v>55.19</c:v>
                </c:pt>
                <c:pt idx="19">
                  <c:v>60.61</c:v>
                </c:pt>
                <c:pt idx="20">
                  <c:v>57.629999999999995</c:v>
                </c:pt>
                <c:pt idx="21">
                  <c:v>54.61999999999999</c:v>
                </c:pt>
                <c:pt idx="22">
                  <c:v>48.24</c:v>
                </c:pt>
                <c:pt idx="23">
                  <c:v>44.870000000000005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B-448A-A6A0-EB82AB7003BE}"/>
            </c:ext>
          </c:extLst>
        </c:ser>
        <c:ser>
          <c:idx val="4"/>
          <c:order val="1"/>
          <c:tx>
            <c:strRef>
              <c:f>'15'!$A$107:$C$107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1.27</c:v>
                </c:pt>
                <c:pt idx="11">
                  <c:v>1.87</c:v>
                </c:pt>
                <c:pt idx="12">
                  <c:v>1.27</c:v>
                </c:pt>
                <c:pt idx="13">
                  <c:v>1.27</c:v>
                </c:pt>
                <c:pt idx="14">
                  <c:v>1.27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B-448A-A6A0-EB82AB7003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DB-448A-A6A0-EB82AB700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'16'!$F$103:$AC$103</c:f>
              <c:numCache>
                <c:formatCode>0.00</c:formatCode>
                <c:ptCount val="24"/>
                <c:pt idx="0">
                  <c:v>41.319999999999993</c:v>
                </c:pt>
                <c:pt idx="1">
                  <c:v>38.74</c:v>
                </c:pt>
                <c:pt idx="2">
                  <c:v>35.200000000000003</c:v>
                </c:pt>
                <c:pt idx="3">
                  <c:v>36.569999999999993</c:v>
                </c:pt>
                <c:pt idx="4">
                  <c:v>36.53</c:v>
                </c:pt>
                <c:pt idx="5">
                  <c:v>38.590000000000003</c:v>
                </c:pt>
                <c:pt idx="6">
                  <c:v>42.209999999999994</c:v>
                </c:pt>
                <c:pt idx="7">
                  <c:v>39.79</c:v>
                </c:pt>
                <c:pt idx="8">
                  <c:v>45.839999999999996</c:v>
                </c:pt>
                <c:pt idx="9">
                  <c:v>48.38</c:v>
                </c:pt>
                <c:pt idx="10">
                  <c:v>56.510000000000005</c:v>
                </c:pt>
                <c:pt idx="11">
                  <c:v>57.63</c:v>
                </c:pt>
                <c:pt idx="12">
                  <c:v>55.4</c:v>
                </c:pt>
                <c:pt idx="13">
                  <c:v>52.89</c:v>
                </c:pt>
                <c:pt idx="14">
                  <c:v>51.4</c:v>
                </c:pt>
                <c:pt idx="15">
                  <c:v>52.239999999999995</c:v>
                </c:pt>
                <c:pt idx="16">
                  <c:v>52.039999999999985</c:v>
                </c:pt>
                <c:pt idx="17">
                  <c:v>50.439999999999991</c:v>
                </c:pt>
                <c:pt idx="18">
                  <c:v>48.82</c:v>
                </c:pt>
                <c:pt idx="19">
                  <c:v>53.739999999999988</c:v>
                </c:pt>
                <c:pt idx="20">
                  <c:v>49.54</c:v>
                </c:pt>
                <c:pt idx="21">
                  <c:v>46.49</c:v>
                </c:pt>
                <c:pt idx="22">
                  <c:v>40.729999999999997</c:v>
                </c:pt>
                <c:pt idx="23">
                  <c:v>38.04999999999999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C-46C0-BAFD-2C1CE02DE510}"/>
            </c:ext>
          </c:extLst>
        </c:ser>
        <c:ser>
          <c:idx val="4"/>
          <c:order val="1"/>
          <c:tx>
            <c:strRef>
              <c:f>'16'!$A$107:$C$107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2.38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</c:v>
                </c:pt>
                <c:pt idx="20">
                  <c:v>1.25</c:v>
                </c:pt>
                <c:pt idx="21">
                  <c:v>0</c:v>
                </c:pt>
                <c:pt idx="22">
                  <c:v>0.56000000000000005</c:v>
                </c:pt>
                <c:pt idx="23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9C-46C0-BAFD-2C1CE02DE51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79C-46C0-BAFD-2C1CE02DE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'17'!$F$103:$AC$103</c:f>
              <c:numCache>
                <c:formatCode>0.00</c:formatCode>
                <c:ptCount val="24"/>
                <c:pt idx="0">
                  <c:v>35.739999999999995</c:v>
                </c:pt>
                <c:pt idx="1">
                  <c:v>34.58</c:v>
                </c:pt>
                <c:pt idx="2">
                  <c:v>34.119999999999997</c:v>
                </c:pt>
                <c:pt idx="3">
                  <c:v>32.11</c:v>
                </c:pt>
                <c:pt idx="4">
                  <c:v>33.06</c:v>
                </c:pt>
                <c:pt idx="5">
                  <c:v>31.08</c:v>
                </c:pt>
                <c:pt idx="6">
                  <c:v>34.47</c:v>
                </c:pt>
                <c:pt idx="7">
                  <c:v>33.86</c:v>
                </c:pt>
                <c:pt idx="8">
                  <c:v>38.440000000000005</c:v>
                </c:pt>
                <c:pt idx="9">
                  <c:v>45.690000000000005</c:v>
                </c:pt>
                <c:pt idx="10">
                  <c:v>48.62</c:v>
                </c:pt>
                <c:pt idx="11">
                  <c:v>48.18</c:v>
                </c:pt>
                <c:pt idx="12">
                  <c:v>45.809999999999995</c:v>
                </c:pt>
                <c:pt idx="13">
                  <c:v>46.14</c:v>
                </c:pt>
                <c:pt idx="14">
                  <c:v>47.980000000000004</c:v>
                </c:pt>
                <c:pt idx="15">
                  <c:v>47.93</c:v>
                </c:pt>
                <c:pt idx="16">
                  <c:v>47.85</c:v>
                </c:pt>
                <c:pt idx="17">
                  <c:v>47.34</c:v>
                </c:pt>
                <c:pt idx="18">
                  <c:v>46.680000000000007</c:v>
                </c:pt>
                <c:pt idx="19">
                  <c:v>49.589999999999996</c:v>
                </c:pt>
                <c:pt idx="20">
                  <c:v>46.59</c:v>
                </c:pt>
                <c:pt idx="21">
                  <c:v>42.81</c:v>
                </c:pt>
                <c:pt idx="22">
                  <c:v>39.57</c:v>
                </c:pt>
                <c:pt idx="23">
                  <c:v>37.449999999999996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C0-4C3F-91C8-355ABA8ECC29}"/>
            </c:ext>
          </c:extLst>
        </c:ser>
        <c:ser>
          <c:idx val="4"/>
          <c:order val="1"/>
          <c:tx>
            <c:strRef>
              <c:f>'17'!$A$107:$C$107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'17'!$F$107:$AC$107</c:f>
              <c:numCache>
                <c:formatCode>0.00</c:formatCode>
                <c:ptCount val="24"/>
                <c:pt idx="0">
                  <c:v>0.56000000000000005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0</c:v>
                </c:pt>
                <c:pt idx="5">
                  <c:v>4.6900000000000004</c:v>
                </c:pt>
                <c:pt idx="6">
                  <c:v>1.69</c:v>
                </c:pt>
                <c:pt idx="7">
                  <c:v>1.7199999999999998</c:v>
                </c:pt>
                <c:pt idx="8">
                  <c:v>1.0699999999999998</c:v>
                </c:pt>
                <c:pt idx="9">
                  <c:v>0.7</c:v>
                </c:pt>
                <c:pt idx="10">
                  <c:v>0.37</c:v>
                </c:pt>
                <c:pt idx="11">
                  <c:v>2.25</c:v>
                </c:pt>
                <c:pt idx="12">
                  <c:v>2.25</c:v>
                </c:pt>
                <c:pt idx="13">
                  <c:v>0.45</c:v>
                </c:pt>
                <c:pt idx="14">
                  <c:v>0.45</c:v>
                </c:pt>
                <c:pt idx="15">
                  <c:v>2.04</c:v>
                </c:pt>
                <c:pt idx="16">
                  <c:v>2.77</c:v>
                </c:pt>
                <c:pt idx="17">
                  <c:v>2.71</c:v>
                </c:pt>
                <c:pt idx="18">
                  <c:v>2.06</c:v>
                </c:pt>
                <c:pt idx="19">
                  <c:v>0</c:v>
                </c:pt>
                <c:pt idx="20">
                  <c:v>0.94</c:v>
                </c:pt>
                <c:pt idx="21">
                  <c:v>1.07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C0-4C3F-91C8-355ABA8ECC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1C0-4C3F-91C8-355ABA8EC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'18'!$F$103:$AC$103</c:f>
              <c:numCache>
                <c:formatCode>0.00</c:formatCode>
                <c:ptCount val="24"/>
                <c:pt idx="0">
                  <c:v>32.33</c:v>
                </c:pt>
                <c:pt idx="1">
                  <c:v>30.810000000000002</c:v>
                </c:pt>
                <c:pt idx="2">
                  <c:v>33.83</c:v>
                </c:pt>
                <c:pt idx="3">
                  <c:v>29.35</c:v>
                </c:pt>
                <c:pt idx="4">
                  <c:v>29.310000000000002</c:v>
                </c:pt>
                <c:pt idx="5">
                  <c:v>30.040000000000003</c:v>
                </c:pt>
                <c:pt idx="6">
                  <c:v>31.24</c:v>
                </c:pt>
                <c:pt idx="7">
                  <c:v>33.940000000000005</c:v>
                </c:pt>
                <c:pt idx="8">
                  <c:v>34.880000000000003</c:v>
                </c:pt>
                <c:pt idx="9">
                  <c:v>40.39</c:v>
                </c:pt>
                <c:pt idx="10">
                  <c:v>42.46</c:v>
                </c:pt>
                <c:pt idx="11">
                  <c:v>42.58</c:v>
                </c:pt>
                <c:pt idx="12">
                  <c:v>39.900000000000006</c:v>
                </c:pt>
                <c:pt idx="13">
                  <c:v>40.489999999999995</c:v>
                </c:pt>
                <c:pt idx="14">
                  <c:v>0.52</c:v>
                </c:pt>
                <c:pt idx="15">
                  <c:v>3.9200000000000004</c:v>
                </c:pt>
                <c:pt idx="16">
                  <c:v>21.23</c:v>
                </c:pt>
                <c:pt idx="17">
                  <c:v>29.970000000000002</c:v>
                </c:pt>
                <c:pt idx="18">
                  <c:v>29</c:v>
                </c:pt>
                <c:pt idx="19">
                  <c:v>37.35</c:v>
                </c:pt>
                <c:pt idx="20">
                  <c:v>33.770000000000003</c:v>
                </c:pt>
                <c:pt idx="21">
                  <c:v>39.26</c:v>
                </c:pt>
                <c:pt idx="22">
                  <c:v>35.72</c:v>
                </c:pt>
                <c:pt idx="23">
                  <c:v>32.04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8C-4181-B034-C21B1F4F95CB}"/>
            </c:ext>
          </c:extLst>
        </c:ser>
        <c:ser>
          <c:idx val="4"/>
          <c:order val="1"/>
          <c:tx>
            <c:strRef>
              <c:f>'18'!$A$107:$C$107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0.93</c:v>
                </c:pt>
                <c:pt idx="7">
                  <c:v>0.93</c:v>
                </c:pt>
                <c:pt idx="8">
                  <c:v>3.01</c:v>
                </c:pt>
                <c:pt idx="9">
                  <c:v>2.13</c:v>
                </c:pt>
                <c:pt idx="10">
                  <c:v>2.13</c:v>
                </c:pt>
                <c:pt idx="11">
                  <c:v>2.13</c:v>
                </c:pt>
                <c:pt idx="12">
                  <c:v>2.91</c:v>
                </c:pt>
                <c:pt idx="13">
                  <c:v>2.4300000000000002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8C-4181-B034-C21B1F4F95C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8C-4181-B034-C21B1F4F9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'19'!$F$103:$AC$103</c:f>
              <c:numCache>
                <c:formatCode>0.00</c:formatCode>
                <c:ptCount val="24"/>
                <c:pt idx="0">
                  <c:v>30.09</c:v>
                </c:pt>
                <c:pt idx="1">
                  <c:v>28.94</c:v>
                </c:pt>
                <c:pt idx="2">
                  <c:v>32.120000000000005</c:v>
                </c:pt>
                <c:pt idx="3">
                  <c:v>26.49</c:v>
                </c:pt>
                <c:pt idx="4">
                  <c:v>27.25</c:v>
                </c:pt>
                <c:pt idx="5">
                  <c:v>27.88</c:v>
                </c:pt>
                <c:pt idx="6">
                  <c:v>29.7</c:v>
                </c:pt>
                <c:pt idx="7">
                  <c:v>31.55</c:v>
                </c:pt>
                <c:pt idx="8">
                  <c:v>34.15</c:v>
                </c:pt>
                <c:pt idx="9">
                  <c:v>40.26</c:v>
                </c:pt>
                <c:pt idx="10">
                  <c:v>44.550000000000004</c:v>
                </c:pt>
                <c:pt idx="11">
                  <c:v>39.43</c:v>
                </c:pt>
                <c:pt idx="12">
                  <c:v>34.72</c:v>
                </c:pt>
                <c:pt idx="13">
                  <c:v>42.56</c:v>
                </c:pt>
                <c:pt idx="14">
                  <c:v>43.26</c:v>
                </c:pt>
                <c:pt idx="15">
                  <c:v>45.089999999999989</c:v>
                </c:pt>
                <c:pt idx="16">
                  <c:v>45.76</c:v>
                </c:pt>
                <c:pt idx="17">
                  <c:v>45.250000000000007</c:v>
                </c:pt>
                <c:pt idx="18">
                  <c:v>47.499999999999993</c:v>
                </c:pt>
                <c:pt idx="19">
                  <c:v>52.615000000000002</c:v>
                </c:pt>
                <c:pt idx="20">
                  <c:v>52.59</c:v>
                </c:pt>
                <c:pt idx="21">
                  <c:v>48.580000000000005</c:v>
                </c:pt>
                <c:pt idx="22">
                  <c:v>45.4</c:v>
                </c:pt>
                <c:pt idx="23">
                  <c:v>40.89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1-48F4-8A73-881FD918013C}"/>
            </c:ext>
          </c:extLst>
        </c:ser>
        <c:ser>
          <c:idx val="4"/>
          <c:order val="1"/>
          <c:tx>
            <c:strRef>
              <c:f>'19'!$A$107:$C$107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'19'!$F$107:$AC$107</c:f>
              <c:numCache>
                <c:formatCode>0.00</c:formatCode>
                <c:ptCount val="24"/>
                <c:pt idx="0">
                  <c:v>2.23</c:v>
                </c:pt>
                <c:pt idx="1">
                  <c:v>2.23</c:v>
                </c:pt>
                <c:pt idx="2">
                  <c:v>2.23</c:v>
                </c:pt>
                <c:pt idx="3">
                  <c:v>3.33</c:v>
                </c:pt>
                <c:pt idx="4">
                  <c:v>2.23</c:v>
                </c:pt>
                <c:pt idx="5">
                  <c:v>2.23</c:v>
                </c:pt>
                <c:pt idx="6">
                  <c:v>2.23</c:v>
                </c:pt>
                <c:pt idx="7">
                  <c:v>1.73</c:v>
                </c:pt>
                <c:pt idx="8">
                  <c:v>1.73</c:v>
                </c:pt>
                <c:pt idx="9">
                  <c:v>0.93</c:v>
                </c:pt>
                <c:pt idx="10">
                  <c:v>0.93</c:v>
                </c:pt>
                <c:pt idx="11">
                  <c:v>0.93</c:v>
                </c:pt>
                <c:pt idx="12">
                  <c:v>11.080000000000002</c:v>
                </c:pt>
                <c:pt idx="13">
                  <c:v>1.23</c:v>
                </c:pt>
                <c:pt idx="14">
                  <c:v>3.0599999999999996</c:v>
                </c:pt>
                <c:pt idx="15">
                  <c:v>2.2999999999999998</c:v>
                </c:pt>
                <c:pt idx="16">
                  <c:v>2.2999999999999998</c:v>
                </c:pt>
                <c:pt idx="17">
                  <c:v>2.6</c:v>
                </c:pt>
                <c:pt idx="18">
                  <c:v>1.53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1-48F4-8A73-881FD918013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5E1-48F4-8A73-881FD9180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'20'!$F$103:$AC$103</c:f>
              <c:numCache>
                <c:formatCode>0.00</c:formatCode>
                <c:ptCount val="24"/>
                <c:pt idx="0">
                  <c:v>37.229999999999997</c:v>
                </c:pt>
                <c:pt idx="1">
                  <c:v>35.269999999999996</c:v>
                </c:pt>
                <c:pt idx="2">
                  <c:v>33.340000000000003</c:v>
                </c:pt>
                <c:pt idx="3">
                  <c:v>32.169999999999995</c:v>
                </c:pt>
                <c:pt idx="4">
                  <c:v>31.589999999999996</c:v>
                </c:pt>
                <c:pt idx="5">
                  <c:v>31.51</c:v>
                </c:pt>
                <c:pt idx="6">
                  <c:v>31.959999999999997</c:v>
                </c:pt>
                <c:pt idx="7">
                  <c:v>36.07</c:v>
                </c:pt>
                <c:pt idx="8">
                  <c:v>38.4</c:v>
                </c:pt>
                <c:pt idx="9">
                  <c:v>44.6</c:v>
                </c:pt>
                <c:pt idx="10">
                  <c:v>47.679999999999986</c:v>
                </c:pt>
                <c:pt idx="11">
                  <c:v>48.74</c:v>
                </c:pt>
                <c:pt idx="12">
                  <c:v>48.080000000000005</c:v>
                </c:pt>
                <c:pt idx="13">
                  <c:v>50.22</c:v>
                </c:pt>
                <c:pt idx="14">
                  <c:v>51.8</c:v>
                </c:pt>
                <c:pt idx="15">
                  <c:v>49.77</c:v>
                </c:pt>
                <c:pt idx="16">
                  <c:v>48.519999999999996</c:v>
                </c:pt>
                <c:pt idx="17">
                  <c:v>48.61999999999999</c:v>
                </c:pt>
                <c:pt idx="18">
                  <c:v>50.919999999999995</c:v>
                </c:pt>
                <c:pt idx="19">
                  <c:v>53.62</c:v>
                </c:pt>
                <c:pt idx="20">
                  <c:v>52.440000000000005</c:v>
                </c:pt>
                <c:pt idx="21">
                  <c:v>51.320000000000007</c:v>
                </c:pt>
                <c:pt idx="22">
                  <c:v>47.360000000000007</c:v>
                </c:pt>
                <c:pt idx="23">
                  <c:v>43.88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C3-408F-83C2-A843DD4CD193}"/>
            </c:ext>
          </c:extLst>
        </c:ser>
        <c:ser>
          <c:idx val="4"/>
          <c:order val="1"/>
          <c:tx>
            <c:strRef>
              <c:f>'20'!$A$107:$C$107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0.71</c:v>
                </c:pt>
                <c:pt idx="3">
                  <c:v>0.71</c:v>
                </c:pt>
                <c:pt idx="4">
                  <c:v>0.71</c:v>
                </c:pt>
                <c:pt idx="5">
                  <c:v>1.51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3-408F-83C2-A843DD4CD19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9C3-408F-83C2-A843DD4CD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'21'!$F$103:$AC$103</c:f>
              <c:numCache>
                <c:formatCode>0.00</c:formatCode>
                <c:ptCount val="24"/>
                <c:pt idx="0">
                  <c:v>39.03</c:v>
                </c:pt>
                <c:pt idx="1">
                  <c:v>36.620000000000005</c:v>
                </c:pt>
                <c:pt idx="2">
                  <c:v>34.75</c:v>
                </c:pt>
                <c:pt idx="3">
                  <c:v>34.229999999999997</c:v>
                </c:pt>
                <c:pt idx="4">
                  <c:v>32.67</c:v>
                </c:pt>
                <c:pt idx="5">
                  <c:v>32.400000000000006</c:v>
                </c:pt>
                <c:pt idx="6">
                  <c:v>40.69</c:v>
                </c:pt>
                <c:pt idx="7">
                  <c:v>37.92</c:v>
                </c:pt>
                <c:pt idx="8">
                  <c:v>42.93</c:v>
                </c:pt>
                <c:pt idx="9">
                  <c:v>51.42</c:v>
                </c:pt>
                <c:pt idx="10">
                  <c:v>54.06</c:v>
                </c:pt>
                <c:pt idx="11">
                  <c:v>58.269999999999996</c:v>
                </c:pt>
                <c:pt idx="12">
                  <c:v>58.050000000000004</c:v>
                </c:pt>
                <c:pt idx="13">
                  <c:v>57.76</c:v>
                </c:pt>
                <c:pt idx="14">
                  <c:v>60.94</c:v>
                </c:pt>
                <c:pt idx="15">
                  <c:v>51.44</c:v>
                </c:pt>
                <c:pt idx="16">
                  <c:v>57.9</c:v>
                </c:pt>
                <c:pt idx="17">
                  <c:v>57.23</c:v>
                </c:pt>
                <c:pt idx="18">
                  <c:v>51.02</c:v>
                </c:pt>
                <c:pt idx="19">
                  <c:v>52.289999999999992</c:v>
                </c:pt>
                <c:pt idx="20">
                  <c:v>49.249999999999993</c:v>
                </c:pt>
                <c:pt idx="21">
                  <c:v>46.52</c:v>
                </c:pt>
                <c:pt idx="22">
                  <c:v>42.15</c:v>
                </c:pt>
                <c:pt idx="23">
                  <c:v>38.15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E-4E5B-AC14-E57E531FBE60}"/>
            </c:ext>
          </c:extLst>
        </c:ser>
        <c:ser>
          <c:idx val="4"/>
          <c:order val="1"/>
          <c:tx>
            <c:strRef>
              <c:f>'21'!$A$107:$C$107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3.2869000000000002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7.36</c:v>
                </c:pt>
                <c:pt idx="16">
                  <c:v>0</c:v>
                </c:pt>
                <c:pt idx="17">
                  <c:v>0</c:v>
                </c:pt>
                <c:pt idx="18">
                  <c:v>1.67</c:v>
                </c:pt>
                <c:pt idx="19">
                  <c:v>1.67</c:v>
                </c:pt>
                <c:pt idx="20">
                  <c:v>1.67</c:v>
                </c:pt>
                <c:pt idx="21">
                  <c:v>1.65</c:v>
                </c:pt>
                <c:pt idx="22">
                  <c:v>1.65</c:v>
                </c:pt>
                <c:pt idx="23">
                  <c:v>1.65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AE-4E5B-AC14-E57E531FBE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9AE-4E5B-AC14-E57E531FB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'22'!$F$103:$AC$103</c:f>
              <c:numCache>
                <c:formatCode>0.00</c:formatCode>
                <c:ptCount val="24"/>
                <c:pt idx="0">
                  <c:v>36.46</c:v>
                </c:pt>
                <c:pt idx="1">
                  <c:v>34.860000000000007</c:v>
                </c:pt>
                <c:pt idx="2">
                  <c:v>34.54</c:v>
                </c:pt>
                <c:pt idx="3">
                  <c:v>33.26</c:v>
                </c:pt>
                <c:pt idx="4">
                  <c:v>33.119999999999997</c:v>
                </c:pt>
                <c:pt idx="5">
                  <c:v>35.799999999999997</c:v>
                </c:pt>
                <c:pt idx="6">
                  <c:v>41.830000000000005</c:v>
                </c:pt>
                <c:pt idx="7">
                  <c:v>38.720000000000006</c:v>
                </c:pt>
                <c:pt idx="8">
                  <c:v>44.46</c:v>
                </c:pt>
                <c:pt idx="9">
                  <c:v>51.059999999999995</c:v>
                </c:pt>
                <c:pt idx="10">
                  <c:v>58.41</c:v>
                </c:pt>
                <c:pt idx="11">
                  <c:v>57.449999999999989</c:v>
                </c:pt>
                <c:pt idx="12">
                  <c:v>58.38</c:v>
                </c:pt>
                <c:pt idx="13">
                  <c:v>59.21</c:v>
                </c:pt>
                <c:pt idx="14">
                  <c:v>61.38</c:v>
                </c:pt>
                <c:pt idx="15">
                  <c:v>61.27</c:v>
                </c:pt>
                <c:pt idx="16">
                  <c:v>60.55</c:v>
                </c:pt>
                <c:pt idx="17">
                  <c:v>57.44</c:v>
                </c:pt>
                <c:pt idx="18">
                  <c:v>57.39</c:v>
                </c:pt>
                <c:pt idx="19">
                  <c:v>60.739999999999988</c:v>
                </c:pt>
                <c:pt idx="20">
                  <c:v>58.019999999999996</c:v>
                </c:pt>
                <c:pt idx="21">
                  <c:v>53.54999999999999</c:v>
                </c:pt>
                <c:pt idx="22">
                  <c:v>48.65</c:v>
                </c:pt>
                <c:pt idx="23">
                  <c:v>45.32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D-410B-B9CD-0B6DF744CD58}"/>
            </c:ext>
          </c:extLst>
        </c:ser>
        <c:ser>
          <c:idx val="4"/>
          <c:order val="1"/>
          <c:tx>
            <c:strRef>
              <c:f>'22'!$A$107:$C$107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FD-410B-B9CD-0B6DF744CD5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FD-410B-B9CD-0B6DF744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'23'!$F$103:$AC$103</c:f>
              <c:numCache>
                <c:formatCode>0.00</c:formatCode>
                <c:ptCount val="24"/>
                <c:pt idx="0">
                  <c:v>42.13</c:v>
                </c:pt>
                <c:pt idx="1">
                  <c:v>37.800000000000004</c:v>
                </c:pt>
                <c:pt idx="2">
                  <c:v>37.86999999999999</c:v>
                </c:pt>
                <c:pt idx="3">
                  <c:v>37.709999999999994</c:v>
                </c:pt>
                <c:pt idx="4">
                  <c:v>36.68</c:v>
                </c:pt>
                <c:pt idx="5">
                  <c:v>37.204999999999998</c:v>
                </c:pt>
                <c:pt idx="6">
                  <c:v>40.04</c:v>
                </c:pt>
                <c:pt idx="7">
                  <c:v>39.31</c:v>
                </c:pt>
                <c:pt idx="8">
                  <c:v>45.75</c:v>
                </c:pt>
                <c:pt idx="9">
                  <c:v>51.13</c:v>
                </c:pt>
                <c:pt idx="10">
                  <c:v>55.91</c:v>
                </c:pt>
                <c:pt idx="11">
                  <c:v>57.43</c:v>
                </c:pt>
                <c:pt idx="12">
                  <c:v>56.66</c:v>
                </c:pt>
                <c:pt idx="13">
                  <c:v>54.610000000000007</c:v>
                </c:pt>
                <c:pt idx="14">
                  <c:v>53.669999999999995</c:v>
                </c:pt>
                <c:pt idx="15">
                  <c:v>54.989999999999995</c:v>
                </c:pt>
                <c:pt idx="16">
                  <c:v>53.85</c:v>
                </c:pt>
                <c:pt idx="17">
                  <c:v>53.080000000000005</c:v>
                </c:pt>
                <c:pt idx="18">
                  <c:v>53.73</c:v>
                </c:pt>
                <c:pt idx="19">
                  <c:v>57.109999999999992</c:v>
                </c:pt>
                <c:pt idx="20">
                  <c:v>54.18</c:v>
                </c:pt>
                <c:pt idx="21">
                  <c:v>51.230000000000004</c:v>
                </c:pt>
                <c:pt idx="22">
                  <c:v>47.59</c:v>
                </c:pt>
                <c:pt idx="23">
                  <c:v>43.919999999999995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F-4F8D-8235-6054BEFAF493}"/>
            </c:ext>
          </c:extLst>
        </c:ser>
        <c:ser>
          <c:idx val="4"/>
          <c:order val="1"/>
          <c:tx>
            <c:strRef>
              <c:f>'23'!$A$107:$C$107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'23'!$F$107:$AC$107</c:f>
              <c:numCache>
                <c:formatCode>0.00</c:formatCode>
                <c:ptCount val="24"/>
                <c:pt idx="0">
                  <c:v>0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F-4F8D-8235-6054BEFAF49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FF-4F8D-8235-6054BEFAF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'24'!$F$103:$AC$103</c:f>
              <c:numCache>
                <c:formatCode>0.00</c:formatCode>
                <c:ptCount val="24"/>
                <c:pt idx="0">
                  <c:v>41.120000000000005</c:v>
                </c:pt>
                <c:pt idx="1">
                  <c:v>39.19</c:v>
                </c:pt>
                <c:pt idx="2">
                  <c:v>37.47</c:v>
                </c:pt>
                <c:pt idx="3">
                  <c:v>37.449999999999996</c:v>
                </c:pt>
                <c:pt idx="4">
                  <c:v>36.71</c:v>
                </c:pt>
                <c:pt idx="5">
                  <c:v>37.82</c:v>
                </c:pt>
                <c:pt idx="6">
                  <c:v>39.980000000000004</c:v>
                </c:pt>
                <c:pt idx="7">
                  <c:v>38.889999999999993</c:v>
                </c:pt>
                <c:pt idx="8">
                  <c:v>43.77</c:v>
                </c:pt>
                <c:pt idx="9">
                  <c:v>49.269999999999996</c:v>
                </c:pt>
                <c:pt idx="10">
                  <c:v>56.70000000000001</c:v>
                </c:pt>
                <c:pt idx="11">
                  <c:v>57.02</c:v>
                </c:pt>
                <c:pt idx="12">
                  <c:v>56.070000000000014</c:v>
                </c:pt>
                <c:pt idx="13">
                  <c:v>55.36</c:v>
                </c:pt>
                <c:pt idx="14">
                  <c:v>56</c:v>
                </c:pt>
                <c:pt idx="15">
                  <c:v>56.99</c:v>
                </c:pt>
                <c:pt idx="16">
                  <c:v>55.09</c:v>
                </c:pt>
                <c:pt idx="17">
                  <c:v>55.04</c:v>
                </c:pt>
                <c:pt idx="18">
                  <c:v>54.57</c:v>
                </c:pt>
                <c:pt idx="19">
                  <c:v>57.220000000000006</c:v>
                </c:pt>
                <c:pt idx="20">
                  <c:v>52.95</c:v>
                </c:pt>
                <c:pt idx="21">
                  <c:v>51.320000000000007</c:v>
                </c:pt>
                <c:pt idx="22">
                  <c:v>47.18</c:v>
                </c:pt>
                <c:pt idx="23">
                  <c:v>44.300000000000004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3-4C2D-9D9E-C1ED3D9BC1CE}"/>
            </c:ext>
          </c:extLst>
        </c:ser>
        <c:ser>
          <c:idx val="4"/>
          <c:order val="1"/>
          <c:tx>
            <c:strRef>
              <c:f>'24'!$A$107:$C$107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1.06</c:v>
                </c:pt>
                <c:pt idx="8">
                  <c:v>0</c:v>
                </c:pt>
                <c:pt idx="9">
                  <c:v>0.4</c:v>
                </c:pt>
                <c:pt idx="10">
                  <c:v>0.4</c:v>
                </c:pt>
                <c:pt idx="11">
                  <c:v>0.83000000000000007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3-4C2D-9D9E-C1ED3D9BC1C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633-4C2D-9D9E-C1ED3D9BC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'25'!$F$103:$AC$103</c:f>
              <c:numCache>
                <c:formatCode>0.00</c:formatCode>
                <c:ptCount val="24"/>
                <c:pt idx="0">
                  <c:v>40.65</c:v>
                </c:pt>
                <c:pt idx="1">
                  <c:v>37.549999999999997</c:v>
                </c:pt>
                <c:pt idx="2">
                  <c:v>36.530000000000008</c:v>
                </c:pt>
                <c:pt idx="3">
                  <c:v>35.96</c:v>
                </c:pt>
                <c:pt idx="4">
                  <c:v>35.6</c:v>
                </c:pt>
                <c:pt idx="5">
                  <c:v>35.510000000000005</c:v>
                </c:pt>
                <c:pt idx="6">
                  <c:v>37.67</c:v>
                </c:pt>
                <c:pt idx="7">
                  <c:v>38.239999999999995</c:v>
                </c:pt>
                <c:pt idx="8">
                  <c:v>43.644999999999996</c:v>
                </c:pt>
                <c:pt idx="9">
                  <c:v>48.540000000000006</c:v>
                </c:pt>
                <c:pt idx="10">
                  <c:v>54.09</c:v>
                </c:pt>
                <c:pt idx="11">
                  <c:v>54.629999999999995</c:v>
                </c:pt>
                <c:pt idx="12">
                  <c:v>50.649999999999991</c:v>
                </c:pt>
                <c:pt idx="13">
                  <c:v>54.269999999999996</c:v>
                </c:pt>
                <c:pt idx="14">
                  <c:v>53.34</c:v>
                </c:pt>
                <c:pt idx="15">
                  <c:v>51.400000000000006</c:v>
                </c:pt>
                <c:pt idx="16">
                  <c:v>49.359999999999992</c:v>
                </c:pt>
                <c:pt idx="17">
                  <c:v>47.160000000000004</c:v>
                </c:pt>
                <c:pt idx="18">
                  <c:v>46.82</c:v>
                </c:pt>
                <c:pt idx="19">
                  <c:v>50.010000000000005</c:v>
                </c:pt>
                <c:pt idx="20">
                  <c:v>46.88</c:v>
                </c:pt>
                <c:pt idx="21">
                  <c:v>46.919999999999995</c:v>
                </c:pt>
                <c:pt idx="22">
                  <c:v>42.730000000000004</c:v>
                </c:pt>
                <c:pt idx="23">
                  <c:v>39.660000000000004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F-48C2-A3E5-0380F2F2C1BE}"/>
            </c:ext>
          </c:extLst>
        </c:ser>
        <c:ser>
          <c:idx val="4"/>
          <c:order val="1"/>
          <c:tx>
            <c:strRef>
              <c:f>'25'!$A$107:$C$107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F-48C2-A3E5-0380F2F2C1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0AF-48C2-A3E5-0380F2F2C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'26'!$F$103:$AC$103</c:f>
              <c:numCache>
                <c:formatCode>0.00</c:formatCode>
                <c:ptCount val="24"/>
                <c:pt idx="0">
                  <c:v>36.119999999999997</c:v>
                </c:pt>
                <c:pt idx="1">
                  <c:v>33.839999999999996</c:v>
                </c:pt>
                <c:pt idx="2">
                  <c:v>32.51</c:v>
                </c:pt>
                <c:pt idx="3">
                  <c:v>31.860000000000003</c:v>
                </c:pt>
                <c:pt idx="4">
                  <c:v>31.56</c:v>
                </c:pt>
                <c:pt idx="5">
                  <c:v>31.730000000000004</c:v>
                </c:pt>
                <c:pt idx="6">
                  <c:v>34.42</c:v>
                </c:pt>
                <c:pt idx="7">
                  <c:v>34.610000000000007</c:v>
                </c:pt>
                <c:pt idx="8">
                  <c:v>38.120000000000005</c:v>
                </c:pt>
                <c:pt idx="9">
                  <c:v>43.36</c:v>
                </c:pt>
                <c:pt idx="10">
                  <c:v>47.2</c:v>
                </c:pt>
                <c:pt idx="11">
                  <c:v>48.909999999999989</c:v>
                </c:pt>
                <c:pt idx="12">
                  <c:v>50.190000000000005</c:v>
                </c:pt>
                <c:pt idx="13">
                  <c:v>51.86999999999999</c:v>
                </c:pt>
                <c:pt idx="14">
                  <c:v>51.620000000000005</c:v>
                </c:pt>
                <c:pt idx="15">
                  <c:v>51.71</c:v>
                </c:pt>
                <c:pt idx="16">
                  <c:v>50.07</c:v>
                </c:pt>
                <c:pt idx="17">
                  <c:v>48.51</c:v>
                </c:pt>
                <c:pt idx="18">
                  <c:v>50.38</c:v>
                </c:pt>
                <c:pt idx="19">
                  <c:v>56.4</c:v>
                </c:pt>
                <c:pt idx="20">
                  <c:v>52.589999999999996</c:v>
                </c:pt>
                <c:pt idx="21">
                  <c:v>49.960000000000008</c:v>
                </c:pt>
                <c:pt idx="22">
                  <c:v>46.01</c:v>
                </c:pt>
                <c:pt idx="23">
                  <c:v>42.63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1-463B-AB9F-34252A469F67}"/>
            </c:ext>
          </c:extLst>
        </c:ser>
        <c:ser>
          <c:idx val="4"/>
          <c:order val="1"/>
          <c:tx>
            <c:strRef>
              <c:f>'26'!$A$107:$C$107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0.88</c:v>
                </c:pt>
                <c:pt idx="10">
                  <c:v>0.88</c:v>
                </c:pt>
                <c:pt idx="11">
                  <c:v>0.88</c:v>
                </c:pt>
                <c:pt idx="12">
                  <c:v>0.88</c:v>
                </c:pt>
                <c:pt idx="13">
                  <c:v>0</c:v>
                </c:pt>
                <c:pt idx="14">
                  <c:v>1.07</c:v>
                </c:pt>
                <c:pt idx="15">
                  <c:v>1.7</c:v>
                </c:pt>
                <c:pt idx="16">
                  <c:v>2.58</c:v>
                </c:pt>
                <c:pt idx="17">
                  <c:v>1.7</c:v>
                </c:pt>
                <c:pt idx="18">
                  <c:v>1.7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1-463B-AB9F-34252A469F6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321-463B-AB9F-34252A469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'27'!$F$103:$AC$103</c:f>
              <c:numCache>
                <c:formatCode>0.00</c:formatCode>
                <c:ptCount val="24"/>
                <c:pt idx="0">
                  <c:v>39.379999999999995</c:v>
                </c:pt>
                <c:pt idx="1">
                  <c:v>36.130000000000003</c:v>
                </c:pt>
                <c:pt idx="2">
                  <c:v>34.68</c:v>
                </c:pt>
                <c:pt idx="3">
                  <c:v>33.47</c:v>
                </c:pt>
                <c:pt idx="4">
                  <c:v>33.03</c:v>
                </c:pt>
                <c:pt idx="5">
                  <c:v>32.910000000000004</c:v>
                </c:pt>
                <c:pt idx="6">
                  <c:v>34.64</c:v>
                </c:pt>
                <c:pt idx="7">
                  <c:v>34.790000000000006</c:v>
                </c:pt>
                <c:pt idx="8">
                  <c:v>36.720000000000006</c:v>
                </c:pt>
                <c:pt idx="9">
                  <c:v>42.689999999999991</c:v>
                </c:pt>
                <c:pt idx="10">
                  <c:v>45.68</c:v>
                </c:pt>
                <c:pt idx="11">
                  <c:v>46.62</c:v>
                </c:pt>
                <c:pt idx="12">
                  <c:v>48.699999999999996</c:v>
                </c:pt>
                <c:pt idx="13">
                  <c:v>47.580000000000005</c:v>
                </c:pt>
                <c:pt idx="14">
                  <c:v>48.699999999999996</c:v>
                </c:pt>
                <c:pt idx="15">
                  <c:v>48.5</c:v>
                </c:pt>
                <c:pt idx="16">
                  <c:v>50.46</c:v>
                </c:pt>
                <c:pt idx="17">
                  <c:v>48.480000000000004</c:v>
                </c:pt>
                <c:pt idx="18">
                  <c:v>49.399999999999991</c:v>
                </c:pt>
                <c:pt idx="19">
                  <c:v>56.58</c:v>
                </c:pt>
                <c:pt idx="20">
                  <c:v>55.02</c:v>
                </c:pt>
                <c:pt idx="21">
                  <c:v>52.16</c:v>
                </c:pt>
                <c:pt idx="22">
                  <c:v>47.47</c:v>
                </c:pt>
                <c:pt idx="23">
                  <c:v>43.569999999999993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3-4C2C-8F04-2CDF4D578CEB}"/>
            </c:ext>
          </c:extLst>
        </c:ser>
        <c:ser>
          <c:idx val="4"/>
          <c:order val="1"/>
          <c:tx>
            <c:strRef>
              <c:f>'27'!$A$107:$C$107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</c:v>
                </c:pt>
                <c:pt idx="13">
                  <c:v>0.8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3-4C2C-8F04-2CDF4D578CE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23-4C2C-8F04-2CDF4D578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'28'!$F$103:$AC$103</c:f>
              <c:numCache>
                <c:formatCode>0.00</c:formatCode>
                <c:ptCount val="24"/>
                <c:pt idx="0">
                  <c:v>39.720000000000006</c:v>
                </c:pt>
                <c:pt idx="1">
                  <c:v>37.150000000000006</c:v>
                </c:pt>
                <c:pt idx="2">
                  <c:v>34.75</c:v>
                </c:pt>
                <c:pt idx="3">
                  <c:v>31.88</c:v>
                </c:pt>
                <c:pt idx="4">
                  <c:v>33.86</c:v>
                </c:pt>
                <c:pt idx="5">
                  <c:v>35.97</c:v>
                </c:pt>
                <c:pt idx="6">
                  <c:v>41.13</c:v>
                </c:pt>
                <c:pt idx="7">
                  <c:v>36.78</c:v>
                </c:pt>
                <c:pt idx="8">
                  <c:v>41.74</c:v>
                </c:pt>
                <c:pt idx="9">
                  <c:v>53.29</c:v>
                </c:pt>
                <c:pt idx="10">
                  <c:v>57.419999999999995</c:v>
                </c:pt>
                <c:pt idx="11">
                  <c:v>59.319999999999993</c:v>
                </c:pt>
                <c:pt idx="12">
                  <c:v>59.739999999999995</c:v>
                </c:pt>
                <c:pt idx="13">
                  <c:v>62.73</c:v>
                </c:pt>
                <c:pt idx="14">
                  <c:v>61.600000000000009</c:v>
                </c:pt>
                <c:pt idx="15">
                  <c:v>63.039999999999992</c:v>
                </c:pt>
                <c:pt idx="16">
                  <c:v>62.49</c:v>
                </c:pt>
                <c:pt idx="17">
                  <c:v>59.879999999999995</c:v>
                </c:pt>
                <c:pt idx="18">
                  <c:v>55.160000000000004</c:v>
                </c:pt>
                <c:pt idx="19">
                  <c:v>62.430000000000007</c:v>
                </c:pt>
                <c:pt idx="20">
                  <c:v>58.54</c:v>
                </c:pt>
                <c:pt idx="21">
                  <c:v>55.820000000000007</c:v>
                </c:pt>
                <c:pt idx="22">
                  <c:v>51.14</c:v>
                </c:pt>
                <c:pt idx="23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6-4E6E-A89B-1DBF6C7484C7}"/>
            </c:ext>
          </c:extLst>
        </c:ser>
        <c:ser>
          <c:idx val="4"/>
          <c:order val="1"/>
          <c:tx>
            <c:strRef>
              <c:f>'28'!$A$107:$C$107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2.0699999999999998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1.66</c:v>
                </c:pt>
                <c:pt idx="15">
                  <c:v>1.66</c:v>
                </c:pt>
                <c:pt idx="16">
                  <c:v>1.66</c:v>
                </c:pt>
                <c:pt idx="17">
                  <c:v>1.66</c:v>
                </c:pt>
                <c:pt idx="18">
                  <c:v>1.66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6-4E6E-A89B-1DBF6C7484C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4D6-4E6E-A89B-1DBF6C748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'29'!$F$103:$AC$103</c:f>
              <c:numCache>
                <c:formatCode>0.00</c:formatCode>
                <c:ptCount val="24"/>
                <c:pt idx="0">
                  <c:v>42.13</c:v>
                </c:pt>
                <c:pt idx="1">
                  <c:v>39.730000000000004</c:v>
                </c:pt>
                <c:pt idx="2">
                  <c:v>37.319999999999993</c:v>
                </c:pt>
                <c:pt idx="3">
                  <c:v>36.590000000000003</c:v>
                </c:pt>
                <c:pt idx="4">
                  <c:v>35.940000000000005</c:v>
                </c:pt>
                <c:pt idx="5">
                  <c:v>36.790000000000006</c:v>
                </c:pt>
                <c:pt idx="6">
                  <c:v>42.080000000000005</c:v>
                </c:pt>
                <c:pt idx="7">
                  <c:v>38.68</c:v>
                </c:pt>
                <c:pt idx="8">
                  <c:v>45.800000000000004</c:v>
                </c:pt>
                <c:pt idx="9">
                  <c:v>55.59</c:v>
                </c:pt>
                <c:pt idx="10">
                  <c:v>60.359999999999985</c:v>
                </c:pt>
                <c:pt idx="11">
                  <c:v>61.970000000000013</c:v>
                </c:pt>
                <c:pt idx="12">
                  <c:v>60.929999999999993</c:v>
                </c:pt>
                <c:pt idx="13">
                  <c:v>63.140000000000008</c:v>
                </c:pt>
                <c:pt idx="14">
                  <c:v>65.58</c:v>
                </c:pt>
                <c:pt idx="15">
                  <c:v>65.150000000000006</c:v>
                </c:pt>
                <c:pt idx="16">
                  <c:v>62.38</c:v>
                </c:pt>
                <c:pt idx="17">
                  <c:v>58.429999999999993</c:v>
                </c:pt>
                <c:pt idx="18">
                  <c:v>55.21</c:v>
                </c:pt>
                <c:pt idx="19">
                  <c:v>60.309999999999995</c:v>
                </c:pt>
                <c:pt idx="20">
                  <c:v>56.419999999999995</c:v>
                </c:pt>
                <c:pt idx="21">
                  <c:v>53.89</c:v>
                </c:pt>
                <c:pt idx="22">
                  <c:v>47.96</c:v>
                </c:pt>
                <c:pt idx="23">
                  <c:v>45.65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A-42F6-A4F4-88F60F603FCF}"/>
            </c:ext>
          </c:extLst>
        </c:ser>
        <c:ser>
          <c:idx val="4"/>
          <c:order val="1"/>
          <c:tx>
            <c:strRef>
              <c:f>'29'!$A$107:$C$107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0.88</c:v>
                </c:pt>
                <c:pt idx="6">
                  <c:v>0.88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3A-42F6-A4F4-88F60F603FC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93A-42F6-A4F4-88F60F60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'30'!$F$103:$AC$103</c:f>
              <c:numCache>
                <c:formatCode>0.00</c:formatCode>
                <c:ptCount val="24"/>
                <c:pt idx="0">
                  <c:v>42.08</c:v>
                </c:pt>
                <c:pt idx="1">
                  <c:v>39.629999999999995</c:v>
                </c:pt>
                <c:pt idx="2">
                  <c:v>37.78</c:v>
                </c:pt>
                <c:pt idx="3">
                  <c:v>36.770000000000003</c:v>
                </c:pt>
                <c:pt idx="4">
                  <c:v>36.380000000000003</c:v>
                </c:pt>
                <c:pt idx="5">
                  <c:v>38</c:v>
                </c:pt>
                <c:pt idx="6">
                  <c:v>43.279999999999994</c:v>
                </c:pt>
                <c:pt idx="7">
                  <c:v>39.78</c:v>
                </c:pt>
                <c:pt idx="8">
                  <c:v>46.489999999999995</c:v>
                </c:pt>
                <c:pt idx="9">
                  <c:v>56.930000000000007</c:v>
                </c:pt>
                <c:pt idx="10">
                  <c:v>61.659999999999989</c:v>
                </c:pt>
                <c:pt idx="11">
                  <c:v>63.589999999999996</c:v>
                </c:pt>
                <c:pt idx="12">
                  <c:v>63.629999999999995</c:v>
                </c:pt>
                <c:pt idx="13">
                  <c:v>64.72</c:v>
                </c:pt>
                <c:pt idx="14">
                  <c:v>64.12</c:v>
                </c:pt>
                <c:pt idx="15">
                  <c:v>63.68</c:v>
                </c:pt>
                <c:pt idx="16">
                  <c:v>62.910000000000004</c:v>
                </c:pt>
                <c:pt idx="17">
                  <c:v>61.53</c:v>
                </c:pt>
                <c:pt idx="18">
                  <c:v>55.089999999999996</c:v>
                </c:pt>
                <c:pt idx="19">
                  <c:v>63.209999999999994</c:v>
                </c:pt>
                <c:pt idx="20">
                  <c:v>61.160000000000004</c:v>
                </c:pt>
                <c:pt idx="21">
                  <c:v>55.959999999999994</c:v>
                </c:pt>
                <c:pt idx="22">
                  <c:v>50.250000000000007</c:v>
                </c:pt>
                <c:pt idx="23">
                  <c:v>46.44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B-4739-A35D-A0B3C1D5D3EA}"/>
            </c:ext>
          </c:extLst>
        </c:ser>
        <c:ser>
          <c:idx val="4"/>
          <c:order val="1"/>
          <c:tx>
            <c:strRef>
              <c:f>'30'!$A$107:$C$107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'30'!$F$107:$AC$107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3.6700000000000004</c:v>
                </c:pt>
                <c:pt idx="14">
                  <c:v>3.6700000000000004</c:v>
                </c:pt>
                <c:pt idx="15">
                  <c:v>3.6700000000000004</c:v>
                </c:pt>
                <c:pt idx="16">
                  <c:v>2.39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B-4739-A35D-A0B3C1D5D3E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B0B-4739-A35D-A0B3C1D5D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8703787215467"/>
          <c:y val="3.6360013178911167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'31'!$A$103:$C$103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'31'!$F$103:$AC$103</c:f>
              <c:numCache>
                <c:formatCode>0.00</c:formatCode>
                <c:ptCount val="24"/>
                <c:pt idx="0">
                  <c:v>41.55</c:v>
                </c:pt>
                <c:pt idx="1">
                  <c:v>40.199999999999996</c:v>
                </c:pt>
                <c:pt idx="2">
                  <c:v>38.39</c:v>
                </c:pt>
                <c:pt idx="3">
                  <c:v>37.32</c:v>
                </c:pt>
                <c:pt idx="4">
                  <c:v>36.96</c:v>
                </c:pt>
                <c:pt idx="5">
                  <c:v>38.57</c:v>
                </c:pt>
                <c:pt idx="6">
                  <c:v>44.62</c:v>
                </c:pt>
                <c:pt idx="7">
                  <c:v>40.53</c:v>
                </c:pt>
                <c:pt idx="8">
                  <c:v>46.010000000000005</c:v>
                </c:pt>
                <c:pt idx="9">
                  <c:v>56.719999999999992</c:v>
                </c:pt>
                <c:pt idx="10">
                  <c:v>60.86999999999999</c:v>
                </c:pt>
                <c:pt idx="11">
                  <c:v>63.99</c:v>
                </c:pt>
                <c:pt idx="12">
                  <c:v>63.4</c:v>
                </c:pt>
                <c:pt idx="13">
                  <c:v>65.31</c:v>
                </c:pt>
                <c:pt idx="14">
                  <c:v>66.679999999999993</c:v>
                </c:pt>
                <c:pt idx="15">
                  <c:v>66.47</c:v>
                </c:pt>
                <c:pt idx="16">
                  <c:v>66.399999999999991</c:v>
                </c:pt>
                <c:pt idx="17">
                  <c:v>63.490000000000009</c:v>
                </c:pt>
                <c:pt idx="18">
                  <c:v>58.889999999999993</c:v>
                </c:pt>
                <c:pt idx="19">
                  <c:v>63.309999999999995</c:v>
                </c:pt>
                <c:pt idx="20">
                  <c:v>61.569999999999993</c:v>
                </c:pt>
                <c:pt idx="21">
                  <c:v>57.839999999999996</c:v>
                </c:pt>
                <c:pt idx="22">
                  <c:v>46.870000000000005</c:v>
                </c:pt>
                <c:pt idx="23">
                  <c:v>47.669999999999995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F-4B6E-A483-AB9D407B9B5E}"/>
            </c:ext>
          </c:extLst>
        </c:ser>
        <c:ser>
          <c:idx val="4"/>
          <c:order val="1"/>
          <c:tx>
            <c:strRef>
              <c:f>'31'!$A$107:$C$107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96.55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'31'!$F$107:$AC$107</c:f>
              <c:numCache>
                <c:formatCode>0.00</c:formatCode>
                <c:ptCount val="24"/>
                <c:pt idx="0">
                  <c:v>1.46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4.79</c:v>
                </c:pt>
                <c:pt idx="23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F-4B6E-A483-AB9D407B9B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F7F-4B6E-A483-AB9D407B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D58E235-E2AB-4B7F-A1EF-D539E5C45A6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D978ED-DB67-48BD-9FA0-AA35B54D33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C9ABCEA-567F-6115-FDD4-5FB089216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1EB75C-F9E5-481C-AF31-9A81D555B7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666511-35F5-412C-B10E-41F34B079C7D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098177" name="Button 1" hidden="1">
              <a:extLst>
                <a:ext uri="{63B3BB69-23CF-44E3-9099-C40C66FF867C}">
                  <a14:compatExt spid="_x0000_s2098177"/>
                </a:ext>
                <a:ext uri="{FF2B5EF4-FFF2-40B4-BE49-F238E27FC236}">
                  <a16:creationId xmlns:a16="http://schemas.microsoft.com/office/drawing/2014/main" id="{00000000-0008-0000-0100-0000010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BECC94-6D92-4C31-9CD3-4F094E03E82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11409EB-EE43-449D-8175-0CE2C093117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255B740-E31C-4CD0-A4FC-EB0B006DA81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BCD82CF-88D5-48CB-9D9E-C17DA0DA634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227C30-FA44-CE90-0C22-2C5737F8FC6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2FA7C9C-AD6D-F55D-46B2-FD1EFE1573D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531AE16-A58D-404E-A44C-8C2C988730E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805FDA-9841-4812-9BE7-1E5B2C864CC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16609" name="Button 1" hidden="1">
              <a:extLst>
                <a:ext uri="{63B3BB69-23CF-44E3-9099-C40C66FF867C}">
                  <a14:compatExt spid="_x0000_s2116609"/>
                </a:ext>
                <a:ext uri="{FF2B5EF4-FFF2-40B4-BE49-F238E27FC236}">
                  <a16:creationId xmlns:a16="http://schemas.microsoft.com/office/drawing/2014/main" id="{00000000-0008-0000-0200-0000014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1EB450-11E4-4B97-A3A8-8B1024873D7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F90017-01CE-46E9-B6B3-1E905D376E4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540314-4C53-4FFD-A43E-58F331893B1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E644982-A043-426A-90AC-53E5066541C9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4796FBA-B8EB-60E3-EF72-95FEEC34A4F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E569373-1236-A7C7-335F-BB65DCB70DE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82A5B60-980D-4F98-92D7-3F995C1E14C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EC19A25-876F-4E53-8DDC-7DF12CC7EB27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35041" name="Button 1" hidden="1">
              <a:extLst>
                <a:ext uri="{63B3BB69-23CF-44E3-9099-C40C66FF867C}">
                  <a14:compatExt spid="_x0000_s2135041"/>
                </a:ext>
                <a:ext uri="{FF2B5EF4-FFF2-40B4-BE49-F238E27FC236}">
                  <a16:creationId xmlns:a16="http://schemas.microsoft.com/office/drawing/2014/main" id="{00000000-0008-0000-0300-000001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07DA48-31BE-4CC0-9A29-CFEE1C2B6A6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BDD3B2-8AF7-4CFD-A7BD-E280DE2982E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1180819-7C59-4324-A150-320C77FEF86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A2F271-46BE-4131-BF70-953CD635BF0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966AE83-B242-2779-B80D-FC33205C93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987C352-27A0-0469-1AB5-AFAAD1675D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D77EE4-1E7B-4F20-A660-E27ADD2FE32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09C846-5AA9-4FD6-8BAC-66B8680AB735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53473" name="Button 1" hidden="1">
              <a:extLst>
                <a:ext uri="{63B3BB69-23CF-44E3-9099-C40C66FF867C}">
                  <a14:compatExt spid="_x0000_s2153473"/>
                </a:ext>
                <a:ext uri="{FF2B5EF4-FFF2-40B4-BE49-F238E27FC236}">
                  <a16:creationId xmlns:a16="http://schemas.microsoft.com/office/drawing/2014/main" id="{00000000-0008-0000-0400-000001D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4DE573-9D59-4AF6-9B03-7659DFED516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4E611D-2DA9-40E7-9610-A89FC2EBBFD2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5949FE7-D312-4741-94FB-F29C97A6DF4E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104E5DB-3260-4A61-A32E-63480142125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D095CB-6AF7-CA58-DEBC-A0D7D4FDC64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8612A8-BBF4-3CC5-9204-4D8D079C5BF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2</xdr:col>
      <xdr:colOff>1415144</xdr:colOff>
      <xdr:row>171</xdr:row>
      <xdr:rowOff>175532</xdr:rowOff>
    </xdr:from>
    <xdr:to>
      <xdr:col>28</xdr:col>
      <xdr:colOff>536122</xdr:colOff>
      <xdr:row>200</xdr:row>
      <xdr:rowOff>162831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B5C1C3-8AE6-4690-A9F5-FD95C15DADC3}"/>
            </a:ext>
            <a:ext uri="{147F2762-F138-4A5C-976F-8EAC2B608ADB}">
              <a16:predDERef xmlns:a16="http://schemas.microsoft.com/office/drawing/2014/main" pred="{2104E5DB-3260-4A61-A32E-634801421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219CA8F-76E3-4E8F-B2F7-A26889E9846B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71905" name="Button 1" hidden="1">
              <a:extLst>
                <a:ext uri="{63B3BB69-23CF-44E3-9099-C40C66FF867C}">
                  <a14:compatExt spid="_x0000_s2171905"/>
                </a:ext>
                <a:ext uri="{FF2B5EF4-FFF2-40B4-BE49-F238E27FC236}">
                  <a16:creationId xmlns:a16="http://schemas.microsoft.com/office/drawing/2014/main" id="{00000000-0008-0000-0500-0000012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3D258C-4E0A-4375-880E-5F7E490642F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CBBEBF-10FF-40BE-8833-543531A3DFA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F810420-5550-477D-A58C-3EB9424CD35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444CD34-0F48-453C-B8AB-131F3B7317E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5A89CA7-A119-D1E7-552B-89DA9D3B3A4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F7516DD-5EB5-1F17-F967-63FEA1C33D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A5F93A7-AF98-431C-8ADE-6E080420B8F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568077-2FD7-4C8D-87E1-7B679C96FC9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190337" name="Button 1" hidden="1">
              <a:extLst>
                <a:ext uri="{63B3BB69-23CF-44E3-9099-C40C66FF867C}">
                  <a14:compatExt spid="_x0000_s2190337"/>
                </a:ext>
                <a:ext uri="{FF2B5EF4-FFF2-40B4-BE49-F238E27FC236}">
                  <a16:creationId xmlns:a16="http://schemas.microsoft.com/office/drawing/2014/main" id="{00000000-0008-0000-0600-0000016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7F34CC-13FC-4726-8594-0BF980EDA34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92DEA6-E85D-4156-B9FC-282436CE690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E7C0C3F-B626-4350-AFCF-2B23DFDA0C5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E63EC6F-A3EE-4764-A931-401DA480250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31E0D1-326E-FF2A-B6CC-CF208FA2CE0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083C0AB-300A-4090-45B8-4892C75670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322F083-DFFD-42D4-AB0B-278CEE66F4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0CDEEC-B95A-405A-B016-67A34EC139C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08769" name="Button 1" hidden="1">
              <a:extLst>
                <a:ext uri="{63B3BB69-23CF-44E3-9099-C40C66FF867C}">
                  <a14:compatExt spid="_x0000_s2208769"/>
                </a:ext>
                <a:ext uri="{FF2B5EF4-FFF2-40B4-BE49-F238E27FC236}">
                  <a16:creationId xmlns:a16="http://schemas.microsoft.com/office/drawing/2014/main" id="{00000000-0008-0000-0700-000001B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E0E1303-56CB-4FD1-8FEB-A41A1B7C2ED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D15E59-2535-41F1-9A31-1434392F7C2D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4695355-8665-48E1-AA21-C4CC50A2D80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927EEC9-E811-4EE3-8CC3-B79C2F4234C8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5C0F385-6F6F-D636-EFD9-CA8023A96E3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D7185D-27F4-3C40-6024-6732F7995F1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D0BF624-7089-4D30-BD8F-E2FF4282F6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D9DA84-7C43-4774-9085-370B8A70A97F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27201" name="Button 1" hidden="1">
              <a:extLst>
                <a:ext uri="{63B3BB69-23CF-44E3-9099-C40C66FF867C}">
                  <a14:compatExt spid="_x0000_s2227201"/>
                </a:ext>
                <a:ext uri="{FF2B5EF4-FFF2-40B4-BE49-F238E27FC236}">
                  <a16:creationId xmlns:a16="http://schemas.microsoft.com/office/drawing/2014/main" id="{00000000-0008-0000-0800-000001F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D9FFC2A-966F-4071-AFC4-55E5061B8AC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51605B-2752-482C-9AA7-00FE7A8EEA3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0B9677B-3970-433A-9FCC-6F0FCE446B7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EAC2DDC-7DE8-426E-BD31-9E652709A245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EE62212-7CAE-C29B-BEFF-7B33DB5B654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B1A0DA8-384C-846A-0076-4249E1DA09A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2BBF9C8-2A3F-4818-92C0-46D64C94A96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9165D0-19EE-4DE0-B25E-FB0ED0A6581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45633" name="Button 1" hidden="1">
              <a:extLst>
                <a:ext uri="{63B3BB69-23CF-44E3-9099-C40C66FF867C}">
                  <a14:compatExt spid="_x0000_s2245633"/>
                </a:ext>
                <a:ext uri="{FF2B5EF4-FFF2-40B4-BE49-F238E27FC236}">
                  <a16:creationId xmlns:a16="http://schemas.microsoft.com/office/drawing/2014/main" id="{00000000-0008-0000-0900-00000144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2BA4747-86D7-4BA8-AE77-85745D91211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CE9609-4C10-4CC9-9F68-B2AB1A2B211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D2BFD10-84E2-442C-805F-8621CC59B9E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4DCED8-3024-4575-8098-A9225155183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2536C14-3F79-7F6D-39F0-8CB97A4882D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F205B7C-EEDD-F241-BF99-FC9FDCAFDAB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9807153-5745-461B-A853-44B6A6942A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D2D152-AA0E-47E0-A3E2-746E8385028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47681" name="Button 1" hidden="1">
              <a:extLst>
                <a:ext uri="{63B3BB69-23CF-44E3-9099-C40C66FF867C}">
                  <a14:compatExt spid="_x0000_s2247681"/>
                </a:ext>
                <a:ext uri="{FF2B5EF4-FFF2-40B4-BE49-F238E27FC236}">
                  <a16:creationId xmlns:a16="http://schemas.microsoft.com/office/drawing/2014/main" id="{00000000-0008-0000-0A00-000001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243496-26B1-40F5-A29D-B120BA30855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F3FF530-080A-4503-8379-48BF78037E1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D3FA1C-B533-416D-B381-9A5C2040AC3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6731554-EE21-4615-BCBB-4055ED5C00A9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6CE858D-0536-0ED1-D198-B900EA61CDB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971467B-0E1C-3FC6-632B-EBA5B25804A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FAE379A-1B03-4793-A2C4-103F3CB1352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31FA19-3A3D-4393-A164-B42E8296AAC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48705" name="Button 1" hidden="1">
              <a:extLst>
                <a:ext uri="{63B3BB69-23CF-44E3-9099-C40C66FF867C}">
                  <a14:compatExt spid="_x0000_s2248705"/>
                </a:ext>
                <a:ext uri="{FF2B5EF4-FFF2-40B4-BE49-F238E27FC236}">
                  <a16:creationId xmlns:a16="http://schemas.microsoft.com/office/drawing/2014/main" id="{00000000-0008-0000-0B00-0000015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701EFCE-7BAC-4FAB-B38E-30A009C79411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1992FC-A95A-4364-A757-3E7056E4B556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B9A974-A585-47CF-BE89-BF04876423B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58BF9A2-174A-4FD9-B9AD-C58DE1959D3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FE42F87-75EF-C1DF-5C11-F3E06AADE53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CF67B8B-FA45-B090-978F-FF3A37EA99E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46AD380-7374-4C4D-83AB-5E2AF113CF6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E3578A-90A2-441C-A954-B70792BED2D9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67137" name="Button 1" hidden="1">
              <a:extLst>
                <a:ext uri="{63B3BB69-23CF-44E3-9099-C40C66FF867C}">
                  <a14:compatExt spid="_x0000_s2267137"/>
                </a:ext>
                <a:ext uri="{FF2B5EF4-FFF2-40B4-BE49-F238E27FC236}">
                  <a16:creationId xmlns:a16="http://schemas.microsoft.com/office/drawing/2014/main" id="{00000000-0008-0000-0C00-0000019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71B5A5-1D61-45F7-A097-6BED9CE579E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2455EF2-10B6-41C0-9EBB-E66962D4394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6B99B2C-281F-4153-B810-E3F1EA2FFDF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277EB19-C4FF-48FF-9995-848D5D1F95D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8FE1AB1-1B79-8080-52D8-1CCCA4DCFA7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827CFC-616A-F2CE-9FB4-F6AC86F17B9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0383A4D-B96A-478D-87A7-261A2D4B407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A9FA68-554D-4EBB-B46F-8AC34653FD3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68161" name="Button 1" hidden="1">
              <a:extLst>
                <a:ext uri="{63B3BB69-23CF-44E3-9099-C40C66FF867C}">
                  <a14:compatExt spid="_x0000_s2268161"/>
                </a:ext>
                <a:ext uri="{FF2B5EF4-FFF2-40B4-BE49-F238E27FC236}">
                  <a16:creationId xmlns:a16="http://schemas.microsoft.com/office/drawing/2014/main" id="{00000000-0008-0000-0D00-0000019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78CE731-21F5-415A-85E3-93D94965F8C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00C966-270D-471C-AA3E-58CB854725F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9F98B6E-576C-4EA4-96C4-F789667AF6D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EB7687F-B87B-4459-BCD3-461A7B2534DA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D5809B1-7834-2364-CFDE-63AAFB6160B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A6308B-E2B5-FC0D-35B6-C097602BAD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4271635-ABAA-4A0C-878C-555C542E384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5B0C9C-93CE-4308-B24A-1F195821DF4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69185" name="Button 1" hidden="1">
              <a:extLst>
                <a:ext uri="{63B3BB69-23CF-44E3-9099-C40C66FF867C}">
                  <a14:compatExt spid="_x0000_s2269185"/>
                </a:ext>
                <a:ext uri="{FF2B5EF4-FFF2-40B4-BE49-F238E27FC236}">
                  <a16:creationId xmlns:a16="http://schemas.microsoft.com/office/drawing/2014/main" id="{00000000-0008-0000-0E00-000001A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E06B291-30AB-464C-8458-FCE20A00021D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A2A3E49-B8C2-4DF7-975B-05096A67FE4E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269F0AE-16B0-42F5-85BC-25E8CE04498D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F2D9764-0380-4D95-9411-7B1335079C8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2B8984B-404C-02BF-8E93-DFB17F302A4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558E6DE-A555-EC9D-2325-E029F5C8004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CD3B90A-988E-4412-A530-08F6A4C3414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DBE3427-0017-496F-96F8-0DB694AEEFB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87617" name="Button 1" hidden="1">
              <a:extLst>
                <a:ext uri="{63B3BB69-23CF-44E3-9099-C40C66FF867C}">
                  <a14:compatExt spid="_x0000_s2287617"/>
                </a:ext>
                <a:ext uri="{FF2B5EF4-FFF2-40B4-BE49-F238E27FC236}">
                  <a16:creationId xmlns:a16="http://schemas.microsoft.com/office/drawing/2014/main" id="{00000000-0008-0000-0F00-000001E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AA64FF-1C6A-41DB-A34E-9BDE65A6110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97993E2-2497-40C2-B553-B6D83B46CA6F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7030B5F-D124-4604-A726-7BE86A1283E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994D622-0080-443F-AADC-3C518AF5C11F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8F0815A-E640-6647-FE7E-A8433ED3B32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5EABFDB-2024-7065-26B0-8D0FEDE078B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D302F2D-9629-4811-B2BC-E5A8337038D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5D48E6-6CEF-45B7-8510-288B9A64920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88641" name="Button 1" hidden="1">
              <a:extLst>
                <a:ext uri="{63B3BB69-23CF-44E3-9099-C40C66FF867C}">
                  <a14:compatExt spid="_x0000_s2288641"/>
                </a:ext>
                <a:ext uri="{FF2B5EF4-FFF2-40B4-BE49-F238E27FC236}">
                  <a16:creationId xmlns:a16="http://schemas.microsoft.com/office/drawing/2014/main" id="{00000000-0008-0000-1000-000001E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9C49E30-1314-414C-8265-CCF8ECE281F2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BC1C93-9563-43BE-884E-A3A833545E17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F680BCB-A71B-4EC4-8B68-1C9D22872569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3A3CC9C-363A-45D8-A760-BC611CD5313A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3E24E97-FF60-CD3D-A8A2-EB9E09EA339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02A6691-6D48-A499-6B3A-1253988A77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7052A7B-C90B-4766-90FB-2B1013DA2B1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574C72-59C8-4A97-B6DD-6C8E8FE1B65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289665" name="Button 1" hidden="1">
              <a:extLst>
                <a:ext uri="{63B3BB69-23CF-44E3-9099-C40C66FF867C}">
                  <a14:compatExt spid="_x0000_s2289665"/>
                </a:ext>
                <a:ext uri="{FF2B5EF4-FFF2-40B4-BE49-F238E27FC236}">
                  <a16:creationId xmlns:a16="http://schemas.microsoft.com/office/drawing/2014/main" id="{00000000-0008-0000-1100-000001F0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BF6A73-208D-4022-B95C-1E08D28ABD0C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5643FE-C2C9-4D7A-B3E3-DF1725977CC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F186D0-7002-472B-A067-58381433D970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696142E-8E59-4525-8079-DD64A411992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E1609F-E912-BDAF-14CF-21628AFDF7B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40AE53-4EB8-F757-9F0F-54B4E06AC4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006F42C-C50C-4AEA-90B8-8B537F5F34D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297CB2-0755-4124-8F48-01E27F26A3AB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08097" name="Button 1" hidden="1">
              <a:extLst>
                <a:ext uri="{63B3BB69-23CF-44E3-9099-C40C66FF867C}">
                  <a14:compatExt spid="_x0000_s2308097"/>
                </a:ext>
                <a:ext uri="{FF2B5EF4-FFF2-40B4-BE49-F238E27FC236}">
                  <a16:creationId xmlns:a16="http://schemas.microsoft.com/office/drawing/2014/main" id="{00000000-0008-0000-1200-0000013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AC078C-D1AB-4B3D-B926-6D1588AB14F5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954B8-87AC-4A65-83C0-8E1F08A19A99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634942D-A2FF-40C2-BDA2-2DC4081A82A8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E6A1556-6B0B-46FF-851A-FD58219D770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7F0474-CCAD-BC0F-90A2-FB845D0F940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EE12EB4-4B9D-55DE-9933-F3BA1473EE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838CEE-B30D-4854-82C9-2607F3A7DC5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FE2685E-3F30-43FE-BF5D-AA7535CDB94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26529" name="Button 1" hidden="1">
              <a:extLst>
                <a:ext uri="{63B3BB69-23CF-44E3-9099-C40C66FF867C}">
                  <a14:compatExt spid="_x0000_s2326529"/>
                </a:ext>
                <a:ext uri="{FF2B5EF4-FFF2-40B4-BE49-F238E27FC236}">
                  <a16:creationId xmlns:a16="http://schemas.microsoft.com/office/drawing/2014/main" id="{00000000-0008-0000-1300-0000018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655B638-04B6-476A-872C-BB2870D7C3B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B19923-8B4D-4294-B7B3-1BB2E5FF0543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E93BFF2-3CC8-4390-8C6D-EBEEE6327D96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1E62200-A985-47A3-BCDC-C2EFCE3A664C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EDB7052-2380-F6BE-7987-D24AC62D86B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3E07ACB-AB99-0357-E7FD-F4CDD55B805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5DBD9B2-8A03-49A8-8000-33CCB38AF2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9BC36C-C01D-4A3A-93ED-84C24BE25E81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27553" name="Button 1" hidden="1">
              <a:extLst>
                <a:ext uri="{63B3BB69-23CF-44E3-9099-C40C66FF867C}">
                  <a14:compatExt spid="_x0000_s2327553"/>
                </a:ext>
                <a:ext uri="{FF2B5EF4-FFF2-40B4-BE49-F238E27FC236}">
                  <a16:creationId xmlns:a16="http://schemas.microsoft.com/office/drawing/2014/main" id="{00000000-0008-0000-1400-0000018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E71845-1626-4A4E-AD3F-17DBAF013100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F945D68-2713-4AEB-93E3-E8A49214484D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C88536E-F5B0-4408-95B2-07BC9103A35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C1A94D-0AD3-4DB3-B2E1-88EF9A5FC9C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C1E129-5900-59ED-F4C3-B029C62FA14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DC7FC31-863E-B6AE-68E2-4C002EAD0B0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7A159E7-B2A3-41B4-BFD3-DCEF637AD8C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ECF599-B8A5-4815-BBD2-791AF5619184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15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A6E6D9-D88B-453B-9226-33CBEDB494F7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F1F620-AB23-49FF-9FEB-F6FC2F47143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88B0459-359C-47D2-A8A7-796CB57AB722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FDF2B33-8BE2-4EAA-A727-9556B70CA11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A76A285-994C-3C38-EE88-300E544FB0F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0D35E1-8049-86BA-09AE-65A9755CDEE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ED034D8-C749-4E9D-9281-488589802FE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58F8C5-37F3-4CDA-916A-564C44D5919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29601" name="Button 1" hidden="1">
              <a:extLst>
                <a:ext uri="{63B3BB69-23CF-44E3-9099-C40C66FF867C}">
                  <a14:compatExt spid="_x0000_s2329601"/>
                </a:ext>
                <a:ext uri="{FF2B5EF4-FFF2-40B4-BE49-F238E27FC236}">
                  <a16:creationId xmlns:a16="http://schemas.microsoft.com/office/drawing/2014/main" id="{00000000-0008-0000-1600-0000018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A652BC-1393-457F-8CCC-311DA772CA3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6A0613-EC3B-4AEA-93CF-181086749AF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A075A1F-4115-4ACD-BE5B-E3EA3219D1F1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2481505-886E-4679-9F52-92BD6107A7CD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19B170B-A53E-A0DF-7586-615842ABEC7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591D28B-76EE-EB8B-4539-F6FEC69BDE6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293F62-9593-466F-8736-0DE833E594A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FD7CAE-D5B1-45CC-BA7B-56F2B08BF82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48033" name="Button 1" hidden="1">
              <a:extLst>
                <a:ext uri="{63B3BB69-23CF-44E3-9099-C40C66FF867C}">
                  <a14:compatExt spid="_x0000_s2348033"/>
                </a:ext>
                <a:ext uri="{FF2B5EF4-FFF2-40B4-BE49-F238E27FC236}">
                  <a16:creationId xmlns:a16="http://schemas.microsoft.com/office/drawing/2014/main" id="{00000000-0008-0000-1700-000001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9C2A4C-AA68-4ED3-8A41-D428B967162B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278C98-F745-4404-91A3-3F69D4B2B49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48AAD4-3847-4C3D-8025-1330D4E5BF47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0FDB37F-AEAD-4CDC-9B9C-703C1DE75E8A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06FDD73-5270-9633-2E69-367582DA3A6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AE6F4F5-A87E-9874-E743-810C6D42532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569A79-DB19-4BCA-BAD3-9ECC5F4815E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1570C6-54C3-4A13-A8A8-A04F73FBE0EA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49057" name="Button 1" hidden="1">
              <a:extLst>
                <a:ext uri="{63B3BB69-23CF-44E3-9099-C40C66FF867C}">
                  <a14:compatExt spid="_x0000_s2349057"/>
                </a:ext>
                <a:ext uri="{FF2B5EF4-FFF2-40B4-BE49-F238E27FC236}">
                  <a16:creationId xmlns:a16="http://schemas.microsoft.com/office/drawing/2014/main" id="{00000000-0008-0000-1800-000001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433DF4-9BAE-4EF6-B08C-92F698038808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9F9C68C-7921-4E63-AA05-1E2AD99C58E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2121744-8E73-44FE-A215-1B9CE5CE0815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124F3E-BB8E-4623-AEF1-28FB55C4FEB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2487489-755F-DE8D-F864-E2D7AD58C84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DA8403-8488-BC77-7D04-82342C62A6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97FDBC3-92AF-4C4A-96DE-573B8BD66E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ED5F8B-2751-4882-BA0E-D02AF203778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  <a:ext uri="{FF2B5EF4-FFF2-40B4-BE49-F238E27FC236}">
                  <a16:creationId xmlns:a16="http://schemas.microsoft.com/office/drawing/2014/main" id="{00000000-0008-0000-1900-000001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A4C673C-14E0-4EAF-94D7-37A9920C51EE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71F9C07-46A6-484C-AF04-C2216AF8DD64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C851701-36F0-4733-98CD-F0E30B50D233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8A8C32-84E7-4CBD-8AAD-C6DC200FFD1B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00A9BED-C79C-1CE6-C518-25E9E8B3C5A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79F8AF2-D7DF-8C9A-79E6-AD3765C2012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06EE94-06D4-427D-ADA4-879B02AB097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D836742-D08C-4491-921D-EB2FBADC2E93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68513" name="Button 1" hidden="1">
              <a:extLst>
                <a:ext uri="{63B3BB69-23CF-44E3-9099-C40C66FF867C}">
                  <a14:compatExt spid="_x0000_s2368513"/>
                </a:ext>
                <a:ext uri="{FF2B5EF4-FFF2-40B4-BE49-F238E27FC236}">
                  <a16:creationId xmlns:a16="http://schemas.microsoft.com/office/drawing/2014/main" id="{00000000-0008-0000-1A00-0000012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7F3A8BB-EB47-45D2-B493-C22E6A7E9FAF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BB61C59-FD1F-4EB9-93D9-FE14F0B1BA9A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00FE26-2A97-4298-AF19-28947D55DD72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76BAA1D-2E55-408C-9455-094B27605834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D22A760-920C-6C00-4B99-B0E4D6578E0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85FF63F-B625-2CAF-EA88-AC71EA1329E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0AD69E0-5B22-484D-B717-29A799C5BFF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0B2584-E9F7-4018-A28B-9A56A03B28D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86945" name="Button 1" hidden="1">
              <a:extLst>
                <a:ext uri="{63B3BB69-23CF-44E3-9099-C40C66FF867C}">
                  <a14:compatExt spid="_x0000_s2386945"/>
                </a:ext>
                <a:ext uri="{FF2B5EF4-FFF2-40B4-BE49-F238E27FC236}">
                  <a16:creationId xmlns:a16="http://schemas.microsoft.com/office/drawing/2014/main" id="{00000000-0008-0000-1B00-0000016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4431992-379D-4763-A325-5B943EB6424D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2643A1-9B36-4596-9DA5-0BEB33BA5D21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9890D2F-32DD-4805-B6AD-FAFD6121BEBA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A3F14FE-5216-457E-AF08-8B9DBE97A242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C3C253A-79C9-0134-82B3-9577F788D3C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6D4EB9-2FB6-4974-1F5E-43305A8F6E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700684B-9C3F-4C9B-9C0B-9B04DE7E423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4561895-C7D0-4751-90C8-0CD110B8CEFE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387969" name="Button 1" hidden="1">
              <a:extLst>
                <a:ext uri="{63B3BB69-23CF-44E3-9099-C40C66FF867C}">
                  <a14:compatExt spid="_x0000_s2387969"/>
                </a:ext>
                <a:ext uri="{FF2B5EF4-FFF2-40B4-BE49-F238E27FC236}">
                  <a16:creationId xmlns:a16="http://schemas.microsoft.com/office/drawing/2014/main" id="{00000000-0008-0000-1C00-0000017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1D3B2-BF23-4269-922A-31F0AFA3B2DA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AAD25F-E2A2-47B3-8080-285BAAD9B898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24A98B4-EC54-46F2-980B-4598FD4FC8D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0FB2EB-D164-4E86-96DB-EEC71444CBD1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4CFB946-90EA-24CF-34E7-C4D8B3DCE07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494338E-39FC-4833-D944-10710D0D89F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7D7E5C4-E3CC-4EAB-A607-80D3BDCF2D9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0CEE635-33CE-4DD5-A135-9FF60550B332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06401" name="Button 1" hidden="1">
              <a:extLst>
                <a:ext uri="{63B3BB69-23CF-44E3-9099-C40C66FF867C}">
                  <a14:compatExt spid="_x0000_s2406401"/>
                </a:ext>
                <a:ext uri="{FF2B5EF4-FFF2-40B4-BE49-F238E27FC236}">
                  <a16:creationId xmlns:a16="http://schemas.microsoft.com/office/drawing/2014/main" id="{00000000-0008-0000-1D00-000001B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A05EE0-0F4E-4FD7-8A8F-FD7A7303D5D9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AFFCB1-5DC2-406E-82BC-A4DA3769077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C85DFB0-0128-4875-A3C9-CAD8B8D09D4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7C58D5-FA02-4FE4-AD7A-0DEC1941CB23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723581A-A84A-7A40-4661-9A28EB86F8C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CDE34A5-39F1-BCCD-8EB5-ACF7F89366C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806128D-8E9A-4BBA-B760-6E3FD873D30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94F4B0-C6EE-4352-B06D-63786225F6C5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24833" name="Button 1" hidden="1">
              <a:extLst>
                <a:ext uri="{63B3BB69-23CF-44E3-9099-C40C66FF867C}">
                  <a14:compatExt spid="_x0000_s2424833"/>
                </a:ext>
                <a:ext uri="{FF2B5EF4-FFF2-40B4-BE49-F238E27FC236}">
                  <a16:creationId xmlns:a16="http://schemas.microsoft.com/office/drawing/2014/main" id="{00000000-0008-0000-1E00-0000010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37BBCD-899B-4DC6-B666-CCBD8202F1B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1EF47D-3647-4548-A6A2-458F807E1C9C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53BC56C-CAB1-43B2-990B-680612A17ABF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312965</xdr:colOff>
      <xdr:row>1</xdr:row>
      <xdr:rowOff>42883</xdr:rowOff>
    </xdr:from>
    <xdr:to>
      <xdr:col>18</xdr:col>
      <xdr:colOff>393698</xdr:colOff>
      <xdr:row>5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64F379C-1242-4C06-A985-C4CB14FFD6C7}"/>
            </a:ext>
          </a:extLst>
        </xdr:cNvPr>
        <xdr:cNvGrpSpPr/>
      </xdr:nvGrpSpPr>
      <xdr:grpSpPr>
        <a:xfrm>
          <a:off x="6008915" y="2333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176D200-72B6-4DA0-EF2C-32D53C2D625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3A5A760-5A2F-71D6-9A2C-2E74F097124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84365</xdr:colOff>
      <xdr:row>131</xdr:row>
      <xdr:rowOff>48985</xdr:rowOff>
    </xdr:from>
    <xdr:to>
      <xdr:col>28</xdr:col>
      <xdr:colOff>634093</xdr:colOff>
      <xdr:row>160</xdr:row>
      <xdr:rowOff>36284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8DDDD94-343E-4579-ABD0-129516A55EA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4B331D6-4918-4593-9A5F-FE0DAB2A73D8}"/>
            </a:ext>
          </a:extLst>
        </xdr:cNvPr>
        <xdr:cNvSpPr/>
      </xdr:nvSpPr>
      <xdr:spPr>
        <a:xfrm>
          <a:off x="156147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160020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2425857" name="Button 1" hidden="1">
              <a:extLst>
                <a:ext uri="{63B3BB69-23CF-44E3-9099-C40C66FF867C}">
                  <a14:compatExt spid="_x0000_s2425857"/>
                </a:ext>
                <a:ext uri="{FF2B5EF4-FFF2-40B4-BE49-F238E27FC236}">
                  <a16:creationId xmlns:a16="http://schemas.microsoft.com/office/drawing/2014/main" id="{00000000-0008-0000-1F00-0000010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4153135-F527-4F3C-A61D-34F8102970D4}"/>
            </a:ext>
          </a:extLst>
        </xdr:cNvPr>
        <xdr:cNvSpPr/>
      </xdr:nvSpPr>
      <xdr:spPr>
        <a:xfrm>
          <a:off x="125818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56ABAC-86EB-4D01-8EC7-00B2CFD7EC55}"/>
            </a:ext>
          </a:extLst>
        </xdr:cNvPr>
        <xdr:cNvSpPr/>
      </xdr:nvSpPr>
      <xdr:spPr>
        <a:xfrm>
          <a:off x="125876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2365544-9453-4F02-9B13-E6A7B947D754}"/>
            </a:ext>
          </a:extLst>
        </xdr:cNvPr>
        <xdr:cNvSpPr/>
      </xdr:nvSpPr>
      <xdr:spPr>
        <a:xfrm>
          <a:off x="156229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9525</xdr:rowOff>
    </xdr:from>
    <xdr:to>
      <xdr:col>16</xdr:col>
      <xdr:colOff>323850</xdr:colOff>
      <xdr:row>31</xdr:row>
      <xdr:rowOff>152400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4CFE75D-4193-CB1D-F552-5C119F6D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4572000" cy="2619375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142875</xdr:rowOff>
    </xdr:from>
    <xdr:to>
      <xdr:col>14</xdr:col>
      <xdr:colOff>609131</xdr:colOff>
      <xdr:row>23</xdr:row>
      <xdr:rowOff>85184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701D0-1556-0BFD-0E58-C1E606FAB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01475" y="142875"/>
          <a:ext cx="3752381" cy="432380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17" Type="http://schemas.openxmlformats.org/officeDocument/2006/relationships/hyperlink" Target="29" TargetMode="External"/><Relationship Id="rId21" Type="http://schemas.openxmlformats.org/officeDocument/2006/relationships/hyperlink" Target="4" TargetMode="External"/><Relationship Id="rId42" Type="http://schemas.openxmlformats.org/officeDocument/2006/relationships/hyperlink" Target="8" TargetMode="External"/><Relationship Id="rId47" Type="http://schemas.openxmlformats.org/officeDocument/2006/relationships/hyperlink" Target="9" TargetMode="External"/><Relationship Id="rId63" Type="http://schemas.openxmlformats.org/officeDocument/2006/relationships/hyperlink" Target="14" TargetMode="External"/><Relationship Id="rId68" Type="http://schemas.openxmlformats.org/officeDocument/2006/relationships/hyperlink" Target="15" TargetMode="External"/><Relationship Id="rId84" Type="http://schemas.openxmlformats.org/officeDocument/2006/relationships/hyperlink" Target="19" TargetMode="External"/><Relationship Id="rId89" Type="http://schemas.openxmlformats.org/officeDocument/2006/relationships/hyperlink" Target="20" TargetMode="External"/><Relationship Id="rId112" Type="http://schemas.openxmlformats.org/officeDocument/2006/relationships/hyperlink" Target="27" TargetMode="External"/><Relationship Id="rId16" Type="http://schemas.openxmlformats.org/officeDocument/2006/relationships/hyperlink" Target="3" TargetMode="External"/><Relationship Id="rId107" Type="http://schemas.openxmlformats.org/officeDocument/2006/relationships/hyperlink" Target="25" TargetMode="External"/><Relationship Id="rId11" Type="http://schemas.openxmlformats.org/officeDocument/2006/relationships/hyperlink" Target="3" TargetMode="External"/><Relationship Id="rId32" Type="http://schemas.openxmlformats.org/officeDocument/2006/relationships/hyperlink" Target="5" TargetMode="External"/><Relationship Id="rId37" Type="http://schemas.openxmlformats.org/officeDocument/2006/relationships/hyperlink" Target="6" TargetMode="External"/><Relationship Id="rId53" Type="http://schemas.openxmlformats.org/officeDocument/2006/relationships/hyperlink" Target="12" TargetMode="External"/><Relationship Id="rId58" Type="http://schemas.openxmlformats.org/officeDocument/2006/relationships/hyperlink" Target="13" TargetMode="External"/><Relationship Id="rId74" Type="http://schemas.openxmlformats.org/officeDocument/2006/relationships/hyperlink" Target="18" TargetMode="External"/><Relationship Id="rId79" Type="http://schemas.openxmlformats.org/officeDocument/2006/relationships/hyperlink" Target="19" TargetMode="External"/><Relationship Id="rId102" Type="http://schemas.openxmlformats.org/officeDocument/2006/relationships/hyperlink" Target="24" TargetMode="External"/><Relationship Id="rId123" Type="http://schemas.openxmlformats.org/officeDocument/2006/relationships/hyperlink" Target="30" TargetMode="External"/><Relationship Id="rId128" Type="http://schemas.openxmlformats.org/officeDocument/2006/relationships/hyperlink" Target="31" TargetMode="External"/><Relationship Id="rId5" Type="http://schemas.openxmlformats.org/officeDocument/2006/relationships/hyperlink" Target="2" TargetMode="External"/><Relationship Id="rId90" Type="http://schemas.openxmlformats.org/officeDocument/2006/relationships/hyperlink" Target="20" TargetMode="External"/><Relationship Id="rId95" Type="http://schemas.openxmlformats.org/officeDocument/2006/relationships/hyperlink" Target="21" TargetMode="External"/><Relationship Id="rId22" Type="http://schemas.openxmlformats.org/officeDocument/2006/relationships/hyperlink" Target="4" TargetMode="External"/><Relationship Id="rId27" Type="http://schemas.openxmlformats.org/officeDocument/2006/relationships/hyperlink" Target="5" TargetMode="External"/><Relationship Id="rId43" Type="http://schemas.openxmlformats.org/officeDocument/2006/relationships/hyperlink" Target="8" TargetMode="External"/><Relationship Id="rId48" Type="http://schemas.openxmlformats.org/officeDocument/2006/relationships/hyperlink" Target="9" TargetMode="External"/><Relationship Id="rId64" Type="http://schemas.openxmlformats.org/officeDocument/2006/relationships/hyperlink" Target="14" TargetMode="External"/><Relationship Id="rId69" Type="http://schemas.openxmlformats.org/officeDocument/2006/relationships/hyperlink" Target="15" TargetMode="External"/><Relationship Id="rId113" Type="http://schemas.openxmlformats.org/officeDocument/2006/relationships/hyperlink" Target="28" TargetMode="External"/><Relationship Id="rId118" Type="http://schemas.openxmlformats.org/officeDocument/2006/relationships/hyperlink" Target="29" TargetMode="External"/><Relationship Id="rId80" Type="http://schemas.openxmlformats.org/officeDocument/2006/relationships/hyperlink" Target="19" TargetMode="External"/><Relationship Id="rId85" Type="http://schemas.openxmlformats.org/officeDocument/2006/relationships/hyperlink" Target="19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3" TargetMode="External"/><Relationship Id="rId33" Type="http://schemas.openxmlformats.org/officeDocument/2006/relationships/hyperlink" Target="5" TargetMode="External"/><Relationship Id="rId38" Type="http://schemas.openxmlformats.org/officeDocument/2006/relationships/hyperlink" Target="7" TargetMode="External"/><Relationship Id="rId59" Type="http://schemas.openxmlformats.org/officeDocument/2006/relationships/hyperlink" Target="14" TargetMode="External"/><Relationship Id="rId103" Type="http://schemas.openxmlformats.org/officeDocument/2006/relationships/hyperlink" Target="24" TargetMode="External"/><Relationship Id="rId108" Type="http://schemas.openxmlformats.org/officeDocument/2006/relationships/hyperlink" Target="25" TargetMode="External"/><Relationship Id="rId124" Type="http://schemas.openxmlformats.org/officeDocument/2006/relationships/hyperlink" Target="30" TargetMode="External"/><Relationship Id="rId129" Type="http://schemas.openxmlformats.org/officeDocument/2006/relationships/hyperlink" Target="31" TargetMode="External"/><Relationship Id="rId54" Type="http://schemas.openxmlformats.org/officeDocument/2006/relationships/hyperlink" Target="13" TargetMode="External"/><Relationship Id="rId70" Type="http://schemas.openxmlformats.org/officeDocument/2006/relationships/hyperlink" Target="16" TargetMode="External"/><Relationship Id="rId75" Type="http://schemas.openxmlformats.org/officeDocument/2006/relationships/hyperlink" Target="18" TargetMode="External"/><Relationship Id="rId91" Type="http://schemas.openxmlformats.org/officeDocument/2006/relationships/hyperlink" Target="20" TargetMode="External"/><Relationship Id="rId96" Type="http://schemas.openxmlformats.org/officeDocument/2006/relationships/hyperlink" Target="21" TargetMode="External"/><Relationship Id="rId1" Type="http://schemas.openxmlformats.org/officeDocument/2006/relationships/hyperlink" Target="1" TargetMode="External"/><Relationship Id="rId6" Type="http://schemas.openxmlformats.org/officeDocument/2006/relationships/hyperlink" Target="2" TargetMode="External"/><Relationship Id="rId23" Type="http://schemas.openxmlformats.org/officeDocument/2006/relationships/hyperlink" Target="5" TargetMode="External"/><Relationship Id="rId28" Type="http://schemas.openxmlformats.org/officeDocument/2006/relationships/hyperlink" Target="5" TargetMode="External"/><Relationship Id="rId49" Type="http://schemas.openxmlformats.org/officeDocument/2006/relationships/hyperlink" Target="9" TargetMode="External"/><Relationship Id="rId114" Type="http://schemas.openxmlformats.org/officeDocument/2006/relationships/hyperlink" Target="28" TargetMode="External"/><Relationship Id="rId119" Type="http://schemas.openxmlformats.org/officeDocument/2006/relationships/hyperlink" Target="29" TargetMode="External"/><Relationship Id="rId44" Type="http://schemas.openxmlformats.org/officeDocument/2006/relationships/hyperlink" Target="8" TargetMode="External"/><Relationship Id="rId60" Type="http://schemas.openxmlformats.org/officeDocument/2006/relationships/hyperlink" Target="14" TargetMode="External"/><Relationship Id="rId65" Type="http://schemas.openxmlformats.org/officeDocument/2006/relationships/hyperlink" Target="15" TargetMode="External"/><Relationship Id="rId81" Type="http://schemas.openxmlformats.org/officeDocument/2006/relationships/hyperlink" Target="19" TargetMode="External"/><Relationship Id="rId86" Type="http://schemas.openxmlformats.org/officeDocument/2006/relationships/hyperlink" Target="20" TargetMode="External"/><Relationship Id="rId130" Type="http://schemas.openxmlformats.org/officeDocument/2006/relationships/hyperlink" Target="31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3" TargetMode="External"/><Relationship Id="rId39" Type="http://schemas.openxmlformats.org/officeDocument/2006/relationships/hyperlink" Target="7" TargetMode="External"/><Relationship Id="rId109" Type="http://schemas.openxmlformats.org/officeDocument/2006/relationships/hyperlink" Target="26" TargetMode="External"/><Relationship Id="rId34" Type="http://schemas.openxmlformats.org/officeDocument/2006/relationships/hyperlink" Target="5" TargetMode="External"/><Relationship Id="rId50" Type="http://schemas.openxmlformats.org/officeDocument/2006/relationships/hyperlink" Target="11" TargetMode="External"/><Relationship Id="rId55" Type="http://schemas.openxmlformats.org/officeDocument/2006/relationships/hyperlink" Target="13" TargetMode="External"/><Relationship Id="rId76" Type="http://schemas.openxmlformats.org/officeDocument/2006/relationships/hyperlink" Target="18" TargetMode="External"/><Relationship Id="rId97" Type="http://schemas.openxmlformats.org/officeDocument/2006/relationships/hyperlink" Target="21" TargetMode="External"/><Relationship Id="rId104" Type="http://schemas.openxmlformats.org/officeDocument/2006/relationships/hyperlink" Target="25" TargetMode="External"/><Relationship Id="rId120" Type="http://schemas.openxmlformats.org/officeDocument/2006/relationships/hyperlink" Target="30" TargetMode="External"/><Relationship Id="rId125" Type="http://schemas.openxmlformats.org/officeDocument/2006/relationships/hyperlink" Target="30" TargetMode="External"/><Relationship Id="rId7" Type="http://schemas.openxmlformats.org/officeDocument/2006/relationships/hyperlink" Target="3" TargetMode="External"/><Relationship Id="rId71" Type="http://schemas.openxmlformats.org/officeDocument/2006/relationships/hyperlink" Target="16" TargetMode="External"/><Relationship Id="rId92" Type="http://schemas.openxmlformats.org/officeDocument/2006/relationships/hyperlink" Target="21" TargetMode="External"/><Relationship Id="rId2" Type="http://schemas.openxmlformats.org/officeDocument/2006/relationships/hyperlink" Target="2" TargetMode="External"/><Relationship Id="rId29" Type="http://schemas.openxmlformats.org/officeDocument/2006/relationships/hyperlink" Target="5" TargetMode="External"/><Relationship Id="rId24" Type="http://schemas.openxmlformats.org/officeDocument/2006/relationships/hyperlink" Target="5" TargetMode="External"/><Relationship Id="rId40" Type="http://schemas.openxmlformats.org/officeDocument/2006/relationships/hyperlink" Target="7" TargetMode="External"/><Relationship Id="rId45" Type="http://schemas.openxmlformats.org/officeDocument/2006/relationships/hyperlink" Target="8" TargetMode="External"/><Relationship Id="rId66" Type="http://schemas.openxmlformats.org/officeDocument/2006/relationships/hyperlink" Target="15" TargetMode="External"/><Relationship Id="rId87" Type="http://schemas.openxmlformats.org/officeDocument/2006/relationships/hyperlink" Target="20" TargetMode="External"/><Relationship Id="rId110" Type="http://schemas.openxmlformats.org/officeDocument/2006/relationships/hyperlink" Target="26" TargetMode="External"/><Relationship Id="rId115" Type="http://schemas.openxmlformats.org/officeDocument/2006/relationships/hyperlink" Target="28" TargetMode="External"/><Relationship Id="rId61" Type="http://schemas.openxmlformats.org/officeDocument/2006/relationships/hyperlink" Target="14" TargetMode="External"/><Relationship Id="rId82" Type="http://schemas.openxmlformats.org/officeDocument/2006/relationships/hyperlink" Target="19" TargetMode="External"/><Relationship Id="rId19" Type="http://schemas.openxmlformats.org/officeDocument/2006/relationships/hyperlink" Target="4" TargetMode="External"/><Relationship Id="rId14" Type="http://schemas.openxmlformats.org/officeDocument/2006/relationships/hyperlink" Target="3" TargetMode="External"/><Relationship Id="rId30" Type="http://schemas.openxmlformats.org/officeDocument/2006/relationships/hyperlink" Target="5" TargetMode="External"/><Relationship Id="rId35" Type="http://schemas.openxmlformats.org/officeDocument/2006/relationships/hyperlink" Target="5" TargetMode="External"/><Relationship Id="rId56" Type="http://schemas.openxmlformats.org/officeDocument/2006/relationships/hyperlink" Target="13" TargetMode="External"/><Relationship Id="rId77" Type="http://schemas.openxmlformats.org/officeDocument/2006/relationships/hyperlink" Target="18" TargetMode="External"/><Relationship Id="rId100" Type="http://schemas.openxmlformats.org/officeDocument/2006/relationships/hyperlink" Target="22" TargetMode="External"/><Relationship Id="rId105" Type="http://schemas.openxmlformats.org/officeDocument/2006/relationships/hyperlink" Target="25" TargetMode="External"/><Relationship Id="rId126" Type="http://schemas.openxmlformats.org/officeDocument/2006/relationships/hyperlink" Target="30" TargetMode="External"/><Relationship Id="rId8" Type="http://schemas.openxmlformats.org/officeDocument/2006/relationships/hyperlink" Target="3" TargetMode="External"/><Relationship Id="rId51" Type="http://schemas.openxmlformats.org/officeDocument/2006/relationships/hyperlink" Target="12" TargetMode="External"/><Relationship Id="rId72" Type="http://schemas.openxmlformats.org/officeDocument/2006/relationships/hyperlink" Target="17" TargetMode="External"/><Relationship Id="rId93" Type="http://schemas.openxmlformats.org/officeDocument/2006/relationships/hyperlink" Target="21" TargetMode="External"/><Relationship Id="rId98" Type="http://schemas.openxmlformats.org/officeDocument/2006/relationships/hyperlink" Target="21" TargetMode="External"/><Relationship Id="rId121" Type="http://schemas.openxmlformats.org/officeDocument/2006/relationships/hyperlink" Target="30" TargetMode="External"/><Relationship Id="rId3" Type="http://schemas.openxmlformats.org/officeDocument/2006/relationships/hyperlink" Target="2" TargetMode="External"/><Relationship Id="rId25" Type="http://schemas.openxmlformats.org/officeDocument/2006/relationships/hyperlink" Target="5" TargetMode="External"/><Relationship Id="rId46" Type="http://schemas.openxmlformats.org/officeDocument/2006/relationships/hyperlink" Target="9" TargetMode="External"/><Relationship Id="rId67" Type="http://schemas.openxmlformats.org/officeDocument/2006/relationships/hyperlink" Target="15" TargetMode="External"/><Relationship Id="rId116" Type="http://schemas.openxmlformats.org/officeDocument/2006/relationships/hyperlink" Target="28" TargetMode="External"/><Relationship Id="rId20" Type="http://schemas.openxmlformats.org/officeDocument/2006/relationships/hyperlink" Target="4" TargetMode="External"/><Relationship Id="rId41" Type="http://schemas.openxmlformats.org/officeDocument/2006/relationships/hyperlink" Target="7" TargetMode="External"/><Relationship Id="rId62" Type="http://schemas.openxmlformats.org/officeDocument/2006/relationships/hyperlink" Target="14" TargetMode="External"/><Relationship Id="rId83" Type="http://schemas.openxmlformats.org/officeDocument/2006/relationships/hyperlink" Target="19" TargetMode="External"/><Relationship Id="rId88" Type="http://schemas.openxmlformats.org/officeDocument/2006/relationships/hyperlink" Target="20" TargetMode="External"/><Relationship Id="rId111" Type="http://schemas.openxmlformats.org/officeDocument/2006/relationships/hyperlink" Target="26" TargetMode="External"/><Relationship Id="rId15" Type="http://schemas.openxmlformats.org/officeDocument/2006/relationships/hyperlink" Target="3" TargetMode="External"/><Relationship Id="rId36" Type="http://schemas.openxmlformats.org/officeDocument/2006/relationships/hyperlink" Target="6" TargetMode="External"/><Relationship Id="rId57" Type="http://schemas.openxmlformats.org/officeDocument/2006/relationships/hyperlink" Target="13" TargetMode="External"/><Relationship Id="rId106" Type="http://schemas.openxmlformats.org/officeDocument/2006/relationships/hyperlink" Target="25" TargetMode="External"/><Relationship Id="rId127" Type="http://schemas.openxmlformats.org/officeDocument/2006/relationships/hyperlink" Target="30" TargetMode="External"/><Relationship Id="rId10" Type="http://schemas.openxmlformats.org/officeDocument/2006/relationships/hyperlink" Target="3" TargetMode="External"/><Relationship Id="rId31" Type="http://schemas.openxmlformats.org/officeDocument/2006/relationships/hyperlink" Target="5" TargetMode="External"/><Relationship Id="rId52" Type="http://schemas.openxmlformats.org/officeDocument/2006/relationships/hyperlink" Target="12" TargetMode="External"/><Relationship Id="rId73" Type="http://schemas.openxmlformats.org/officeDocument/2006/relationships/hyperlink" Target="18" TargetMode="External"/><Relationship Id="rId78" Type="http://schemas.openxmlformats.org/officeDocument/2006/relationships/hyperlink" Target="19" TargetMode="External"/><Relationship Id="rId94" Type="http://schemas.openxmlformats.org/officeDocument/2006/relationships/hyperlink" Target="21" TargetMode="External"/><Relationship Id="rId99" Type="http://schemas.openxmlformats.org/officeDocument/2006/relationships/hyperlink" Target="22" TargetMode="External"/><Relationship Id="rId101" Type="http://schemas.openxmlformats.org/officeDocument/2006/relationships/hyperlink" Target="23" TargetMode="External"/><Relationship Id="rId122" Type="http://schemas.openxmlformats.org/officeDocument/2006/relationships/hyperlink" Target="3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26" Type="http://schemas.openxmlformats.org/officeDocument/2006/relationships/hyperlink" Target="5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topLeftCell="A36" workbookViewId="0">
      <selection activeCell="C55" sqref="C55:Z65"/>
    </sheetView>
  </sheetViews>
  <sheetFormatPr defaultRowHeight="14.45"/>
  <cols>
    <col min="1" max="2" width="9.140625" style="79"/>
  </cols>
  <sheetData>
    <row r="1" spans="1:27">
      <c r="E1">
        <f t="shared" ref="E1:J1" ca="1" si="0">AVERAGE(E3:E4,E10:E11)</f>
        <v>60.107500000000002</v>
      </c>
      <c r="F1">
        <f t="shared" ca="1" si="0"/>
        <v>60.152500000000003</v>
      </c>
      <c r="G1">
        <f t="shared" ca="1" si="0"/>
        <v>60.094999999999999</v>
      </c>
      <c r="H1">
        <f t="shared" ca="1" si="0"/>
        <v>60.05</v>
      </c>
      <c r="I1">
        <f t="shared" ca="1" si="0"/>
        <v>60.087500000000006</v>
      </c>
      <c r="J1">
        <f t="shared" ca="1" si="0"/>
        <v>60.174999999999997</v>
      </c>
    </row>
    <row r="2" spans="1:27" ht="15.6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>
      <c r="A3" s="79">
        <v>1</v>
      </c>
      <c r="B3" s="79">
        <v>111</v>
      </c>
      <c r="C3" s="310" cm="1">
        <f t="array" aca="1" ref="C3" ca="1">INDIRECT("'"&amp;$A3&amp;"'!"&amp; "F" &amp; $B3)</f>
        <v>60.25</v>
      </c>
      <c r="D3" s="310" cm="1">
        <f t="array" aca="1" ref="D3" ca="1">INDIRECT("'"&amp;$A3&amp;"'!"&amp; "g" &amp; $B3)</f>
        <v>60.13</v>
      </c>
      <c r="E3" s="310" cm="1">
        <f t="array" aca="1" ref="E3" ca="1">INDIRECT("'"&amp;$A3&amp;"'!"&amp; "H" &amp; $B3)</f>
        <v>60.19</v>
      </c>
      <c r="F3" s="310" cm="1">
        <f t="array" aca="1" ref="F3" ca="1">INDIRECT("'"&amp;$A3&amp;"'!"&amp; "I" &amp; $B3)</f>
        <v>60.23</v>
      </c>
      <c r="G3" s="310" cm="1">
        <f t="array" aca="1" ref="G3" ca="1">INDIRECT("'"&amp;$A3&amp;"'!"&amp; "J" &amp; $B3)</f>
        <v>60.11</v>
      </c>
      <c r="H3" s="310" cm="1">
        <f t="array" aca="1" ref="H3" ca="1">INDIRECT("'"&amp;$A3&amp;"'!"&amp; "K" &amp; $B3)</f>
        <v>60.11</v>
      </c>
      <c r="I3" s="310" cm="1">
        <f t="array" aca="1" ref="I3" ca="1">INDIRECT("'"&amp;$A3&amp;"'!"&amp; "L" &amp; $B3)</f>
        <v>60.11</v>
      </c>
      <c r="J3" s="310" cm="1">
        <f t="array" aca="1" ref="J3" ca="1">INDIRECT("'"&amp;$A3&amp;"'!"&amp; "M" &amp; $B3)</f>
        <v>60.25</v>
      </c>
      <c r="K3" s="310" cm="1">
        <f t="array" aca="1" ref="K3" ca="1">INDIRECT("'"&amp;$A3&amp;"'!"&amp; "N" &amp; $B3)</f>
        <v>60.04</v>
      </c>
      <c r="L3" s="310" cm="1">
        <f t="array" aca="1" ref="L3" ca="1">INDIRECT("'"&amp;$A3&amp;"'!"&amp; "O" &amp; $B3)</f>
        <v>60.13</v>
      </c>
      <c r="M3" s="310" cm="1">
        <f t="array" aca="1" ref="M3" ca="1">INDIRECT("'"&amp;$A3&amp;"'!"&amp; "P" &amp; $B3)</f>
        <v>60.09</v>
      </c>
      <c r="N3" s="310" cm="1">
        <f t="array" aca="1" ref="N3" ca="1">INDIRECT("'"&amp;$A3&amp;"'!"&amp; "Q" &amp; $B3)</f>
        <v>60.19</v>
      </c>
      <c r="O3" s="310" cm="1">
        <f t="array" aca="1" ref="O3" ca="1">INDIRECT("'"&amp;$A3&amp;"'!"&amp; "R" &amp; $B3)</f>
        <v>60.27</v>
      </c>
      <c r="P3" s="310" cm="1">
        <f t="array" aca="1" ref="P3" ca="1">INDIRECT("'"&amp;$A3&amp;"'!"&amp; "S" &amp; $B3)</f>
        <v>60.13</v>
      </c>
      <c r="Q3" s="310" cm="1">
        <f t="array" aca="1" ref="Q3" ca="1">INDIRECT("'"&amp;$A3&amp;"'!"&amp; "T" &amp; $B3)</f>
        <v>60.11</v>
      </c>
      <c r="R3" s="310" cm="1">
        <f t="array" aca="1" ref="R3" ca="1">INDIRECT("'"&amp;$A3&amp;"'!"&amp; "U" &amp; $B3)</f>
        <v>60.13</v>
      </c>
      <c r="S3" s="310" cm="1">
        <f t="array" aca="1" ref="S3" ca="1">INDIRECT("'"&amp;$A3&amp;"'!"&amp; "V" &amp; $B3)</f>
        <v>60.16</v>
      </c>
      <c r="T3" s="310" cm="1">
        <f t="array" aca="1" ref="T3" ca="1">INDIRECT("'"&amp;$A3&amp;"'!"&amp; "W" &amp; $B3)</f>
        <v>60.17</v>
      </c>
      <c r="U3" s="310" cm="1">
        <f t="array" aca="1" ref="U3" ca="1">INDIRECT("'"&amp;$A3&amp;"'!"&amp; "X" &amp; $B3)</f>
        <v>60.14</v>
      </c>
      <c r="V3" s="310" cm="1">
        <f t="array" aca="1" ref="V3" ca="1">INDIRECT("'"&amp;$A3&amp;"'!"&amp; "Y" &amp; $B3)</f>
        <v>60.17</v>
      </c>
      <c r="W3" s="310" cm="1">
        <f t="array" aca="1" ref="W3" ca="1">INDIRECT("'"&amp;$A3&amp;"'!"&amp; "Z" &amp; $B3)</f>
        <v>60.23</v>
      </c>
      <c r="X3" s="310" cm="1">
        <f t="array" aca="1" ref="X3" ca="1">INDIRECT("'"&amp;$A3&amp;"'!"&amp; "AA" &amp; $B3)</f>
        <v>60.14</v>
      </c>
      <c r="Y3" s="310" cm="1">
        <f t="array" aca="1" ref="Y3" ca="1">INDIRECT("'"&amp;$A3&amp;"'!"&amp; "AB" &amp; $B3)</f>
        <v>60.17</v>
      </c>
      <c r="Z3" s="310" cm="1">
        <f t="array" aca="1" ref="Z3" ca="1">INDIRECT("'"&amp;$A3&amp;"'!"&amp; "AC" &amp; $B3)</f>
        <v>60.14</v>
      </c>
      <c r="AA3" s="75"/>
    </row>
    <row r="4" spans="1:27">
      <c r="A4" s="79">
        <v>2</v>
      </c>
      <c r="B4" s="79">
        <v>111</v>
      </c>
      <c r="C4" s="310" cm="1">
        <f t="array" aca="1" ref="C4" ca="1">INDIRECT("'"&amp;$A4&amp;"'!"&amp; "F" &amp; $B4)</f>
        <v>60.15</v>
      </c>
      <c r="D4" s="310" cm="1">
        <f t="array" aca="1" ref="D4" ca="1">INDIRECT("'"&amp;$A4&amp;"'!"&amp; "g" &amp; $B4)</f>
        <v>60.18</v>
      </c>
      <c r="E4" s="310" cm="1">
        <f t="array" aca="1" ref="E4" ca="1">INDIRECT("'"&amp;$A4&amp;"'!"&amp; "H" &amp; $B4)</f>
        <v>60.09</v>
      </c>
      <c r="F4" s="310" cm="1">
        <f t="array" aca="1" ref="F4" ca="1">INDIRECT("'"&amp;$A4&amp;"'!"&amp; "I" &amp; $B4)</f>
        <v>60.14</v>
      </c>
      <c r="G4" s="310" cm="1">
        <f t="array" aca="1" ref="G4" ca="1">INDIRECT("'"&amp;$A4&amp;"'!"&amp; "J" &amp; $B4)</f>
        <v>60.12</v>
      </c>
      <c r="H4" s="310" cm="1">
        <f t="array" aca="1" ref="H4" ca="1">INDIRECT("'"&amp;$A4&amp;"'!"&amp; "K" &amp; $B4)</f>
        <v>60.06</v>
      </c>
      <c r="I4" s="310" cm="1">
        <f t="array" aca="1" ref="I4" ca="1">INDIRECT("'"&amp;$A4&amp;"'!"&amp; "L" &amp; $B4)</f>
        <v>60.06</v>
      </c>
      <c r="J4" s="310" cm="1">
        <f t="array" aca="1" ref="J4" ca="1">INDIRECT("'"&amp;$A4&amp;"'!"&amp; "M" &amp; $B4)</f>
        <v>60.13</v>
      </c>
      <c r="K4" s="310" cm="1">
        <f t="array" aca="1" ref="K4" ca="1">INDIRECT("'"&amp;$A4&amp;"'!"&amp; "N" &amp; $B4)</f>
        <v>59.98</v>
      </c>
      <c r="L4" s="310" cm="1">
        <f t="array" aca="1" ref="L4" ca="1">INDIRECT("'"&amp;$A4&amp;"'!"&amp; "O" &amp; $B4)</f>
        <v>60.02</v>
      </c>
      <c r="M4" s="310" cm="1">
        <f t="array" aca="1" ref="M4" ca="1">INDIRECT("'"&amp;$A4&amp;"'!"&amp; "P" &amp; $B4)</f>
        <v>60.17</v>
      </c>
      <c r="N4" s="310" cm="1">
        <f t="array" aca="1" ref="N4" ca="1">INDIRECT("'"&amp;$A4&amp;"'!"&amp; "Q" &amp; $B4)</f>
        <v>60.22</v>
      </c>
      <c r="O4" s="310" cm="1">
        <f t="array" aca="1" ref="O4" ca="1">INDIRECT("'"&amp;$A4&amp;"'!"&amp; "R" &amp; $B4)</f>
        <v>60.2</v>
      </c>
      <c r="P4" s="310" cm="1">
        <f t="array" aca="1" ref="P4" ca="1">INDIRECT("'"&amp;$A4&amp;"'!"&amp; "S" &amp; $B4)</f>
        <v>60.18</v>
      </c>
      <c r="Q4" s="310" cm="1">
        <f t="array" aca="1" ref="Q4" ca="1">INDIRECT("'"&amp;$A4&amp;"'!"&amp; "T" &amp; $B4)</f>
        <v>60.24</v>
      </c>
      <c r="R4" s="310" cm="1">
        <f t="array" aca="1" ref="R4" ca="1">INDIRECT("'"&amp;$A4&amp;"'!"&amp; "U" &amp; $B4)</f>
        <v>60.25</v>
      </c>
      <c r="S4" s="310" cm="1">
        <f t="array" aca="1" ref="S4" ca="1">INDIRECT("'"&amp;$A4&amp;"'!"&amp; "V" &amp; $B4)</f>
        <v>60.15</v>
      </c>
      <c r="T4" s="310" cm="1">
        <f t="array" aca="1" ref="T4" ca="1">INDIRECT("'"&amp;$A4&amp;"'!"&amp; "W" &amp; $B4)</f>
        <v>60.2</v>
      </c>
      <c r="U4" s="310" cm="1">
        <f t="array" aca="1" ref="U4" ca="1">INDIRECT("'"&amp;$A4&amp;"'!"&amp; "X" &amp; $B4)</f>
        <v>60.19</v>
      </c>
      <c r="V4" s="310" cm="1">
        <f t="array" aca="1" ref="V4" ca="1">INDIRECT("'"&amp;$A4&amp;"'!"&amp; "Y" &amp; $B4)</f>
        <v>60.31</v>
      </c>
      <c r="W4" s="310" cm="1">
        <f t="array" aca="1" ref="W4" ca="1">INDIRECT("'"&amp;$A4&amp;"'!"&amp; "Z" &amp; $B4)</f>
        <v>60.17</v>
      </c>
      <c r="X4" s="310" cm="1">
        <f t="array" aca="1" ref="X4" ca="1">INDIRECT("'"&amp;$A4&amp;"'!"&amp; "AA" &amp; $B4)</f>
        <v>60.16</v>
      </c>
      <c r="Y4" s="310" cm="1">
        <f t="array" aca="1" ref="Y4" ca="1">INDIRECT("'"&amp;$A4&amp;"'!"&amp; "AB" &amp; $B4)</f>
        <v>60.22</v>
      </c>
      <c r="Z4" s="310" cm="1">
        <f t="array" aca="1" ref="Z4" ca="1">INDIRECT("'"&amp;$A4&amp;"'!"&amp; "AC" &amp; $B4)</f>
        <v>60.15</v>
      </c>
    </row>
    <row r="5" spans="1:27">
      <c r="A5" s="79">
        <v>3</v>
      </c>
      <c r="B5" s="79">
        <v>111</v>
      </c>
      <c r="C5" s="310" cm="1">
        <f t="array" aca="1" ref="C5" ca="1">INDIRECT("'"&amp;$A5&amp;"'!"&amp; "F" &amp; $B5)</f>
        <v>60.14</v>
      </c>
      <c r="D5" s="310" cm="1">
        <f t="array" aca="1" ref="D5" ca="1">INDIRECT("'"&amp;$A5&amp;"'!"&amp; "g" &amp; $B5)</f>
        <v>60.2</v>
      </c>
      <c r="E5" s="310" cm="1">
        <f t="array" aca="1" ref="E5" ca="1">INDIRECT("'"&amp;$A5&amp;"'!"&amp; "H" &amp; $B5)</f>
        <v>60.08</v>
      </c>
      <c r="F5" s="310" cm="1">
        <f t="array" aca="1" ref="F5" ca="1">INDIRECT("'"&amp;$A5&amp;"'!"&amp; "I" &amp; $B5)</f>
        <v>60.06</v>
      </c>
      <c r="G5" s="310" cm="1">
        <f t="array" aca="1" ref="G5" ca="1">INDIRECT("'"&amp;$A5&amp;"'!"&amp; "J" &amp; $B5)</f>
        <v>60.09</v>
      </c>
      <c r="H5" s="310" cm="1">
        <f t="array" aca="1" ref="H5" ca="1">INDIRECT("'"&amp;$A5&amp;"'!"&amp; "K" &amp; $B5)</f>
        <v>60.14</v>
      </c>
      <c r="I5" s="310" cm="1">
        <f t="array" aca="1" ref="I5" ca="1">INDIRECT("'"&amp;$A5&amp;"'!"&amp; "L" &amp; $B5)</f>
        <v>60.19</v>
      </c>
      <c r="J5" s="310" cm="1">
        <f t="array" aca="1" ref="J5" ca="1">INDIRECT("'"&amp;$A5&amp;"'!"&amp; "M" &amp; $B5)</f>
        <v>60.26</v>
      </c>
      <c r="K5" s="310" cm="1">
        <f t="array" aca="1" ref="K5" ca="1">INDIRECT("'"&amp;$A5&amp;"'!"&amp; "N" &amp; $B5)</f>
        <v>60.06</v>
      </c>
      <c r="L5" s="310" cm="1">
        <f t="array" aca="1" ref="L5" ca="1">INDIRECT("'"&amp;$A5&amp;"'!"&amp; "O" &amp; $B5)</f>
        <v>60.27</v>
      </c>
      <c r="M5" s="310" cm="1">
        <f t="array" aca="1" ref="M5" ca="1">INDIRECT("'"&amp;$A5&amp;"'!"&amp; "P" &amp; $B5)</f>
        <v>60.07</v>
      </c>
      <c r="N5" s="310" cm="1">
        <f t="array" aca="1" ref="N5" ca="1">INDIRECT("'"&amp;$A5&amp;"'!"&amp; "Q" &amp; $B5)</f>
        <v>60.18</v>
      </c>
      <c r="O5" s="310" cm="1">
        <f t="array" aca="1" ref="O5" ca="1">INDIRECT("'"&amp;$A5&amp;"'!"&amp; "R" &amp; $B5)</f>
        <v>60.17</v>
      </c>
      <c r="P5" s="310" cm="1">
        <f t="array" aca="1" ref="P5" ca="1">INDIRECT("'"&amp;$A5&amp;"'!"&amp; "S" &amp; $B5)</f>
        <v>60.03</v>
      </c>
      <c r="Q5" s="310" cm="1">
        <f t="array" aca="1" ref="Q5" ca="1">INDIRECT("'"&amp;$A5&amp;"'!"&amp; "T" &amp; $B5)</f>
        <v>60.2</v>
      </c>
      <c r="R5" s="310" cm="1">
        <f t="array" aca="1" ref="R5" ca="1">INDIRECT("'"&amp;$A5&amp;"'!"&amp; "U" &amp; $B5)</f>
        <v>60.32</v>
      </c>
      <c r="S5" s="310" cm="1">
        <f t="array" aca="1" ref="S5" ca="1">INDIRECT("'"&amp;$A5&amp;"'!"&amp; "V" &amp; $B5)</f>
        <v>60.14</v>
      </c>
      <c r="T5" s="310" cm="1">
        <f t="array" aca="1" ref="T5" ca="1">INDIRECT("'"&amp;$A5&amp;"'!"&amp; "W" &amp; $B5)</f>
        <v>60.18</v>
      </c>
      <c r="U5" s="310" cm="1">
        <f t="array" aca="1" ref="U5" ca="1">INDIRECT("'"&amp;$A5&amp;"'!"&amp; "X" &amp; $B5)</f>
        <v>60.19</v>
      </c>
      <c r="V5" s="310" cm="1">
        <f t="array" aca="1" ref="V5" ca="1">INDIRECT("'"&amp;$A5&amp;"'!"&amp; "Y" &amp; $B5)</f>
        <v>60.14</v>
      </c>
      <c r="W5" s="310" cm="1">
        <f t="array" aca="1" ref="W5" ca="1">INDIRECT("'"&amp;$A5&amp;"'!"&amp; "Z" &amp; $B5)</f>
        <v>60.2</v>
      </c>
      <c r="X5" s="310" cm="1">
        <f t="array" aca="1" ref="X5" ca="1">INDIRECT("'"&amp;$A5&amp;"'!"&amp; "AA" &amp; $B5)</f>
        <v>60.21</v>
      </c>
      <c r="Y5" s="310" cm="1">
        <f t="array" aca="1" ref="Y5" ca="1">INDIRECT("'"&amp;$A5&amp;"'!"&amp; "AB" &amp; $B5)</f>
        <v>60.14</v>
      </c>
      <c r="Z5" s="310" cm="1">
        <f t="array" aca="1" ref="Z5" ca="1">INDIRECT("'"&amp;$A5&amp;"'!"&amp; "AC" &amp; $B5)</f>
        <v>60.35</v>
      </c>
    </row>
    <row r="6" spans="1:27">
      <c r="A6" s="79">
        <v>4</v>
      </c>
      <c r="B6" s="79">
        <v>111</v>
      </c>
      <c r="C6" s="310" cm="1">
        <f t="array" aca="1" ref="C6" ca="1">INDIRECT("'"&amp;$A6&amp;"'!"&amp; "F" &amp; $B6)</f>
        <v>60.12</v>
      </c>
      <c r="D6" s="310" cm="1">
        <f t="array" aca="1" ref="D6" ca="1">INDIRECT("'"&amp;$A6&amp;"'!"&amp; "g" &amp; $B6)</f>
        <v>60.12</v>
      </c>
      <c r="E6" s="310" cm="1">
        <f t="array" aca="1" ref="E6" ca="1">INDIRECT("'"&amp;$A6&amp;"'!"&amp; "H" &amp; $B6)</f>
        <v>60.09</v>
      </c>
      <c r="F6" s="310" cm="1">
        <f t="array" aca="1" ref="F6" ca="1">INDIRECT("'"&amp;$A6&amp;"'!"&amp; "I" &amp; $B6)</f>
        <v>60.13</v>
      </c>
      <c r="G6" s="310" cm="1">
        <f t="array" aca="1" ref="G6" ca="1">INDIRECT("'"&amp;$A6&amp;"'!"&amp; "J" &amp; $B6)</f>
        <v>60.1</v>
      </c>
      <c r="H6" s="310" cm="1">
        <f t="array" aca="1" ref="H6" ca="1">INDIRECT("'"&amp;$A6&amp;"'!"&amp; "K" &amp; $B6)</f>
        <v>60.16</v>
      </c>
      <c r="I6" s="310" cm="1">
        <f t="array" aca="1" ref="I6" ca="1">INDIRECT("'"&amp;$A6&amp;"'!"&amp; "L" &amp; $B6)</f>
        <v>60.11</v>
      </c>
      <c r="J6" s="310" cm="1">
        <f t="array" aca="1" ref="J6" ca="1">INDIRECT("'"&amp;$A6&amp;"'!"&amp; "M" &amp; $B6)</f>
        <v>60.28</v>
      </c>
      <c r="K6" s="310" cm="1">
        <f t="array" aca="1" ref="K6" ca="1">INDIRECT("'"&amp;$A6&amp;"'!"&amp; "N" &amp; $B6)</f>
        <v>60.12</v>
      </c>
      <c r="L6" s="310" cm="1">
        <f t="array" aca="1" ref="L6" ca="1">INDIRECT("'"&amp;$A6&amp;"'!"&amp; "O" &amp; $B6)</f>
        <v>60.04</v>
      </c>
      <c r="M6" s="310" cm="1">
        <f t="array" aca="1" ref="M6" ca="1">INDIRECT("'"&amp;$A6&amp;"'!"&amp; "P" &amp; $B6)</f>
        <v>60.15</v>
      </c>
      <c r="N6" s="310" cm="1">
        <f t="array" aca="1" ref="N6" ca="1">INDIRECT("'"&amp;$A6&amp;"'!"&amp; "Q" &amp; $B6)</f>
        <v>60.18</v>
      </c>
      <c r="O6" s="310" cm="1">
        <f t="array" aca="1" ref="O6" ca="1">INDIRECT("'"&amp;$A6&amp;"'!"&amp; "R" &amp; $B6)</f>
        <v>60.18</v>
      </c>
      <c r="P6" s="310" cm="1">
        <f t="array" aca="1" ref="P6" ca="1">INDIRECT("'"&amp;$A6&amp;"'!"&amp; "S" &amp; $B6)</f>
        <v>60.1</v>
      </c>
      <c r="Q6" s="310" cm="1">
        <f t="array" aca="1" ref="Q6" ca="1">INDIRECT("'"&amp;$A6&amp;"'!"&amp; "T" &amp; $B6)</f>
        <v>60.07</v>
      </c>
      <c r="R6" s="310" cm="1">
        <f t="array" aca="1" ref="R6" ca="1">INDIRECT("'"&amp;$A6&amp;"'!"&amp; "U" &amp; $B6)</f>
        <v>60.11</v>
      </c>
      <c r="S6" s="310" cm="1">
        <f t="array" aca="1" ref="S6" ca="1">INDIRECT("'"&amp;$A6&amp;"'!"&amp; "V" &amp; $B6)</f>
        <v>60.14</v>
      </c>
      <c r="T6" s="310" cm="1">
        <f t="array" aca="1" ref="T6" ca="1">INDIRECT("'"&amp;$A6&amp;"'!"&amp; "W" &amp; $B6)</f>
        <v>60.22</v>
      </c>
      <c r="U6" s="310" cm="1">
        <f t="array" aca="1" ref="U6" ca="1">INDIRECT("'"&amp;$A6&amp;"'!"&amp; "X" &amp; $B6)</f>
        <v>60.22</v>
      </c>
      <c r="V6" s="310" cm="1">
        <f t="array" aca="1" ref="V6" ca="1">INDIRECT("'"&amp;$A6&amp;"'!"&amp; "Y" &amp; $B6)</f>
        <v>60.11</v>
      </c>
      <c r="W6" s="310" cm="1">
        <f t="array" aca="1" ref="W6" ca="1">INDIRECT("'"&amp;$A6&amp;"'!"&amp; "Z" &amp; $B6)</f>
        <v>60.12</v>
      </c>
      <c r="X6" s="310" cm="1">
        <f t="array" aca="1" ref="X6" ca="1">INDIRECT("'"&amp;$A6&amp;"'!"&amp; "AA" &amp; $B6)</f>
        <v>60.15</v>
      </c>
      <c r="Y6" s="310" cm="1">
        <f t="array" aca="1" ref="Y6" ca="1">INDIRECT("'"&amp;$A6&amp;"'!"&amp; "AB" &amp; $B6)</f>
        <v>60.12</v>
      </c>
      <c r="Z6" s="310" cm="1">
        <f t="array" aca="1" ref="Z6" ca="1">INDIRECT("'"&amp;$A6&amp;"'!"&amp; "AC" &amp; $B6)</f>
        <v>60.13</v>
      </c>
    </row>
    <row r="7" spans="1:27">
      <c r="A7" s="79">
        <v>5</v>
      </c>
      <c r="B7" s="79">
        <v>111</v>
      </c>
      <c r="C7" s="310" cm="1">
        <f t="array" aca="1" ref="C7" ca="1">INDIRECT("'"&amp;$A7&amp;"'!"&amp; "F" &amp; $B7)</f>
        <v>60.13</v>
      </c>
      <c r="D7" s="310" cm="1">
        <f t="array" aca="1" ref="D7" ca="1">INDIRECT("'"&amp;$A7&amp;"'!"&amp; "g" &amp; $B7)</f>
        <v>60.18</v>
      </c>
      <c r="E7" s="310" cm="1">
        <f t="array" aca="1" ref="E7" ca="1">INDIRECT("'"&amp;$A7&amp;"'!"&amp; "H" &amp; $B7)</f>
        <v>60.14</v>
      </c>
      <c r="F7" s="310" cm="1">
        <f t="array" aca="1" ref="F7" ca="1">INDIRECT("'"&amp;$A7&amp;"'!"&amp; "I" &amp; $B7)</f>
        <v>60.1</v>
      </c>
      <c r="G7" s="310" cm="1">
        <f t="array" aca="1" ref="G7" ca="1">INDIRECT("'"&amp;$A7&amp;"'!"&amp; "J" &amp; $B7)</f>
        <v>60.04</v>
      </c>
      <c r="H7" s="310" cm="1">
        <f t="array" aca="1" ref="H7" ca="1">INDIRECT("'"&amp;$A7&amp;"'!"&amp; "K" &amp; $B7)</f>
        <v>60.09</v>
      </c>
      <c r="I7" s="310" cm="1">
        <f t="array" aca="1" ref="I7" ca="1">INDIRECT("'"&amp;$A7&amp;"'!"&amp; "L" &amp; $B7)</f>
        <v>60.06</v>
      </c>
      <c r="J7" s="310" cm="1">
        <f t="array" aca="1" ref="J7" ca="1">INDIRECT("'"&amp;$A7&amp;"'!"&amp; "M" &amp; $B7)</f>
        <v>60.17</v>
      </c>
      <c r="K7" s="310" cm="1">
        <f t="array" aca="1" ref="K7" ca="1">INDIRECT("'"&amp;$A7&amp;"'!"&amp; "N" &amp; $B7)</f>
        <v>60.01</v>
      </c>
      <c r="L7" s="310" cm="1">
        <f t="array" aca="1" ref="L7" ca="1">INDIRECT("'"&amp;$A7&amp;"'!"&amp; "O" &amp; $B7)</f>
        <v>60.18</v>
      </c>
      <c r="M7" s="310" cm="1">
        <f t="array" aca="1" ref="M7" ca="1">INDIRECT("'"&amp;$A7&amp;"'!"&amp; "P" &amp; $B7)</f>
        <v>60.18</v>
      </c>
      <c r="N7" s="310" cm="1">
        <f t="array" aca="1" ref="N7" ca="1">INDIRECT("'"&amp;$A7&amp;"'!"&amp; "Q" &amp; $B7)</f>
        <v>60.16</v>
      </c>
      <c r="O7" s="310" cm="1">
        <f t="array" aca="1" ref="O7" ca="1">INDIRECT("'"&amp;$A7&amp;"'!"&amp; "R" &amp; $B7)</f>
        <v>60.2</v>
      </c>
      <c r="P7" s="310" cm="1">
        <f t="array" aca="1" ref="P7" ca="1">INDIRECT("'"&amp;$A7&amp;"'!"&amp; "S" &amp; $B7)</f>
        <v>60.19</v>
      </c>
      <c r="Q7" s="310" cm="1">
        <f t="array" aca="1" ref="Q7" ca="1">INDIRECT("'"&amp;$A7&amp;"'!"&amp; "T" &amp; $B7)</f>
        <v>60.14</v>
      </c>
      <c r="R7" s="310" cm="1">
        <f t="array" aca="1" ref="R7" ca="1">INDIRECT("'"&amp;$A7&amp;"'!"&amp; "U" &amp; $B7)</f>
        <v>60.05</v>
      </c>
      <c r="S7" s="310" cm="1">
        <f t="array" aca="1" ref="S7" ca="1">INDIRECT("'"&amp;$A7&amp;"'!"&amp; "V" &amp; $B7)</f>
        <v>60.2</v>
      </c>
      <c r="T7" s="310" cm="1">
        <f t="array" aca="1" ref="T7" ca="1">INDIRECT("'"&amp;$A7&amp;"'!"&amp; "W" &amp; $B7)</f>
        <v>60.25</v>
      </c>
      <c r="U7" s="310" cm="1">
        <f t="array" aca="1" ref="U7" ca="1">INDIRECT("'"&amp;$A7&amp;"'!"&amp; "X" &amp; $B7)</f>
        <v>60.19</v>
      </c>
      <c r="V7" s="310" cm="1">
        <f t="array" aca="1" ref="V7" ca="1">INDIRECT("'"&amp;$A7&amp;"'!"&amp; "Y" &amp; $B7)</f>
        <v>60.11</v>
      </c>
      <c r="W7" s="310" cm="1">
        <f t="array" aca="1" ref="W7" ca="1">INDIRECT("'"&amp;$A7&amp;"'!"&amp; "Z" &amp; $B7)</f>
        <v>60.14</v>
      </c>
      <c r="X7" s="310" cm="1">
        <f t="array" aca="1" ref="X7" ca="1">INDIRECT("'"&amp;$A7&amp;"'!"&amp; "AA" &amp; $B7)</f>
        <v>60</v>
      </c>
      <c r="Y7" s="310" cm="1">
        <f t="array" aca="1" ref="Y7" ca="1">INDIRECT("'"&amp;$A7&amp;"'!"&amp; "AB" &amp; $B7)</f>
        <v>60.12</v>
      </c>
      <c r="Z7" s="310" cm="1">
        <f t="array" aca="1" ref="Z7" ca="1">INDIRECT("'"&amp;$A7&amp;"'!"&amp; "AC" &amp; $B7)</f>
        <v>60.08</v>
      </c>
    </row>
    <row r="8" spans="1:27">
      <c r="A8" s="79">
        <v>6</v>
      </c>
      <c r="B8" s="79">
        <v>111</v>
      </c>
      <c r="C8" s="310" cm="1">
        <f t="array" aca="1" ref="C8" ca="1">INDIRECT("'"&amp;$A8&amp;"'!"&amp; "F" &amp; $B8)</f>
        <v>60.19</v>
      </c>
      <c r="D8" s="310" cm="1">
        <f t="array" aca="1" ref="D8" ca="1">INDIRECT("'"&amp;$A8&amp;"'!"&amp; "g" &amp; $B8)</f>
        <v>60.19</v>
      </c>
      <c r="E8" s="310" cm="1">
        <f t="array" aca="1" ref="E8" ca="1">INDIRECT("'"&amp;$A8&amp;"'!"&amp; "H" &amp; $B8)</f>
        <v>60.1</v>
      </c>
      <c r="F8" s="310" cm="1">
        <f t="array" aca="1" ref="F8" ca="1">INDIRECT("'"&amp;$A8&amp;"'!"&amp; "I" &amp; $B8)</f>
        <v>60.08</v>
      </c>
      <c r="G8" s="310" cm="1">
        <f t="array" aca="1" ref="G8" ca="1">INDIRECT("'"&amp;$A8&amp;"'!"&amp; "J" &amp; $B8)</f>
        <v>60.05</v>
      </c>
      <c r="H8" s="310" cm="1">
        <f t="array" aca="1" ref="H8" ca="1">INDIRECT("'"&amp;$A8&amp;"'!"&amp; "K" &amp; $B8)</f>
        <v>60.05</v>
      </c>
      <c r="I8" s="310" cm="1">
        <f t="array" aca="1" ref="I8" ca="1">INDIRECT("'"&amp;$A8&amp;"'!"&amp; "L" &amp; $B8)</f>
        <v>59.99</v>
      </c>
      <c r="J8" s="310" cm="1">
        <f t="array" aca="1" ref="J8" ca="1">INDIRECT("'"&amp;$A8&amp;"'!"&amp; "M" &amp; $B8)</f>
        <v>60.19</v>
      </c>
      <c r="K8" s="310" cm="1">
        <f t="array" aca="1" ref="K8" ca="1">INDIRECT("'"&amp;$A8&amp;"'!"&amp; "N" &amp; $B8)</f>
        <v>60.03</v>
      </c>
      <c r="L8" s="310" cm="1">
        <f t="array" aca="1" ref="L8" ca="1">INDIRECT("'"&amp;$A8&amp;"'!"&amp; "O" &amp; $B8)</f>
        <v>60.11</v>
      </c>
      <c r="M8" s="310" cm="1">
        <f t="array" aca="1" ref="M8" ca="1">INDIRECT("'"&amp;$A8&amp;"'!"&amp; "P" &amp; $B8)</f>
        <v>60.07</v>
      </c>
      <c r="N8" s="310" cm="1">
        <f t="array" aca="1" ref="N8" ca="1">INDIRECT("'"&amp;$A8&amp;"'!"&amp; "Q" &amp; $B8)</f>
        <v>60.15</v>
      </c>
      <c r="O8" s="310" cm="1">
        <f t="array" aca="1" ref="O8" ca="1">INDIRECT("'"&amp;$A8&amp;"'!"&amp; "R" &amp; $B8)</f>
        <v>60.27</v>
      </c>
      <c r="P8" s="310" cm="1">
        <f t="array" aca="1" ref="P8" ca="1">INDIRECT("'"&amp;$A8&amp;"'!"&amp; "S" &amp; $B8)</f>
        <v>60.13</v>
      </c>
      <c r="Q8" s="310" cm="1">
        <f t="array" aca="1" ref="Q8" ca="1">INDIRECT("'"&amp;$A8&amp;"'!"&amp; "T" &amp; $B8)</f>
        <v>60.11</v>
      </c>
      <c r="R8" s="310" cm="1">
        <f t="array" aca="1" ref="R8" ca="1">INDIRECT("'"&amp;$A8&amp;"'!"&amp; "U" &amp; $B8)</f>
        <v>60.17</v>
      </c>
      <c r="S8" s="310" cm="1">
        <f t="array" aca="1" ref="S8" ca="1">INDIRECT("'"&amp;$A8&amp;"'!"&amp; "V" &amp; $B8)</f>
        <v>60.2</v>
      </c>
      <c r="T8" s="310" cm="1">
        <f t="array" aca="1" ref="T8" ca="1">INDIRECT("'"&amp;$A8&amp;"'!"&amp; "W" &amp; $B8)</f>
        <v>60.09</v>
      </c>
      <c r="U8" s="310" cm="1">
        <f t="array" aca="1" ref="U8" ca="1">INDIRECT("'"&amp;$A8&amp;"'!"&amp; "X" &amp; $B8)</f>
        <v>60.09</v>
      </c>
      <c r="V8" s="310" cm="1">
        <f t="array" aca="1" ref="V8" ca="1">INDIRECT("'"&amp;$A8&amp;"'!"&amp; "Y" &amp; $B8)</f>
        <v>60.09</v>
      </c>
      <c r="W8" s="310" cm="1">
        <f t="array" aca="1" ref="W8" ca="1">INDIRECT("'"&amp;$A8&amp;"'!"&amp; "Z" &amp; $B8)</f>
        <v>60.1</v>
      </c>
      <c r="X8" s="310" cm="1">
        <f t="array" aca="1" ref="X8" ca="1">INDIRECT("'"&amp;$A8&amp;"'!"&amp; "AA" &amp; $B8)</f>
        <v>60.1</v>
      </c>
      <c r="Y8" s="310" cm="1">
        <f t="array" aca="1" ref="Y8" ca="1">INDIRECT("'"&amp;$A8&amp;"'!"&amp; "AB" &amp; $B8)</f>
        <v>60.18</v>
      </c>
      <c r="Z8" s="310" cm="1">
        <f t="array" aca="1" ref="Z8" ca="1">INDIRECT("'"&amp;$A8&amp;"'!"&amp; "AC" &amp; $B8)</f>
        <v>60.16</v>
      </c>
    </row>
    <row r="9" spans="1:27">
      <c r="A9" s="79">
        <v>7</v>
      </c>
      <c r="B9" s="79">
        <v>111</v>
      </c>
      <c r="C9" s="310" cm="1">
        <f t="array" aca="1" ref="C9" ca="1">INDIRECT("'"&amp;$A9&amp;"'!"&amp; "F" &amp; $B9)</f>
        <v>60.16</v>
      </c>
      <c r="D9" s="310" cm="1">
        <f t="array" aca="1" ref="D9" ca="1">INDIRECT("'"&amp;$A9&amp;"'!"&amp; "g" &amp; $B9)</f>
        <v>60.06</v>
      </c>
      <c r="E9" s="310" cm="1">
        <f t="array" aca="1" ref="E9" ca="1">INDIRECT("'"&amp;$A9&amp;"'!"&amp; "H" &amp; $B9)</f>
        <v>60.13</v>
      </c>
      <c r="F9" s="310" cm="1">
        <f t="array" aca="1" ref="F9" ca="1">INDIRECT("'"&amp;$A9&amp;"'!"&amp; "I" &amp; $B9)</f>
        <v>60.09</v>
      </c>
      <c r="G9" s="310" cm="1">
        <f t="array" aca="1" ref="G9" ca="1">INDIRECT("'"&amp;$A9&amp;"'!"&amp; "J" &amp; $B9)</f>
        <v>60.09</v>
      </c>
      <c r="H9" s="310" cm="1">
        <f t="array" aca="1" ref="H9" ca="1">INDIRECT("'"&amp;$A9&amp;"'!"&amp; "K" &amp; $B9)</f>
        <v>60.05</v>
      </c>
      <c r="I9" s="310" cm="1">
        <f t="array" aca="1" ref="I9" ca="1">INDIRECT("'"&amp;$A9&amp;"'!"&amp; "L" &amp; $B9)</f>
        <v>60</v>
      </c>
      <c r="J9" s="310" cm="1">
        <f t="array" aca="1" ref="J9" ca="1">INDIRECT("'"&amp;$A9&amp;"'!"&amp; "M" &amp; $B9)</f>
        <v>60.21</v>
      </c>
      <c r="K9" s="310" cm="1">
        <f t="array" aca="1" ref="K9" ca="1">INDIRECT("'"&amp;$A9&amp;"'!"&amp; "N" &amp; $B9)</f>
        <v>60.14</v>
      </c>
      <c r="L9" s="310" cm="1">
        <f t="array" aca="1" ref="L9" ca="1">INDIRECT("'"&amp;$A9&amp;"'!"&amp; "O" &amp; $B9)</f>
        <v>60.01</v>
      </c>
      <c r="M9" s="310" cm="1">
        <f t="array" aca="1" ref="M9" ca="1">INDIRECT("'"&amp;$A9&amp;"'!"&amp; "P" &amp; $B9)</f>
        <v>60.09</v>
      </c>
      <c r="N9" s="310" cm="1">
        <f t="array" aca="1" ref="N9" ca="1">INDIRECT("'"&amp;$A9&amp;"'!"&amp; "Q" &amp; $B9)</f>
        <v>60.08</v>
      </c>
      <c r="O9" s="310" cm="1">
        <f t="array" aca="1" ref="O9" ca="1">INDIRECT("'"&amp;$A9&amp;"'!"&amp; "R" &amp; $B9)</f>
        <v>60.15</v>
      </c>
      <c r="P9" s="310" cm="1">
        <f t="array" aca="1" ref="P9" ca="1">INDIRECT("'"&amp;$A9&amp;"'!"&amp; "S" &amp; $B9)</f>
        <v>60.22</v>
      </c>
      <c r="Q9" s="310" cm="1">
        <f t="array" aca="1" ref="Q9" ca="1">INDIRECT("'"&amp;$A9&amp;"'!"&amp; "T" &amp; $B9)</f>
        <v>60.1</v>
      </c>
      <c r="R9" s="310" cm="1">
        <f t="array" aca="1" ref="R9" ca="1">INDIRECT("'"&amp;$A9&amp;"'!"&amp; "U" &amp; $B9)</f>
        <v>60.18</v>
      </c>
      <c r="S9" s="310" cm="1">
        <f t="array" aca="1" ref="S9" ca="1">INDIRECT("'"&amp;$A9&amp;"'!"&amp; "V" &amp; $B9)</f>
        <v>60.09</v>
      </c>
      <c r="T9" s="310" cm="1">
        <f t="array" aca="1" ref="T9" ca="1">INDIRECT("'"&amp;$A9&amp;"'!"&amp; "W" &amp; $B9)</f>
        <v>60.2</v>
      </c>
      <c r="U9" s="310" cm="1">
        <f t="array" aca="1" ref="U9" ca="1">INDIRECT("'"&amp;$A9&amp;"'!"&amp; "X" &amp; $B9)</f>
        <v>60.22</v>
      </c>
      <c r="V9" s="310" cm="1">
        <f t="array" aca="1" ref="V9" ca="1">INDIRECT("'"&amp;$A9&amp;"'!"&amp; "Y" &amp; $B9)</f>
        <v>60.07</v>
      </c>
      <c r="W9" s="310" cm="1">
        <f t="array" aca="1" ref="W9" ca="1">INDIRECT("'"&amp;$A9&amp;"'!"&amp; "Z" &amp; $B9)</f>
        <v>60.13</v>
      </c>
      <c r="X9" s="310" cm="1">
        <f t="array" aca="1" ref="X9" ca="1">INDIRECT("'"&amp;$A9&amp;"'!"&amp; "AA" &amp; $B9)</f>
        <v>60.16</v>
      </c>
      <c r="Y9" s="310" cm="1">
        <f t="array" aca="1" ref="Y9" ca="1">INDIRECT("'"&amp;$A9&amp;"'!"&amp; "AB" &amp; $B9)</f>
        <v>60.17</v>
      </c>
      <c r="Z9" s="310" cm="1">
        <f t="array" aca="1" ref="Z9" ca="1">INDIRECT("'"&amp;$A9&amp;"'!"&amp; "AC" &amp; $B9)</f>
        <v>60.16</v>
      </c>
    </row>
    <row r="10" spans="1:27">
      <c r="A10" s="79">
        <v>8</v>
      </c>
      <c r="B10" s="79">
        <v>111</v>
      </c>
      <c r="C10" s="310" cm="1">
        <f t="array" aca="1" ref="C10" ca="1">INDIRECT("'"&amp;$A10&amp;"'!"&amp; "F" &amp; $B10)</f>
        <v>60.19</v>
      </c>
      <c r="D10" s="310" cm="1">
        <f t="array" aca="1" ref="D10" ca="1">INDIRECT("'"&amp;$A10&amp;"'!"&amp; "g" &amp; $B10)</f>
        <v>60.12</v>
      </c>
      <c r="E10" s="310" cm="1">
        <f t="array" aca="1" ref="E10" ca="1">INDIRECT("'"&amp;$A10&amp;"'!"&amp; "H" &amp; $B10)</f>
        <v>60.09</v>
      </c>
      <c r="F10" s="310" cm="1">
        <f t="array" aca="1" ref="F10" ca="1">INDIRECT("'"&amp;$A10&amp;"'!"&amp; "I" &amp; $B10)</f>
        <v>60.09</v>
      </c>
      <c r="G10" s="310" cm="1">
        <f t="array" aca="1" ref="G10" ca="1">INDIRECT("'"&amp;$A10&amp;"'!"&amp; "J" &amp; $B10)</f>
        <v>60.1</v>
      </c>
      <c r="H10" s="310" cm="1">
        <f t="array" aca="1" ref="H10" ca="1">INDIRECT("'"&amp;$A10&amp;"'!"&amp; "K" &amp; $B10)</f>
        <v>60.03</v>
      </c>
      <c r="I10" s="310" cm="1">
        <f t="array" aca="1" ref="I10" ca="1">INDIRECT("'"&amp;$A10&amp;"'!"&amp; "L" &amp; $B10)</f>
        <v>60.04</v>
      </c>
      <c r="J10" s="310" cm="1">
        <f t="array" aca="1" ref="J10" ca="1">INDIRECT("'"&amp;$A10&amp;"'!"&amp; "M" &amp; $B10)</f>
        <v>60.2</v>
      </c>
      <c r="K10" s="310" cm="1">
        <f t="array" aca="1" ref="K10" ca="1">INDIRECT("'"&amp;$A10&amp;"'!"&amp; "N" &amp; $B10)</f>
        <v>60.14</v>
      </c>
      <c r="L10" s="310" cm="1">
        <f t="array" aca="1" ref="L10" ca="1">INDIRECT("'"&amp;$A10&amp;"'!"&amp; "O" &amp; $B10)</f>
        <v>60.07</v>
      </c>
      <c r="M10" s="310" cm="1">
        <f t="array" aca="1" ref="M10" ca="1">INDIRECT("'"&amp;$A10&amp;"'!"&amp; "P" &amp; $B10)</f>
        <v>60.04</v>
      </c>
      <c r="N10" s="310" cm="1">
        <f t="array" aca="1" ref="N10" ca="1">INDIRECT("'"&amp;$A10&amp;"'!"&amp; "Q" &amp; $B10)</f>
        <v>60.18</v>
      </c>
      <c r="O10" s="310" cm="1">
        <f t="array" aca="1" ref="O10" ca="1">INDIRECT("'"&amp;$A10&amp;"'!"&amp; "R" &amp; $B10)</f>
        <v>60.16</v>
      </c>
      <c r="P10" s="310" cm="1">
        <f t="array" aca="1" ref="P10" ca="1">INDIRECT("'"&amp;$A10&amp;"'!"&amp; "S" &amp; $B10)</f>
        <v>60.01</v>
      </c>
      <c r="Q10" s="310" cm="1">
        <f t="array" aca="1" ref="Q10" ca="1">INDIRECT("'"&amp;$A10&amp;"'!"&amp; "T" &amp; $B10)</f>
        <v>60.19</v>
      </c>
      <c r="R10" s="310" cm="1">
        <f t="array" aca="1" ref="R10" ca="1">INDIRECT("'"&amp;$A10&amp;"'!"&amp; "U" &amp; $B10)</f>
        <v>60.14</v>
      </c>
      <c r="S10" s="310" cm="1">
        <f t="array" aca="1" ref="S10" ca="1">INDIRECT("'"&amp;$A10&amp;"'!"&amp; "V" &amp; $B10)</f>
        <v>60.16</v>
      </c>
      <c r="T10" s="310" cm="1">
        <f t="array" aca="1" ref="T10" ca="1">INDIRECT("'"&amp;$A10&amp;"'!"&amp; "W" &amp; $B10)</f>
        <v>60.12</v>
      </c>
      <c r="U10" s="310" cm="1">
        <f t="array" aca="1" ref="U10" ca="1">INDIRECT("'"&amp;$A10&amp;"'!"&amp; "X" &amp; $B10)</f>
        <v>60.23</v>
      </c>
      <c r="V10" s="310" cm="1">
        <f t="array" aca="1" ref="V10" ca="1">INDIRECT("'"&amp;$A10&amp;"'!"&amp; "Y" &amp; $B10)</f>
        <v>60.24</v>
      </c>
      <c r="W10" s="310" cm="1">
        <f t="array" aca="1" ref="W10" ca="1">INDIRECT("'"&amp;$A10&amp;"'!"&amp; "Z" &amp; $B10)</f>
        <v>60.1</v>
      </c>
      <c r="X10" s="310" cm="1">
        <f t="array" aca="1" ref="X10" ca="1">INDIRECT("'"&amp;$A10&amp;"'!"&amp; "AA" &amp; $B10)</f>
        <v>60.22</v>
      </c>
      <c r="Y10" s="310" cm="1">
        <f t="array" aca="1" ref="Y10" ca="1">INDIRECT("'"&amp;$A10&amp;"'!"&amp; "AB" &amp; $B10)</f>
        <v>60.25</v>
      </c>
      <c r="Z10" s="310" cm="1">
        <f t="array" aca="1" ref="Z10" ca="1">INDIRECT("'"&amp;$A10&amp;"'!"&amp; "AC" &amp; $B10)</f>
        <v>60.19</v>
      </c>
    </row>
    <row r="11" spans="1:27">
      <c r="A11" s="79">
        <v>9</v>
      </c>
      <c r="B11" s="79">
        <v>111</v>
      </c>
      <c r="C11" s="310" cm="1">
        <f t="array" aca="1" ref="C11" ca="1">INDIRECT("'"&amp;$A11&amp;"'!"&amp; "F" &amp; $B11)</f>
        <v>60.13</v>
      </c>
      <c r="D11" s="310" cm="1">
        <f t="array" aca="1" ref="D11" ca="1">INDIRECT("'"&amp;$A11&amp;"'!"&amp; "g" &amp; $B11)</f>
        <v>60.15</v>
      </c>
      <c r="E11" s="310" cm="1">
        <f t="array" aca="1" ref="E11" ca="1">INDIRECT("'"&amp;$A11&amp;"'!"&amp; "H" &amp; $B11)</f>
        <v>60.06</v>
      </c>
      <c r="F11" s="310" cm="1">
        <f t="array" aca="1" ref="F11" ca="1">INDIRECT("'"&amp;$A11&amp;"'!"&amp; "I" &amp; $B11)</f>
        <v>60.15</v>
      </c>
      <c r="G11" s="310" cm="1">
        <f t="array" aca="1" ref="G11" ca="1">INDIRECT("'"&amp;$A11&amp;"'!"&amp; "J" &amp; $B11)</f>
        <v>60.05</v>
      </c>
      <c r="H11" s="310" cm="1">
        <f t="array" aca="1" ref="H11" ca="1">INDIRECT("'"&amp;$A11&amp;"'!"&amp; "K" &amp; $B11)</f>
        <v>60</v>
      </c>
      <c r="I11" s="310" cm="1">
        <f t="array" aca="1" ref="I11" ca="1">INDIRECT("'"&amp;$A11&amp;"'!"&amp; "L" &amp; $B11)</f>
        <v>60.14</v>
      </c>
      <c r="J11" s="310" cm="1">
        <f t="array" aca="1" ref="J11" ca="1">INDIRECT("'"&amp;$A11&amp;"'!"&amp; "M" &amp; $B11)</f>
        <v>60.12</v>
      </c>
      <c r="K11" s="310" cm="1">
        <f t="array" aca="1" ref="K11" ca="1">INDIRECT("'"&amp;$A11&amp;"'!"&amp; "N" &amp; $B11)</f>
        <v>60.02</v>
      </c>
      <c r="L11" s="310" cm="1">
        <f t="array" aca="1" ref="L11" ca="1">INDIRECT("'"&amp;$A11&amp;"'!"&amp; "O" &amp; $B11)</f>
        <v>60</v>
      </c>
      <c r="M11" s="310" cm="1">
        <f t="array" aca="1" ref="M11" ca="1">INDIRECT("'"&amp;$A11&amp;"'!"&amp; "P" &amp; $B11)</f>
        <v>60.19</v>
      </c>
      <c r="N11" s="310" cm="1">
        <f t="array" aca="1" ref="N11" ca="1">INDIRECT("'"&amp;$A11&amp;"'!"&amp; "Q" &amp; $B11)</f>
        <v>60.12</v>
      </c>
      <c r="O11" s="310" cm="1">
        <f t="array" aca="1" ref="O11" ca="1">INDIRECT("'"&amp;$A11&amp;"'!"&amp; "R" &amp; $B11)</f>
        <v>60.1</v>
      </c>
      <c r="P11" s="310" cm="1">
        <f t="array" aca="1" ref="P11" ca="1">INDIRECT("'"&amp;$A11&amp;"'!"&amp; "S" &amp; $B11)</f>
        <v>60.14</v>
      </c>
      <c r="Q11" s="310" cm="1">
        <f t="array" aca="1" ref="Q11" ca="1">INDIRECT("'"&amp;$A11&amp;"'!"&amp; "T" &amp; $B11)</f>
        <v>60.35</v>
      </c>
      <c r="R11" s="310" cm="1">
        <f t="array" aca="1" ref="R11" ca="1">INDIRECT("'"&amp;$A11&amp;"'!"&amp; "U" &amp; $B11)</f>
        <v>60.2</v>
      </c>
      <c r="S11" s="310" cm="1">
        <f t="array" aca="1" ref="S11" ca="1">INDIRECT("'"&amp;$A11&amp;"'!"&amp; "V" &amp; $B11)</f>
        <v>60.19</v>
      </c>
      <c r="T11" s="310" cm="1">
        <f t="array" aca="1" ref="T11" ca="1">INDIRECT("'"&amp;$A11&amp;"'!"&amp; "W" &amp; $B11)</f>
        <v>60.29</v>
      </c>
      <c r="U11" s="310" cm="1">
        <f t="array" aca="1" ref="U11" ca="1">INDIRECT("'"&amp;$A11&amp;"'!"&amp; "X" &amp; $B11)</f>
        <v>60.24</v>
      </c>
      <c r="V11" s="310" cm="1">
        <f t="array" aca="1" ref="V11" ca="1">INDIRECT("'"&amp;$A11&amp;"'!"&amp; "Y" &amp; $B11)</f>
        <v>60.09</v>
      </c>
      <c r="W11" s="310" cm="1">
        <f t="array" aca="1" ref="W11" ca="1">INDIRECT("'"&amp;$A11&amp;"'!"&amp; "Z" &amp; $B11)</f>
        <v>60.15</v>
      </c>
      <c r="X11" s="310" cm="1">
        <f t="array" aca="1" ref="X11" ca="1">INDIRECT("'"&amp;$A11&amp;"'!"&amp; "AA" &amp; $B11)</f>
        <v>60.1</v>
      </c>
      <c r="Y11" s="310" cm="1">
        <f t="array" aca="1" ref="Y11" ca="1">INDIRECT("'"&amp;$A11&amp;"'!"&amp; "AB" &amp; $B11)</f>
        <v>60.11</v>
      </c>
      <c r="Z11" s="310" cm="1">
        <f t="array" aca="1" ref="Z11" ca="1">INDIRECT("'"&amp;$A11&amp;"'!"&amp; "AC" &amp; $B11)</f>
        <v>60.21</v>
      </c>
    </row>
    <row r="12" spans="1:27">
      <c r="A12" s="79">
        <v>10</v>
      </c>
      <c r="B12" s="79">
        <v>111</v>
      </c>
      <c r="C12" s="310" cm="1">
        <f t="array" aca="1" ref="C12" ca="1">INDIRECT("'"&amp;$A12&amp;"'!"&amp; "F" &amp; $B12)</f>
        <v>60.08</v>
      </c>
      <c r="D12" s="310" cm="1">
        <f t="array" aca="1" ref="D12" ca="1">INDIRECT("'"&amp;$A12&amp;"'!"&amp; "g" &amp; $B12)</f>
        <v>60.11</v>
      </c>
      <c r="E12" s="310" cm="1">
        <f t="array" aca="1" ref="E12" ca="1">INDIRECT("'"&amp;$A12&amp;"'!"&amp; "H" &amp; $B12)</f>
        <v>60.21</v>
      </c>
      <c r="F12" s="310" cm="1">
        <f t="array" aca="1" ref="F12" ca="1">INDIRECT("'"&amp;$A12&amp;"'!"&amp; "I" &amp; $B12)</f>
        <v>60.18</v>
      </c>
      <c r="G12" s="310" cm="1">
        <f t="array" aca="1" ref="G12" ca="1">INDIRECT("'"&amp;$A12&amp;"'!"&amp; "J" &amp; $B12)</f>
        <v>60.21</v>
      </c>
      <c r="H12" s="310" cm="1">
        <f t="array" aca="1" ref="H12" ca="1">INDIRECT("'"&amp;$A12&amp;"'!"&amp; "K" &amp; $B12)</f>
        <v>60.16</v>
      </c>
      <c r="I12" s="310" cm="1">
        <f t="array" aca="1" ref="I12" ca="1">INDIRECT("'"&amp;$A12&amp;"'!"&amp; "L" &amp; $B12)</f>
        <v>60.13</v>
      </c>
      <c r="J12" s="310" cm="1">
        <f t="array" aca="1" ref="J12" ca="1">INDIRECT("'"&amp;$A12&amp;"'!"&amp; "M" &amp; $B12)</f>
        <v>60.21</v>
      </c>
      <c r="K12" s="310" cm="1">
        <f t="array" aca="1" ref="K12" ca="1">INDIRECT("'"&amp;$A12&amp;"'!"&amp; "N" &amp; $B12)</f>
        <v>60.09</v>
      </c>
      <c r="L12" s="310" cm="1">
        <f t="array" aca="1" ref="L12" ca="1">INDIRECT("'"&amp;$A12&amp;"'!"&amp; "O" &amp; $B12)</f>
        <v>60.15</v>
      </c>
      <c r="M12" s="310" cm="1">
        <f t="array" aca="1" ref="M12" ca="1">INDIRECT("'"&amp;$A12&amp;"'!"&amp; "P" &amp; $B12)</f>
        <v>60.06</v>
      </c>
      <c r="N12" s="310" cm="1">
        <f t="array" aca="1" ref="N12" ca="1">INDIRECT("'"&amp;$A12&amp;"'!"&amp; "Q" &amp; $B12)</f>
        <v>60.13</v>
      </c>
      <c r="O12" s="310" cm="1">
        <f t="array" aca="1" ref="O12" ca="1">INDIRECT("'"&amp;$A12&amp;"'!"&amp; "R" &amp; $B12)</f>
        <v>60.16</v>
      </c>
      <c r="P12" s="310" cm="1">
        <f t="array" aca="1" ref="P12" ca="1">INDIRECT("'"&amp;$A12&amp;"'!"&amp; "S" &amp; $B12)</f>
        <v>60.14</v>
      </c>
      <c r="Q12" s="310" cm="1">
        <f t="array" aca="1" ref="Q12" ca="1">INDIRECT("'"&amp;$A12&amp;"'!"&amp; "T" &amp; $B12)</f>
        <v>60.19</v>
      </c>
      <c r="R12" s="310" cm="1">
        <f t="array" aca="1" ref="R12" ca="1">INDIRECT("'"&amp;$A12&amp;"'!"&amp; "U" &amp; $B12)</f>
        <v>60.15</v>
      </c>
      <c r="S12" s="310" cm="1">
        <f t="array" aca="1" ref="S12" ca="1">INDIRECT("'"&amp;$A12&amp;"'!"&amp; "V" &amp; $B12)</f>
        <v>60.2</v>
      </c>
      <c r="T12" s="310" cm="1">
        <f t="array" aca="1" ref="T12" ca="1">INDIRECT("'"&amp;$A12&amp;"'!"&amp; "W" &amp; $B12)</f>
        <v>60.24</v>
      </c>
      <c r="U12" s="310" cm="1">
        <f t="array" aca="1" ref="U12" ca="1">INDIRECT("'"&amp;$A12&amp;"'!"&amp; "X" &amp; $B12)</f>
        <v>60.18</v>
      </c>
      <c r="V12" s="310" cm="1">
        <f t="array" aca="1" ref="V12" ca="1">INDIRECT("'"&amp;$A12&amp;"'!"&amp; "Y" &amp; $B12)</f>
        <v>60.15</v>
      </c>
      <c r="W12" s="310" cm="1">
        <f t="array" aca="1" ref="W12" ca="1">INDIRECT("'"&amp;$A12&amp;"'!"&amp; "Z" &amp; $B12)</f>
        <v>60.14</v>
      </c>
      <c r="X12" s="310" cm="1">
        <f t="array" aca="1" ref="X12" ca="1">INDIRECT("'"&amp;$A12&amp;"'!"&amp; "AA" &amp; $B12)</f>
        <v>60.11</v>
      </c>
      <c r="Y12" s="310" cm="1">
        <f t="array" aca="1" ref="Y12" ca="1">INDIRECT("'"&amp;$A12&amp;"'!"&amp; "AB" &amp; $B12)</f>
        <v>60.17</v>
      </c>
      <c r="Z12" s="310" cm="1">
        <f t="array" aca="1" ref="Z12" ca="1">INDIRECT("'"&amp;$A12&amp;"'!"&amp; "AC" &amp; $B12)</f>
        <v>60.13</v>
      </c>
    </row>
    <row r="13" spans="1:27">
      <c r="A13" s="79">
        <v>11</v>
      </c>
      <c r="B13" s="79">
        <v>111</v>
      </c>
      <c r="C13" s="310" cm="1">
        <f t="array" aca="1" ref="C13" ca="1">INDIRECT("'"&amp;$A13&amp;"'!"&amp; "F" &amp; $B13)</f>
        <v>60.17</v>
      </c>
      <c r="D13" s="310" cm="1">
        <f t="array" aca="1" ref="D13" ca="1">INDIRECT("'"&amp;$A13&amp;"'!"&amp; "g" &amp; $B13)</f>
        <v>60.07</v>
      </c>
      <c r="E13" s="310" cm="1">
        <f t="array" aca="1" ref="E13" ca="1">INDIRECT("'"&amp;$A13&amp;"'!"&amp; "H" &amp; $B13)</f>
        <v>60.18</v>
      </c>
      <c r="F13" s="310" cm="1">
        <f t="array" aca="1" ref="F13" ca="1">INDIRECT("'"&amp;$A13&amp;"'!"&amp; "I" &amp; $B13)</f>
        <v>60.16</v>
      </c>
      <c r="G13" s="310" cm="1">
        <f t="array" aca="1" ref="G13" ca="1">INDIRECT("'"&amp;$A13&amp;"'!"&amp; "J" &amp; $B13)</f>
        <v>60.22</v>
      </c>
      <c r="H13" s="310" cm="1">
        <f t="array" aca="1" ref="H13" ca="1">INDIRECT("'"&amp;$A13&amp;"'!"&amp; "K" &amp; $B13)</f>
        <v>60.13</v>
      </c>
      <c r="I13" s="310" cm="1">
        <f t="array" aca="1" ref="I13" ca="1">INDIRECT("'"&amp;$A13&amp;"'!"&amp; "L" &amp; $B13)</f>
        <v>60.09</v>
      </c>
      <c r="J13" s="310" cm="1">
        <f t="array" aca="1" ref="J13" ca="1">INDIRECT("'"&amp;$A13&amp;"'!"&amp; "M" &amp; $B13)</f>
        <v>60.19</v>
      </c>
      <c r="K13" s="310" cm="1">
        <f t="array" aca="1" ref="K13" ca="1">INDIRECT("'"&amp;$A13&amp;"'!"&amp; "N" &amp; $B13)</f>
        <v>60.11</v>
      </c>
      <c r="L13" s="310" cm="1">
        <f t="array" aca="1" ref="L13" ca="1">INDIRECT("'"&amp;$A13&amp;"'!"&amp; "O" &amp; $B13)</f>
        <v>60.17</v>
      </c>
      <c r="M13" s="310" cm="1">
        <f t="array" aca="1" ref="M13" ca="1">INDIRECT("'"&amp;$A13&amp;"'!"&amp; "P" &amp; $B13)</f>
        <v>60.13</v>
      </c>
      <c r="N13" s="310" cm="1">
        <f t="array" aca="1" ref="N13" ca="1">INDIRECT("'"&amp;$A13&amp;"'!"&amp; "Q" &amp; $B13)</f>
        <v>60.12</v>
      </c>
      <c r="O13" s="310" cm="1">
        <f t="array" aca="1" ref="O13" ca="1">INDIRECT("'"&amp;$A13&amp;"'!"&amp; "R" &amp; $B13)</f>
        <v>60.17</v>
      </c>
      <c r="P13" s="310" cm="1">
        <f t="array" aca="1" ref="P13" ca="1">INDIRECT("'"&amp;$A13&amp;"'!"&amp; "S" &amp; $B13)</f>
        <v>60.07</v>
      </c>
      <c r="Q13" s="310" cm="1">
        <f t="array" aca="1" ref="Q13" ca="1">INDIRECT("'"&amp;$A13&amp;"'!"&amp; "T" &amp; $B13)</f>
        <v>60.17</v>
      </c>
      <c r="R13" s="310" cm="1">
        <f t="array" aca="1" ref="R13" ca="1">INDIRECT("'"&amp;$A13&amp;"'!"&amp; "U" &amp; $B13)</f>
        <v>60.2</v>
      </c>
      <c r="S13" s="310" cm="1">
        <f t="array" aca="1" ref="S13" ca="1">INDIRECT("'"&amp;$A13&amp;"'!"&amp; "V" &amp; $B13)</f>
        <v>60.06</v>
      </c>
      <c r="T13" s="310" cm="1">
        <f t="array" aca="1" ref="T13" ca="1">INDIRECT("'"&amp;$A13&amp;"'!"&amp; "W" &amp; $B13)</f>
        <v>60.17</v>
      </c>
      <c r="U13" s="310" cm="1">
        <f t="array" aca="1" ref="U13" ca="1">INDIRECT("'"&amp;$A13&amp;"'!"&amp; "X" &amp; $B13)</f>
        <v>60.17</v>
      </c>
      <c r="V13" s="310" cm="1">
        <f t="array" aca="1" ref="V13" ca="1">INDIRECT("'"&amp;$A13&amp;"'!"&amp; "Y" &amp; $B13)</f>
        <v>60.15</v>
      </c>
      <c r="W13" s="310" cm="1">
        <f t="array" aca="1" ref="W13" ca="1">INDIRECT("'"&amp;$A13&amp;"'!"&amp; "Z" &amp; $B13)</f>
        <v>60.13</v>
      </c>
      <c r="X13" s="310" cm="1">
        <f t="array" aca="1" ref="X13" ca="1">INDIRECT("'"&amp;$A13&amp;"'!"&amp; "AA" &amp; $B13)</f>
        <v>60.07</v>
      </c>
      <c r="Y13" s="310" cm="1">
        <f t="array" aca="1" ref="Y13" ca="1">INDIRECT("'"&amp;$A13&amp;"'!"&amp; "AB" &amp; $B13)</f>
        <v>60.18</v>
      </c>
      <c r="Z13" s="310" cm="1">
        <f t="array" aca="1" ref="Z13" ca="1">INDIRECT("'"&amp;$A13&amp;"'!"&amp; "AC" &amp; $B13)</f>
        <v>60.19</v>
      </c>
    </row>
    <row r="14" spans="1:27">
      <c r="A14" s="79">
        <v>12</v>
      </c>
      <c r="B14" s="79">
        <v>111</v>
      </c>
      <c r="C14" s="310" cm="1">
        <f t="array" aca="1" ref="C14" ca="1">INDIRECT("'"&amp;$A14&amp;"'!"&amp; "F" &amp; $B14)</f>
        <v>60.2</v>
      </c>
      <c r="D14" s="310" cm="1">
        <f t="array" aca="1" ref="D14" ca="1">INDIRECT("'"&amp;$A14&amp;"'!"&amp; "g" &amp; $B14)</f>
        <v>60.19</v>
      </c>
      <c r="E14" s="310" cm="1">
        <f t="array" aca="1" ref="E14" ca="1">INDIRECT("'"&amp;$A14&amp;"'!"&amp; "H" &amp; $B14)</f>
        <v>60.26</v>
      </c>
      <c r="F14" s="310" cm="1">
        <f t="array" aca="1" ref="F14" ca="1">INDIRECT("'"&amp;$A14&amp;"'!"&amp; "I" &amp; $B14)</f>
        <v>60.23</v>
      </c>
      <c r="G14" s="310" cm="1">
        <f t="array" aca="1" ref="G14" ca="1">INDIRECT("'"&amp;$A14&amp;"'!"&amp; "J" &amp; $B14)</f>
        <v>60.17</v>
      </c>
      <c r="H14" s="310" cm="1">
        <f t="array" aca="1" ref="H14" ca="1">INDIRECT("'"&amp;$A14&amp;"'!"&amp; "K" &amp; $B14)</f>
        <v>60.17</v>
      </c>
      <c r="I14" s="310" cm="1">
        <f t="array" aca="1" ref="I14" ca="1">INDIRECT("'"&amp;$A14&amp;"'!"&amp; "L" &amp; $B14)</f>
        <v>60.07</v>
      </c>
      <c r="J14" s="310" cm="1">
        <f t="array" aca="1" ref="J14" ca="1">INDIRECT("'"&amp;$A14&amp;"'!"&amp; "M" &amp; $B14)</f>
        <v>60.13</v>
      </c>
      <c r="K14" s="310" cm="1">
        <f t="array" aca="1" ref="K14" ca="1">INDIRECT("'"&amp;$A14&amp;"'!"&amp; "N" &amp; $B14)</f>
        <v>60.09</v>
      </c>
      <c r="L14" s="310" cm="1">
        <f t="array" aca="1" ref="L14" ca="1">INDIRECT("'"&amp;$A14&amp;"'!"&amp; "O" &amp; $B14)</f>
        <v>60.05</v>
      </c>
      <c r="M14" s="310" cm="1">
        <f t="array" aca="1" ref="M14" ca="1">INDIRECT("'"&amp;$A14&amp;"'!"&amp; "P" &amp; $B14)</f>
        <v>60.27</v>
      </c>
      <c r="N14" s="310" cm="1">
        <f t="array" aca="1" ref="N14" ca="1">INDIRECT("'"&amp;$A14&amp;"'!"&amp; "Q" &amp; $B14)</f>
        <v>60.09</v>
      </c>
      <c r="O14" s="310" cm="1">
        <f t="array" aca="1" ref="O14" ca="1">INDIRECT("'"&amp;$A14&amp;"'!"&amp; "R" &amp; $B14)</f>
        <v>60.21</v>
      </c>
      <c r="P14" s="310" cm="1">
        <f t="array" aca="1" ref="P14" ca="1">INDIRECT("'"&amp;$A14&amp;"'!"&amp; "S" &amp; $B14)</f>
        <v>60.14</v>
      </c>
      <c r="Q14" s="310" cm="1">
        <f t="array" aca="1" ref="Q14" ca="1">INDIRECT("'"&amp;$A14&amp;"'!"&amp; "T" &amp; $B14)</f>
        <v>60.2</v>
      </c>
      <c r="R14" s="310" cm="1">
        <f t="array" aca="1" ref="R14" ca="1">INDIRECT("'"&amp;$A14&amp;"'!"&amp; "U" &amp; $B14)</f>
        <v>60.08</v>
      </c>
      <c r="S14" s="310" cm="1">
        <f t="array" aca="1" ref="S14" ca="1">INDIRECT("'"&amp;$A14&amp;"'!"&amp; "V" &amp; $B14)</f>
        <v>60.09</v>
      </c>
      <c r="T14" s="310" cm="1">
        <f t="array" aca="1" ref="T14" ca="1">INDIRECT("'"&amp;$A14&amp;"'!"&amp; "W" &amp; $B14)</f>
        <v>60.17</v>
      </c>
      <c r="U14" s="310" cm="1">
        <f t="array" aca="1" ref="U14" ca="1">INDIRECT("'"&amp;$A14&amp;"'!"&amp; "X" &amp; $B14)</f>
        <v>60.11</v>
      </c>
      <c r="V14" s="310" cm="1">
        <f t="array" aca="1" ref="V14" ca="1">INDIRECT("'"&amp;$A14&amp;"'!"&amp; "Y" &amp; $B14)</f>
        <v>60.09</v>
      </c>
      <c r="W14" s="310" cm="1">
        <f t="array" aca="1" ref="W14" ca="1">INDIRECT("'"&amp;$A14&amp;"'!"&amp; "Z" &amp; $B14)</f>
        <v>60.14</v>
      </c>
      <c r="X14" s="310" cm="1">
        <f t="array" aca="1" ref="X14" ca="1">INDIRECT("'"&amp;$A14&amp;"'!"&amp; "AA" &amp; $B14)</f>
        <v>60.11</v>
      </c>
      <c r="Y14" s="310" cm="1">
        <f t="array" aca="1" ref="Y14" ca="1">INDIRECT("'"&amp;$A14&amp;"'!"&amp; "AB" &amp; $B14)</f>
        <v>60.38</v>
      </c>
      <c r="Z14" s="310" cm="1">
        <f t="array" aca="1" ref="Z14" ca="1">INDIRECT("'"&amp;$A14&amp;"'!"&amp; "AC" &amp; $B14)</f>
        <v>60.12</v>
      </c>
    </row>
    <row r="15" spans="1:27">
      <c r="A15" s="79">
        <v>13</v>
      </c>
      <c r="B15" s="79">
        <v>111</v>
      </c>
      <c r="C15" s="310" cm="1">
        <f t="array" aca="1" ref="C15" ca="1">INDIRECT("'"&amp;$A15&amp;"'!"&amp; "F" &amp; $B15)</f>
        <v>60.22</v>
      </c>
      <c r="D15" s="310" cm="1">
        <f t="array" aca="1" ref="D15" ca="1">INDIRECT("'"&amp;$A15&amp;"'!"&amp; "g" &amp; $B15)</f>
        <v>60.12</v>
      </c>
      <c r="E15" s="310" cm="1">
        <f t="array" aca="1" ref="E15" ca="1">INDIRECT("'"&amp;$A15&amp;"'!"&amp; "H" &amp; $B15)</f>
        <v>60.13</v>
      </c>
      <c r="F15" s="310" cm="1">
        <f t="array" aca="1" ref="F15" ca="1">INDIRECT("'"&amp;$A15&amp;"'!"&amp; "I" &amp; $B15)</f>
        <v>60.08</v>
      </c>
      <c r="G15" s="310" cm="1">
        <f t="array" aca="1" ref="G15" ca="1">INDIRECT("'"&amp;$A15&amp;"'!"&amp; "J" &amp; $B15)</f>
        <v>60.04</v>
      </c>
      <c r="H15" s="310" cm="1">
        <f t="array" aca="1" ref="H15" ca="1">INDIRECT("'"&amp;$A15&amp;"'!"&amp; "K" &amp; $B15)</f>
        <v>60.07</v>
      </c>
      <c r="I15" s="310" cm="1">
        <f t="array" aca="1" ref="I15" ca="1">INDIRECT("'"&amp;$A15&amp;"'!"&amp; "L" &amp; $B15)</f>
        <v>60.08</v>
      </c>
      <c r="J15" s="310" cm="1">
        <f t="array" aca="1" ref="J15" ca="1">INDIRECT("'"&amp;$A15&amp;"'!"&amp; "M" &amp; $B15)</f>
        <v>60.2</v>
      </c>
      <c r="K15" s="310" cm="1">
        <f t="array" aca="1" ref="K15" ca="1">INDIRECT("'"&amp;$A15&amp;"'!"&amp; "N" &amp; $B15)</f>
        <v>60.19</v>
      </c>
      <c r="L15" s="310" cm="1">
        <f t="array" aca="1" ref="L15" ca="1">INDIRECT("'"&amp;$A15&amp;"'!"&amp; "O" &amp; $B15)</f>
        <v>60.15</v>
      </c>
      <c r="M15" s="310" cm="1">
        <f t="array" aca="1" ref="M15" ca="1">INDIRECT("'"&amp;$A15&amp;"'!"&amp; "P" &amp; $B15)</f>
        <v>60.26</v>
      </c>
      <c r="N15" s="310" cm="1">
        <f t="array" aca="1" ref="N15" ca="1">INDIRECT("'"&amp;$A15&amp;"'!"&amp; "Q" &amp; $B15)</f>
        <v>60.2</v>
      </c>
      <c r="O15" s="310" cm="1">
        <f t="array" aca="1" ref="O15" ca="1">INDIRECT("'"&amp;$A15&amp;"'!"&amp; "R" &amp; $B15)</f>
        <v>60.12</v>
      </c>
      <c r="P15" s="310" cm="1">
        <f t="array" aca="1" ref="P15" ca="1">INDIRECT("'"&amp;$A15&amp;"'!"&amp; "S" &amp; $B15)</f>
        <v>60.2</v>
      </c>
      <c r="Q15" s="310" cm="1">
        <f t="array" aca="1" ref="Q15" ca="1">INDIRECT("'"&amp;$A15&amp;"'!"&amp; "T" &amp; $B15)</f>
        <v>60.27</v>
      </c>
      <c r="R15" s="310" cm="1">
        <f t="array" aca="1" ref="R15" ca="1">INDIRECT("'"&amp;$A15&amp;"'!"&amp; "U" &amp; $B15)</f>
        <v>60.18</v>
      </c>
      <c r="S15" s="310" cm="1">
        <f t="array" aca="1" ref="S15" ca="1">INDIRECT("'"&amp;$A15&amp;"'!"&amp; "V" &amp; $B15)</f>
        <v>60.16</v>
      </c>
      <c r="T15" s="310" cm="1">
        <f t="array" aca="1" ref="T15" ca="1">INDIRECT("'"&amp;$A15&amp;"'!"&amp; "W" &amp; $B15)</f>
        <v>60.16</v>
      </c>
      <c r="U15" s="310" cm="1">
        <f t="array" aca="1" ref="U15" ca="1">INDIRECT("'"&amp;$A15&amp;"'!"&amp; "X" &amp; $B15)</f>
        <v>60.08</v>
      </c>
      <c r="V15" s="310" cm="1">
        <f t="array" aca="1" ref="V15" ca="1">INDIRECT("'"&amp;$A15&amp;"'!"&amp; "Y" &amp; $B15)</f>
        <v>60.12</v>
      </c>
      <c r="W15" s="310" cm="1">
        <f t="array" aca="1" ref="W15" ca="1">INDIRECT("'"&amp;$A15&amp;"'!"&amp; "Z" &amp; $B15)</f>
        <v>60.06</v>
      </c>
      <c r="X15" s="310" cm="1">
        <f t="array" aca="1" ref="X15" ca="1">INDIRECT("'"&amp;$A15&amp;"'!"&amp; "AA" &amp; $B15)</f>
        <v>60.17</v>
      </c>
      <c r="Y15" s="310" cm="1">
        <f t="array" aca="1" ref="Y15" ca="1">INDIRECT("'"&amp;$A15&amp;"'!"&amp; "AB" &amp; $B15)</f>
        <v>60.17</v>
      </c>
      <c r="Z15" s="310" cm="1">
        <f t="array" aca="1" ref="Z15" ca="1">INDIRECT("'"&amp;$A15&amp;"'!"&amp; "AC" &amp; $B15)</f>
        <v>60.08</v>
      </c>
    </row>
    <row r="16" spans="1:27">
      <c r="A16" s="79">
        <v>14</v>
      </c>
      <c r="B16" s="79">
        <v>111</v>
      </c>
      <c r="C16" s="310" cm="1">
        <f t="array" aca="1" ref="C16" ca="1">INDIRECT("'"&amp;$A16&amp;"'!"&amp; "F" &amp; $B16)</f>
        <v>60.24</v>
      </c>
      <c r="D16" s="310" cm="1">
        <f t="array" aca="1" ref="D16" ca="1">INDIRECT("'"&amp;$A16&amp;"'!"&amp; "g" &amp; $B16)</f>
        <v>60.17</v>
      </c>
      <c r="E16" s="310" cm="1">
        <f t="array" aca="1" ref="E16" ca="1">INDIRECT("'"&amp;$A16&amp;"'!"&amp; "H" &amp; $B16)</f>
        <v>60.19</v>
      </c>
      <c r="F16" s="310" cm="1">
        <f t="array" aca="1" ref="F16" ca="1">INDIRECT("'"&amp;$A16&amp;"'!"&amp; "I" &amp; $B16)</f>
        <v>60.05</v>
      </c>
      <c r="G16" s="310" cm="1">
        <f t="array" aca="1" ref="G16" ca="1">INDIRECT("'"&amp;$A16&amp;"'!"&amp; "J" &amp; $B16)</f>
        <v>60.1</v>
      </c>
      <c r="H16" s="310" cm="1">
        <f t="array" aca="1" ref="H16" ca="1">INDIRECT("'"&amp;$A16&amp;"'!"&amp; "K" &amp; $B16)</f>
        <v>60.1</v>
      </c>
      <c r="I16" s="310" cm="1">
        <f t="array" aca="1" ref="I16" ca="1">INDIRECT("'"&amp;$A16&amp;"'!"&amp; "L" &amp; $B16)</f>
        <v>60.05</v>
      </c>
      <c r="J16" s="310" cm="1">
        <f t="array" aca="1" ref="J16" ca="1">INDIRECT("'"&amp;$A16&amp;"'!"&amp; "M" &amp; $B16)</f>
        <v>60.15</v>
      </c>
      <c r="K16" s="310" cm="1">
        <f t="array" aca="1" ref="K16" ca="1">INDIRECT("'"&amp;$A16&amp;"'!"&amp; "N" &amp; $B16)</f>
        <v>60.06</v>
      </c>
      <c r="L16" s="310" cm="1">
        <f t="array" aca="1" ref="L16" ca="1">INDIRECT("'"&amp;$A16&amp;"'!"&amp; "O" &amp; $B16)</f>
        <v>60.22</v>
      </c>
      <c r="M16" s="310" cm="1">
        <f t="array" aca="1" ref="M16" ca="1">INDIRECT("'"&amp;$A16&amp;"'!"&amp; "P" &amp; $B16)</f>
        <v>60.08</v>
      </c>
      <c r="N16" s="310" cm="1">
        <f t="array" aca="1" ref="N16" ca="1">INDIRECT("'"&amp;$A16&amp;"'!"&amp; "Q" &amp; $B16)</f>
        <v>60.23</v>
      </c>
      <c r="O16" s="310" cm="1">
        <f t="array" aca="1" ref="O16" ca="1">INDIRECT("'"&amp;$A16&amp;"'!"&amp; "R" &amp; $B16)</f>
        <v>60.15</v>
      </c>
      <c r="P16" s="310" cm="1">
        <f t="array" aca="1" ref="P16" ca="1">INDIRECT("'"&amp;$A16&amp;"'!"&amp; "S" &amp; $B16)</f>
        <v>60.12</v>
      </c>
      <c r="Q16" s="310" cm="1">
        <f t="array" aca="1" ref="Q16" ca="1">INDIRECT("'"&amp;$A16&amp;"'!"&amp; "T" &amp; $B16)</f>
        <v>60.23</v>
      </c>
      <c r="R16" s="310" cm="1">
        <f t="array" aca="1" ref="R16" ca="1">INDIRECT("'"&amp;$A16&amp;"'!"&amp; "U" &amp; $B16)</f>
        <v>60.16</v>
      </c>
      <c r="S16" s="310" cm="1">
        <f t="array" aca="1" ref="S16" ca="1">INDIRECT("'"&amp;$A16&amp;"'!"&amp; "V" &amp; $B16)</f>
        <v>60.16</v>
      </c>
      <c r="T16" s="310" cm="1">
        <f t="array" aca="1" ref="T16" ca="1">INDIRECT("'"&amp;$A16&amp;"'!"&amp; "W" &amp; $B16)</f>
        <v>60.2</v>
      </c>
      <c r="U16" s="310" cm="1">
        <f t="array" aca="1" ref="U16" ca="1">INDIRECT("'"&amp;$A16&amp;"'!"&amp; "X" &amp; $B16)</f>
        <v>60.2</v>
      </c>
      <c r="V16" s="310" cm="1">
        <f t="array" aca="1" ref="V16" ca="1">INDIRECT("'"&amp;$A16&amp;"'!"&amp; "Y" &amp; $B16)</f>
        <v>60.15</v>
      </c>
      <c r="W16" s="310" cm="1">
        <f t="array" aca="1" ref="W16" ca="1">INDIRECT("'"&amp;$A16&amp;"'!"&amp; "Z" &amp; $B16)</f>
        <v>60.19</v>
      </c>
      <c r="X16" s="310" cm="1">
        <f t="array" aca="1" ref="X16" ca="1">INDIRECT("'"&amp;$A16&amp;"'!"&amp; "AA" &amp; $B16)</f>
        <v>60.15</v>
      </c>
      <c r="Y16" s="310" cm="1">
        <f t="array" aca="1" ref="Y16" ca="1">INDIRECT("'"&amp;$A16&amp;"'!"&amp; "AB" &amp; $B16)</f>
        <v>60.15</v>
      </c>
      <c r="Z16" s="310" cm="1">
        <f t="array" aca="1" ref="Z16" ca="1">INDIRECT("'"&amp;$A16&amp;"'!"&amp; "AC" &amp; $B16)</f>
        <v>60.09</v>
      </c>
    </row>
    <row r="17" spans="1:26">
      <c r="A17" s="79">
        <v>15</v>
      </c>
      <c r="B17" s="79">
        <v>111</v>
      </c>
      <c r="C17" s="310" cm="1">
        <f t="array" aca="1" ref="C17" ca="1">INDIRECT("'"&amp;$A17&amp;"'!"&amp; "F" &amp; $B17)</f>
        <v>60.06</v>
      </c>
      <c r="D17" s="310" cm="1">
        <f t="array" aca="1" ref="D17" ca="1">INDIRECT("'"&amp;$A17&amp;"'!"&amp; "g" &amp; $B17)</f>
        <v>60.08</v>
      </c>
      <c r="E17" s="310" cm="1">
        <f t="array" aca="1" ref="E17" ca="1">INDIRECT("'"&amp;$A17&amp;"'!"&amp; "H" &amp; $B17)</f>
        <v>60.05</v>
      </c>
      <c r="F17" s="310" cm="1">
        <f t="array" aca="1" ref="F17" ca="1">INDIRECT("'"&amp;$A17&amp;"'!"&amp; "I" &amp; $B17)</f>
        <v>60.14</v>
      </c>
      <c r="G17" s="310" cm="1">
        <f t="array" aca="1" ref="G17" ca="1">INDIRECT("'"&amp;$A17&amp;"'!"&amp; "J" &amp; $B17)</f>
        <v>60.02</v>
      </c>
      <c r="H17" s="310" cm="1">
        <f t="array" aca="1" ref="H17" ca="1">INDIRECT("'"&amp;$A17&amp;"'!"&amp; "K" &amp; $B17)</f>
        <v>60.17</v>
      </c>
      <c r="I17" s="310" cm="1">
        <f t="array" aca="1" ref="I17" ca="1">INDIRECT("'"&amp;$A17&amp;"'!"&amp; "L" &amp; $B17)</f>
        <v>60.19</v>
      </c>
      <c r="J17" s="310" cm="1">
        <f t="array" aca="1" ref="J17" ca="1">INDIRECT("'"&amp;$A17&amp;"'!"&amp; "M" &amp; $B17)</f>
        <v>60.23</v>
      </c>
      <c r="K17" s="310" cm="1">
        <f t="array" aca="1" ref="K17" ca="1">INDIRECT("'"&amp;$A17&amp;"'!"&amp; "N" &amp; $B17)</f>
        <v>60.05</v>
      </c>
      <c r="L17" s="310" cm="1">
        <f t="array" aca="1" ref="L17" ca="1">INDIRECT("'"&amp;$A17&amp;"'!"&amp; "O" &amp; $B17)</f>
        <v>60.21</v>
      </c>
      <c r="M17" s="310" cm="1">
        <f t="array" aca="1" ref="M17" ca="1">INDIRECT("'"&amp;$A17&amp;"'!"&amp; "P" &amp; $B17)</f>
        <v>60.09</v>
      </c>
      <c r="N17" s="310" cm="1">
        <f t="array" aca="1" ref="N17" ca="1">INDIRECT("'"&amp;$A17&amp;"'!"&amp; "Q" &amp; $B17)</f>
        <v>60.21</v>
      </c>
      <c r="O17" s="310" cm="1">
        <f t="array" aca="1" ref="O17" ca="1">INDIRECT("'"&amp;$A17&amp;"'!"&amp; "R" &amp; $B17)</f>
        <v>60.12</v>
      </c>
      <c r="P17" s="310" cm="1">
        <f t="array" aca="1" ref="P17" ca="1">INDIRECT("'"&amp;$A17&amp;"'!"&amp; "S" &amp; $B17)</f>
        <v>60.16</v>
      </c>
      <c r="Q17" s="310" cm="1">
        <f t="array" aca="1" ref="Q17" ca="1">INDIRECT("'"&amp;$A17&amp;"'!"&amp; "T" &amp; $B17)</f>
        <v>60.21</v>
      </c>
      <c r="R17" s="310" cm="1">
        <f t="array" aca="1" ref="R17" ca="1">INDIRECT("'"&amp;$A17&amp;"'!"&amp; "U" &amp; $B17)</f>
        <v>60.2</v>
      </c>
      <c r="S17" s="310" cm="1">
        <f t="array" aca="1" ref="S17" ca="1">INDIRECT("'"&amp;$A17&amp;"'!"&amp; "V" &amp; $B17)</f>
        <v>60.14</v>
      </c>
      <c r="T17" s="310" cm="1">
        <f t="array" aca="1" ref="T17" ca="1">INDIRECT("'"&amp;$A17&amp;"'!"&amp; "W" &amp; $B17)</f>
        <v>60.22</v>
      </c>
      <c r="U17" s="310" cm="1">
        <f t="array" aca="1" ref="U17" ca="1">INDIRECT("'"&amp;$A17&amp;"'!"&amp; "X" &amp; $B17)</f>
        <v>60.11</v>
      </c>
      <c r="V17" s="310" cm="1">
        <f t="array" aca="1" ref="V17" ca="1">INDIRECT("'"&amp;$A17&amp;"'!"&amp; "Y" &amp; $B17)</f>
        <v>60.04</v>
      </c>
      <c r="W17" s="310" cm="1">
        <f t="array" aca="1" ref="W17" ca="1">INDIRECT("'"&amp;$A17&amp;"'!"&amp; "Z" &amp; $B17)</f>
        <v>60.14</v>
      </c>
      <c r="X17" s="310" cm="1">
        <f t="array" aca="1" ref="X17" ca="1">INDIRECT("'"&amp;$A17&amp;"'!"&amp; "AA" &amp; $B17)</f>
        <v>60.09</v>
      </c>
      <c r="Y17" s="310" cm="1">
        <f t="array" aca="1" ref="Y17" ca="1">INDIRECT("'"&amp;$A17&amp;"'!"&amp; "AB" &amp; $B17)</f>
        <v>60.2</v>
      </c>
      <c r="Z17" s="310" cm="1">
        <f t="array" aca="1" ref="Z17" ca="1">INDIRECT("'"&amp;$A17&amp;"'!"&amp; "AC" &amp; $B17)</f>
        <v>60.15</v>
      </c>
    </row>
    <row r="18" spans="1:26">
      <c r="A18" s="79">
        <v>16</v>
      </c>
      <c r="B18" s="79">
        <v>111</v>
      </c>
      <c r="C18" s="310" cm="1">
        <f t="array" aca="1" ref="C18" ca="1">INDIRECT("'"&amp;$A18&amp;"'!"&amp; "F" &amp; $B18)</f>
        <v>60.18</v>
      </c>
      <c r="D18" s="310" cm="1">
        <f t="array" aca="1" ref="D18" ca="1">INDIRECT("'"&amp;$A18&amp;"'!"&amp; "g" &amp; $B18)</f>
        <v>60.08</v>
      </c>
      <c r="E18" s="310" cm="1">
        <f t="array" aca="1" ref="E18" ca="1">INDIRECT("'"&amp;$A18&amp;"'!"&amp; "H" &amp; $B18)</f>
        <v>60.14</v>
      </c>
      <c r="F18" s="310" cm="1">
        <f t="array" aca="1" ref="F18" ca="1">INDIRECT("'"&amp;$A18&amp;"'!"&amp; "I" &amp; $B18)</f>
        <v>60.08</v>
      </c>
      <c r="G18" s="310" cm="1">
        <f t="array" aca="1" ref="G18" ca="1">INDIRECT("'"&amp;$A18&amp;"'!"&amp; "J" &amp; $B18)</f>
        <v>60.11</v>
      </c>
      <c r="H18" s="310" cm="1">
        <f t="array" aca="1" ref="H18" ca="1">INDIRECT("'"&amp;$A18&amp;"'!"&amp; "K" &amp; $B18)</f>
        <v>60.19</v>
      </c>
      <c r="I18" s="310" cm="1">
        <f t="array" aca="1" ref="I18" ca="1">INDIRECT("'"&amp;$A18&amp;"'!"&amp; "L" &amp; $B18)</f>
        <v>60.12</v>
      </c>
      <c r="J18" s="310" cm="1">
        <f t="array" aca="1" ref="J18" ca="1">INDIRECT("'"&amp;$A18&amp;"'!"&amp; "M" &amp; $B18)</f>
        <v>60.17</v>
      </c>
      <c r="K18" s="310" cm="1">
        <f t="array" aca="1" ref="K18" ca="1">INDIRECT("'"&amp;$A18&amp;"'!"&amp; "N" &amp; $B18)</f>
        <v>60.07</v>
      </c>
      <c r="L18" s="310" cm="1">
        <f t="array" aca="1" ref="L18" ca="1">INDIRECT("'"&amp;$A18&amp;"'!"&amp; "O" &amp; $B18)</f>
        <v>60.17</v>
      </c>
      <c r="M18" s="310" cm="1">
        <f t="array" aca="1" ref="M18" ca="1">INDIRECT("'"&amp;$A18&amp;"'!"&amp; "P" &amp; $B18)</f>
        <v>60.17</v>
      </c>
      <c r="N18" s="310" cm="1">
        <f t="array" aca="1" ref="N18" ca="1">INDIRECT("'"&amp;$A18&amp;"'!"&amp; "Q" &amp; $B18)</f>
        <v>60.12</v>
      </c>
      <c r="O18" s="310" cm="1">
        <f t="array" aca="1" ref="O18" ca="1">INDIRECT("'"&amp;$A18&amp;"'!"&amp; "R" &amp; $B18)</f>
        <v>60.18</v>
      </c>
      <c r="P18" s="310" cm="1">
        <f t="array" aca="1" ref="P18" ca="1">INDIRECT("'"&amp;$A18&amp;"'!"&amp; "S" &amp; $B18)</f>
        <v>60.17</v>
      </c>
      <c r="Q18" s="310" cm="1">
        <f t="array" aca="1" ref="Q18" ca="1">INDIRECT("'"&amp;$A18&amp;"'!"&amp; "T" &amp; $B18)</f>
        <v>60.17</v>
      </c>
      <c r="R18" s="310" cm="1">
        <f t="array" aca="1" ref="R18" ca="1">INDIRECT("'"&amp;$A18&amp;"'!"&amp; "U" &amp; $B18)</f>
        <v>60.11</v>
      </c>
      <c r="S18" s="310" cm="1">
        <f t="array" aca="1" ref="S18" ca="1">INDIRECT("'"&amp;$A18&amp;"'!"&amp; "V" &amp; $B18)</f>
        <v>60.12</v>
      </c>
      <c r="T18" s="310" cm="1">
        <f t="array" aca="1" ref="T18" ca="1">INDIRECT("'"&amp;$A18&amp;"'!"&amp; "W" &amp; $B18)</f>
        <v>60.19</v>
      </c>
      <c r="U18" s="310" cm="1">
        <f t="array" aca="1" ref="U18" ca="1">INDIRECT("'"&amp;$A18&amp;"'!"&amp; "X" &amp; $B18)</f>
        <v>60.16</v>
      </c>
      <c r="V18" s="310" cm="1">
        <f t="array" aca="1" ref="V18" ca="1">INDIRECT("'"&amp;$A18&amp;"'!"&amp; "Y" &amp; $B18)</f>
        <v>60.18</v>
      </c>
      <c r="W18" s="310" cm="1">
        <f t="array" aca="1" ref="W18" ca="1">INDIRECT("'"&amp;$A18&amp;"'!"&amp; "Z" &amp; $B18)</f>
        <v>60.14</v>
      </c>
      <c r="X18" s="310" cm="1">
        <f t="array" aca="1" ref="X18" ca="1">INDIRECT("'"&amp;$A18&amp;"'!"&amp; "AA" &amp; $B18)</f>
        <v>60.09</v>
      </c>
      <c r="Y18" s="310" cm="1">
        <f t="array" aca="1" ref="Y18" ca="1">INDIRECT("'"&amp;$A18&amp;"'!"&amp; "AB" &amp; $B18)</f>
        <v>60.09</v>
      </c>
      <c r="Z18" s="310" cm="1">
        <f t="array" aca="1" ref="Z18" ca="1">INDIRECT("'"&amp;$A18&amp;"'!"&amp; "AC" &amp; $B18)</f>
        <v>60.09</v>
      </c>
    </row>
    <row r="19" spans="1:26">
      <c r="A19" s="79">
        <v>17</v>
      </c>
      <c r="B19" s="79">
        <v>111</v>
      </c>
      <c r="C19" s="310" cm="1">
        <f t="array" aca="1" ref="C19" ca="1">INDIRECT("'"&amp;$A19&amp;"'!"&amp; "F" &amp; $B19)</f>
        <v>60.13</v>
      </c>
      <c r="D19" s="310" cm="1">
        <f t="array" aca="1" ref="D19" ca="1">INDIRECT("'"&amp;$A19&amp;"'!"&amp; "g" &amp; $B19)</f>
        <v>60.16</v>
      </c>
      <c r="E19" s="310" cm="1">
        <f t="array" aca="1" ref="E19" ca="1">INDIRECT("'"&amp;$A19&amp;"'!"&amp; "H" &amp; $B19)</f>
        <v>60.21</v>
      </c>
      <c r="F19" s="310" cm="1">
        <f t="array" aca="1" ref="F19" ca="1">INDIRECT("'"&amp;$A19&amp;"'!"&amp; "I" &amp; $B19)</f>
        <v>60.11</v>
      </c>
      <c r="G19" s="310" cm="1">
        <f t="array" aca="1" ref="G19" ca="1">INDIRECT("'"&amp;$A19&amp;"'!"&amp; "J" &amp; $B19)</f>
        <v>60.11</v>
      </c>
      <c r="H19" s="310" cm="1">
        <f t="array" aca="1" ref="H19" ca="1">INDIRECT("'"&amp;$A19&amp;"'!"&amp; "K" &amp; $B19)</f>
        <v>60.55</v>
      </c>
      <c r="I19" s="310" cm="1">
        <f t="array" aca="1" ref="I19" ca="1">INDIRECT("'"&amp;$A19&amp;"'!"&amp; "L" &amp; $B19)</f>
        <v>60.27</v>
      </c>
      <c r="J19" s="310" cm="1">
        <f t="array" aca="1" ref="J19" ca="1">INDIRECT("'"&amp;$A19&amp;"'!"&amp; "M" &amp; $B19)</f>
        <v>60.13</v>
      </c>
      <c r="K19" s="310" cm="1">
        <f t="array" aca="1" ref="K19" ca="1">INDIRECT("'"&amp;$A19&amp;"'!"&amp; "N" &amp; $B19)</f>
        <v>60.07</v>
      </c>
      <c r="L19" s="310" cm="1">
        <f t="array" aca="1" ref="L19" ca="1">INDIRECT("'"&amp;$A19&amp;"'!"&amp; "O" &amp; $B19)</f>
        <v>60.19</v>
      </c>
      <c r="M19" s="310" cm="1">
        <f t="array" aca="1" ref="M19" ca="1">INDIRECT("'"&amp;$A19&amp;"'!"&amp; "P" &amp; $B19)</f>
        <v>60.14</v>
      </c>
      <c r="N19" s="310" cm="1">
        <f t="array" aca="1" ref="N19" ca="1">INDIRECT("'"&amp;$A19&amp;"'!"&amp; "Q" &amp; $B19)</f>
        <v>60.3</v>
      </c>
      <c r="O19" s="310" cm="1">
        <f t="array" aca="1" ref="O19" ca="1">INDIRECT("'"&amp;$A19&amp;"'!"&amp; "R" &amp; $B19)</f>
        <v>60.11</v>
      </c>
      <c r="P19" s="310" cm="1">
        <f t="array" aca="1" ref="P19" ca="1">INDIRECT("'"&amp;$A19&amp;"'!"&amp; "S" &amp; $B19)</f>
        <v>60.08</v>
      </c>
      <c r="Q19" s="310" cm="1">
        <f t="array" aca="1" ref="Q19" ca="1">INDIRECT("'"&amp;$A19&amp;"'!"&amp; "T" &amp; $B19)</f>
        <v>60.13</v>
      </c>
      <c r="R19" s="310" cm="1">
        <f t="array" aca="1" ref="R19" ca="1">INDIRECT("'"&amp;$A19&amp;"'!"&amp; "U" &amp; $B19)</f>
        <v>60.22</v>
      </c>
      <c r="S19" s="310" cm="1">
        <f t="array" aca="1" ref="S19" ca="1">INDIRECT("'"&amp;$A19&amp;"'!"&amp; "V" &amp; $B19)</f>
        <v>60.18</v>
      </c>
      <c r="T19" s="310" cm="1">
        <f t="array" aca="1" ref="T19" ca="1">INDIRECT("'"&amp;$A19&amp;"'!"&amp; "W" &amp; $B19)</f>
        <v>60.14</v>
      </c>
      <c r="U19" s="310" cm="1">
        <f t="array" aca="1" ref="U19" ca="1">INDIRECT("'"&amp;$A19&amp;"'!"&amp; "X" &amp; $B19)</f>
        <v>60.23</v>
      </c>
      <c r="V19" s="310" cm="1">
        <f t="array" aca="1" ref="V19" ca="1">INDIRECT("'"&amp;$A19&amp;"'!"&amp; "Y" &amp; $B19)</f>
        <v>60.11</v>
      </c>
      <c r="W19" s="310" cm="1">
        <f t="array" aca="1" ref="W19" ca="1">INDIRECT("'"&amp;$A19&amp;"'!"&amp; "Z" &amp; $B19)</f>
        <v>60.19</v>
      </c>
      <c r="X19" s="310" cm="1">
        <f t="array" aca="1" ref="X19" ca="1">INDIRECT("'"&amp;$A19&amp;"'!"&amp; "AA" &amp; $B19)</f>
        <v>60.35</v>
      </c>
      <c r="Y19" s="310" cm="1">
        <f t="array" aca="1" ref="Y19" ca="1">INDIRECT("'"&amp;$A19&amp;"'!"&amp; "AB" &amp; $B19)</f>
        <v>60.14</v>
      </c>
      <c r="Z19" s="310" cm="1">
        <f t="array" aca="1" ref="Z19" ca="1">INDIRECT("'"&amp;$A19&amp;"'!"&amp; "AC" &amp; $B19)</f>
        <v>60.14</v>
      </c>
    </row>
    <row r="20" spans="1:26">
      <c r="A20" s="79">
        <v>18</v>
      </c>
      <c r="B20" s="79">
        <v>111</v>
      </c>
      <c r="C20" s="310" cm="1">
        <f t="array" aca="1" ref="C20" ca="1">INDIRECT("'"&amp;$A20&amp;"'!"&amp; "F" &amp; $B20)</f>
        <v>60.12</v>
      </c>
      <c r="D20" s="310" cm="1">
        <f t="array" aca="1" ref="D20" ca="1">INDIRECT("'"&amp;$A20&amp;"'!"&amp; "g" &amp; $B20)</f>
        <v>60.13</v>
      </c>
      <c r="E20" s="310" cm="1">
        <f t="array" aca="1" ref="E20" ca="1">INDIRECT("'"&amp;$A20&amp;"'!"&amp; "H" &amp; $B20)</f>
        <v>60.13</v>
      </c>
      <c r="F20" s="310" cm="1">
        <f t="array" aca="1" ref="F20" ca="1">INDIRECT("'"&amp;$A20&amp;"'!"&amp; "I" &amp; $B20)</f>
        <v>60.13</v>
      </c>
      <c r="G20" s="310" cm="1">
        <f t="array" aca="1" ref="G20" ca="1">INDIRECT("'"&amp;$A20&amp;"'!"&amp; "J" &amp; $B20)</f>
        <v>60.12</v>
      </c>
      <c r="H20" s="310" cm="1">
        <f t="array" aca="1" ref="H20" ca="1">INDIRECT("'"&amp;$A20&amp;"'!"&amp; "K" &amp; $B20)</f>
        <v>60.14</v>
      </c>
      <c r="I20" s="310" cm="1">
        <f t="array" aca="1" ref="I20" ca="1">INDIRECT("'"&amp;$A20&amp;"'!"&amp; "L" &amp; $B20)</f>
        <v>60.27</v>
      </c>
      <c r="J20" s="310" cm="1">
        <f t="array" aca="1" ref="J20" ca="1">INDIRECT("'"&amp;$A20&amp;"'!"&amp; "M" &amp; $B20)</f>
        <v>59.98</v>
      </c>
      <c r="K20" s="310" cm="1">
        <f t="array" aca="1" ref="K20" ca="1">INDIRECT("'"&amp;$A20&amp;"'!"&amp; "N" &amp; $B20)</f>
        <v>60.24</v>
      </c>
      <c r="L20" s="310" cm="1">
        <f t="array" aca="1" ref="L20" ca="1">INDIRECT("'"&amp;$A20&amp;"'!"&amp; "O" &amp; $B20)</f>
        <v>60.09</v>
      </c>
      <c r="M20" s="310" cm="1">
        <f t="array" aca="1" ref="M20" ca="1">INDIRECT("'"&amp;$A20&amp;"'!"&amp; "P" &amp; $B20)</f>
        <v>60.02</v>
      </c>
      <c r="N20" s="310" cm="1">
        <f t="array" aca="1" ref="N20" ca="1">INDIRECT("'"&amp;$A20&amp;"'!"&amp; "Q" &amp; $B20)</f>
        <v>60.12</v>
      </c>
      <c r="O20" s="310" cm="1">
        <f t="array" aca="1" ref="O20" ca="1">INDIRECT("'"&amp;$A20&amp;"'!"&amp; "R" &amp; $B20)</f>
        <v>60.12</v>
      </c>
      <c r="P20" s="310" cm="1">
        <f t="array" aca="1" ref="P20" ca="1">INDIRECT("'"&amp;$A20&amp;"'!"&amp; "S" &amp; $B20)</f>
        <v>60.12</v>
      </c>
      <c r="Q20" s="310" cm="1">
        <f t="array" aca="1" ref="Q20" ca="1">INDIRECT("'"&amp;$A20&amp;"'!"&amp; "T" &amp; $B20)</f>
        <v>0</v>
      </c>
      <c r="R20" s="310" cm="1">
        <f t="array" aca="1" ref="R20" ca="1">INDIRECT("'"&amp;$A20&amp;"'!"&amp; "U" &amp; $B20)</f>
        <v>60.93</v>
      </c>
      <c r="S20" s="310" cm="1">
        <f t="array" aca="1" ref="S20" ca="1">INDIRECT("'"&amp;$A20&amp;"'!"&amp; "V" &amp; $B20)</f>
        <v>60.35</v>
      </c>
      <c r="T20" s="310" cm="1">
        <f t="array" aca="1" ref="T20" ca="1">INDIRECT("'"&amp;$A20&amp;"'!"&amp; "W" &amp; $B20)</f>
        <v>60.39</v>
      </c>
      <c r="U20" s="310" cm="1">
        <f t="array" aca="1" ref="U20" ca="1">INDIRECT("'"&amp;$A20&amp;"'!"&amp; "X" &amp; $B20)</f>
        <v>60.55</v>
      </c>
      <c r="V20" s="310" cm="1">
        <f t="array" aca="1" ref="V20" ca="1">INDIRECT("'"&amp;$A20&amp;"'!"&amp; "Y" &amp; $B20)</f>
        <v>60.43</v>
      </c>
      <c r="W20" s="310" cm="1">
        <f t="array" aca="1" ref="W20" ca="1">INDIRECT("'"&amp;$A20&amp;"'!"&amp; "Z" &amp; $B20)</f>
        <v>60.48</v>
      </c>
      <c r="X20" s="310" cm="1">
        <f t="array" aca="1" ref="X20" ca="1">INDIRECT("'"&amp;$A20&amp;"'!"&amp; "AA" &amp; $B20)</f>
        <v>60.18</v>
      </c>
      <c r="Y20" s="310" cm="1">
        <f t="array" aca="1" ref="Y20" ca="1">INDIRECT("'"&amp;$A20&amp;"'!"&amp; "AB" &amp; $B20)</f>
        <v>60.14</v>
      </c>
      <c r="Z20" s="310" cm="1">
        <f t="array" aca="1" ref="Z20" ca="1">INDIRECT("'"&amp;$A20&amp;"'!"&amp; "AC" &amp; $B20)</f>
        <v>60.25</v>
      </c>
    </row>
    <row r="21" spans="1:26">
      <c r="A21" s="79">
        <v>19</v>
      </c>
      <c r="B21" s="79">
        <v>111</v>
      </c>
      <c r="C21" s="310" cm="1">
        <f t="array" aca="1" ref="C21" ca="1">INDIRECT("'"&amp;$A21&amp;"'!"&amp; "F" &amp; $B21)</f>
        <v>60.24</v>
      </c>
      <c r="D21" s="310" cm="1">
        <f t="array" aca="1" ref="D21" ca="1">INDIRECT("'"&amp;$A21&amp;"'!"&amp; "g" &amp; $B21)</f>
        <v>60.3</v>
      </c>
      <c r="E21" s="310" cm="1">
        <f t="array" aca="1" ref="E21" ca="1">INDIRECT("'"&amp;$A21&amp;"'!"&amp; "H" &amp; $B21)</f>
        <v>60.3</v>
      </c>
      <c r="F21" s="310" cm="1">
        <f t="array" aca="1" ref="F21" ca="1">INDIRECT("'"&amp;$A21&amp;"'!"&amp; "I" &amp; $B21)</f>
        <v>60.5</v>
      </c>
      <c r="G21" s="310" cm="1">
        <f t="array" aca="1" ref="G21" ca="1">INDIRECT("'"&amp;$A21&amp;"'!"&amp; "J" &amp; $B21)</f>
        <v>60</v>
      </c>
      <c r="H21" s="310" cm="1">
        <f t="array" aca="1" ref="H21" ca="1">INDIRECT("'"&amp;$A21&amp;"'!"&amp; "K" &amp; $B21)</f>
        <v>60.14</v>
      </c>
      <c r="I21" s="310" cm="1">
        <f t="array" aca="1" ref="I21" ca="1">INDIRECT("'"&amp;$A21&amp;"'!"&amp; "L" &amp; $B21)</f>
        <v>60.2</v>
      </c>
      <c r="J21" s="310" cm="1">
        <f t="array" aca="1" ref="J21" ca="1">INDIRECT("'"&amp;$A21&amp;"'!"&amp; "M" &amp; $B21)</f>
        <v>60.18</v>
      </c>
      <c r="K21" s="310" cm="1">
        <f t="array" aca="1" ref="K21" ca="1">INDIRECT("'"&amp;$A21&amp;"'!"&amp; "N" &amp; $B21)</f>
        <v>60.09</v>
      </c>
      <c r="L21" s="310" cm="1">
        <f t="array" aca="1" ref="L21" ca="1">INDIRECT("'"&amp;$A21&amp;"'!"&amp; "O" &amp; $B21)</f>
        <v>60.04</v>
      </c>
      <c r="M21" s="310" cm="1">
        <f t="array" aca="1" ref="M21" ca="1">INDIRECT("'"&amp;$A21&amp;"'!"&amp; "P" &amp; $B21)</f>
        <v>60.14</v>
      </c>
      <c r="N21" s="310" cm="1">
        <f t="array" aca="1" ref="N21" ca="1">INDIRECT("'"&amp;$A21&amp;"'!"&amp; "Q" &amp; $B21)</f>
        <v>60.29</v>
      </c>
      <c r="O21" s="310" cm="1">
        <f t="array" aca="1" ref="O21" ca="1">INDIRECT("'"&amp;$A21&amp;"'!"&amp; "R" &amp; $B21)</f>
        <v>60.28</v>
      </c>
      <c r="P21" s="310" cm="1">
        <f t="array" aca="1" ref="P21" ca="1">INDIRECT("'"&amp;$A21&amp;"'!"&amp; "S" &amp; $B21)</f>
        <v>60.06</v>
      </c>
      <c r="Q21" s="310" cm="1">
        <f t="array" aca="1" ref="Q21" ca="1">INDIRECT("'"&amp;$A21&amp;"'!"&amp; "T" &amp; $B21)</f>
        <v>60</v>
      </c>
      <c r="R21" s="310" cm="1">
        <f t="array" aca="1" ref="R21" ca="1">INDIRECT("'"&amp;$A21&amp;"'!"&amp; "U" &amp; $B21)</f>
        <v>60.16</v>
      </c>
      <c r="S21" s="310" cm="1">
        <f t="array" aca="1" ref="S21" ca="1">INDIRECT("'"&amp;$A21&amp;"'!"&amp; "V" &amp; $B21)</f>
        <v>60.07</v>
      </c>
      <c r="T21" s="310" cm="1">
        <f t="array" aca="1" ref="T21" ca="1">INDIRECT("'"&amp;$A21&amp;"'!"&amp; "W" &amp; $B21)</f>
        <v>60.17</v>
      </c>
      <c r="U21" s="310" cm="1">
        <f t="array" aca="1" ref="U21" ca="1">INDIRECT("'"&amp;$A21&amp;"'!"&amp; "X" &amp; $B21)</f>
        <v>60.17</v>
      </c>
      <c r="V21" s="310" cm="1">
        <f t="array" aca="1" ref="V21" ca="1">INDIRECT("'"&amp;$A21&amp;"'!"&amp; "Y" &amp; $B21)</f>
        <v>60.2</v>
      </c>
      <c r="W21" s="310" cm="1">
        <f t="array" aca="1" ref="W21" ca="1">INDIRECT("'"&amp;$A21&amp;"'!"&amp; "Z" &amp; $B21)</f>
        <v>60.29</v>
      </c>
      <c r="X21" s="310" cm="1">
        <f t="array" aca="1" ref="X21" ca="1">INDIRECT("'"&amp;$A21&amp;"'!"&amp; "AA" &amp; $B21)</f>
        <v>60.12</v>
      </c>
      <c r="Y21" s="310" cm="1">
        <f t="array" aca="1" ref="Y21" ca="1">INDIRECT("'"&amp;$A21&amp;"'!"&amp; "AB" &amp; $B21)</f>
        <v>60.16</v>
      </c>
      <c r="Z21" s="310" cm="1">
        <f t="array" aca="1" ref="Z21" ca="1">INDIRECT("'"&amp;$A21&amp;"'!"&amp; "AC" &amp; $B21)</f>
        <v>60.08</v>
      </c>
    </row>
    <row r="22" spans="1:26">
      <c r="A22" s="79">
        <v>20</v>
      </c>
      <c r="B22" s="79">
        <v>111</v>
      </c>
      <c r="C22" s="310" cm="1">
        <f t="array" aca="1" ref="C22" ca="1">INDIRECT("'"&amp;$A22&amp;"'!"&amp; "F" &amp; $B22)</f>
        <v>60.19</v>
      </c>
      <c r="D22" s="310" cm="1">
        <f t="array" aca="1" ref="D22" ca="1">INDIRECT("'"&amp;$A22&amp;"'!"&amp; "g" &amp; $B22)</f>
        <v>60.04</v>
      </c>
      <c r="E22" s="310" cm="1">
        <f t="array" aca="1" ref="E22" ca="1">INDIRECT("'"&amp;$A22&amp;"'!"&amp; "H" &amp; $B22)</f>
        <v>60.09</v>
      </c>
      <c r="F22" s="310" cm="1">
        <f t="array" aca="1" ref="F22" ca="1">INDIRECT("'"&amp;$A22&amp;"'!"&amp; "I" &amp; $B22)</f>
        <v>60.16</v>
      </c>
      <c r="G22" s="310" cm="1">
        <f t="array" aca="1" ref="G22" ca="1">INDIRECT("'"&amp;$A22&amp;"'!"&amp; "J" &amp; $B22)</f>
        <v>60.15</v>
      </c>
      <c r="H22" s="310" cm="1">
        <f t="array" aca="1" ref="H22" ca="1">INDIRECT("'"&amp;$A22&amp;"'!"&amp; "K" &amp; $B22)</f>
        <v>60.27</v>
      </c>
      <c r="I22" s="310" cm="1">
        <f t="array" aca="1" ref="I22" ca="1">INDIRECT("'"&amp;$A22&amp;"'!"&amp; "L" &amp; $B22)</f>
        <v>60.16</v>
      </c>
      <c r="J22" s="310" cm="1">
        <f t="array" aca="1" ref="J22" ca="1">INDIRECT("'"&amp;$A22&amp;"'!"&amp; "M" &amp; $B22)</f>
        <v>60.2</v>
      </c>
      <c r="K22" s="310" cm="1">
        <f t="array" aca="1" ref="K22" ca="1">INDIRECT("'"&amp;$A22&amp;"'!"&amp; "N" &amp; $B22)</f>
        <v>60.19</v>
      </c>
      <c r="L22" s="310" cm="1">
        <f t="array" aca="1" ref="L22" ca="1">INDIRECT("'"&amp;$A22&amp;"'!"&amp; "O" &amp; $B22)</f>
        <v>60.18</v>
      </c>
      <c r="M22" s="310" cm="1">
        <f t="array" aca="1" ref="M22" ca="1">INDIRECT("'"&amp;$A22&amp;"'!"&amp; "P" &amp; $B22)</f>
        <v>60.06</v>
      </c>
      <c r="N22" s="310" cm="1">
        <f t="array" aca="1" ref="N22" ca="1">INDIRECT("'"&amp;$A22&amp;"'!"&amp; "Q" &amp; $B22)</f>
        <v>60.13</v>
      </c>
      <c r="O22" s="310" cm="1">
        <f t="array" aca="1" ref="O22" ca="1">INDIRECT("'"&amp;$A22&amp;"'!"&amp; "R" &amp; $B22)</f>
        <v>60.12</v>
      </c>
      <c r="P22" s="310" cm="1">
        <f t="array" aca="1" ref="P22" ca="1">INDIRECT("'"&amp;$A22&amp;"'!"&amp; "S" &amp; $B22)</f>
        <v>60.07</v>
      </c>
      <c r="Q22" s="310" cm="1">
        <f t="array" aca="1" ref="Q22" ca="1">INDIRECT("'"&amp;$A22&amp;"'!"&amp; "T" &amp; $B22)</f>
        <v>60.08</v>
      </c>
      <c r="R22" s="310" cm="1">
        <f t="array" aca="1" ref="R22" ca="1">INDIRECT("'"&amp;$A22&amp;"'!"&amp; "U" &amp; $B22)</f>
        <v>60.11</v>
      </c>
      <c r="S22" s="310" cm="1">
        <f t="array" aca="1" ref="S22" ca="1">INDIRECT("'"&amp;$A22&amp;"'!"&amp; "V" &amp; $B22)</f>
        <v>60.11</v>
      </c>
      <c r="T22" s="310" cm="1">
        <f t="array" aca="1" ref="T22" ca="1">INDIRECT("'"&amp;$A22&amp;"'!"&amp; "W" &amp; $B22)</f>
        <v>60.21</v>
      </c>
      <c r="U22" s="310" cm="1">
        <f t="array" aca="1" ref="U22" ca="1">INDIRECT("'"&amp;$A22&amp;"'!"&amp; "X" &amp; $B22)</f>
        <v>60.09</v>
      </c>
      <c r="V22" s="310" cm="1">
        <f t="array" aca="1" ref="V22" ca="1">INDIRECT("'"&amp;$A22&amp;"'!"&amp; "Y" &amp; $B22)</f>
        <v>60.2</v>
      </c>
      <c r="W22" s="310" cm="1">
        <f t="array" aca="1" ref="W22" ca="1">INDIRECT("'"&amp;$A22&amp;"'!"&amp; "Z" &amp; $B22)</f>
        <v>60.19</v>
      </c>
      <c r="X22" s="310" cm="1">
        <f t="array" aca="1" ref="X22" ca="1">INDIRECT("'"&amp;$A22&amp;"'!"&amp; "AA" &amp; $B22)</f>
        <v>60.03</v>
      </c>
      <c r="Y22" s="310" cm="1">
        <f t="array" aca="1" ref="Y22" ca="1">INDIRECT("'"&amp;$A22&amp;"'!"&amp; "AB" &amp; $B22)</f>
        <v>60.18</v>
      </c>
      <c r="Z22" s="310" cm="1">
        <f t="array" aca="1" ref="Z22" ca="1">INDIRECT("'"&amp;$A22&amp;"'!"&amp; "AC" &amp; $B22)</f>
        <v>60.12</v>
      </c>
    </row>
    <row r="23" spans="1:26">
      <c r="A23" s="79">
        <v>21</v>
      </c>
      <c r="B23" s="79">
        <v>111</v>
      </c>
      <c r="C23" s="310" cm="1">
        <f t="array" aca="1" ref="C23" ca="1">INDIRECT("'"&amp;$A23&amp;"'!"&amp; "F" &amp; $B23)</f>
        <v>60.1</v>
      </c>
      <c r="D23" s="310" cm="1">
        <f t="array" aca="1" ref="D23" ca="1">INDIRECT("'"&amp;$A23&amp;"'!"&amp; "g" &amp; $B23)</f>
        <v>60.15</v>
      </c>
      <c r="E23" s="310" cm="1">
        <f t="array" aca="1" ref="E23" ca="1">INDIRECT("'"&amp;$A23&amp;"'!"&amp; "H" &amp; $B23)</f>
        <v>60.04</v>
      </c>
      <c r="F23" s="310" cm="1">
        <f t="array" aca="1" ref="F23" ca="1">INDIRECT("'"&amp;$A23&amp;"'!"&amp; "I" &amp; $B23)</f>
        <v>60.12</v>
      </c>
      <c r="G23" s="310" cm="1">
        <f t="array" aca="1" ref="G23" ca="1">INDIRECT("'"&amp;$A23&amp;"'!"&amp; "J" &amp; $B23)</f>
        <v>60.09</v>
      </c>
      <c r="H23" s="310" cm="1">
        <f t="array" aca="1" ref="H23" ca="1">INDIRECT("'"&amp;$A23&amp;"'!"&amp; "K" &amp; $B23)</f>
        <v>60.12</v>
      </c>
      <c r="I23" s="310" cm="1">
        <f t="array" aca="1" ref="I23" ca="1">INDIRECT("'"&amp;$A23&amp;"'!"&amp; "L" &amp; $B23)</f>
        <v>60.06</v>
      </c>
      <c r="J23" s="310" cm="1">
        <f t="array" aca="1" ref="J23" ca="1">INDIRECT("'"&amp;$A23&amp;"'!"&amp; "M" &amp; $B23)</f>
        <v>60.14</v>
      </c>
      <c r="K23" s="310" cm="1">
        <f t="array" aca="1" ref="K23" ca="1">INDIRECT("'"&amp;$A23&amp;"'!"&amp; "N" &amp; $B23)</f>
        <v>60.09</v>
      </c>
      <c r="L23" s="310" cm="1">
        <f t="array" aca="1" ref="L23" ca="1">INDIRECT("'"&amp;$A23&amp;"'!"&amp; "O" &amp; $B23)</f>
        <v>60.05</v>
      </c>
      <c r="M23" s="310" cm="1">
        <f t="array" aca="1" ref="M23" ca="1">INDIRECT("'"&amp;$A23&amp;"'!"&amp; "P" &amp; $B23)</f>
        <v>60.17</v>
      </c>
      <c r="N23" s="310" cm="1">
        <f t="array" aca="1" ref="N23" ca="1">INDIRECT("'"&amp;$A23&amp;"'!"&amp; "Q" &amp; $B23)</f>
        <v>60.04</v>
      </c>
      <c r="O23" s="310" cm="1">
        <f t="array" aca="1" ref="O23" ca="1">INDIRECT("'"&amp;$A23&amp;"'!"&amp; "R" &amp; $B23)</f>
        <v>60.05</v>
      </c>
      <c r="P23" s="310" cm="1">
        <f t="array" aca="1" ref="P23" ca="1">INDIRECT("'"&amp;$A23&amp;"'!"&amp; "S" &amp; $B23)</f>
        <v>60.14</v>
      </c>
      <c r="Q23" s="310" cm="1">
        <f t="array" aca="1" ref="Q23" ca="1">INDIRECT("'"&amp;$A23&amp;"'!"&amp; "T" &amp; $B23)</f>
        <v>60.02</v>
      </c>
      <c r="R23" s="310" cm="1">
        <f t="array" aca="1" ref="R23" ca="1">INDIRECT("'"&amp;$A23&amp;"'!"&amp; "U" &amp; $B23)</f>
        <v>60.2</v>
      </c>
      <c r="S23" s="310" cm="1">
        <f t="array" aca="1" ref="S23" ca="1">INDIRECT("'"&amp;$A23&amp;"'!"&amp; "V" &amp; $B23)</f>
        <v>60.17</v>
      </c>
      <c r="T23" s="310" cm="1">
        <f t="array" aca="1" ref="T23" ca="1">INDIRECT("'"&amp;$A23&amp;"'!"&amp; "W" &amp; $B23)</f>
        <v>60.28</v>
      </c>
      <c r="U23" s="310" cm="1">
        <f t="array" aca="1" ref="U23" ca="1">INDIRECT("'"&amp;$A23&amp;"'!"&amp; "X" &amp; $B23)</f>
        <v>60.19</v>
      </c>
      <c r="V23" s="310" cm="1">
        <f t="array" aca="1" ref="V23" ca="1">INDIRECT("'"&amp;$A23&amp;"'!"&amp; "Y" &amp; $B23)</f>
        <v>60.19</v>
      </c>
      <c r="W23" s="310" cm="1">
        <f t="array" aca="1" ref="W23" ca="1">INDIRECT("'"&amp;$A23&amp;"'!"&amp; "Z" &amp; $B23)</f>
        <v>60.3</v>
      </c>
      <c r="X23" s="310" cm="1">
        <f t="array" aca="1" ref="X23" ca="1">INDIRECT("'"&amp;$A23&amp;"'!"&amp; "AA" &amp; $B23)</f>
        <v>60.23</v>
      </c>
      <c r="Y23" s="310" cm="1">
        <f t="array" aca="1" ref="Y23" ca="1">INDIRECT("'"&amp;$A23&amp;"'!"&amp; "AB" &amp; $B23)</f>
        <v>60.15</v>
      </c>
      <c r="Z23" s="310" cm="1">
        <f t="array" aca="1" ref="Z23" ca="1">INDIRECT("'"&amp;$A23&amp;"'!"&amp; "AC" &amp; $B23)</f>
        <v>60.12</v>
      </c>
    </row>
    <row r="24" spans="1:26">
      <c r="A24" s="79">
        <v>22</v>
      </c>
      <c r="B24" s="79">
        <v>111</v>
      </c>
      <c r="C24" s="310" cm="1">
        <f t="array" aca="1" ref="C24" ca="1">INDIRECT("'"&amp;$A24&amp;"'!"&amp; "F" &amp; $B24)</f>
        <v>60.05</v>
      </c>
      <c r="D24" s="310" cm="1">
        <f t="array" aca="1" ref="D24" ca="1">INDIRECT("'"&amp;$A24&amp;"'!"&amp; "g" &amp; $B24)</f>
        <v>60.16</v>
      </c>
      <c r="E24" s="310" cm="1">
        <f t="array" aca="1" ref="E24" ca="1">INDIRECT("'"&amp;$A24&amp;"'!"&amp; "H" &amp; $B24)</f>
        <v>60.16</v>
      </c>
      <c r="F24" s="310" cm="1">
        <f t="array" aca="1" ref="F24" ca="1">INDIRECT("'"&amp;$A24&amp;"'!"&amp; "I" &amp; $B24)</f>
        <v>60.13</v>
      </c>
      <c r="G24" s="310" cm="1">
        <f t="array" aca="1" ref="G24" ca="1">INDIRECT("'"&amp;$A24&amp;"'!"&amp; "J" &amp; $B24)</f>
        <v>60.09</v>
      </c>
      <c r="H24" s="310" cm="1">
        <f t="array" aca="1" ref="H24" ca="1">INDIRECT("'"&amp;$A24&amp;"'!"&amp; "K" &amp; $B24)</f>
        <v>60.04</v>
      </c>
      <c r="I24" s="310" cm="1">
        <f t="array" aca="1" ref="I24" ca="1">INDIRECT("'"&amp;$A24&amp;"'!"&amp; "L" &amp; $B24)</f>
        <v>60.04</v>
      </c>
      <c r="J24" s="310" cm="1">
        <f t="array" aca="1" ref="J24" ca="1">INDIRECT("'"&amp;$A24&amp;"'!"&amp; "M" &amp; $B24)</f>
        <v>60.06</v>
      </c>
      <c r="K24" s="310" cm="1">
        <f t="array" aca="1" ref="K24" ca="1">INDIRECT("'"&amp;$A24&amp;"'!"&amp; "N" &amp; $B24)</f>
        <v>60.16</v>
      </c>
      <c r="L24" s="310" cm="1">
        <f t="array" aca="1" ref="L24" ca="1">INDIRECT("'"&amp;$A24&amp;"'!"&amp; "O" &amp; $B24)</f>
        <v>60.12</v>
      </c>
      <c r="M24" s="310" cm="1">
        <f t="array" aca="1" ref="M24" ca="1">INDIRECT("'"&amp;$A24&amp;"'!"&amp; "P" &amp; $B24)</f>
        <v>60.06</v>
      </c>
      <c r="N24" s="310" cm="1">
        <f t="array" aca="1" ref="N24" ca="1">INDIRECT("'"&amp;$A24&amp;"'!"&amp; "Q" &amp; $B24)</f>
        <v>60.19</v>
      </c>
      <c r="O24" s="310" cm="1">
        <f t="array" aca="1" ref="O24" ca="1">INDIRECT("'"&amp;$A24&amp;"'!"&amp; "R" &amp; $B24)</f>
        <v>60.14</v>
      </c>
      <c r="P24" s="310" cm="1">
        <f t="array" aca="1" ref="P24" ca="1">INDIRECT("'"&amp;$A24&amp;"'!"&amp; "S" &amp; $B24)</f>
        <v>60.08</v>
      </c>
      <c r="Q24" s="310" cm="1">
        <f t="array" aca="1" ref="Q24" ca="1">INDIRECT("'"&amp;$A24&amp;"'!"&amp; "T" &amp; $B24)</f>
        <v>60.1</v>
      </c>
      <c r="R24" s="310" cm="1">
        <f t="array" aca="1" ref="R24" ca="1">INDIRECT("'"&amp;$A24&amp;"'!"&amp; "U" &amp; $B24)</f>
        <v>60.1</v>
      </c>
      <c r="S24" s="310" cm="1">
        <f t="array" aca="1" ref="S24" ca="1">INDIRECT("'"&amp;$A24&amp;"'!"&amp; "V" &amp; $B24)</f>
        <v>60.05</v>
      </c>
      <c r="T24" s="310" cm="1">
        <f t="array" aca="1" ref="T24" ca="1">INDIRECT("'"&amp;$A24&amp;"'!"&amp; "W" &amp; $B24)</f>
        <v>60.2</v>
      </c>
      <c r="U24" s="310" cm="1">
        <f t="array" aca="1" ref="U24" ca="1">INDIRECT("'"&amp;$A24&amp;"'!"&amp; "X" &amp; $B24)</f>
        <v>60.15</v>
      </c>
      <c r="V24" s="310" cm="1">
        <f t="array" aca="1" ref="V24" ca="1">INDIRECT("'"&amp;$A24&amp;"'!"&amp; "Y" &amp; $B24)</f>
        <v>60.13</v>
      </c>
      <c r="W24" s="310" cm="1">
        <f t="array" aca="1" ref="W24" ca="1">INDIRECT("'"&amp;$A24&amp;"'!"&amp; "Z" &amp; $B24)</f>
        <v>60.17</v>
      </c>
      <c r="X24" s="310" cm="1">
        <f t="array" aca="1" ref="X24" ca="1">INDIRECT("'"&amp;$A24&amp;"'!"&amp; "AA" &amp; $B24)</f>
        <v>60.12</v>
      </c>
      <c r="Y24" s="310" cm="1">
        <f t="array" aca="1" ref="Y24" ca="1">INDIRECT("'"&amp;$A24&amp;"'!"&amp; "AB" &amp; $B24)</f>
        <v>60.21</v>
      </c>
      <c r="Z24" s="310" cm="1">
        <f t="array" aca="1" ref="Z24" ca="1">INDIRECT("'"&amp;$A24&amp;"'!"&amp; "AC" &amp; $B24)</f>
        <v>60.14</v>
      </c>
    </row>
    <row r="25" spans="1:26">
      <c r="A25" s="79">
        <v>23</v>
      </c>
      <c r="B25" s="79">
        <v>111</v>
      </c>
      <c r="C25" s="310" cm="1">
        <f t="array" aca="1" ref="C25" ca="1">INDIRECT("'"&amp;$A25&amp;"'!"&amp; "F" &amp; $B25)</f>
        <v>60.12</v>
      </c>
      <c r="D25" s="310" cm="1">
        <f t="array" aca="1" ref="D25" ca="1">INDIRECT("'"&amp;$A25&amp;"'!"&amp; "g" &amp; $B25)</f>
        <v>60.09</v>
      </c>
      <c r="E25" s="310" cm="1">
        <f t="array" aca="1" ref="E25" ca="1">INDIRECT("'"&amp;$A25&amp;"'!"&amp; "H" &amp; $B25)</f>
        <v>60.1</v>
      </c>
      <c r="F25" s="310" cm="1">
        <f t="array" aca="1" ref="F25" ca="1">INDIRECT("'"&amp;$A25&amp;"'!"&amp; "I" &amp; $B25)</f>
        <v>60.15</v>
      </c>
      <c r="G25" s="310" cm="1">
        <f t="array" aca="1" ref="G25" ca="1">INDIRECT("'"&amp;$A25&amp;"'!"&amp; "J" &amp; $B25)</f>
        <v>60.05</v>
      </c>
      <c r="H25" s="310" cm="1">
        <f t="array" aca="1" ref="H25" ca="1">INDIRECT("'"&amp;$A25&amp;"'!"&amp; "K" &amp; $B25)</f>
        <v>60.13</v>
      </c>
      <c r="I25" s="310" cm="1">
        <f t="array" aca="1" ref="I25" ca="1">INDIRECT("'"&amp;$A25&amp;"'!"&amp; "L" &amp; $B25)</f>
        <v>60.1</v>
      </c>
      <c r="J25" s="310" cm="1">
        <f t="array" aca="1" ref="J25" ca="1">INDIRECT("'"&amp;$A25&amp;"'!"&amp; "M" &amp; $B25)</f>
        <v>60.07</v>
      </c>
      <c r="K25" s="310" cm="1">
        <f t="array" aca="1" ref="K25" ca="1">INDIRECT("'"&amp;$A25&amp;"'!"&amp; "N" &amp; $B25)</f>
        <v>60.12</v>
      </c>
      <c r="L25" s="310" cm="1">
        <f t="array" aca="1" ref="L25" ca="1">INDIRECT("'"&amp;$A25&amp;"'!"&amp; "O" &amp; $B25)</f>
        <v>60.12</v>
      </c>
      <c r="M25" s="310" cm="1">
        <f t="array" aca="1" ref="M25" ca="1">INDIRECT("'"&amp;$A25&amp;"'!"&amp; "P" &amp; $B25)</f>
        <v>60.03</v>
      </c>
      <c r="N25" s="310" cm="1">
        <f t="array" aca="1" ref="N25" ca="1">INDIRECT("'"&amp;$A25&amp;"'!"&amp; "Q" &amp; $B25)</f>
        <v>59.98</v>
      </c>
      <c r="O25" s="310" cm="1">
        <f t="array" aca="1" ref="O25" ca="1">INDIRECT("'"&amp;$A25&amp;"'!"&amp; "R" &amp; $B25)</f>
        <v>60.06</v>
      </c>
      <c r="P25" s="310" cm="1">
        <f t="array" aca="1" ref="P25" ca="1">INDIRECT("'"&amp;$A25&amp;"'!"&amp; "S" &amp; $B25)</f>
        <v>60.01</v>
      </c>
      <c r="Q25" s="310" cm="1">
        <f t="array" aca="1" ref="Q25" ca="1">INDIRECT("'"&amp;$A25&amp;"'!"&amp; "T" &amp; $B25)</f>
        <v>60.23</v>
      </c>
      <c r="R25" s="310" cm="1">
        <f t="array" aca="1" ref="R25" ca="1">INDIRECT("'"&amp;$A25&amp;"'!"&amp; "U" &amp; $B25)</f>
        <v>60.09</v>
      </c>
      <c r="S25" s="310" cm="1">
        <f t="array" aca="1" ref="S25" ca="1">INDIRECT("'"&amp;$A25&amp;"'!"&amp; "V" &amp; $B25)</f>
        <v>60.09</v>
      </c>
      <c r="T25" s="310" cm="1">
        <f t="array" aca="1" ref="T25" ca="1">INDIRECT("'"&amp;$A25&amp;"'!"&amp; "W" &amp; $B25)</f>
        <v>60.1</v>
      </c>
      <c r="U25" s="310" cm="1">
        <f t="array" aca="1" ref="U25" ca="1">INDIRECT("'"&amp;$A25&amp;"'!"&amp; "X" &amp; $B25)</f>
        <v>60.04</v>
      </c>
      <c r="V25" s="310" cm="1">
        <f t="array" aca="1" ref="V25" ca="1">INDIRECT("'"&amp;$A25&amp;"'!"&amp; "Y" &amp; $B25)</f>
        <v>6.1</v>
      </c>
      <c r="W25" s="310" cm="1">
        <f t="array" aca="1" ref="W25" ca="1">INDIRECT("'"&amp;$A25&amp;"'!"&amp; "Z" &amp; $B25)</f>
        <v>60.04</v>
      </c>
      <c r="X25" s="310" cm="1">
        <f t="array" aca="1" ref="X25" ca="1">INDIRECT("'"&amp;$A25&amp;"'!"&amp; "AA" &amp; $B25)</f>
        <v>60.2</v>
      </c>
      <c r="Y25" s="310" cm="1">
        <f t="array" aca="1" ref="Y25" ca="1">INDIRECT("'"&amp;$A25&amp;"'!"&amp; "AB" &amp; $B25)</f>
        <v>60.05</v>
      </c>
      <c r="Z25" s="310" cm="1">
        <f t="array" aca="1" ref="Z25" ca="1">INDIRECT("'"&amp;$A25&amp;"'!"&amp; "AC" &amp; $B25)</f>
        <v>60.11</v>
      </c>
    </row>
    <row r="26" spans="1:26">
      <c r="A26" s="79">
        <v>24</v>
      </c>
      <c r="B26" s="79">
        <v>111</v>
      </c>
      <c r="C26" s="310" cm="1">
        <f t="array" aca="1" ref="C26" ca="1">INDIRECT("'"&amp;$A26&amp;"'!"&amp; "F" &amp; $B26)</f>
        <v>60.08</v>
      </c>
      <c r="D26" s="310" cm="1">
        <f t="array" aca="1" ref="D26" ca="1">INDIRECT("'"&amp;$A26&amp;"'!"&amp; "g" &amp; $B26)</f>
        <v>60.16</v>
      </c>
      <c r="E26" s="310" cm="1">
        <f t="array" aca="1" ref="E26" ca="1">INDIRECT("'"&amp;$A26&amp;"'!"&amp; "H" &amp; $B26)</f>
        <v>60.1</v>
      </c>
      <c r="F26" s="310" cm="1">
        <f t="array" aca="1" ref="F26" ca="1">INDIRECT("'"&amp;$A26&amp;"'!"&amp; "I" &amp; $B26)</f>
        <v>60.1</v>
      </c>
      <c r="G26" s="310" cm="1">
        <f t="array" aca="1" ref="G26" ca="1">INDIRECT("'"&amp;$A26&amp;"'!"&amp; "J" &amp; $B26)</f>
        <v>60.07</v>
      </c>
      <c r="H26" s="310" cm="1">
        <f t="array" aca="1" ref="H26" ca="1">INDIRECT("'"&amp;$A26&amp;"'!"&amp; "K" &amp; $B26)</f>
        <v>60.08</v>
      </c>
      <c r="I26" s="310" cm="1">
        <f t="array" aca="1" ref="I26" ca="1">INDIRECT("'"&amp;$A26&amp;"'!"&amp; "L" &amp; $B26)</f>
        <v>60.05</v>
      </c>
      <c r="J26" s="310" cm="1">
        <f t="array" aca="1" ref="J26" ca="1">INDIRECT("'"&amp;$A26&amp;"'!"&amp; "M" &amp; $B26)</f>
        <v>60.18</v>
      </c>
      <c r="K26" s="310" cm="1">
        <f t="array" aca="1" ref="K26" ca="1">INDIRECT("'"&amp;$A26&amp;"'!"&amp; "N" &amp; $B26)</f>
        <v>60.14</v>
      </c>
      <c r="L26" s="310" cm="1">
        <f t="array" aca="1" ref="L26" ca="1">INDIRECT("'"&amp;$A26&amp;"'!"&amp; "O" &amp; $B26)</f>
        <v>60.09</v>
      </c>
      <c r="M26" s="310" cm="1">
        <f t="array" aca="1" ref="M26" ca="1">INDIRECT("'"&amp;$A26&amp;"'!"&amp; "P" &amp; $B26)</f>
        <v>60.07</v>
      </c>
      <c r="N26" s="310" cm="1">
        <f t="array" aca="1" ref="N26" ca="1">INDIRECT("'"&amp;$A26&amp;"'!"&amp; "Q" &amp; $B26)</f>
        <v>60.07</v>
      </c>
      <c r="O26" s="310" cm="1">
        <f t="array" aca="1" ref="O26" ca="1">INDIRECT("'"&amp;$A26&amp;"'!"&amp; "R" &amp; $B26)</f>
        <v>60.2</v>
      </c>
      <c r="P26" s="310" cm="1">
        <f t="array" aca="1" ref="P26" ca="1">INDIRECT("'"&amp;$A26&amp;"'!"&amp; "S" &amp; $B26)</f>
        <v>60.08</v>
      </c>
      <c r="Q26" s="310" cm="1">
        <f t="array" aca="1" ref="Q26" ca="1">INDIRECT("'"&amp;$A26&amp;"'!"&amp; "T" &amp; $B26)</f>
        <v>60.1</v>
      </c>
      <c r="R26" s="310" cm="1">
        <f t="array" aca="1" ref="R26" ca="1">INDIRECT("'"&amp;$A26&amp;"'!"&amp; "U" &amp; $B26)</f>
        <v>60.12</v>
      </c>
      <c r="S26" s="310" cm="1">
        <f t="array" aca="1" ref="S26" ca="1">INDIRECT("'"&amp;$A26&amp;"'!"&amp; "V" &amp; $B26)</f>
        <v>60.09</v>
      </c>
      <c r="T26" s="310" cm="1">
        <f t="array" aca="1" ref="T26" ca="1">INDIRECT("'"&amp;$A26&amp;"'!"&amp; "W" &amp; $B26)</f>
        <v>60.15</v>
      </c>
      <c r="U26" s="310" cm="1">
        <f t="array" aca="1" ref="U26" ca="1">INDIRECT("'"&amp;$A26&amp;"'!"&amp; "X" &amp; $B26)</f>
        <v>60.04</v>
      </c>
      <c r="V26" s="310" cm="1">
        <f t="array" aca="1" ref="V26" ca="1">INDIRECT("'"&amp;$A26&amp;"'!"&amp; "Y" &amp; $B26)</f>
        <v>60</v>
      </c>
      <c r="W26" s="310" cm="1">
        <f t="array" aca="1" ref="W26" ca="1">INDIRECT("'"&amp;$A26&amp;"'!"&amp; "Z" &amp; $B26)</f>
        <v>60.09</v>
      </c>
      <c r="X26" s="310" cm="1">
        <f t="array" aca="1" ref="X26" ca="1">INDIRECT("'"&amp;$A26&amp;"'!"&amp; "AA" &amp; $B26)</f>
        <v>60.13</v>
      </c>
      <c r="Y26" s="310" cm="1">
        <f t="array" aca="1" ref="Y26" ca="1">INDIRECT("'"&amp;$A26&amp;"'!"&amp; "AB" &amp; $B26)</f>
        <v>60.06</v>
      </c>
      <c r="Z26" s="310" cm="1">
        <f t="array" aca="1" ref="Z26" ca="1">INDIRECT("'"&amp;$A26&amp;"'!"&amp; "AC" &amp; $B26)</f>
        <v>60.07</v>
      </c>
    </row>
    <row r="27" spans="1:26">
      <c r="A27" s="79">
        <v>25</v>
      </c>
      <c r="B27" s="79">
        <v>111</v>
      </c>
      <c r="C27" s="310" cm="1">
        <f t="array" aca="1" ref="C27" ca="1">INDIRECT("'"&amp;$A27&amp;"'!"&amp; "F" &amp; $B27)</f>
        <v>60.03</v>
      </c>
      <c r="D27" s="310" cm="1">
        <f t="array" aca="1" ref="D27" ca="1">INDIRECT("'"&amp;$A27&amp;"'!"&amp; "g" &amp; $B27)</f>
        <v>60.02</v>
      </c>
      <c r="E27" s="310" cm="1">
        <f t="array" aca="1" ref="E27" ca="1">INDIRECT("'"&amp;$A27&amp;"'!"&amp; "H" &amp; $B27)</f>
        <v>60.1</v>
      </c>
      <c r="F27" s="310" cm="1">
        <f t="array" aca="1" ref="F27" ca="1">INDIRECT("'"&amp;$A27&amp;"'!"&amp; "I" &amp; $B27)</f>
        <v>60.16</v>
      </c>
      <c r="G27" s="310" cm="1">
        <f t="array" aca="1" ref="G27" ca="1">INDIRECT("'"&amp;$A27&amp;"'!"&amp; "J" &amp; $B27)</f>
        <v>60.07</v>
      </c>
      <c r="H27" s="310" cm="1">
        <f t="array" aca="1" ref="H27" ca="1">INDIRECT("'"&amp;$A27&amp;"'!"&amp; "K" &amp; $B27)</f>
        <v>60.03</v>
      </c>
      <c r="I27" s="310" cm="1">
        <f t="array" aca="1" ref="I27" ca="1">INDIRECT("'"&amp;$A27&amp;"'!"&amp; "L" &amp; $B27)</f>
        <v>60.07</v>
      </c>
      <c r="J27" s="310" cm="1">
        <f t="array" aca="1" ref="J27" ca="1">INDIRECT("'"&amp;$A27&amp;"'!"&amp; "M" &amp; $B27)</f>
        <v>60.2</v>
      </c>
      <c r="K27" s="310" cm="1">
        <f t="array" aca="1" ref="K27" ca="1">INDIRECT("'"&amp;$A27&amp;"'!"&amp; "N" &amp; $B27)</f>
        <v>60.02</v>
      </c>
      <c r="L27" s="310" cm="1">
        <f t="array" aca="1" ref="L27" ca="1">INDIRECT("'"&amp;$A27&amp;"'!"&amp; "O" &amp; $B27)</f>
        <v>60.16</v>
      </c>
      <c r="M27" s="310" cm="1">
        <f t="array" aca="1" ref="M27" ca="1">INDIRECT("'"&amp;$A27&amp;"'!"&amp; "P" &amp; $B27)</f>
        <v>60.08</v>
      </c>
      <c r="N27" s="310" cm="1">
        <f t="array" aca="1" ref="N27" ca="1">INDIRECT("'"&amp;$A27&amp;"'!"&amp; "Q" &amp; $B27)</f>
        <v>60.1</v>
      </c>
      <c r="O27" s="310" cm="1">
        <f t="array" aca="1" ref="O27" ca="1">INDIRECT("'"&amp;$A27&amp;"'!"&amp; "R" &amp; $B27)</f>
        <v>60.23</v>
      </c>
      <c r="P27" s="310" cm="1">
        <f t="array" aca="1" ref="P27" ca="1">INDIRECT("'"&amp;$A27&amp;"'!"&amp; "S" &amp; $B27)</f>
        <v>60.05</v>
      </c>
      <c r="Q27" s="310" cm="1">
        <f t="array" aca="1" ref="Q27" ca="1">INDIRECT("'"&amp;$A27&amp;"'!"&amp; "T" &amp; $B27)</f>
        <v>60.1</v>
      </c>
      <c r="R27" s="310" cm="1">
        <f t="array" aca="1" ref="R27" ca="1">INDIRECT("'"&amp;$A27&amp;"'!"&amp; "U" &amp; $B27)</f>
        <v>60.05</v>
      </c>
      <c r="S27" s="310" cm="1">
        <f t="array" aca="1" ref="S27" ca="1">INDIRECT("'"&amp;$A27&amp;"'!"&amp; "V" &amp; $B27)</f>
        <v>60.02</v>
      </c>
      <c r="T27" s="310" cm="1">
        <f t="array" aca="1" ref="T27" ca="1">INDIRECT("'"&amp;$A27&amp;"'!"&amp; "W" &amp; $B27)</f>
        <v>60.07</v>
      </c>
      <c r="U27" s="310" cm="1">
        <f t="array" aca="1" ref="U27" ca="1">INDIRECT("'"&amp;$A27&amp;"'!"&amp; "X" &amp; $B27)</f>
        <v>60.09</v>
      </c>
      <c r="V27" s="310" cm="1">
        <f t="array" aca="1" ref="V27" ca="1">INDIRECT("'"&amp;$A27&amp;"'!"&amp; "Y" &amp; $B27)</f>
        <v>60.07</v>
      </c>
      <c r="W27" s="310" cm="1">
        <f t="array" aca="1" ref="W27" ca="1">INDIRECT("'"&amp;$A27&amp;"'!"&amp; "Z" &amp; $B27)</f>
        <v>60.14</v>
      </c>
      <c r="X27" s="310" cm="1">
        <f t="array" aca="1" ref="X27" ca="1">INDIRECT("'"&amp;$A27&amp;"'!"&amp; "AA" &amp; $B27)</f>
        <v>60.09</v>
      </c>
      <c r="Y27" s="310" cm="1">
        <f t="array" aca="1" ref="Y27" ca="1">INDIRECT("'"&amp;$A27&amp;"'!"&amp; "AB" &amp; $B27)</f>
        <v>60.04</v>
      </c>
      <c r="Z27" s="310" cm="1">
        <f t="array" aca="1" ref="Z27" ca="1">INDIRECT("'"&amp;$A27&amp;"'!"&amp; "AC" &amp; $B27)</f>
        <v>60.19</v>
      </c>
    </row>
    <row r="28" spans="1:26">
      <c r="A28" s="79">
        <v>26</v>
      </c>
      <c r="B28" s="79">
        <v>111</v>
      </c>
      <c r="C28" s="310" cm="1">
        <f t="array" aca="1" ref="C28" ca="1">INDIRECT("'"&amp;$A28&amp;"'!"&amp; "F" &amp; $B28)</f>
        <v>60.13</v>
      </c>
      <c r="D28" s="310" cm="1">
        <f t="array" aca="1" ref="D28" ca="1">INDIRECT("'"&amp;$A28&amp;"'!"&amp; "g" &amp; $B28)</f>
        <v>60.14</v>
      </c>
      <c r="E28" s="310" cm="1">
        <f t="array" aca="1" ref="E28" ca="1">INDIRECT("'"&amp;$A28&amp;"'!"&amp; "H" &amp; $B28)</f>
        <v>60.05</v>
      </c>
      <c r="F28" s="310" cm="1">
        <f t="array" aca="1" ref="F28" ca="1">INDIRECT("'"&amp;$A28&amp;"'!"&amp; "I" &amp; $B28)</f>
        <v>60.18</v>
      </c>
      <c r="G28" s="310" cm="1">
        <f t="array" aca="1" ref="G28" ca="1">INDIRECT("'"&amp;$A28&amp;"'!"&amp; "J" &amp; $B28)</f>
        <v>60.12</v>
      </c>
      <c r="H28" s="310" cm="1">
        <f t="array" aca="1" ref="H28" ca="1">INDIRECT("'"&amp;$A28&amp;"'!"&amp; "K" &amp; $B28)</f>
        <v>60.2</v>
      </c>
      <c r="I28" s="310" cm="1">
        <f t="array" aca="1" ref="I28" ca="1">INDIRECT("'"&amp;$A28&amp;"'!"&amp; "L" &amp; $B28)</f>
        <v>60.15</v>
      </c>
      <c r="J28" s="310" cm="1">
        <f t="array" aca="1" ref="J28" ca="1">INDIRECT("'"&amp;$A28&amp;"'!"&amp; "M" &amp; $B28)</f>
        <v>60.08</v>
      </c>
      <c r="K28" s="310" cm="1">
        <f t="array" aca="1" ref="K28" ca="1">INDIRECT("'"&amp;$A28&amp;"'!"&amp; "N" &amp; $B28)</f>
        <v>60.15</v>
      </c>
      <c r="L28" s="310" cm="1">
        <f t="array" aca="1" ref="L28" ca="1">INDIRECT("'"&amp;$A28&amp;"'!"&amp; "O" &amp; $B28)</f>
        <v>60.16</v>
      </c>
      <c r="M28" s="310" cm="1">
        <f t="array" aca="1" ref="M28" ca="1">INDIRECT("'"&amp;$A28&amp;"'!"&amp; "P" &amp; $B28)</f>
        <v>60.08</v>
      </c>
      <c r="N28" s="310" cm="1">
        <f t="array" aca="1" ref="N28" ca="1">INDIRECT("'"&amp;$A28&amp;"'!"&amp; "Q" &amp; $B28)</f>
        <v>60.14</v>
      </c>
      <c r="O28" s="310" cm="1">
        <f t="array" aca="1" ref="O28" ca="1">INDIRECT("'"&amp;$A28&amp;"'!"&amp; "R" &amp; $B28)</f>
        <v>60.12</v>
      </c>
      <c r="P28" s="310" cm="1">
        <f t="array" aca="1" ref="P28" ca="1">INDIRECT("'"&amp;$A28&amp;"'!"&amp; "S" &amp; $B28)</f>
        <v>60.04</v>
      </c>
      <c r="Q28" s="310" cm="1">
        <f t="array" aca="1" ref="Q28" ca="1">INDIRECT("'"&amp;$A28&amp;"'!"&amp; "T" &amp; $B28)</f>
        <v>60.11</v>
      </c>
      <c r="R28" s="310" cm="1">
        <f t="array" aca="1" ref="R28" ca="1">INDIRECT("'"&amp;$A28&amp;"'!"&amp; "U" &amp; $B28)</f>
        <v>60.15</v>
      </c>
      <c r="S28" s="310" cm="1">
        <f t="array" aca="1" ref="S28" ca="1">INDIRECT("'"&amp;$A28&amp;"'!"&amp; "V" &amp; $B28)</f>
        <v>60.11</v>
      </c>
      <c r="T28" s="310" cm="1">
        <f t="array" aca="1" ref="T28" ca="1">INDIRECT("'"&amp;$A28&amp;"'!"&amp; "W" &amp; $B28)</f>
        <v>60.05</v>
      </c>
      <c r="U28" s="310" cm="1">
        <f t="array" aca="1" ref="U28" ca="1">INDIRECT("'"&amp;$A28&amp;"'!"&amp; "X" &amp; $B28)</f>
        <v>59.96</v>
      </c>
      <c r="V28" s="310" cm="1">
        <f t="array" aca="1" ref="V28" ca="1">INDIRECT("'"&amp;$A28&amp;"'!"&amp; "Y" &amp; $B28)</f>
        <v>60.02</v>
      </c>
      <c r="W28" s="310" cm="1">
        <f t="array" aca="1" ref="W28" ca="1">INDIRECT("'"&amp;$A28&amp;"'!"&amp; "Z" &amp; $B28)</f>
        <v>60.07</v>
      </c>
      <c r="X28" s="310" cm="1">
        <f t="array" aca="1" ref="X28" ca="1">INDIRECT("'"&amp;$A28&amp;"'!"&amp; "AA" &amp; $B28)</f>
        <v>60.05</v>
      </c>
      <c r="Y28" s="310" cm="1">
        <f t="array" aca="1" ref="Y28" ca="1">INDIRECT("'"&amp;$A28&amp;"'!"&amp; "AB" &amp; $B28)</f>
        <v>60</v>
      </c>
      <c r="Z28" s="310" cm="1">
        <f t="array" aca="1" ref="Z28" ca="1">INDIRECT("'"&amp;$A28&amp;"'!"&amp; "AC" &amp; $B28)</f>
        <v>60.2</v>
      </c>
    </row>
    <row r="29" spans="1:26">
      <c r="A29" s="79">
        <v>27</v>
      </c>
      <c r="B29" s="79">
        <v>111</v>
      </c>
      <c r="C29" s="310" cm="1">
        <f t="array" aca="1" ref="C29" ca="1">INDIRECT("'"&amp;$A29&amp;"'!"&amp; "F" &amp; $B29)</f>
        <v>60.23</v>
      </c>
      <c r="D29" s="310" cm="1">
        <f t="array" aca="1" ref="D29" ca="1">INDIRECT("'"&amp;$A29&amp;"'!"&amp; "g" &amp; $B29)</f>
        <v>60.12</v>
      </c>
      <c r="E29" s="310" cm="1">
        <f t="array" aca="1" ref="E29" ca="1">INDIRECT("'"&amp;$A29&amp;"'!"&amp; "H" &amp; $B29)</f>
        <v>60.11</v>
      </c>
      <c r="F29" s="310" cm="1">
        <f t="array" aca="1" ref="F29" ca="1">INDIRECT("'"&amp;$A29&amp;"'!"&amp; "I" &amp; $B29)</f>
        <v>60.09</v>
      </c>
      <c r="G29" s="310" cm="1">
        <f t="array" aca="1" ref="G29" ca="1">INDIRECT("'"&amp;$A29&amp;"'!"&amp; "J" &amp; $B29)</f>
        <v>60.14</v>
      </c>
      <c r="H29" s="310" cm="1">
        <f t="array" aca="1" ref="H29" ca="1">INDIRECT("'"&amp;$A29&amp;"'!"&amp; "K" &amp; $B29)</f>
        <v>60.1</v>
      </c>
      <c r="I29" s="310" cm="1">
        <f t="array" aca="1" ref="I29" ca="1">INDIRECT("'"&amp;$A29&amp;"'!"&amp; "L" &amp; $B29)</f>
        <v>60.1</v>
      </c>
      <c r="J29" s="310" cm="1">
        <f t="array" aca="1" ref="J29" ca="1">INDIRECT("'"&amp;$A29&amp;"'!"&amp; "M" &amp; $B29)</f>
        <v>60.11</v>
      </c>
      <c r="K29" s="310" cm="1">
        <f t="array" aca="1" ref="K29" ca="1">INDIRECT("'"&amp;$A29&amp;"'!"&amp; "N" &amp; $B29)</f>
        <v>60.02</v>
      </c>
      <c r="L29" s="310" cm="1">
        <f t="array" aca="1" ref="L29" ca="1">INDIRECT("'"&amp;$A29&amp;"'!"&amp; "O" &amp; $B29)</f>
        <v>60.05</v>
      </c>
      <c r="M29" s="310" cm="1">
        <f t="array" aca="1" ref="M29" ca="1">INDIRECT("'"&amp;$A29&amp;"'!"&amp; "P" &amp; $B29)</f>
        <v>60.1</v>
      </c>
      <c r="N29" s="310" cm="1">
        <f t="array" aca="1" ref="N29" ca="1">INDIRECT("'"&amp;$A29&amp;"'!"&amp; "Q" &amp; $B29)</f>
        <v>60.09</v>
      </c>
      <c r="O29" s="310" cm="1">
        <f t="array" aca="1" ref="O29" ca="1">INDIRECT("'"&amp;$A29&amp;"'!"&amp; "R" &amp; $B29)</f>
        <v>60.14</v>
      </c>
      <c r="P29" s="310" cm="1">
        <f t="array" aca="1" ref="P29" ca="1">INDIRECT("'"&amp;$A29&amp;"'!"&amp; "S" &amp; $B29)</f>
        <v>60.23</v>
      </c>
      <c r="Q29" s="310" cm="1">
        <f t="array" aca="1" ref="Q29" ca="1">INDIRECT("'"&amp;$A29&amp;"'!"&amp; "T" &amp; $B29)</f>
        <v>60.12</v>
      </c>
      <c r="R29" s="310" cm="1">
        <f t="array" aca="1" ref="R29" ca="1">INDIRECT("'"&amp;$A29&amp;"'!"&amp; "U" &amp; $B29)</f>
        <v>60.01</v>
      </c>
      <c r="S29" s="310" cm="1">
        <f t="array" aca="1" ref="S29" ca="1">INDIRECT("'"&amp;$A29&amp;"'!"&amp; "V" &amp; $B29)</f>
        <v>60.04</v>
      </c>
      <c r="T29" s="310" cm="1">
        <f t="array" aca="1" ref="T29" ca="1">INDIRECT("'"&amp;$A29&amp;"'!"&amp; "W" &amp; $B29)</f>
        <v>60.07</v>
      </c>
      <c r="U29" s="310" cm="1">
        <f t="array" aca="1" ref="U29" ca="1">INDIRECT("'"&amp;$A29&amp;"'!"&amp; "X" &amp; $B29)</f>
        <v>60.05</v>
      </c>
      <c r="V29" s="310" cm="1">
        <f t="array" aca="1" ref="V29" ca="1">INDIRECT("'"&amp;$A29&amp;"'!"&amp; "Y" &amp; $B29)</f>
        <v>60.02</v>
      </c>
      <c r="W29" s="310" cm="1">
        <f t="array" aca="1" ref="W29" ca="1">INDIRECT("'"&amp;$A29&amp;"'!"&amp; "Z" &amp; $B29)</f>
        <v>60.04</v>
      </c>
      <c r="X29" s="310" cm="1">
        <f t="array" aca="1" ref="X29" ca="1">INDIRECT("'"&amp;$A29&amp;"'!"&amp; "AA" &amp; $B29)</f>
        <v>60.06</v>
      </c>
      <c r="Y29" s="310" cm="1">
        <f t="array" aca="1" ref="Y29" ca="1">INDIRECT("'"&amp;$A29&amp;"'!"&amp; "AB" &amp; $B29)</f>
        <v>60.07</v>
      </c>
      <c r="Z29" s="310" cm="1">
        <f t="array" aca="1" ref="Z29" ca="1">INDIRECT("'"&amp;$A29&amp;"'!"&amp; "AC" &amp; $B29)</f>
        <v>60.18</v>
      </c>
    </row>
    <row r="30" spans="1:26">
      <c r="A30" s="79">
        <v>28</v>
      </c>
      <c r="B30" s="79">
        <v>111</v>
      </c>
      <c r="C30" s="310" cm="1">
        <f t="array" aca="1" ref="C30" ca="1">INDIRECT("'"&amp;$A30&amp;"'!"&amp; "F" &amp; $B30)</f>
        <v>60.12</v>
      </c>
      <c r="D30" s="310" cm="1">
        <f t="array" aca="1" ref="D30" ca="1">INDIRECT("'"&amp;$A30&amp;"'!"&amp; "g" &amp; $B30)</f>
        <v>60.12</v>
      </c>
      <c r="E30" s="310" cm="1">
        <f t="array" aca="1" ref="E30" ca="1">INDIRECT("'"&amp;$A30&amp;"'!"&amp; "H" &amp; $B30)</f>
        <v>60.01</v>
      </c>
      <c r="F30" s="310" cm="1">
        <f t="array" aca="1" ref="F30" ca="1">INDIRECT("'"&amp;$A30&amp;"'!"&amp; "I" &amp; $B30)</f>
        <v>60.2</v>
      </c>
      <c r="G30" s="310" cm="1">
        <f t="array" aca="1" ref="G30" ca="1">INDIRECT("'"&amp;$A30&amp;"'!"&amp; "J" &amp; $B30)</f>
        <v>60.08</v>
      </c>
      <c r="H30" s="310" cm="1">
        <f t="array" aca="1" ref="H30" ca="1">INDIRECT("'"&amp;$A30&amp;"'!"&amp; "K" &amp; $B30)</f>
        <v>60.17</v>
      </c>
      <c r="I30" s="310" cm="1">
        <f t="array" aca="1" ref="I30" ca="1">INDIRECT("'"&amp;$A30&amp;"'!"&amp; "L" &amp; $B30)</f>
        <v>60.12</v>
      </c>
      <c r="J30" s="310" cm="1">
        <f t="array" aca="1" ref="J30" ca="1">INDIRECT("'"&amp;$A30&amp;"'!"&amp; "M" &amp; $B30)</f>
        <v>60.23</v>
      </c>
      <c r="K30" s="310" cm="1">
        <f t="array" aca="1" ref="K30" ca="1">INDIRECT("'"&amp;$A30&amp;"'!"&amp; "N" &amp; $B30)</f>
        <v>60.03</v>
      </c>
      <c r="L30" s="310" cm="1">
        <f t="array" aca="1" ref="L30" ca="1">INDIRECT("'"&amp;$A30&amp;"'!"&amp; "O" &amp; $B30)</f>
        <v>60.04</v>
      </c>
      <c r="M30" s="310" cm="1">
        <f t="array" aca="1" ref="M30" ca="1">INDIRECT("'"&amp;$A30&amp;"'!"&amp; "P" &amp; $B30)</f>
        <v>60.06</v>
      </c>
      <c r="N30" s="310" cm="1">
        <f t="array" aca="1" ref="N30" ca="1">INDIRECT("'"&amp;$A30&amp;"'!"&amp; "Q" &amp; $B30)</f>
        <v>60.11</v>
      </c>
      <c r="O30" s="310" cm="1">
        <f t="array" aca="1" ref="O30" ca="1">INDIRECT("'"&amp;$A30&amp;"'!"&amp; "R" &amp; $B30)</f>
        <v>60.12</v>
      </c>
      <c r="P30" s="310" cm="1">
        <f t="array" aca="1" ref="P30" ca="1">INDIRECT("'"&amp;$A30&amp;"'!"&amp; "S" &amp; $B30)</f>
        <v>60.09</v>
      </c>
      <c r="Q30" s="310" cm="1">
        <f t="array" aca="1" ref="Q30" ca="1">INDIRECT("'"&amp;$A30&amp;"'!"&amp; "T" &amp; $B30)</f>
        <v>60.08</v>
      </c>
      <c r="R30" s="310" cm="1">
        <f t="array" aca="1" ref="R30" ca="1">INDIRECT("'"&amp;$A30&amp;"'!"&amp; "U" &amp; $B30)</f>
        <v>60.06</v>
      </c>
      <c r="S30" s="310" cm="1">
        <f t="array" aca="1" ref="S30" ca="1">INDIRECT("'"&amp;$A30&amp;"'!"&amp; "V" &amp; $B30)</f>
        <v>60.14</v>
      </c>
      <c r="T30" s="310" cm="1">
        <f t="array" aca="1" ref="T30" ca="1">INDIRECT("'"&amp;$A30&amp;"'!"&amp; "W" &amp; $B30)</f>
        <v>60.1</v>
      </c>
      <c r="U30" s="310" cm="1">
        <f t="array" aca="1" ref="U30" ca="1">INDIRECT("'"&amp;$A30&amp;"'!"&amp; "X" &amp; $B30)</f>
        <v>60.05</v>
      </c>
      <c r="V30" s="310" cm="1">
        <f t="array" aca="1" ref="V30" ca="1">INDIRECT("'"&amp;$A30&amp;"'!"&amp; "Y" &amp; $B30)</f>
        <v>60.09</v>
      </c>
      <c r="W30" s="310" cm="1">
        <f t="array" aca="1" ref="W30" ca="1">INDIRECT("'"&amp;$A30&amp;"'!"&amp; "Z" &amp; $B30)</f>
        <v>60.07</v>
      </c>
      <c r="X30" s="310" cm="1">
        <f t="array" aca="1" ref="X30" ca="1">INDIRECT("'"&amp;$A30&amp;"'!"&amp; "AA" &amp; $B30)</f>
        <v>60.09</v>
      </c>
      <c r="Y30" s="310" cm="1">
        <f t="array" aca="1" ref="Y30" ca="1">INDIRECT("'"&amp;$A30&amp;"'!"&amp; "AB" &amp; $B30)</f>
        <v>60.14</v>
      </c>
      <c r="Z30" s="310" cm="1">
        <f t="array" aca="1" ref="Z30" ca="1">INDIRECT("'"&amp;$A30&amp;"'!"&amp; "AC" &amp; $B30)</f>
        <v>60.15</v>
      </c>
    </row>
    <row r="31" spans="1:26">
      <c r="A31" s="79">
        <v>29</v>
      </c>
      <c r="B31" s="79">
        <v>111</v>
      </c>
      <c r="C31" s="310" cm="1">
        <f t="array" aca="1" ref="C31" ca="1">INDIRECT("'"&amp;$A31&amp;"'!"&amp; "F" &amp; $B31)</f>
        <v>60.07</v>
      </c>
      <c r="D31" s="310" cm="1">
        <f t="array" aca="1" ref="D31" ca="1">INDIRECT("'"&amp;$A31&amp;"'!"&amp; "g" &amp; $B31)</f>
        <v>60.16</v>
      </c>
      <c r="E31" s="310" cm="1">
        <f t="array" aca="1" ref="E31" ca="1">INDIRECT("'"&amp;$A31&amp;"'!"&amp; "H" &amp; $B31)</f>
        <v>60.09</v>
      </c>
      <c r="F31" s="310" cm="1">
        <f t="array" aca="1" ref="F31" ca="1">INDIRECT("'"&amp;$A31&amp;"'!"&amp; "I" &amp; $B31)</f>
        <v>60.15</v>
      </c>
      <c r="G31" s="310" cm="1">
        <f t="array" aca="1" ref="G31" ca="1">INDIRECT("'"&amp;$A31&amp;"'!"&amp; "J" &amp; $B31)</f>
        <v>60.06</v>
      </c>
      <c r="H31" s="310" cm="1">
        <f t="array" aca="1" ref="H31" ca="1">INDIRECT("'"&amp;$A31&amp;"'!"&amp; "K" &amp; $B31)</f>
        <v>60.19</v>
      </c>
      <c r="I31" s="310" cm="1">
        <f t="array" aca="1" ref="I31" ca="1">INDIRECT("'"&amp;$A31&amp;"'!"&amp; "L" &amp; $B31)</f>
        <v>60.16</v>
      </c>
      <c r="J31" s="310" cm="1">
        <f t="array" aca="1" ref="J31" ca="1">INDIRECT("'"&amp;$A31&amp;"'!"&amp; "M" &amp; $B31)</f>
        <v>60.1</v>
      </c>
      <c r="K31" s="310" cm="1">
        <f t="array" aca="1" ref="K31" ca="1">INDIRECT("'"&amp;$A31&amp;"'!"&amp; "N" &amp; $B31)</f>
        <v>60.13</v>
      </c>
      <c r="L31" s="310" cm="1">
        <f t="array" aca="1" ref="L31" ca="1">INDIRECT("'"&amp;$A31&amp;"'!"&amp; "O" &amp; $B31)</f>
        <v>60.02</v>
      </c>
      <c r="M31" s="310" cm="1">
        <f t="array" aca="1" ref="M31" ca="1">INDIRECT("'"&amp;$A31&amp;"'!"&amp; "P" &amp; $B31)</f>
        <v>60.15</v>
      </c>
      <c r="N31" s="310" cm="1">
        <f t="array" aca="1" ref="N31" ca="1">INDIRECT("'"&amp;$A31&amp;"'!"&amp; "Q" &amp; $B31)</f>
        <v>60.05</v>
      </c>
      <c r="O31" s="310" cm="1">
        <f t="array" aca="1" ref="O31" ca="1">INDIRECT("'"&amp;$A31&amp;"'!"&amp; "R" &amp; $B31)</f>
        <v>60.09</v>
      </c>
      <c r="P31" s="310" cm="1">
        <f t="array" aca="1" ref="P31" ca="1">INDIRECT("'"&amp;$A31&amp;"'!"&amp; "S" &amp; $B31)</f>
        <v>60.05</v>
      </c>
      <c r="Q31" s="310" cm="1">
        <f t="array" aca="1" ref="Q31" ca="1">INDIRECT("'"&amp;$A31&amp;"'!"&amp; "T" &amp; $B31)</f>
        <v>60.1</v>
      </c>
      <c r="R31" s="310" cm="1">
        <f t="array" aca="1" ref="R31" ca="1">INDIRECT("'"&amp;$A31&amp;"'!"&amp; "U" &amp; $B31)</f>
        <v>60.11</v>
      </c>
      <c r="S31" s="310" cm="1">
        <f t="array" aca="1" ref="S31" ca="1">INDIRECT("'"&amp;$A31&amp;"'!"&amp; "V" &amp; $B31)</f>
        <v>60.1</v>
      </c>
      <c r="T31" s="310" cm="1">
        <f t="array" aca="1" ref="T31" ca="1">INDIRECT("'"&amp;$A31&amp;"'!"&amp; "W" &amp; $B31)</f>
        <v>60.12</v>
      </c>
      <c r="U31" s="310" cm="1">
        <f t="array" aca="1" ref="U31" ca="1">INDIRECT("'"&amp;$A31&amp;"'!"&amp; "X" &amp; $B31)</f>
        <v>60.08</v>
      </c>
      <c r="V31" s="310" cm="1">
        <f t="array" aca="1" ref="V31" ca="1">INDIRECT("'"&amp;$A31&amp;"'!"&amp; "Y" &amp; $B31)</f>
        <v>60.03</v>
      </c>
      <c r="W31" s="310" cm="1">
        <f t="array" aca="1" ref="W31" ca="1">INDIRECT("'"&amp;$A31&amp;"'!"&amp; "Z" &amp; $B31)</f>
        <v>60.07</v>
      </c>
      <c r="X31" s="310" cm="1">
        <f t="array" aca="1" ref="X31" ca="1">INDIRECT("'"&amp;$A31&amp;"'!"&amp; "AA" &amp; $B31)</f>
        <v>60.01</v>
      </c>
      <c r="Y31" s="310" cm="1">
        <f t="array" aca="1" ref="Y31" ca="1">INDIRECT("'"&amp;$A31&amp;"'!"&amp; "AB" &amp; $B31)</f>
        <v>60.08</v>
      </c>
      <c r="Z31" s="310" cm="1">
        <f t="array" aca="1" ref="Z31" ca="1">INDIRECT("'"&amp;$A31&amp;"'!"&amp; "AC" &amp; $B31)</f>
        <v>60.19</v>
      </c>
    </row>
    <row r="32" spans="1:26">
      <c r="A32" s="79">
        <v>30</v>
      </c>
      <c r="B32" s="79">
        <v>111</v>
      </c>
      <c r="C32" s="310" cm="1">
        <f t="array" aca="1" ref="C32" ca="1">INDIRECT("'"&amp;$A32&amp;"'!"&amp; "F" &amp; $B32)</f>
        <v>60.2</v>
      </c>
      <c r="D32" s="310" cm="1">
        <f t="array" aca="1" ref="D32" ca="1">INDIRECT("'"&amp;$A32&amp;"'!"&amp; "g" &amp; $B32)</f>
        <v>60.22</v>
      </c>
      <c r="E32" s="310" cm="1">
        <f t="array" aca="1" ref="E32" ca="1">INDIRECT("'"&amp;$A32&amp;"'!"&amp; "H" &amp; $B32)</f>
        <v>60.09</v>
      </c>
      <c r="F32" s="310" cm="1">
        <f t="array" aca="1" ref="F32" ca="1">INDIRECT("'"&amp;$A32&amp;"'!"&amp; "I" &amp; $B32)</f>
        <v>60.17</v>
      </c>
      <c r="G32" s="310" cm="1">
        <f t="array" aca="1" ref="G32" ca="1">INDIRECT("'"&amp;$A32&amp;"'!"&amp; "J" &amp; $B32)</f>
        <v>60.13</v>
      </c>
      <c r="H32" s="310" cm="1">
        <f t="array" aca="1" ref="H32" ca="1">INDIRECT("'"&amp;$A32&amp;"'!"&amp; "K" &amp; $B32)</f>
        <v>60.05</v>
      </c>
      <c r="I32" s="310" cm="1">
        <f t="array" aca="1" ref="I32" ca="1">INDIRECT("'"&amp;$A32&amp;"'!"&amp; "L" &amp; $B32)</f>
        <v>60.06</v>
      </c>
      <c r="J32" s="310" cm="1">
        <f t="array" aca="1" ref="J32" ca="1">INDIRECT("'"&amp;$A32&amp;"'!"&amp; "M" &amp; $B32)</f>
        <v>60.15</v>
      </c>
      <c r="K32" s="310" cm="1">
        <f t="array" aca="1" ref="K32" ca="1">INDIRECT("'"&amp;$A32&amp;"'!"&amp; "N" &amp; $B32)</f>
        <v>60.09</v>
      </c>
      <c r="L32" s="310" cm="1">
        <f t="array" aca="1" ref="L32" ca="1">INDIRECT("'"&amp;$A32&amp;"'!"&amp; "O" &amp; $B32)</f>
        <v>60.04</v>
      </c>
      <c r="M32" s="310" cm="1">
        <f t="array" aca="1" ref="M32" ca="1">INDIRECT("'"&amp;$A32&amp;"'!"&amp; "P" &amp; $B32)</f>
        <v>60.13</v>
      </c>
      <c r="N32" s="310" cm="1">
        <f t="array" aca="1" ref="N32" ca="1">INDIRECT("'"&amp;$A32&amp;"'!"&amp; "Q" &amp; $B32)</f>
        <v>60.11</v>
      </c>
      <c r="O32" s="310" cm="1">
        <f t="array" aca="1" ref="O32" ca="1">INDIRECT("'"&amp;$A32&amp;"'!"&amp; "R" &amp; $B32)</f>
        <v>60.12</v>
      </c>
      <c r="P32" s="310" cm="1">
        <f t="array" aca="1" ref="P32" ca="1">INDIRECT("'"&amp;$A32&amp;"'!"&amp; "S" &amp; $B32)</f>
        <v>60.1</v>
      </c>
      <c r="Q32" s="310" cm="1">
        <f t="array" aca="1" ref="Q32" ca="1">INDIRECT("'"&amp;$A32&amp;"'!"&amp; "T" &amp; $B32)</f>
        <v>60.12</v>
      </c>
      <c r="R32" s="310" cm="1">
        <f t="array" aca="1" ref="R32" ca="1">INDIRECT("'"&amp;$A32&amp;"'!"&amp; "U" &amp; $B32)</f>
        <v>60.05</v>
      </c>
      <c r="S32" s="310" cm="1">
        <f t="array" aca="1" ref="S32" ca="1">INDIRECT("'"&amp;$A32&amp;"'!"&amp; "V" &amp; $B32)</f>
        <v>60.26</v>
      </c>
      <c r="T32" s="310" cm="1">
        <f t="array" aca="1" ref="T32" ca="1">INDIRECT("'"&amp;$A32&amp;"'!"&amp; "W" &amp; $B32)</f>
        <v>60.05</v>
      </c>
      <c r="U32" s="310" cm="1">
        <f t="array" aca="1" ref="U32" ca="1">INDIRECT("'"&amp;$A32&amp;"'!"&amp; "X" &amp; $B32)</f>
        <v>60.08</v>
      </c>
      <c r="V32" s="310" cm="1">
        <f t="array" aca="1" ref="V32" ca="1">INDIRECT("'"&amp;$A32&amp;"'!"&amp; "Y" &amp; $B32)</f>
        <v>60.06</v>
      </c>
      <c r="W32" s="310" cm="1">
        <f t="array" aca="1" ref="W32" ca="1">INDIRECT("'"&amp;$A32&amp;"'!"&amp; "Z" &amp; $B32)</f>
        <v>60.05</v>
      </c>
      <c r="X32" s="310" cm="1">
        <f t="array" aca="1" ref="X32" ca="1">INDIRECT("'"&amp;$A32&amp;"'!"&amp; "AA" &amp; $B32)</f>
        <v>60.11</v>
      </c>
      <c r="Y32" s="310" cm="1">
        <f t="array" aca="1" ref="Y32" ca="1">INDIRECT("'"&amp;$A32&amp;"'!"&amp; "AB" &amp; $B32)</f>
        <v>60.09</v>
      </c>
      <c r="Z32" s="310" cm="1">
        <f t="array" aca="1" ref="Z32" ca="1">INDIRECT("'"&amp;$A32&amp;"'!"&amp; "AC" &amp; $B32)</f>
        <v>60.09</v>
      </c>
    </row>
    <row r="33" spans="1:26">
      <c r="A33" s="79">
        <v>31</v>
      </c>
      <c r="B33" s="79">
        <v>111</v>
      </c>
      <c r="C33" s="310" cm="1">
        <f t="array" aca="1" ref="C33" ca="1">INDIRECT("'"&amp;$A33&amp;"'!"&amp; "F" &amp; $B33)</f>
        <v>60.31</v>
      </c>
      <c r="D33" s="310" cm="1">
        <f t="array" aca="1" ref="D33" ca="1">INDIRECT("'"&amp;$A33&amp;"'!"&amp; "g" &amp; $B33)</f>
        <v>60.03</v>
      </c>
      <c r="E33" s="310" cm="1">
        <f t="array" aca="1" ref="E33" ca="1">INDIRECT("'"&amp;$A33&amp;"'!"&amp; "H" &amp; $B33)</f>
        <v>60.06</v>
      </c>
      <c r="F33" s="310" cm="1">
        <f t="array" aca="1" ref="F33" ca="1">INDIRECT("'"&amp;$A33&amp;"'!"&amp; "I" &amp; $B33)</f>
        <v>60.11</v>
      </c>
      <c r="G33" s="310" cm="1">
        <f t="array" aca="1" ref="G33" ca="1">INDIRECT("'"&amp;$A33&amp;"'!"&amp; "J" &amp; $B33)</f>
        <v>60.09</v>
      </c>
      <c r="H33" s="310" cm="1">
        <f t="array" aca="1" ref="H33" ca="1">INDIRECT("'"&amp;$A33&amp;"'!"&amp; "K" &amp; $B33)</f>
        <v>60.09</v>
      </c>
      <c r="I33" s="310" cm="1">
        <f t="array" aca="1" ref="I33" ca="1">INDIRECT("'"&amp;$A33&amp;"'!"&amp; "L" &amp; $B33)</f>
        <v>60.14</v>
      </c>
      <c r="J33" s="310" cm="1">
        <f t="array" aca="1" ref="J33" ca="1">INDIRECT("'"&amp;$A33&amp;"'!"&amp; "M" &amp; $B33)</f>
        <v>60.04</v>
      </c>
      <c r="K33" s="310" cm="1">
        <f t="array" aca="1" ref="K33" ca="1">INDIRECT("'"&amp;$A33&amp;"'!"&amp; "N" &amp; $B33)</f>
        <v>60.09</v>
      </c>
      <c r="L33" s="310" cm="1">
        <f t="array" aca="1" ref="L33" ca="1">INDIRECT("'"&amp;$A33&amp;"'!"&amp; "O" &amp; $B33)</f>
        <v>60.01</v>
      </c>
      <c r="M33" s="310" cm="1">
        <f t="array" aca="1" ref="M33" ca="1">INDIRECT("'"&amp;$A33&amp;"'!"&amp; "P" &amp; $B33)</f>
        <v>60.15</v>
      </c>
      <c r="N33" s="310" cm="1">
        <f t="array" aca="1" ref="N33" ca="1">INDIRECT("'"&amp;$A33&amp;"'!"&amp; "Q" &amp; $B33)</f>
        <v>60.07</v>
      </c>
      <c r="O33" s="310" cm="1">
        <f t="array" aca="1" ref="O33" ca="1">INDIRECT("'"&amp;$A33&amp;"'!"&amp; "R" &amp; $B33)</f>
        <v>60.08</v>
      </c>
      <c r="P33" s="310" cm="1">
        <f t="array" aca="1" ref="P33" ca="1">INDIRECT("'"&amp;$A33&amp;"'!"&amp; "S" &amp; $B33)</f>
        <v>60.01</v>
      </c>
      <c r="Q33" s="310" cm="1">
        <f t="array" aca="1" ref="Q33" ca="1">INDIRECT("'"&amp;$A33&amp;"'!"&amp; "T" &amp; $B33)</f>
        <v>60.09</v>
      </c>
      <c r="R33" s="310" cm="1">
        <f t="array" aca="1" ref="R33" ca="1">INDIRECT("'"&amp;$A33&amp;"'!"&amp; "U" &amp; $B33)</f>
        <v>60.08</v>
      </c>
      <c r="S33" s="310" cm="1">
        <f t="array" aca="1" ref="S33" ca="1">INDIRECT("'"&amp;$A33&amp;"'!"&amp; "V" &amp; $B33)</f>
        <v>60.05</v>
      </c>
      <c r="T33" s="310" cm="1">
        <f t="array" aca="1" ref="T33" ca="1">INDIRECT("'"&amp;$A33&amp;"'!"&amp; "W" &amp; $B33)</f>
        <v>60.07</v>
      </c>
      <c r="U33" s="310" cm="1">
        <f t="array" aca="1" ref="U33" ca="1">INDIRECT("'"&amp;$A33&amp;"'!"&amp; "X" &amp; $B33)</f>
        <v>60.11</v>
      </c>
      <c r="V33" s="310" cm="1">
        <f t="array" aca="1" ref="V33" ca="1">INDIRECT("'"&amp;$A33&amp;"'!"&amp; "Y" &amp; $B33)</f>
        <v>60.06</v>
      </c>
      <c r="W33" s="310" cm="1">
        <f t="array" aca="1" ref="W33" ca="1">INDIRECT("'"&amp;$A33&amp;"'!"&amp; "Z" &amp; $B33)</f>
        <v>60.12</v>
      </c>
      <c r="X33" s="310" cm="1">
        <f t="array" aca="1" ref="X33" ca="1">INDIRECT("'"&amp;$A33&amp;"'!"&amp; "AA" &amp; $B33)</f>
        <v>60.04</v>
      </c>
      <c r="Y33" s="310" cm="1">
        <f t="array" aca="1" ref="Y33" ca="1">INDIRECT("'"&amp;$A33&amp;"'!"&amp; "AB" &amp; $B33)</f>
        <v>60.16</v>
      </c>
      <c r="Z33" s="310" cm="1">
        <f t="array" aca="1" ref="Z33" ca="1">INDIRECT("'"&amp;$A33&amp;"'!"&amp; "AC" &amp; $B33)</f>
        <v>60.09</v>
      </c>
    </row>
    <row r="35" spans="1:26">
      <c r="A35" s="79">
        <v>1</v>
      </c>
      <c r="B35" s="79">
        <v>108</v>
      </c>
      <c r="C35" s="310" cm="1">
        <f t="array" aca="1" ref="C35" ca="1">INDIRECT("'"&amp;$A35&amp;"'!"&amp; "F" &amp; $B35)</f>
        <v>38.059999999999995</v>
      </c>
      <c r="D35" s="310" cm="1">
        <f t="array" aca="1" ref="D35" ca="1">INDIRECT("'"&amp;$A35&amp;"'!"&amp; "g" &amp; $B35)</f>
        <v>35.47</v>
      </c>
      <c r="E35" s="310" cm="1">
        <f t="array" aca="1" ref="E35" ca="1">INDIRECT("'"&amp;$A35&amp;"'!"&amp; "H" &amp; $B35)</f>
        <v>34.21</v>
      </c>
      <c r="F35" s="310" cm="1">
        <f t="array" aca="1" ref="F35" ca="1">INDIRECT("'"&amp;$A35&amp;"'!"&amp; "I" &amp; $B35)</f>
        <v>33.699999999999996</v>
      </c>
      <c r="G35" s="310" cm="1">
        <f t="array" aca="1" ref="G35" ca="1">INDIRECT("'"&amp;$A35&amp;"'!"&amp; "J" &amp; $B35)</f>
        <v>32.94</v>
      </c>
      <c r="H35" s="310" cm="1">
        <f t="array" aca="1" ref="H35" ca="1">INDIRECT("'"&amp;$A35&amp;"'!"&amp; "K" &amp; $B35)</f>
        <v>35.550000000000004</v>
      </c>
      <c r="I35" s="310" cm="1">
        <f t="array" aca="1" ref="I35" ca="1">INDIRECT("'"&amp;$A35&amp;"'!"&amp; "L" &amp; $B35)</f>
        <v>40.39</v>
      </c>
      <c r="J35" s="310" cm="1">
        <f t="array" aca="1" ref="J35" ca="1">INDIRECT("'"&amp;$A35&amp;"'!"&amp; "M" &amp; $B35)</f>
        <v>37.669999999999995</v>
      </c>
      <c r="K35" s="310" cm="1">
        <f t="array" aca="1" ref="K35" ca="1">INDIRECT("'"&amp;$A35&amp;"'!"&amp; "N" &amp; $B35)</f>
        <v>43.8</v>
      </c>
      <c r="L35" s="310" cm="1">
        <f t="array" aca="1" ref="L35" ca="1">INDIRECT("'"&amp;$A35&amp;"'!"&amp; "O" &amp; $B35)</f>
        <v>50.759999999999991</v>
      </c>
      <c r="M35" s="310" cm="1">
        <f t="array" aca="1" ref="M35" ca="1">INDIRECT("'"&amp;$A35&amp;"'!"&amp; "P" &amp; $B35)</f>
        <v>54.870000000000005</v>
      </c>
      <c r="N35" s="310" cm="1">
        <f t="array" aca="1" ref="N35" ca="1">INDIRECT("'"&amp;$A35&amp;"'!"&amp; "Q" &amp; $B35)</f>
        <v>58.129999999999995</v>
      </c>
      <c r="O35" s="310" cm="1">
        <f t="array" aca="1" ref="O35" ca="1">INDIRECT("'"&amp;$A35&amp;"'!"&amp; "R" &amp; $B35)</f>
        <v>56.86</v>
      </c>
      <c r="P35" s="310" cm="1">
        <f t="array" aca="1" ref="P35" ca="1">INDIRECT("'"&amp;$A35&amp;"'!"&amp; "S" &amp; $B35)</f>
        <v>58.14</v>
      </c>
      <c r="Q35" s="310" cm="1">
        <f t="array" aca="1" ref="Q35" ca="1">INDIRECT("'"&amp;$A35&amp;"'!"&amp; "T" &amp; $B35)</f>
        <v>61.03</v>
      </c>
      <c r="R35" s="310" cm="1">
        <f t="array" aca="1" ref="R35" ca="1">INDIRECT("'"&amp;$A35&amp;"'!"&amp; "U" &amp; $B35)</f>
        <v>60.32</v>
      </c>
      <c r="S35" s="310" cm="1">
        <f t="array" aca="1" ref="S35" ca="1">INDIRECT("'"&amp;$A35&amp;"'!"&amp; "V" &amp; $B35)</f>
        <v>57.52</v>
      </c>
      <c r="T35" s="310" cm="1">
        <f t="array" aca="1" ref="T35" ca="1">INDIRECT("'"&amp;$A35&amp;"'!"&amp; "W" &amp; $B35)</f>
        <v>52.82</v>
      </c>
      <c r="U35" s="310" cm="1">
        <f t="array" aca="1" ref="U35" ca="1">INDIRECT("'"&amp;$A35&amp;"'!"&amp; "X" &amp; $B35)</f>
        <v>51.599999999999994</v>
      </c>
      <c r="V35" s="310" cm="1">
        <f t="array" aca="1" ref="V35" ca="1">INDIRECT("'"&amp;$A35&amp;"'!"&amp; "Y" &amp; $B35)</f>
        <v>57.429999999999986</v>
      </c>
      <c r="W35" s="310" cm="1">
        <f t="array" aca="1" ref="W35" ca="1">INDIRECT("'"&amp;$A35&amp;"'!"&amp; "Z" &amp; $B35)</f>
        <v>54.35</v>
      </c>
      <c r="X35" s="310" cm="1">
        <f t="array" aca="1" ref="X35" ca="1">INDIRECT("'"&amp;$A35&amp;"'!"&amp; "AA" &amp; $B35)</f>
        <v>51.19</v>
      </c>
      <c r="Y35" s="310" cm="1">
        <f t="array" aca="1" ref="Y35" ca="1">INDIRECT("'"&amp;$A35&amp;"'!"&amp; "AB" &amp; $B35)</f>
        <v>46.400000000000006</v>
      </c>
      <c r="Z35" s="310" cm="1">
        <f t="array" aca="1" ref="Z35" ca="1">INDIRECT("'"&amp;$A35&amp;"'!"&amp; "AC" &amp; $B35)</f>
        <v>43.28</v>
      </c>
    </row>
    <row r="36" spans="1:26">
      <c r="A36" s="79">
        <v>2</v>
      </c>
      <c r="B36" s="79">
        <v>108</v>
      </c>
      <c r="C36" s="310" cm="1">
        <f t="array" aca="1" ref="C36" ca="1">INDIRECT("'"&amp;$A36&amp;"'!"&amp; "F" &amp; $B36)</f>
        <v>39.409999999999997</v>
      </c>
      <c r="D36" s="310" cm="1">
        <f t="array" aca="1" ref="D36" ca="1">INDIRECT("'"&amp;$A36&amp;"'!"&amp; "g" &amp; $B36)</f>
        <v>37.18</v>
      </c>
      <c r="E36" s="310" cm="1">
        <f t="array" aca="1" ref="E36" ca="1">INDIRECT("'"&amp;$A36&amp;"'!"&amp; "H" &amp; $B36)</f>
        <v>35.510000000000005</v>
      </c>
      <c r="F36" s="310" cm="1">
        <f t="array" aca="1" ref="F36" ca="1">INDIRECT("'"&amp;$A36&amp;"'!"&amp; "I" &amp; $B36)</f>
        <v>34.340000000000003</v>
      </c>
      <c r="G36" s="310" cm="1">
        <f t="array" aca="1" ref="G36" ca="1">INDIRECT("'"&amp;$A36&amp;"'!"&amp; "J" &amp; $B36)</f>
        <v>34.29</v>
      </c>
      <c r="H36" s="310" cm="1">
        <f t="array" aca="1" ref="H36" ca="1">INDIRECT("'"&amp;$A36&amp;"'!"&amp; "K" &amp; $B36)</f>
        <v>36.24</v>
      </c>
      <c r="I36" s="310" cm="1">
        <f t="array" aca="1" ref="I36" ca="1">INDIRECT("'"&amp;$A36&amp;"'!"&amp; "L" &amp; $B36)</f>
        <v>41.03</v>
      </c>
      <c r="J36" s="310" cm="1">
        <f t="array" aca="1" ref="J36" ca="1">INDIRECT("'"&amp;$A36&amp;"'!"&amp; "M" &amp; $B36)</f>
        <v>38.31</v>
      </c>
      <c r="K36" s="310" cm="1">
        <f t="array" aca="1" ref="K36" ca="1">INDIRECT("'"&amp;$A36&amp;"'!"&amp; "N" &amp; $B36)</f>
        <v>43.959999999999994</v>
      </c>
      <c r="L36" s="310" cm="1">
        <f t="array" aca="1" ref="L36" ca="1">INDIRECT("'"&amp;$A36&amp;"'!"&amp; "O" &amp; $B36)</f>
        <v>52.230000000000011</v>
      </c>
      <c r="M36" s="310" cm="1">
        <f t="array" aca="1" ref="M36" ca="1">INDIRECT("'"&amp;$A36&amp;"'!"&amp; "P" &amp; $B36)</f>
        <v>56.629999999999995</v>
      </c>
      <c r="N36" s="310" cm="1">
        <f t="array" aca="1" ref="N36" ca="1">INDIRECT("'"&amp;$A36&amp;"'!"&amp; "Q" &amp; $B36)</f>
        <v>60.620000000000012</v>
      </c>
      <c r="O36" s="310" cm="1">
        <f t="array" aca="1" ref="O36" ca="1">INDIRECT("'"&amp;$A36&amp;"'!"&amp; "R" &amp; $B36)</f>
        <v>61.100000000000009</v>
      </c>
      <c r="P36" s="310" cm="1">
        <f t="array" aca="1" ref="P36" ca="1">INDIRECT("'"&amp;$A36&amp;"'!"&amp; "S" &amp; $B36)</f>
        <v>58.310000000000009</v>
      </c>
      <c r="Q36" s="310" cm="1">
        <f t="array" aca="1" ref="Q36" ca="1">INDIRECT("'"&amp;$A36&amp;"'!"&amp; "T" &amp; $B36)</f>
        <v>59.050000000000004</v>
      </c>
      <c r="R36" s="310" cm="1">
        <f t="array" aca="1" ref="R36" ca="1">INDIRECT("'"&amp;$A36&amp;"'!"&amp; "U" &amp; $B36)</f>
        <v>55.319999999999993</v>
      </c>
      <c r="S36" s="310" cm="1">
        <f t="array" aca="1" ref="S36" ca="1">INDIRECT("'"&amp;$A36&amp;"'!"&amp; "V" &amp; $B36)</f>
        <v>54.05</v>
      </c>
      <c r="T36" s="310" cm="1">
        <f t="array" aca="1" ref="T36" ca="1">INDIRECT("'"&amp;$A36&amp;"'!"&amp; "W" &amp; $B36)</f>
        <v>53.370000000000005</v>
      </c>
      <c r="U36" s="310" cm="1">
        <f t="array" aca="1" ref="U36" ca="1">INDIRECT("'"&amp;$A36&amp;"'!"&amp; "X" &amp; $B36)</f>
        <v>50.439999999999991</v>
      </c>
      <c r="V36" s="310" cm="1">
        <f t="array" aca="1" ref="V36" ca="1">INDIRECT("'"&amp;$A36&amp;"'!"&amp; "Y" &amp; $B36)</f>
        <v>56.330000000000005</v>
      </c>
      <c r="W36" s="310" cm="1">
        <f t="array" aca="1" ref="W36" ca="1">INDIRECT("'"&amp;$A36&amp;"'!"&amp; "Z" &amp; $B36)</f>
        <v>52.45</v>
      </c>
      <c r="X36" s="310" cm="1">
        <f t="array" aca="1" ref="X36" ca="1">INDIRECT("'"&amp;$A36&amp;"'!"&amp; "AA" &amp; $B36)</f>
        <v>50.42</v>
      </c>
      <c r="Y36" s="310" cm="1">
        <f t="array" aca="1" ref="Y36" ca="1">INDIRECT("'"&amp;$A36&amp;"'!"&amp; "AB" &amp; $B36)</f>
        <v>46.02</v>
      </c>
      <c r="Z36" s="310" cm="1">
        <f t="array" aca="1" ref="Z36" ca="1">INDIRECT("'"&amp;$A36&amp;"'!"&amp; "AC" &amp; $B36)</f>
        <v>41.17</v>
      </c>
    </row>
    <row r="37" spans="1:26">
      <c r="A37" s="79">
        <v>3</v>
      </c>
      <c r="B37" s="79">
        <v>108</v>
      </c>
      <c r="C37" s="310" cm="1">
        <f t="array" aca="1" ref="C37" ca="1">INDIRECT("'"&amp;$A37&amp;"'!"&amp; "F" &amp; $B37)</f>
        <v>38.44</v>
      </c>
      <c r="D37" s="310" cm="1">
        <f t="array" aca="1" ref="D37" ca="1">INDIRECT("'"&amp;$A37&amp;"'!"&amp; "g" &amp; $B37)</f>
        <v>36.36</v>
      </c>
      <c r="E37" s="310" cm="1">
        <f t="array" aca="1" ref="E37" ca="1">INDIRECT("'"&amp;$A37&amp;"'!"&amp; "H" &amp; $B37)</f>
        <v>34.409999999999997</v>
      </c>
      <c r="F37" s="310" cm="1">
        <f t="array" aca="1" ref="F37" ca="1">INDIRECT("'"&amp;$A37&amp;"'!"&amp; "I" &amp; $B37)</f>
        <v>33.870000000000005</v>
      </c>
      <c r="G37" s="310" cm="1">
        <f t="array" aca="1" ref="G37" ca="1">INDIRECT("'"&amp;$A37&amp;"'!"&amp; "J" &amp; $B37)</f>
        <v>33.629999999999995</v>
      </c>
      <c r="H37" s="310" cm="1">
        <f t="array" aca="1" ref="H37" ca="1">INDIRECT("'"&amp;$A37&amp;"'!"&amp; "K" &amp; $B37)</f>
        <v>36.239999999999995</v>
      </c>
      <c r="I37" s="310" cm="1">
        <f t="array" aca="1" ref="I37" ca="1">INDIRECT("'"&amp;$A37&amp;"'!"&amp; "L" &amp; $B37)</f>
        <v>42</v>
      </c>
      <c r="J37" s="310" cm="1">
        <f t="array" aca="1" ref="J37" ca="1">INDIRECT("'"&amp;$A37&amp;"'!"&amp; "M" &amp; $B37)</f>
        <v>38.5</v>
      </c>
      <c r="K37" s="310" cm="1">
        <f t="array" aca="1" ref="K37" ca="1">INDIRECT("'"&amp;$A37&amp;"'!"&amp; "N" &amp; $B37)</f>
        <v>43.499999999999993</v>
      </c>
      <c r="L37" s="310" cm="1">
        <f t="array" aca="1" ref="L37" ca="1">INDIRECT("'"&amp;$A37&amp;"'!"&amp; "O" &amp; $B37)</f>
        <v>53.41</v>
      </c>
      <c r="M37" s="310" cm="1">
        <f t="array" aca="1" ref="M37" ca="1">INDIRECT("'"&amp;$A37&amp;"'!"&amp; "P" &amp; $B37)</f>
        <v>58.089999999999996</v>
      </c>
      <c r="N37" s="310" cm="1">
        <f t="array" aca="1" ref="N37" ca="1">INDIRECT("'"&amp;$A37&amp;"'!"&amp; "Q" &amp; $B37)</f>
        <v>59.34</v>
      </c>
      <c r="O37" s="310" cm="1">
        <f t="array" aca="1" ref="O37" ca="1">INDIRECT("'"&amp;$A37&amp;"'!"&amp; "R" &amp; $B37)</f>
        <v>55.5</v>
      </c>
      <c r="P37" s="310" cm="1">
        <f t="array" aca="1" ref="P37" ca="1">INDIRECT("'"&amp;$A37&amp;"'!"&amp; "S" &amp; $B37)</f>
        <v>57.79</v>
      </c>
      <c r="Q37" s="310" cm="1">
        <f t="array" aca="1" ref="Q37" ca="1">INDIRECT("'"&amp;$A37&amp;"'!"&amp; "T" &amp; $B37)</f>
        <v>59.679999999999993</v>
      </c>
      <c r="R37" s="310" cm="1">
        <f t="array" aca="1" ref="R37" ca="1">INDIRECT("'"&amp;$A37&amp;"'!"&amp; "U" &amp; $B37)</f>
        <v>56.110000000000007</v>
      </c>
      <c r="S37" s="310" cm="1">
        <f t="array" aca="1" ref="S37" ca="1">INDIRECT("'"&amp;$A37&amp;"'!"&amp; "V" &amp; $B37)</f>
        <v>55.45000000000001</v>
      </c>
      <c r="T37" s="310" cm="1">
        <f t="array" aca="1" ref="T37" ca="1">INDIRECT("'"&amp;$A37&amp;"'!"&amp; "W" &amp; $B37)</f>
        <v>52.400000000000006</v>
      </c>
      <c r="U37" s="310" cm="1">
        <f t="array" aca="1" ref="U37" ca="1">INDIRECT("'"&amp;$A37&amp;"'!"&amp; "X" &amp; $B37)</f>
        <v>52.429999999999993</v>
      </c>
      <c r="V37" s="310" cm="1">
        <f t="array" aca="1" ref="V37" ca="1">INDIRECT("'"&amp;$A37&amp;"'!"&amp; "Y" &amp; $B37)</f>
        <v>53.139999999999993</v>
      </c>
      <c r="W37" s="310" cm="1">
        <f t="array" aca="1" ref="W37" ca="1">INDIRECT("'"&amp;$A37&amp;"'!"&amp; "Z" &amp; $B37)</f>
        <v>50.339999999999989</v>
      </c>
      <c r="X37" s="310" cm="1">
        <f t="array" aca="1" ref="X37" ca="1">INDIRECT("'"&amp;$A37&amp;"'!"&amp; "AA" &amp; $B37)</f>
        <v>47.480000000000004</v>
      </c>
      <c r="Y37" s="310" cm="1">
        <f t="array" aca="1" ref="Y37" ca="1">INDIRECT("'"&amp;$A37&amp;"'!"&amp; "AB" &amp; $B37)</f>
        <v>43.26</v>
      </c>
      <c r="Z37" s="310" cm="1">
        <f t="array" aca="1" ref="Z37" ca="1">INDIRECT("'"&amp;$A37&amp;"'!"&amp; "AC" &amp; $B37)</f>
        <v>39.22</v>
      </c>
    </row>
    <row r="38" spans="1:26">
      <c r="A38" s="79">
        <v>4</v>
      </c>
      <c r="B38" s="79">
        <v>108</v>
      </c>
      <c r="C38" s="310" cm="1">
        <f t="array" aca="1" ref="C38" ca="1">INDIRECT("'"&amp;$A38&amp;"'!"&amp; "F" &amp; $B38)</f>
        <v>37.93</v>
      </c>
      <c r="D38" s="310" cm="1">
        <f t="array" aca="1" ref="D38" ca="1">INDIRECT("'"&amp;$A38&amp;"'!"&amp; "g" &amp; $B38)</f>
        <v>35.179999999999993</v>
      </c>
      <c r="E38" s="310" cm="1">
        <f t="array" aca="1" ref="E38" ca="1">INDIRECT("'"&amp;$A38&amp;"'!"&amp; "H" &amp; $B38)</f>
        <v>33.69</v>
      </c>
      <c r="F38" s="310" cm="1">
        <f t="array" aca="1" ref="F38" ca="1">INDIRECT("'"&amp;$A38&amp;"'!"&amp; "I" &amp; $B38)</f>
        <v>32.630000000000003</v>
      </c>
      <c r="G38" s="310" cm="1">
        <f t="array" aca="1" ref="G38" ca="1">INDIRECT("'"&amp;$A38&amp;"'!"&amp; "J" &amp; $B38)</f>
        <v>32.54</v>
      </c>
      <c r="H38" s="310" cm="1">
        <f t="array" aca="1" ref="H38" ca="1">INDIRECT("'"&amp;$A38&amp;"'!"&amp; "K" &amp; $B38)</f>
        <v>34.5</v>
      </c>
      <c r="I38" s="310" cm="1">
        <f t="array" aca="1" ref="I38" ca="1">INDIRECT("'"&amp;$A38&amp;"'!"&amp; "L" &amp; $B38)</f>
        <v>39.57</v>
      </c>
      <c r="J38" s="310" cm="1">
        <f t="array" aca="1" ref="J38" ca="1">INDIRECT("'"&amp;$A38&amp;"'!"&amp; "M" &amp; $B38)</f>
        <v>36.919999999999995</v>
      </c>
      <c r="K38" s="310" cm="1">
        <f t="array" aca="1" ref="K38" ca="1">INDIRECT("'"&amp;$A38&amp;"'!"&amp; "N" &amp; $B38)</f>
        <v>41.48</v>
      </c>
      <c r="L38" s="310" cm="1">
        <f t="array" aca="1" ref="L38" ca="1">INDIRECT("'"&amp;$A38&amp;"'!"&amp; "O" &amp; $B38)</f>
        <v>50.570000000000007</v>
      </c>
      <c r="M38" s="310" cm="1">
        <f t="array" aca="1" ref="M38" ca="1">INDIRECT("'"&amp;$A38&amp;"'!"&amp; "P" &amp; $B38)</f>
        <v>53.489999999999988</v>
      </c>
      <c r="N38" s="310" cm="1">
        <f t="array" aca="1" ref="N38" ca="1">INDIRECT("'"&amp;$A38&amp;"'!"&amp; "Q" &amp; $B38)</f>
        <v>57.749999999999993</v>
      </c>
      <c r="O38" s="310" cm="1">
        <f t="array" aca="1" ref="O38" ca="1">INDIRECT("'"&amp;$A38&amp;"'!"&amp; "R" &amp; $B38)</f>
        <v>58.390000000000008</v>
      </c>
      <c r="P38" s="310" cm="1">
        <f t="array" aca="1" ref="P38" ca="1">INDIRECT("'"&amp;$A38&amp;"'!"&amp; "S" &amp; $B38)</f>
        <v>60.37</v>
      </c>
      <c r="Q38" s="310" cm="1">
        <f t="array" aca="1" ref="Q38" ca="1">INDIRECT("'"&amp;$A38&amp;"'!"&amp; "T" &amp; $B38)</f>
        <v>62.389999999999993</v>
      </c>
      <c r="R38" s="310" cm="1">
        <f t="array" aca="1" ref="R38" ca="1">INDIRECT("'"&amp;$A38&amp;"'!"&amp; "U" &amp; $B38)</f>
        <v>59.7</v>
      </c>
      <c r="S38" s="310" cm="1">
        <f t="array" aca="1" ref="S38" ca="1">INDIRECT("'"&amp;$A38&amp;"'!"&amp; "V" &amp; $B38)</f>
        <v>60.519999999999996</v>
      </c>
      <c r="T38" s="310" cm="1">
        <f t="array" aca="1" ref="T38" ca="1">INDIRECT("'"&amp;$A38&amp;"'!"&amp; "W" &amp; $B38)</f>
        <v>57.420000000000009</v>
      </c>
      <c r="U38" s="310" cm="1">
        <f t="array" aca="1" ref="U38" ca="1">INDIRECT("'"&amp;$A38&amp;"'!"&amp; "X" &amp; $B38)</f>
        <v>54.839999999999996</v>
      </c>
      <c r="V38" s="310" cm="1">
        <f t="array" aca="1" ref="V38" ca="1">INDIRECT("'"&amp;$A38&amp;"'!"&amp; "Y" &amp; $B38)</f>
        <v>59.129999999999995</v>
      </c>
      <c r="W38" s="310" cm="1">
        <f t="array" aca="1" ref="W38" ca="1">INDIRECT("'"&amp;$A38&amp;"'!"&amp; "Z" &amp; $B38)</f>
        <v>55.445</v>
      </c>
      <c r="X38" s="310" cm="1">
        <f t="array" aca="1" ref="X38" ca="1">INDIRECT("'"&amp;$A38&amp;"'!"&amp; "AA" &amp; $B38)</f>
        <v>52.970000000000006</v>
      </c>
      <c r="Y38" s="310" cm="1">
        <f t="array" aca="1" ref="Y38" ca="1">INDIRECT("'"&amp;$A38&amp;"'!"&amp; "AB" &amp; $B38)</f>
        <v>49.89</v>
      </c>
      <c r="Z38" s="310" cm="1">
        <f t="array" aca="1" ref="Z38" ca="1">INDIRECT("'"&amp;$A38&amp;"'!"&amp; "AC" &amp; $B38)</f>
        <v>43.47</v>
      </c>
    </row>
    <row r="39" spans="1:26">
      <c r="A39" s="79">
        <v>5</v>
      </c>
      <c r="B39" s="79">
        <v>108</v>
      </c>
      <c r="C39" s="310" cm="1">
        <f t="array" aca="1" ref="C39" ca="1">INDIRECT("'"&amp;$A39&amp;"'!"&amp; "F" &amp; $B39)</f>
        <v>40.110000000000007</v>
      </c>
      <c r="D39" s="310" cm="1">
        <f t="array" aca="1" ref="D39" ca="1">INDIRECT("'"&amp;$A39&amp;"'!"&amp; "g" &amp; $B39)</f>
        <v>37.83</v>
      </c>
      <c r="E39" s="310" cm="1">
        <f t="array" aca="1" ref="E39" ca="1">INDIRECT("'"&amp;$A39&amp;"'!"&amp; "H" &amp; $B39)</f>
        <v>35.33</v>
      </c>
      <c r="F39" s="310" cm="1">
        <f t="array" aca="1" ref="F39" ca="1">INDIRECT("'"&amp;$A39&amp;"'!"&amp; "I" &amp; $B39)</f>
        <v>34.030000000000008</v>
      </c>
      <c r="G39" s="310" cm="1">
        <f t="array" aca="1" ref="G39" ca="1">INDIRECT("'"&amp;$A39&amp;"'!"&amp; "J" &amp; $B39)</f>
        <v>34.309999999999995</v>
      </c>
      <c r="H39" s="310" cm="1">
        <f t="array" aca="1" ref="H39" ca="1">INDIRECT("'"&amp;$A39&amp;"'!"&amp; "K" &amp; $B39)</f>
        <v>35.160000000000004</v>
      </c>
      <c r="I39" s="310" cm="1">
        <f t="array" aca="1" ref="I39" ca="1">INDIRECT("'"&amp;$A39&amp;"'!"&amp; "L" &amp; $B39)</f>
        <v>37.959999999999994</v>
      </c>
      <c r="J39" s="310" cm="1">
        <f t="array" aca="1" ref="J39" ca="1">INDIRECT("'"&amp;$A39&amp;"'!"&amp; "M" &amp; $B39)</f>
        <v>37.92</v>
      </c>
      <c r="K39" s="310" cm="1">
        <f t="array" aca="1" ref="K39" ca="1">INDIRECT("'"&amp;$A39&amp;"'!"&amp; "N" &amp; $B39)</f>
        <v>40.82</v>
      </c>
      <c r="L39" s="310" cm="1">
        <f t="array" aca="1" ref="L39" ca="1">INDIRECT("'"&amp;$A39&amp;"'!"&amp; "O" &amp; $B39)</f>
        <v>48.300000000000004</v>
      </c>
      <c r="M39" s="310" cm="1">
        <f t="array" aca="1" ref="M39" ca="1">INDIRECT("'"&amp;$A39&amp;"'!"&amp; "P" &amp; $B39)</f>
        <v>52.350000000000009</v>
      </c>
      <c r="N39" s="310" cm="1">
        <f t="array" aca="1" ref="N39" ca="1">INDIRECT("'"&amp;$A39&amp;"'!"&amp; "Q" &amp; $B39)</f>
        <v>51.519999999999996</v>
      </c>
      <c r="O39" s="310" cm="1">
        <f t="array" aca="1" ref="O39" ca="1">INDIRECT("'"&amp;$A39&amp;"'!"&amp; "R" &amp; $B39)</f>
        <v>55.829999999999991</v>
      </c>
      <c r="P39" s="310" cm="1">
        <f t="array" aca="1" ref="P39" ca="1">INDIRECT("'"&amp;$A39&amp;"'!"&amp; "S" &amp; $B39)</f>
        <v>53.3</v>
      </c>
      <c r="Q39" s="310" cm="1">
        <f t="array" aca="1" ref="Q39" ca="1">INDIRECT("'"&amp;$A39&amp;"'!"&amp; "T" &amp; $B39)</f>
        <v>54.15</v>
      </c>
      <c r="R39" s="310" cm="1">
        <f t="array" aca="1" ref="R39" ca="1">INDIRECT("'"&amp;$A39&amp;"'!"&amp; "U" &amp; $B39)</f>
        <v>54.100000000000009</v>
      </c>
      <c r="S39" s="310" cm="1">
        <f t="array" aca="1" ref="S39" ca="1">INDIRECT("'"&amp;$A39&amp;"'!"&amp; "V" &amp; $B39)</f>
        <v>52.659999999999989</v>
      </c>
      <c r="T39" s="310" cm="1">
        <f t="array" aca="1" ref="T39" ca="1">INDIRECT("'"&amp;$A39&amp;"'!"&amp; "W" &amp; $B39)</f>
        <v>50.81</v>
      </c>
      <c r="U39" s="310" cm="1">
        <f t="array" aca="1" ref="U39" ca="1">INDIRECT("'"&amp;$A39&amp;"'!"&amp; "X" &amp; $B39)</f>
        <v>51.95</v>
      </c>
      <c r="V39" s="310" cm="1">
        <f t="array" aca="1" ref="V39" ca="1">INDIRECT("'"&amp;$A39&amp;"'!"&amp; "Y" &amp; $B39)</f>
        <v>57.180000000000007</v>
      </c>
      <c r="W39" s="310" cm="1">
        <f t="array" aca="1" ref="W39" ca="1">INDIRECT("'"&amp;$A39&amp;"'!"&amp; "Z" &amp; $B39)</f>
        <v>55.3</v>
      </c>
      <c r="X39" s="310" cm="1">
        <f t="array" aca="1" ref="X39" ca="1">INDIRECT("'"&amp;$A39&amp;"'!"&amp; "AA" &amp; $B39)</f>
        <v>52.859999999999992</v>
      </c>
      <c r="Y39" s="310" cm="1">
        <f t="array" aca="1" ref="Y39" ca="1">INDIRECT("'"&amp;$A39&amp;"'!"&amp; "AB" &amp; $B39)</f>
        <v>47.96</v>
      </c>
      <c r="Z39" s="310" cm="1">
        <f t="array" aca="1" ref="Z39" ca="1">INDIRECT("'"&amp;$A39&amp;"'!"&amp; "AC" &amp; $B39)</f>
        <v>44.07</v>
      </c>
    </row>
    <row r="40" spans="1:26">
      <c r="A40" s="79">
        <v>6</v>
      </c>
      <c r="B40" s="79">
        <v>108</v>
      </c>
      <c r="C40" s="310" cm="1">
        <f t="array" aca="1" ref="C40" ca="1">INDIRECT("'"&amp;$A40&amp;"'!"&amp; "F" &amp; $B40)</f>
        <v>39.83</v>
      </c>
      <c r="D40" s="310" cm="1">
        <f t="array" aca="1" ref="D40" ca="1">INDIRECT("'"&amp;$A40&amp;"'!"&amp; "g" &amp; $B40)</f>
        <v>38.25</v>
      </c>
      <c r="E40" s="310" cm="1">
        <f t="array" aca="1" ref="E40" ca="1">INDIRECT("'"&amp;$A40&amp;"'!"&amp; "H" &amp; $B40)</f>
        <v>35.550000000000004</v>
      </c>
      <c r="F40" s="310" cm="1">
        <f t="array" aca="1" ref="F40" ca="1">INDIRECT("'"&amp;$A40&amp;"'!"&amp; "I" &amp; $B40)</f>
        <v>34.49</v>
      </c>
      <c r="G40" s="310" cm="1">
        <f t="array" aca="1" ref="G40" ca="1">INDIRECT("'"&amp;$A40&amp;"'!"&amp; "J" &amp; $B40)</f>
        <v>33.979999999999997</v>
      </c>
      <c r="H40" s="310" cm="1">
        <f t="array" aca="1" ref="H40" ca="1">INDIRECT("'"&amp;$A40&amp;"'!"&amp; "K" &amp; $B40)</f>
        <v>33.739999999999995</v>
      </c>
      <c r="I40" s="310" cm="1">
        <f t="array" aca="1" ref="I40" ca="1">INDIRECT("'"&amp;$A40&amp;"'!"&amp; "L" &amp; $B40)</f>
        <v>35.94</v>
      </c>
      <c r="J40" s="310" cm="1">
        <f t="array" aca="1" ref="J40" ca="1">INDIRECT("'"&amp;$A40&amp;"'!"&amp; "M" &amp; $B40)</f>
        <v>38.93</v>
      </c>
      <c r="K40" s="310" cm="1">
        <f t="array" aca="1" ref="K40" ca="1">INDIRECT("'"&amp;$A40&amp;"'!"&amp; "N" &amp; $B40)</f>
        <v>38.93</v>
      </c>
      <c r="L40" s="310" cm="1">
        <f t="array" aca="1" ref="L40" ca="1">INDIRECT("'"&amp;$A40&amp;"'!"&amp; "O" &amp; $B40)</f>
        <v>44.839999999999996</v>
      </c>
      <c r="M40" s="310" cm="1">
        <f t="array" aca="1" ref="M40" ca="1">INDIRECT("'"&amp;$A40&amp;"'!"&amp; "P" &amp; $B40)</f>
        <v>47.980000000000004</v>
      </c>
      <c r="N40" s="310" cm="1">
        <f t="array" aca="1" ref="N40" ca="1">INDIRECT("'"&amp;$A40&amp;"'!"&amp; "Q" &amp; $B40)</f>
        <v>49.089999999999996</v>
      </c>
      <c r="O40" s="310" cm="1">
        <f t="array" aca="1" ref="O40" ca="1">INDIRECT("'"&amp;$A40&amp;"'!"&amp; "R" &amp; $B40)</f>
        <v>49.480000000000004</v>
      </c>
      <c r="P40" s="310" cm="1">
        <f t="array" aca="1" ref="P40" ca="1">INDIRECT("'"&amp;$A40&amp;"'!"&amp; "S" &amp; $B40)</f>
        <v>50.46</v>
      </c>
      <c r="Q40" s="310" cm="1">
        <f t="array" aca="1" ref="Q40" ca="1">INDIRECT("'"&amp;$A40&amp;"'!"&amp; "T" &amp; $B40)</f>
        <v>53.330000000000005</v>
      </c>
      <c r="R40" s="310" cm="1">
        <f t="array" aca="1" ref="R40" ca="1">INDIRECT("'"&amp;$A40&amp;"'!"&amp; "U" &amp; $B40)</f>
        <v>51.519999999999996</v>
      </c>
      <c r="S40" s="310" cm="1">
        <f t="array" aca="1" ref="S40" ca="1">INDIRECT("'"&amp;$A40&amp;"'!"&amp; "V" &amp; $B40)</f>
        <v>52.080000000000005</v>
      </c>
      <c r="T40" s="310" cm="1">
        <f t="array" aca="1" ref="T40" ca="1">INDIRECT("'"&amp;$A40&amp;"'!"&amp; "W" &amp; $B40)</f>
        <v>50.850000000000009</v>
      </c>
      <c r="U40" s="310" cm="1">
        <f t="array" aca="1" ref="U40" ca="1">INDIRECT("'"&amp;$A40&amp;"'!"&amp; "X" &amp; $B40)</f>
        <v>51.499999999999993</v>
      </c>
      <c r="V40" s="310" cm="1">
        <f t="array" aca="1" ref="V40" ca="1">INDIRECT("'"&amp;$A40&amp;"'!"&amp; "Y" &amp; $B40)</f>
        <v>58.349999999999994</v>
      </c>
      <c r="W40" s="310" cm="1">
        <f t="array" aca="1" ref="W40" ca="1">INDIRECT("'"&amp;$A40&amp;"'!"&amp; "Z" &amp; $B40)</f>
        <v>56.249999999999993</v>
      </c>
      <c r="X40" s="310" cm="1">
        <f t="array" aca="1" ref="X40" ca="1">INDIRECT("'"&amp;$A40&amp;"'!"&amp; "AA" &amp; $B40)</f>
        <v>54.390000000000008</v>
      </c>
      <c r="Y40" s="310" cm="1">
        <f t="array" aca="1" ref="Y40" ca="1">INDIRECT("'"&amp;$A40&amp;"'!"&amp; "AB" &amp; $B40)</f>
        <v>51.07</v>
      </c>
      <c r="Z40" s="310" cm="1">
        <f t="array" aca="1" ref="Z40" ca="1">INDIRECT("'"&amp;$A40&amp;"'!"&amp; "AC" &amp; $B40)</f>
        <v>44.83</v>
      </c>
    </row>
    <row r="41" spans="1:26">
      <c r="A41" s="79">
        <v>7</v>
      </c>
      <c r="B41" s="79">
        <v>108</v>
      </c>
      <c r="C41" s="310" cm="1">
        <f t="array" aca="1" ref="C41" ca="1">INDIRECT("'"&amp;$A41&amp;"'!"&amp; "F" &amp; $B41)</f>
        <v>40.999999999999993</v>
      </c>
      <c r="D41" s="310" cm="1">
        <f t="array" aca="1" ref="D41" ca="1">INDIRECT("'"&amp;$A41&amp;"'!"&amp; "g" &amp; $B41)</f>
        <v>37.51</v>
      </c>
      <c r="E41" s="310" cm="1">
        <f t="array" aca="1" ref="E41" ca="1">INDIRECT("'"&amp;$A41&amp;"'!"&amp; "H" &amp; $B41)</f>
        <v>35.169999999999995</v>
      </c>
      <c r="F41" s="310" cm="1">
        <f t="array" aca="1" ref="F41" ca="1">INDIRECT("'"&amp;$A41&amp;"'!"&amp; "I" &amp; $B41)</f>
        <v>34.856999999999999</v>
      </c>
      <c r="G41" s="310" cm="1">
        <f t="array" aca="1" ref="G41" ca="1">INDIRECT("'"&amp;$A41&amp;"'!"&amp; "J" &amp; $B41)</f>
        <v>35.130000000000003</v>
      </c>
      <c r="H41" s="310" cm="1">
        <f t="array" aca="1" ref="H41" ca="1">INDIRECT("'"&amp;$A41&amp;"'!"&amp; "K" &amp; $B41)</f>
        <v>37.659999999999997</v>
      </c>
      <c r="I41" s="310" cm="1">
        <f t="array" aca="1" ref="I41" ca="1">INDIRECT("'"&amp;$A41&amp;"'!"&amp; "L" &amp; $B41)</f>
        <v>42.089999999999996</v>
      </c>
      <c r="J41" s="310" cm="1">
        <f t="array" aca="1" ref="J41" ca="1">INDIRECT("'"&amp;$A41&amp;"'!"&amp; "M" &amp; $B41)</f>
        <v>38.580000000000005</v>
      </c>
      <c r="K41" s="310" cm="1">
        <f t="array" aca="1" ref="K41" ca="1">INDIRECT("'"&amp;$A41&amp;"'!"&amp; "N" &amp; $B41)</f>
        <v>44.69</v>
      </c>
      <c r="L41" s="310" cm="1">
        <f t="array" aca="1" ref="L41" ca="1">INDIRECT("'"&amp;$A41&amp;"'!"&amp; "O" &amp; $B41)</f>
        <v>53.70000000000001</v>
      </c>
      <c r="M41" s="310" cm="1">
        <f t="array" aca="1" ref="M41" ca="1">INDIRECT("'"&amp;$A41&amp;"'!"&amp; "P" &amp; $B41)</f>
        <v>58.79</v>
      </c>
      <c r="N41" s="310" cm="1">
        <f t="array" aca="1" ref="N41" ca="1">INDIRECT("'"&amp;$A41&amp;"'!"&amp; "Q" &amp; $B41)</f>
        <v>59.569999999999993</v>
      </c>
      <c r="O41" s="310" cm="1">
        <f t="array" aca="1" ref="O41" ca="1">INDIRECT("'"&amp;$A41&amp;"'!"&amp; "R" &amp; $B41)</f>
        <v>60.69</v>
      </c>
      <c r="P41" s="310" cm="1">
        <f t="array" aca="1" ref="P41" ca="1">INDIRECT("'"&amp;$A41&amp;"'!"&amp; "S" &amp; $B41)</f>
        <v>62.859999999999985</v>
      </c>
      <c r="Q41" s="310" cm="1">
        <f t="array" aca="1" ref="Q41" ca="1">INDIRECT("'"&amp;$A41&amp;"'!"&amp; "T" &amp; $B41)</f>
        <v>61.069999999999993</v>
      </c>
      <c r="R41" s="310" cm="1">
        <f t="array" aca="1" ref="R41" ca="1">INDIRECT("'"&amp;$A41&amp;"'!"&amp; "U" &amp; $B41)</f>
        <v>57.03</v>
      </c>
      <c r="S41" s="310" cm="1">
        <f t="array" aca="1" ref="S41" ca="1">INDIRECT("'"&amp;$A41&amp;"'!"&amp; "V" &amp; $B41)</f>
        <v>57.4</v>
      </c>
      <c r="T41" s="310" cm="1">
        <f t="array" aca="1" ref="T41" ca="1">INDIRECT("'"&amp;$A41&amp;"'!"&amp; "W" &amp; $B41)</f>
        <v>54.550000000000004</v>
      </c>
      <c r="U41" s="310" cm="1">
        <f t="array" aca="1" ref="U41" ca="1">INDIRECT("'"&amp;$A41&amp;"'!"&amp; "X" &amp; $B41)</f>
        <v>53.079999999999991</v>
      </c>
      <c r="V41" s="310" cm="1">
        <f t="array" aca="1" ref="V41" ca="1">INDIRECT("'"&amp;$A41&amp;"'!"&amp; "Y" &amp; $B41)</f>
        <v>59.709999999999994</v>
      </c>
      <c r="W41" s="310" cm="1">
        <f t="array" aca="1" ref="W41" ca="1">INDIRECT("'"&amp;$A41&amp;"'!"&amp; "Z" &amp; $B41)</f>
        <v>55.419999999999995</v>
      </c>
      <c r="X41" s="310" cm="1">
        <f t="array" aca="1" ref="X41" ca="1">INDIRECT("'"&amp;$A41&amp;"'!"&amp; "AA" &amp; $B41)</f>
        <v>51.949999999999996</v>
      </c>
      <c r="Y41" s="310" cm="1">
        <f t="array" aca="1" ref="Y41" ca="1">INDIRECT("'"&amp;$A41&amp;"'!"&amp; "AB" &amp; $B41)</f>
        <v>48.040000000000006</v>
      </c>
      <c r="Z41" s="310" cm="1">
        <f t="array" aca="1" ref="Z41" ca="1">INDIRECT("'"&amp;$A41&amp;"'!"&amp; "AC" &amp; $B41)</f>
        <v>44.730000000000004</v>
      </c>
    </row>
    <row r="42" spans="1:26">
      <c r="A42" s="79">
        <v>8</v>
      </c>
      <c r="B42" s="79">
        <v>108</v>
      </c>
      <c r="C42" s="310" cm="1">
        <f t="array" aca="1" ref="C42" ca="1">INDIRECT("'"&amp;$A42&amp;"'!"&amp; "F" &amp; $B42)</f>
        <v>40.819999999999993</v>
      </c>
      <c r="D42" s="310" cm="1">
        <f t="array" aca="1" ref="D42" ca="1">INDIRECT("'"&amp;$A42&amp;"'!"&amp; "g" &amp; $B42)</f>
        <v>38.86</v>
      </c>
      <c r="E42" s="310" cm="1">
        <f t="array" aca="1" ref="E42" ca="1">INDIRECT("'"&amp;$A42&amp;"'!"&amp; "H" &amp; $B42)</f>
        <v>35.450000000000003</v>
      </c>
      <c r="F42" s="310" cm="1">
        <f t="array" aca="1" ref="F42" ca="1">INDIRECT("'"&amp;$A42&amp;"'!"&amp; "I" &amp; $B42)</f>
        <v>36.299999999999997</v>
      </c>
      <c r="G42" s="310" cm="1">
        <f t="array" aca="1" ref="G42" ca="1">INDIRECT("'"&amp;$A42&amp;"'!"&amp; "J" &amp; $B42)</f>
        <v>36.07</v>
      </c>
      <c r="H42" s="310" cm="1">
        <f t="array" aca="1" ref="H42" ca="1">INDIRECT("'"&amp;$A42&amp;"'!"&amp; "K" &amp; $B42)</f>
        <v>38.270000000000003</v>
      </c>
      <c r="I42" s="310" cm="1">
        <f t="array" aca="1" ref="I42" ca="1">INDIRECT("'"&amp;$A42&amp;"'!"&amp; "L" &amp; $B42)</f>
        <v>43.26</v>
      </c>
      <c r="J42" s="310" cm="1">
        <f t="array" aca="1" ref="J42" ca="1">INDIRECT("'"&amp;$A42&amp;"'!"&amp; "M" &amp; $B42)</f>
        <v>39.72</v>
      </c>
      <c r="K42" s="310" cm="1">
        <f t="array" aca="1" ref="K42" ca="1">INDIRECT("'"&amp;$A42&amp;"'!"&amp; "N" &amp; $B42)</f>
        <v>45.78</v>
      </c>
      <c r="L42" s="310" cm="1">
        <f t="array" aca="1" ref="L42" ca="1">INDIRECT("'"&amp;$A42&amp;"'!"&amp; "O" &amp; $B42)</f>
        <v>54.47</v>
      </c>
      <c r="M42" s="310" cm="1">
        <f t="array" aca="1" ref="M42" ca="1">INDIRECT("'"&amp;$A42&amp;"'!"&amp; "P" &amp; $B42)</f>
        <v>59.519999999999996</v>
      </c>
      <c r="N42" s="310" cm="1">
        <f t="array" aca="1" ref="N42" ca="1">INDIRECT("'"&amp;$A42&amp;"'!"&amp; "Q" &amp; $B42)</f>
        <v>61.81</v>
      </c>
      <c r="O42" s="310" cm="1">
        <f t="array" aca="1" ref="O42" ca="1">INDIRECT("'"&amp;$A42&amp;"'!"&amp; "R" &amp; $B42)</f>
        <v>61</v>
      </c>
      <c r="P42" s="310" cm="1">
        <f t="array" aca="1" ref="P42" ca="1">INDIRECT("'"&amp;$A42&amp;"'!"&amp; "S" &amp; $B42)</f>
        <v>62.82</v>
      </c>
      <c r="Q42" s="310" cm="1">
        <f t="array" aca="1" ref="Q42" ca="1">INDIRECT("'"&amp;$A42&amp;"'!"&amp; "T" &amp; $B42)</f>
        <v>65.819999999999993</v>
      </c>
      <c r="R42" s="310" cm="1">
        <f t="array" aca="1" ref="R42" ca="1">INDIRECT("'"&amp;$A42&amp;"'!"&amp; "U" &amp; $B42)</f>
        <v>64.97</v>
      </c>
      <c r="S42" s="310" cm="1">
        <f t="array" aca="1" ref="S42" ca="1">INDIRECT("'"&amp;$A42&amp;"'!"&amp; "V" &amp; $B42)</f>
        <v>64.3</v>
      </c>
      <c r="T42" s="310" cm="1">
        <f t="array" aca="1" ref="T42" ca="1">INDIRECT("'"&amp;$A42&amp;"'!"&amp; "W" &amp; $B42)</f>
        <v>61.25</v>
      </c>
      <c r="U42" s="310" cm="1">
        <f t="array" aca="1" ref="U42" ca="1">INDIRECT("'"&amp;$A42&amp;"'!"&amp; "X" &amp; $B42)</f>
        <v>54.550000000000004</v>
      </c>
      <c r="V42" s="310" cm="1">
        <f t="array" aca="1" ref="V42" ca="1">INDIRECT("'"&amp;$A42&amp;"'!"&amp; "Y" &amp; $B42)</f>
        <v>57.430000000000007</v>
      </c>
      <c r="W42" s="310" cm="1">
        <f t="array" aca="1" ref="W42" ca="1">INDIRECT("'"&amp;$A42&amp;"'!"&amp; "Z" &amp; $B42)</f>
        <v>55.02</v>
      </c>
      <c r="X42" s="310" cm="1">
        <f t="array" aca="1" ref="X42" ca="1">INDIRECT("'"&amp;$A42&amp;"'!"&amp; "AA" &amp; $B42)</f>
        <v>53.890000000000008</v>
      </c>
      <c r="Y42" s="310" cm="1">
        <f t="array" aca="1" ref="Y42" ca="1">INDIRECT("'"&amp;$A42&amp;"'!"&amp; "AB" &amp; $B42)</f>
        <v>50.6</v>
      </c>
      <c r="Z42" s="310" cm="1">
        <f t="array" aca="1" ref="Z42" ca="1">INDIRECT("'"&amp;$A42&amp;"'!"&amp; "AC" &amp; $B42)</f>
        <v>46.940000000000005</v>
      </c>
    </row>
    <row r="43" spans="1:26">
      <c r="A43" s="79">
        <v>9</v>
      </c>
      <c r="B43" s="79">
        <v>108</v>
      </c>
      <c r="C43" s="310" cm="1">
        <f t="array" aca="1" ref="C43" ca="1">INDIRECT("'"&amp;$A43&amp;"'!"&amp; "F" &amp; $B43)</f>
        <v>44.230000000000004</v>
      </c>
      <c r="D43" s="310" cm="1">
        <f t="array" aca="1" ref="D43" ca="1">INDIRECT("'"&amp;$A43&amp;"'!"&amp; "g" &amp; $B43)</f>
        <v>41.09</v>
      </c>
      <c r="E43" s="310" cm="1">
        <f t="array" aca="1" ref="E43" ca="1">INDIRECT("'"&amp;$A43&amp;"'!"&amp; "H" &amp; $B43)</f>
        <v>35.380000000000003</v>
      </c>
      <c r="F43" s="310" cm="1">
        <f t="array" aca="1" ref="F43" ca="1">INDIRECT("'"&amp;$A43&amp;"'!"&amp; "I" &amp; $B43)</f>
        <v>37.619999999999997</v>
      </c>
      <c r="G43" s="310" cm="1">
        <f t="array" aca="1" ref="G43" ca="1">INDIRECT("'"&amp;$A43&amp;"'!"&amp; "J" &amp; $B43)</f>
        <v>37.380000000000003</v>
      </c>
      <c r="H43" s="310" cm="1">
        <f t="array" aca="1" ref="H43" ca="1">INDIRECT("'"&amp;$A43&amp;"'!"&amp; "K" &amp; $B43)</f>
        <v>39.600000000000009</v>
      </c>
      <c r="I43" s="310" cm="1">
        <f t="array" aca="1" ref="I43" ca="1">INDIRECT("'"&amp;$A43&amp;"'!"&amp; "L" &amp; $B43)</f>
        <v>45.41</v>
      </c>
      <c r="J43" s="310" cm="1">
        <f t="array" aca="1" ref="J43" ca="1">INDIRECT("'"&amp;$A43&amp;"'!"&amp; "M" &amp; $B43)</f>
        <v>40.529999999999994</v>
      </c>
      <c r="K43" s="310" cm="1">
        <f t="array" aca="1" ref="K43" ca="1">INDIRECT("'"&amp;$A43&amp;"'!"&amp; "N" &amp; $B43)</f>
        <v>46.970000000000006</v>
      </c>
      <c r="L43" s="310" cm="1">
        <f t="array" aca="1" ref="L43" ca="1">INDIRECT("'"&amp;$A43&amp;"'!"&amp; "O" &amp; $B43)</f>
        <v>52.82</v>
      </c>
      <c r="M43" s="310" cm="1">
        <f t="array" aca="1" ref="M43" ca="1">INDIRECT("'"&amp;$A43&amp;"'!"&amp; "P" &amp; $B43)</f>
        <v>56.640000000000008</v>
      </c>
      <c r="N43" s="310" cm="1">
        <f t="array" aca="1" ref="N43" ca="1">INDIRECT("'"&amp;$A43&amp;"'!"&amp; "Q" &amp; $B43)</f>
        <v>59.430000000000007</v>
      </c>
      <c r="O43" s="310" cm="1">
        <f t="array" aca="1" ref="O43" ca="1">INDIRECT("'"&amp;$A43&amp;"'!"&amp; "R" &amp; $B43)</f>
        <v>60.47999999999999</v>
      </c>
      <c r="P43" s="310" cm="1">
        <f t="array" aca="1" ref="P43" ca="1">INDIRECT("'"&amp;$A43&amp;"'!"&amp; "S" &amp; $B43)</f>
        <v>60.15</v>
      </c>
      <c r="Q43" s="310" cm="1">
        <f t="array" aca="1" ref="Q43" ca="1">INDIRECT("'"&amp;$A43&amp;"'!"&amp; "T" &amp; $B43)</f>
        <v>62.59</v>
      </c>
      <c r="R43" s="310" cm="1">
        <f t="array" aca="1" ref="R43" ca="1">INDIRECT("'"&amp;$A43&amp;"'!"&amp; "U" &amp; $B43)</f>
        <v>60.45</v>
      </c>
      <c r="S43" s="310" cm="1">
        <f t="array" aca="1" ref="S43" ca="1">INDIRECT("'"&amp;$A43&amp;"'!"&amp; "V" &amp; $B43)</f>
        <v>61.22</v>
      </c>
      <c r="T43" s="310" cm="1">
        <f t="array" aca="1" ref="T43" ca="1">INDIRECT("'"&amp;$A43&amp;"'!"&amp; "W" &amp; $B43)</f>
        <v>59.230000000000004</v>
      </c>
      <c r="U43" s="310" cm="1">
        <f t="array" aca="1" ref="U43" ca="1">INDIRECT("'"&amp;$A43&amp;"'!"&amp; "X" &amp; $B43)</f>
        <v>54.769999999999996</v>
      </c>
      <c r="V43" s="310" cm="1">
        <f t="array" aca="1" ref="V43" ca="1">INDIRECT("'"&amp;$A43&amp;"'!"&amp; "Y" &amp; $B43)</f>
        <v>61.61</v>
      </c>
      <c r="W43" s="310" cm="1">
        <f t="array" aca="1" ref="W43" ca="1">INDIRECT("'"&amp;$A43&amp;"'!"&amp; "Z" &amp; $B43)</f>
        <v>58.97</v>
      </c>
      <c r="X43" s="310" cm="1">
        <f t="array" aca="1" ref="X43" ca="1">INDIRECT("'"&amp;$A43&amp;"'!"&amp; "AA" &amp; $B43)</f>
        <v>54.669999999999987</v>
      </c>
      <c r="Y43" s="310" cm="1">
        <f t="array" aca="1" ref="Y43" ca="1">INDIRECT("'"&amp;$A43&amp;"'!"&amp; "AB" &amp; $B43)</f>
        <v>49.209999999999994</v>
      </c>
      <c r="Z43" s="310" cm="1">
        <f t="array" aca="1" ref="Z43" ca="1">INDIRECT("'"&amp;$A43&amp;"'!"&amp; "AC" &amp; $B43)</f>
        <v>47.379999999999995</v>
      </c>
    </row>
    <row r="44" spans="1:26">
      <c r="A44" s="79">
        <v>10</v>
      </c>
      <c r="B44" s="79">
        <v>108</v>
      </c>
      <c r="C44" s="310" cm="1">
        <f t="array" aca="1" ref="C44" ca="1">INDIRECT("'"&amp;$A44&amp;"'!"&amp; "F" &amp; $B44)</f>
        <v>42.63</v>
      </c>
      <c r="D44" s="310" cm="1">
        <f t="array" aca="1" ref="D44" ca="1">INDIRECT("'"&amp;$A44&amp;"'!"&amp; "g" &amp; $B44)</f>
        <v>40.239999999999995</v>
      </c>
      <c r="E44" s="310" cm="1">
        <f t="array" aca="1" ref="E44" ca="1">INDIRECT("'"&amp;$A44&amp;"'!"&amp; "H" &amp; $B44)</f>
        <v>34.97</v>
      </c>
      <c r="F44" s="310" cm="1">
        <f t="array" aca="1" ref="F44" ca="1">INDIRECT("'"&amp;$A44&amp;"'!"&amp; "I" &amp; $B44)</f>
        <v>37.970000000000006</v>
      </c>
      <c r="G44" s="310" cm="1">
        <f t="array" aca="1" ref="G44" ca="1">INDIRECT("'"&amp;$A44&amp;"'!"&amp; "J" &amp; $B44)</f>
        <v>37.42</v>
      </c>
      <c r="H44" s="310" cm="1">
        <f t="array" aca="1" ref="H44" ca="1">INDIRECT("'"&amp;$A44&amp;"'!"&amp; "K" &amp; $B44)</f>
        <v>39.979999999999997</v>
      </c>
      <c r="I44" s="310" cm="1">
        <f t="array" aca="1" ref="I44" ca="1">INDIRECT("'"&amp;$A44&amp;"'!"&amp; "L" &amp; $B44)</f>
        <v>44.39</v>
      </c>
      <c r="J44" s="310" cm="1">
        <f t="array" aca="1" ref="J44" ca="1">INDIRECT("'"&amp;$A44&amp;"'!"&amp; "M" &amp; $B44)</f>
        <v>40.839999999999996</v>
      </c>
      <c r="K44" s="310" cm="1">
        <f t="array" aca="1" ref="K44" ca="1">INDIRECT("'"&amp;$A44&amp;"'!"&amp; "N" &amp; $B44)</f>
        <v>46.069999999999993</v>
      </c>
      <c r="L44" s="310" cm="1">
        <f t="array" aca="1" ref="L44" ca="1">INDIRECT("'"&amp;$A44&amp;"'!"&amp; "O" &amp; $B44)</f>
        <v>55.449999999999996</v>
      </c>
      <c r="M44" s="310" cm="1">
        <f t="array" aca="1" ref="M44" ca="1">INDIRECT("'"&amp;$A44&amp;"'!"&amp; "P" &amp; $B44)</f>
        <v>60.68</v>
      </c>
      <c r="N44" s="310" cm="1">
        <f t="array" aca="1" ref="N44" ca="1">INDIRECT("'"&amp;$A44&amp;"'!"&amp; "Q" &amp; $B44)</f>
        <v>60.25</v>
      </c>
      <c r="O44" s="310" cm="1">
        <f t="array" aca="1" ref="O44" ca="1">INDIRECT("'"&amp;$A44&amp;"'!"&amp; "R" &amp; $B44)</f>
        <v>59.99</v>
      </c>
      <c r="P44" s="310" cm="1">
        <f t="array" aca="1" ref="P44" ca="1">INDIRECT("'"&amp;$A44&amp;"'!"&amp; "S" &amp; $B44)</f>
        <v>60.36</v>
      </c>
      <c r="Q44" s="310" cm="1">
        <f t="array" aca="1" ref="Q44" ca="1">INDIRECT("'"&amp;$A44&amp;"'!"&amp; "T" &amp; $B44)</f>
        <v>62.53</v>
      </c>
      <c r="R44" s="310" cm="1">
        <f t="array" aca="1" ref="R44" ca="1">INDIRECT("'"&amp;$A44&amp;"'!"&amp; "U" &amp; $B44)</f>
        <v>62.569999999999986</v>
      </c>
      <c r="S44" s="310" cm="1">
        <f t="array" aca="1" ref="S44" ca="1">INDIRECT("'"&amp;$A44&amp;"'!"&amp; "V" &amp; $B44)</f>
        <v>62.349999999999994</v>
      </c>
      <c r="T44" s="310" cm="1">
        <f t="array" aca="1" ref="T44" ca="1">INDIRECT("'"&amp;$A44&amp;"'!"&amp; "W" &amp; $B44)</f>
        <v>56.009999999999991</v>
      </c>
      <c r="U44" s="310" cm="1">
        <f t="array" aca="1" ref="U44" ca="1">INDIRECT("'"&amp;$A44&amp;"'!"&amp; "X" &amp; $B44)</f>
        <v>53.279999999999994</v>
      </c>
      <c r="V44" s="310" cm="1">
        <f t="array" aca="1" ref="V44" ca="1">INDIRECT("'"&amp;$A44&amp;"'!"&amp; "Y" &amp; $B44)</f>
        <v>57.779999999999994</v>
      </c>
      <c r="W44" s="310" cm="1">
        <f t="array" aca="1" ref="W44" ca="1">INDIRECT("'"&amp;$A44&amp;"'!"&amp; "Z" &amp; $B44)</f>
        <v>55.4</v>
      </c>
      <c r="X44" s="310" cm="1">
        <f t="array" aca="1" ref="X44" ca="1">INDIRECT("'"&amp;$A44&amp;"'!"&amp; "AA" &amp; $B44)</f>
        <v>53.289999999999992</v>
      </c>
      <c r="Y44" s="310" cm="1">
        <f t="array" aca="1" ref="Y44" ca="1">INDIRECT("'"&amp;$A44&amp;"'!"&amp; "AB" &amp; $B44)</f>
        <v>48.97</v>
      </c>
      <c r="Z44" s="310" cm="1">
        <f t="array" aca="1" ref="Z44" ca="1">INDIRECT("'"&amp;$A44&amp;"'!"&amp; "AC" &amp; $B44)</f>
        <v>46.55</v>
      </c>
    </row>
    <row r="45" spans="1:26">
      <c r="A45" s="79">
        <v>11</v>
      </c>
      <c r="B45" s="79">
        <v>108</v>
      </c>
      <c r="C45" s="310" cm="1">
        <f t="array" aca="1" ref="C45" ca="1">INDIRECT("'"&amp;$A45&amp;"'!"&amp; "F" &amp; $B45)</f>
        <v>42.34</v>
      </c>
      <c r="D45" s="310" cm="1">
        <f t="array" aca="1" ref="D45" ca="1">INDIRECT("'"&amp;$A45&amp;"'!"&amp; "g" &amp; $B45)</f>
        <v>40.330000000000005</v>
      </c>
      <c r="E45" s="310" cm="1">
        <f t="array" aca="1" ref="E45" ca="1">INDIRECT("'"&amp;$A45&amp;"'!"&amp; "H" &amp; $B45)</f>
        <v>35.18</v>
      </c>
      <c r="F45" s="310" cm="1">
        <f t="array" aca="1" ref="F45" ca="1">INDIRECT("'"&amp;$A45&amp;"'!"&amp; "I" &amp; $B45)</f>
        <v>38.019999999999996</v>
      </c>
      <c r="G45" s="310" cm="1">
        <f t="array" aca="1" ref="G45" ca="1">INDIRECT("'"&amp;$A45&amp;"'!"&amp; "J" &amp; $B45)</f>
        <v>37.089999999999996</v>
      </c>
      <c r="H45" s="310" cm="1">
        <f t="array" aca="1" ref="H45" ca="1">INDIRECT("'"&amp;$A45&amp;"'!"&amp; "K" &amp; $B45)</f>
        <v>38.43</v>
      </c>
      <c r="I45" s="310" cm="1">
        <f t="array" aca="1" ref="I45" ca="1">INDIRECT("'"&amp;$A45&amp;"'!"&amp; "L" &amp; $B45)</f>
        <v>43.2</v>
      </c>
      <c r="J45" s="310" cm="1">
        <f t="array" aca="1" ref="J45" ca="1">INDIRECT("'"&amp;$A45&amp;"'!"&amp; "M" &amp; $B45)</f>
        <v>40.780000000000008</v>
      </c>
      <c r="K45" s="310" cm="1">
        <f t="array" aca="1" ref="K45" ca="1">INDIRECT("'"&amp;$A45&amp;"'!"&amp; "N" &amp; $B45)</f>
        <v>45.8</v>
      </c>
      <c r="L45" s="310" cm="1">
        <f t="array" aca="1" ref="L45" ca="1">INDIRECT("'"&amp;$A45&amp;"'!"&amp; "O" &amp; $B45)</f>
        <v>52.620000000000005</v>
      </c>
      <c r="M45" s="310" cm="1">
        <f t="array" aca="1" ref="M45" ca="1">INDIRECT("'"&amp;$A45&amp;"'!"&amp; "P" &amp; $B45)</f>
        <v>56.239999999999995</v>
      </c>
      <c r="N45" s="310" cm="1">
        <f t="array" aca="1" ref="N45" ca="1">INDIRECT("'"&amp;$A45&amp;"'!"&amp; "Q" &amp; $B45)</f>
        <v>59.25</v>
      </c>
      <c r="O45" s="310" cm="1">
        <f t="array" aca="1" ref="O45" ca="1">INDIRECT("'"&amp;$A45&amp;"'!"&amp; "R" &amp; $B45)</f>
        <v>59.949999999999996</v>
      </c>
      <c r="P45" s="310" cm="1">
        <f t="array" aca="1" ref="P45" ca="1">INDIRECT("'"&amp;$A45&amp;"'!"&amp; "S" &amp; $B45)</f>
        <v>59.9</v>
      </c>
      <c r="Q45" s="310" cm="1">
        <f t="array" aca="1" ref="Q45" ca="1">INDIRECT("'"&amp;$A45&amp;"'!"&amp; "T" &amp; $B45)</f>
        <v>60.89</v>
      </c>
      <c r="R45" s="310" cm="1">
        <f t="array" aca="1" ref="R45" ca="1">INDIRECT("'"&amp;$A45&amp;"'!"&amp; "U" &amp; $B45)</f>
        <v>58.110000000000007</v>
      </c>
      <c r="S45" s="310" cm="1">
        <f t="array" aca="1" ref="S45" ca="1">INDIRECT("'"&amp;$A45&amp;"'!"&amp; "V" &amp; $B45)</f>
        <v>58.309999999999995</v>
      </c>
      <c r="T45" s="310" cm="1">
        <f t="array" aca="1" ref="T45" ca="1">INDIRECT("'"&amp;$A45&amp;"'!"&amp; "W" &amp; $B45)</f>
        <v>55.199999999999996</v>
      </c>
      <c r="U45" s="310" cm="1">
        <f t="array" aca="1" ref="U45" ca="1">INDIRECT("'"&amp;$A45&amp;"'!"&amp; "X" &amp; $B45)</f>
        <v>54.18</v>
      </c>
      <c r="V45" s="310" cm="1">
        <f t="array" aca="1" ref="V45" ca="1">INDIRECT("'"&amp;$A45&amp;"'!"&amp; "Y" &amp; $B45)</f>
        <v>58.28</v>
      </c>
      <c r="W45" s="310" cm="1">
        <f t="array" aca="1" ref="W45" ca="1">INDIRECT("'"&amp;$A45&amp;"'!"&amp; "Z" &amp; $B45)</f>
        <v>54.58</v>
      </c>
      <c r="X45" s="310" cm="1">
        <f t="array" aca="1" ref="X45" ca="1">INDIRECT("'"&amp;$A45&amp;"'!"&amp; "AA" &amp; $B45)</f>
        <v>51.68</v>
      </c>
      <c r="Y45" s="310" cm="1">
        <f t="array" aca="1" ref="Y45" ca="1">INDIRECT("'"&amp;$A45&amp;"'!"&amp; "AB" &amp; $B45)</f>
        <v>46.1</v>
      </c>
      <c r="Z45" s="310" cm="1">
        <f t="array" aca="1" ref="Z45" ca="1">INDIRECT("'"&amp;$A45&amp;"'!"&amp; "AC" &amp; $B45)</f>
        <v>41.500000000000007</v>
      </c>
    </row>
    <row r="46" spans="1:26">
      <c r="A46" s="79">
        <v>12</v>
      </c>
      <c r="B46" s="79">
        <v>108</v>
      </c>
      <c r="C46" s="310" cm="1">
        <f t="array" aca="1" ref="C46" ca="1">INDIRECT("'"&amp;$A46&amp;"'!"&amp; "F" &amp; $B46)</f>
        <v>38.879999999999995</v>
      </c>
      <c r="D46" s="310" cm="1">
        <f t="array" aca="1" ref="D46" ca="1">INDIRECT("'"&amp;$A46&amp;"'!"&amp; "g" &amp; $B46)</f>
        <v>36.800000000000004</v>
      </c>
      <c r="E46" s="310" cm="1">
        <f t="array" aca="1" ref="E46" ca="1">INDIRECT("'"&amp;$A46&amp;"'!"&amp; "H" &amp; $B46)</f>
        <v>34.959999999999994</v>
      </c>
      <c r="F46" s="310" cm="1">
        <f t="array" aca="1" ref="F46" ca="1">INDIRECT("'"&amp;$A46&amp;"'!"&amp; "I" &amp; $B46)</f>
        <v>34.449999999999996</v>
      </c>
      <c r="G46" s="310" cm="1">
        <f t="array" aca="1" ref="G46" ca="1">INDIRECT("'"&amp;$A46&amp;"'!"&amp; "J" &amp; $B46)</f>
        <v>33.840000000000003</v>
      </c>
      <c r="H46" s="310" cm="1">
        <f t="array" aca="1" ref="H46" ca="1">INDIRECT("'"&amp;$A46&amp;"'!"&amp; "K" &amp; $B46)</f>
        <v>34.42</v>
      </c>
      <c r="I46" s="310" cm="1">
        <f t="array" aca="1" ref="I46" ca="1">INDIRECT("'"&amp;$A46&amp;"'!"&amp; "L" &amp; $B46)</f>
        <v>36.68</v>
      </c>
      <c r="J46" s="310" cm="1">
        <f t="array" aca="1" ref="J46" ca="1">INDIRECT("'"&amp;$A46&amp;"'!"&amp; "M" &amp; $B46)</f>
        <v>37.19</v>
      </c>
      <c r="K46" s="310" cm="1">
        <f t="array" aca="1" ref="K46" ca="1">INDIRECT("'"&amp;$A46&amp;"'!"&amp; "N" &amp; $B46)</f>
        <v>40.67</v>
      </c>
      <c r="L46" s="310" cm="1">
        <f t="array" aca="1" ref="L46" ca="1">INDIRECT("'"&amp;$A46&amp;"'!"&amp; "O" &amp; $B46)</f>
        <v>46.37</v>
      </c>
      <c r="M46" s="310" cm="1">
        <f t="array" aca="1" ref="M46" ca="1">INDIRECT("'"&amp;$A46&amp;"'!"&amp; "P" &amp; $B46)</f>
        <v>49.490000000000009</v>
      </c>
      <c r="N46" s="310" cm="1">
        <f t="array" aca="1" ref="N46" ca="1">INDIRECT("'"&amp;$A46&amp;"'!"&amp; "Q" &amp; $B46)</f>
        <v>51.690000000000005</v>
      </c>
      <c r="O46" s="310" cm="1">
        <f t="array" aca="1" ref="O46" ca="1">INDIRECT("'"&amp;$A46&amp;"'!"&amp; "R" &amp; $B46)</f>
        <v>53.819999999999993</v>
      </c>
      <c r="P46" s="310" cm="1">
        <f t="array" aca="1" ref="P46" ca="1">INDIRECT("'"&amp;$A46&amp;"'!"&amp; "S" &amp; $B46)</f>
        <v>53.23</v>
      </c>
      <c r="Q46" s="310" cm="1">
        <f t="array" aca="1" ref="Q46" ca="1">INDIRECT("'"&amp;$A46&amp;"'!"&amp; "T" &amp; $B46)</f>
        <v>52.879999999999988</v>
      </c>
      <c r="R46" s="310" cm="1">
        <f t="array" aca="1" ref="R46" ca="1">INDIRECT("'"&amp;$A46&amp;"'!"&amp; "U" &amp; $B46)</f>
        <v>52.859999999999992</v>
      </c>
      <c r="S46" s="310" cm="1">
        <f t="array" aca="1" ref="S46" ca="1">INDIRECT("'"&amp;$A46&amp;"'!"&amp; "V" &amp; $B46)</f>
        <v>53.900000000000006</v>
      </c>
      <c r="T46" s="310" cm="1">
        <f t="array" aca="1" ref="T46" ca="1">INDIRECT("'"&amp;$A46&amp;"'!"&amp; "W" &amp; $B46)</f>
        <v>50.76</v>
      </c>
      <c r="U46" s="310" cm="1">
        <f t="array" aca="1" ref="U46" ca="1">INDIRECT("'"&amp;$A46&amp;"'!"&amp; "X" &amp; $B46)</f>
        <v>50.67</v>
      </c>
      <c r="V46" s="310" cm="1">
        <f t="array" aca="1" ref="V46" ca="1">INDIRECT("'"&amp;$A46&amp;"'!"&amp; "Y" &amp; $B46)</f>
        <v>57.809999999999995</v>
      </c>
      <c r="W46" s="310" cm="1">
        <f t="array" aca="1" ref="W46" ca="1">INDIRECT("'"&amp;$A46&amp;"'!"&amp; "Z" &amp; $B46)</f>
        <v>54.73</v>
      </c>
      <c r="X46" s="310" cm="1">
        <f t="array" aca="1" ref="X46" ca="1">INDIRECT("'"&amp;$A46&amp;"'!"&amp; "AA" &amp; $B46)</f>
        <v>51.689999999999991</v>
      </c>
      <c r="Y46" s="310" cm="1">
        <f t="array" aca="1" ref="Y46" ca="1">INDIRECT("'"&amp;$A46&amp;"'!"&amp; "AB" &amp; $B46)</f>
        <v>48.239999999999995</v>
      </c>
      <c r="Z46" s="310" cm="1">
        <f t="array" aca="1" ref="Z46" ca="1">INDIRECT("'"&amp;$A46&amp;"'!"&amp; "AC" &amp; $B46)</f>
        <v>44.559999999999995</v>
      </c>
    </row>
    <row r="47" spans="1:26">
      <c r="A47" s="79">
        <v>13</v>
      </c>
      <c r="B47" s="79">
        <v>108</v>
      </c>
      <c r="C47" s="310" cm="1">
        <f t="array" aca="1" ref="C47" ca="1">INDIRECT("'"&amp;$A47&amp;"'!"&amp; "F" &amp; $B47)</f>
        <v>41.160000000000004</v>
      </c>
      <c r="D47" s="310" cm="1">
        <f t="array" aca="1" ref="D47" ca="1">INDIRECT("'"&amp;$A47&amp;"'!"&amp; "g" &amp; $B47)</f>
        <v>38.28</v>
      </c>
      <c r="E47" s="310" cm="1">
        <f t="array" aca="1" ref="E47" ca="1">INDIRECT("'"&amp;$A47&amp;"'!"&amp; "H" &amp; $B47)</f>
        <v>35.359999999999992</v>
      </c>
      <c r="F47" s="310" cm="1">
        <f t="array" aca="1" ref="F47" ca="1">INDIRECT("'"&amp;$A47&amp;"'!"&amp; "I" &amp; $B47)</f>
        <v>35.24</v>
      </c>
      <c r="G47" s="310" cm="1">
        <f t="array" aca="1" ref="G47" ca="1">INDIRECT("'"&amp;$A47&amp;"'!"&amp; "J" &amp; $B47)</f>
        <v>34.909999999999997</v>
      </c>
      <c r="H47" s="310" cm="1">
        <f t="array" aca="1" ref="H47" ca="1">INDIRECT("'"&amp;$A47&amp;"'!"&amp; "K" &amp; $B47)</f>
        <v>34.96</v>
      </c>
      <c r="I47" s="310" cm="1">
        <f t="array" aca="1" ref="I47" ca="1">INDIRECT("'"&amp;$A47&amp;"'!"&amp; "L" &amp; $B47)</f>
        <v>36.510000000000005</v>
      </c>
      <c r="J47" s="310" cm="1">
        <f t="array" aca="1" ref="J47" ca="1">INDIRECT("'"&amp;$A47&amp;"'!"&amp; "M" &amp; $B47)</f>
        <v>37.270000000000003</v>
      </c>
      <c r="K47" s="310" cm="1">
        <f t="array" aca="1" ref="K47" ca="1">INDIRECT("'"&amp;$A47&amp;"'!"&amp; "N" &amp; $B47)</f>
        <v>40.36</v>
      </c>
      <c r="L47" s="310" cm="1">
        <f t="array" aca="1" ref="L47" ca="1">INDIRECT("'"&amp;$A47&amp;"'!"&amp; "O" &amp; $B47)</f>
        <v>43.03</v>
      </c>
      <c r="M47" s="310" cm="1">
        <f t="array" aca="1" ref="M47" ca="1">INDIRECT("'"&amp;$A47&amp;"'!"&amp; "P" &amp; $B47)</f>
        <v>45.829999999999991</v>
      </c>
      <c r="N47" s="310" cm="1">
        <f t="array" aca="1" ref="N47" ca="1">INDIRECT("'"&amp;$A47&amp;"'!"&amp; "Q" &amp; $B47)</f>
        <v>47.79</v>
      </c>
      <c r="O47" s="310" cm="1">
        <f t="array" aca="1" ref="O47" ca="1">INDIRECT("'"&amp;$A47&amp;"'!"&amp; "R" &amp; $B47)</f>
        <v>49.62</v>
      </c>
      <c r="P47" s="310" cm="1">
        <f t="array" aca="1" ref="P47" ca="1">INDIRECT("'"&amp;$A47&amp;"'!"&amp; "S" &amp; $B47)</f>
        <v>49.98</v>
      </c>
      <c r="Q47" s="310" cm="1">
        <f t="array" aca="1" ref="Q47" ca="1">INDIRECT("'"&amp;$A47&amp;"'!"&amp; "T" &amp; $B47)</f>
        <v>49.530000000000008</v>
      </c>
      <c r="R47" s="310" cm="1">
        <f t="array" aca="1" ref="R47" ca="1">INDIRECT("'"&amp;$A47&amp;"'!"&amp; "U" &amp; $B47)</f>
        <v>49.24</v>
      </c>
      <c r="S47" s="310" cm="1">
        <f t="array" aca="1" ref="S47" ca="1">INDIRECT("'"&amp;$A47&amp;"'!"&amp; "V" &amp; $B47)</f>
        <v>48.459999999999994</v>
      </c>
      <c r="T47" s="310" cm="1">
        <f t="array" aca="1" ref="T47" ca="1">INDIRECT("'"&amp;$A47&amp;"'!"&amp; "W" &amp; $B47)</f>
        <v>50.4</v>
      </c>
      <c r="U47" s="310" cm="1">
        <f t="array" aca="1" ref="U47" ca="1">INDIRECT("'"&amp;$A47&amp;"'!"&amp; "X" &amp; $B47)</f>
        <v>50.970000000000006</v>
      </c>
      <c r="V47" s="310" cm="1">
        <f t="array" aca="1" ref="V47" ca="1">INDIRECT("'"&amp;$A47&amp;"'!"&amp; "Y" &amp; $B47)</f>
        <v>57.720000000000013</v>
      </c>
      <c r="W47" s="310" cm="1">
        <f t="array" aca="1" ref="W47" ca="1">INDIRECT("'"&amp;$A47&amp;"'!"&amp; "Z" &amp; $B47)</f>
        <v>55.059999999999995</v>
      </c>
      <c r="X47" s="310" cm="1">
        <f t="array" aca="1" ref="X47" ca="1">INDIRECT("'"&amp;$A47&amp;"'!"&amp; "AA" &amp; $B47)</f>
        <v>52.390000000000008</v>
      </c>
      <c r="Y47" s="310" cm="1">
        <f t="array" aca="1" ref="Y47" ca="1">INDIRECT("'"&amp;$A47&amp;"'!"&amp; "AB" &amp; $B47)</f>
        <v>48.640000000000008</v>
      </c>
      <c r="Z47" s="310" cm="1">
        <f t="array" aca="1" ref="Z47" ca="1">INDIRECT("'"&amp;$A47&amp;"'!"&amp; "AC" &amp; $B47)</f>
        <v>43.87</v>
      </c>
    </row>
    <row r="48" spans="1:26">
      <c r="A48" s="79">
        <v>14</v>
      </c>
      <c r="B48" s="79">
        <v>108</v>
      </c>
      <c r="C48" s="310" cm="1">
        <f t="array" aca="1" ref="C48" ca="1">INDIRECT("'"&amp;$A48&amp;"'!"&amp; "F" &amp; $B48)</f>
        <v>40.440000000000005</v>
      </c>
      <c r="D48" s="310" cm="1">
        <f t="array" aca="1" ref="D48" ca="1">INDIRECT("'"&amp;$A48&amp;"'!"&amp; "g" &amp; $B48)</f>
        <v>37.445</v>
      </c>
      <c r="E48" s="310" cm="1">
        <f t="array" aca="1" ref="E48" ca="1">INDIRECT("'"&amp;$A48&amp;"'!"&amp; "H" &amp; $B48)</f>
        <v>35.39</v>
      </c>
      <c r="F48" s="310" cm="1">
        <f t="array" aca="1" ref="F48" ca="1">INDIRECT("'"&amp;$A48&amp;"'!"&amp; "I" &amp; $B48)</f>
        <v>35.659999999999997</v>
      </c>
      <c r="G48" s="310" cm="1">
        <f t="array" aca="1" ref="G48" ca="1">INDIRECT("'"&amp;$A48&amp;"'!"&amp; "J" &amp; $B48)</f>
        <v>35.06</v>
      </c>
      <c r="H48" s="310" cm="1">
        <f t="array" aca="1" ref="H48" ca="1">INDIRECT("'"&amp;$A48&amp;"'!"&amp; "K" &amp; $B48)</f>
        <v>37.649999999999991</v>
      </c>
      <c r="I48" s="310" cm="1">
        <f t="array" aca="1" ref="I48" ca="1">INDIRECT("'"&amp;$A48&amp;"'!"&amp; "L" &amp; $B48)</f>
        <v>42.54</v>
      </c>
      <c r="J48" s="310" cm="1">
        <f t="array" aca="1" ref="J48" ca="1">INDIRECT("'"&amp;$A48&amp;"'!"&amp; "M" &amp; $B48)</f>
        <v>39.089999999999996</v>
      </c>
      <c r="K48" s="310" cm="1">
        <f t="array" aca="1" ref="K48" ca="1">INDIRECT("'"&amp;$A48&amp;"'!"&amp; "N" &amp; $B48)</f>
        <v>43.85</v>
      </c>
      <c r="L48" s="310" cm="1">
        <f t="array" aca="1" ref="L48" ca="1">INDIRECT("'"&amp;$A48&amp;"'!"&amp; "O" &amp; $B48)</f>
        <v>53.53</v>
      </c>
      <c r="M48" s="310" cm="1">
        <f t="array" aca="1" ref="M48" ca="1">INDIRECT("'"&amp;$A48&amp;"'!"&amp; "P" &amp; $B48)</f>
        <v>59.01</v>
      </c>
      <c r="N48" s="310" cm="1">
        <f t="array" aca="1" ref="N48" ca="1">INDIRECT("'"&amp;$A48&amp;"'!"&amp; "Q" &amp; $B48)</f>
        <v>59.77</v>
      </c>
      <c r="O48" s="310" cm="1">
        <f t="array" aca="1" ref="O48" ca="1">INDIRECT("'"&amp;$A48&amp;"'!"&amp; "R" &amp; $B48)</f>
        <v>59.489999999999995</v>
      </c>
      <c r="P48" s="310" cm="1">
        <f t="array" aca="1" ref="P48" ca="1">INDIRECT("'"&amp;$A48&amp;"'!"&amp; "S" &amp; $B48)</f>
        <v>62.019999999999996</v>
      </c>
      <c r="Q48" s="310" cm="1">
        <f t="array" aca="1" ref="Q48" ca="1">INDIRECT("'"&amp;$A48&amp;"'!"&amp; "T" &amp; $B48)</f>
        <v>62.43</v>
      </c>
      <c r="R48" s="310" cm="1">
        <f t="array" aca="1" ref="R48" ca="1">INDIRECT("'"&amp;$A48&amp;"'!"&amp; "U" &amp; $B48)</f>
        <v>61.8</v>
      </c>
      <c r="S48" s="310" cm="1">
        <f t="array" aca="1" ref="S48" ca="1">INDIRECT("'"&amp;$A48&amp;"'!"&amp; "V" &amp; $B48)</f>
        <v>60.629999999999988</v>
      </c>
      <c r="T48" s="310" cm="1">
        <f t="array" aca="1" ref="T48" ca="1">INDIRECT("'"&amp;$A48&amp;"'!"&amp; "W" &amp; $B48)</f>
        <v>58.77</v>
      </c>
      <c r="U48" s="310" cm="1">
        <f t="array" aca="1" ref="U48" ca="1">INDIRECT("'"&amp;$A48&amp;"'!"&amp; "X" &amp; $B48)</f>
        <v>57.16</v>
      </c>
      <c r="V48" s="310" cm="1">
        <f t="array" aca="1" ref="V48" ca="1">INDIRECT("'"&amp;$A48&amp;"'!"&amp; "Y" &amp; $B48)</f>
        <v>60.779999999999994</v>
      </c>
      <c r="W48" s="310" cm="1">
        <f t="array" aca="1" ref="W48" ca="1">INDIRECT("'"&amp;$A48&amp;"'!"&amp; "Z" &amp; $B48)</f>
        <v>59.46</v>
      </c>
      <c r="X48" s="310" cm="1">
        <f t="array" aca="1" ref="X48" ca="1">INDIRECT("'"&amp;$A48&amp;"'!"&amp; "AA" &amp; $B48)</f>
        <v>54.029999999999994</v>
      </c>
      <c r="Y48" s="310" cm="1">
        <f t="array" aca="1" ref="Y48" ca="1">INDIRECT("'"&amp;$A48&amp;"'!"&amp; "AB" &amp; $B48)</f>
        <v>50.129999999999995</v>
      </c>
      <c r="Z48" s="310" cm="1">
        <f t="array" aca="1" ref="Z48" ca="1">INDIRECT("'"&amp;$A48&amp;"'!"&amp; "AC" &amp; $B48)</f>
        <v>45.410000000000004</v>
      </c>
    </row>
    <row r="49" spans="1:26">
      <c r="A49" s="79">
        <v>15</v>
      </c>
      <c r="B49" s="79">
        <v>108</v>
      </c>
      <c r="C49" s="310" cm="1">
        <f t="array" aca="1" ref="C49" ca="1">INDIRECT("'"&amp;$A49&amp;"'!"&amp; "F" &amp; $B49)</f>
        <v>40.869999999999997</v>
      </c>
      <c r="D49" s="310" cm="1">
        <f t="array" aca="1" ref="D49" ca="1">INDIRECT("'"&amp;$A49&amp;"'!"&amp; "g" &amp; $B49)</f>
        <v>39.18</v>
      </c>
      <c r="E49" s="310" cm="1">
        <f t="array" aca="1" ref="E49" ca="1">INDIRECT("'"&amp;$A49&amp;"'!"&amp; "H" &amp; $B49)</f>
        <v>35.5</v>
      </c>
      <c r="F49" s="310" cm="1">
        <f t="array" aca="1" ref="F49" ca="1">INDIRECT("'"&amp;$A49&amp;"'!"&amp; "I" &amp; $B49)</f>
        <v>37.14</v>
      </c>
      <c r="G49" s="310" cm="1">
        <f t="array" aca="1" ref="G49" ca="1">INDIRECT("'"&amp;$A49&amp;"'!"&amp; "J" &amp; $B49)</f>
        <v>36.79</v>
      </c>
      <c r="H49" s="310" cm="1">
        <f t="array" aca="1" ref="H49" ca="1">INDIRECT("'"&amp;$A49&amp;"'!"&amp; "K" &amp; $B49)</f>
        <v>38.32</v>
      </c>
      <c r="I49" s="310" cm="1">
        <f t="array" aca="1" ref="I49" ca="1">INDIRECT("'"&amp;$A49&amp;"'!"&amp; "L" &amp; $B49)</f>
        <v>43.540000000000006</v>
      </c>
      <c r="J49" s="310" cm="1">
        <f t="array" aca="1" ref="J49" ca="1">INDIRECT("'"&amp;$A49&amp;"'!"&amp; "M" &amp; $B49)</f>
        <v>40.65</v>
      </c>
      <c r="K49" s="310" cm="1">
        <f t="array" aca="1" ref="K49" ca="1">INDIRECT("'"&amp;$A49&amp;"'!"&amp; "N" &amp; $B49)</f>
        <v>46.300000000000011</v>
      </c>
      <c r="L49" s="310" cm="1">
        <f t="array" aca="1" ref="L49" ca="1">INDIRECT("'"&amp;$A49&amp;"'!"&amp; "O" &amp; $B49)</f>
        <v>54.239999999999995</v>
      </c>
      <c r="M49" s="310" cm="1">
        <f t="array" aca="1" ref="M49" ca="1">INDIRECT("'"&amp;$A49&amp;"'!"&amp; "P" &amp; $B49)</f>
        <v>58</v>
      </c>
      <c r="N49" s="310" cm="1">
        <f t="array" aca="1" ref="N49" ca="1">INDIRECT("'"&amp;$A49&amp;"'!"&amp; "Q" &amp; $B49)</f>
        <v>59.399999999999991</v>
      </c>
      <c r="O49" s="310" cm="1">
        <f t="array" aca="1" ref="O49" ca="1">INDIRECT("'"&amp;$A49&amp;"'!"&amp; "R" &amp; $B49)</f>
        <v>58.790000000000006</v>
      </c>
      <c r="P49" s="310" cm="1">
        <f t="array" aca="1" ref="P49" ca="1">INDIRECT("'"&amp;$A49&amp;"'!"&amp; "S" &amp; $B49)</f>
        <v>59.900000000000006</v>
      </c>
      <c r="Q49" s="310" cm="1">
        <f t="array" aca="1" ref="Q49" ca="1">INDIRECT("'"&amp;$A49&amp;"'!"&amp; "T" &amp; $B49)</f>
        <v>61.48</v>
      </c>
      <c r="R49" s="310" cm="1">
        <f t="array" aca="1" ref="R49" ca="1">INDIRECT("'"&amp;$A49&amp;"'!"&amp; "U" &amp; $B49)</f>
        <v>60.77</v>
      </c>
      <c r="S49" s="310" cm="1">
        <f t="array" aca="1" ref="S49" ca="1">INDIRECT("'"&amp;$A49&amp;"'!"&amp; "V" &amp; $B49)</f>
        <v>62.519999999999996</v>
      </c>
      <c r="T49" s="310" cm="1">
        <f t="array" aca="1" ref="T49" ca="1">INDIRECT("'"&amp;$A49&amp;"'!"&amp; "W" &amp; $B49)</f>
        <v>57.160000000000004</v>
      </c>
      <c r="U49" s="310" cm="1">
        <f t="array" aca="1" ref="U49" ca="1">INDIRECT("'"&amp;$A49&amp;"'!"&amp; "X" &amp; $B49)</f>
        <v>55.19</v>
      </c>
      <c r="V49" s="310" cm="1">
        <f t="array" aca="1" ref="V49" ca="1">INDIRECT("'"&amp;$A49&amp;"'!"&amp; "Y" &amp; $B49)</f>
        <v>60.61</v>
      </c>
      <c r="W49" s="310" cm="1">
        <f t="array" aca="1" ref="W49" ca="1">INDIRECT("'"&amp;$A49&amp;"'!"&amp; "Z" &amp; $B49)</f>
        <v>57.629999999999995</v>
      </c>
      <c r="X49" s="310" cm="1">
        <f t="array" aca="1" ref="X49" ca="1">INDIRECT("'"&amp;$A49&amp;"'!"&amp; "AA" &amp; $B49)</f>
        <v>54.61999999999999</v>
      </c>
      <c r="Y49" s="310" cm="1">
        <f t="array" aca="1" ref="Y49" ca="1">INDIRECT("'"&amp;$A49&amp;"'!"&amp; "AB" &amp; $B49)</f>
        <v>48.24</v>
      </c>
      <c r="Z49" s="310" cm="1">
        <f t="array" aca="1" ref="Z49" ca="1">INDIRECT("'"&amp;$A49&amp;"'!"&amp; "AC" &amp; $B49)</f>
        <v>44.870000000000005</v>
      </c>
    </row>
    <row r="50" spans="1:26">
      <c r="A50" s="79">
        <v>16</v>
      </c>
      <c r="B50" s="79">
        <v>108</v>
      </c>
      <c r="C50" s="310" cm="1">
        <f t="array" aca="1" ref="C50" ca="1">INDIRECT("'"&amp;$A50&amp;"'!"&amp; "F" &amp; $B50)</f>
        <v>41.319999999999993</v>
      </c>
      <c r="D50" s="310" cm="1">
        <f t="array" aca="1" ref="D50" ca="1">INDIRECT("'"&amp;$A50&amp;"'!"&amp; "g" &amp; $B50)</f>
        <v>38.74</v>
      </c>
      <c r="E50" s="310" cm="1">
        <f t="array" aca="1" ref="E50" ca="1">INDIRECT("'"&amp;$A50&amp;"'!"&amp; "H" &amp; $B50)</f>
        <v>35.200000000000003</v>
      </c>
      <c r="F50" s="310" cm="1">
        <f t="array" aca="1" ref="F50" ca="1">INDIRECT("'"&amp;$A50&amp;"'!"&amp; "I" &amp; $B50)</f>
        <v>36.569999999999993</v>
      </c>
      <c r="G50" s="310" cm="1">
        <f t="array" aca="1" ref="G50" ca="1">INDIRECT("'"&amp;$A50&amp;"'!"&amp; "J" &amp; $B50)</f>
        <v>36.53</v>
      </c>
      <c r="H50" s="310" cm="1">
        <f t="array" aca="1" ref="H50" ca="1">INDIRECT("'"&amp;$A50&amp;"'!"&amp; "K" &amp; $B50)</f>
        <v>38.590000000000003</v>
      </c>
      <c r="I50" s="310" cm="1">
        <f t="array" aca="1" ref="I50" ca="1">INDIRECT("'"&amp;$A50&amp;"'!"&amp; "L" &amp; $B50)</f>
        <v>42.209999999999994</v>
      </c>
      <c r="J50" s="310" cm="1">
        <f t="array" aca="1" ref="J50" ca="1">INDIRECT("'"&amp;$A50&amp;"'!"&amp; "M" &amp; $B50)</f>
        <v>39.79</v>
      </c>
      <c r="K50" s="310" cm="1">
        <f t="array" aca="1" ref="K50" ca="1">INDIRECT("'"&amp;$A50&amp;"'!"&amp; "N" &amp; $B50)</f>
        <v>45.839999999999996</v>
      </c>
      <c r="L50" s="310" cm="1">
        <f t="array" aca="1" ref="L50" ca="1">INDIRECT("'"&amp;$A50&amp;"'!"&amp; "O" &amp; $B50)</f>
        <v>50.760000000000005</v>
      </c>
      <c r="M50" s="310" cm="1">
        <f t="array" aca="1" ref="M50" ca="1">INDIRECT("'"&amp;$A50&amp;"'!"&amp; "P" &amp; $B50)</f>
        <v>56.81</v>
      </c>
      <c r="N50" s="310" cm="1">
        <f t="array" aca="1" ref="N50" ca="1">INDIRECT("'"&amp;$A50&amp;"'!"&amp; "Q" &amp; $B50)</f>
        <v>57.93</v>
      </c>
      <c r="O50" s="310" cm="1">
        <f t="array" aca="1" ref="O50" ca="1">INDIRECT("'"&amp;$A50&amp;"'!"&amp; "R" &amp; $B50)</f>
        <v>55.699999999999996</v>
      </c>
      <c r="P50" s="310" cm="1">
        <f t="array" aca="1" ref="P50" ca="1">INDIRECT("'"&amp;$A50&amp;"'!"&amp; "S" &amp; $B50)</f>
        <v>53.19</v>
      </c>
      <c r="Q50" s="310" cm="1">
        <f t="array" aca="1" ref="Q50" ca="1">INDIRECT("'"&amp;$A50&amp;"'!"&amp; "T" &amp; $B50)</f>
        <v>51.699999999999996</v>
      </c>
      <c r="R50" s="310" cm="1">
        <f t="array" aca="1" ref="R50" ca="1">INDIRECT("'"&amp;$A50&amp;"'!"&amp; "U" &amp; $B50)</f>
        <v>52.539999999999992</v>
      </c>
      <c r="S50" s="310" cm="1">
        <f t="array" aca="1" ref="S50" ca="1">INDIRECT("'"&amp;$A50&amp;"'!"&amp; "V" &amp; $B50)</f>
        <v>52.339999999999982</v>
      </c>
      <c r="T50" s="310" cm="1">
        <f t="array" aca="1" ref="T50" ca="1">INDIRECT("'"&amp;$A50&amp;"'!"&amp; "W" &amp; $B50)</f>
        <v>50.739999999999988</v>
      </c>
      <c r="U50" s="310" cm="1">
        <f t="array" aca="1" ref="U50" ca="1">INDIRECT("'"&amp;$A50&amp;"'!"&amp; "X" &amp; $B50)</f>
        <v>49.12</v>
      </c>
      <c r="V50" s="310" cm="1">
        <f t="array" aca="1" ref="V50" ca="1">INDIRECT("'"&amp;$A50&amp;"'!"&amp; "Y" &amp; $B50)</f>
        <v>53.739999999999988</v>
      </c>
      <c r="W50" s="310" cm="1">
        <f t="array" aca="1" ref="W50" ca="1">INDIRECT("'"&amp;$A50&amp;"'!"&amp; "Z" &amp; $B50)</f>
        <v>50.79</v>
      </c>
      <c r="X50" s="310" cm="1">
        <f t="array" aca="1" ref="X50" ca="1">INDIRECT("'"&amp;$A50&amp;"'!"&amp; "AA" &amp; $B50)</f>
        <v>46.49</v>
      </c>
      <c r="Y50" s="310" cm="1">
        <f t="array" aca="1" ref="Y50" ca="1">INDIRECT("'"&amp;$A50&amp;"'!"&amp; "AB" &amp; $B50)</f>
        <v>41.29</v>
      </c>
      <c r="Z50" s="310" cm="1">
        <f t="array" aca="1" ref="Z50" ca="1">INDIRECT("'"&amp;$A50&amp;"'!"&amp; "AC" &amp; $B50)</f>
        <v>38.609999999999992</v>
      </c>
    </row>
    <row r="51" spans="1:26">
      <c r="A51" s="79">
        <v>17</v>
      </c>
      <c r="B51" s="79">
        <v>108</v>
      </c>
      <c r="C51" s="310" cm="1">
        <f t="array" aca="1" ref="C51" ca="1">INDIRECT("'"&amp;$A51&amp;"'!"&amp; "F" &amp; $B51)</f>
        <v>36.299999999999997</v>
      </c>
      <c r="D51" s="310" cm="1">
        <f t="array" aca="1" ref="D51" ca="1">INDIRECT("'"&amp;$A51&amp;"'!"&amp; "g" &amp; $B51)</f>
        <v>34.58</v>
      </c>
      <c r="E51" s="310" cm="1">
        <f t="array" aca="1" ref="E51" ca="1">INDIRECT("'"&amp;$A51&amp;"'!"&amp; "H" &amp; $B51)</f>
        <v>34.119999999999997</v>
      </c>
      <c r="F51" s="310" cm="1">
        <f t="array" aca="1" ref="F51" ca="1">INDIRECT("'"&amp;$A51&amp;"'!"&amp; "I" &amp; $B51)</f>
        <v>32.76</v>
      </c>
      <c r="G51" s="310" cm="1">
        <f t="array" aca="1" ref="G51" ca="1">INDIRECT("'"&amp;$A51&amp;"'!"&amp; "J" &amp; $B51)</f>
        <v>33.06</v>
      </c>
      <c r="H51" s="310" cm="1">
        <f t="array" aca="1" ref="H51" ca="1">INDIRECT("'"&amp;$A51&amp;"'!"&amp; "K" &amp; $B51)</f>
        <v>35.769999999999996</v>
      </c>
      <c r="I51" s="310" cm="1">
        <f t="array" aca="1" ref="I51" ca="1">INDIRECT("'"&amp;$A51&amp;"'!"&amp; "L" &amp; $B51)</f>
        <v>36.159999999999997</v>
      </c>
      <c r="J51" s="310" cm="1">
        <f t="array" aca="1" ref="J51" ca="1">INDIRECT("'"&amp;$A51&amp;"'!"&amp; "M" &amp; $B51)</f>
        <v>35.58</v>
      </c>
      <c r="K51" s="310" cm="1">
        <f t="array" aca="1" ref="K51" ca="1">INDIRECT("'"&amp;$A51&amp;"'!"&amp; "N" &amp; $B51)</f>
        <v>39.510000000000005</v>
      </c>
      <c r="L51" s="310" cm="1">
        <f t="array" aca="1" ref="L51" ca="1">INDIRECT("'"&amp;$A51&amp;"'!"&amp; "O" &amp; $B51)</f>
        <v>46.390000000000008</v>
      </c>
      <c r="M51" s="310" cm="1">
        <f t="array" aca="1" ref="M51" ca="1">INDIRECT("'"&amp;$A51&amp;"'!"&amp; "P" &amp; $B51)</f>
        <v>48.989999999999995</v>
      </c>
      <c r="N51" s="310" cm="1">
        <f t="array" aca="1" ref="N51" ca="1">INDIRECT("'"&amp;$A51&amp;"'!"&amp; "Q" &amp; $B51)</f>
        <v>50.43</v>
      </c>
      <c r="O51" s="310" cm="1">
        <f t="array" aca="1" ref="O51" ca="1">INDIRECT("'"&amp;$A51&amp;"'!"&amp; "R" &amp; $B51)</f>
        <v>48.059999999999995</v>
      </c>
      <c r="P51" s="310" cm="1">
        <f t="array" aca="1" ref="P51" ca="1">INDIRECT("'"&amp;$A51&amp;"'!"&amp; "S" &amp; $B51)</f>
        <v>46.59</v>
      </c>
      <c r="Q51" s="310" cm="1">
        <f t="array" aca="1" ref="Q51" ca="1">INDIRECT("'"&amp;$A51&amp;"'!"&amp; "T" &amp; $B51)</f>
        <v>48.430000000000007</v>
      </c>
      <c r="R51" s="310" cm="1">
        <f t="array" aca="1" ref="R51" ca="1">INDIRECT("'"&amp;$A51&amp;"'!"&amp; "U" &amp; $B51)</f>
        <v>49.97</v>
      </c>
      <c r="S51" s="310" cm="1">
        <f t="array" aca="1" ref="S51" ca="1">INDIRECT("'"&amp;$A51&amp;"'!"&amp; "V" &amp; $B51)</f>
        <v>50.620000000000005</v>
      </c>
      <c r="T51" s="310" cm="1">
        <f t="array" aca="1" ref="T51" ca="1">INDIRECT("'"&amp;$A51&amp;"'!"&amp; "W" &amp; $B51)</f>
        <v>50.050000000000004</v>
      </c>
      <c r="U51" s="310" cm="1">
        <f t="array" aca="1" ref="U51" ca="1">INDIRECT("'"&amp;$A51&amp;"'!"&amp; "X" &amp; $B51)</f>
        <v>48.740000000000009</v>
      </c>
      <c r="V51" s="310" cm="1">
        <f t="array" aca="1" ref="V51" ca="1">INDIRECT("'"&amp;$A51&amp;"'!"&amp; "Y" &amp; $B51)</f>
        <v>49.589999999999996</v>
      </c>
      <c r="W51" s="310" cm="1">
        <f t="array" aca="1" ref="W51" ca="1">INDIRECT("'"&amp;$A51&amp;"'!"&amp; "Z" &amp; $B51)</f>
        <v>47.53</v>
      </c>
      <c r="X51" s="310" cm="1">
        <f t="array" aca="1" ref="X51" ca="1">INDIRECT("'"&amp;$A51&amp;"'!"&amp; "AA" &amp; $B51)</f>
        <v>43.88</v>
      </c>
      <c r="Y51" s="310" cm="1">
        <f t="array" aca="1" ref="Y51" ca="1">INDIRECT("'"&amp;$A51&amp;"'!"&amp; "AB" &amp; $B51)</f>
        <v>39.57</v>
      </c>
      <c r="Z51" s="310" cm="1">
        <f t="array" aca="1" ref="Z51" ca="1">INDIRECT("'"&amp;$A51&amp;"'!"&amp; "AC" &amp; $B51)</f>
        <v>37.449999999999996</v>
      </c>
    </row>
    <row r="52" spans="1:26">
      <c r="A52" s="79">
        <v>18</v>
      </c>
      <c r="B52" s="79">
        <v>108</v>
      </c>
      <c r="C52" s="310" cm="1">
        <f t="array" aca="1" ref="C52" ca="1">INDIRECT("'"&amp;$A52&amp;"'!"&amp; "F" &amp; $B52)</f>
        <v>32.33</v>
      </c>
      <c r="D52" s="310" cm="1">
        <f t="array" aca="1" ref="D52" ca="1">INDIRECT("'"&amp;$A52&amp;"'!"&amp; "g" &amp; $B52)</f>
        <v>30.810000000000002</v>
      </c>
      <c r="E52" s="310" cm="1">
        <f t="array" aca="1" ref="E52" ca="1">INDIRECT("'"&amp;$A52&amp;"'!"&amp; "H" &amp; $B52)</f>
        <v>33.83</v>
      </c>
      <c r="F52" s="310" cm="1">
        <f t="array" aca="1" ref="F52" ca="1">INDIRECT("'"&amp;$A52&amp;"'!"&amp; "I" &amp; $B52)</f>
        <v>29.35</v>
      </c>
      <c r="G52" s="310" cm="1">
        <f t="array" aca="1" ref="G52" ca="1">INDIRECT("'"&amp;$A52&amp;"'!"&amp; "J" &amp; $B52)</f>
        <v>29.310000000000002</v>
      </c>
      <c r="H52" s="310" cm="1">
        <f t="array" aca="1" ref="H52" ca="1">INDIRECT("'"&amp;$A52&amp;"'!"&amp; "K" &amp; $B52)</f>
        <v>30.040000000000003</v>
      </c>
      <c r="I52" s="310" cm="1">
        <f t="array" aca="1" ref="I52" ca="1">INDIRECT("'"&amp;$A52&amp;"'!"&amp; "L" &amp; $B52)</f>
        <v>32.17</v>
      </c>
      <c r="J52" s="310" cm="1">
        <f t="array" aca="1" ref="J52" ca="1">INDIRECT("'"&amp;$A52&amp;"'!"&amp; "M" &amp; $B52)</f>
        <v>34.870000000000005</v>
      </c>
      <c r="K52" s="310" cm="1">
        <f t="array" aca="1" ref="K52" ca="1">INDIRECT("'"&amp;$A52&amp;"'!"&amp; "N" &amp; $B52)</f>
        <v>37.89</v>
      </c>
      <c r="L52" s="310" cm="1">
        <f t="array" aca="1" ref="L52" ca="1">INDIRECT("'"&amp;$A52&amp;"'!"&amp; "O" &amp; $B52)</f>
        <v>42.52</v>
      </c>
      <c r="M52" s="310" cm="1">
        <f t="array" aca="1" ref="M52" ca="1">INDIRECT("'"&amp;$A52&amp;"'!"&amp; "P" &amp; $B52)</f>
        <v>44.59</v>
      </c>
      <c r="N52" s="310" cm="1">
        <f t="array" aca="1" ref="N52" ca="1">INDIRECT("'"&amp;$A52&amp;"'!"&amp; "Q" &amp; $B52)</f>
        <v>44.71</v>
      </c>
      <c r="O52" s="310" cm="1">
        <f t="array" aca="1" ref="O52" ca="1">INDIRECT("'"&amp;$A52&amp;"'!"&amp; "R" &amp; $B52)</f>
        <v>42.81</v>
      </c>
      <c r="P52" s="310" cm="1">
        <f t="array" aca="1" ref="P52" ca="1">INDIRECT("'"&amp;$A52&amp;"'!"&amp; "S" &amp; $B52)</f>
        <v>42.919999999999995</v>
      </c>
      <c r="Q52" s="310" cm="1">
        <f t="array" aca="1" ref="Q52" ca="1">INDIRECT("'"&amp;$A52&amp;"'!"&amp; "T" &amp; $B52)</f>
        <v>0.52</v>
      </c>
      <c r="R52" s="310" cm="1">
        <f t="array" aca="1" ref="R52" ca="1">INDIRECT("'"&amp;$A52&amp;"'!"&amp; "U" &amp; $B52)</f>
        <v>3.9200000000000004</v>
      </c>
      <c r="S52" s="310" cm="1">
        <f t="array" aca="1" ref="S52" ca="1">INDIRECT("'"&amp;$A52&amp;"'!"&amp; "V" &amp; $B52)</f>
        <v>21.23</v>
      </c>
      <c r="T52" s="310" cm="1">
        <f t="array" aca="1" ref="T52" ca="1">INDIRECT("'"&amp;$A52&amp;"'!"&amp; "W" &amp; $B52)</f>
        <v>29.970000000000002</v>
      </c>
      <c r="U52" s="310" cm="1">
        <f t="array" aca="1" ref="U52" ca="1">INDIRECT("'"&amp;$A52&amp;"'!"&amp; "X" &amp; $B52)</f>
        <v>29</v>
      </c>
      <c r="V52" s="310" cm="1">
        <f t="array" aca="1" ref="V52" ca="1">INDIRECT("'"&amp;$A52&amp;"'!"&amp; "Y" &amp; $B52)</f>
        <v>37.35</v>
      </c>
      <c r="W52" s="310" cm="1">
        <f t="array" aca="1" ref="W52" ca="1">INDIRECT("'"&amp;$A52&amp;"'!"&amp; "Z" &amp; $B52)</f>
        <v>33.770000000000003</v>
      </c>
      <c r="X52" s="310" cm="1">
        <f t="array" aca="1" ref="X52" ca="1">INDIRECT("'"&amp;$A52&amp;"'!"&amp; "AA" &amp; $B52)</f>
        <v>39.26</v>
      </c>
      <c r="Y52" s="310" cm="1">
        <f t="array" aca="1" ref="Y52" ca="1">INDIRECT("'"&amp;$A52&amp;"'!"&amp; "AB" &amp; $B52)</f>
        <v>35.72</v>
      </c>
      <c r="Z52" s="310" cm="1">
        <f t="array" aca="1" ref="Z52" ca="1">INDIRECT("'"&amp;$A52&amp;"'!"&amp; "AC" &amp; $B52)</f>
        <v>33.94</v>
      </c>
    </row>
    <row r="53" spans="1:26">
      <c r="A53" s="79">
        <v>19</v>
      </c>
      <c r="B53" s="79">
        <v>108</v>
      </c>
      <c r="C53" s="310" cm="1">
        <f t="array" aca="1" ref="C53" ca="1">INDIRECT("'"&amp;$A53&amp;"'!"&amp; "F" &amp; $B53)</f>
        <v>32.32</v>
      </c>
      <c r="D53" s="310" cm="1">
        <f t="array" aca="1" ref="D53" ca="1">INDIRECT("'"&amp;$A53&amp;"'!"&amp; "g" &amp; $B53)</f>
        <v>31.17</v>
      </c>
      <c r="E53" s="310" cm="1">
        <f t="array" aca="1" ref="E53" ca="1">INDIRECT("'"&amp;$A53&amp;"'!"&amp; "H" &amp; $B53)</f>
        <v>34.35</v>
      </c>
      <c r="F53" s="310" cm="1">
        <f t="array" aca="1" ref="F53" ca="1">INDIRECT("'"&amp;$A53&amp;"'!"&amp; "I" &amp; $B53)</f>
        <v>29.82</v>
      </c>
      <c r="G53" s="310" cm="1">
        <f t="array" aca="1" ref="G53" ca="1">INDIRECT("'"&amp;$A53&amp;"'!"&amp; "J" &amp; $B53)</f>
        <v>29.48</v>
      </c>
      <c r="H53" s="310" cm="1">
        <f t="array" aca="1" ref="H53" ca="1">INDIRECT("'"&amp;$A53&amp;"'!"&amp; "K" &amp; $B53)</f>
        <v>30.11</v>
      </c>
      <c r="I53" s="310" cm="1">
        <f t="array" aca="1" ref="I53" ca="1">INDIRECT("'"&amp;$A53&amp;"'!"&amp; "L" &amp; $B53)</f>
        <v>31.93</v>
      </c>
      <c r="J53" s="310" cm="1">
        <f t="array" aca="1" ref="J53" ca="1">INDIRECT("'"&amp;$A53&amp;"'!"&amp; "M" &amp; $B53)</f>
        <v>33.28</v>
      </c>
      <c r="K53" s="310" cm="1">
        <f t="array" aca="1" ref="K53" ca="1">INDIRECT("'"&amp;$A53&amp;"'!"&amp; "N" &amp; $B53)</f>
        <v>35.879999999999995</v>
      </c>
      <c r="L53" s="310" cm="1">
        <f t="array" aca="1" ref="L53" ca="1">INDIRECT("'"&amp;$A53&amp;"'!"&amp; "O" &amp; $B53)</f>
        <v>41.19</v>
      </c>
      <c r="M53" s="310" cm="1">
        <f t="array" aca="1" ref="M53" ca="1">INDIRECT("'"&amp;$A53&amp;"'!"&amp; "P" &amp; $B53)</f>
        <v>45.480000000000004</v>
      </c>
      <c r="N53" s="310" cm="1">
        <f t="array" aca="1" ref="N53" ca="1">INDIRECT("'"&amp;$A53&amp;"'!"&amp; "Q" &amp; $B53)</f>
        <v>40.36</v>
      </c>
      <c r="O53" s="310" cm="1">
        <f t="array" aca="1" ref="O53" ca="1">INDIRECT("'"&amp;$A53&amp;"'!"&amp; "R" &amp; $B53)</f>
        <v>45.8</v>
      </c>
      <c r="P53" s="310" cm="1">
        <f t="array" aca="1" ref="P53" ca="1">INDIRECT("'"&amp;$A53&amp;"'!"&amp; "S" &amp; $B53)</f>
        <v>43.79</v>
      </c>
      <c r="Q53" s="310" cm="1">
        <f t="array" aca="1" ref="Q53" ca="1">INDIRECT("'"&amp;$A53&amp;"'!"&amp; "T" &amp; $B53)</f>
        <v>46.32</v>
      </c>
      <c r="R53" s="310" cm="1">
        <f t="array" aca="1" ref="R53" ca="1">INDIRECT("'"&amp;$A53&amp;"'!"&amp; "U" &amp; $B53)</f>
        <v>47.389999999999986</v>
      </c>
      <c r="S53" s="310" cm="1">
        <f t="array" aca="1" ref="S53" ca="1">INDIRECT("'"&amp;$A53&amp;"'!"&amp; "V" &amp; $B53)</f>
        <v>48.059999999999995</v>
      </c>
      <c r="T53" s="310" cm="1">
        <f t="array" aca="1" ref="T53" ca="1">INDIRECT("'"&amp;$A53&amp;"'!"&amp; "W" &amp; $B53)</f>
        <v>47.850000000000009</v>
      </c>
      <c r="U53" s="310" cm="1">
        <f t="array" aca="1" ref="U53" ca="1">INDIRECT("'"&amp;$A53&amp;"'!"&amp; "X" &amp; $B53)</f>
        <v>49.029999999999994</v>
      </c>
      <c r="V53" s="310" cm="1">
        <f t="array" aca="1" ref="V53" ca="1">INDIRECT("'"&amp;$A53&amp;"'!"&amp; "Y" &amp; $B53)</f>
        <v>52.615000000000002</v>
      </c>
      <c r="W53" s="310" cm="1">
        <f t="array" aca="1" ref="W53" ca="1">INDIRECT("'"&amp;$A53&amp;"'!"&amp; "Z" &amp; $B53)</f>
        <v>52.59</v>
      </c>
      <c r="X53" s="310" cm="1">
        <f t="array" aca="1" ref="X53" ca="1">INDIRECT("'"&amp;$A53&amp;"'!"&amp; "AA" &amp; $B53)</f>
        <v>48.580000000000005</v>
      </c>
      <c r="Y53" s="310" cm="1">
        <f t="array" aca="1" ref="Y53" ca="1">INDIRECT("'"&amp;$A53&amp;"'!"&amp; "AB" &amp; $B53)</f>
        <v>45.4</v>
      </c>
      <c r="Z53" s="310" cm="1">
        <f t="array" aca="1" ref="Z53" ca="1">INDIRECT("'"&amp;$A53&amp;"'!"&amp; "AC" &amp; $B53)</f>
        <v>40.89</v>
      </c>
    </row>
    <row r="54" spans="1:26">
      <c r="A54" s="79">
        <v>20</v>
      </c>
      <c r="B54" s="79">
        <v>108</v>
      </c>
      <c r="C54" s="310" cm="1">
        <f t="array" aca="1" ref="C54" ca="1">INDIRECT("'"&amp;$A54&amp;"'!"&amp; "F" &amp; $B54)</f>
        <v>37.229999999999997</v>
      </c>
      <c r="D54" s="310" cm="1">
        <f t="array" aca="1" ref="D54" ca="1">INDIRECT("'"&amp;$A54&amp;"'!"&amp; "g" &amp; $B54)</f>
        <v>35.269999999999996</v>
      </c>
      <c r="E54" s="310" cm="1">
        <f t="array" aca="1" ref="E54" ca="1">INDIRECT("'"&amp;$A54&amp;"'!"&amp; "H" &amp; $B54)</f>
        <v>34.050000000000004</v>
      </c>
      <c r="F54" s="310" cm="1">
        <f t="array" aca="1" ref="F54" ca="1">INDIRECT("'"&amp;$A54&amp;"'!"&amp; "I" &amp; $B54)</f>
        <v>32.879999999999995</v>
      </c>
      <c r="G54" s="310" cm="1">
        <f t="array" aca="1" ref="G54" ca="1">INDIRECT("'"&amp;$A54&amp;"'!"&amp; "J" &amp; $B54)</f>
        <v>32.299999999999997</v>
      </c>
      <c r="H54" s="310" cm="1">
        <f t="array" aca="1" ref="H54" ca="1">INDIRECT("'"&amp;$A54&amp;"'!"&amp; "K" &amp; $B54)</f>
        <v>33.020000000000003</v>
      </c>
      <c r="I54" s="310" cm="1">
        <f t="array" aca="1" ref="I54" ca="1">INDIRECT("'"&amp;$A54&amp;"'!"&amp; "L" &amp; $B54)</f>
        <v>31.959999999999997</v>
      </c>
      <c r="J54" s="310" cm="1">
        <f t="array" aca="1" ref="J54" ca="1">INDIRECT("'"&amp;$A54&amp;"'!"&amp; "M" &amp; $B54)</f>
        <v>36.07</v>
      </c>
      <c r="K54" s="310" cm="1">
        <f t="array" aca="1" ref="K54" ca="1">INDIRECT("'"&amp;$A54&amp;"'!"&amp; "N" &amp; $B54)</f>
        <v>38.4</v>
      </c>
      <c r="L54" s="310" cm="1">
        <f t="array" aca="1" ref="L54" ca="1">INDIRECT("'"&amp;$A54&amp;"'!"&amp; "O" &amp; $B54)</f>
        <v>44.6</v>
      </c>
      <c r="M54" s="310" cm="1">
        <f t="array" aca="1" ref="M54" ca="1">INDIRECT("'"&amp;$A54&amp;"'!"&amp; "P" &amp; $B54)</f>
        <v>47.679999999999986</v>
      </c>
      <c r="N54" s="310" cm="1">
        <f t="array" aca="1" ref="N54" ca="1">INDIRECT("'"&amp;$A54&amp;"'!"&amp; "Q" &amp; $B54)</f>
        <v>48.74</v>
      </c>
      <c r="O54" s="310" cm="1">
        <f t="array" aca="1" ref="O54" ca="1">INDIRECT("'"&amp;$A54&amp;"'!"&amp; "R" &amp; $B54)</f>
        <v>48.080000000000005</v>
      </c>
      <c r="P54" s="310" cm="1">
        <f t="array" aca="1" ref="P54" ca="1">INDIRECT("'"&amp;$A54&amp;"'!"&amp; "S" &amp; $B54)</f>
        <v>50.22</v>
      </c>
      <c r="Q54" s="310" cm="1">
        <f t="array" aca="1" ref="Q54" ca="1">INDIRECT("'"&amp;$A54&amp;"'!"&amp; "T" &amp; $B54)</f>
        <v>51.8</v>
      </c>
      <c r="R54" s="310" cm="1">
        <f t="array" aca="1" ref="R54" ca="1">INDIRECT("'"&amp;$A54&amp;"'!"&amp; "U" &amp; $B54)</f>
        <v>49.77</v>
      </c>
      <c r="S54" s="310" cm="1">
        <f t="array" aca="1" ref="S54" ca="1">INDIRECT("'"&amp;$A54&amp;"'!"&amp; "V" &amp; $B54)</f>
        <v>49.12</v>
      </c>
      <c r="T54" s="310" cm="1">
        <f t="array" aca="1" ref="T54" ca="1">INDIRECT("'"&amp;$A54&amp;"'!"&amp; "W" &amp; $B54)</f>
        <v>48.61999999999999</v>
      </c>
      <c r="U54" s="310" cm="1">
        <f t="array" aca="1" ref="U54" ca="1">INDIRECT("'"&amp;$A54&amp;"'!"&amp; "X" &amp; $B54)</f>
        <v>50.919999999999995</v>
      </c>
      <c r="V54" s="310" cm="1">
        <f t="array" aca="1" ref="V54" ca="1">INDIRECT("'"&amp;$A54&amp;"'!"&amp; "Y" &amp; $B54)</f>
        <v>53.62</v>
      </c>
      <c r="W54" s="310" cm="1">
        <f t="array" aca="1" ref="W54" ca="1">INDIRECT("'"&amp;$A54&amp;"'!"&amp; "Z" &amp; $B54)</f>
        <v>52.440000000000005</v>
      </c>
      <c r="X54" s="310" cm="1">
        <f t="array" aca="1" ref="X54" ca="1">INDIRECT("'"&amp;$A54&amp;"'!"&amp; "AA" &amp; $B54)</f>
        <v>51.320000000000007</v>
      </c>
      <c r="Y54" s="310" cm="1">
        <f t="array" aca="1" ref="Y54" ca="1">INDIRECT("'"&amp;$A54&amp;"'!"&amp; "AB" &amp; $B54)</f>
        <v>47.360000000000007</v>
      </c>
      <c r="Z54" s="310" cm="1">
        <f t="array" aca="1" ref="Z54" ca="1">INDIRECT("'"&amp;$A54&amp;"'!"&amp; "AC" &amp; $B54)</f>
        <v>43.88</v>
      </c>
    </row>
    <row r="55" spans="1:26">
      <c r="A55" s="79">
        <v>21</v>
      </c>
      <c r="B55" s="79">
        <v>108</v>
      </c>
      <c r="C55" s="310" cm="1">
        <f t="array" aca="1" ref="C55" ca="1">INDIRECT("'"&amp;$A55&amp;"'!"&amp; "F" &amp; $B55)</f>
        <v>39.03</v>
      </c>
      <c r="D55" s="310" cm="1">
        <f t="array" aca="1" ref="D55" ca="1">INDIRECT("'"&amp;$A55&amp;"'!"&amp; "g" &amp; $B55)</f>
        <v>36.620000000000005</v>
      </c>
      <c r="E55" s="310" cm="1">
        <f t="array" aca="1" ref="E55" ca="1">INDIRECT("'"&amp;$A55&amp;"'!"&amp; "H" &amp; $B55)</f>
        <v>34.75</v>
      </c>
      <c r="F55" s="310" cm="1">
        <f t="array" aca="1" ref="F55" ca="1">INDIRECT("'"&amp;$A55&amp;"'!"&amp; "I" &amp; $B55)</f>
        <v>34.229999999999997</v>
      </c>
      <c r="G55" s="310" cm="1">
        <f t="array" aca="1" ref="G55" ca="1">INDIRECT("'"&amp;$A55&amp;"'!"&amp; "J" &amp; $B55)</f>
        <v>32.67</v>
      </c>
      <c r="H55" s="310" cm="1">
        <f t="array" aca="1" ref="H55" ca="1">INDIRECT("'"&amp;$A55&amp;"'!"&amp; "K" &amp; $B55)</f>
        <v>35.686900000000009</v>
      </c>
      <c r="I55" s="310" cm="1">
        <f t="array" aca="1" ref="I55" ca="1">INDIRECT("'"&amp;$A55&amp;"'!"&amp; "L" &amp; $B55)</f>
        <v>40.69</v>
      </c>
      <c r="J55" s="310" cm="1">
        <f t="array" aca="1" ref="J55" ca="1">INDIRECT("'"&amp;$A55&amp;"'!"&amp; "M" &amp; $B55)</f>
        <v>37.92</v>
      </c>
      <c r="K55" s="310" cm="1">
        <f t="array" aca="1" ref="K55" ca="1">INDIRECT("'"&amp;$A55&amp;"'!"&amp; "N" &amp; $B55)</f>
        <v>42.93</v>
      </c>
      <c r="L55" s="310" cm="1">
        <f t="array" aca="1" ref="L55" ca="1">INDIRECT("'"&amp;$A55&amp;"'!"&amp; "O" &amp; $B55)</f>
        <v>51.42</v>
      </c>
      <c r="M55" s="310" cm="1">
        <f t="array" aca="1" ref="M55" ca="1">INDIRECT("'"&amp;$A55&amp;"'!"&amp; "P" &amp; $B55)</f>
        <v>54.06</v>
      </c>
      <c r="N55" s="310" cm="1">
        <f t="array" aca="1" ref="N55" ca="1">INDIRECT("'"&amp;$A55&amp;"'!"&amp; "Q" &amp; $B55)</f>
        <v>58.269999999999996</v>
      </c>
      <c r="O55" s="310" cm="1">
        <f t="array" aca="1" ref="O55" ca="1">INDIRECT("'"&amp;$A55&amp;"'!"&amp; "R" &amp; $B55)</f>
        <v>58.050000000000004</v>
      </c>
      <c r="P55" s="310" cm="1">
        <f t="array" aca="1" ref="P55" ca="1">INDIRECT("'"&amp;$A55&amp;"'!"&amp; "S" &amp; $B55)</f>
        <v>57.76</v>
      </c>
      <c r="Q55" s="310" cm="1">
        <f t="array" aca="1" ref="Q55" ca="1">INDIRECT("'"&amp;$A55&amp;"'!"&amp; "T" &amp; $B55)</f>
        <v>60.94</v>
      </c>
      <c r="R55" s="310" cm="1">
        <f t="array" aca="1" ref="R55" ca="1">INDIRECT("'"&amp;$A55&amp;"'!"&amp; "U" &amp; $B55)</f>
        <v>58.8</v>
      </c>
      <c r="S55" s="310" cm="1">
        <f t="array" aca="1" ref="S55" ca="1">INDIRECT("'"&amp;$A55&amp;"'!"&amp; "V" &amp; $B55)</f>
        <v>57.9</v>
      </c>
      <c r="T55" s="310" cm="1">
        <f t="array" aca="1" ref="T55" ca="1">INDIRECT("'"&amp;$A55&amp;"'!"&amp; "W" &amp; $B55)</f>
        <v>57.23</v>
      </c>
      <c r="U55" s="310" cm="1">
        <f t="array" aca="1" ref="U55" ca="1">INDIRECT("'"&amp;$A55&amp;"'!"&amp; "X" &amp; $B55)</f>
        <v>52.690000000000005</v>
      </c>
      <c r="V55" s="310" cm="1">
        <f t="array" aca="1" ref="V55" ca="1">INDIRECT("'"&amp;$A55&amp;"'!"&amp; "Y" &amp; $B55)</f>
        <v>53.959999999999994</v>
      </c>
      <c r="W55" s="310" cm="1">
        <f t="array" aca="1" ref="W55" ca="1">INDIRECT("'"&amp;$A55&amp;"'!"&amp; "Z" &amp; $B55)</f>
        <v>50.919999999999995</v>
      </c>
      <c r="X55" s="310" cm="1">
        <f t="array" aca="1" ref="X55" ca="1">INDIRECT("'"&amp;$A55&amp;"'!"&amp; "AA" &amp; $B55)</f>
        <v>48.17</v>
      </c>
      <c r="Y55" s="310" cm="1">
        <f t="array" aca="1" ref="Y55" ca="1">INDIRECT("'"&amp;$A55&amp;"'!"&amp; "AB" &amp; $B55)</f>
        <v>43.8</v>
      </c>
      <c r="Z55" s="310" cm="1">
        <f t="array" aca="1" ref="Z55" ca="1">INDIRECT("'"&amp;$A55&amp;"'!"&amp; "AC" &amp; $B55)</f>
        <v>39.799999999999997</v>
      </c>
    </row>
    <row r="56" spans="1:26">
      <c r="A56" s="79">
        <v>22</v>
      </c>
      <c r="B56" s="79">
        <v>108</v>
      </c>
      <c r="C56" s="310" cm="1">
        <f t="array" aca="1" ref="C56" ca="1">INDIRECT("'"&amp;$A56&amp;"'!"&amp; "F" &amp; $B56)</f>
        <v>36.46</v>
      </c>
      <c r="D56" s="310" cm="1">
        <f t="array" aca="1" ref="D56" ca="1">INDIRECT("'"&amp;$A56&amp;"'!"&amp; "g" &amp; $B56)</f>
        <v>34.860000000000007</v>
      </c>
      <c r="E56" s="310" cm="1">
        <f t="array" aca="1" ref="E56" ca="1">INDIRECT("'"&amp;$A56&amp;"'!"&amp; "H" &amp; $B56)</f>
        <v>34.54</v>
      </c>
      <c r="F56" s="310" cm="1">
        <f t="array" aca="1" ref="F56" ca="1">INDIRECT("'"&amp;$A56&amp;"'!"&amp; "I" &amp; $B56)</f>
        <v>33.26</v>
      </c>
      <c r="G56" s="310" cm="1">
        <f t="array" aca="1" ref="G56" ca="1">INDIRECT("'"&amp;$A56&amp;"'!"&amp; "J" &amp; $B56)</f>
        <v>33.119999999999997</v>
      </c>
      <c r="H56" s="310" cm="1">
        <f t="array" aca="1" ref="H56" ca="1">INDIRECT("'"&amp;$A56&amp;"'!"&amp; "K" &amp; $B56)</f>
        <v>35.799999999999997</v>
      </c>
      <c r="I56" s="310" cm="1">
        <f t="array" aca="1" ref="I56" ca="1">INDIRECT("'"&amp;$A56&amp;"'!"&amp; "L" &amp; $B56)</f>
        <v>41.830000000000005</v>
      </c>
      <c r="J56" s="310" cm="1">
        <f t="array" aca="1" ref="J56" ca="1">INDIRECT("'"&amp;$A56&amp;"'!"&amp; "M" &amp; $B56)</f>
        <v>38.720000000000006</v>
      </c>
      <c r="K56" s="310" cm="1">
        <f t="array" aca="1" ref="K56" ca="1">INDIRECT("'"&amp;$A56&amp;"'!"&amp; "N" &amp; $B56)</f>
        <v>44.46</v>
      </c>
      <c r="L56" s="310" cm="1">
        <f t="array" aca="1" ref="L56" ca="1">INDIRECT("'"&amp;$A56&amp;"'!"&amp; "O" &amp; $B56)</f>
        <v>51.059999999999995</v>
      </c>
      <c r="M56" s="310" cm="1">
        <f t="array" aca="1" ref="M56" ca="1">INDIRECT("'"&amp;$A56&amp;"'!"&amp; "P" &amp; $B56)</f>
        <v>58.41</v>
      </c>
      <c r="N56" s="310" cm="1">
        <f t="array" aca="1" ref="N56" ca="1">INDIRECT("'"&amp;$A56&amp;"'!"&amp; "Q" &amp; $B56)</f>
        <v>57.449999999999989</v>
      </c>
      <c r="O56" s="310" cm="1">
        <f t="array" aca="1" ref="O56" ca="1">INDIRECT("'"&amp;$A56&amp;"'!"&amp; "R" &amp; $B56)</f>
        <v>58.38</v>
      </c>
      <c r="P56" s="310" cm="1">
        <f t="array" aca="1" ref="P56" ca="1">INDIRECT("'"&amp;$A56&amp;"'!"&amp; "S" &amp; $B56)</f>
        <v>59.51</v>
      </c>
      <c r="Q56" s="310" cm="1">
        <f t="array" aca="1" ref="Q56" ca="1">INDIRECT("'"&amp;$A56&amp;"'!"&amp; "T" &amp; $B56)</f>
        <v>61.38</v>
      </c>
      <c r="R56" s="310" cm="1">
        <f t="array" aca="1" ref="R56" ca="1">INDIRECT("'"&amp;$A56&amp;"'!"&amp; "U" &amp; $B56)</f>
        <v>61.27</v>
      </c>
      <c r="S56" s="310" cm="1">
        <f t="array" aca="1" ref="S56" ca="1">INDIRECT("'"&amp;$A56&amp;"'!"&amp; "V" &amp; $B56)</f>
        <v>60.55</v>
      </c>
      <c r="T56" s="310" cm="1">
        <f t="array" aca="1" ref="T56" ca="1">INDIRECT("'"&amp;$A56&amp;"'!"&amp; "W" &amp; $B56)</f>
        <v>57.44</v>
      </c>
      <c r="U56" s="310" cm="1">
        <f t="array" aca="1" ref="U56" ca="1">INDIRECT("'"&amp;$A56&amp;"'!"&amp; "X" &amp; $B56)</f>
        <v>57.39</v>
      </c>
      <c r="V56" s="310" cm="1">
        <f t="array" aca="1" ref="V56" ca="1">INDIRECT("'"&amp;$A56&amp;"'!"&amp; "Y" &amp; $B56)</f>
        <v>60.739999999999988</v>
      </c>
      <c r="W56" s="310" cm="1">
        <f t="array" aca="1" ref="W56" ca="1">INDIRECT("'"&amp;$A56&amp;"'!"&amp; "Z" &amp; $B56)</f>
        <v>58.019999999999996</v>
      </c>
      <c r="X56" s="310" cm="1">
        <f t="array" aca="1" ref="X56" ca="1">INDIRECT("'"&amp;$A56&amp;"'!"&amp; "AA" &amp; $B56)</f>
        <v>53.54999999999999</v>
      </c>
      <c r="Y56" s="310" cm="1">
        <f t="array" aca="1" ref="Y56" ca="1">INDIRECT("'"&amp;$A56&amp;"'!"&amp; "AB" &amp; $B56)</f>
        <v>48.65</v>
      </c>
      <c r="Z56" s="310" cm="1">
        <f t="array" aca="1" ref="Z56" ca="1">INDIRECT("'"&amp;$A56&amp;"'!"&amp; "AC" &amp; $B56)</f>
        <v>45.32</v>
      </c>
    </row>
    <row r="57" spans="1:26">
      <c r="A57" s="79">
        <v>23</v>
      </c>
      <c r="B57" s="79">
        <v>108</v>
      </c>
      <c r="C57" s="310" cm="1">
        <f t="array" aca="1" ref="C57" ca="1">INDIRECT("'"&amp;$A57&amp;"'!"&amp; "F" &amp; $B57)</f>
        <v>42.13</v>
      </c>
      <c r="D57" s="310" cm="1">
        <f t="array" aca="1" ref="D57" ca="1">INDIRECT("'"&amp;$A57&amp;"'!"&amp; "g" &amp; $B57)</f>
        <v>39.700000000000003</v>
      </c>
      <c r="E57" s="310" cm="1">
        <f t="array" aca="1" ref="E57" ca="1">INDIRECT("'"&amp;$A57&amp;"'!"&amp; "H" &amp; $B57)</f>
        <v>37.86999999999999</v>
      </c>
      <c r="F57" s="310" cm="1">
        <f t="array" aca="1" ref="F57" ca="1">INDIRECT("'"&amp;$A57&amp;"'!"&amp; "I" &amp; $B57)</f>
        <v>37.709999999999994</v>
      </c>
      <c r="G57" s="310" cm="1">
        <f t="array" aca="1" ref="G57" ca="1">INDIRECT("'"&amp;$A57&amp;"'!"&amp; "J" &amp; $B57)</f>
        <v>36.68</v>
      </c>
      <c r="H57" s="310" cm="1">
        <f t="array" aca="1" ref="H57" ca="1">INDIRECT("'"&amp;$A57&amp;"'!"&amp; "K" &amp; $B57)</f>
        <v>37.204999999999998</v>
      </c>
      <c r="I57" s="310" cm="1">
        <f t="array" aca="1" ref="I57" ca="1">INDIRECT("'"&amp;$A57&amp;"'!"&amp; "L" &amp; $B57)</f>
        <v>40.04</v>
      </c>
      <c r="J57" s="310" cm="1">
        <f t="array" aca="1" ref="J57" ca="1">INDIRECT("'"&amp;$A57&amp;"'!"&amp; "M" &amp; $B57)</f>
        <v>39.31</v>
      </c>
      <c r="K57" s="310" cm="1">
        <f t="array" aca="1" ref="K57" ca="1">INDIRECT("'"&amp;$A57&amp;"'!"&amp; "N" &amp; $B57)</f>
        <v>45.75</v>
      </c>
      <c r="L57" s="310" cm="1">
        <f t="array" aca="1" ref="L57" ca="1">INDIRECT("'"&amp;$A57&amp;"'!"&amp; "O" &amp; $B57)</f>
        <v>51.13</v>
      </c>
      <c r="M57" s="310" cm="1">
        <f t="array" aca="1" ref="M57" ca="1">INDIRECT("'"&amp;$A57&amp;"'!"&amp; "P" &amp; $B57)</f>
        <v>55.91</v>
      </c>
      <c r="N57" s="310" cm="1">
        <f t="array" aca="1" ref="N57" ca="1">INDIRECT("'"&amp;$A57&amp;"'!"&amp; "Q" &amp; $B57)</f>
        <v>57.43</v>
      </c>
      <c r="O57" s="310" cm="1">
        <f t="array" aca="1" ref="O57" ca="1">INDIRECT("'"&amp;$A57&amp;"'!"&amp; "R" &amp; $B57)</f>
        <v>56.66</v>
      </c>
      <c r="P57" s="310" cm="1">
        <f t="array" aca="1" ref="P57" ca="1">INDIRECT("'"&amp;$A57&amp;"'!"&amp; "S" &amp; $B57)</f>
        <v>54.610000000000007</v>
      </c>
      <c r="Q57" s="310" cm="1">
        <f t="array" aca="1" ref="Q57" ca="1">INDIRECT("'"&amp;$A57&amp;"'!"&amp; "T" &amp; $B57)</f>
        <v>54.879999999999995</v>
      </c>
      <c r="R57" s="310" cm="1">
        <f t="array" aca="1" ref="R57" ca="1">INDIRECT("'"&amp;$A57&amp;"'!"&amp; "U" &amp; $B57)</f>
        <v>54.989999999999995</v>
      </c>
      <c r="S57" s="310" cm="1">
        <f t="array" aca="1" ref="S57" ca="1">INDIRECT("'"&amp;$A57&amp;"'!"&amp; "V" &amp; $B57)</f>
        <v>53.85</v>
      </c>
      <c r="T57" s="310" cm="1">
        <f t="array" aca="1" ref="T57" ca="1">INDIRECT("'"&amp;$A57&amp;"'!"&amp; "W" &amp; $B57)</f>
        <v>53.080000000000005</v>
      </c>
      <c r="U57" s="310" cm="1">
        <f t="array" aca="1" ref="U57" ca="1">INDIRECT("'"&amp;$A57&amp;"'!"&amp; "X" &amp; $B57)</f>
        <v>53.73</v>
      </c>
      <c r="V57" s="310" cm="1">
        <f t="array" aca="1" ref="V57" ca="1">INDIRECT("'"&amp;$A57&amp;"'!"&amp; "Y" &amp; $B57)</f>
        <v>57.109999999999992</v>
      </c>
      <c r="W57" s="310" cm="1">
        <f t="array" aca="1" ref="W57" ca="1">INDIRECT("'"&amp;$A57&amp;"'!"&amp; "Z" &amp; $B57)</f>
        <v>54.18</v>
      </c>
      <c r="X57" s="310" cm="1">
        <f t="array" aca="1" ref="X57" ca="1">INDIRECT("'"&amp;$A57&amp;"'!"&amp; "AA" &amp; $B57)</f>
        <v>51.230000000000004</v>
      </c>
      <c r="Y57" s="310" cm="1">
        <f t="array" aca="1" ref="Y57" ca="1">INDIRECT("'"&amp;$A57&amp;"'!"&amp; "AB" &amp; $B57)</f>
        <v>47.59</v>
      </c>
      <c r="Z57" s="310" cm="1">
        <f t="array" aca="1" ref="Z57" ca="1">INDIRECT("'"&amp;$A57&amp;"'!"&amp; "AC" &amp; $B57)</f>
        <v>43.919999999999995</v>
      </c>
    </row>
    <row r="58" spans="1:26">
      <c r="A58" s="79">
        <v>24</v>
      </c>
      <c r="B58" s="79">
        <v>108</v>
      </c>
      <c r="C58" s="310" cm="1">
        <f t="array" aca="1" ref="C58" ca="1">INDIRECT("'"&amp;$A58&amp;"'!"&amp; "F" &amp; $B58)</f>
        <v>41.120000000000005</v>
      </c>
      <c r="D58" s="310" cm="1">
        <f t="array" aca="1" ref="D58" ca="1">INDIRECT("'"&amp;$A58&amp;"'!"&amp; "g" &amp; $B58)</f>
        <v>39.19</v>
      </c>
      <c r="E58" s="310" cm="1">
        <f t="array" aca="1" ref="E58" ca="1">INDIRECT("'"&amp;$A58&amp;"'!"&amp; "H" &amp; $B58)</f>
        <v>37.47</v>
      </c>
      <c r="F58" s="310" cm="1">
        <f t="array" aca="1" ref="F58" ca="1">INDIRECT("'"&amp;$A58&amp;"'!"&amp; "I" &amp; $B58)</f>
        <v>37.449999999999996</v>
      </c>
      <c r="G58" s="310" cm="1">
        <f t="array" aca="1" ref="G58" ca="1">INDIRECT("'"&amp;$A58&amp;"'!"&amp; "J" &amp; $B58)</f>
        <v>36.71</v>
      </c>
      <c r="H58" s="310" cm="1">
        <f t="array" aca="1" ref="H58" ca="1">INDIRECT("'"&amp;$A58&amp;"'!"&amp; "K" &amp; $B58)</f>
        <v>37.82</v>
      </c>
      <c r="I58" s="310" cm="1">
        <f t="array" aca="1" ref="I58" ca="1">INDIRECT("'"&amp;$A58&amp;"'!"&amp; "L" &amp; $B58)</f>
        <v>39.980000000000004</v>
      </c>
      <c r="J58" s="310" cm="1">
        <f t="array" aca="1" ref="J58" ca="1">INDIRECT("'"&amp;$A58&amp;"'!"&amp; "M" &amp; $B58)</f>
        <v>39.949999999999996</v>
      </c>
      <c r="K58" s="310" cm="1">
        <f t="array" aca="1" ref="K58" ca="1">INDIRECT("'"&amp;$A58&amp;"'!"&amp; "N" &amp; $B58)</f>
        <v>43.77</v>
      </c>
      <c r="L58" s="310" cm="1">
        <f t="array" aca="1" ref="L58" ca="1">INDIRECT("'"&amp;$A58&amp;"'!"&amp; "O" &amp; $B58)</f>
        <v>49.669999999999995</v>
      </c>
      <c r="M58" s="310" cm="1">
        <f t="array" aca="1" ref="M58" ca="1">INDIRECT("'"&amp;$A58&amp;"'!"&amp; "P" &amp; $B58)</f>
        <v>57.100000000000009</v>
      </c>
      <c r="N58" s="310" cm="1">
        <f t="array" aca="1" ref="N58" ca="1">INDIRECT("'"&amp;$A58&amp;"'!"&amp; "Q" &amp; $B58)</f>
        <v>57.85</v>
      </c>
      <c r="O58" s="310" cm="1">
        <f t="array" aca="1" ref="O58" ca="1">INDIRECT("'"&amp;$A58&amp;"'!"&amp; "R" &amp; $B58)</f>
        <v>56.470000000000013</v>
      </c>
      <c r="P58" s="310" cm="1">
        <f t="array" aca="1" ref="P58" ca="1">INDIRECT("'"&amp;$A58&amp;"'!"&amp; "S" &amp; $B58)</f>
        <v>55.76</v>
      </c>
      <c r="Q58" s="310" cm="1">
        <f t="array" aca="1" ref="Q58" ca="1">INDIRECT("'"&amp;$A58&amp;"'!"&amp; "T" &amp; $B58)</f>
        <v>56.4</v>
      </c>
      <c r="R58" s="310" cm="1">
        <f t="array" aca="1" ref="R58" ca="1">INDIRECT("'"&amp;$A58&amp;"'!"&amp; "U" &amp; $B58)</f>
        <v>57.39</v>
      </c>
      <c r="S58" s="310" cm="1">
        <f t="array" aca="1" ref="S58" ca="1">INDIRECT("'"&amp;$A58&amp;"'!"&amp; "V" &amp; $B58)</f>
        <v>55.49</v>
      </c>
      <c r="T58" s="310" cm="1">
        <f t="array" aca="1" ref="T58" ca="1">INDIRECT("'"&amp;$A58&amp;"'!"&amp; "W" &amp; $B58)</f>
        <v>55.04</v>
      </c>
      <c r="U58" s="310" cm="1">
        <f t="array" aca="1" ref="U58" ca="1">INDIRECT("'"&amp;$A58&amp;"'!"&amp; "X" &amp; $B58)</f>
        <v>54.57</v>
      </c>
      <c r="V58" s="310" cm="1">
        <f t="array" aca="1" ref="V58" ca="1">INDIRECT("'"&amp;$A58&amp;"'!"&amp; "Y" &amp; $B58)</f>
        <v>57.220000000000006</v>
      </c>
      <c r="W58" s="310" cm="1">
        <f t="array" aca="1" ref="W58" ca="1">INDIRECT("'"&amp;$A58&amp;"'!"&amp; "Z" &amp; $B58)</f>
        <v>52.95</v>
      </c>
      <c r="X58" s="310" cm="1">
        <f t="array" aca="1" ref="X58" ca="1">INDIRECT("'"&amp;$A58&amp;"'!"&amp; "AA" &amp; $B58)</f>
        <v>51.320000000000007</v>
      </c>
      <c r="Y58" s="310" cm="1">
        <f t="array" aca="1" ref="Y58" ca="1">INDIRECT("'"&amp;$A58&amp;"'!"&amp; "AB" &amp; $B58)</f>
        <v>47.18</v>
      </c>
      <c r="Z58" s="310" cm="1">
        <f t="array" aca="1" ref="Z58" ca="1">INDIRECT("'"&amp;$A58&amp;"'!"&amp; "AC" &amp; $B58)</f>
        <v>44.300000000000004</v>
      </c>
    </row>
    <row r="59" spans="1:26">
      <c r="A59" s="79">
        <v>25</v>
      </c>
      <c r="B59" s="79">
        <v>108</v>
      </c>
      <c r="C59" s="310" cm="1">
        <f t="array" aca="1" ref="C59" ca="1">INDIRECT("'"&amp;$A59&amp;"'!"&amp; "F" &amp; $B59)</f>
        <v>40.65</v>
      </c>
      <c r="D59" s="310" cm="1">
        <f t="array" aca="1" ref="D59" ca="1">INDIRECT("'"&amp;$A59&amp;"'!"&amp; "g" &amp; $B59)</f>
        <v>37.549999999999997</v>
      </c>
      <c r="E59" s="310" cm="1">
        <f t="array" aca="1" ref="E59" ca="1">INDIRECT("'"&amp;$A59&amp;"'!"&amp; "H" &amp; $B59)</f>
        <v>36.530000000000008</v>
      </c>
      <c r="F59" s="310" cm="1">
        <f t="array" aca="1" ref="F59" ca="1">INDIRECT("'"&amp;$A59&amp;"'!"&amp; "I" &amp; $B59)</f>
        <v>35.96</v>
      </c>
      <c r="G59" s="310" cm="1">
        <f t="array" aca="1" ref="G59" ca="1">INDIRECT("'"&amp;$A59&amp;"'!"&amp; "J" &amp; $B59)</f>
        <v>35.6</v>
      </c>
      <c r="H59" s="310" cm="1">
        <f t="array" aca="1" ref="H59" ca="1">INDIRECT("'"&amp;$A59&amp;"'!"&amp; "K" &amp; $B59)</f>
        <v>35.510000000000005</v>
      </c>
      <c r="I59" s="310" cm="1">
        <f t="array" aca="1" ref="I59" ca="1">INDIRECT("'"&amp;$A59&amp;"'!"&amp; "L" &amp; $B59)</f>
        <v>37.67</v>
      </c>
      <c r="J59" s="310" cm="1">
        <f t="array" aca="1" ref="J59" ca="1">INDIRECT("'"&amp;$A59&amp;"'!"&amp; "M" &amp; $B59)</f>
        <v>38.239999999999995</v>
      </c>
      <c r="K59" s="310" cm="1">
        <f t="array" aca="1" ref="K59" ca="1">INDIRECT("'"&amp;$A59&amp;"'!"&amp; "N" &amp; $B59)</f>
        <v>43.644999999999996</v>
      </c>
      <c r="L59" s="310" cm="1">
        <f t="array" aca="1" ref="L59" ca="1">INDIRECT("'"&amp;$A59&amp;"'!"&amp; "O" &amp; $B59)</f>
        <v>48.540000000000006</v>
      </c>
      <c r="M59" s="310" cm="1">
        <f t="array" aca="1" ref="M59" ca="1">INDIRECT("'"&amp;$A59&amp;"'!"&amp; "P" &amp; $B59)</f>
        <v>54.09</v>
      </c>
      <c r="N59" s="310" cm="1">
        <f t="array" aca="1" ref="N59" ca="1">INDIRECT("'"&amp;$A59&amp;"'!"&amp; "Q" &amp; $B59)</f>
        <v>54.629999999999995</v>
      </c>
      <c r="O59" s="310" cm="1">
        <f t="array" aca="1" ref="O59" ca="1">INDIRECT("'"&amp;$A59&amp;"'!"&amp; "R" &amp; $B59)</f>
        <v>50.649999999999991</v>
      </c>
      <c r="P59" s="310" cm="1">
        <f t="array" aca="1" ref="P59" ca="1">INDIRECT("'"&amp;$A59&amp;"'!"&amp; "S" &amp; $B59)</f>
        <v>54.269999999999996</v>
      </c>
      <c r="Q59" s="310" cm="1">
        <f t="array" aca="1" ref="Q59" ca="1">INDIRECT("'"&amp;$A59&amp;"'!"&amp; "T" &amp; $B59)</f>
        <v>53.34</v>
      </c>
      <c r="R59" s="310" cm="1">
        <f t="array" aca="1" ref="R59" ca="1">INDIRECT("'"&amp;$A59&amp;"'!"&amp; "U" &amp; $B59)</f>
        <v>51.400000000000006</v>
      </c>
      <c r="S59" s="310" cm="1">
        <f t="array" aca="1" ref="S59" ca="1">INDIRECT("'"&amp;$A59&amp;"'!"&amp; "V" &amp; $B59)</f>
        <v>49.359999999999992</v>
      </c>
      <c r="T59" s="310" cm="1">
        <f t="array" aca="1" ref="T59" ca="1">INDIRECT("'"&amp;$A59&amp;"'!"&amp; "W" &amp; $B59)</f>
        <v>47.160000000000004</v>
      </c>
      <c r="U59" s="310" cm="1">
        <f t="array" aca="1" ref="U59" ca="1">INDIRECT("'"&amp;$A59&amp;"'!"&amp; "X" &amp; $B59)</f>
        <v>46.82</v>
      </c>
      <c r="V59" s="310" cm="1">
        <f t="array" aca="1" ref="V59" ca="1">INDIRECT("'"&amp;$A59&amp;"'!"&amp; "Y" &amp; $B59)</f>
        <v>50.010000000000005</v>
      </c>
      <c r="W59" s="310" cm="1">
        <f t="array" aca="1" ref="W59" ca="1">INDIRECT("'"&amp;$A59&amp;"'!"&amp; "Z" &amp; $B59)</f>
        <v>48.28</v>
      </c>
      <c r="X59" s="310" cm="1">
        <f t="array" aca="1" ref="X59" ca="1">INDIRECT("'"&amp;$A59&amp;"'!"&amp; "AA" &amp; $B59)</f>
        <v>46.919999999999995</v>
      </c>
      <c r="Y59" s="310" cm="1">
        <f t="array" aca="1" ref="Y59" ca="1">INDIRECT("'"&amp;$A59&amp;"'!"&amp; "AB" &amp; $B59)</f>
        <v>42.730000000000004</v>
      </c>
      <c r="Z59" s="310" cm="1">
        <f t="array" aca="1" ref="Z59" ca="1">INDIRECT("'"&amp;$A59&amp;"'!"&amp; "AC" &amp; $B59)</f>
        <v>39.660000000000004</v>
      </c>
    </row>
    <row r="60" spans="1:26">
      <c r="A60" s="79">
        <v>26</v>
      </c>
      <c r="B60" s="79">
        <v>108</v>
      </c>
      <c r="C60" s="310" cm="1">
        <f t="array" aca="1" ref="C60" ca="1">INDIRECT("'"&amp;$A60&amp;"'!"&amp; "F" &amp; $B60)</f>
        <v>36.119999999999997</v>
      </c>
      <c r="D60" s="310" cm="1">
        <f t="array" aca="1" ref="D60" ca="1">INDIRECT("'"&amp;$A60&amp;"'!"&amp; "g" &amp; $B60)</f>
        <v>33.839999999999996</v>
      </c>
      <c r="E60" s="310" cm="1">
        <f t="array" aca="1" ref="E60" ca="1">INDIRECT("'"&amp;$A60&amp;"'!"&amp; "H" &amp; $B60)</f>
        <v>32.51</v>
      </c>
      <c r="F60" s="310" cm="1">
        <f t="array" aca="1" ref="F60" ca="1">INDIRECT("'"&amp;$A60&amp;"'!"&amp; "I" &amp; $B60)</f>
        <v>31.860000000000003</v>
      </c>
      <c r="G60" s="310" cm="1">
        <f t="array" aca="1" ref="G60" ca="1">INDIRECT("'"&amp;$A60&amp;"'!"&amp; "J" &amp; $B60)</f>
        <v>31.56</v>
      </c>
      <c r="H60" s="310" cm="1">
        <f t="array" aca="1" ref="H60" ca="1">INDIRECT("'"&amp;$A60&amp;"'!"&amp; "K" &amp; $B60)</f>
        <v>31.730000000000004</v>
      </c>
      <c r="I60" s="310" cm="1">
        <f t="array" aca="1" ref="I60" ca="1">INDIRECT("'"&amp;$A60&amp;"'!"&amp; "L" &amp; $B60)</f>
        <v>34.42</v>
      </c>
      <c r="J60" s="310" cm="1">
        <f t="array" aca="1" ref="J60" ca="1">INDIRECT("'"&amp;$A60&amp;"'!"&amp; "M" &amp; $B60)</f>
        <v>34.610000000000007</v>
      </c>
      <c r="K60" s="310" cm="1">
        <f t="array" aca="1" ref="K60" ca="1">INDIRECT("'"&amp;$A60&amp;"'!"&amp; "N" &amp; $B60)</f>
        <v>38.120000000000005</v>
      </c>
      <c r="L60" s="310" cm="1">
        <f t="array" aca="1" ref="L60" ca="1">INDIRECT("'"&amp;$A60&amp;"'!"&amp; "O" &amp; $B60)</f>
        <v>44.24</v>
      </c>
      <c r="M60" s="310" cm="1">
        <f t="array" aca="1" ref="M60" ca="1">INDIRECT("'"&amp;$A60&amp;"'!"&amp; "P" &amp; $B60)</f>
        <v>48.080000000000005</v>
      </c>
      <c r="N60" s="310" cm="1">
        <f t="array" aca="1" ref="N60" ca="1">INDIRECT("'"&amp;$A60&amp;"'!"&amp; "Q" &amp; $B60)</f>
        <v>49.789999999999992</v>
      </c>
      <c r="O60" s="310" cm="1">
        <f t="array" aca="1" ref="O60" ca="1">INDIRECT("'"&amp;$A60&amp;"'!"&amp; "R" &amp; $B60)</f>
        <v>51.070000000000007</v>
      </c>
      <c r="P60" s="310" cm="1">
        <f t="array" aca="1" ref="P60" ca="1">INDIRECT("'"&amp;$A60&amp;"'!"&amp; "S" &amp; $B60)</f>
        <v>51.86999999999999</v>
      </c>
      <c r="Q60" s="310" cm="1">
        <f t="array" aca="1" ref="Q60" ca="1">INDIRECT("'"&amp;$A60&amp;"'!"&amp; "T" &amp; $B60)</f>
        <v>52.690000000000005</v>
      </c>
      <c r="R60" s="310" cm="1">
        <f t="array" aca="1" ref="R60" ca="1">INDIRECT("'"&amp;$A60&amp;"'!"&amp; "U" &amp; $B60)</f>
        <v>53.410000000000004</v>
      </c>
      <c r="S60" s="310" cm="1">
        <f t="array" aca="1" ref="S60" ca="1">INDIRECT("'"&amp;$A60&amp;"'!"&amp; "V" &amp; $B60)</f>
        <v>52.65</v>
      </c>
      <c r="T60" s="310" cm="1">
        <f t="array" aca="1" ref="T60" ca="1">INDIRECT("'"&amp;$A60&amp;"'!"&amp; "W" &amp; $B60)</f>
        <v>50.21</v>
      </c>
      <c r="U60" s="310" cm="1">
        <f t="array" aca="1" ref="U60" ca="1">INDIRECT("'"&amp;$A60&amp;"'!"&amp; "X" &amp; $B60)</f>
        <v>52.080000000000005</v>
      </c>
      <c r="V60" s="310" cm="1">
        <f t="array" aca="1" ref="V60" ca="1">INDIRECT("'"&amp;$A60&amp;"'!"&amp; "Y" &amp; $B60)</f>
        <v>56.4</v>
      </c>
      <c r="W60" s="310" cm="1">
        <f t="array" aca="1" ref="W60" ca="1">INDIRECT("'"&amp;$A60&amp;"'!"&amp; "Z" &amp; $B60)</f>
        <v>52.589999999999996</v>
      </c>
      <c r="X60" s="310" cm="1">
        <f t="array" aca="1" ref="X60" ca="1">INDIRECT("'"&amp;$A60&amp;"'!"&amp; "AA" &amp; $B60)</f>
        <v>49.960000000000008</v>
      </c>
      <c r="Y60" s="310" cm="1">
        <f t="array" aca="1" ref="Y60" ca="1">INDIRECT("'"&amp;$A60&amp;"'!"&amp; "AB" &amp; $B60)</f>
        <v>46.01</v>
      </c>
      <c r="Z60" s="310" cm="1">
        <f t="array" aca="1" ref="Z60" ca="1">INDIRECT("'"&amp;$A60&amp;"'!"&amp; "AC" &amp; $B60)</f>
        <v>42.63</v>
      </c>
    </row>
    <row r="61" spans="1:26">
      <c r="A61" s="79">
        <v>27</v>
      </c>
      <c r="B61" s="79">
        <v>108</v>
      </c>
      <c r="C61" s="310" cm="1">
        <f t="array" aca="1" ref="C61" ca="1">INDIRECT("'"&amp;$A61&amp;"'!"&amp; "F" &amp; $B61)</f>
        <v>39.379999999999995</v>
      </c>
      <c r="D61" s="310" cm="1">
        <f t="array" aca="1" ref="D61" ca="1">INDIRECT("'"&amp;$A61&amp;"'!"&amp; "g" &amp; $B61)</f>
        <v>36.130000000000003</v>
      </c>
      <c r="E61" s="310" cm="1">
        <f t="array" aca="1" ref="E61" ca="1">INDIRECT("'"&amp;$A61&amp;"'!"&amp; "H" &amp; $B61)</f>
        <v>34.68</v>
      </c>
      <c r="F61" s="310" cm="1">
        <f t="array" aca="1" ref="F61" ca="1">INDIRECT("'"&amp;$A61&amp;"'!"&amp; "I" &amp; $B61)</f>
        <v>33.47</v>
      </c>
      <c r="G61" s="310" cm="1">
        <f t="array" aca="1" ref="G61" ca="1">INDIRECT("'"&amp;$A61&amp;"'!"&amp; "J" &amp; $B61)</f>
        <v>33.03</v>
      </c>
      <c r="H61" s="310" cm="1">
        <f t="array" aca="1" ref="H61" ca="1">INDIRECT("'"&amp;$A61&amp;"'!"&amp; "K" &amp; $B61)</f>
        <v>32.910000000000004</v>
      </c>
      <c r="I61" s="310" cm="1">
        <f t="array" aca="1" ref="I61" ca="1">INDIRECT("'"&amp;$A61&amp;"'!"&amp; "L" &amp; $B61)</f>
        <v>34.64</v>
      </c>
      <c r="J61" s="310" cm="1">
        <f t="array" aca="1" ref="J61" ca="1">INDIRECT("'"&amp;$A61&amp;"'!"&amp; "M" &amp; $B61)</f>
        <v>34.790000000000006</v>
      </c>
      <c r="K61" s="310" cm="1">
        <f t="array" aca="1" ref="K61" ca="1">INDIRECT("'"&amp;$A61&amp;"'!"&amp; "N" &amp; $B61)</f>
        <v>36.720000000000006</v>
      </c>
      <c r="L61" s="310" cm="1">
        <f t="array" aca="1" ref="L61" ca="1">INDIRECT("'"&amp;$A61&amp;"'!"&amp; "O" &amp; $B61)</f>
        <v>42.689999999999991</v>
      </c>
      <c r="M61" s="310" cm="1">
        <f t="array" aca="1" ref="M61" ca="1">INDIRECT("'"&amp;$A61&amp;"'!"&amp; "P" &amp; $B61)</f>
        <v>45.68</v>
      </c>
      <c r="N61" s="310" cm="1">
        <f t="array" aca="1" ref="N61" ca="1">INDIRECT("'"&amp;$A61&amp;"'!"&amp; "Q" &amp; $B61)</f>
        <v>46.62</v>
      </c>
      <c r="O61" s="310" cm="1">
        <f t="array" aca="1" ref="O61" ca="1">INDIRECT("'"&amp;$A61&amp;"'!"&amp; "R" &amp; $B61)</f>
        <v>49.499999999999993</v>
      </c>
      <c r="P61" s="310" cm="1">
        <f t="array" aca="1" ref="P61" ca="1">INDIRECT("'"&amp;$A61&amp;"'!"&amp; "S" &amp; $B61)</f>
        <v>48.38</v>
      </c>
      <c r="Q61" s="310" cm="1">
        <f t="array" aca="1" ref="Q61" ca="1">INDIRECT("'"&amp;$A61&amp;"'!"&amp; "T" &amp; $B61)</f>
        <v>48.699999999999996</v>
      </c>
      <c r="R61" s="310" cm="1">
        <f t="array" aca="1" ref="R61" ca="1">INDIRECT("'"&amp;$A61&amp;"'!"&amp; "U" &amp; $B61)</f>
        <v>48.5</v>
      </c>
      <c r="S61" s="310" cm="1">
        <f t="array" aca="1" ref="S61" ca="1">INDIRECT("'"&amp;$A61&amp;"'!"&amp; "V" &amp; $B61)</f>
        <v>50.46</v>
      </c>
      <c r="T61" s="310" cm="1">
        <f t="array" aca="1" ref="T61" ca="1">INDIRECT("'"&amp;$A61&amp;"'!"&amp; "W" &amp; $B61)</f>
        <v>48.690000000000005</v>
      </c>
      <c r="U61" s="310" cm="1">
        <f t="array" aca="1" ref="U61" ca="1">INDIRECT("'"&amp;$A61&amp;"'!"&amp; "X" &amp; $B61)</f>
        <v>49.399999999999991</v>
      </c>
      <c r="V61" s="310" cm="1">
        <f t="array" aca="1" ref="V61" ca="1">INDIRECT("'"&amp;$A61&amp;"'!"&amp; "Y" &amp; $B61)</f>
        <v>56.58</v>
      </c>
      <c r="W61" s="310" cm="1">
        <f t="array" aca="1" ref="W61" ca="1">INDIRECT("'"&amp;$A61&amp;"'!"&amp; "Z" &amp; $B61)</f>
        <v>55.02</v>
      </c>
      <c r="X61" s="310" cm="1">
        <f t="array" aca="1" ref="X61" ca="1">INDIRECT("'"&amp;$A61&amp;"'!"&amp; "AA" &amp; $B61)</f>
        <v>52.16</v>
      </c>
      <c r="Y61" s="310" cm="1">
        <f t="array" aca="1" ref="Y61" ca="1">INDIRECT("'"&amp;$A61&amp;"'!"&amp; "AB" &amp; $B61)</f>
        <v>47.47</v>
      </c>
      <c r="Z61" s="310" cm="1">
        <f t="array" aca="1" ref="Z61" ca="1">INDIRECT("'"&amp;$A61&amp;"'!"&amp; "AC" &amp; $B61)</f>
        <v>43.569999999999993</v>
      </c>
    </row>
    <row r="62" spans="1:26">
      <c r="A62" s="79">
        <v>28</v>
      </c>
      <c r="B62" s="79">
        <v>108</v>
      </c>
      <c r="C62" s="310" cm="1">
        <f t="array" aca="1" ref="C62" ca="1">INDIRECT("'"&amp;$A62&amp;"'!"&amp; "F" &amp; $B62)</f>
        <v>39.720000000000006</v>
      </c>
      <c r="D62" s="310" cm="1">
        <f t="array" aca="1" ref="D62" ca="1">INDIRECT("'"&amp;$A62&amp;"'!"&amp; "g" &amp; $B62)</f>
        <v>37.150000000000006</v>
      </c>
      <c r="E62" s="310" cm="1">
        <f t="array" aca="1" ref="E62" ca="1">INDIRECT("'"&amp;$A62&amp;"'!"&amp; "H" &amp; $B62)</f>
        <v>34.75</v>
      </c>
      <c r="F62" s="310" cm="1">
        <f t="array" aca="1" ref="F62" ca="1">INDIRECT("'"&amp;$A62&amp;"'!"&amp; "I" &amp; $B62)</f>
        <v>33.949999999999996</v>
      </c>
      <c r="G62" s="310" cm="1">
        <f t="array" aca="1" ref="G62" ca="1">INDIRECT("'"&amp;$A62&amp;"'!"&amp; "J" &amp; $B62)</f>
        <v>33.86</v>
      </c>
      <c r="H62" s="310" cm="1">
        <f t="array" aca="1" ref="H62" ca="1">INDIRECT("'"&amp;$A62&amp;"'!"&amp; "K" &amp; $B62)</f>
        <v>35.97</v>
      </c>
      <c r="I62" s="310" cm="1">
        <f t="array" aca="1" ref="I62" ca="1">INDIRECT("'"&amp;$A62&amp;"'!"&amp; "L" &amp; $B62)</f>
        <v>41.13</v>
      </c>
      <c r="J62" s="310" cm="1">
        <f t="array" aca="1" ref="J62" ca="1">INDIRECT("'"&amp;$A62&amp;"'!"&amp; "M" &amp; $B62)</f>
        <v>36.78</v>
      </c>
      <c r="K62" s="310" cm="1">
        <f t="array" aca="1" ref="K62" ca="1">INDIRECT("'"&amp;$A62&amp;"'!"&amp; "N" &amp; $B62)</f>
        <v>41.74</v>
      </c>
      <c r="L62" s="310" cm="1">
        <f t="array" aca="1" ref="L62" ca="1">INDIRECT("'"&amp;$A62&amp;"'!"&amp; "O" &amp; $B62)</f>
        <v>53.29</v>
      </c>
      <c r="M62" s="310" cm="1">
        <f t="array" aca="1" ref="M62" ca="1">INDIRECT("'"&amp;$A62&amp;"'!"&amp; "P" &amp; $B62)</f>
        <v>57.419999999999995</v>
      </c>
      <c r="N62" s="310" cm="1">
        <f t="array" aca="1" ref="N62" ca="1">INDIRECT("'"&amp;$A62&amp;"'!"&amp; "Q" &amp; $B62)</f>
        <v>59.319999999999993</v>
      </c>
      <c r="O62" s="310" cm="1">
        <f t="array" aca="1" ref="O62" ca="1">INDIRECT("'"&amp;$A62&amp;"'!"&amp; "R" &amp; $B62)</f>
        <v>59.739999999999995</v>
      </c>
      <c r="P62" s="310" cm="1">
        <f t="array" aca="1" ref="P62" ca="1">INDIRECT("'"&amp;$A62&amp;"'!"&amp; "S" &amp; $B62)</f>
        <v>62.73</v>
      </c>
      <c r="Q62" s="310" cm="1">
        <f t="array" aca="1" ref="Q62" ca="1">INDIRECT("'"&amp;$A62&amp;"'!"&amp; "T" &amp; $B62)</f>
        <v>63.260000000000005</v>
      </c>
      <c r="R62" s="310" cm="1">
        <f t="array" aca="1" ref="R62" ca="1">INDIRECT("'"&amp;$A62&amp;"'!"&amp; "U" &amp; $B62)</f>
        <v>64.699999999999989</v>
      </c>
      <c r="S62" s="310" cm="1">
        <f t="array" aca="1" ref="S62" ca="1">INDIRECT("'"&amp;$A62&amp;"'!"&amp; "V" &amp; $B62)</f>
        <v>64.150000000000006</v>
      </c>
      <c r="T62" s="310" cm="1">
        <f t="array" aca="1" ref="T62" ca="1">INDIRECT("'"&amp;$A62&amp;"'!"&amp; "W" &amp; $B62)</f>
        <v>61.539999999999992</v>
      </c>
      <c r="U62" s="310" cm="1">
        <f t="array" aca="1" ref="U62" ca="1">INDIRECT("'"&amp;$A62&amp;"'!"&amp; "X" &amp; $B62)</f>
        <v>56.82</v>
      </c>
      <c r="V62" s="310" cm="1">
        <f t="array" aca="1" ref="V62" ca="1">INDIRECT("'"&amp;$A62&amp;"'!"&amp; "Y" &amp; $B62)</f>
        <v>62.430000000000007</v>
      </c>
      <c r="W62" s="310" cm="1">
        <f t="array" aca="1" ref="W62" ca="1">INDIRECT("'"&amp;$A62&amp;"'!"&amp; "Z" &amp; $B62)</f>
        <v>58.54</v>
      </c>
      <c r="X62" s="310" cm="1">
        <f t="array" aca="1" ref="X62" ca="1">INDIRECT("'"&amp;$A62&amp;"'!"&amp; "AA" &amp; $B62)</f>
        <v>55.820000000000007</v>
      </c>
      <c r="Y62" s="310" cm="1">
        <f t="array" aca="1" ref="Y62" ca="1">INDIRECT("'"&amp;$A62&amp;"'!"&amp; "AB" &amp; $B62)</f>
        <v>51.14</v>
      </c>
      <c r="Z62" s="310" cm="1">
        <f t="array" aca="1" ref="Z62" ca="1">INDIRECT("'"&amp;$A62&amp;"'!"&amp; "AC" &amp; $B62)</f>
        <v>46.5</v>
      </c>
    </row>
    <row r="63" spans="1:26">
      <c r="A63" s="79">
        <v>29</v>
      </c>
      <c r="B63" s="79">
        <v>108</v>
      </c>
      <c r="C63" s="310" cm="1">
        <f t="array" aca="1" ref="C63" ca="1">INDIRECT("'"&amp;$A63&amp;"'!"&amp; "F" &amp; $B63)</f>
        <v>42.13</v>
      </c>
      <c r="D63" s="310" cm="1">
        <f t="array" aca="1" ref="D63" ca="1">INDIRECT("'"&amp;$A63&amp;"'!"&amp; "g" &amp; $B63)</f>
        <v>39.730000000000004</v>
      </c>
      <c r="E63" s="310" cm="1">
        <f t="array" aca="1" ref="E63" ca="1">INDIRECT("'"&amp;$A63&amp;"'!"&amp; "H" &amp; $B63)</f>
        <v>37.319999999999993</v>
      </c>
      <c r="F63" s="310" cm="1">
        <f t="array" aca="1" ref="F63" ca="1">INDIRECT("'"&amp;$A63&amp;"'!"&amp; "I" &amp; $B63)</f>
        <v>36.590000000000003</v>
      </c>
      <c r="G63" s="310" cm="1">
        <f t="array" aca="1" ref="G63" ca="1">INDIRECT("'"&amp;$A63&amp;"'!"&amp; "J" &amp; $B63)</f>
        <v>35.940000000000005</v>
      </c>
      <c r="H63" s="310" cm="1">
        <f t="array" aca="1" ref="H63" ca="1">INDIRECT("'"&amp;$A63&amp;"'!"&amp; "K" &amp; $B63)</f>
        <v>37.670000000000009</v>
      </c>
      <c r="I63" s="310" cm="1">
        <f t="array" aca="1" ref="I63" ca="1">INDIRECT("'"&amp;$A63&amp;"'!"&amp; "L" &amp; $B63)</f>
        <v>42.960000000000008</v>
      </c>
      <c r="J63" s="310" cm="1">
        <f t="array" aca="1" ref="J63" ca="1">INDIRECT("'"&amp;$A63&amp;"'!"&amp; "M" &amp; $B63)</f>
        <v>38.68</v>
      </c>
      <c r="K63" s="310" cm="1">
        <f t="array" aca="1" ref="K63" ca="1">INDIRECT("'"&amp;$A63&amp;"'!"&amp; "N" &amp; $B63)</f>
        <v>45.800000000000004</v>
      </c>
      <c r="L63" s="310" cm="1">
        <f t="array" aca="1" ref="L63" ca="1">INDIRECT("'"&amp;$A63&amp;"'!"&amp; "O" &amp; $B63)</f>
        <v>55.59</v>
      </c>
      <c r="M63" s="310" cm="1">
        <f t="array" aca="1" ref="M63" ca="1">INDIRECT("'"&amp;$A63&amp;"'!"&amp; "P" &amp; $B63)</f>
        <v>60.359999999999985</v>
      </c>
      <c r="N63" s="310" cm="1">
        <f t="array" aca="1" ref="N63" ca="1">INDIRECT("'"&amp;$A63&amp;"'!"&amp; "Q" &amp; $B63)</f>
        <v>61.970000000000013</v>
      </c>
      <c r="O63" s="310" cm="1">
        <f t="array" aca="1" ref="O63" ca="1">INDIRECT("'"&amp;$A63&amp;"'!"&amp; "R" &amp; $B63)</f>
        <v>60.929999999999993</v>
      </c>
      <c r="P63" s="310" cm="1">
        <f t="array" aca="1" ref="P63" ca="1">INDIRECT("'"&amp;$A63&amp;"'!"&amp; "S" &amp; $B63)</f>
        <v>63.140000000000008</v>
      </c>
      <c r="Q63" s="310" cm="1">
        <f t="array" aca="1" ref="Q63" ca="1">INDIRECT("'"&amp;$A63&amp;"'!"&amp; "T" &amp; $B63)</f>
        <v>65.58</v>
      </c>
      <c r="R63" s="310" cm="1">
        <f t="array" aca="1" ref="R63" ca="1">INDIRECT("'"&amp;$A63&amp;"'!"&amp; "U" &amp; $B63)</f>
        <v>65.150000000000006</v>
      </c>
      <c r="S63" s="310" cm="1">
        <f t="array" aca="1" ref="S63" ca="1">INDIRECT("'"&amp;$A63&amp;"'!"&amp; "V" &amp; $B63)</f>
        <v>62.38</v>
      </c>
      <c r="T63" s="310" cm="1">
        <f t="array" aca="1" ref="T63" ca="1">INDIRECT("'"&amp;$A63&amp;"'!"&amp; "W" &amp; $B63)</f>
        <v>58.429999999999993</v>
      </c>
      <c r="U63" s="310" cm="1">
        <f t="array" aca="1" ref="U63" ca="1">INDIRECT("'"&amp;$A63&amp;"'!"&amp; "X" &amp; $B63)</f>
        <v>55.21</v>
      </c>
      <c r="V63" s="310" cm="1">
        <f t="array" aca="1" ref="V63" ca="1">INDIRECT("'"&amp;$A63&amp;"'!"&amp; "Y" &amp; $B63)</f>
        <v>60.309999999999995</v>
      </c>
      <c r="W63" s="310" cm="1">
        <f t="array" aca="1" ref="W63" ca="1">INDIRECT("'"&amp;$A63&amp;"'!"&amp; "Z" &amp; $B63)</f>
        <v>56.419999999999995</v>
      </c>
      <c r="X63" s="310" cm="1">
        <f t="array" aca="1" ref="X63" ca="1">INDIRECT("'"&amp;$A63&amp;"'!"&amp; "AA" &amp; $B63)</f>
        <v>53.89</v>
      </c>
      <c r="Y63" s="310" cm="1">
        <f t="array" aca="1" ref="Y63" ca="1">INDIRECT("'"&amp;$A63&amp;"'!"&amp; "AB" &amp; $B63)</f>
        <v>47.96</v>
      </c>
      <c r="Z63" s="310" cm="1">
        <f t="array" aca="1" ref="Z63" ca="1">INDIRECT("'"&amp;$A63&amp;"'!"&amp; "AC" &amp; $B63)</f>
        <v>45.65</v>
      </c>
    </row>
    <row r="64" spans="1:26">
      <c r="A64" s="79">
        <v>30</v>
      </c>
      <c r="B64" s="79">
        <v>108</v>
      </c>
      <c r="C64" s="310" cm="1">
        <f t="array" aca="1" ref="C64" ca="1">INDIRECT("'"&amp;$A64&amp;"'!"&amp; "F" &amp; $B64)</f>
        <v>42.08</v>
      </c>
      <c r="D64" s="310" cm="1">
        <f t="array" aca="1" ref="D64" ca="1">INDIRECT("'"&amp;$A64&amp;"'!"&amp; "g" &amp; $B64)</f>
        <v>39.629999999999995</v>
      </c>
      <c r="E64" s="310" cm="1">
        <f t="array" aca="1" ref="E64" ca="1">INDIRECT("'"&amp;$A64&amp;"'!"&amp; "H" &amp; $B64)</f>
        <v>37.78</v>
      </c>
      <c r="F64" s="310" cm="1">
        <f t="array" aca="1" ref="F64" ca="1">INDIRECT("'"&amp;$A64&amp;"'!"&amp; "I" &amp; $B64)</f>
        <v>36.770000000000003</v>
      </c>
      <c r="G64" s="310" cm="1">
        <f t="array" aca="1" ref="G64" ca="1">INDIRECT("'"&amp;$A64&amp;"'!"&amp; "J" &amp; $B64)</f>
        <v>36.380000000000003</v>
      </c>
      <c r="H64" s="310" cm="1">
        <f t="array" aca="1" ref="H64" ca="1">INDIRECT("'"&amp;$A64&amp;"'!"&amp; "K" &amp; $B64)</f>
        <v>38</v>
      </c>
      <c r="I64" s="310" cm="1">
        <f t="array" aca="1" ref="I64" ca="1">INDIRECT("'"&amp;$A64&amp;"'!"&amp; "L" &amp; $B64)</f>
        <v>43.279999999999994</v>
      </c>
      <c r="J64" s="310" cm="1">
        <f t="array" aca="1" ref="J64" ca="1">INDIRECT("'"&amp;$A64&amp;"'!"&amp; "M" &amp; $B64)</f>
        <v>39.78</v>
      </c>
      <c r="K64" s="310" cm="1">
        <f t="array" aca="1" ref="K64" ca="1">INDIRECT("'"&amp;$A64&amp;"'!"&amp; "N" &amp; $B64)</f>
        <v>46.489999999999995</v>
      </c>
      <c r="L64" s="310" cm="1">
        <f t="array" aca="1" ref="L64" ca="1">INDIRECT("'"&amp;$A64&amp;"'!"&amp; "O" &amp; $B64)</f>
        <v>56.930000000000007</v>
      </c>
      <c r="M64" s="310" cm="1">
        <f t="array" aca="1" ref="M64" ca="1">INDIRECT("'"&amp;$A64&amp;"'!"&amp; "P" &amp; $B64)</f>
        <v>62.759999999999991</v>
      </c>
      <c r="N64" s="310" cm="1">
        <f t="array" aca="1" ref="N64" ca="1">INDIRECT("'"&amp;$A64&amp;"'!"&amp; "Q" &amp; $B64)</f>
        <v>64.69</v>
      </c>
      <c r="O64" s="310" cm="1">
        <f t="array" aca="1" ref="O64" ca="1">INDIRECT("'"&amp;$A64&amp;"'!"&amp; "R" &amp; $B64)</f>
        <v>64.72999999999999</v>
      </c>
      <c r="P64" s="310" cm="1">
        <f t="array" aca="1" ref="P64" ca="1">INDIRECT("'"&amp;$A64&amp;"'!"&amp; "S" &amp; $B64)</f>
        <v>68.39</v>
      </c>
      <c r="Q64" s="310" cm="1">
        <f t="array" aca="1" ref="Q64" ca="1">INDIRECT("'"&amp;$A64&amp;"'!"&amp; "T" &amp; $B64)</f>
        <v>67.790000000000006</v>
      </c>
      <c r="R64" s="310" cm="1">
        <f t="array" aca="1" ref="R64" ca="1">INDIRECT("'"&amp;$A64&amp;"'!"&amp; "U" &amp; $B64)</f>
        <v>67.349999999999994</v>
      </c>
      <c r="S64" s="310" cm="1">
        <f t="array" aca="1" ref="S64" ca="1">INDIRECT("'"&amp;$A64&amp;"'!"&amp; "V" &amp; $B64)</f>
        <v>65.3</v>
      </c>
      <c r="T64" s="310" cm="1">
        <f t="array" aca="1" ref="T64" ca="1">INDIRECT("'"&amp;$A64&amp;"'!"&amp; "W" &amp; $B64)</f>
        <v>61.53</v>
      </c>
      <c r="U64" s="310" cm="1">
        <f t="array" aca="1" ref="U64" ca="1">INDIRECT("'"&amp;$A64&amp;"'!"&amp; "X" &amp; $B64)</f>
        <v>55.089999999999996</v>
      </c>
      <c r="V64" s="310" cm="1">
        <f t="array" aca="1" ref="V64" ca="1">INDIRECT("'"&amp;$A64&amp;"'!"&amp; "Y" &amp; $B64)</f>
        <v>63.209999999999994</v>
      </c>
      <c r="W64" s="310" cm="1">
        <f t="array" aca="1" ref="W64" ca="1">INDIRECT("'"&amp;$A64&amp;"'!"&amp; "Z" &amp; $B64)</f>
        <v>61.160000000000004</v>
      </c>
      <c r="X64" s="310" cm="1">
        <f t="array" aca="1" ref="X64" ca="1">INDIRECT("'"&amp;$A64&amp;"'!"&amp; "AA" &amp; $B64)</f>
        <v>55.959999999999994</v>
      </c>
      <c r="Y64" s="310" cm="1">
        <f t="array" aca="1" ref="Y64" ca="1">INDIRECT("'"&amp;$A64&amp;"'!"&amp; "AB" &amp; $B64)</f>
        <v>50.250000000000007</v>
      </c>
      <c r="Z64" s="310" cm="1">
        <f t="array" aca="1" ref="Z64" ca="1">INDIRECT("'"&amp;$A64&amp;"'!"&amp; "AC" &amp; $B64)</f>
        <v>46.44</v>
      </c>
    </row>
    <row r="65" spans="1:26">
      <c r="A65" s="79">
        <v>31</v>
      </c>
      <c r="B65" s="79">
        <v>108</v>
      </c>
      <c r="C65" s="310" cm="1">
        <f t="array" aca="1" ref="C65" ca="1">INDIRECT("'"&amp;$A65&amp;"'!"&amp; "F" &amp; $B65)</f>
        <v>43.01</v>
      </c>
      <c r="D65" s="310" cm="1">
        <f t="array" aca="1" ref="D65" ca="1">INDIRECT("'"&amp;$A65&amp;"'!"&amp; "g" &amp; $B65)</f>
        <v>40.199999999999996</v>
      </c>
      <c r="E65" s="310" cm="1">
        <f t="array" aca="1" ref="E65" ca="1">INDIRECT("'"&amp;$A65&amp;"'!"&amp; "H" &amp; $B65)</f>
        <v>38.39</v>
      </c>
      <c r="F65" s="310" cm="1">
        <f t="array" aca="1" ref="F65" ca="1">INDIRECT("'"&amp;$A65&amp;"'!"&amp; "I" &amp; $B65)</f>
        <v>37.32</v>
      </c>
      <c r="G65" s="310" cm="1">
        <f t="array" aca="1" ref="G65" ca="1">INDIRECT("'"&amp;$A65&amp;"'!"&amp; "J" &amp; $B65)</f>
        <v>36.96</v>
      </c>
      <c r="H65" s="310" cm="1">
        <f t="array" aca="1" ref="H65" ca="1">INDIRECT("'"&amp;$A65&amp;"'!"&amp; "K" &amp; $B65)</f>
        <v>38.57</v>
      </c>
      <c r="I65" s="310" cm="1">
        <f t="array" aca="1" ref="I65" ca="1">INDIRECT("'"&amp;$A65&amp;"'!"&amp; "L" &amp; $B65)</f>
        <v>44.62</v>
      </c>
      <c r="J65" s="310" cm="1">
        <f t="array" aca="1" ref="J65" ca="1">INDIRECT("'"&amp;$A65&amp;"'!"&amp; "M" &amp; $B65)</f>
        <v>40.53</v>
      </c>
      <c r="K65" s="310" cm="1">
        <f t="array" aca="1" ref="K65" ca="1">INDIRECT("'"&amp;$A65&amp;"'!"&amp; "N" &amp; $B65)</f>
        <v>46.010000000000005</v>
      </c>
      <c r="L65" s="310" cm="1">
        <f t="array" aca="1" ref="L65" ca="1">INDIRECT("'"&amp;$A65&amp;"'!"&amp; "O" &amp; $B65)</f>
        <v>56.719999999999992</v>
      </c>
      <c r="M65" s="310" cm="1">
        <f t="array" aca="1" ref="M65" ca="1">INDIRECT("'"&amp;$A65&amp;"'!"&amp; "P" &amp; $B65)</f>
        <v>60.86999999999999</v>
      </c>
      <c r="N65" s="310" cm="1">
        <f t="array" aca="1" ref="N65" ca="1">INDIRECT("'"&amp;$A65&amp;"'!"&amp; "Q" &amp; $B65)</f>
        <v>63.99</v>
      </c>
      <c r="O65" s="310" cm="1">
        <f t="array" aca="1" ref="O65" ca="1">INDIRECT("'"&amp;$A65&amp;"'!"&amp; "R" &amp; $B65)</f>
        <v>63.4</v>
      </c>
      <c r="P65" s="310" cm="1">
        <f t="array" aca="1" ref="P65" ca="1">INDIRECT("'"&amp;$A65&amp;"'!"&amp; "S" &amp; $B65)</f>
        <v>65.31</v>
      </c>
      <c r="Q65" s="310" cm="1">
        <f t="array" aca="1" ref="Q65" ca="1">INDIRECT("'"&amp;$A65&amp;"'!"&amp; "T" &amp; $B65)</f>
        <v>66.679999999999993</v>
      </c>
      <c r="R65" s="310" cm="1">
        <f t="array" aca="1" ref="R65" ca="1">INDIRECT("'"&amp;$A65&amp;"'!"&amp; "U" &amp; $B65)</f>
        <v>66.47</v>
      </c>
      <c r="S65" s="310" cm="1">
        <f t="array" aca="1" ref="S65" ca="1">INDIRECT("'"&amp;$A65&amp;"'!"&amp; "V" &amp; $B65)</f>
        <v>66.399999999999991</v>
      </c>
      <c r="T65" s="310" cm="1">
        <f t="array" aca="1" ref="T65" ca="1">INDIRECT("'"&amp;$A65&amp;"'!"&amp; "W" &amp; $B65)</f>
        <v>63.490000000000009</v>
      </c>
      <c r="U65" s="310" cm="1">
        <f t="array" aca="1" ref="U65" ca="1">INDIRECT("'"&amp;$A65&amp;"'!"&amp; "X" &amp; $B65)</f>
        <v>58.889999999999993</v>
      </c>
      <c r="V65" s="310" cm="1">
        <f t="array" aca="1" ref="V65" ca="1">INDIRECT("'"&amp;$A65&amp;"'!"&amp; "Y" &amp; $B65)</f>
        <v>63.309999999999995</v>
      </c>
      <c r="W65" s="310" cm="1">
        <f t="array" aca="1" ref="W65" ca="1">INDIRECT("'"&amp;$A65&amp;"'!"&amp; "Z" &amp; $B65)</f>
        <v>61.569999999999993</v>
      </c>
      <c r="X65" s="310" cm="1">
        <f t="array" aca="1" ref="X65" ca="1">INDIRECT("'"&amp;$A65&amp;"'!"&amp; "AA" &amp; $B65)</f>
        <v>57.839999999999996</v>
      </c>
      <c r="Y65" s="310" cm="1">
        <f t="array" aca="1" ref="Y65" ca="1">INDIRECT("'"&amp;$A65&amp;"'!"&amp; "AB" &amp; $B65)</f>
        <v>51.660000000000004</v>
      </c>
      <c r="Z65" s="310" cm="1">
        <f t="array" aca="1" ref="Z65" ca="1">INDIRECT("'"&amp;$A65&amp;"'!"&amp; "AC" &amp; $B65)</f>
        <v>48.469999999999992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DB7E-40FB-4E90-87B7-651F82E06147}">
  <sheetPr codeName="Sheet223"/>
  <dimension ref="A2:DT141"/>
  <sheetViews>
    <sheetView zoomScale="70" zoomScaleNormal="70" workbookViewId="0">
      <pane xSplit="5" ySplit="11" topLeftCell="F89" activePane="bottomRight" state="frozen"/>
      <selection pane="bottomRight" activeCell="AA24" sqref="AA2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398.70000000000005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6.6</v>
      </c>
      <c r="H14" s="359">
        <v>6.6</v>
      </c>
      <c r="I14" s="357">
        <v>5.6</v>
      </c>
      <c r="J14" s="357"/>
      <c r="K14" s="359"/>
      <c r="L14" s="359"/>
      <c r="M14" s="357"/>
      <c r="N14" s="359">
        <v>1.5</v>
      </c>
      <c r="O14" s="357">
        <v>6.6</v>
      </c>
      <c r="P14" s="357">
        <v>6.7</v>
      </c>
      <c r="Q14" s="357">
        <v>6.6</v>
      </c>
      <c r="R14" s="357">
        <v>6.3</v>
      </c>
      <c r="S14" s="462">
        <v>6.7</v>
      </c>
      <c r="T14" s="462">
        <v>6.7</v>
      </c>
      <c r="U14" s="357">
        <v>6.5</v>
      </c>
      <c r="V14" s="357">
        <v>6.5</v>
      </c>
      <c r="W14" s="357">
        <v>6.4</v>
      </c>
      <c r="X14" s="357">
        <v>6.6</v>
      </c>
      <c r="Y14" s="357">
        <v>6.6</v>
      </c>
      <c r="Z14" s="462">
        <v>6.6</v>
      </c>
      <c r="AA14" s="462">
        <v>6.5</v>
      </c>
      <c r="AB14" s="357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>
        <v>6.6</v>
      </c>
      <c r="H15" s="359">
        <v>6.6</v>
      </c>
      <c r="I15" s="357">
        <v>6.5</v>
      </c>
      <c r="J15" s="357">
        <v>6.7</v>
      </c>
      <c r="K15" s="359">
        <v>6.8</v>
      </c>
      <c r="L15" s="359">
        <v>6.8</v>
      </c>
      <c r="M15" s="359">
        <v>6.5</v>
      </c>
      <c r="N15" s="359">
        <v>7.2</v>
      </c>
      <c r="O15" s="357">
        <v>6.6</v>
      </c>
      <c r="P15" s="357">
        <v>6.7</v>
      </c>
      <c r="Q15" s="357">
        <v>6.6</v>
      </c>
      <c r="R15" s="357">
        <v>6.3</v>
      </c>
      <c r="S15" s="462">
        <v>6.7</v>
      </c>
      <c r="T15" s="462">
        <v>6.7</v>
      </c>
      <c r="U15" s="357">
        <v>6.5</v>
      </c>
      <c r="V15" s="462">
        <v>6.5</v>
      </c>
      <c r="W15" s="357">
        <v>6.4</v>
      </c>
      <c r="X15" s="357">
        <v>6.6</v>
      </c>
      <c r="Y15" s="357">
        <v>6.6</v>
      </c>
      <c r="Z15" s="462">
        <v>6.6</v>
      </c>
      <c r="AA15" s="462">
        <v>6.5</v>
      </c>
      <c r="AB15" s="462">
        <v>6.5</v>
      </c>
      <c r="AC15" s="46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/>
      <c r="I16" s="357">
        <v>1.5</v>
      </c>
      <c r="J16" s="357">
        <v>6.7</v>
      </c>
      <c r="K16" s="359">
        <v>6.8</v>
      </c>
      <c r="L16" s="359">
        <v>6.8</v>
      </c>
      <c r="M16" s="359">
        <v>6.7</v>
      </c>
      <c r="N16" s="359">
        <v>7.2</v>
      </c>
      <c r="O16" s="357">
        <v>6.6</v>
      </c>
      <c r="P16" s="357">
        <v>6.7</v>
      </c>
      <c r="Q16" s="357">
        <v>6.6</v>
      </c>
      <c r="R16" s="357">
        <v>6.3</v>
      </c>
      <c r="S16" s="462">
        <v>6.7</v>
      </c>
      <c r="T16" s="462">
        <v>6.7</v>
      </c>
      <c r="U16" s="357">
        <v>6.5</v>
      </c>
      <c r="V16" s="462">
        <v>6.5</v>
      </c>
      <c r="W16" s="357">
        <v>6.4</v>
      </c>
      <c r="X16" s="357">
        <v>6.6</v>
      </c>
      <c r="Y16" s="357">
        <v>6.6</v>
      </c>
      <c r="Z16" s="462">
        <v>6.6</v>
      </c>
      <c r="AA16" s="462" t="s">
        <v>9</v>
      </c>
      <c r="AB16" s="462" t="s">
        <v>9</v>
      </c>
      <c r="AC16" s="357" t="s">
        <v>9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13.6</v>
      </c>
      <c r="J17" s="19">
        <f t="shared" si="1"/>
        <v>13.4</v>
      </c>
      <c r="K17" s="19">
        <f t="shared" si="1"/>
        <v>13.6</v>
      </c>
      <c r="L17" s="19">
        <f t="shared" si="1"/>
        <v>13.6</v>
      </c>
      <c r="M17" s="19">
        <f t="shared" si="1"/>
        <v>13.2</v>
      </c>
      <c r="N17" s="19">
        <f t="shared" si="1"/>
        <v>15.899999999999999</v>
      </c>
      <c r="O17" s="19">
        <f t="shared" si="1"/>
        <v>19.799999999999997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18.899999999999999</v>
      </c>
      <c r="S17" s="463">
        <f t="shared" si="1"/>
        <v>20.100000000000001</v>
      </c>
      <c r="T17" s="463">
        <f t="shared" si="1"/>
        <v>20.100000000000001</v>
      </c>
      <c r="U17" s="19">
        <f t="shared" si="1"/>
        <v>19.5</v>
      </c>
      <c r="V17" s="19">
        <f t="shared" si="1"/>
        <v>19.5</v>
      </c>
      <c r="W17" s="19">
        <f t="shared" si="1"/>
        <v>19.200000000000003</v>
      </c>
      <c r="X17" s="19">
        <f t="shared" si="1"/>
        <v>19.799999999999997</v>
      </c>
      <c r="Y17" s="19">
        <f t="shared" si="1"/>
        <v>19.799999999999997</v>
      </c>
      <c r="Z17" s="463">
        <f t="shared" si="1"/>
        <v>19.799999999999997</v>
      </c>
      <c r="AA17" s="463">
        <f t="shared" si="1"/>
        <v>13</v>
      </c>
      <c r="AB17" s="463">
        <f>SUM(AB13:AB16)</f>
        <v>13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82.699999999999989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7"/>
      <c r="M19" s="357"/>
      <c r="N19" s="357"/>
      <c r="O19" s="357"/>
      <c r="P19" s="357">
        <v>2.8</v>
      </c>
      <c r="Q19" s="357">
        <v>2.8</v>
      </c>
      <c r="R19" s="357">
        <v>2.2999999999999998</v>
      </c>
      <c r="S19" s="462">
        <v>2.4</v>
      </c>
      <c r="T19" s="462">
        <v>2.8</v>
      </c>
      <c r="U19" s="357">
        <v>2.8</v>
      </c>
      <c r="V19" s="357">
        <v>2.2999999999999998</v>
      </c>
      <c r="W19" s="357">
        <v>2</v>
      </c>
      <c r="X19" s="357">
        <v>2</v>
      </c>
      <c r="Y19" s="357">
        <v>2.8</v>
      </c>
      <c r="Z19" s="357">
        <v>2</v>
      </c>
      <c r="AA19" s="357">
        <v>2.8</v>
      </c>
      <c r="AB19" s="357">
        <v>2.8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/>
      <c r="M21" s="359"/>
      <c r="N21" s="357"/>
      <c r="O21" s="357">
        <v>2.2999999999999998</v>
      </c>
      <c r="P21" s="357">
        <v>3.8</v>
      </c>
      <c r="Q21" s="357">
        <v>3.3</v>
      </c>
      <c r="R21" s="357">
        <v>3</v>
      </c>
      <c r="S21" s="462">
        <v>3.5</v>
      </c>
      <c r="T21" s="462">
        <v>3.8</v>
      </c>
      <c r="U21" s="357">
        <v>3.8</v>
      </c>
      <c r="V21" s="357">
        <v>3</v>
      </c>
      <c r="W21" s="357">
        <v>3</v>
      </c>
      <c r="X21" s="357">
        <v>3</v>
      </c>
      <c r="Y21" s="357">
        <v>3.8</v>
      </c>
      <c r="Z21" s="357">
        <v>3</v>
      </c>
      <c r="AA21" s="357">
        <v>3.4</v>
      </c>
      <c r="AB21" s="357">
        <v>3.6</v>
      </c>
      <c r="AC21" s="357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2.2999999999999998</v>
      </c>
      <c r="P22" s="19">
        <f t="shared" si="3"/>
        <v>6.6</v>
      </c>
      <c r="Q22" s="19">
        <f t="shared" si="3"/>
        <v>6.1</v>
      </c>
      <c r="R22" s="19">
        <f t="shared" si="3"/>
        <v>5.3</v>
      </c>
      <c r="S22" s="463">
        <f>SUM(S19:S21)</f>
        <v>5.9</v>
      </c>
      <c r="T22" s="463">
        <f t="shared" ref="T22" si="4">SUM(T19:T21)</f>
        <v>6.6</v>
      </c>
      <c r="U22" s="19">
        <f t="shared" si="3"/>
        <v>6.6</v>
      </c>
      <c r="V22" s="19">
        <f t="shared" si="3"/>
        <v>5.3</v>
      </c>
      <c r="W22" s="19">
        <f t="shared" si="3"/>
        <v>5</v>
      </c>
      <c r="X22" s="19">
        <f t="shared" si="3"/>
        <v>5</v>
      </c>
      <c r="Y22" s="19">
        <f t="shared" si="3"/>
        <v>6.6</v>
      </c>
      <c r="Z22" s="463">
        <f>SUM(Z19:Z21)</f>
        <v>5</v>
      </c>
      <c r="AA22" s="463">
        <f t="shared" si="3"/>
        <v>6.1999999999999993</v>
      </c>
      <c r="AB22" s="463">
        <f>SUM(AB19:AB21)</f>
        <v>6.4</v>
      </c>
      <c r="AC22" s="19">
        <f t="shared" si="3"/>
        <v>3.8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38.599999999999994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9"/>
      <c r="Q24" s="357">
        <v>3.8</v>
      </c>
      <c r="R24" s="357">
        <v>3.8</v>
      </c>
      <c r="S24" s="462">
        <v>3</v>
      </c>
      <c r="T24" s="462">
        <v>3.8</v>
      </c>
      <c r="U24" s="357">
        <v>3.8</v>
      </c>
      <c r="V24" s="357">
        <v>3.8</v>
      </c>
      <c r="W24" s="357">
        <v>3</v>
      </c>
      <c r="X24" s="357">
        <v>3</v>
      </c>
      <c r="Y24" s="357">
        <v>3.8</v>
      </c>
      <c r="Z24" s="357">
        <v>3</v>
      </c>
      <c r="AA24" s="357">
        <v>3.8</v>
      </c>
      <c r="AB24" s="357" t="s">
        <v>9</v>
      </c>
      <c r="AC24" s="357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3.8</v>
      </c>
      <c r="R25" s="19">
        <f t="shared" si="6"/>
        <v>3.8</v>
      </c>
      <c r="S25" s="463">
        <f t="shared" si="6"/>
        <v>3</v>
      </c>
      <c r="T25" s="463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3">
        <f t="shared" si="6"/>
        <v>3</v>
      </c>
      <c r="AA25" s="463">
        <f t="shared" si="6"/>
        <v>3.8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61.499999999999993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3.8</v>
      </c>
      <c r="M27" s="357">
        <v>1.7</v>
      </c>
      <c r="N27" s="357">
        <v>4</v>
      </c>
      <c r="O27" s="357">
        <v>3.8</v>
      </c>
      <c r="P27" s="357">
        <v>3.2</v>
      </c>
      <c r="Q27" s="357">
        <v>3</v>
      </c>
      <c r="R27" s="357">
        <v>3.7</v>
      </c>
      <c r="S27" s="462">
        <v>3.8</v>
      </c>
      <c r="T27" s="462">
        <v>0</v>
      </c>
      <c r="U27" s="357">
        <v>0</v>
      </c>
      <c r="V27" s="359">
        <v>0</v>
      </c>
      <c r="W27" s="357">
        <v>0</v>
      </c>
      <c r="X27" s="357">
        <v>0</v>
      </c>
      <c r="Y27" s="357">
        <v>0</v>
      </c>
      <c r="Z27" s="357">
        <v>0</v>
      </c>
      <c r="AA27" s="357">
        <v>0</v>
      </c>
      <c r="AB27" s="357">
        <v>0</v>
      </c>
      <c r="AC27" s="357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2.5</v>
      </c>
      <c r="G28" s="357"/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2"/>
      <c r="T28" s="359">
        <v>3.8</v>
      </c>
      <c r="U28" s="359">
        <v>3.8</v>
      </c>
      <c r="V28" s="359">
        <v>3.7</v>
      </c>
      <c r="W28" s="357">
        <v>2.4</v>
      </c>
      <c r="X28" s="357">
        <v>2</v>
      </c>
      <c r="Y28" s="357">
        <v>3.7</v>
      </c>
      <c r="Z28" s="357">
        <v>2</v>
      </c>
      <c r="AA28" s="357">
        <v>3.8</v>
      </c>
      <c r="AB28" s="357">
        <v>3.8</v>
      </c>
      <c r="AC28" s="357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11</v>
      </c>
      <c r="AI28" s="159">
        <f>SUM(F29:AC30)</f>
        <v>158.18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6.6</v>
      </c>
      <c r="G30" s="359">
        <v>6.5</v>
      </c>
      <c r="H30" s="357">
        <v>5.31</v>
      </c>
      <c r="I30" s="357">
        <v>4.46</v>
      </c>
      <c r="J30" s="357">
        <v>3.9</v>
      </c>
      <c r="K30" s="357">
        <v>6.2</v>
      </c>
      <c r="L30" s="359">
        <v>7</v>
      </c>
      <c r="M30" s="359">
        <v>6.8</v>
      </c>
      <c r="N30" s="357">
        <v>7.21</v>
      </c>
      <c r="O30" s="357">
        <v>7</v>
      </c>
      <c r="P30" s="357">
        <v>7</v>
      </c>
      <c r="Q30" s="357">
        <v>7.4</v>
      </c>
      <c r="R30" s="357">
        <v>7</v>
      </c>
      <c r="S30" s="462">
        <v>7.2</v>
      </c>
      <c r="T30" s="359">
        <v>7</v>
      </c>
      <c r="U30" s="359">
        <v>7</v>
      </c>
      <c r="V30" s="357">
        <v>7</v>
      </c>
      <c r="W30" s="359">
        <v>7</v>
      </c>
      <c r="X30" s="357">
        <v>5.6</v>
      </c>
      <c r="Y30" s="359">
        <v>7</v>
      </c>
      <c r="Z30" s="357">
        <v>7</v>
      </c>
      <c r="AA30" s="357">
        <v>7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9.1</v>
      </c>
      <c r="G31" s="19">
        <f>SUM(G27:G30)</f>
        <v>6.5</v>
      </c>
      <c r="H31" s="19">
        <f t="shared" ref="H31:X31" si="8">SUM(H27:H30)</f>
        <v>5.31</v>
      </c>
      <c r="I31" s="19">
        <f t="shared" si="8"/>
        <v>4.46</v>
      </c>
      <c r="J31" s="19">
        <f t="shared" si="8"/>
        <v>3.9</v>
      </c>
      <c r="K31" s="19">
        <f t="shared" si="8"/>
        <v>6.2</v>
      </c>
      <c r="L31" s="19">
        <f t="shared" si="8"/>
        <v>10.8</v>
      </c>
      <c r="M31" s="19">
        <f t="shared" si="8"/>
        <v>8.5</v>
      </c>
      <c r="N31" s="19">
        <f t="shared" si="8"/>
        <v>11.21</v>
      </c>
      <c r="O31" s="19">
        <f t="shared" si="8"/>
        <v>10.8</v>
      </c>
      <c r="P31" s="19">
        <f t="shared" si="8"/>
        <v>10.199999999999999</v>
      </c>
      <c r="Q31" s="19">
        <f t="shared" si="8"/>
        <v>10.4</v>
      </c>
      <c r="R31" s="19">
        <f t="shared" si="8"/>
        <v>10.7</v>
      </c>
      <c r="S31" s="463">
        <f t="shared" si="8"/>
        <v>11</v>
      </c>
      <c r="T31" s="463">
        <f t="shared" si="8"/>
        <v>10.8</v>
      </c>
      <c r="U31" s="19">
        <f t="shared" si="8"/>
        <v>10.8</v>
      </c>
      <c r="V31" s="19">
        <f t="shared" si="8"/>
        <v>10.7</v>
      </c>
      <c r="W31" s="19">
        <f t="shared" si="8"/>
        <v>9.4</v>
      </c>
      <c r="X31" s="19">
        <f t="shared" si="8"/>
        <v>7.6</v>
      </c>
      <c r="Y31" s="19">
        <f>SUM(Y27:Y30)</f>
        <v>10.7</v>
      </c>
      <c r="Z31" s="19">
        <f t="shared" ref="Z31:AC31" si="9">SUM(Z27:Z30)</f>
        <v>9</v>
      </c>
      <c r="AA31" s="19">
        <f t="shared" si="9"/>
        <v>10.8</v>
      </c>
      <c r="AB31" s="19">
        <f t="shared" si="9"/>
        <v>10.8</v>
      </c>
      <c r="AC31" s="19">
        <f t="shared" si="9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339.14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14.02</v>
      </c>
      <c r="G33" s="357">
        <v>14.09</v>
      </c>
      <c r="H33" s="357">
        <v>14.08</v>
      </c>
      <c r="I33" s="359">
        <v>14.07</v>
      </c>
      <c r="J33" s="357">
        <v>14.09</v>
      </c>
      <c r="K33" s="357">
        <v>14.07</v>
      </c>
      <c r="L33" s="359">
        <v>14.08</v>
      </c>
      <c r="M33" s="357">
        <v>14.1</v>
      </c>
      <c r="N33" s="357">
        <v>14.11</v>
      </c>
      <c r="O33" s="357">
        <v>14.09</v>
      </c>
      <c r="P33" s="357">
        <v>14.16</v>
      </c>
      <c r="Q33" s="359">
        <v>14.13</v>
      </c>
      <c r="R33" s="357">
        <v>14.21</v>
      </c>
      <c r="S33" s="462">
        <v>14.22</v>
      </c>
      <c r="T33" s="462">
        <v>14.2</v>
      </c>
      <c r="U33" s="357">
        <v>14.16</v>
      </c>
      <c r="V33" s="359">
        <v>14.18</v>
      </c>
      <c r="W33" s="357">
        <v>14.19</v>
      </c>
      <c r="X33" s="357">
        <v>14.19</v>
      </c>
      <c r="Y33" s="357">
        <v>14.15</v>
      </c>
      <c r="Z33" s="357">
        <v>14.17</v>
      </c>
      <c r="AA33" s="357">
        <v>14.12</v>
      </c>
      <c r="AB33" s="357">
        <v>14.11</v>
      </c>
      <c r="AC33" s="357">
        <v>14.15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14.02</v>
      </c>
      <c r="G34" s="19">
        <f t="shared" ref="G34:AC34" si="11">SUM(G33)</f>
        <v>14.09</v>
      </c>
      <c r="H34" s="19">
        <f t="shared" si="11"/>
        <v>14.08</v>
      </c>
      <c r="I34" s="19">
        <f t="shared" si="11"/>
        <v>14.07</v>
      </c>
      <c r="J34" s="19">
        <f t="shared" si="11"/>
        <v>14.09</v>
      </c>
      <c r="K34" s="19">
        <f t="shared" si="11"/>
        <v>14.07</v>
      </c>
      <c r="L34" s="19">
        <f t="shared" si="11"/>
        <v>14.08</v>
      </c>
      <c r="M34" s="19">
        <f t="shared" si="11"/>
        <v>14.1</v>
      </c>
      <c r="N34" s="19">
        <f t="shared" si="11"/>
        <v>14.11</v>
      </c>
      <c r="O34" s="19">
        <f t="shared" si="11"/>
        <v>14.09</v>
      </c>
      <c r="P34" s="19">
        <f t="shared" si="11"/>
        <v>14.16</v>
      </c>
      <c r="Q34" s="19">
        <f t="shared" si="11"/>
        <v>14.13</v>
      </c>
      <c r="R34" s="19">
        <f t="shared" si="11"/>
        <v>14.21</v>
      </c>
      <c r="S34" s="19">
        <f t="shared" si="11"/>
        <v>14.22</v>
      </c>
      <c r="T34" s="463">
        <f t="shared" si="11"/>
        <v>14.2</v>
      </c>
      <c r="U34" s="19">
        <f t="shared" si="11"/>
        <v>14.16</v>
      </c>
      <c r="V34" s="19">
        <f t="shared" si="11"/>
        <v>14.18</v>
      </c>
      <c r="W34" s="19">
        <f t="shared" si="11"/>
        <v>14.19</v>
      </c>
      <c r="X34" s="19">
        <f t="shared" si="11"/>
        <v>14.19</v>
      </c>
      <c r="Y34" s="19">
        <f t="shared" si="11"/>
        <v>14.15</v>
      </c>
      <c r="Z34" s="19">
        <f t="shared" si="11"/>
        <v>14.17</v>
      </c>
      <c r="AA34" s="19">
        <f t="shared" si="11"/>
        <v>14.12</v>
      </c>
      <c r="AB34" s="19">
        <f t="shared" si="11"/>
        <v>14.11</v>
      </c>
      <c r="AC34" s="19">
        <f t="shared" si="11"/>
        <v>14.15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3.7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9">
        <v>0.8</v>
      </c>
      <c r="O47" s="357"/>
      <c r="P47" s="359"/>
      <c r="Q47" s="357"/>
      <c r="R47" s="357"/>
      <c r="S47" s="462"/>
      <c r="T47" s="462">
        <v>0.75</v>
      </c>
      <c r="U47" s="462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7"/>
      <c r="P48" s="359"/>
      <c r="Q48" s="357"/>
      <c r="R48" s="357"/>
      <c r="S48" s="462"/>
      <c r="T48" s="357"/>
      <c r="U48" s="462"/>
      <c r="V48" s="462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9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/>
      <c r="O50" s="357"/>
      <c r="P50" s="359"/>
      <c r="Q50" s="357"/>
      <c r="R50" s="357"/>
      <c r="S50" s="462"/>
      <c r="T50" s="357">
        <v>0.75</v>
      </c>
      <c r="U50" s="462">
        <v>0.7</v>
      </c>
      <c r="V50" s="462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2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9"/>
      <c r="O51" s="357"/>
      <c r="P51" s="357"/>
      <c r="Q51" s="357"/>
      <c r="R51" s="357"/>
      <c r="S51" s="462"/>
      <c r="T51" s="357">
        <v>0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>
        <v>0</v>
      </c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8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9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9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9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9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7"/>
      <c r="Q56" s="357"/>
      <c r="R56" s="357"/>
      <c r="S56" s="462"/>
      <c r="T56" s="357"/>
      <c r="U56" s="357">
        <v>0.7</v>
      </c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0.8</v>
      </c>
      <c r="O60" s="19">
        <f>SUM(O36:O59)</f>
        <v>0</v>
      </c>
      <c r="P60" s="19">
        <f t="shared" si="16"/>
        <v>0</v>
      </c>
      <c r="Q60" s="19">
        <f t="shared" si="16"/>
        <v>0</v>
      </c>
      <c r="R60" s="19">
        <f t="shared" si="16"/>
        <v>0</v>
      </c>
      <c r="S60" s="463">
        <f t="shared" si="16"/>
        <v>0</v>
      </c>
      <c r="T60" s="463">
        <f>SUM(T36:T59)</f>
        <v>1.5</v>
      </c>
      <c r="U60" s="19">
        <f t="shared" ref="U60:AC60" si="17">SUM(U36:U59)</f>
        <v>1.4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28.160000000000004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1.02/2</f>
        <v>0.51</v>
      </c>
      <c r="G62" s="359">
        <f>0.98/2</f>
        <v>0.49</v>
      </c>
      <c r="H62" s="357">
        <f>0.95/2</f>
        <v>0.47499999999999998</v>
      </c>
      <c r="I62" s="359">
        <f>0.94/2</f>
        <v>0.47</v>
      </c>
      <c r="J62" s="357">
        <f>0.91/2</f>
        <v>0.45500000000000002</v>
      </c>
      <c r="K62" s="357">
        <f>1.02/2</f>
        <v>0.51</v>
      </c>
      <c r="L62" s="357">
        <f>1.17/2</f>
        <v>0.58499999999999996</v>
      </c>
      <c r="M62" s="357">
        <f>1.14/2</f>
        <v>0.56999999999999995</v>
      </c>
      <c r="N62" s="357">
        <f>1.06/2</f>
        <v>0.53</v>
      </c>
      <c r="O62" s="357">
        <f>1.16/2</f>
        <v>0.57999999999999996</v>
      </c>
      <c r="P62" s="357"/>
      <c r="Q62" s="357"/>
      <c r="R62" s="357"/>
      <c r="S62" s="462"/>
      <c r="T62" s="357"/>
      <c r="U62" s="357"/>
      <c r="V62" s="462"/>
      <c r="W62" s="357">
        <v>0.6</v>
      </c>
      <c r="X62" s="357">
        <f>1.16/2</f>
        <v>0.57999999999999996</v>
      </c>
      <c r="Y62" s="357">
        <f>1.41/2</f>
        <v>0.70499999999999996</v>
      </c>
      <c r="Z62" s="357">
        <f>1.45/2</f>
        <v>0.72499999999999998</v>
      </c>
      <c r="AA62" s="357">
        <f>1.36/2</f>
        <v>0.68</v>
      </c>
      <c r="AB62" s="357">
        <v>0.58499999999999996</v>
      </c>
      <c r="AC62" s="357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9">
        <f>0.98/2</f>
        <v>0.49</v>
      </c>
      <c r="H63" s="357">
        <f>0.95/2</f>
        <v>0.47499999999999998</v>
      </c>
      <c r="I63" s="359">
        <f>0.94/2</f>
        <v>0.47</v>
      </c>
      <c r="J63" s="357">
        <f>0.91/2</f>
        <v>0.45500000000000002</v>
      </c>
      <c r="K63" s="357">
        <f>1.02/2</f>
        <v>0.51</v>
      </c>
      <c r="L63" s="357">
        <f>1.17/2</f>
        <v>0.58499999999999996</v>
      </c>
      <c r="M63" s="357">
        <f>1.14/2</f>
        <v>0.56999999999999995</v>
      </c>
      <c r="N63" s="357">
        <f>1.06/2</f>
        <v>0.53</v>
      </c>
      <c r="O63" s="357">
        <f>1.16/2</f>
        <v>0.57999999999999996</v>
      </c>
      <c r="P63" s="357">
        <f>1.18/2</f>
        <v>0.59</v>
      </c>
      <c r="Q63" s="357">
        <f>1.25/2</f>
        <v>0.625</v>
      </c>
      <c r="R63" s="357">
        <f>1.26/2</f>
        <v>0.63</v>
      </c>
      <c r="S63" s="462">
        <f>1.29/2</f>
        <v>0.64500000000000002</v>
      </c>
      <c r="T63" s="357">
        <v>0.66500000000000004</v>
      </c>
      <c r="U63" s="357">
        <v>0.67500000000000004</v>
      </c>
      <c r="V63" s="462">
        <v>0.67</v>
      </c>
      <c r="W63" s="357"/>
      <c r="X63" s="357"/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1.02/2</f>
        <v>0.51</v>
      </c>
      <c r="G64" s="357"/>
      <c r="H64" s="357"/>
      <c r="I64" s="357"/>
      <c r="J64" s="357"/>
      <c r="K64" s="357"/>
      <c r="L64" s="357"/>
      <c r="M64" s="357"/>
      <c r="N64" s="357"/>
      <c r="O64" s="357"/>
      <c r="P64" s="357">
        <f>1.18/2</f>
        <v>0.59</v>
      </c>
      <c r="Q64" s="357">
        <f>Q63</f>
        <v>0.625</v>
      </c>
      <c r="R64" s="357">
        <f>R63</f>
        <v>0.63</v>
      </c>
      <c r="S64" s="462">
        <f>S63</f>
        <v>0.64500000000000002</v>
      </c>
      <c r="T64" s="357">
        <v>0.66500000000000004</v>
      </c>
      <c r="U64" s="357">
        <v>0.67500000000000004</v>
      </c>
      <c r="V64" s="462">
        <v>0.67</v>
      </c>
      <c r="W64" s="357">
        <v>0.6</v>
      </c>
      <c r="X64" s="357">
        <f>1.16/2</f>
        <v>0.57999999999999996</v>
      </c>
      <c r="Y64" s="357">
        <f>1.41/2</f>
        <v>0.70499999999999996</v>
      </c>
      <c r="Z64" s="357">
        <f>1.45/2</f>
        <v>0.72499999999999998</v>
      </c>
      <c r="AA64" s="357">
        <f>1.36/2</f>
        <v>0.68</v>
      </c>
      <c r="AB64" s="357">
        <v>0.58499999999999996</v>
      </c>
      <c r="AC64" s="357">
        <v>0.53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1.02</v>
      </c>
      <c r="G65" s="19">
        <f t="shared" ref="G65:AB65" si="18">SUM(G62:G64)</f>
        <v>0.98</v>
      </c>
      <c r="H65" s="19">
        <f t="shared" si="18"/>
        <v>0.95</v>
      </c>
      <c r="I65" s="19">
        <f t="shared" si="18"/>
        <v>0.94</v>
      </c>
      <c r="J65" s="19">
        <f t="shared" si="18"/>
        <v>0.91</v>
      </c>
      <c r="K65" s="19">
        <f t="shared" si="18"/>
        <v>1.02</v>
      </c>
      <c r="L65" s="19">
        <f t="shared" si="18"/>
        <v>1.17</v>
      </c>
      <c r="M65" s="19">
        <f t="shared" si="18"/>
        <v>1.1399999999999999</v>
      </c>
      <c r="N65" s="19">
        <f t="shared" si="18"/>
        <v>1.06</v>
      </c>
      <c r="O65" s="19">
        <f t="shared" si="18"/>
        <v>1.1599999999999999</v>
      </c>
      <c r="P65" s="19">
        <f t="shared" si="18"/>
        <v>1.18</v>
      </c>
      <c r="Q65" s="19">
        <f t="shared" si="18"/>
        <v>1.25</v>
      </c>
      <c r="R65" s="19">
        <f t="shared" si="18"/>
        <v>1.26</v>
      </c>
      <c r="S65" s="463">
        <f t="shared" si="18"/>
        <v>1.29</v>
      </c>
      <c r="T65" s="463">
        <f t="shared" si="18"/>
        <v>1.33</v>
      </c>
      <c r="U65" s="463">
        <f t="shared" si="18"/>
        <v>1.35</v>
      </c>
      <c r="V65" s="19">
        <f>SUM(V62:V64)</f>
        <v>1.34</v>
      </c>
      <c r="W65" s="19">
        <f t="shared" si="18"/>
        <v>1.2</v>
      </c>
      <c r="X65" s="19">
        <f t="shared" si="18"/>
        <v>1.1599999999999999</v>
      </c>
      <c r="Y65" s="19">
        <f>SUM(Y62:Y64)</f>
        <v>1.41</v>
      </c>
      <c r="Z65" s="19">
        <f>SUM(Z62:Z64)</f>
        <v>1.45</v>
      </c>
      <c r="AA65" s="19">
        <f t="shared" si="18"/>
        <v>1.36</v>
      </c>
      <c r="AB65" s="19">
        <f t="shared" si="18"/>
        <v>1.17</v>
      </c>
      <c r="AC65" s="19">
        <f>SUM(AC62:AC64)</f>
        <v>1.06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19.03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0.73</v>
      </c>
      <c r="N78" s="357">
        <v>0.72</v>
      </c>
      <c r="O78" s="357">
        <v>0.75</v>
      </c>
      <c r="P78" s="357">
        <v>0.77</v>
      </c>
      <c r="Q78" s="357">
        <v>0.79</v>
      </c>
      <c r="R78" s="357">
        <v>0.83</v>
      </c>
      <c r="S78" s="357">
        <v>0</v>
      </c>
      <c r="T78" s="357">
        <v>0</v>
      </c>
      <c r="U78" s="357">
        <v>0</v>
      </c>
      <c r="V78" s="357">
        <v>0</v>
      </c>
      <c r="W78" s="357">
        <v>0</v>
      </c>
      <c r="X78" s="357">
        <v>0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0.72</v>
      </c>
      <c r="G79" s="357">
        <v>0.7</v>
      </c>
      <c r="H79" s="357">
        <v>0.67</v>
      </c>
      <c r="I79" s="357">
        <v>0.63</v>
      </c>
      <c r="J79" s="357">
        <v>0.64</v>
      </c>
      <c r="K79" s="357">
        <v>0.66</v>
      </c>
      <c r="L79" s="359">
        <v>0.74</v>
      </c>
      <c r="M79" s="357"/>
      <c r="N79" s="357"/>
      <c r="O79" s="357"/>
      <c r="P79" s="357"/>
      <c r="Q79" s="357"/>
      <c r="R79" s="357"/>
      <c r="S79" s="357">
        <v>0.77</v>
      </c>
      <c r="T79" s="357">
        <v>0.84</v>
      </c>
      <c r="U79" s="357">
        <v>0.85</v>
      </c>
      <c r="V79" s="357">
        <v>0.84</v>
      </c>
      <c r="W79" s="357">
        <v>0.83</v>
      </c>
      <c r="X79" s="357">
        <v>0.85</v>
      </c>
      <c r="Y79" s="357">
        <v>0.97</v>
      </c>
      <c r="Z79" s="357">
        <v>0.98</v>
      </c>
      <c r="AA79" s="357">
        <v>0.96</v>
      </c>
      <c r="AB79" s="357">
        <v>0.92</v>
      </c>
      <c r="AC79" s="357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0.72</v>
      </c>
      <c r="G80" s="19">
        <f t="shared" ref="G80" si="25">SUM(G78:G79)</f>
        <v>0.7</v>
      </c>
      <c r="H80" s="19">
        <f>SUM(H78:H79)</f>
        <v>0.67</v>
      </c>
      <c r="I80" s="19">
        <f>SUM(I78:I79)</f>
        <v>0.63</v>
      </c>
      <c r="J80" s="19">
        <f t="shared" ref="J80:AC80" si="26">SUM(J78:J79)</f>
        <v>0.64</v>
      </c>
      <c r="K80" s="19">
        <f t="shared" si="26"/>
        <v>0.66</v>
      </c>
      <c r="L80" s="19">
        <f>SUM(L78:L79)</f>
        <v>0.74</v>
      </c>
      <c r="M80" s="19">
        <f t="shared" si="26"/>
        <v>0.73</v>
      </c>
      <c r="N80" s="19">
        <f t="shared" si="26"/>
        <v>0.72</v>
      </c>
      <c r="O80" s="19">
        <f>SUM(O78:O79)</f>
        <v>0.75</v>
      </c>
      <c r="P80" s="19">
        <f>SUM(P78:P79)</f>
        <v>0.77</v>
      </c>
      <c r="Q80" s="19">
        <f t="shared" si="26"/>
        <v>0.79</v>
      </c>
      <c r="R80" s="19">
        <f t="shared" si="26"/>
        <v>0.83</v>
      </c>
      <c r="S80" s="463">
        <f t="shared" si="26"/>
        <v>0.77</v>
      </c>
      <c r="T80" s="463">
        <f t="shared" si="26"/>
        <v>0.84</v>
      </c>
      <c r="U80" s="19">
        <f t="shared" si="26"/>
        <v>0.85</v>
      </c>
      <c r="V80" s="19">
        <f t="shared" si="26"/>
        <v>0.84</v>
      </c>
      <c r="W80" s="19">
        <f t="shared" si="26"/>
        <v>0.83</v>
      </c>
      <c r="X80" s="19">
        <f t="shared" si="26"/>
        <v>0.85</v>
      </c>
      <c r="Y80" s="19">
        <f t="shared" si="26"/>
        <v>0.97</v>
      </c>
      <c r="Z80" s="19">
        <f t="shared" si="26"/>
        <v>0.98</v>
      </c>
      <c r="AA80" s="19">
        <f t="shared" si="26"/>
        <v>0.96</v>
      </c>
      <c r="AB80" s="19">
        <f t="shared" si="26"/>
        <v>0.92</v>
      </c>
      <c r="AC80" s="19">
        <f t="shared" si="26"/>
        <v>0.87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38.059999999999995</v>
      </c>
      <c r="G83" s="28">
        <f>SUM(G17,G22,G25,G31,G34,G60,G65,G76,G80,G82)</f>
        <v>35.47</v>
      </c>
      <c r="H83" s="28">
        <f>SUM(H17,H22,H25,H31,H34,H60,H65,H76,H80,H82)</f>
        <v>34.21</v>
      </c>
      <c r="I83" s="28">
        <f t="shared" ref="I83:AC83" si="28">SUM(I17,I22,I25,I31,I34,I60,I65,I76,I80,I82)</f>
        <v>33.699999999999996</v>
      </c>
      <c r="J83" s="28">
        <f t="shared" si="28"/>
        <v>32.94</v>
      </c>
      <c r="K83" s="28">
        <f t="shared" si="28"/>
        <v>35.550000000000004</v>
      </c>
      <c r="L83" s="28">
        <f t="shared" si="28"/>
        <v>40.39</v>
      </c>
      <c r="M83" s="28">
        <f t="shared" si="28"/>
        <v>37.669999999999995</v>
      </c>
      <c r="N83" s="28">
        <f>SUM(N17,N22,N25,N31,N34,N60,N65,N76,N80,N82)</f>
        <v>43.8</v>
      </c>
      <c r="O83" s="28">
        <f>SUM(O17,O22,O25,O31,O34,O60,O65,O76,O80,O82)</f>
        <v>48.899999999999991</v>
      </c>
      <c r="P83" s="28">
        <f t="shared" si="28"/>
        <v>53.010000000000005</v>
      </c>
      <c r="Q83" s="28">
        <f t="shared" si="28"/>
        <v>56.27</v>
      </c>
      <c r="R83" s="28">
        <f t="shared" si="28"/>
        <v>55</v>
      </c>
      <c r="S83" s="518">
        <f t="shared" si="28"/>
        <v>56.28</v>
      </c>
      <c r="T83" s="518">
        <f t="shared" si="28"/>
        <v>59.17</v>
      </c>
      <c r="U83" s="28">
        <f>SUM(U17,U22,U25,U31,U34,U60,U65,U76,U80,U82)</f>
        <v>58.46</v>
      </c>
      <c r="V83" s="28">
        <f t="shared" si="28"/>
        <v>55.660000000000004</v>
      </c>
      <c r="W83" s="28">
        <f t="shared" si="28"/>
        <v>52.82</v>
      </c>
      <c r="X83" s="28">
        <f t="shared" si="28"/>
        <v>51.599999999999994</v>
      </c>
      <c r="Y83" s="28">
        <f t="shared" si="28"/>
        <v>57.429999999999993</v>
      </c>
      <c r="Z83" s="28">
        <f t="shared" si="28"/>
        <v>53.4</v>
      </c>
      <c r="AA83" s="28">
        <f t="shared" si="28"/>
        <v>50.239999999999995</v>
      </c>
      <c r="AB83" s="28">
        <f t="shared" si="28"/>
        <v>46.400000000000006</v>
      </c>
      <c r="AC83" s="28">
        <f t="shared" si="28"/>
        <v>43.28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5.8299999999999983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9">SUM(F22,F25)</f>
        <v>0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2.2999999999999998</v>
      </c>
      <c r="P89" s="64">
        <f t="shared" si="29"/>
        <v>6.6</v>
      </c>
      <c r="Q89" s="64">
        <f t="shared" si="29"/>
        <v>9.8999999999999986</v>
      </c>
      <c r="R89" s="64">
        <f t="shared" si="29"/>
        <v>9.1</v>
      </c>
      <c r="S89" s="64">
        <f t="shared" si="29"/>
        <v>8.9</v>
      </c>
      <c r="T89" s="64">
        <f t="shared" si="29"/>
        <v>10.399999999999999</v>
      </c>
      <c r="U89" s="64">
        <f t="shared" si="29"/>
        <v>10.399999999999999</v>
      </c>
      <c r="V89" s="64">
        <f t="shared" si="29"/>
        <v>9.1</v>
      </c>
      <c r="W89" s="64">
        <f t="shared" si="29"/>
        <v>8</v>
      </c>
      <c r="X89" s="64">
        <f t="shared" si="29"/>
        <v>8</v>
      </c>
      <c r="Y89" s="64">
        <f t="shared" si="29"/>
        <v>10.399999999999999</v>
      </c>
      <c r="Z89" s="64">
        <f t="shared" si="29"/>
        <v>8</v>
      </c>
      <c r="AA89" s="64">
        <f t="shared" si="29"/>
        <v>10</v>
      </c>
      <c r="AB89" s="64">
        <f t="shared" si="29"/>
        <v>6.4</v>
      </c>
      <c r="AC89" s="64">
        <f t="shared" si="29"/>
        <v>3.8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0.24</v>
      </c>
      <c r="R90" s="68">
        <v>0.23</v>
      </c>
      <c r="S90" s="68">
        <v>0.249</v>
      </c>
      <c r="T90" s="68">
        <v>0.27600000000000002</v>
      </c>
      <c r="U90" s="68">
        <v>0.3</v>
      </c>
      <c r="V90" s="68">
        <v>0.22</v>
      </c>
      <c r="W90" s="68">
        <v>0.251</v>
      </c>
      <c r="X90" s="68">
        <v>0.245</v>
      </c>
      <c r="Y90" s="68">
        <v>0.22800000000000001</v>
      </c>
      <c r="Z90" s="68">
        <v>0.25</v>
      </c>
      <c r="AA90" s="68" t="s">
        <v>75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30">F17</f>
        <v>13.2</v>
      </c>
      <c r="G91" s="64">
        <f t="shared" si="30"/>
        <v>13.2</v>
      </c>
      <c r="H91" s="64">
        <f t="shared" si="30"/>
        <v>13.2</v>
      </c>
      <c r="I91" s="64">
        <f t="shared" si="30"/>
        <v>13.6</v>
      </c>
      <c r="J91" s="64">
        <f t="shared" si="30"/>
        <v>13.4</v>
      </c>
      <c r="K91" s="64">
        <f t="shared" si="30"/>
        <v>13.6</v>
      </c>
      <c r="L91" s="64">
        <f t="shared" si="30"/>
        <v>13.6</v>
      </c>
      <c r="M91" s="64">
        <f t="shared" si="30"/>
        <v>13.2</v>
      </c>
      <c r="N91" s="64">
        <f t="shared" si="30"/>
        <v>15.899999999999999</v>
      </c>
      <c r="O91" s="64">
        <f t="shared" si="30"/>
        <v>19.799999999999997</v>
      </c>
      <c r="P91" s="64">
        <f t="shared" si="30"/>
        <v>20.100000000000001</v>
      </c>
      <c r="Q91" s="64">
        <f t="shared" si="30"/>
        <v>19.799999999999997</v>
      </c>
      <c r="R91" s="64">
        <f t="shared" si="30"/>
        <v>18.899999999999999</v>
      </c>
      <c r="S91" s="64">
        <f t="shared" si="30"/>
        <v>20.100000000000001</v>
      </c>
      <c r="T91" s="64">
        <f t="shared" si="30"/>
        <v>20.100000000000001</v>
      </c>
      <c r="U91" s="64">
        <f>U17</f>
        <v>19.5</v>
      </c>
      <c r="V91" s="64">
        <f t="shared" si="30"/>
        <v>19.5</v>
      </c>
      <c r="W91" s="64">
        <f t="shared" si="30"/>
        <v>19.200000000000003</v>
      </c>
      <c r="X91" s="64">
        <f t="shared" si="30"/>
        <v>19.799999999999997</v>
      </c>
      <c r="Y91" s="64">
        <f t="shared" si="30"/>
        <v>19.799999999999997</v>
      </c>
      <c r="Z91" s="64">
        <f t="shared" si="30"/>
        <v>19.799999999999997</v>
      </c>
      <c r="AA91" s="64">
        <f t="shared" si="30"/>
        <v>13</v>
      </c>
      <c r="AB91" s="64">
        <f t="shared" si="30"/>
        <v>13</v>
      </c>
      <c r="AC91" s="64">
        <f t="shared" si="30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0.52</v>
      </c>
      <c r="G92" s="68">
        <v>0.25900000000000001</v>
      </c>
      <c r="H92" s="68">
        <v>0.43099999999999999</v>
      </c>
      <c r="I92" s="68">
        <v>0.59399999999999997</v>
      </c>
      <c r="J92" s="68">
        <v>0.43099999999999999</v>
      </c>
      <c r="K92" s="68">
        <v>0.55100000000000005</v>
      </c>
      <c r="L92" s="68">
        <v>0.65600000000000003</v>
      </c>
      <c r="M92" s="68">
        <v>0.67400000000000004</v>
      </c>
      <c r="N92" s="68">
        <v>0.59099999999999997</v>
      </c>
      <c r="O92" s="68">
        <v>0.7</v>
      </c>
      <c r="P92" s="68">
        <v>0.75700000000000001</v>
      </c>
      <c r="Q92" s="68">
        <v>0.78</v>
      </c>
      <c r="R92" s="68">
        <v>0.77200000000000002</v>
      </c>
      <c r="S92" s="68">
        <v>0.68700000000000006</v>
      </c>
      <c r="T92" s="68">
        <v>0.55500000000000005</v>
      </c>
      <c r="U92" s="68">
        <v>0.54300000000000004</v>
      </c>
      <c r="V92" s="68">
        <v>0.56999999999999995</v>
      </c>
      <c r="W92" s="68">
        <v>0.75</v>
      </c>
      <c r="X92" s="68">
        <v>0.78100000000000003</v>
      </c>
      <c r="Y92" s="68">
        <v>0.81200000000000006</v>
      </c>
      <c r="Z92" s="68">
        <v>0.72799999999999998</v>
      </c>
      <c r="AA92" s="68">
        <v>0.54700000000000004</v>
      </c>
      <c r="AB92" s="68">
        <v>0.42399999999999999</v>
      </c>
      <c r="AC92" s="68">
        <v>0.47499999999999998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1">F31</f>
        <v>9.1</v>
      </c>
      <c r="G93" s="65">
        <f t="shared" si="31"/>
        <v>6.5</v>
      </c>
      <c r="H93" s="65">
        <f t="shared" si="31"/>
        <v>5.31</v>
      </c>
      <c r="I93" s="65">
        <f t="shared" si="31"/>
        <v>4.46</v>
      </c>
      <c r="J93" s="65">
        <f t="shared" si="31"/>
        <v>3.9</v>
      </c>
      <c r="K93" s="65">
        <f t="shared" si="31"/>
        <v>6.2</v>
      </c>
      <c r="L93" s="65">
        <f t="shared" si="31"/>
        <v>10.8</v>
      </c>
      <c r="M93" s="65">
        <f t="shared" si="31"/>
        <v>8.5</v>
      </c>
      <c r="N93" s="65">
        <f t="shared" si="31"/>
        <v>11.21</v>
      </c>
      <c r="O93" s="65">
        <f t="shared" si="31"/>
        <v>10.8</v>
      </c>
      <c r="P93" s="65">
        <f t="shared" si="31"/>
        <v>10.199999999999999</v>
      </c>
      <c r="Q93" s="65">
        <f t="shared" si="31"/>
        <v>10.4</v>
      </c>
      <c r="R93" s="65">
        <f t="shared" si="31"/>
        <v>10.7</v>
      </c>
      <c r="S93" s="65">
        <f t="shared" si="31"/>
        <v>11</v>
      </c>
      <c r="T93" s="65">
        <f>T31</f>
        <v>10.8</v>
      </c>
      <c r="U93" s="65">
        <f t="shared" si="31"/>
        <v>10.8</v>
      </c>
      <c r="V93" s="65">
        <f t="shared" si="31"/>
        <v>10.7</v>
      </c>
      <c r="W93" s="65">
        <f t="shared" si="31"/>
        <v>9.4</v>
      </c>
      <c r="X93" s="65">
        <f t="shared" si="31"/>
        <v>7.6</v>
      </c>
      <c r="Y93" s="65">
        <f t="shared" si="31"/>
        <v>10.7</v>
      </c>
      <c r="Z93" s="65">
        <f t="shared" si="31"/>
        <v>9</v>
      </c>
      <c r="AA93" s="65">
        <f t="shared" si="31"/>
        <v>10.8</v>
      </c>
      <c r="AB93" s="65">
        <f t="shared" si="31"/>
        <v>10.8</v>
      </c>
      <c r="AC93" s="65">
        <f t="shared" si="31"/>
        <v>10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0.19700000000000001</v>
      </c>
      <c r="G94" s="68">
        <v>0.13300000000000001</v>
      </c>
      <c r="H94" s="68">
        <v>0.126</v>
      </c>
      <c r="I94" s="68">
        <v>0.13</v>
      </c>
      <c r="J94" s="68">
        <v>0.12</v>
      </c>
      <c r="K94" s="68">
        <v>0.14399999999999999</v>
      </c>
      <c r="L94" s="68">
        <v>0.191</v>
      </c>
      <c r="M94" s="68">
        <v>0.19400000000000001</v>
      </c>
      <c r="N94" s="68">
        <v>0.191</v>
      </c>
      <c r="O94" s="68">
        <v>0.2</v>
      </c>
      <c r="P94" s="68">
        <v>0.215</v>
      </c>
      <c r="Q94" s="68">
        <v>0.19700000000000001</v>
      </c>
      <c r="R94" s="68">
        <v>0.222</v>
      </c>
      <c r="S94" s="68">
        <v>0.215</v>
      </c>
      <c r="T94" s="68">
        <v>0.23599999999999999</v>
      </c>
      <c r="U94" s="68">
        <v>0.157</v>
      </c>
      <c r="V94" s="68">
        <v>0.187</v>
      </c>
      <c r="W94" s="68">
        <v>0.157</v>
      </c>
      <c r="X94" s="68">
        <v>0.19600000000000001</v>
      </c>
      <c r="Y94" s="68">
        <v>0.19900000000000001</v>
      </c>
      <c r="Z94" s="68">
        <v>0.17100000000000001</v>
      </c>
      <c r="AA94" s="68">
        <v>0.182</v>
      </c>
      <c r="AB94" s="68">
        <v>0.17399999999999999</v>
      </c>
      <c r="AC94" s="68">
        <v>0.18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0.21379999999999999</v>
      </c>
      <c r="G95" s="68">
        <v>0.2104</v>
      </c>
      <c r="H95" s="68">
        <v>0.20599999999999999</v>
      </c>
      <c r="I95" s="68">
        <v>0.2079</v>
      </c>
      <c r="J95" s="68">
        <v>0.20810000000000001</v>
      </c>
      <c r="K95" s="68">
        <v>0.21909999999999999</v>
      </c>
      <c r="L95" s="68">
        <v>0.22500000000000001</v>
      </c>
      <c r="M95" s="68">
        <v>0.2432</v>
      </c>
      <c r="N95" s="68">
        <v>0.22509999999999999</v>
      </c>
      <c r="O95" s="68">
        <v>0.223</v>
      </c>
      <c r="P95" s="68">
        <v>0.222</v>
      </c>
      <c r="Q95" s="68">
        <v>0.21199999999999999</v>
      </c>
      <c r="R95" s="68">
        <v>0.214</v>
      </c>
      <c r="S95" s="68">
        <v>0.27200000000000002</v>
      </c>
      <c r="T95" s="68">
        <v>0.218</v>
      </c>
      <c r="U95" s="68">
        <v>0.216</v>
      </c>
      <c r="V95" s="68">
        <v>0.216</v>
      </c>
      <c r="W95" s="68">
        <v>0.215</v>
      </c>
      <c r="X95" s="68">
        <v>0.215</v>
      </c>
      <c r="Y95" s="68">
        <v>0.28199999999999997</v>
      </c>
      <c r="Z95" s="68">
        <v>0.31</v>
      </c>
      <c r="AA95" s="68">
        <v>0.2319</v>
      </c>
      <c r="AB95" s="68">
        <v>0.23230000000000001</v>
      </c>
      <c r="AC95" s="68">
        <v>0.20860000000000001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2">F34</f>
        <v>14.02</v>
      </c>
      <c r="G96" s="65">
        <f t="shared" si="32"/>
        <v>14.09</v>
      </c>
      <c r="H96" s="65">
        <f t="shared" si="32"/>
        <v>14.08</v>
      </c>
      <c r="I96" s="65">
        <f t="shared" si="32"/>
        <v>14.07</v>
      </c>
      <c r="J96" s="65">
        <f t="shared" si="32"/>
        <v>14.09</v>
      </c>
      <c r="K96" s="65">
        <f t="shared" si="32"/>
        <v>14.07</v>
      </c>
      <c r="L96" s="65">
        <f t="shared" si="32"/>
        <v>14.08</v>
      </c>
      <c r="M96" s="65">
        <f t="shared" si="32"/>
        <v>14.1</v>
      </c>
      <c r="N96" s="65">
        <f t="shared" si="32"/>
        <v>14.11</v>
      </c>
      <c r="O96" s="65">
        <f t="shared" si="32"/>
        <v>14.09</v>
      </c>
      <c r="P96" s="65">
        <f t="shared" si="32"/>
        <v>14.16</v>
      </c>
      <c r="Q96" s="65">
        <f t="shared" si="32"/>
        <v>14.13</v>
      </c>
      <c r="R96" s="65">
        <f t="shared" si="32"/>
        <v>14.21</v>
      </c>
      <c r="S96" s="65">
        <f t="shared" si="32"/>
        <v>14.22</v>
      </c>
      <c r="T96" s="65">
        <f t="shared" si="32"/>
        <v>14.2</v>
      </c>
      <c r="U96" s="65">
        <f t="shared" si="32"/>
        <v>14.16</v>
      </c>
      <c r="V96" s="65">
        <f>V34</f>
        <v>14.18</v>
      </c>
      <c r="W96" s="65">
        <f t="shared" si="32"/>
        <v>14.19</v>
      </c>
      <c r="X96" s="65">
        <f t="shared" si="32"/>
        <v>14.19</v>
      </c>
      <c r="Y96" s="65">
        <f t="shared" si="32"/>
        <v>14.15</v>
      </c>
      <c r="Z96" s="65">
        <f t="shared" si="32"/>
        <v>14.17</v>
      </c>
      <c r="AA96" s="65">
        <f t="shared" si="32"/>
        <v>14.12</v>
      </c>
      <c r="AB96" s="65">
        <f t="shared" si="32"/>
        <v>14.11</v>
      </c>
      <c r="AC96" s="65">
        <f t="shared" si="32"/>
        <v>14.15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0.98</v>
      </c>
      <c r="G97" s="68">
        <v>0.91</v>
      </c>
      <c r="H97" s="68">
        <v>0.92</v>
      </c>
      <c r="I97" s="68">
        <v>0.93</v>
      </c>
      <c r="J97" s="68">
        <v>0.91</v>
      </c>
      <c r="K97" s="68">
        <v>0.93</v>
      </c>
      <c r="L97" s="68">
        <v>0.92</v>
      </c>
      <c r="M97" s="68">
        <v>0.9</v>
      </c>
      <c r="N97" s="68">
        <v>0.89</v>
      </c>
      <c r="O97" s="68">
        <v>0.91</v>
      </c>
      <c r="P97" s="68">
        <v>0.84</v>
      </c>
      <c r="Q97" s="68">
        <v>0.87</v>
      </c>
      <c r="R97" s="68">
        <v>0.79</v>
      </c>
      <c r="S97" s="68">
        <v>0.78</v>
      </c>
      <c r="T97" s="68">
        <v>0.8</v>
      </c>
      <c r="U97" s="68">
        <v>0.84</v>
      </c>
      <c r="V97" s="68">
        <v>0.82</v>
      </c>
      <c r="W97" s="68">
        <v>0.81</v>
      </c>
      <c r="X97" s="68">
        <v>0.81</v>
      </c>
      <c r="Y97" s="68">
        <v>0.85</v>
      </c>
      <c r="Z97" s="68">
        <v>0.83</v>
      </c>
      <c r="AA97" s="68">
        <v>0.88</v>
      </c>
      <c r="AB97" s="68">
        <v>0.89</v>
      </c>
      <c r="AC97" s="68">
        <v>0.85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0.8</v>
      </c>
      <c r="O98" s="64">
        <f t="shared" si="33"/>
        <v>0</v>
      </c>
      <c r="P98" s="64">
        <f t="shared" si="33"/>
        <v>0</v>
      </c>
      <c r="Q98" s="64">
        <f t="shared" si="33"/>
        <v>0</v>
      </c>
      <c r="R98" s="64">
        <f t="shared" si="33"/>
        <v>0</v>
      </c>
      <c r="S98" s="64">
        <f t="shared" si="33"/>
        <v>0</v>
      </c>
      <c r="T98" s="64">
        <f t="shared" si="33"/>
        <v>1.5</v>
      </c>
      <c r="U98" s="64">
        <f t="shared" si="33"/>
        <v>1.4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4">F65</f>
        <v>1.02</v>
      </c>
      <c r="G99" s="64">
        <f t="shared" si="34"/>
        <v>0.98</v>
      </c>
      <c r="H99" s="64">
        <f t="shared" si="34"/>
        <v>0.95</v>
      </c>
      <c r="I99" s="64">
        <f t="shared" si="34"/>
        <v>0.94</v>
      </c>
      <c r="J99" s="64">
        <f t="shared" si="34"/>
        <v>0.91</v>
      </c>
      <c r="K99" s="64">
        <f t="shared" si="34"/>
        <v>1.02</v>
      </c>
      <c r="L99" s="64">
        <f t="shared" si="34"/>
        <v>1.17</v>
      </c>
      <c r="M99" s="64">
        <f t="shared" si="34"/>
        <v>1.1399999999999999</v>
      </c>
      <c r="N99" s="64">
        <f t="shared" si="34"/>
        <v>1.06</v>
      </c>
      <c r="O99" s="64">
        <f t="shared" si="34"/>
        <v>1.1599999999999999</v>
      </c>
      <c r="P99" s="64">
        <f t="shared" si="34"/>
        <v>1.18</v>
      </c>
      <c r="Q99" s="64">
        <f t="shared" si="34"/>
        <v>1.25</v>
      </c>
      <c r="R99" s="64">
        <f t="shared" si="34"/>
        <v>1.26</v>
      </c>
      <c r="S99" s="64">
        <f t="shared" si="34"/>
        <v>1.29</v>
      </c>
      <c r="T99" s="64">
        <f t="shared" si="34"/>
        <v>1.33</v>
      </c>
      <c r="U99" s="64">
        <f t="shared" si="34"/>
        <v>1.35</v>
      </c>
      <c r="V99" s="64">
        <f t="shared" si="34"/>
        <v>1.34</v>
      </c>
      <c r="W99" s="64">
        <f t="shared" si="34"/>
        <v>1.2</v>
      </c>
      <c r="X99" s="64">
        <f t="shared" si="34"/>
        <v>1.1599999999999999</v>
      </c>
      <c r="Y99" s="64">
        <f t="shared" si="34"/>
        <v>1.41</v>
      </c>
      <c r="Z99" s="64">
        <f t="shared" si="34"/>
        <v>1.45</v>
      </c>
      <c r="AA99" s="64">
        <f t="shared" si="34"/>
        <v>1.36</v>
      </c>
      <c r="AB99" s="64">
        <f t="shared" si="34"/>
        <v>1.17</v>
      </c>
      <c r="AC99" s="64">
        <f t="shared" si="34"/>
        <v>1.06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6">F80</f>
        <v>0.72</v>
      </c>
      <c r="G101" s="64">
        <f t="shared" si="36"/>
        <v>0.7</v>
      </c>
      <c r="H101" s="64">
        <f t="shared" si="36"/>
        <v>0.67</v>
      </c>
      <c r="I101" s="64">
        <f t="shared" si="36"/>
        <v>0.63</v>
      </c>
      <c r="J101" s="64">
        <f t="shared" si="36"/>
        <v>0.64</v>
      </c>
      <c r="K101" s="64">
        <f t="shared" si="36"/>
        <v>0.66</v>
      </c>
      <c r="L101" s="64">
        <f t="shared" si="36"/>
        <v>0.74</v>
      </c>
      <c r="M101" s="64">
        <f t="shared" si="36"/>
        <v>0.73</v>
      </c>
      <c r="N101" s="64">
        <f t="shared" si="36"/>
        <v>0.72</v>
      </c>
      <c r="O101" s="64">
        <f t="shared" si="36"/>
        <v>0.75</v>
      </c>
      <c r="P101" s="64">
        <f t="shared" si="36"/>
        <v>0.77</v>
      </c>
      <c r="Q101" s="64">
        <f t="shared" si="36"/>
        <v>0.79</v>
      </c>
      <c r="R101" s="64">
        <f t="shared" si="36"/>
        <v>0.83</v>
      </c>
      <c r="S101" s="64">
        <f t="shared" si="36"/>
        <v>0.77</v>
      </c>
      <c r="T101" s="64">
        <f t="shared" si="36"/>
        <v>0.84</v>
      </c>
      <c r="U101" s="64">
        <f t="shared" si="36"/>
        <v>0.85</v>
      </c>
      <c r="V101" s="64">
        <f t="shared" si="36"/>
        <v>0.84</v>
      </c>
      <c r="W101" s="64">
        <f t="shared" si="36"/>
        <v>0.83</v>
      </c>
      <c r="X101" s="64">
        <f t="shared" si="36"/>
        <v>0.85</v>
      </c>
      <c r="Y101" s="64">
        <f t="shared" si="36"/>
        <v>0.97</v>
      </c>
      <c r="Z101" s="64">
        <f t="shared" si="36"/>
        <v>0.98</v>
      </c>
      <c r="AA101" s="64">
        <f t="shared" si="36"/>
        <v>0.96</v>
      </c>
      <c r="AB101" s="64">
        <f t="shared" si="36"/>
        <v>0.92</v>
      </c>
      <c r="AC101" s="64">
        <f t="shared" si="36"/>
        <v>0.87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8">SUM(F89,F91,F93,F96,F98:F102,F81)</f>
        <v>38.059999999999995</v>
      </c>
      <c r="G103" s="61">
        <f t="shared" si="38"/>
        <v>35.47</v>
      </c>
      <c r="H103" s="61">
        <f t="shared" si="38"/>
        <v>34.21</v>
      </c>
      <c r="I103" s="61">
        <f t="shared" si="38"/>
        <v>33.699999999999996</v>
      </c>
      <c r="J103" s="61">
        <f t="shared" si="38"/>
        <v>32.94</v>
      </c>
      <c r="K103" s="61">
        <f t="shared" si="38"/>
        <v>35.550000000000004</v>
      </c>
      <c r="L103" s="61">
        <f t="shared" si="38"/>
        <v>40.39</v>
      </c>
      <c r="M103" s="61">
        <f t="shared" si="38"/>
        <v>37.669999999999995</v>
      </c>
      <c r="N103" s="61">
        <f t="shared" si="38"/>
        <v>43.8</v>
      </c>
      <c r="O103" s="61">
        <f t="shared" si="38"/>
        <v>48.899999999999991</v>
      </c>
      <c r="P103" s="61">
        <f t="shared" si="38"/>
        <v>53.010000000000005</v>
      </c>
      <c r="Q103" s="61">
        <f t="shared" si="38"/>
        <v>56.269999999999996</v>
      </c>
      <c r="R103" s="61">
        <f t="shared" si="38"/>
        <v>55</v>
      </c>
      <c r="S103" s="61">
        <f t="shared" si="38"/>
        <v>56.28</v>
      </c>
      <c r="T103" s="61">
        <f t="shared" si="38"/>
        <v>59.17</v>
      </c>
      <c r="U103" s="61">
        <f t="shared" si="38"/>
        <v>58.46</v>
      </c>
      <c r="V103" s="61">
        <f t="shared" si="38"/>
        <v>55.660000000000004</v>
      </c>
      <c r="W103" s="61">
        <f t="shared" si="38"/>
        <v>52.82</v>
      </c>
      <c r="X103" s="61">
        <f t="shared" si="38"/>
        <v>51.599999999999994</v>
      </c>
      <c r="Y103" s="61">
        <f t="shared" si="38"/>
        <v>57.429999999999986</v>
      </c>
      <c r="Z103" s="61">
        <f t="shared" si="38"/>
        <v>53.4</v>
      </c>
      <c r="AA103" s="61">
        <f t="shared" si="38"/>
        <v>50.239999999999995</v>
      </c>
      <c r="AB103" s="61">
        <f t="shared" si="38"/>
        <v>46.400000000000006</v>
      </c>
      <c r="AC103" s="61">
        <f t="shared" si="38"/>
        <v>43.28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1.86</v>
      </c>
      <c r="P105" s="76">
        <v>1.86</v>
      </c>
      <c r="Q105" s="76">
        <v>1.86</v>
      </c>
      <c r="R105" s="76">
        <v>1.86</v>
      </c>
      <c r="S105" s="76">
        <v>1.86</v>
      </c>
      <c r="T105" s="76">
        <v>1.86</v>
      </c>
      <c r="U105" s="76">
        <v>1.86</v>
      </c>
      <c r="V105" s="76">
        <v>1.86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>
        <v>0.95</v>
      </c>
      <c r="AA106" s="76">
        <v>0.95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1.86</v>
      </c>
      <c r="P107" s="61">
        <f t="shared" si="39"/>
        <v>1.86</v>
      </c>
      <c r="Q107" s="61">
        <f t="shared" si="39"/>
        <v>1.86</v>
      </c>
      <c r="R107" s="61">
        <f t="shared" si="39"/>
        <v>1.86</v>
      </c>
      <c r="S107" s="61">
        <f t="shared" si="39"/>
        <v>1.86</v>
      </c>
      <c r="T107" s="61">
        <f t="shared" si="39"/>
        <v>1.86</v>
      </c>
      <c r="U107" s="61">
        <f t="shared" si="39"/>
        <v>1.86</v>
      </c>
      <c r="V107" s="61">
        <f t="shared" si="39"/>
        <v>1.86</v>
      </c>
      <c r="W107" s="61">
        <f t="shared" si="39"/>
        <v>0</v>
      </c>
      <c r="X107" s="61">
        <f t="shared" si="39"/>
        <v>0</v>
      </c>
      <c r="Y107" s="61">
        <f t="shared" si="39"/>
        <v>0</v>
      </c>
      <c r="Z107" s="61">
        <f t="shared" si="39"/>
        <v>0.95</v>
      </c>
      <c r="AA107" s="61">
        <f t="shared" si="39"/>
        <v>0.95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40">F103+F107</f>
        <v>38.059999999999995</v>
      </c>
      <c r="G108" s="62">
        <f t="shared" si="40"/>
        <v>35.47</v>
      </c>
      <c r="H108" s="62">
        <f t="shared" si="40"/>
        <v>34.21</v>
      </c>
      <c r="I108" s="62">
        <f t="shared" si="40"/>
        <v>33.699999999999996</v>
      </c>
      <c r="J108" s="62">
        <f t="shared" si="40"/>
        <v>32.94</v>
      </c>
      <c r="K108" s="62">
        <f t="shared" si="40"/>
        <v>35.550000000000004</v>
      </c>
      <c r="L108" s="62">
        <f t="shared" si="40"/>
        <v>40.39</v>
      </c>
      <c r="M108" s="62">
        <f t="shared" si="40"/>
        <v>37.669999999999995</v>
      </c>
      <c r="N108" s="62">
        <f t="shared" si="40"/>
        <v>43.8</v>
      </c>
      <c r="O108" s="62">
        <f t="shared" si="40"/>
        <v>50.759999999999991</v>
      </c>
      <c r="P108" s="62">
        <f>P103+P107</f>
        <v>54.870000000000005</v>
      </c>
      <c r="Q108" s="62">
        <f t="shared" si="40"/>
        <v>58.129999999999995</v>
      </c>
      <c r="R108" s="62">
        <f t="shared" si="40"/>
        <v>56.86</v>
      </c>
      <c r="S108" s="62">
        <f t="shared" si="40"/>
        <v>58.14</v>
      </c>
      <c r="T108" s="62">
        <f>T103+T107</f>
        <v>61.03</v>
      </c>
      <c r="U108" s="62">
        <f t="shared" si="40"/>
        <v>60.32</v>
      </c>
      <c r="V108" s="62">
        <f t="shared" si="40"/>
        <v>57.52</v>
      </c>
      <c r="W108" s="62">
        <f>W103+W107</f>
        <v>52.82</v>
      </c>
      <c r="X108" s="62">
        <f t="shared" si="40"/>
        <v>51.599999999999994</v>
      </c>
      <c r="Y108" s="62">
        <f t="shared" si="40"/>
        <v>57.429999999999986</v>
      </c>
      <c r="Z108" s="62">
        <f t="shared" si="40"/>
        <v>54.35</v>
      </c>
      <c r="AA108" s="62">
        <f t="shared" si="40"/>
        <v>51.19</v>
      </c>
      <c r="AB108" s="62">
        <f t="shared" si="40"/>
        <v>46.400000000000006</v>
      </c>
      <c r="AC108" s="62">
        <f t="shared" si="40"/>
        <v>43.28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1">(COUNT(F13:F16))*7.2+(COUNT(F27:F28)*4.9)+(COUNT(F19:F21)*4.5)-F91-F93</f>
        <v>-2.9999999999999982</v>
      </c>
      <c r="G109" s="63">
        <f t="shared" si="41"/>
        <v>-5.2999999999999989</v>
      </c>
      <c r="H109" s="63">
        <f t="shared" si="41"/>
        <v>-4.1099999999999985</v>
      </c>
      <c r="I109" s="63">
        <f t="shared" si="41"/>
        <v>3.5400000000000018</v>
      </c>
      <c r="J109" s="63">
        <f t="shared" si="41"/>
        <v>-2.9</v>
      </c>
      <c r="K109" s="63">
        <f t="shared" si="41"/>
        <v>-5.3999999999999995</v>
      </c>
      <c r="L109" s="63">
        <f t="shared" si="41"/>
        <v>-5.0999999999999996</v>
      </c>
      <c r="M109" s="63">
        <f t="shared" si="41"/>
        <v>-2.3999999999999986</v>
      </c>
      <c r="N109" s="63">
        <f t="shared" si="41"/>
        <v>-0.60999999999999943</v>
      </c>
      <c r="O109" s="63">
        <f t="shared" si="41"/>
        <v>0.40000000000000213</v>
      </c>
      <c r="P109" s="63">
        <f t="shared" si="41"/>
        <v>5.1999999999999993</v>
      </c>
      <c r="Q109" s="63">
        <f t="shared" si="41"/>
        <v>5.3000000000000025</v>
      </c>
      <c r="R109" s="63">
        <f t="shared" si="41"/>
        <v>5.9000000000000021</v>
      </c>
      <c r="S109" s="63">
        <f t="shared" si="41"/>
        <v>4.3999999999999986</v>
      </c>
      <c r="T109" s="63">
        <f t="shared" si="41"/>
        <v>9.5000000000000036</v>
      </c>
      <c r="U109" s="63">
        <f t="shared" si="41"/>
        <v>10.100000000000005</v>
      </c>
      <c r="V109" s="63">
        <f t="shared" si="41"/>
        <v>10.200000000000006</v>
      </c>
      <c r="W109" s="63">
        <f t="shared" si="41"/>
        <v>11.800000000000002</v>
      </c>
      <c r="X109" s="63">
        <f t="shared" si="41"/>
        <v>13.000000000000009</v>
      </c>
      <c r="Y109" s="63">
        <f t="shared" si="41"/>
        <v>9.9000000000000092</v>
      </c>
      <c r="Z109" s="63">
        <f t="shared" si="41"/>
        <v>11.600000000000009</v>
      </c>
      <c r="AA109" s="63">
        <f t="shared" si="41"/>
        <v>9.4000000000000021</v>
      </c>
      <c r="AB109" s="63">
        <f t="shared" si="41"/>
        <v>9.4000000000000021</v>
      </c>
      <c r="AC109" s="63">
        <f t="shared" si="41"/>
        <v>5.3000000000000025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-4.3999999999999986</v>
      </c>
      <c r="G110" s="205">
        <f t="shared" si="42"/>
        <v>-5.2999999999999989</v>
      </c>
      <c r="H110" s="205">
        <f t="shared" si="42"/>
        <v>-4.1099999999999985</v>
      </c>
      <c r="I110" s="205">
        <f t="shared" si="42"/>
        <v>3.5400000000000018</v>
      </c>
      <c r="J110" s="205">
        <f t="shared" si="42"/>
        <v>-2.9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-5.3999999999999995</v>
      </c>
      <c r="L110" s="205">
        <f t="shared" si="42"/>
        <v>-5.0999999999999996</v>
      </c>
      <c r="M110" s="205">
        <f t="shared" si="42"/>
        <v>-2.3999999999999986</v>
      </c>
      <c r="N110" s="205">
        <f t="shared" si="42"/>
        <v>-0.60999999999999766</v>
      </c>
      <c r="O110" s="205">
        <f t="shared" si="42"/>
        <v>-1.8999999999999959</v>
      </c>
      <c r="P110" s="205">
        <f t="shared" si="42"/>
        <v>-2.3999999999999986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-1.0999999999999952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-9.9999999999996092E-2</v>
      </c>
      <c r="S110" s="205">
        <f t="shared" si="43"/>
        <v>-1.4000000000000004</v>
      </c>
      <c r="T110" s="205">
        <f t="shared" si="43"/>
        <v>-2.7</v>
      </c>
      <c r="U110" s="205">
        <f t="shared" si="43"/>
        <v>-2.0999999999999988</v>
      </c>
      <c r="V110" s="205">
        <f t="shared" si="43"/>
        <v>-0.69999999999999751</v>
      </c>
      <c r="W110" s="205">
        <f t="shared" si="43"/>
        <v>1.9999999999999982</v>
      </c>
      <c r="X110" s="205">
        <f t="shared" si="43"/>
        <v>3.2000000000000046</v>
      </c>
      <c r="Y110" s="205">
        <f t="shared" si="43"/>
        <v>-2.2999999999999945</v>
      </c>
      <c r="Z110" s="205">
        <f t="shared" si="43"/>
        <v>1.8000000000000043</v>
      </c>
      <c r="AA110" s="205">
        <f t="shared" si="43"/>
        <v>-2.3999999999999995</v>
      </c>
      <c r="AB110" s="205">
        <f t="shared" si="43"/>
        <v>-3.3000000000000007</v>
      </c>
      <c r="AC110" s="205">
        <f t="shared" si="43"/>
        <v>-3.8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60.25</v>
      </c>
      <c r="G111" s="456">
        <v>60.13</v>
      </c>
      <c r="H111" s="456">
        <v>60.19</v>
      </c>
      <c r="I111" s="456">
        <v>60.23</v>
      </c>
      <c r="J111" s="456">
        <v>60.11</v>
      </c>
      <c r="K111" s="456">
        <v>60.11</v>
      </c>
      <c r="L111" s="456">
        <v>60.11</v>
      </c>
      <c r="M111" s="456">
        <v>60.25</v>
      </c>
      <c r="N111" s="456">
        <v>60.04</v>
      </c>
      <c r="O111" s="456">
        <v>60.13</v>
      </c>
      <c r="P111" s="457">
        <v>60.09</v>
      </c>
      <c r="Q111" s="457">
        <v>60.19</v>
      </c>
      <c r="R111" s="457">
        <v>60.27</v>
      </c>
      <c r="S111" s="457">
        <v>60.13</v>
      </c>
      <c r="T111" s="457">
        <v>60.11</v>
      </c>
      <c r="U111" s="456">
        <v>60.13</v>
      </c>
      <c r="V111" s="456">
        <v>60.16</v>
      </c>
      <c r="W111" s="456">
        <v>60.17</v>
      </c>
      <c r="X111" s="456">
        <v>60.14</v>
      </c>
      <c r="Y111" s="456">
        <v>60.17</v>
      </c>
      <c r="Z111" s="456">
        <v>60.23</v>
      </c>
      <c r="AA111" s="456">
        <v>60.14</v>
      </c>
      <c r="AB111" s="456">
        <v>60.17</v>
      </c>
      <c r="AC111" s="456">
        <v>60.14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 t="s">
        <v>97</v>
      </c>
      <c r="G115" s="520" t="s">
        <v>97</v>
      </c>
      <c r="H115" s="520" t="s">
        <v>97</v>
      </c>
      <c r="I115" s="520" t="s">
        <v>97</v>
      </c>
      <c r="J115" s="520" t="s">
        <v>97</v>
      </c>
      <c r="K115" s="520" t="s">
        <v>97</v>
      </c>
      <c r="L115" s="520" t="s">
        <v>97</v>
      </c>
      <c r="M115" s="520" t="s">
        <v>97</v>
      </c>
      <c r="N115" s="520" t="s">
        <v>97</v>
      </c>
      <c r="O115" s="520" t="s">
        <v>97</v>
      </c>
      <c r="P115" s="520" t="s">
        <v>97</v>
      </c>
      <c r="Q115" s="520" t="s">
        <v>97</v>
      </c>
      <c r="R115" s="520" t="s">
        <v>97</v>
      </c>
      <c r="S115" s="520" t="s">
        <v>97</v>
      </c>
      <c r="T115" s="520" t="s">
        <v>97</v>
      </c>
      <c r="U115" s="520" t="s">
        <v>98</v>
      </c>
      <c r="V115" s="520" t="s">
        <v>98</v>
      </c>
      <c r="W115" s="520" t="s">
        <v>99</v>
      </c>
      <c r="X115" s="520" t="s">
        <v>100</v>
      </c>
      <c r="Y115" s="520" t="s">
        <v>100</v>
      </c>
      <c r="Z115" s="520" t="s">
        <v>100</v>
      </c>
      <c r="AA115" s="520" t="s">
        <v>101</v>
      </c>
      <c r="AB115" s="520" t="s">
        <v>101</v>
      </c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8692" priority="582" operator="greaterThan">
      <formula>60.3</formula>
    </cfRule>
  </conditionalFormatting>
  <conditionalFormatting sqref="F111">
    <cfRule type="cellIs" dxfId="18691" priority="581" operator="greaterThan">
      <formula>60.3</formula>
    </cfRule>
  </conditionalFormatting>
  <conditionalFormatting sqref="H13:J13 N13:O13 D42:E42 H36:J59 L13:L14 M51 N36:AC39 I15:N16 N57:AC59 L36:L59 N47:N56 O40:AC40 O14:O16 P47:AC56 H62:L64 P13:AC16 P62:AC64 N41:AC46">
    <cfRule type="cellIs" dxfId="18690" priority="573" operator="equal">
      <formula>"PMS"</formula>
    </cfRule>
    <cfRule type="containsText" dxfId="18689" priority="574" operator="containsText" text="CMS">
      <formula>NOT(ISERROR(SEARCH("CMS",D13)))</formula>
    </cfRule>
    <cfRule type="cellIs" dxfId="18688" priority="575" operator="equal">
      <formula>0</formula>
    </cfRule>
    <cfRule type="cellIs" dxfId="18687" priority="576" operator="greaterThan">
      <formula>0</formula>
    </cfRule>
    <cfRule type="cellIs" dxfId="18686" priority="577" operator="equal">
      <formula>"PMS"</formula>
    </cfRule>
    <cfRule type="containsText" dxfId="18685" priority="578" operator="containsText" text="CMS">
      <formula>NOT(ISERROR(SEARCH("CMS",D13)))</formula>
    </cfRule>
    <cfRule type="cellIs" dxfId="18684" priority="579" operator="equal">
      <formula>0</formula>
    </cfRule>
    <cfRule type="cellIs" dxfId="18683" priority="580" operator="greaterThan">
      <formula>0</formula>
    </cfRule>
  </conditionalFormatting>
  <conditionalFormatting sqref="H13:J13 N13:O13 D42:E42 H36:J59 L13:L14 M51 N36:AC39 I15:N16 N57:AC59 L36:L59 N47:N56 O40:AC40 O14:O16 P47:AC56 H62:L64 P13:AC16 P62:AC64 N41:AC46">
    <cfRule type="cellIs" dxfId="18682" priority="569" operator="equal">
      <formula>"PMS"</formula>
    </cfRule>
    <cfRule type="containsText" dxfId="18681" priority="570" operator="containsText" text="CMS">
      <formula>NOT(ISERROR(SEARCH("CMS",D13)))</formula>
    </cfRule>
    <cfRule type="cellIs" dxfId="18680" priority="571" operator="equal">
      <formula>0</formula>
    </cfRule>
    <cfRule type="cellIs" dxfId="18679" priority="572" operator="greaterThan">
      <formula>0</formula>
    </cfRule>
  </conditionalFormatting>
  <conditionalFormatting sqref="G67:AC75">
    <cfRule type="cellIs" dxfId="18678" priority="561" operator="equal">
      <formula>"PMS"</formula>
    </cfRule>
    <cfRule type="containsText" dxfId="18677" priority="562" operator="containsText" text="CMS">
      <formula>NOT(ISERROR(SEARCH("CMS",G67)))</formula>
    </cfRule>
    <cfRule type="cellIs" dxfId="18676" priority="563" operator="equal">
      <formula>0</formula>
    </cfRule>
    <cfRule type="cellIs" dxfId="18675" priority="564" operator="greaterThan">
      <formula>0</formula>
    </cfRule>
    <cfRule type="cellIs" dxfId="18674" priority="565" operator="equal">
      <formula>"PMS"</formula>
    </cfRule>
    <cfRule type="containsText" dxfId="18673" priority="566" operator="containsText" text="CMS">
      <formula>NOT(ISERROR(SEARCH("CMS",G67)))</formula>
    </cfRule>
    <cfRule type="cellIs" dxfId="18672" priority="567" operator="equal">
      <formula>0</formula>
    </cfRule>
    <cfRule type="cellIs" dxfId="18671" priority="568" operator="greaterThan">
      <formula>0</formula>
    </cfRule>
  </conditionalFormatting>
  <conditionalFormatting sqref="G67:AC75">
    <cfRule type="cellIs" dxfId="18670" priority="557" operator="equal">
      <formula>"PMS"</formula>
    </cfRule>
    <cfRule type="containsText" dxfId="18669" priority="558" operator="containsText" text="CMS">
      <formula>NOT(ISERROR(SEARCH("CMS",G67)))</formula>
    </cfRule>
    <cfRule type="cellIs" dxfId="18668" priority="559" operator="equal">
      <formula>0</formula>
    </cfRule>
    <cfRule type="cellIs" dxfId="18667" priority="560" operator="greaterThan">
      <formula>0</formula>
    </cfRule>
  </conditionalFormatting>
  <conditionalFormatting sqref="G82:AC82">
    <cfRule type="cellIs" dxfId="18666" priority="549" operator="equal">
      <formula>"PMS"</formula>
    </cfRule>
    <cfRule type="containsText" dxfId="18665" priority="550" operator="containsText" text="CMS">
      <formula>NOT(ISERROR(SEARCH("CMS",G82)))</formula>
    </cfRule>
    <cfRule type="cellIs" dxfId="18664" priority="551" operator="equal">
      <formula>0</formula>
    </cfRule>
    <cfRule type="cellIs" dxfId="18663" priority="552" operator="greaterThan">
      <formula>0</formula>
    </cfRule>
    <cfRule type="cellIs" dxfId="18662" priority="553" operator="equal">
      <formula>"PMS"</formula>
    </cfRule>
    <cfRule type="containsText" dxfId="18661" priority="554" operator="containsText" text="CMS">
      <formula>NOT(ISERROR(SEARCH("CMS",G82)))</formula>
    </cfRule>
    <cfRule type="cellIs" dxfId="18660" priority="555" operator="equal">
      <formula>0</formula>
    </cfRule>
    <cfRule type="cellIs" dxfId="18659" priority="556" operator="greaterThan">
      <formula>0</formula>
    </cfRule>
  </conditionalFormatting>
  <conditionalFormatting sqref="G82:AC82">
    <cfRule type="cellIs" dxfId="18658" priority="545" operator="equal">
      <formula>"PMS"</formula>
    </cfRule>
    <cfRule type="containsText" dxfId="18657" priority="546" operator="containsText" text="CMS">
      <formula>NOT(ISERROR(SEARCH("CMS",G82)))</formula>
    </cfRule>
    <cfRule type="cellIs" dxfId="18656" priority="547" operator="equal">
      <formula>0</formula>
    </cfRule>
    <cfRule type="cellIs" dxfId="18655" priority="548" operator="greaterThan">
      <formula>0</formula>
    </cfRule>
  </conditionalFormatting>
  <conditionalFormatting sqref="I14 M14:N14">
    <cfRule type="cellIs" dxfId="18654" priority="537" operator="equal">
      <formula>"PMS"</formula>
    </cfRule>
    <cfRule type="containsText" dxfId="18653" priority="538" operator="containsText" text="CMS">
      <formula>NOT(ISERROR(SEARCH("CMS",I14)))</formula>
    </cfRule>
    <cfRule type="cellIs" dxfId="18652" priority="539" operator="equal">
      <formula>0</formula>
    </cfRule>
    <cfRule type="cellIs" dxfId="18651" priority="540" operator="greaterThan">
      <formula>0</formula>
    </cfRule>
    <cfRule type="cellIs" dxfId="18650" priority="541" operator="equal">
      <formula>"PMS"</formula>
    </cfRule>
    <cfRule type="containsText" dxfId="18649" priority="542" operator="containsText" text="CMS">
      <formula>NOT(ISERROR(SEARCH("CMS",I14)))</formula>
    </cfRule>
    <cfRule type="cellIs" dxfId="18648" priority="543" operator="equal">
      <formula>0</formula>
    </cfRule>
    <cfRule type="cellIs" dxfId="18647" priority="544" operator="greaterThan">
      <formula>0</formula>
    </cfRule>
  </conditionalFormatting>
  <conditionalFormatting sqref="I14 M14:N14">
    <cfRule type="cellIs" dxfId="18646" priority="533" operator="equal">
      <formula>"PMS"</formula>
    </cfRule>
    <cfRule type="containsText" dxfId="18645" priority="534" operator="containsText" text="CMS">
      <formula>NOT(ISERROR(SEARCH("CMS",I14)))</formula>
    </cfRule>
    <cfRule type="cellIs" dxfId="18644" priority="535" operator="equal">
      <formula>0</formula>
    </cfRule>
    <cfRule type="cellIs" dxfId="18643" priority="536" operator="greaterThan">
      <formula>0</formula>
    </cfRule>
  </conditionalFormatting>
  <conditionalFormatting sqref="G13">
    <cfRule type="cellIs" dxfId="18642" priority="525" operator="equal">
      <formula>"PMS"</formula>
    </cfRule>
    <cfRule type="containsText" dxfId="18641" priority="526" operator="containsText" text="CMS">
      <formula>NOT(ISERROR(SEARCH("CMS",G13)))</formula>
    </cfRule>
    <cfRule type="cellIs" dxfId="18640" priority="527" operator="equal">
      <formula>0</formula>
    </cfRule>
    <cfRule type="cellIs" dxfId="18639" priority="528" operator="greaterThan">
      <formula>0</formula>
    </cfRule>
    <cfRule type="cellIs" dxfId="18638" priority="529" operator="equal">
      <formula>"PMS"</formula>
    </cfRule>
    <cfRule type="containsText" dxfId="18637" priority="530" operator="containsText" text="CMS">
      <formula>NOT(ISERROR(SEARCH("CMS",G13)))</formula>
    </cfRule>
    <cfRule type="cellIs" dxfId="18636" priority="531" operator="equal">
      <formula>0</formula>
    </cfRule>
    <cfRule type="cellIs" dxfId="18635" priority="532" operator="greaterThan">
      <formula>0</formula>
    </cfRule>
  </conditionalFormatting>
  <conditionalFormatting sqref="G13">
    <cfRule type="cellIs" dxfId="18634" priority="521" operator="equal">
      <formula>"PMS"</formula>
    </cfRule>
    <cfRule type="containsText" dxfId="18633" priority="522" operator="containsText" text="CMS">
      <formula>NOT(ISERROR(SEARCH("CMS",G13)))</formula>
    </cfRule>
    <cfRule type="cellIs" dxfId="18632" priority="523" operator="equal">
      <formula>0</formula>
    </cfRule>
    <cfRule type="cellIs" dxfId="18631" priority="524" operator="greaterThan">
      <formula>0</formula>
    </cfRule>
  </conditionalFormatting>
  <conditionalFormatting sqref="M13">
    <cfRule type="cellIs" dxfId="18630" priority="513" operator="equal">
      <formula>"PMS"</formula>
    </cfRule>
    <cfRule type="containsText" dxfId="18629" priority="514" operator="containsText" text="CMS">
      <formula>NOT(ISERROR(SEARCH("CMS",M13)))</formula>
    </cfRule>
    <cfRule type="cellIs" dxfId="18628" priority="515" operator="equal">
      <formula>0</formula>
    </cfRule>
    <cfRule type="cellIs" dxfId="18627" priority="516" operator="greaterThan">
      <formula>0</formula>
    </cfRule>
    <cfRule type="cellIs" dxfId="18626" priority="517" operator="equal">
      <formula>"PMS"</formula>
    </cfRule>
    <cfRule type="containsText" dxfId="18625" priority="518" operator="containsText" text="CMS">
      <formula>NOT(ISERROR(SEARCH("CMS",M13)))</formula>
    </cfRule>
    <cfRule type="cellIs" dxfId="18624" priority="519" operator="equal">
      <formula>0</formula>
    </cfRule>
    <cfRule type="cellIs" dxfId="18623" priority="520" operator="greaterThan">
      <formula>0</formula>
    </cfRule>
  </conditionalFormatting>
  <conditionalFormatting sqref="M13">
    <cfRule type="cellIs" dxfId="18622" priority="509" operator="equal">
      <formula>"PMS"</formula>
    </cfRule>
    <cfRule type="containsText" dxfId="18621" priority="510" operator="containsText" text="CMS">
      <formula>NOT(ISERROR(SEARCH("CMS",M13)))</formula>
    </cfRule>
    <cfRule type="cellIs" dxfId="18620" priority="511" operator="equal">
      <formula>0</formula>
    </cfRule>
    <cfRule type="cellIs" dxfId="18619" priority="512" operator="greaterThan">
      <formula>0</formula>
    </cfRule>
  </conditionalFormatting>
  <conditionalFormatting sqref="K13">
    <cfRule type="cellIs" dxfId="18618" priority="501" operator="equal">
      <formula>"PMS"</formula>
    </cfRule>
    <cfRule type="containsText" dxfId="18617" priority="502" operator="containsText" text="CMS">
      <formula>NOT(ISERROR(SEARCH("CMS",K13)))</formula>
    </cfRule>
    <cfRule type="cellIs" dxfId="18616" priority="503" operator="equal">
      <formula>0</formula>
    </cfRule>
    <cfRule type="cellIs" dxfId="18615" priority="504" operator="greaterThan">
      <formula>0</formula>
    </cfRule>
    <cfRule type="cellIs" dxfId="18614" priority="505" operator="equal">
      <formula>"PMS"</formula>
    </cfRule>
    <cfRule type="containsText" dxfId="18613" priority="506" operator="containsText" text="CMS">
      <formula>NOT(ISERROR(SEARCH("CMS",K13)))</formula>
    </cfRule>
    <cfRule type="cellIs" dxfId="18612" priority="507" operator="equal">
      <formula>0</formula>
    </cfRule>
    <cfRule type="cellIs" dxfId="18611" priority="508" operator="greaterThan">
      <formula>0</formula>
    </cfRule>
  </conditionalFormatting>
  <conditionalFormatting sqref="K13">
    <cfRule type="cellIs" dxfId="18610" priority="497" operator="equal">
      <formula>"PMS"</formula>
    </cfRule>
    <cfRule type="containsText" dxfId="18609" priority="498" operator="containsText" text="CMS">
      <formula>NOT(ISERROR(SEARCH("CMS",K13)))</formula>
    </cfRule>
    <cfRule type="cellIs" dxfId="18608" priority="499" operator="equal">
      <formula>0</formula>
    </cfRule>
    <cfRule type="cellIs" dxfId="18607" priority="500" operator="greaterThan">
      <formula>0</formula>
    </cfRule>
  </conditionalFormatting>
  <conditionalFormatting sqref="G113:AC113">
    <cfRule type="cellIs" dxfId="18606" priority="496" operator="greaterThan">
      <formula>60.3</formula>
    </cfRule>
  </conditionalFormatting>
  <conditionalFormatting sqref="H112:M112">
    <cfRule type="cellIs" dxfId="18605" priority="495" operator="greaterThan">
      <formula>60.3</formula>
    </cfRule>
  </conditionalFormatting>
  <conditionalFormatting sqref="F112:G112">
    <cfRule type="cellIs" dxfId="18604" priority="494" operator="greaterThan">
      <formula>60.3</formula>
    </cfRule>
  </conditionalFormatting>
  <conditionalFormatting sqref="N112:AC112">
    <cfRule type="cellIs" dxfId="18603" priority="493" operator="greaterThan">
      <formula>60.3</formula>
    </cfRule>
  </conditionalFormatting>
  <conditionalFormatting sqref="G14:G16">
    <cfRule type="cellIs" dxfId="18602" priority="485" operator="equal">
      <formula>"PMS"</formula>
    </cfRule>
    <cfRule type="containsText" dxfId="18601" priority="486" operator="containsText" text="CMS">
      <formula>NOT(ISERROR(SEARCH("CMS",G14)))</formula>
    </cfRule>
    <cfRule type="cellIs" dxfId="18600" priority="487" operator="equal">
      <formula>0</formula>
    </cfRule>
    <cfRule type="cellIs" dxfId="18599" priority="488" operator="greaterThan">
      <formula>0</formula>
    </cfRule>
    <cfRule type="cellIs" dxfId="18598" priority="489" operator="equal">
      <formula>"PMS"</formula>
    </cfRule>
    <cfRule type="containsText" dxfId="18597" priority="490" operator="containsText" text="CMS">
      <formula>NOT(ISERROR(SEARCH("CMS",G14)))</formula>
    </cfRule>
    <cfRule type="cellIs" dxfId="18596" priority="491" operator="equal">
      <formula>0</formula>
    </cfRule>
    <cfRule type="cellIs" dxfId="18595" priority="492" operator="greaterThan">
      <formula>0</formula>
    </cfRule>
  </conditionalFormatting>
  <conditionalFormatting sqref="G14:G16">
    <cfRule type="cellIs" dxfId="18594" priority="481" operator="equal">
      <formula>"PMS"</formula>
    </cfRule>
    <cfRule type="containsText" dxfId="18593" priority="482" operator="containsText" text="CMS">
      <formula>NOT(ISERROR(SEARCH("CMS",G14)))</formula>
    </cfRule>
    <cfRule type="cellIs" dxfId="18592" priority="483" operator="equal">
      <formula>0</formula>
    </cfRule>
    <cfRule type="cellIs" dxfId="18591" priority="484" operator="greaterThan">
      <formula>0</formula>
    </cfRule>
  </conditionalFormatting>
  <conditionalFormatting sqref="H14:H16">
    <cfRule type="cellIs" dxfId="18590" priority="473" operator="equal">
      <formula>"PMS"</formula>
    </cfRule>
    <cfRule type="containsText" dxfId="18589" priority="474" operator="containsText" text="CMS">
      <formula>NOT(ISERROR(SEARCH("CMS",H14)))</formula>
    </cfRule>
    <cfRule type="cellIs" dxfId="18588" priority="475" operator="equal">
      <formula>0</formula>
    </cfRule>
    <cfRule type="cellIs" dxfId="18587" priority="476" operator="greaterThan">
      <formula>0</formula>
    </cfRule>
    <cfRule type="cellIs" dxfId="18586" priority="477" operator="equal">
      <formula>"PMS"</formula>
    </cfRule>
    <cfRule type="containsText" dxfId="18585" priority="478" operator="containsText" text="CMS">
      <formula>NOT(ISERROR(SEARCH("CMS",H14)))</formula>
    </cfRule>
    <cfRule type="cellIs" dxfId="18584" priority="479" operator="equal">
      <formula>0</formula>
    </cfRule>
    <cfRule type="cellIs" dxfId="18583" priority="480" operator="greaterThan">
      <formula>0</formula>
    </cfRule>
  </conditionalFormatting>
  <conditionalFormatting sqref="H14:H16">
    <cfRule type="cellIs" dxfId="18582" priority="469" operator="equal">
      <formula>"PMS"</formula>
    </cfRule>
    <cfRule type="containsText" dxfId="18581" priority="470" operator="containsText" text="CMS">
      <formula>NOT(ISERROR(SEARCH("CMS",H14)))</formula>
    </cfRule>
    <cfRule type="cellIs" dxfId="18580" priority="471" operator="equal">
      <formula>0</formula>
    </cfRule>
    <cfRule type="cellIs" dxfId="18579" priority="472" operator="greaterThan">
      <formula>0</formula>
    </cfRule>
  </conditionalFormatting>
  <conditionalFormatting sqref="G36:G38 G57:G59">
    <cfRule type="cellIs" dxfId="18578" priority="461" operator="equal">
      <formula>"PMS"</formula>
    </cfRule>
    <cfRule type="containsText" dxfId="18577" priority="462" operator="containsText" text="CMS">
      <formula>NOT(ISERROR(SEARCH("CMS",G36)))</formula>
    </cfRule>
    <cfRule type="cellIs" dxfId="18576" priority="463" operator="equal">
      <formula>0</formula>
    </cfRule>
    <cfRule type="cellIs" dxfId="18575" priority="464" operator="greaterThan">
      <formula>0</formula>
    </cfRule>
    <cfRule type="cellIs" dxfId="18574" priority="465" operator="equal">
      <formula>"PMS"</formula>
    </cfRule>
    <cfRule type="containsText" dxfId="18573" priority="466" operator="containsText" text="CMS">
      <formula>NOT(ISERROR(SEARCH("CMS",G36)))</formula>
    </cfRule>
    <cfRule type="cellIs" dxfId="18572" priority="467" operator="equal">
      <formula>0</formula>
    </cfRule>
    <cfRule type="cellIs" dxfId="18571" priority="468" operator="greaterThan">
      <formula>0</formula>
    </cfRule>
  </conditionalFormatting>
  <conditionalFormatting sqref="G36:G38 G57:G59">
    <cfRule type="cellIs" dxfId="18570" priority="457" operator="equal">
      <formula>"PMS"</formula>
    </cfRule>
    <cfRule type="containsText" dxfId="18569" priority="458" operator="containsText" text="CMS">
      <formula>NOT(ISERROR(SEARCH("CMS",G36)))</formula>
    </cfRule>
    <cfRule type="cellIs" dxfId="18568" priority="459" operator="equal">
      <formula>0</formula>
    </cfRule>
    <cfRule type="cellIs" dxfId="18567" priority="460" operator="greaterThan">
      <formula>0</formula>
    </cfRule>
  </conditionalFormatting>
  <conditionalFormatting sqref="M36:M38 M57:M59">
    <cfRule type="cellIs" dxfId="18566" priority="449" operator="equal">
      <formula>"PMS"</formula>
    </cfRule>
    <cfRule type="containsText" dxfId="18565" priority="450" operator="containsText" text="CMS">
      <formula>NOT(ISERROR(SEARCH("CMS",M36)))</formula>
    </cfRule>
    <cfRule type="cellIs" dxfId="18564" priority="451" operator="equal">
      <formula>0</formula>
    </cfRule>
    <cfRule type="cellIs" dxfId="18563" priority="452" operator="greaterThan">
      <formula>0</formula>
    </cfRule>
    <cfRule type="cellIs" dxfId="18562" priority="453" operator="equal">
      <formula>"PMS"</formula>
    </cfRule>
    <cfRule type="containsText" dxfId="18561" priority="454" operator="containsText" text="CMS">
      <formula>NOT(ISERROR(SEARCH("CMS",M36)))</formula>
    </cfRule>
    <cfRule type="cellIs" dxfId="18560" priority="455" operator="equal">
      <formula>0</formula>
    </cfRule>
    <cfRule type="cellIs" dxfId="18559" priority="456" operator="greaterThan">
      <formula>0</formula>
    </cfRule>
  </conditionalFormatting>
  <conditionalFormatting sqref="M36:M38 M57:M59">
    <cfRule type="cellIs" dxfId="18558" priority="445" operator="equal">
      <formula>"PMS"</formula>
    </cfRule>
    <cfRule type="containsText" dxfId="18557" priority="446" operator="containsText" text="CMS">
      <formula>NOT(ISERROR(SEARCH("CMS",M36)))</formula>
    </cfRule>
    <cfRule type="cellIs" dxfId="18556" priority="447" operator="equal">
      <formula>0</formula>
    </cfRule>
    <cfRule type="cellIs" dxfId="18555" priority="448" operator="greaterThan">
      <formula>0</formula>
    </cfRule>
  </conditionalFormatting>
  <conditionalFormatting sqref="K36:K38 K57:K59">
    <cfRule type="cellIs" dxfId="18554" priority="437" operator="equal">
      <formula>"PMS"</formula>
    </cfRule>
    <cfRule type="containsText" dxfId="18553" priority="438" operator="containsText" text="CMS">
      <formula>NOT(ISERROR(SEARCH("CMS",K36)))</formula>
    </cfRule>
    <cfRule type="cellIs" dxfId="18552" priority="439" operator="equal">
      <formula>0</formula>
    </cfRule>
    <cfRule type="cellIs" dxfId="18551" priority="440" operator="greaterThan">
      <formula>0</formula>
    </cfRule>
    <cfRule type="cellIs" dxfId="18550" priority="441" operator="equal">
      <formula>"PMS"</formula>
    </cfRule>
    <cfRule type="containsText" dxfId="18549" priority="442" operator="containsText" text="CMS">
      <formula>NOT(ISERROR(SEARCH("CMS",K36)))</formula>
    </cfRule>
    <cfRule type="cellIs" dxfId="18548" priority="443" operator="equal">
      <formula>0</formula>
    </cfRule>
    <cfRule type="cellIs" dxfId="18547" priority="444" operator="greaterThan">
      <formula>0</formula>
    </cfRule>
  </conditionalFormatting>
  <conditionalFormatting sqref="K36:K38 K57:K59">
    <cfRule type="cellIs" dxfId="18546" priority="433" operator="equal">
      <formula>"PMS"</formula>
    </cfRule>
    <cfRule type="containsText" dxfId="18545" priority="434" operator="containsText" text="CMS">
      <formula>NOT(ISERROR(SEARCH("CMS",K36)))</formula>
    </cfRule>
    <cfRule type="cellIs" dxfId="18544" priority="435" operator="equal">
      <formula>0</formula>
    </cfRule>
    <cfRule type="cellIs" dxfId="18543" priority="436" operator="greaterThan">
      <formula>0</formula>
    </cfRule>
  </conditionalFormatting>
  <conditionalFormatting sqref="K14">
    <cfRule type="cellIs" dxfId="18542" priority="425" operator="equal">
      <formula>"PMS"</formula>
    </cfRule>
    <cfRule type="containsText" dxfId="18541" priority="426" operator="containsText" text="CMS">
      <formula>NOT(ISERROR(SEARCH("CMS",K14)))</formula>
    </cfRule>
    <cfRule type="cellIs" dxfId="18540" priority="427" operator="equal">
      <formula>0</formula>
    </cfRule>
    <cfRule type="cellIs" dxfId="18539" priority="428" operator="greaterThan">
      <formula>0</formula>
    </cfRule>
    <cfRule type="cellIs" dxfId="18538" priority="429" operator="equal">
      <formula>"PMS"</formula>
    </cfRule>
    <cfRule type="containsText" dxfId="18537" priority="430" operator="containsText" text="CMS">
      <formula>NOT(ISERROR(SEARCH("CMS",K14)))</formula>
    </cfRule>
    <cfRule type="cellIs" dxfId="18536" priority="431" operator="equal">
      <formula>0</formula>
    </cfRule>
    <cfRule type="cellIs" dxfId="18535" priority="432" operator="greaterThan">
      <formula>0</formula>
    </cfRule>
  </conditionalFormatting>
  <conditionalFormatting sqref="K14">
    <cfRule type="cellIs" dxfId="18534" priority="421" operator="equal">
      <formula>"PMS"</formula>
    </cfRule>
    <cfRule type="containsText" dxfId="18533" priority="422" operator="containsText" text="CMS">
      <formula>NOT(ISERROR(SEARCH("CMS",K14)))</formula>
    </cfRule>
    <cfRule type="cellIs" dxfId="18532" priority="423" operator="equal">
      <formula>0</formula>
    </cfRule>
    <cfRule type="cellIs" dxfId="18531" priority="424" operator="greaterThan">
      <formula>0</formula>
    </cfRule>
  </conditionalFormatting>
  <conditionalFormatting sqref="G49 G52:G55">
    <cfRule type="cellIs" dxfId="18530" priority="413" operator="equal">
      <formula>"PMS"</formula>
    </cfRule>
    <cfRule type="containsText" dxfId="18529" priority="414" operator="containsText" text="CMS">
      <formula>NOT(ISERROR(SEARCH("CMS",G49)))</formula>
    </cfRule>
    <cfRule type="cellIs" dxfId="18528" priority="415" operator="equal">
      <formula>0</formula>
    </cfRule>
    <cfRule type="cellIs" dxfId="18527" priority="416" operator="greaterThan">
      <formula>0</formula>
    </cfRule>
    <cfRule type="cellIs" dxfId="18526" priority="417" operator="equal">
      <formula>"PMS"</formula>
    </cfRule>
    <cfRule type="containsText" dxfId="18525" priority="418" operator="containsText" text="CMS">
      <formula>NOT(ISERROR(SEARCH("CMS",G49)))</formula>
    </cfRule>
    <cfRule type="cellIs" dxfId="18524" priority="419" operator="equal">
      <formula>0</formula>
    </cfRule>
    <cfRule type="cellIs" dxfId="18523" priority="420" operator="greaterThan">
      <formula>0</formula>
    </cfRule>
  </conditionalFormatting>
  <conditionalFormatting sqref="G49 G52:G55">
    <cfRule type="cellIs" dxfId="18522" priority="409" operator="equal">
      <formula>"PMS"</formula>
    </cfRule>
    <cfRule type="containsText" dxfId="18521" priority="410" operator="containsText" text="CMS">
      <formula>NOT(ISERROR(SEARCH("CMS",G49)))</formula>
    </cfRule>
    <cfRule type="cellIs" dxfId="18520" priority="411" operator="equal">
      <formula>0</formula>
    </cfRule>
    <cfRule type="cellIs" dxfId="18519" priority="412" operator="greaterThan">
      <formula>0</formula>
    </cfRule>
  </conditionalFormatting>
  <conditionalFormatting sqref="M49 M52:M55">
    <cfRule type="cellIs" dxfId="18518" priority="401" operator="equal">
      <formula>"PMS"</formula>
    </cfRule>
    <cfRule type="containsText" dxfId="18517" priority="402" operator="containsText" text="CMS">
      <formula>NOT(ISERROR(SEARCH("CMS",M49)))</formula>
    </cfRule>
    <cfRule type="cellIs" dxfId="18516" priority="403" operator="equal">
      <formula>0</formula>
    </cfRule>
    <cfRule type="cellIs" dxfId="18515" priority="404" operator="greaterThan">
      <formula>0</formula>
    </cfRule>
    <cfRule type="cellIs" dxfId="18514" priority="405" operator="equal">
      <formula>"PMS"</formula>
    </cfRule>
    <cfRule type="containsText" dxfId="18513" priority="406" operator="containsText" text="CMS">
      <formula>NOT(ISERROR(SEARCH("CMS",M49)))</formula>
    </cfRule>
    <cfRule type="cellIs" dxfId="18512" priority="407" operator="equal">
      <formula>0</formula>
    </cfRule>
    <cfRule type="cellIs" dxfId="18511" priority="408" operator="greaterThan">
      <formula>0</formula>
    </cfRule>
  </conditionalFormatting>
  <conditionalFormatting sqref="M49 M52:M55">
    <cfRule type="cellIs" dxfId="18510" priority="397" operator="equal">
      <formula>"PMS"</formula>
    </cfRule>
    <cfRule type="containsText" dxfId="18509" priority="398" operator="containsText" text="CMS">
      <formula>NOT(ISERROR(SEARCH("CMS",M49)))</formula>
    </cfRule>
    <cfRule type="cellIs" dxfId="18508" priority="399" operator="equal">
      <formula>0</formula>
    </cfRule>
    <cfRule type="cellIs" dxfId="18507" priority="400" operator="greaterThan">
      <formula>0</formula>
    </cfRule>
  </conditionalFormatting>
  <conditionalFormatting sqref="K49 K52:K55">
    <cfRule type="cellIs" dxfId="18506" priority="389" operator="equal">
      <formula>"PMS"</formula>
    </cfRule>
    <cfRule type="containsText" dxfId="18505" priority="390" operator="containsText" text="CMS">
      <formula>NOT(ISERROR(SEARCH("CMS",K49)))</formula>
    </cfRule>
    <cfRule type="cellIs" dxfId="18504" priority="391" operator="equal">
      <formula>0</formula>
    </cfRule>
    <cfRule type="cellIs" dxfId="18503" priority="392" operator="greaterThan">
      <formula>0</formula>
    </cfRule>
    <cfRule type="cellIs" dxfId="18502" priority="393" operator="equal">
      <formula>"PMS"</formula>
    </cfRule>
    <cfRule type="containsText" dxfId="18501" priority="394" operator="containsText" text="CMS">
      <formula>NOT(ISERROR(SEARCH("CMS",K49)))</formula>
    </cfRule>
    <cfRule type="cellIs" dxfId="18500" priority="395" operator="equal">
      <formula>0</formula>
    </cfRule>
    <cfRule type="cellIs" dxfId="18499" priority="396" operator="greaterThan">
      <formula>0</formula>
    </cfRule>
  </conditionalFormatting>
  <conditionalFormatting sqref="K49 K52:K55">
    <cfRule type="cellIs" dxfId="18498" priority="385" operator="equal">
      <formula>"PMS"</formula>
    </cfRule>
    <cfRule type="containsText" dxfId="18497" priority="386" operator="containsText" text="CMS">
      <formula>NOT(ISERROR(SEARCH("CMS",K49)))</formula>
    </cfRule>
    <cfRule type="cellIs" dxfId="18496" priority="387" operator="equal">
      <formula>0</formula>
    </cfRule>
    <cfRule type="cellIs" dxfId="18495" priority="388" operator="greaterThan">
      <formula>0</formula>
    </cfRule>
  </conditionalFormatting>
  <conditionalFormatting sqref="L78:L79 H33:J33 L33 L27:L30 H24:J24 H19:J20 L20:L21 V28:AC28 M21 Q28:T28 N28:P29 N33:AC33 N30 P30 Q29:AC30 H27:J30 H78:J79 N19:AC21 L24:AC24 H21:K21 K19:L19 O78:AC79">
    <cfRule type="cellIs" dxfId="18494" priority="377" operator="equal">
      <formula>"PMS"</formula>
    </cfRule>
    <cfRule type="containsText" dxfId="18493" priority="378" operator="containsText" text="CMS">
      <formula>NOT(ISERROR(SEARCH("CMS",H19)))</formula>
    </cfRule>
    <cfRule type="cellIs" dxfId="18492" priority="379" operator="equal">
      <formula>0</formula>
    </cfRule>
    <cfRule type="cellIs" dxfId="18491" priority="380" operator="greaterThan">
      <formula>0</formula>
    </cfRule>
    <cfRule type="cellIs" dxfId="18490" priority="381" operator="equal">
      <formula>"PMS"</formula>
    </cfRule>
    <cfRule type="containsText" dxfId="18489" priority="382" operator="containsText" text="CMS">
      <formula>NOT(ISERROR(SEARCH("CMS",H19)))</formula>
    </cfRule>
    <cfRule type="cellIs" dxfId="18488" priority="383" operator="equal">
      <formula>0</formula>
    </cfRule>
    <cfRule type="cellIs" dxfId="18487" priority="384" operator="greaterThan">
      <formula>0</formula>
    </cfRule>
  </conditionalFormatting>
  <conditionalFormatting sqref="L78:L79 H33:J33 L33 L27:L30 H24:J24 H19:J20 L20:L21 V28:AC28 M21 Q28:T28 N28:P29 N33:AC33 N30 P30 Q29:AC30 H27:J30 H78:J79 N19:AC21 L24:AC24 H21:K21 K19:L19 O78:AC79">
    <cfRule type="cellIs" dxfId="18486" priority="373" operator="equal">
      <formula>"PMS"</formula>
    </cfRule>
    <cfRule type="containsText" dxfId="18485" priority="374" operator="containsText" text="CMS">
      <formula>NOT(ISERROR(SEARCH("CMS",H19)))</formula>
    </cfRule>
    <cfRule type="cellIs" dxfId="18484" priority="375" operator="equal">
      <formula>0</formula>
    </cfRule>
    <cfRule type="cellIs" dxfId="18483" priority="376" operator="greaterThan">
      <formula>0</formula>
    </cfRule>
  </conditionalFormatting>
  <conditionalFormatting sqref="G78:G79 G33 G27:G30 G24 G39:G48 G50:G51 G56 G19:G21">
    <cfRule type="cellIs" dxfId="18482" priority="365" operator="equal">
      <formula>"PMS"</formula>
    </cfRule>
    <cfRule type="containsText" dxfId="18481" priority="366" operator="containsText" text="CMS">
      <formula>NOT(ISERROR(SEARCH("CMS",G19)))</formula>
    </cfRule>
    <cfRule type="cellIs" dxfId="18480" priority="367" operator="equal">
      <formula>0</formula>
    </cfRule>
    <cfRule type="cellIs" dxfId="18479" priority="368" operator="greaterThan">
      <formula>0</formula>
    </cfRule>
    <cfRule type="cellIs" dxfId="18478" priority="369" operator="equal">
      <formula>"PMS"</formula>
    </cfRule>
    <cfRule type="containsText" dxfId="18477" priority="370" operator="containsText" text="CMS">
      <formula>NOT(ISERROR(SEARCH("CMS",G19)))</formula>
    </cfRule>
    <cfRule type="cellIs" dxfId="18476" priority="371" operator="equal">
      <formula>0</formula>
    </cfRule>
    <cfRule type="cellIs" dxfId="18475" priority="372" operator="greaterThan">
      <formula>0</formula>
    </cfRule>
  </conditionalFormatting>
  <conditionalFormatting sqref="G78:G79 G33 G27:G30 G24 G39:G48 G50:G51 G56 G19:G21">
    <cfRule type="cellIs" dxfId="18474" priority="361" operator="equal">
      <formula>"PMS"</formula>
    </cfRule>
    <cfRule type="containsText" dxfId="18473" priority="362" operator="containsText" text="CMS">
      <formula>NOT(ISERROR(SEARCH("CMS",G19)))</formula>
    </cfRule>
    <cfRule type="cellIs" dxfId="18472" priority="363" operator="equal">
      <formula>0</formula>
    </cfRule>
    <cfRule type="cellIs" dxfId="18471" priority="364" operator="greaterThan">
      <formula>0</formula>
    </cfRule>
  </conditionalFormatting>
  <conditionalFormatting sqref="M56 M50 M39:M48 M33 M27:M30 M19:M20 AB27:AC27 N27:X27 M78:N79 M62:M64">
    <cfRule type="cellIs" dxfId="18470" priority="353" operator="equal">
      <formula>"PMS"</formula>
    </cfRule>
    <cfRule type="containsText" dxfId="18469" priority="354" operator="containsText" text="CMS">
      <formula>NOT(ISERROR(SEARCH("CMS",M19)))</formula>
    </cfRule>
    <cfRule type="cellIs" dxfId="18468" priority="355" operator="equal">
      <formula>0</formula>
    </cfRule>
    <cfRule type="cellIs" dxfId="18467" priority="356" operator="greaterThan">
      <formula>0</formula>
    </cfRule>
    <cfRule type="cellIs" dxfId="18466" priority="357" operator="equal">
      <formula>"PMS"</formula>
    </cfRule>
    <cfRule type="containsText" dxfId="18465" priority="358" operator="containsText" text="CMS">
      <formula>NOT(ISERROR(SEARCH("CMS",M19)))</formula>
    </cfRule>
    <cfRule type="cellIs" dxfId="18464" priority="359" operator="equal">
      <formula>0</formula>
    </cfRule>
    <cfRule type="cellIs" dxfId="18463" priority="360" operator="greaterThan">
      <formula>0</formula>
    </cfRule>
  </conditionalFormatting>
  <conditionalFormatting sqref="M56 M50 M39:M48 M33 M27:M30 M19:M20 AB27:AC27 N27:X27 M78:N79 M62:M64">
    <cfRule type="cellIs" dxfId="18462" priority="349" operator="equal">
      <formula>"PMS"</formula>
    </cfRule>
    <cfRule type="containsText" dxfId="18461" priority="350" operator="containsText" text="CMS">
      <formula>NOT(ISERROR(SEARCH("CMS",M19)))</formula>
    </cfRule>
    <cfRule type="cellIs" dxfId="18460" priority="351" operator="equal">
      <formula>0</formula>
    </cfRule>
    <cfRule type="cellIs" dxfId="18459" priority="352" operator="greaterThan">
      <formula>0</formula>
    </cfRule>
  </conditionalFormatting>
  <conditionalFormatting sqref="K56 K50:K51 K39:K48 K33 K27 K24 K20 K29:K30 K78:K79">
    <cfRule type="cellIs" dxfId="18458" priority="341" operator="equal">
      <formula>"PMS"</formula>
    </cfRule>
    <cfRule type="containsText" dxfId="18457" priority="342" operator="containsText" text="CMS">
      <formula>NOT(ISERROR(SEARCH("CMS",K20)))</formula>
    </cfRule>
    <cfRule type="cellIs" dxfId="18456" priority="343" operator="equal">
      <formula>0</formula>
    </cfRule>
    <cfRule type="cellIs" dxfId="18455" priority="344" operator="greaterThan">
      <formula>0</formula>
    </cfRule>
    <cfRule type="cellIs" dxfId="18454" priority="345" operator="equal">
      <formula>"PMS"</formula>
    </cfRule>
    <cfRule type="containsText" dxfId="18453" priority="346" operator="containsText" text="CMS">
      <formula>NOT(ISERROR(SEARCH("CMS",K20)))</formula>
    </cfRule>
    <cfRule type="cellIs" dxfId="18452" priority="347" operator="equal">
      <formula>0</formula>
    </cfRule>
    <cfRule type="cellIs" dxfId="18451" priority="348" operator="greaterThan">
      <formula>0</formula>
    </cfRule>
  </conditionalFormatting>
  <conditionalFormatting sqref="K56 K50:K51 K39:K48 K33 K27 K24 K20 K29:K30 K78:K79">
    <cfRule type="cellIs" dxfId="18450" priority="337" operator="equal">
      <formula>"PMS"</formula>
    </cfRule>
    <cfRule type="containsText" dxfId="18449" priority="338" operator="containsText" text="CMS">
      <formula>NOT(ISERROR(SEARCH("CMS",K20)))</formula>
    </cfRule>
    <cfRule type="cellIs" dxfId="18448" priority="339" operator="equal">
      <formula>0</formula>
    </cfRule>
    <cfRule type="cellIs" dxfId="18447" priority="340" operator="greaterThan">
      <formula>0</formula>
    </cfRule>
  </conditionalFormatting>
  <conditionalFormatting sqref="K28">
    <cfRule type="cellIs" dxfId="18446" priority="329" operator="equal">
      <formula>"PMS"</formula>
    </cfRule>
    <cfRule type="containsText" dxfId="18445" priority="330" operator="containsText" text="CMS">
      <formula>NOT(ISERROR(SEARCH("CMS",K28)))</formula>
    </cfRule>
    <cfRule type="cellIs" dxfId="18444" priority="331" operator="equal">
      <formula>0</formula>
    </cfRule>
    <cfRule type="cellIs" dxfId="18443" priority="332" operator="greaterThan">
      <formula>0</formula>
    </cfRule>
    <cfRule type="cellIs" dxfId="18442" priority="333" operator="equal">
      <formula>"PMS"</formula>
    </cfRule>
    <cfRule type="containsText" dxfId="18441" priority="334" operator="containsText" text="CMS">
      <formula>NOT(ISERROR(SEARCH("CMS",K28)))</formula>
    </cfRule>
    <cfRule type="cellIs" dxfId="18440" priority="335" operator="equal">
      <formula>0</formula>
    </cfRule>
    <cfRule type="cellIs" dxfId="18439" priority="336" operator="greaterThan">
      <formula>0</formula>
    </cfRule>
  </conditionalFormatting>
  <conditionalFormatting sqref="K28">
    <cfRule type="cellIs" dxfId="18438" priority="325" operator="equal">
      <formula>"PMS"</formula>
    </cfRule>
    <cfRule type="containsText" dxfId="18437" priority="326" operator="containsText" text="CMS">
      <formula>NOT(ISERROR(SEARCH("CMS",K28)))</formula>
    </cfRule>
    <cfRule type="cellIs" dxfId="18436" priority="327" operator="equal">
      <formula>0</formula>
    </cfRule>
    <cfRule type="cellIs" dxfId="18435" priority="328" operator="greaterThan">
      <formula>0</formula>
    </cfRule>
  </conditionalFormatting>
  <conditionalFormatting sqref="N62:O64">
    <cfRule type="cellIs" dxfId="18434" priority="317" operator="equal">
      <formula>"PMS"</formula>
    </cfRule>
    <cfRule type="containsText" dxfId="18433" priority="318" operator="containsText" text="CMS">
      <formula>NOT(ISERROR(SEARCH("CMS",N62)))</formula>
    </cfRule>
    <cfRule type="cellIs" dxfId="18432" priority="319" operator="equal">
      <formula>0</formula>
    </cfRule>
    <cfRule type="cellIs" dxfId="18431" priority="320" operator="greaterThan">
      <formula>0</formula>
    </cfRule>
    <cfRule type="cellIs" dxfId="18430" priority="321" operator="equal">
      <formula>"PMS"</formula>
    </cfRule>
    <cfRule type="containsText" dxfId="18429" priority="322" operator="containsText" text="CMS">
      <formula>NOT(ISERROR(SEARCH("CMS",N62)))</formula>
    </cfRule>
    <cfRule type="cellIs" dxfId="18428" priority="323" operator="equal">
      <formula>0</formula>
    </cfRule>
    <cfRule type="cellIs" dxfId="18427" priority="324" operator="greaterThan">
      <formula>0</formula>
    </cfRule>
  </conditionalFormatting>
  <conditionalFormatting sqref="N62:O64">
    <cfRule type="cellIs" dxfId="18426" priority="313" operator="equal">
      <formula>"PMS"</formula>
    </cfRule>
    <cfRule type="containsText" dxfId="18425" priority="314" operator="containsText" text="CMS">
      <formula>NOT(ISERROR(SEARCH("CMS",N62)))</formula>
    </cfRule>
    <cfRule type="cellIs" dxfId="18424" priority="315" operator="equal">
      <formula>0</formula>
    </cfRule>
    <cfRule type="cellIs" dxfId="18423" priority="316" operator="greaterThan">
      <formula>0</formula>
    </cfRule>
  </conditionalFormatting>
  <conditionalFormatting sqref="J14">
    <cfRule type="cellIs" dxfId="18422" priority="305" operator="equal">
      <formula>"PMS"</formula>
    </cfRule>
    <cfRule type="containsText" dxfId="18421" priority="306" operator="containsText" text="CMS">
      <formula>NOT(ISERROR(SEARCH("CMS",J14)))</formula>
    </cfRule>
    <cfRule type="cellIs" dxfId="18420" priority="307" operator="equal">
      <formula>0</formula>
    </cfRule>
    <cfRule type="cellIs" dxfId="18419" priority="308" operator="greaterThan">
      <formula>0</formula>
    </cfRule>
    <cfRule type="cellIs" dxfId="18418" priority="309" operator="equal">
      <formula>"PMS"</formula>
    </cfRule>
    <cfRule type="containsText" dxfId="18417" priority="310" operator="containsText" text="CMS">
      <formula>NOT(ISERROR(SEARCH("CMS",J14)))</formula>
    </cfRule>
    <cfRule type="cellIs" dxfId="18416" priority="311" operator="equal">
      <formula>0</formula>
    </cfRule>
    <cfRule type="cellIs" dxfId="18415" priority="312" operator="greaterThan">
      <formula>0</formula>
    </cfRule>
  </conditionalFormatting>
  <conditionalFormatting sqref="J14">
    <cfRule type="cellIs" dxfId="18414" priority="301" operator="equal">
      <formula>"PMS"</formula>
    </cfRule>
    <cfRule type="containsText" dxfId="18413" priority="302" operator="containsText" text="CMS">
      <formula>NOT(ISERROR(SEARCH("CMS",J14)))</formula>
    </cfRule>
    <cfRule type="cellIs" dxfId="18412" priority="303" operator="equal">
      <formula>0</formula>
    </cfRule>
    <cfRule type="cellIs" dxfId="18411" priority="304" operator="greaterThan">
      <formula>0</formula>
    </cfRule>
  </conditionalFormatting>
  <conditionalFormatting sqref="U28">
    <cfRule type="cellIs" dxfId="18410" priority="281" operator="equal">
      <formula>"PMS"</formula>
    </cfRule>
    <cfRule type="containsText" dxfId="18409" priority="282" operator="containsText" text="CMS">
      <formula>NOT(ISERROR(SEARCH("CMS",U28)))</formula>
    </cfRule>
    <cfRule type="cellIs" dxfId="18408" priority="283" operator="equal">
      <formula>0</formula>
    </cfRule>
    <cfRule type="cellIs" dxfId="18407" priority="284" operator="greaterThan">
      <formula>0</formula>
    </cfRule>
    <cfRule type="cellIs" dxfId="18406" priority="285" operator="equal">
      <formula>"PMS"</formula>
    </cfRule>
    <cfRule type="containsText" dxfId="18405" priority="286" operator="containsText" text="CMS">
      <formula>NOT(ISERROR(SEARCH("CMS",U28)))</formula>
    </cfRule>
    <cfRule type="cellIs" dxfId="18404" priority="287" operator="equal">
      <formula>0</formula>
    </cfRule>
    <cfRule type="cellIs" dxfId="18403" priority="288" operator="greaterThan">
      <formula>0</formula>
    </cfRule>
  </conditionalFormatting>
  <conditionalFormatting sqref="U28">
    <cfRule type="cellIs" dxfId="18402" priority="277" operator="equal">
      <formula>"PMS"</formula>
    </cfRule>
    <cfRule type="containsText" dxfId="18401" priority="278" operator="containsText" text="CMS">
      <formula>NOT(ISERROR(SEARCH("CMS",U28)))</formula>
    </cfRule>
    <cfRule type="cellIs" dxfId="18400" priority="279" operator="equal">
      <formula>0</formula>
    </cfRule>
    <cfRule type="cellIs" dxfId="18399" priority="280" operator="greaterThan">
      <formula>0</formula>
    </cfRule>
  </conditionalFormatting>
  <conditionalFormatting sqref="Y27:AA27">
    <cfRule type="cellIs" dxfId="18398" priority="269" operator="equal">
      <formula>"PMS"</formula>
    </cfRule>
    <cfRule type="containsText" dxfId="18397" priority="270" operator="containsText" text="CMS">
      <formula>NOT(ISERROR(SEARCH("CMS",Y27)))</formula>
    </cfRule>
    <cfRule type="cellIs" dxfId="18396" priority="271" operator="equal">
      <formula>0</formula>
    </cfRule>
    <cfRule type="cellIs" dxfId="18395" priority="272" operator="greaterThan">
      <formula>0</formula>
    </cfRule>
    <cfRule type="cellIs" dxfId="18394" priority="273" operator="equal">
      <formula>"PMS"</formula>
    </cfRule>
    <cfRule type="containsText" dxfId="18393" priority="274" operator="containsText" text="CMS">
      <formula>NOT(ISERROR(SEARCH("CMS",Y27)))</formula>
    </cfRule>
    <cfRule type="cellIs" dxfId="18392" priority="275" operator="equal">
      <formula>0</formula>
    </cfRule>
    <cfRule type="cellIs" dxfId="18391" priority="276" operator="greaterThan">
      <formula>0</formula>
    </cfRule>
  </conditionalFormatting>
  <conditionalFormatting sqref="Y27:AA27">
    <cfRule type="cellIs" dxfId="18390" priority="265" operator="equal">
      <formula>"PMS"</formula>
    </cfRule>
    <cfRule type="containsText" dxfId="18389" priority="266" operator="containsText" text="CMS">
      <formula>NOT(ISERROR(SEARCH("CMS",Y27)))</formula>
    </cfRule>
    <cfRule type="cellIs" dxfId="18388" priority="267" operator="equal">
      <formula>0</formula>
    </cfRule>
    <cfRule type="cellIs" dxfId="18387" priority="268" operator="greaterThan">
      <formula>0</formula>
    </cfRule>
  </conditionalFormatting>
  <conditionalFormatting sqref="G62:G64">
    <cfRule type="cellIs" dxfId="18386" priority="257" operator="equal">
      <formula>"PMS"</formula>
    </cfRule>
    <cfRule type="containsText" dxfId="18385" priority="258" operator="containsText" text="CMS">
      <formula>NOT(ISERROR(SEARCH("CMS",G62)))</formula>
    </cfRule>
    <cfRule type="cellIs" dxfId="18384" priority="259" operator="equal">
      <formula>0</formula>
    </cfRule>
    <cfRule type="cellIs" dxfId="18383" priority="260" operator="greaterThan">
      <formula>0</formula>
    </cfRule>
    <cfRule type="cellIs" dxfId="18382" priority="261" operator="equal">
      <formula>"PMS"</formula>
    </cfRule>
    <cfRule type="containsText" dxfId="18381" priority="262" operator="containsText" text="CMS">
      <formula>NOT(ISERROR(SEARCH("CMS",G62)))</formula>
    </cfRule>
    <cfRule type="cellIs" dxfId="18380" priority="263" operator="equal">
      <formula>0</formula>
    </cfRule>
    <cfRule type="cellIs" dxfId="18379" priority="264" operator="greaterThan">
      <formula>0</formula>
    </cfRule>
  </conditionalFormatting>
  <conditionalFormatting sqref="G62:G64">
    <cfRule type="cellIs" dxfId="18378" priority="253" operator="equal">
      <formula>"PMS"</formula>
    </cfRule>
    <cfRule type="containsText" dxfId="18377" priority="254" operator="containsText" text="CMS">
      <formula>NOT(ISERROR(SEARCH("CMS",G62)))</formula>
    </cfRule>
    <cfRule type="cellIs" dxfId="18376" priority="255" operator="equal">
      <formula>0</formula>
    </cfRule>
    <cfRule type="cellIs" dxfId="18375" priority="256" operator="greaterThan">
      <formula>0</formula>
    </cfRule>
  </conditionalFormatting>
  <conditionalFormatting sqref="N40">
    <cfRule type="cellIs" dxfId="18374" priority="245" operator="equal">
      <formula>"PMS"</formula>
    </cfRule>
    <cfRule type="containsText" dxfId="18373" priority="246" operator="containsText" text="CMS">
      <formula>NOT(ISERROR(SEARCH("CMS",N40)))</formula>
    </cfRule>
    <cfRule type="cellIs" dxfId="18372" priority="247" operator="equal">
      <formula>0</formula>
    </cfRule>
    <cfRule type="cellIs" dxfId="18371" priority="248" operator="greaterThan">
      <formula>0</formula>
    </cfRule>
    <cfRule type="cellIs" dxfId="18370" priority="249" operator="equal">
      <formula>"PMS"</formula>
    </cfRule>
    <cfRule type="containsText" dxfId="18369" priority="250" operator="containsText" text="CMS">
      <formula>NOT(ISERROR(SEARCH("CMS",N40)))</formula>
    </cfRule>
    <cfRule type="cellIs" dxfId="18368" priority="251" operator="equal">
      <formula>0</formula>
    </cfRule>
    <cfRule type="cellIs" dxfId="18367" priority="252" operator="greaterThan">
      <formula>0</formula>
    </cfRule>
  </conditionalFormatting>
  <conditionalFormatting sqref="N40">
    <cfRule type="cellIs" dxfId="18366" priority="241" operator="equal">
      <formula>"PMS"</formula>
    </cfRule>
    <cfRule type="containsText" dxfId="18365" priority="242" operator="containsText" text="CMS">
      <formula>NOT(ISERROR(SEARCH("CMS",N40)))</formula>
    </cfRule>
    <cfRule type="cellIs" dxfId="18364" priority="243" operator="equal">
      <formula>0</formula>
    </cfRule>
    <cfRule type="cellIs" dxfId="18363" priority="244" operator="greaterThan">
      <formula>0</formula>
    </cfRule>
  </conditionalFormatting>
  <conditionalFormatting sqref="O30">
    <cfRule type="cellIs" dxfId="18362" priority="233" operator="equal">
      <formula>"PMS"</formula>
    </cfRule>
    <cfRule type="containsText" dxfId="18361" priority="234" operator="containsText" text="CMS">
      <formula>NOT(ISERROR(SEARCH("CMS",O30)))</formula>
    </cfRule>
    <cfRule type="cellIs" dxfId="18360" priority="235" operator="equal">
      <formula>0</formula>
    </cfRule>
    <cfRule type="cellIs" dxfId="18359" priority="236" operator="greaterThan">
      <formula>0</formula>
    </cfRule>
    <cfRule type="cellIs" dxfId="18358" priority="237" operator="equal">
      <formula>"PMS"</formula>
    </cfRule>
    <cfRule type="containsText" dxfId="18357" priority="238" operator="containsText" text="CMS">
      <formula>NOT(ISERROR(SEARCH("CMS",O30)))</formula>
    </cfRule>
    <cfRule type="cellIs" dxfId="18356" priority="239" operator="equal">
      <formula>0</formula>
    </cfRule>
    <cfRule type="cellIs" dxfId="18355" priority="240" operator="greaterThan">
      <formula>0</formula>
    </cfRule>
  </conditionalFormatting>
  <conditionalFormatting sqref="O30">
    <cfRule type="cellIs" dxfId="18354" priority="229" operator="equal">
      <formula>"PMS"</formula>
    </cfRule>
    <cfRule type="containsText" dxfId="18353" priority="230" operator="containsText" text="CMS">
      <formula>NOT(ISERROR(SEARCH("CMS",O30)))</formula>
    </cfRule>
    <cfRule type="cellIs" dxfId="18352" priority="231" operator="equal">
      <formula>0</formula>
    </cfRule>
    <cfRule type="cellIs" dxfId="18351" priority="232" operator="greaterThan">
      <formula>0</formula>
    </cfRule>
  </conditionalFormatting>
  <conditionalFormatting sqref="O47:O56">
    <cfRule type="cellIs" dxfId="18350" priority="221" operator="equal">
      <formula>"PMS"</formula>
    </cfRule>
    <cfRule type="containsText" dxfId="18349" priority="222" operator="containsText" text="CMS">
      <formula>NOT(ISERROR(SEARCH("CMS",O47)))</formula>
    </cfRule>
    <cfRule type="cellIs" dxfId="18348" priority="223" operator="equal">
      <formula>0</formula>
    </cfRule>
    <cfRule type="cellIs" dxfId="18347" priority="224" operator="greaterThan">
      <formula>0</formula>
    </cfRule>
    <cfRule type="cellIs" dxfId="18346" priority="225" operator="equal">
      <formula>"PMS"</formula>
    </cfRule>
    <cfRule type="containsText" dxfId="18345" priority="226" operator="containsText" text="CMS">
      <formula>NOT(ISERROR(SEARCH("CMS",O47)))</formula>
    </cfRule>
    <cfRule type="cellIs" dxfId="18344" priority="227" operator="equal">
      <formula>0</formula>
    </cfRule>
    <cfRule type="cellIs" dxfId="18343" priority="228" operator="greaterThan">
      <formula>0</formula>
    </cfRule>
  </conditionalFormatting>
  <conditionalFormatting sqref="O47:O56">
    <cfRule type="cellIs" dxfId="18342" priority="217" operator="equal">
      <formula>"PMS"</formula>
    </cfRule>
    <cfRule type="containsText" dxfId="18341" priority="218" operator="containsText" text="CMS">
      <formula>NOT(ISERROR(SEARCH("CMS",O47)))</formula>
    </cfRule>
    <cfRule type="cellIs" dxfId="18340" priority="219" operator="equal">
      <formula>0</formula>
    </cfRule>
    <cfRule type="cellIs" dxfId="18339" priority="220" operator="greaterThan">
      <formula>0</formula>
    </cfRule>
  </conditionalFormatting>
  <conditionalFormatting sqref="F13:F16 F36:F59 F62:F64">
    <cfRule type="cellIs" dxfId="18338" priority="65" operator="equal">
      <formula>"PMS"</formula>
    </cfRule>
    <cfRule type="containsText" dxfId="18337" priority="66" operator="containsText" text="CMS">
      <formula>NOT(ISERROR(SEARCH("CMS",F13)))</formula>
    </cfRule>
    <cfRule type="cellIs" dxfId="18336" priority="67" operator="equal">
      <formula>0</formula>
    </cfRule>
    <cfRule type="cellIs" dxfId="18335" priority="68" operator="greaterThan">
      <formula>0</formula>
    </cfRule>
    <cfRule type="cellIs" dxfId="18334" priority="69" operator="equal">
      <formula>"PMS"</formula>
    </cfRule>
    <cfRule type="containsText" dxfId="18333" priority="70" operator="containsText" text="CMS">
      <formula>NOT(ISERROR(SEARCH("CMS",F13)))</formula>
    </cfRule>
    <cfRule type="cellIs" dxfId="18332" priority="71" operator="equal">
      <formula>0</formula>
    </cfRule>
    <cfRule type="cellIs" dxfId="18331" priority="72" operator="greaterThan">
      <formula>0</formula>
    </cfRule>
  </conditionalFormatting>
  <conditionalFormatting sqref="F13:F16 F36:F59 F62:F64">
    <cfRule type="cellIs" dxfId="18330" priority="61" operator="equal">
      <formula>"PMS"</formula>
    </cfRule>
    <cfRule type="containsText" dxfId="18329" priority="62" operator="containsText" text="CMS">
      <formula>NOT(ISERROR(SEARCH("CMS",F13)))</formula>
    </cfRule>
    <cfRule type="cellIs" dxfId="18328" priority="63" operator="equal">
      <formula>0</formula>
    </cfRule>
    <cfRule type="cellIs" dxfId="18327" priority="64" operator="greaterThan">
      <formula>0</formula>
    </cfRule>
  </conditionalFormatting>
  <conditionalFormatting sqref="F67:F75">
    <cfRule type="cellIs" dxfId="18326" priority="53" operator="equal">
      <formula>"PMS"</formula>
    </cfRule>
    <cfRule type="containsText" dxfId="18325" priority="54" operator="containsText" text="CMS">
      <formula>NOT(ISERROR(SEARCH("CMS",F67)))</formula>
    </cfRule>
    <cfRule type="cellIs" dxfId="18324" priority="55" operator="equal">
      <formula>0</formula>
    </cfRule>
    <cfRule type="cellIs" dxfId="18323" priority="56" operator="greaterThan">
      <formula>0</formula>
    </cfRule>
    <cfRule type="cellIs" dxfId="18322" priority="57" operator="equal">
      <formula>"PMS"</formula>
    </cfRule>
    <cfRule type="containsText" dxfId="18321" priority="58" operator="containsText" text="CMS">
      <formula>NOT(ISERROR(SEARCH("CMS",F67)))</formula>
    </cfRule>
    <cfRule type="cellIs" dxfId="18320" priority="59" operator="equal">
      <formula>0</formula>
    </cfRule>
    <cfRule type="cellIs" dxfId="18319" priority="60" operator="greaterThan">
      <formula>0</formula>
    </cfRule>
  </conditionalFormatting>
  <conditionalFormatting sqref="F67:F75">
    <cfRule type="cellIs" dxfId="18318" priority="49" operator="equal">
      <formula>"PMS"</formula>
    </cfRule>
    <cfRule type="containsText" dxfId="18317" priority="50" operator="containsText" text="CMS">
      <formula>NOT(ISERROR(SEARCH("CMS",F67)))</formula>
    </cfRule>
    <cfRule type="cellIs" dxfId="18316" priority="51" operator="equal">
      <formula>0</formula>
    </cfRule>
    <cfRule type="cellIs" dxfId="18315" priority="52" operator="greaterThan">
      <formula>0</formula>
    </cfRule>
  </conditionalFormatting>
  <conditionalFormatting sqref="F82">
    <cfRule type="cellIs" dxfId="18314" priority="41" operator="equal">
      <formula>"PMS"</formula>
    </cfRule>
    <cfRule type="containsText" dxfId="18313" priority="42" operator="containsText" text="CMS">
      <formula>NOT(ISERROR(SEARCH("CMS",F82)))</formula>
    </cfRule>
    <cfRule type="cellIs" dxfId="18312" priority="43" operator="equal">
      <formula>0</formula>
    </cfRule>
    <cfRule type="cellIs" dxfId="18311" priority="44" operator="greaterThan">
      <formula>0</formula>
    </cfRule>
    <cfRule type="cellIs" dxfId="18310" priority="45" operator="equal">
      <formula>"PMS"</formula>
    </cfRule>
    <cfRule type="containsText" dxfId="18309" priority="46" operator="containsText" text="CMS">
      <formula>NOT(ISERROR(SEARCH("CMS",F82)))</formula>
    </cfRule>
    <cfRule type="cellIs" dxfId="18308" priority="47" operator="equal">
      <formula>0</formula>
    </cfRule>
    <cfRule type="cellIs" dxfId="18307" priority="48" operator="greaterThan">
      <formula>0</formula>
    </cfRule>
  </conditionalFormatting>
  <conditionalFormatting sqref="F82">
    <cfRule type="cellIs" dxfId="18306" priority="37" operator="equal">
      <formula>"PMS"</formula>
    </cfRule>
    <cfRule type="containsText" dxfId="18305" priority="38" operator="containsText" text="CMS">
      <formula>NOT(ISERROR(SEARCH("CMS",F82)))</formula>
    </cfRule>
    <cfRule type="cellIs" dxfId="18304" priority="39" operator="equal">
      <formula>0</formula>
    </cfRule>
    <cfRule type="cellIs" dxfId="18303" priority="40" operator="greaterThan">
      <formula>0</formula>
    </cfRule>
  </conditionalFormatting>
  <conditionalFormatting sqref="F33 F28:F30 F24 F19:F21 F78:F79">
    <cfRule type="cellIs" dxfId="18302" priority="29" operator="equal">
      <formula>"PMS"</formula>
    </cfRule>
    <cfRule type="containsText" dxfId="18301" priority="30" operator="containsText" text="CMS">
      <formula>NOT(ISERROR(SEARCH("CMS",F19)))</formula>
    </cfRule>
    <cfRule type="cellIs" dxfId="18300" priority="31" operator="equal">
      <formula>0</formula>
    </cfRule>
    <cfRule type="cellIs" dxfId="18299" priority="32" operator="greaterThan">
      <formula>0</formula>
    </cfRule>
    <cfRule type="cellIs" dxfId="18298" priority="33" operator="equal">
      <formula>"PMS"</formula>
    </cfRule>
    <cfRule type="containsText" dxfId="18297" priority="34" operator="containsText" text="CMS">
      <formula>NOT(ISERROR(SEARCH("CMS",F19)))</formula>
    </cfRule>
    <cfRule type="cellIs" dxfId="18296" priority="35" operator="equal">
      <formula>0</formula>
    </cfRule>
    <cfRule type="cellIs" dxfId="18295" priority="36" operator="greaterThan">
      <formula>0</formula>
    </cfRule>
  </conditionalFormatting>
  <conditionalFormatting sqref="F33 F28:F30 F24 F19:F21 F78:F79">
    <cfRule type="cellIs" dxfId="18294" priority="25" operator="equal">
      <formula>"PMS"</formula>
    </cfRule>
    <cfRule type="containsText" dxfId="18293" priority="26" operator="containsText" text="CMS">
      <formula>NOT(ISERROR(SEARCH("CMS",F19)))</formula>
    </cfRule>
    <cfRule type="cellIs" dxfId="18292" priority="27" operator="equal">
      <formula>0</formula>
    </cfRule>
    <cfRule type="cellIs" dxfId="18291" priority="28" operator="greaterThan">
      <formula>0</formula>
    </cfRule>
  </conditionalFormatting>
  <conditionalFormatting sqref="F27">
    <cfRule type="cellIs" dxfId="18290" priority="17" operator="equal">
      <formula>"PMS"</formula>
    </cfRule>
    <cfRule type="containsText" dxfId="18289" priority="18" operator="containsText" text="CMS">
      <formula>NOT(ISERROR(SEARCH("CMS",F27)))</formula>
    </cfRule>
    <cfRule type="cellIs" dxfId="18288" priority="19" operator="equal">
      <formula>0</formula>
    </cfRule>
    <cfRule type="cellIs" dxfId="18287" priority="20" operator="greaterThan">
      <formula>0</formula>
    </cfRule>
    <cfRule type="cellIs" dxfId="18286" priority="21" operator="equal">
      <formula>"PMS"</formula>
    </cfRule>
    <cfRule type="containsText" dxfId="18285" priority="22" operator="containsText" text="CMS">
      <formula>NOT(ISERROR(SEARCH("CMS",F27)))</formula>
    </cfRule>
    <cfRule type="cellIs" dxfId="18284" priority="23" operator="equal">
      <formula>0</formula>
    </cfRule>
    <cfRule type="cellIs" dxfId="18283" priority="24" operator="greaterThan">
      <formula>0</formula>
    </cfRule>
  </conditionalFormatting>
  <conditionalFormatting sqref="F27">
    <cfRule type="cellIs" dxfId="18282" priority="13" operator="equal">
      <formula>"PMS"</formula>
    </cfRule>
    <cfRule type="containsText" dxfId="18281" priority="14" operator="containsText" text="CMS">
      <formula>NOT(ISERROR(SEARCH("CMS",F27)))</formula>
    </cfRule>
    <cfRule type="cellIs" dxfId="18280" priority="15" operator="equal">
      <formula>0</formula>
    </cfRule>
    <cfRule type="cellIs" dxfId="18279" priority="16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81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F7646-F48F-4009-864E-3CD0BB9EC85C}">
  <sheetPr codeName="Sheet224"/>
  <dimension ref="A2:DT141"/>
  <sheetViews>
    <sheetView zoomScale="70" zoomScaleNormal="70" workbookViewId="0">
      <pane xSplit="5" ySplit="11" topLeftCell="P12" activePane="bottomRight" state="frozen"/>
      <selection pane="bottomRight" activeCell="AC14" sqref="AC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413.49999999999983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6.5</v>
      </c>
      <c r="H14" s="359">
        <v>6.7</v>
      </c>
      <c r="I14" s="357">
        <v>6.2</v>
      </c>
      <c r="J14" s="357">
        <v>0</v>
      </c>
      <c r="K14" s="359">
        <v>0</v>
      </c>
      <c r="L14" s="359">
        <v>6.7</v>
      </c>
      <c r="M14" s="357"/>
      <c r="N14" s="359"/>
      <c r="O14" s="357">
        <v>6.9</v>
      </c>
      <c r="P14" s="357">
        <v>6.6</v>
      </c>
      <c r="Q14" s="357">
        <v>6.5</v>
      </c>
      <c r="R14" s="357">
        <v>6.4</v>
      </c>
      <c r="S14" s="462">
        <v>6.7</v>
      </c>
      <c r="T14" s="462">
        <v>6.7</v>
      </c>
      <c r="U14" s="357">
        <v>6.4</v>
      </c>
      <c r="V14" s="357">
        <v>6.5</v>
      </c>
      <c r="W14" s="357">
        <v>6.2</v>
      </c>
      <c r="X14" s="357">
        <v>6.5</v>
      </c>
      <c r="Y14" s="357">
        <v>6.7</v>
      </c>
      <c r="Z14" s="462">
        <v>6.7</v>
      </c>
      <c r="AA14" s="462">
        <v>6.5</v>
      </c>
      <c r="AB14" s="357">
        <v>6.4</v>
      </c>
      <c r="AC14" s="357">
        <v>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 t="s">
        <v>9</v>
      </c>
      <c r="H15" s="357" t="s">
        <v>9</v>
      </c>
      <c r="I15" s="357">
        <v>0.5</v>
      </c>
      <c r="J15" s="357">
        <v>6.7</v>
      </c>
      <c r="K15" s="359">
        <v>6.8</v>
      </c>
      <c r="L15" s="359">
        <v>4</v>
      </c>
      <c r="M15" s="359">
        <v>6.7</v>
      </c>
      <c r="N15" s="359">
        <v>7</v>
      </c>
      <c r="O15" s="357">
        <v>6.9</v>
      </c>
      <c r="P15" s="357">
        <v>6.6</v>
      </c>
      <c r="Q15" s="357">
        <v>6.5</v>
      </c>
      <c r="R15" s="357">
        <v>6.4</v>
      </c>
      <c r="S15" s="462">
        <v>6.7</v>
      </c>
      <c r="T15" s="462">
        <v>6.7</v>
      </c>
      <c r="U15" s="357">
        <v>6.4</v>
      </c>
      <c r="V15" s="462">
        <v>6.5</v>
      </c>
      <c r="W15" s="357">
        <v>6.6</v>
      </c>
      <c r="X15" s="357">
        <v>6.5</v>
      </c>
      <c r="Y15" s="357">
        <v>6.7</v>
      </c>
      <c r="Z15" s="462">
        <v>6.7</v>
      </c>
      <c r="AA15" s="462">
        <v>6.5</v>
      </c>
      <c r="AB15" s="462">
        <v>6.4</v>
      </c>
      <c r="AC15" s="462">
        <v>6.6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7" t="s">
        <v>9</v>
      </c>
      <c r="G16" s="357">
        <v>6.5</v>
      </c>
      <c r="H16" s="357">
        <v>6.7</v>
      </c>
      <c r="I16" s="357">
        <v>6.2</v>
      </c>
      <c r="J16" s="357">
        <v>6.7</v>
      </c>
      <c r="K16" s="359">
        <v>6.8</v>
      </c>
      <c r="L16" s="359">
        <v>4</v>
      </c>
      <c r="M16" s="359">
        <v>6.7</v>
      </c>
      <c r="N16" s="359">
        <v>7</v>
      </c>
      <c r="O16" s="357">
        <v>6.9</v>
      </c>
      <c r="P16" s="357">
        <v>6.6</v>
      </c>
      <c r="Q16" s="357">
        <v>6.5</v>
      </c>
      <c r="R16" s="357">
        <v>6.4</v>
      </c>
      <c r="S16" s="462">
        <v>6.7</v>
      </c>
      <c r="T16" s="462">
        <v>6.7</v>
      </c>
      <c r="U16" s="357">
        <v>6.4</v>
      </c>
      <c r="V16" s="462">
        <v>6.5</v>
      </c>
      <c r="W16" s="357">
        <v>6.4</v>
      </c>
      <c r="X16" s="357">
        <v>6.5</v>
      </c>
      <c r="Y16" s="357">
        <v>6.7</v>
      </c>
      <c r="Z16" s="462">
        <v>6.7</v>
      </c>
      <c r="AA16" s="462">
        <v>6.5</v>
      </c>
      <c r="AB16" s="462">
        <v>6.4</v>
      </c>
      <c r="AC16" s="357">
        <v>6.6</v>
      </c>
      <c r="AD16" s="41"/>
      <c r="AE16" s="41"/>
      <c r="AF16" s="11">
        <f>COUNTIF(F16:AC16,$AJ$8)</f>
        <v>1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</v>
      </c>
      <c r="H17" s="19">
        <f t="shared" si="1"/>
        <v>13.4</v>
      </c>
      <c r="I17" s="19">
        <f t="shared" si="1"/>
        <v>12.9</v>
      </c>
      <c r="J17" s="19">
        <f t="shared" si="1"/>
        <v>13.4</v>
      </c>
      <c r="K17" s="19">
        <f t="shared" si="1"/>
        <v>13.6</v>
      </c>
      <c r="L17" s="19">
        <f t="shared" si="1"/>
        <v>14.7</v>
      </c>
      <c r="M17" s="19">
        <f t="shared" si="1"/>
        <v>13.4</v>
      </c>
      <c r="N17" s="19">
        <f t="shared" si="1"/>
        <v>14</v>
      </c>
      <c r="O17" s="19">
        <f t="shared" si="1"/>
        <v>20.700000000000003</v>
      </c>
      <c r="P17" s="19">
        <f t="shared" si="1"/>
        <v>19.799999999999997</v>
      </c>
      <c r="Q17" s="19">
        <f t="shared" si="1"/>
        <v>19.5</v>
      </c>
      <c r="R17" s="19">
        <f t="shared" si="1"/>
        <v>19.200000000000003</v>
      </c>
      <c r="S17" s="463">
        <f t="shared" si="1"/>
        <v>20.100000000000001</v>
      </c>
      <c r="T17" s="463">
        <f t="shared" si="1"/>
        <v>20.100000000000001</v>
      </c>
      <c r="U17" s="19">
        <f t="shared" si="1"/>
        <v>19.200000000000003</v>
      </c>
      <c r="V17" s="19">
        <f t="shared" si="1"/>
        <v>19.5</v>
      </c>
      <c r="W17" s="19">
        <f t="shared" si="1"/>
        <v>19.200000000000003</v>
      </c>
      <c r="X17" s="19">
        <f t="shared" si="1"/>
        <v>19.5</v>
      </c>
      <c r="Y17" s="19">
        <f t="shared" si="1"/>
        <v>20.100000000000001</v>
      </c>
      <c r="Z17" s="463">
        <f t="shared" si="1"/>
        <v>20.100000000000001</v>
      </c>
      <c r="AA17" s="463">
        <f t="shared" si="1"/>
        <v>19.5</v>
      </c>
      <c r="AB17" s="463">
        <f>SUM(AB13:AB16)</f>
        <v>19.200000000000003</v>
      </c>
      <c r="AC17" s="19">
        <f t="shared" si="1"/>
        <v>16.2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53.999999999999993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 t="s">
        <v>9</v>
      </c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18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/>
      <c r="Q20" s="357"/>
      <c r="R20" s="357"/>
      <c r="S20" s="357"/>
      <c r="T20" s="357">
        <v>0.5</v>
      </c>
      <c r="U20" s="357" t="s">
        <v>9</v>
      </c>
      <c r="V20" s="357" t="s">
        <v>9</v>
      </c>
      <c r="W20" s="357" t="s">
        <v>9</v>
      </c>
      <c r="X20" s="357">
        <v>1.5</v>
      </c>
      <c r="Y20" s="357">
        <v>2.5</v>
      </c>
      <c r="Z20" s="357">
        <v>2.5</v>
      </c>
      <c r="AA20" s="357">
        <v>2.5</v>
      </c>
      <c r="AB20" s="357" t="s">
        <v>9</v>
      </c>
      <c r="AC20" s="357" t="s">
        <v>9</v>
      </c>
      <c r="AD20" s="41"/>
      <c r="AE20" s="41"/>
      <c r="AF20" s="11">
        <f>COUNTIF(F20:AC20,$AJ$8)</f>
        <v>5</v>
      </c>
      <c r="AG20" s="11">
        <f>COUNTIF(G20:AD20,$AJ$7)</f>
        <v>0</v>
      </c>
      <c r="AH20" s="11">
        <f>COUNT(F20:AC20)</f>
        <v>5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/>
      <c r="M21" s="359"/>
      <c r="N21" s="357"/>
      <c r="O21" s="357">
        <v>3.8</v>
      </c>
      <c r="P21" s="357">
        <v>2</v>
      </c>
      <c r="Q21" s="357">
        <v>3.8</v>
      </c>
      <c r="R21" s="357">
        <v>3.8</v>
      </c>
      <c r="S21" s="462">
        <v>3.8</v>
      </c>
      <c r="T21" s="462">
        <v>3.3</v>
      </c>
      <c r="U21" s="357">
        <v>3</v>
      </c>
      <c r="V21" s="357">
        <v>3.4</v>
      </c>
      <c r="W21" s="357">
        <v>3</v>
      </c>
      <c r="X21" s="357">
        <v>1.5</v>
      </c>
      <c r="Y21" s="357">
        <v>1.3</v>
      </c>
      <c r="Z21" s="357">
        <v>0.5</v>
      </c>
      <c r="AA21" s="357">
        <v>1.5</v>
      </c>
      <c r="AB21" s="357">
        <v>3</v>
      </c>
      <c r="AC21" s="357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2</v>
      </c>
      <c r="Q22" s="19">
        <f t="shared" si="3"/>
        <v>3.8</v>
      </c>
      <c r="R22" s="19">
        <f t="shared" si="3"/>
        <v>3.8</v>
      </c>
      <c r="S22" s="463">
        <f>SUM(S19:S21)</f>
        <v>3.8</v>
      </c>
      <c r="T22" s="463">
        <f t="shared" ref="T22" si="4">SUM(T19:T21)</f>
        <v>3.8</v>
      </c>
      <c r="U22" s="19">
        <f t="shared" si="3"/>
        <v>3</v>
      </c>
      <c r="V22" s="19">
        <f t="shared" si="3"/>
        <v>3.4</v>
      </c>
      <c r="W22" s="19">
        <f t="shared" si="3"/>
        <v>3</v>
      </c>
      <c r="X22" s="19">
        <f t="shared" si="3"/>
        <v>3</v>
      </c>
      <c r="Y22" s="19">
        <f t="shared" si="3"/>
        <v>3.8</v>
      </c>
      <c r="Z22" s="463">
        <f>SUM(Z19:Z21)</f>
        <v>3</v>
      </c>
      <c r="AA22" s="463">
        <f t="shared" si="3"/>
        <v>4</v>
      </c>
      <c r="AB22" s="463">
        <f>SUM(AB19:AB21)</f>
        <v>3</v>
      </c>
      <c r="AC22" s="19">
        <f t="shared" si="3"/>
        <v>3.8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39.099999999999994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7" t="s">
        <v>9</v>
      </c>
      <c r="G24" s="357" t="s">
        <v>9</v>
      </c>
      <c r="H24" s="357" t="s">
        <v>9</v>
      </c>
      <c r="I24" s="357" t="s">
        <v>9</v>
      </c>
      <c r="J24" s="357" t="s">
        <v>9</v>
      </c>
      <c r="K24" s="357" t="s">
        <v>9</v>
      </c>
      <c r="L24" s="359" t="s">
        <v>9</v>
      </c>
      <c r="M24" s="359" t="s">
        <v>9</v>
      </c>
      <c r="N24" s="359" t="s">
        <v>9</v>
      </c>
      <c r="O24" s="357">
        <v>0.5</v>
      </c>
      <c r="P24" s="359">
        <v>3</v>
      </c>
      <c r="Q24" s="357">
        <v>3.8</v>
      </c>
      <c r="R24" s="357">
        <v>3.8</v>
      </c>
      <c r="S24" s="462">
        <v>3.8</v>
      </c>
      <c r="T24" s="462">
        <v>3.8</v>
      </c>
      <c r="U24" s="357">
        <v>3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0.5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3">
        <f t="shared" si="6"/>
        <v>3</v>
      </c>
      <c r="AA25" s="463">
        <f t="shared" si="6"/>
        <v>0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64.499999999999986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0</v>
      </c>
      <c r="G27" s="357">
        <v>0</v>
      </c>
      <c r="H27" s="357">
        <v>0</v>
      </c>
      <c r="I27" s="357">
        <v>0</v>
      </c>
      <c r="J27" s="357">
        <v>0</v>
      </c>
      <c r="K27" s="357">
        <v>0</v>
      </c>
      <c r="L27" s="359">
        <v>3.2</v>
      </c>
      <c r="M27" s="357">
        <v>2</v>
      </c>
      <c r="N27" s="357">
        <v>3.8</v>
      </c>
      <c r="O27" s="357">
        <v>3.8</v>
      </c>
      <c r="P27" s="357">
        <v>3.8</v>
      </c>
      <c r="Q27" s="357">
        <v>3.8</v>
      </c>
      <c r="R27" s="357">
        <v>3.8</v>
      </c>
      <c r="S27" s="462">
        <v>3.8</v>
      </c>
      <c r="T27" s="462">
        <v>3.8</v>
      </c>
      <c r="U27" s="357">
        <v>3.8</v>
      </c>
      <c r="V27" s="359">
        <v>3.8</v>
      </c>
      <c r="W27" s="357">
        <v>3.8</v>
      </c>
      <c r="X27" s="357">
        <v>2.5</v>
      </c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1.5</v>
      </c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2"/>
      <c r="T28" s="359"/>
      <c r="U28" s="359"/>
      <c r="V28" s="359"/>
      <c r="W28" s="357"/>
      <c r="X28" s="357"/>
      <c r="Y28" s="357">
        <v>3.8</v>
      </c>
      <c r="Z28" s="357">
        <v>3</v>
      </c>
      <c r="AA28" s="357">
        <v>3.3</v>
      </c>
      <c r="AB28" s="357">
        <v>1.5</v>
      </c>
      <c r="AC28" s="357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7</v>
      </c>
      <c r="AI28" s="159">
        <f>SUM(F29:AC30)</f>
        <v>173.31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3</v>
      </c>
      <c r="Q29" s="357">
        <v>3</v>
      </c>
      <c r="R29" s="357">
        <v>3</v>
      </c>
      <c r="S29" s="462">
        <v>3.4</v>
      </c>
      <c r="T29" s="359">
        <v>3.4</v>
      </c>
      <c r="U29" s="357">
        <v>3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5.87</v>
      </c>
      <c r="G30" s="359">
        <v>6.84</v>
      </c>
      <c r="H30" s="357">
        <v>6.43</v>
      </c>
      <c r="I30" s="357">
        <v>5.82</v>
      </c>
      <c r="J30" s="357">
        <v>5.25</v>
      </c>
      <c r="K30" s="357">
        <v>6.9</v>
      </c>
      <c r="L30" s="359">
        <v>7</v>
      </c>
      <c r="M30" s="359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6</v>
      </c>
      <c r="Y30" s="359">
        <v>7</v>
      </c>
      <c r="Z30" s="357">
        <v>6.5</v>
      </c>
      <c r="AA30" s="357">
        <v>7</v>
      </c>
      <c r="AB30" s="359">
        <v>6</v>
      </c>
      <c r="AC30" s="359">
        <v>0.9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7.37</v>
      </c>
      <c r="G31" s="19">
        <f>SUM(G27:G30)</f>
        <v>8.34</v>
      </c>
      <c r="H31" s="19">
        <f t="shared" ref="H31:X31" si="8">SUM(H27:H30)</f>
        <v>6.43</v>
      </c>
      <c r="I31" s="19">
        <f t="shared" si="8"/>
        <v>5.82</v>
      </c>
      <c r="J31" s="19">
        <f t="shared" si="8"/>
        <v>5.25</v>
      </c>
      <c r="K31" s="19">
        <f t="shared" si="8"/>
        <v>6.9</v>
      </c>
      <c r="L31" s="19">
        <f t="shared" si="8"/>
        <v>10.199999999999999</v>
      </c>
      <c r="M31" s="19">
        <f t="shared" si="8"/>
        <v>9</v>
      </c>
      <c r="N31" s="19">
        <f t="shared" si="8"/>
        <v>10.8</v>
      </c>
      <c r="O31" s="19">
        <f t="shared" si="8"/>
        <v>10.8</v>
      </c>
      <c r="P31" s="19">
        <f t="shared" si="8"/>
        <v>13.8</v>
      </c>
      <c r="Q31" s="19">
        <f t="shared" si="8"/>
        <v>13.8</v>
      </c>
      <c r="R31" s="19">
        <f t="shared" si="8"/>
        <v>13.8</v>
      </c>
      <c r="S31" s="463">
        <f t="shared" si="8"/>
        <v>14.2</v>
      </c>
      <c r="T31" s="463">
        <f t="shared" si="8"/>
        <v>14.2</v>
      </c>
      <c r="U31" s="19">
        <f t="shared" si="8"/>
        <v>13.8</v>
      </c>
      <c r="V31" s="19">
        <f t="shared" si="8"/>
        <v>10.8</v>
      </c>
      <c r="W31" s="19">
        <f t="shared" si="8"/>
        <v>10.8</v>
      </c>
      <c r="X31" s="19">
        <f t="shared" si="8"/>
        <v>8.5</v>
      </c>
      <c r="Y31" s="19">
        <f>SUM(Y27:Y30)</f>
        <v>10.8</v>
      </c>
      <c r="Z31" s="19">
        <f t="shared" ref="Z31:AC31" si="9">SUM(Z27:Z30)</f>
        <v>9.5</v>
      </c>
      <c r="AA31" s="19">
        <f t="shared" si="9"/>
        <v>10.3</v>
      </c>
      <c r="AB31" s="19">
        <f t="shared" si="9"/>
        <v>7.5</v>
      </c>
      <c r="AC31" s="19">
        <f t="shared" si="9"/>
        <v>5.1000000000000005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341.48000000000008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14.12</v>
      </c>
      <c r="G33" s="357">
        <v>14.16</v>
      </c>
      <c r="H33" s="357">
        <v>14.13</v>
      </c>
      <c r="I33" s="359">
        <v>14.13</v>
      </c>
      <c r="J33" s="357">
        <v>14.16</v>
      </c>
      <c r="K33" s="357">
        <v>14.13</v>
      </c>
      <c r="L33" s="359">
        <v>14.16</v>
      </c>
      <c r="M33" s="357">
        <v>14.16</v>
      </c>
      <c r="N33" s="357">
        <v>14.14</v>
      </c>
      <c r="O33" s="357">
        <v>14.27</v>
      </c>
      <c r="P33" s="357">
        <v>14.29</v>
      </c>
      <c r="Q33" s="359">
        <v>14.31</v>
      </c>
      <c r="R33" s="357">
        <v>14.28</v>
      </c>
      <c r="S33" s="462">
        <v>14.31</v>
      </c>
      <c r="T33" s="462">
        <v>14.29</v>
      </c>
      <c r="U33" s="357">
        <v>14.27</v>
      </c>
      <c r="V33" s="359">
        <v>14.3</v>
      </c>
      <c r="W33" s="357">
        <v>14.33</v>
      </c>
      <c r="X33" s="357">
        <v>14.27</v>
      </c>
      <c r="Y33" s="357">
        <v>14.29</v>
      </c>
      <c r="Z33" s="357">
        <v>14.32</v>
      </c>
      <c r="AA33" s="357">
        <v>14.23</v>
      </c>
      <c r="AB33" s="357">
        <v>14.21</v>
      </c>
      <c r="AC33" s="357">
        <v>14.22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14.12</v>
      </c>
      <c r="G34" s="19">
        <f t="shared" ref="G34:AC34" si="11">SUM(G33)</f>
        <v>14.16</v>
      </c>
      <c r="H34" s="19">
        <f t="shared" si="11"/>
        <v>14.13</v>
      </c>
      <c r="I34" s="19">
        <f t="shared" si="11"/>
        <v>14.13</v>
      </c>
      <c r="J34" s="19">
        <f t="shared" si="11"/>
        <v>14.16</v>
      </c>
      <c r="K34" s="19">
        <f t="shared" si="11"/>
        <v>14.13</v>
      </c>
      <c r="L34" s="19">
        <f t="shared" si="11"/>
        <v>14.16</v>
      </c>
      <c r="M34" s="19">
        <f t="shared" si="11"/>
        <v>14.16</v>
      </c>
      <c r="N34" s="19">
        <f t="shared" si="11"/>
        <v>14.14</v>
      </c>
      <c r="O34" s="19">
        <f t="shared" si="11"/>
        <v>14.27</v>
      </c>
      <c r="P34" s="19">
        <f t="shared" si="11"/>
        <v>14.29</v>
      </c>
      <c r="Q34" s="19">
        <f t="shared" si="11"/>
        <v>14.31</v>
      </c>
      <c r="R34" s="19">
        <f t="shared" si="11"/>
        <v>14.28</v>
      </c>
      <c r="S34" s="19">
        <f t="shared" si="11"/>
        <v>14.31</v>
      </c>
      <c r="T34" s="463">
        <f t="shared" si="11"/>
        <v>14.29</v>
      </c>
      <c r="U34" s="19">
        <f t="shared" si="11"/>
        <v>14.27</v>
      </c>
      <c r="V34" s="19">
        <f t="shared" si="11"/>
        <v>14.3</v>
      </c>
      <c r="W34" s="19">
        <f t="shared" si="11"/>
        <v>14.33</v>
      </c>
      <c r="X34" s="19">
        <f t="shared" si="11"/>
        <v>14.27</v>
      </c>
      <c r="Y34" s="19">
        <f t="shared" si="11"/>
        <v>14.29</v>
      </c>
      <c r="Z34" s="19">
        <f t="shared" si="11"/>
        <v>14.32</v>
      </c>
      <c r="AA34" s="19">
        <f t="shared" si="11"/>
        <v>14.23</v>
      </c>
      <c r="AB34" s="19">
        <f t="shared" si="11"/>
        <v>14.21</v>
      </c>
      <c r="AC34" s="19">
        <f t="shared" si="11"/>
        <v>14.22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12.46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>
        <f>3.9/5</f>
        <v>0.78</v>
      </c>
      <c r="S40" s="462">
        <v>0</v>
      </c>
      <c r="T40" s="462">
        <v>0</v>
      </c>
      <c r="U40" s="357">
        <v>0</v>
      </c>
      <c r="V40" s="357">
        <v>0</v>
      </c>
      <c r="W40" s="357">
        <v>0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f>3.16/4</f>
        <v>0.79</v>
      </c>
      <c r="O47" s="357"/>
      <c r="P47" s="359"/>
      <c r="Q47" s="357">
        <f>3.1/4</f>
        <v>0.77500000000000002</v>
      </c>
      <c r="R47" s="357">
        <f>3.9/5</f>
        <v>0.78</v>
      </c>
      <c r="S47" s="462">
        <v>0</v>
      </c>
      <c r="T47" s="462">
        <v>0</v>
      </c>
      <c r="U47" s="462">
        <v>0</v>
      </c>
      <c r="V47" s="357">
        <v>0</v>
      </c>
      <c r="W47" s="357">
        <v>0</v>
      </c>
      <c r="X47" s="357">
        <v>0</v>
      </c>
      <c r="Y47" s="357">
        <v>0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9">
        <f>1.5/2</f>
        <v>0.75</v>
      </c>
      <c r="Q48" s="357">
        <v>0</v>
      </c>
      <c r="R48" s="357" t="s">
        <v>9</v>
      </c>
      <c r="S48" s="462" t="s">
        <v>9</v>
      </c>
      <c r="T48" s="357" t="s">
        <v>9</v>
      </c>
      <c r="U48" s="462" t="s">
        <v>9</v>
      </c>
      <c r="V48" s="462" t="s">
        <v>9</v>
      </c>
      <c r="W48" s="357" t="s">
        <v>9</v>
      </c>
      <c r="X48" s="357" t="s">
        <v>9</v>
      </c>
      <c r="Y48" s="357" t="s">
        <v>9</v>
      </c>
      <c r="Z48" s="357" t="s">
        <v>9</v>
      </c>
      <c r="AA48" s="357" t="s">
        <v>9</v>
      </c>
      <c r="AB48" s="357" t="s">
        <v>9</v>
      </c>
      <c r="AC48" s="357" t="s">
        <v>9</v>
      </c>
      <c r="AD48" s="41"/>
      <c r="AE48" s="41"/>
      <c r="AF48" s="11">
        <f t="shared" si="12"/>
        <v>12</v>
      </c>
      <c r="AG48" s="11">
        <f t="shared" si="13"/>
        <v>0</v>
      </c>
      <c r="AH48" s="11">
        <f t="shared" si="14"/>
        <v>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>
        <v>0.79</v>
      </c>
      <c r="O50" s="357"/>
      <c r="P50" s="359">
        <v>0</v>
      </c>
      <c r="Q50" s="357">
        <f>3.1/4</f>
        <v>0.77500000000000002</v>
      </c>
      <c r="R50" s="357">
        <f>3.9/5</f>
        <v>0.78</v>
      </c>
      <c r="S50" s="462">
        <v>0</v>
      </c>
      <c r="T50" s="357">
        <v>0</v>
      </c>
      <c r="U50" s="462">
        <v>0</v>
      </c>
      <c r="V50" s="462">
        <v>0</v>
      </c>
      <c r="W50" s="357">
        <v>0</v>
      </c>
      <c r="X50" s="357">
        <v>0</v>
      </c>
      <c r="Y50" s="357">
        <v>0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>
        <f t="shared" ref="N51:N56" si="15">3.16/4</f>
        <v>0.79</v>
      </c>
      <c r="O51" s="357"/>
      <c r="P51" s="359">
        <f>1.5/2</f>
        <v>0.75</v>
      </c>
      <c r="Q51" s="357">
        <f>3.1/4</f>
        <v>0.77500000000000002</v>
      </c>
      <c r="R51" s="357">
        <f>3.9/5</f>
        <v>0.78</v>
      </c>
      <c r="S51" s="462">
        <v>0</v>
      </c>
      <c r="T51" s="357">
        <v>0.8</v>
      </c>
      <c r="U51" s="357">
        <v>0</v>
      </c>
      <c r="V51" s="357">
        <v>0</v>
      </c>
      <c r="W51" s="357">
        <v>0</v>
      </c>
      <c r="X51" s="357">
        <v>0</v>
      </c>
      <c r="Y51" s="357">
        <v>0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15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>
        <f t="shared" si="15"/>
        <v>0.79</v>
      </c>
      <c r="O56" s="357"/>
      <c r="P56" s="359">
        <v>0</v>
      </c>
      <c r="Q56" s="357">
        <f>3.1/4</f>
        <v>0.77500000000000002</v>
      </c>
      <c r="R56" s="357">
        <f>3.9/5</f>
        <v>0.78</v>
      </c>
      <c r="S56" s="462">
        <v>0</v>
      </c>
      <c r="T56" s="357">
        <v>0</v>
      </c>
      <c r="U56" s="357">
        <v>0</v>
      </c>
      <c r="V56" s="357">
        <v>0</v>
      </c>
      <c r="W56" s="357">
        <v>0</v>
      </c>
      <c r="X56" s="357">
        <v>0</v>
      </c>
      <c r="Y56" s="357">
        <v>0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15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6">SUM(F36:F59)</f>
        <v>0</v>
      </c>
      <c r="G60" s="19">
        <f t="shared" ref="G60:S60" si="17">SUM(G36:G59)</f>
        <v>0</v>
      </c>
      <c r="H60" s="19">
        <f t="shared" si="17"/>
        <v>0</v>
      </c>
      <c r="I60" s="19">
        <f t="shared" si="17"/>
        <v>0</v>
      </c>
      <c r="J60" s="19">
        <f t="shared" si="17"/>
        <v>0</v>
      </c>
      <c r="K60" s="19">
        <f t="shared" si="17"/>
        <v>0</v>
      </c>
      <c r="L60" s="19">
        <f>SUM(L36:L59)</f>
        <v>0</v>
      </c>
      <c r="M60" s="19">
        <f t="shared" si="17"/>
        <v>0</v>
      </c>
      <c r="N60" s="19">
        <f t="shared" si="17"/>
        <v>3.16</v>
      </c>
      <c r="O60" s="19">
        <f>SUM(O36:O59)</f>
        <v>0</v>
      </c>
      <c r="P60" s="19">
        <f t="shared" si="17"/>
        <v>1.5</v>
      </c>
      <c r="Q60" s="19">
        <f t="shared" si="17"/>
        <v>3.1</v>
      </c>
      <c r="R60" s="19">
        <f t="shared" si="17"/>
        <v>3.9000000000000004</v>
      </c>
      <c r="S60" s="463">
        <f t="shared" si="17"/>
        <v>0</v>
      </c>
      <c r="T60" s="463">
        <f>SUM(T36:T59)</f>
        <v>0.8</v>
      </c>
      <c r="U60" s="19">
        <f t="shared" ref="U60:AC60" si="18">SUM(U36:U59)</f>
        <v>0</v>
      </c>
      <c r="V60" s="19">
        <f>SUM(V36:V59)</f>
        <v>0</v>
      </c>
      <c r="W60" s="19">
        <f t="shared" si="18"/>
        <v>0</v>
      </c>
      <c r="X60" s="19">
        <f t="shared" si="18"/>
        <v>0</v>
      </c>
      <c r="Y60" s="19">
        <f t="shared" si="18"/>
        <v>0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28.550000000000008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0.48</v>
      </c>
      <c r="G62" s="359">
        <v>0.47</v>
      </c>
      <c r="H62" s="357">
        <v>0.42</v>
      </c>
      <c r="I62" s="359">
        <v>0.41</v>
      </c>
      <c r="J62" s="357">
        <v>0.4</v>
      </c>
      <c r="K62" s="357">
        <v>0.44500000000000001</v>
      </c>
      <c r="L62" s="357">
        <f>1.14/2</f>
        <v>0.56999999999999995</v>
      </c>
      <c r="M62" s="357">
        <f>1.03/2</f>
        <v>0.51500000000000001</v>
      </c>
      <c r="N62" s="357">
        <f>1.11/2</f>
        <v>0.55500000000000005</v>
      </c>
      <c r="O62" s="357">
        <f>1.38/2</f>
        <v>0.69</v>
      </c>
      <c r="P62" s="357">
        <f>1.39/2</f>
        <v>0.69499999999999995</v>
      </c>
      <c r="Q62" s="357">
        <v>0</v>
      </c>
      <c r="R62" s="357">
        <v>0</v>
      </c>
      <c r="S62" s="462">
        <v>0</v>
      </c>
      <c r="T62" s="357">
        <v>0</v>
      </c>
      <c r="U62" s="357">
        <v>0</v>
      </c>
      <c r="V62" s="462">
        <v>0</v>
      </c>
      <c r="W62" s="357">
        <v>0</v>
      </c>
      <c r="X62" s="357">
        <v>0</v>
      </c>
      <c r="Y62" s="357">
        <f>1.49/2</f>
        <v>0.745</v>
      </c>
      <c r="Z62" s="357">
        <f>1.52/2</f>
        <v>0.76</v>
      </c>
      <c r="AA62" s="357">
        <f>1.43/2</f>
        <v>0.71499999999999997</v>
      </c>
      <c r="AB62" s="357">
        <v>0.59499999999999997</v>
      </c>
      <c r="AC62" s="357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9">
        <v>0.47</v>
      </c>
      <c r="H63" s="357">
        <v>0.42</v>
      </c>
      <c r="I63" s="359">
        <v>0.41</v>
      </c>
      <c r="J63" s="357">
        <v>0.4</v>
      </c>
      <c r="K63" s="357">
        <v>0.44500000000000001</v>
      </c>
      <c r="L63" s="357">
        <f>1.14/2</f>
        <v>0.56999999999999995</v>
      </c>
      <c r="M63" s="357">
        <f>1.03/2</f>
        <v>0.51500000000000001</v>
      </c>
      <c r="N63" s="357">
        <f>1.11/2</f>
        <v>0.55500000000000005</v>
      </c>
      <c r="O63" s="357">
        <f>1.38/2</f>
        <v>0.69</v>
      </c>
      <c r="P63" s="357">
        <f>1.39/2</f>
        <v>0.69499999999999995</v>
      </c>
      <c r="Q63" s="357">
        <f>1.46/2</f>
        <v>0.73</v>
      </c>
      <c r="R63" s="357">
        <f>1.46/2</f>
        <v>0.73</v>
      </c>
      <c r="S63" s="462">
        <f>1.24/2</f>
        <v>0.62</v>
      </c>
      <c r="T63" s="357">
        <f>1.2/2</f>
        <v>0.6</v>
      </c>
      <c r="U63" s="357">
        <f>1.18/2</f>
        <v>0.59</v>
      </c>
      <c r="V63" s="462">
        <f>1.4/2</f>
        <v>0.7</v>
      </c>
      <c r="W63" s="357">
        <f>1.38/2</f>
        <v>0.69</v>
      </c>
      <c r="X63" s="357">
        <f>1.3/2</f>
        <v>0.65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0.48</v>
      </c>
      <c r="G64" s="357"/>
      <c r="H64" s="357"/>
      <c r="I64" s="357"/>
      <c r="J64" s="357"/>
      <c r="K64" s="357"/>
      <c r="L64" s="357"/>
      <c r="M64" s="357"/>
      <c r="N64" s="357"/>
      <c r="O64" s="357"/>
      <c r="P64" s="357"/>
      <c r="Q64" s="357">
        <f>1.46/2</f>
        <v>0.73</v>
      </c>
      <c r="R64" s="357">
        <f>1.46/2</f>
        <v>0.73</v>
      </c>
      <c r="S64" s="462">
        <f>1.24/2</f>
        <v>0.62</v>
      </c>
      <c r="T64" s="357">
        <f>1.2/2</f>
        <v>0.6</v>
      </c>
      <c r="U64" s="357">
        <f>1.18/2</f>
        <v>0.59</v>
      </c>
      <c r="V64" s="462">
        <f>1.4/2</f>
        <v>0.7</v>
      </c>
      <c r="W64" s="357">
        <v>0.69</v>
      </c>
      <c r="X64" s="357">
        <f>1.3/2</f>
        <v>0.65</v>
      </c>
      <c r="Y64" s="357">
        <f>1.49/2</f>
        <v>0.745</v>
      </c>
      <c r="Z64" s="357">
        <f>1.52/2</f>
        <v>0.76</v>
      </c>
      <c r="AA64" s="357">
        <f>1.43/2</f>
        <v>0.71499999999999997</v>
      </c>
      <c r="AB64" s="357">
        <v>0.59499999999999997</v>
      </c>
      <c r="AC64" s="357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0.96</v>
      </c>
      <c r="G65" s="19">
        <f t="shared" ref="G65:AB65" si="19">SUM(G62:G64)</f>
        <v>0.94</v>
      </c>
      <c r="H65" s="19">
        <f t="shared" si="19"/>
        <v>0.84</v>
      </c>
      <c r="I65" s="19">
        <f t="shared" si="19"/>
        <v>0.82</v>
      </c>
      <c r="J65" s="19">
        <f t="shared" si="19"/>
        <v>0.8</v>
      </c>
      <c r="K65" s="19">
        <f t="shared" si="19"/>
        <v>0.89</v>
      </c>
      <c r="L65" s="19">
        <f t="shared" si="19"/>
        <v>1.1399999999999999</v>
      </c>
      <c r="M65" s="19">
        <f t="shared" si="19"/>
        <v>1.03</v>
      </c>
      <c r="N65" s="19">
        <f t="shared" si="19"/>
        <v>1.1100000000000001</v>
      </c>
      <c r="O65" s="19">
        <f t="shared" si="19"/>
        <v>1.38</v>
      </c>
      <c r="P65" s="19">
        <f t="shared" si="19"/>
        <v>1.39</v>
      </c>
      <c r="Q65" s="19">
        <f t="shared" si="19"/>
        <v>1.46</v>
      </c>
      <c r="R65" s="19">
        <f t="shared" si="19"/>
        <v>1.46</v>
      </c>
      <c r="S65" s="463">
        <f t="shared" si="19"/>
        <v>1.24</v>
      </c>
      <c r="T65" s="463">
        <f t="shared" si="19"/>
        <v>1.2</v>
      </c>
      <c r="U65" s="463">
        <f t="shared" si="19"/>
        <v>1.18</v>
      </c>
      <c r="V65" s="19">
        <f>SUM(V62:V64)</f>
        <v>1.4</v>
      </c>
      <c r="W65" s="19">
        <f t="shared" si="19"/>
        <v>1.38</v>
      </c>
      <c r="X65" s="19">
        <f t="shared" si="19"/>
        <v>1.3</v>
      </c>
      <c r="Y65" s="19">
        <f>SUM(Y62:Y64)</f>
        <v>1.49</v>
      </c>
      <c r="Z65" s="19">
        <f>SUM(Z62:Z64)</f>
        <v>1.52</v>
      </c>
      <c r="AA65" s="19">
        <f t="shared" si="19"/>
        <v>1.43</v>
      </c>
      <c r="AB65" s="19">
        <f t="shared" si="19"/>
        <v>1.19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3">
        <f t="shared" si="24"/>
        <v>0</v>
      </c>
      <c r="T76" s="463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19.780000000000008</v>
      </c>
    </row>
    <row r="78" spans="1:124">
      <c r="A78" s="14" t="s">
        <v>67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0.72</v>
      </c>
      <c r="N78" s="357">
        <v>0.75</v>
      </c>
      <c r="O78" s="357">
        <v>0.78</v>
      </c>
      <c r="P78" s="357">
        <v>0.85</v>
      </c>
      <c r="Q78" s="357">
        <v>0.85</v>
      </c>
      <c r="R78" s="357">
        <v>0.86</v>
      </c>
      <c r="S78" s="357">
        <v>0.86</v>
      </c>
      <c r="T78" s="357">
        <v>0.86</v>
      </c>
      <c r="U78" s="357">
        <v>0.87</v>
      </c>
      <c r="V78" s="357">
        <v>0.85</v>
      </c>
      <c r="W78" s="357">
        <v>0.86</v>
      </c>
      <c r="X78" s="357">
        <v>0.87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0.76</v>
      </c>
      <c r="G79" s="357">
        <v>0.74</v>
      </c>
      <c r="H79" s="357">
        <v>0.71</v>
      </c>
      <c r="I79" s="357">
        <v>0.67</v>
      </c>
      <c r="J79" s="357">
        <v>0.68</v>
      </c>
      <c r="K79" s="357">
        <v>0.72</v>
      </c>
      <c r="L79" s="359">
        <v>0.83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0.95</v>
      </c>
      <c r="Z79" s="357">
        <v>1.01</v>
      </c>
      <c r="AA79" s="357">
        <v>0.96</v>
      </c>
      <c r="AB79" s="357">
        <v>0.92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0.76</v>
      </c>
      <c r="G80" s="19">
        <f t="shared" si="25"/>
        <v>0.74</v>
      </c>
      <c r="H80" s="19">
        <f>SUM(H78:H79)</f>
        <v>0.71</v>
      </c>
      <c r="I80" s="19">
        <f>SUM(I78:I79)</f>
        <v>0.67</v>
      </c>
      <c r="J80" s="19">
        <f t="shared" ref="J80:AC80" si="26">SUM(J78:J79)</f>
        <v>0.68</v>
      </c>
      <c r="K80" s="19">
        <f t="shared" si="26"/>
        <v>0.72</v>
      </c>
      <c r="L80" s="19">
        <f>SUM(L78:L79)</f>
        <v>0.83</v>
      </c>
      <c r="M80" s="19">
        <f t="shared" si="26"/>
        <v>0.72</v>
      </c>
      <c r="N80" s="19">
        <f t="shared" si="26"/>
        <v>0.75</v>
      </c>
      <c r="O80" s="19">
        <f>SUM(O78:O79)</f>
        <v>0.78</v>
      </c>
      <c r="P80" s="19">
        <f>SUM(P78:P79)</f>
        <v>0.85</v>
      </c>
      <c r="Q80" s="19">
        <f t="shared" si="26"/>
        <v>0.85</v>
      </c>
      <c r="R80" s="19">
        <f t="shared" si="26"/>
        <v>0.86</v>
      </c>
      <c r="S80" s="463">
        <f t="shared" si="26"/>
        <v>0.86</v>
      </c>
      <c r="T80" s="463">
        <f t="shared" si="26"/>
        <v>0.86</v>
      </c>
      <c r="U80" s="19">
        <f t="shared" si="26"/>
        <v>0.87</v>
      </c>
      <c r="V80" s="19">
        <f t="shared" si="26"/>
        <v>0.85</v>
      </c>
      <c r="W80" s="19">
        <f t="shared" si="26"/>
        <v>0.86</v>
      </c>
      <c r="X80" s="19">
        <f t="shared" si="26"/>
        <v>0.87</v>
      </c>
      <c r="Y80" s="19">
        <f t="shared" si="26"/>
        <v>0.95</v>
      </c>
      <c r="Z80" s="19">
        <f t="shared" si="26"/>
        <v>1.01</v>
      </c>
      <c r="AA80" s="19">
        <f t="shared" si="26"/>
        <v>0.96</v>
      </c>
      <c r="AB80" s="19">
        <f t="shared" si="26"/>
        <v>0.92</v>
      </c>
      <c r="AC80" s="19">
        <f t="shared" si="26"/>
        <v>0.85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7">SUM(F17,F22,F25,F31,F34,F60,F65,F76,F80,F82)</f>
        <v>39.409999999999997</v>
      </c>
      <c r="G83" s="28">
        <f>SUM(G17,G22,G25,G31,G34,G60,G65,G76,G80,G82)</f>
        <v>37.18</v>
      </c>
      <c r="H83" s="28">
        <f>SUM(H17,H22,H25,H31,H34,H60,H65,H76,H80,H82)</f>
        <v>35.510000000000005</v>
      </c>
      <c r="I83" s="28">
        <f t="shared" ref="I83:AC83" si="28">SUM(I17,I22,I25,I31,I34,I60,I65,I76,I80,I82)</f>
        <v>34.340000000000003</v>
      </c>
      <c r="J83" s="28">
        <f t="shared" si="28"/>
        <v>34.29</v>
      </c>
      <c r="K83" s="28">
        <f t="shared" si="28"/>
        <v>36.24</v>
      </c>
      <c r="L83" s="28">
        <f t="shared" si="28"/>
        <v>41.03</v>
      </c>
      <c r="M83" s="28">
        <f t="shared" si="28"/>
        <v>38.31</v>
      </c>
      <c r="N83" s="28">
        <f>SUM(N17,N22,N25,N31,N34,N60,N65,N76,N80,N82)</f>
        <v>43.959999999999994</v>
      </c>
      <c r="O83" s="28">
        <f>SUM(O17,O22,O25,O31,O34,O60,O65,O76,O80,O82)</f>
        <v>52.230000000000011</v>
      </c>
      <c r="P83" s="28">
        <f t="shared" si="28"/>
        <v>56.629999999999995</v>
      </c>
      <c r="Q83" s="28">
        <f t="shared" si="28"/>
        <v>60.620000000000012</v>
      </c>
      <c r="R83" s="28">
        <f t="shared" si="28"/>
        <v>61.100000000000009</v>
      </c>
      <c r="S83" s="518">
        <f t="shared" si="28"/>
        <v>58.310000000000009</v>
      </c>
      <c r="T83" s="518">
        <f t="shared" si="28"/>
        <v>59.050000000000004</v>
      </c>
      <c r="U83" s="28">
        <f>SUM(U17,U22,U25,U31,U34,U60,U65,U76,U80,U82)</f>
        <v>55.319999999999993</v>
      </c>
      <c r="V83" s="28">
        <f t="shared" si="28"/>
        <v>54.05</v>
      </c>
      <c r="W83" s="28">
        <f t="shared" si="28"/>
        <v>53.370000000000005</v>
      </c>
      <c r="X83" s="28">
        <f t="shared" si="28"/>
        <v>50.439999999999991</v>
      </c>
      <c r="Y83" s="28">
        <f t="shared" si="28"/>
        <v>55.230000000000004</v>
      </c>
      <c r="Z83" s="28">
        <f t="shared" si="28"/>
        <v>52.45</v>
      </c>
      <c r="AA83" s="28">
        <f t="shared" si="28"/>
        <v>50.42</v>
      </c>
      <c r="AB83" s="28">
        <f t="shared" si="28"/>
        <v>46.02</v>
      </c>
      <c r="AC83" s="28">
        <f t="shared" si="28"/>
        <v>41.17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4.7900000000000134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9">SUM(F22,F25)</f>
        <v>3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4.3</v>
      </c>
      <c r="P89" s="64">
        <f t="shared" si="29"/>
        <v>5</v>
      </c>
      <c r="Q89" s="64">
        <f t="shared" si="29"/>
        <v>7.6</v>
      </c>
      <c r="R89" s="64">
        <f t="shared" si="29"/>
        <v>7.6</v>
      </c>
      <c r="S89" s="64">
        <f t="shared" si="29"/>
        <v>7.6</v>
      </c>
      <c r="T89" s="64">
        <f t="shared" si="29"/>
        <v>7.6</v>
      </c>
      <c r="U89" s="64">
        <f t="shared" si="29"/>
        <v>6</v>
      </c>
      <c r="V89" s="64">
        <f t="shared" si="29"/>
        <v>7.1999999999999993</v>
      </c>
      <c r="W89" s="64">
        <f t="shared" si="29"/>
        <v>6.8</v>
      </c>
      <c r="X89" s="64">
        <f t="shared" si="29"/>
        <v>6</v>
      </c>
      <c r="Y89" s="64">
        <f t="shared" si="29"/>
        <v>7.6</v>
      </c>
      <c r="Z89" s="64">
        <f t="shared" si="29"/>
        <v>6</v>
      </c>
      <c r="AA89" s="64">
        <f t="shared" si="29"/>
        <v>4</v>
      </c>
      <c r="AB89" s="64">
        <f t="shared" si="29"/>
        <v>3</v>
      </c>
      <c r="AC89" s="64">
        <f t="shared" si="29"/>
        <v>3.8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0.16300000000000001</v>
      </c>
      <c r="P90" s="68">
        <v>0.19</v>
      </c>
      <c r="Q90" s="68">
        <v>0.224</v>
      </c>
      <c r="R90" s="68">
        <v>0.23200000000000001</v>
      </c>
      <c r="S90" s="68">
        <v>0.247</v>
      </c>
      <c r="T90" s="68">
        <v>0.23400000000000001</v>
      </c>
      <c r="U90" s="68">
        <v>0.17599999999999999</v>
      </c>
      <c r="V90" s="68">
        <v>0.20499999999999999</v>
      </c>
      <c r="W90" s="68">
        <v>0.224</v>
      </c>
      <c r="X90" s="68">
        <v>0.23300000000000001</v>
      </c>
      <c r="Y90" s="68">
        <v>0.245</v>
      </c>
      <c r="Z90" s="68">
        <v>0.22500000000000001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30">F17</f>
        <v>13.2</v>
      </c>
      <c r="G91" s="64">
        <f t="shared" si="30"/>
        <v>13</v>
      </c>
      <c r="H91" s="64">
        <f t="shared" si="30"/>
        <v>13.4</v>
      </c>
      <c r="I91" s="64">
        <f t="shared" si="30"/>
        <v>12.9</v>
      </c>
      <c r="J91" s="64">
        <f t="shared" si="30"/>
        <v>13.4</v>
      </c>
      <c r="K91" s="64">
        <f t="shared" si="30"/>
        <v>13.6</v>
      </c>
      <c r="L91" s="64">
        <f t="shared" si="30"/>
        <v>14.7</v>
      </c>
      <c r="M91" s="64">
        <f t="shared" si="30"/>
        <v>13.4</v>
      </c>
      <c r="N91" s="64">
        <f t="shared" si="30"/>
        <v>14</v>
      </c>
      <c r="O91" s="64">
        <f t="shared" si="30"/>
        <v>20.700000000000003</v>
      </c>
      <c r="P91" s="64">
        <f t="shared" si="30"/>
        <v>19.799999999999997</v>
      </c>
      <c r="Q91" s="64">
        <f t="shared" si="30"/>
        <v>19.5</v>
      </c>
      <c r="R91" s="64">
        <f t="shared" si="30"/>
        <v>19.200000000000003</v>
      </c>
      <c r="S91" s="64">
        <f t="shared" si="30"/>
        <v>20.100000000000001</v>
      </c>
      <c r="T91" s="64">
        <f t="shared" si="30"/>
        <v>20.100000000000001</v>
      </c>
      <c r="U91" s="64">
        <f>U17</f>
        <v>19.200000000000003</v>
      </c>
      <c r="V91" s="64">
        <f t="shared" si="30"/>
        <v>19.5</v>
      </c>
      <c r="W91" s="64">
        <f t="shared" si="30"/>
        <v>19.200000000000003</v>
      </c>
      <c r="X91" s="64">
        <f t="shared" si="30"/>
        <v>19.5</v>
      </c>
      <c r="Y91" s="64">
        <f t="shared" si="30"/>
        <v>20.100000000000001</v>
      </c>
      <c r="Z91" s="64">
        <f t="shared" si="30"/>
        <v>20.100000000000001</v>
      </c>
      <c r="AA91" s="64">
        <f t="shared" si="30"/>
        <v>19.5</v>
      </c>
      <c r="AB91" s="64">
        <f t="shared" si="30"/>
        <v>19.200000000000003</v>
      </c>
      <c r="AC91" s="64">
        <f t="shared" si="30"/>
        <v>16.2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0.51800000000000002</v>
      </c>
      <c r="G92" s="68">
        <v>0.46800000000000003</v>
      </c>
      <c r="H92" s="68">
        <v>0.495</v>
      </c>
      <c r="I92" s="68">
        <v>0.58599999999999997</v>
      </c>
      <c r="J92" s="68">
        <v>0.60099999999999998</v>
      </c>
      <c r="K92" s="68">
        <v>0.80200000000000005</v>
      </c>
      <c r="L92" s="68">
        <v>0.75</v>
      </c>
      <c r="M92" s="68">
        <v>0.65700000000000003</v>
      </c>
      <c r="N92" s="68">
        <v>0.54900000000000004</v>
      </c>
      <c r="O92" s="68">
        <v>0.54300000000000004</v>
      </c>
      <c r="P92" s="68">
        <v>0.66900000000000004</v>
      </c>
      <c r="Q92" s="68">
        <v>0.78900000000000003</v>
      </c>
      <c r="R92" s="68">
        <v>0.78500000000000003</v>
      </c>
      <c r="S92" s="68">
        <v>0.77100000000000002</v>
      </c>
      <c r="T92" s="68">
        <v>0.80900000000000005</v>
      </c>
      <c r="U92" s="68">
        <v>0.70599999999999996</v>
      </c>
      <c r="V92" s="68">
        <v>0.748</v>
      </c>
      <c r="W92" s="68">
        <v>0.59599999999999997</v>
      </c>
      <c r="X92" s="68">
        <v>0.54900000000000004</v>
      </c>
      <c r="Y92" s="68">
        <v>0.61199999999999999</v>
      </c>
      <c r="Z92" s="68">
        <v>0.78200000000000003</v>
      </c>
      <c r="AA92" s="68">
        <v>0.79700000000000004</v>
      </c>
      <c r="AB92" s="68">
        <v>0.78800000000000003</v>
      </c>
      <c r="AC92" s="68">
        <v>0.57999999999999996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1">F31</f>
        <v>7.37</v>
      </c>
      <c r="G93" s="65">
        <f t="shared" si="31"/>
        <v>8.34</v>
      </c>
      <c r="H93" s="65">
        <f t="shared" si="31"/>
        <v>6.43</v>
      </c>
      <c r="I93" s="65">
        <f t="shared" si="31"/>
        <v>5.82</v>
      </c>
      <c r="J93" s="65">
        <f t="shared" si="31"/>
        <v>5.25</v>
      </c>
      <c r="K93" s="65">
        <f t="shared" si="31"/>
        <v>6.9</v>
      </c>
      <c r="L93" s="65">
        <f t="shared" si="31"/>
        <v>10.199999999999999</v>
      </c>
      <c r="M93" s="65">
        <f t="shared" si="31"/>
        <v>9</v>
      </c>
      <c r="N93" s="65">
        <f t="shared" si="31"/>
        <v>10.8</v>
      </c>
      <c r="O93" s="65">
        <f t="shared" si="31"/>
        <v>10.8</v>
      </c>
      <c r="P93" s="65">
        <f t="shared" si="31"/>
        <v>13.8</v>
      </c>
      <c r="Q93" s="65">
        <f t="shared" si="31"/>
        <v>13.8</v>
      </c>
      <c r="R93" s="65">
        <f t="shared" si="31"/>
        <v>13.8</v>
      </c>
      <c r="S93" s="65">
        <f t="shared" si="31"/>
        <v>14.2</v>
      </c>
      <c r="T93" s="65">
        <f>T31</f>
        <v>14.2</v>
      </c>
      <c r="U93" s="65">
        <f t="shared" si="31"/>
        <v>13.8</v>
      </c>
      <c r="V93" s="65">
        <f t="shared" si="31"/>
        <v>10.8</v>
      </c>
      <c r="W93" s="65">
        <f t="shared" si="31"/>
        <v>10.8</v>
      </c>
      <c r="X93" s="65">
        <f t="shared" si="31"/>
        <v>8.5</v>
      </c>
      <c r="Y93" s="65">
        <f t="shared" si="31"/>
        <v>10.8</v>
      </c>
      <c r="Z93" s="65">
        <f t="shared" si="31"/>
        <v>9.5</v>
      </c>
      <c r="AA93" s="65">
        <f t="shared" si="31"/>
        <v>10.3</v>
      </c>
      <c r="AB93" s="65">
        <f t="shared" si="31"/>
        <v>7.5</v>
      </c>
      <c r="AC93" s="65">
        <f t="shared" si="31"/>
        <v>5.1000000000000005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0.17</v>
      </c>
      <c r="G94" s="68">
        <v>0.187</v>
      </c>
      <c r="H94" s="68">
        <v>0.13</v>
      </c>
      <c r="I94" s="68">
        <v>0.123</v>
      </c>
      <c r="J94" s="68">
        <v>0.125</v>
      </c>
      <c r="K94" s="68">
        <v>0.10100000000000001</v>
      </c>
      <c r="L94" s="68">
        <v>0.16900000000000001</v>
      </c>
      <c r="M94" s="68">
        <v>0.17699999999999999</v>
      </c>
      <c r="N94" s="68">
        <v>0.187</v>
      </c>
      <c r="O94" s="68">
        <v>0.17899999999999999</v>
      </c>
      <c r="P94" s="68">
        <v>0.20699999999999999</v>
      </c>
      <c r="Q94" s="68">
        <v>0.20100000000000001</v>
      </c>
      <c r="R94" s="68">
        <v>0.20399999999999999</v>
      </c>
      <c r="S94" s="68">
        <v>0.20300000000000001</v>
      </c>
      <c r="T94" s="68">
        <v>0.20799999999999999</v>
      </c>
      <c r="U94" s="68">
        <v>0.20100000000000001</v>
      </c>
      <c r="V94" s="68">
        <v>0.20599999999999999</v>
      </c>
      <c r="W94" s="68">
        <v>0.20100000000000001</v>
      </c>
      <c r="X94" s="68">
        <v>0.30399999999999999</v>
      </c>
      <c r="Y94" s="68">
        <v>0.19800000000000001</v>
      </c>
      <c r="Z94" s="68">
        <v>0.189</v>
      </c>
      <c r="AA94" s="68">
        <v>0.17799999999999999</v>
      </c>
      <c r="AB94" s="68">
        <v>0.17199999999999999</v>
      </c>
      <c r="AC94" s="68">
        <v>0.19600000000000001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0.22439999999999999</v>
      </c>
      <c r="G95" s="68">
        <v>0.21970000000000001</v>
      </c>
      <c r="H95" s="68">
        <v>0.21060000000000001</v>
      </c>
      <c r="I95" s="68">
        <v>0.2019</v>
      </c>
      <c r="J95" s="68">
        <v>0.215</v>
      </c>
      <c r="K95" s="68">
        <v>0.22140000000000001</v>
      </c>
      <c r="L95" s="68">
        <v>0.2671</v>
      </c>
      <c r="M95" s="68">
        <v>0.25679999999999997</v>
      </c>
      <c r="N95" s="68">
        <v>0.24859999999999999</v>
      </c>
      <c r="O95" s="68">
        <v>0.25</v>
      </c>
      <c r="P95" s="68">
        <v>0.31</v>
      </c>
      <c r="Q95" s="68">
        <v>0.31</v>
      </c>
      <c r="R95" s="68">
        <v>0.31</v>
      </c>
      <c r="S95" s="68">
        <v>0.31</v>
      </c>
      <c r="T95" s="68">
        <v>0.31</v>
      </c>
      <c r="U95" s="68">
        <v>0.31</v>
      </c>
      <c r="V95" s="68">
        <v>0.28000000000000003</v>
      </c>
      <c r="W95" s="68">
        <v>0.28000000000000003</v>
      </c>
      <c r="X95" s="68">
        <v>0.28000000000000003</v>
      </c>
      <c r="Y95" s="68">
        <v>0.28799999999999998</v>
      </c>
      <c r="Z95" s="68">
        <v>0.28799999999999998</v>
      </c>
      <c r="AA95" s="68">
        <v>0.23300000000000001</v>
      </c>
      <c r="AB95" s="68">
        <v>0.23</v>
      </c>
      <c r="AC95" s="68">
        <v>0.20399999999999999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2">F34</f>
        <v>14.12</v>
      </c>
      <c r="G96" s="65">
        <f t="shared" si="32"/>
        <v>14.16</v>
      </c>
      <c r="H96" s="65">
        <f t="shared" si="32"/>
        <v>14.13</v>
      </c>
      <c r="I96" s="65">
        <f t="shared" si="32"/>
        <v>14.13</v>
      </c>
      <c r="J96" s="65">
        <f t="shared" si="32"/>
        <v>14.16</v>
      </c>
      <c r="K96" s="65">
        <f t="shared" si="32"/>
        <v>14.13</v>
      </c>
      <c r="L96" s="65">
        <f t="shared" si="32"/>
        <v>14.16</v>
      </c>
      <c r="M96" s="65">
        <f t="shared" si="32"/>
        <v>14.16</v>
      </c>
      <c r="N96" s="65">
        <f t="shared" si="32"/>
        <v>14.14</v>
      </c>
      <c r="O96" s="65">
        <f t="shared" si="32"/>
        <v>14.27</v>
      </c>
      <c r="P96" s="65">
        <f t="shared" si="32"/>
        <v>14.29</v>
      </c>
      <c r="Q96" s="65">
        <f t="shared" si="32"/>
        <v>14.31</v>
      </c>
      <c r="R96" s="65">
        <f t="shared" si="32"/>
        <v>14.28</v>
      </c>
      <c r="S96" s="65">
        <f t="shared" si="32"/>
        <v>14.31</v>
      </c>
      <c r="T96" s="65">
        <f t="shared" si="32"/>
        <v>14.29</v>
      </c>
      <c r="U96" s="65">
        <f t="shared" si="32"/>
        <v>14.27</v>
      </c>
      <c r="V96" s="65">
        <f>V34</f>
        <v>14.3</v>
      </c>
      <c r="W96" s="65">
        <f t="shared" si="32"/>
        <v>14.33</v>
      </c>
      <c r="X96" s="65">
        <f t="shared" si="32"/>
        <v>14.27</v>
      </c>
      <c r="Y96" s="65">
        <f t="shared" si="32"/>
        <v>14.29</v>
      </c>
      <c r="Z96" s="65">
        <f t="shared" si="32"/>
        <v>14.32</v>
      </c>
      <c r="AA96" s="65">
        <f t="shared" si="32"/>
        <v>14.23</v>
      </c>
      <c r="AB96" s="65">
        <f t="shared" si="32"/>
        <v>14.21</v>
      </c>
      <c r="AC96" s="65">
        <f t="shared" si="32"/>
        <v>14.22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0.88</v>
      </c>
      <c r="G97" s="68">
        <v>0.84</v>
      </c>
      <c r="H97" s="68">
        <v>0.87</v>
      </c>
      <c r="I97" s="68">
        <v>0.87</v>
      </c>
      <c r="J97" s="68">
        <v>0.84</v>
      </c>
      <c r="K97" s="68">
        <v>0.87</v>
      </c>
      <c r="L97" s="68">
        <v>0.84</v>
      </c>
      <c r="M97" s="68">
        <v>0.84</v>
      </c>
      <c r="N97" s="68">
        <v>0.86</v>
      </c>
      <c r="O97" s="68">
        <v>0.73</v>
      </c>
      <c r="P97" s="68">
        <v>0.71</v>
      </c>
      <c r="Q97" s="68">
        <v>0.69</v>
      </c>
      <c r="R97" s="68">
        <v>0.72</v>
      </c>
      <c r="S97" s="68">
        <v>0.69</v>
      </c>
      <c r="T97" s="68">
        <v>0.71</v>
      </c>
      <c r="U97" s="68">
        <v>0.73</v>
      </c>
      <c r="V97" s="68">
        <v>0.7</v>
      </c>
      <c r="W97" s="68">
        <v>0.67</v>
      </c>
      <c r="X97" s="68">
        <v>0.73</v>
      </c>
      <c r="Y97" s="68">
        <v>0.71</v>
      </c>
      <c r="Z97" s="68">
        <v>0.68</v>
      </c>
      <c r="AA97" s="68">
        <v>0.77</v>
      </c>
      <c r="AB97" s="68">
        <v>0.79</v>
      </c>
      <c r="AC97" s="68">
        <v>0.78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</v>
      </c>
      <c r="L98" s="64">
        <f t="shared" si="33"/>
        <v>0</v>
      </c>
      <c r="M98" s="64">
        <f t="shared" si="33"/>
        <v>0</v>
      </c>
      <c r="N98" s="64">
        <f t="shared" si="33"/>
        <v>3.16</v>
      </c>
      <c r="O98" s="64">
        <f t="shared" si="33"/>
        <v>0</v>
      </c>
      <c r="P98" s="64">
        <f t="shared" si="33"/>
        <v>1.5</v>
      </c>
      <c r="Q98" s="64">
        <f t="shared" si="33"/>
        <v>3.1</v>
      </c>
      <c r="R98" s="64">
        <f t="shared" si="33"/>
        <v>3.9000000000000004</v>
      </c>
      <c r="S98" s="64">
        <f t="shared" si="33"/>
        <v>0</v>
      </c>
      <c r="T98" s="64">
        <f t="shared" si="33"/>
        <v>0.8</v>
      </c>
      <c r="U98" s="64">
        <f t="shared" si="33"/>
        <v>0</v>
      </c>
      <c r="V98" s="64">
        <f t="shared" si="33"/>
        <v>0</v>
      </c>
      <c r="W98" s="64">
        <f t="shared" si="33"/>
        <v>0</v>
      </c>
      <c r="X98" s="64">
        <f t="shared" si="33"/>
        <v>0</v>
      </c>
      <c r="Y98" s="64">
        <f t="shared" si="33"/>
        <v>0</v>
      </c>
      <c r="Z98" s="64">
        <f t="shared" si="33"/>
        <v>0</v>
      </c>
      <c r="AA98" s="64">
        <f t="shared" si="33"/>
        <v>0</v>
      </c>
      <c r="AB98" s="64">
        <f t="shared" si="33"/>
        <v>0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4">F65</f>
        <v>0.96</v>
      </c>
      <c r="G99" s="64">
        <f t="shared" si="34"/>
        <v>0.94</v>
      </c>
      <c r="H99" s="64">
        <f t="shared" si="34"/>
        <v>0.84</v>
      </c>
      <c r="I99" s="64">
        <f t="shared" si="34"/>
        <v>0.82</v>
      </c>
      <c r="J99" s="64">
        <f t="shared" si="34"/>
        <v>0.8</v>
      </c>
      <c r="K99" s="64">
        <f t="shared" si="34"/>
        <v>0.89</v>
      </c>
      <c r="L99" s="64">
        <f t="shared" si="34"/>
        <v>1.1399999999999999</v>
      </c>
      <c r="M99" s="64">
        <f t="shared" si="34"/>
        <v>1.03</v>
      </c>
      <c r="N99" s="64">
        <f t="shared" si="34"/>
        <v>1.1100000000000001</v>
      </c>
      <c r="O99" s="64">
        <f t="shared" si="34"/>
        <v>1.38</v>
      </c>
      <c r="P99" s="64">
        <f t="shared" si="34"/>
        <v>1.39</v>
      </c>
      <c r="Q99" s="64">
        <f t="shared" si="34"/>
        <v>1.46</v>
      </c>
      <c r="R99" s="64">
        <f t="shared" si="34"/>
        <v>1.46</v>
      </c>
      <c r="S99" s="64">
        <f t="shared" si="34"/>
        <v>1.24</v>
      </c>
      <c r="T99" s="64">
        <f t="shared" si="34"/>
        <v>1.2</v>
      </c>
      <c r="U99" s="64">
        <f t="shared" si="34"/>
        <v>1.18</v>
      </c>
      <c r="V99" s="64">
        <f t="shared" si="34"/>
        <v>1.4</v>
      </c>
      <c r="W99" s="64">
        <f t="shared" si="34"/>
        <v>1.38</v>
      </c>
      <c r="X99" s="64">
        <f t="shared" si="34"/>
        <v>1.3</v>
      </c>
      <c r="Y99" s="64">
        <f t="shared" si="34"/>
        <v>1.49</v>
      </c>
      <c r="Z99" s="64">
        <f t="shared" si="34"/>
        <v>1.52</v>
      </c>
      <c r="AA99" s="64">
        <f t="shared" si="34"/>
        <v>1.43</v>
      </c>
      <c r="AB99" s="64">
        <f t="shared" si="34"/>
        <v>1.19</v>
      </c>
      <c r="AC99" s="64">
        <f t="shared" si="34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6">F80</f>
        <v>0.76</v>
      </c>
      <c r="G101" s="64">
        <f t="shared" si="36"/>
        <v>0.74</v>
      </c>
      <c r="H101" s="64">
        <f t="shared" si="36"/>
        <v>0.71</v>
      </c>
      <c r="I101" s="64">
        <f t="shared" si="36"/>
        <v>0.67</v>
      </c>
      <c r="J101" s="64">
        <f t="shared" si="36"/>
        <v>0.68</v>
      </c>
      <c r="K101" s="64">
        <f t="shared" si="36"/>
        <v>0.72</v>
      </c>
      <c r="L101" s="64">
        <f t="shared" si="36"/>
        <v>0.83</v>
      </c>
      <c r="M101" s="64">
        <f t="shared" si="36"/>
        <v>0.72</v>
      </c>
      <c r="N101" s="64">
        <f t="shared" si="36"/>
        <v>0.75</v>
      </c>
      <c r="O101" s="64">
        <f t="shared" si="36"/>
        <v>0.78</v>
      </c>
      <c r="P101" s="64">
        <f t="shared" si="36"/>
        <v>0.85</v>
      </c>
      <c r="Q101" s="64">
        <f t="shared" si="36"/>
        <v>0.85</v>
      </c>
      <c r="R101" s="64">
        <f t="shared" si="36"/>
        <v>0.86</v>
      </c>
      <c r="S101" s="64">
        <f t="shared" si="36"/>
        <v>0.86</v>
      </c>
      <c r="T101" s="64">
        <f t="shared" si="36"/>
        <v>0.86</v>
      </c>
      <c r="U101" s="64">
        <f t="shared" si="36"/>
        <v>0.87</v>
      </c>
      <c r="V101" s="64">
        <f t="shared" si="36"/>
        <v>0.85</v>
      </c>
      <c r="W101" s="64">
        <f t="shared" si="36"/>
        <v>0.86</v>
      </c>
      <c r="X101" s="64">
        <f t="shared" si="36"/>
        <v>0.87</v>
      </c>
      <c r="Y101" s="64">
        <f t="shared" si="36"/>
        <v>0.95</v>
      </c>
      <c r="Z101" s="64">
        <f t="shared" si="36"/>
        <v>1.01</v>
      </c>
      <c r="AA101" s="64">
        <f t="shared" si="36"/>
        <v>0.96</v>
      </c>
      <c r="AB101" s="64">
        <f t="shared" si="36"/>
        <v>0.92</v>
      </c>
      <c r="AC101" s="64">
        <f t="shared" si="36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8">SUM(F89,F91,F93,F96,F98:F102,F81)</f>
        <v>39.409999999999997</v>
      </c>
      <c r="G103" s="61">
        <f t="shared" si="38"/>
        <v>37.18</v>
      </c>
      <c r="H103" s="61">
        <f t="shared" si="38"/>
        <v>35.510000000000005</v>
      </c>
      <c r="I103" s="61">
        <f t="shared" si="38"/>
        <v>34.340000000000003</v>
      </c>
      <c r="J103" s="61">
        <f t="shared" si="38"/>
        <v>34.29</v>
      </c>
      <c r="K103" s="61">
        <f t="shared" si="38"/>
        <v>36.24</v>
      </c>
      <c r="L103" s="61">
        <f t="shared" si="38"/>
        <v>41.03</v>
      </c>
      <c r="M103" s="61">
        <f t="shared" si="38"/>
        <v>38.31</v>
      </c>
      <c r="N103" s="61">
        <f t="shared" si="38"/>
        <v>43.959999999999994</v>
      </c>
      <c r="O103" s="61">
        <f t="shared" si="38"/>
        <v>52.230000000000011</v>
      </c>
      <c r="P103" s="61">
        <f t="shared" si="38"/>
        <v>56.629999999999995</v>
      </c>
      <c r="Q103" s="61">
        <f t="shared" si="38"/>
        <v>60.620000000000012</v>
      </c>
      <c r="R103" s="61">
        <f t="shared" si="38"/>
        <v>61.100000000000009</v>
      </c>
      <c r="S103" s="61">
        <f t="shared" si="38"/>
        <v>58.310000000000009</v>
      </c>
      <c r="T103" s="61">
        <f t="shared" si="38"/>
        <v>59.050000000000004</v>
      </c>
      <c r="U103" s="61">
        <f t="shared" si="38"/>
        <v>55.319999999999993</v>
      </c>
      <c r="V103" s="61">
        <f t="shared" si="38"/>
        <v>54.05</v>
      </c>
      <c r="W103" s="61">
        <f t="shared" si="38"/>
        <v>53.370000000000005</v>
      </c>
      <c r="X103" s="61">
        <f t="shared" si="38"/>
        <v>50.439999999999991</v>
      </c>
      <c r="Y103" s="61">
        <f t="shared" si="38"/>
        <v>55.230000000000004</v>
      </c>
      <c r="Z103" s="61">
        <f t="shared" si="38"/>
        <v>52.45</v>
      </c>
      <c r="AA103" s="61">
        <f t="shared" si="38"/>
        <v>50.42</v>
      </c>
      <c r="AB103" s="61">
        <f t="shared" si="38"/>
        <v>46.02</v>
      </c>
      <c r="AC103" s="61">
        <f t="shared" si="38"/>
        <v>41.17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v>1.1000000000000001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1.1000000000000001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40">F103+F107</f>
        <v>39.409999999999997</v>
      </c>
      <c r="G108" s="62">
        <f t="shared" si="40"/>
        <v>37.18</v>
      </c>
      <c r="H108" s="62">
        <f t="shared" si="40"/>
        <v>35.510000000000005</v>
      </c>
      <c r="I108" s="62">
        <f t="shared" si="40"/>
        <v>34.340000000000003</v>
      </c>
      <c r="J108" s="62">
        <f t="shared" si="40"/>
        <v>34.29</v>
      </c>
      <c r="K108" s="62">
        <f t="shared" si="40"/>
        <v>36.24</v>
      </c>
      <c r="L108" s="62">
        <f t="shared" si="40"/>
        <v>41.03</v>
      </c>
      <c r="M108" s="62">
        <f t="shared" si="40"/>
        <v>38.31</v>
      </c>
      <c r="N108" s="62">
        <f t="shared" si="40"/>
        <v>43.959999999999994</v>
      </c>
      <c r="O108" s="62">
        <f t="shared" si="40"/>
        <v>52.230000000000011</v>
      </c>
      <c r="P108" s="62">
        <f>P103+P107</f>
        <v>56.629999999999995</v>
      </c>
      <c r="Q108" s="62">
        <f t="shared" si="40"/>
        <v>60.620000000000012</v>
      </c>
      <c r="R108" s="62">
        <f t="shared" si="40"/>
        <v>61.100000000000009</v>
      </c>
      <c r="S108" s="62">
        <f t="shared" si="40"/>
        <v>58.310000000000009</v>
      </c>
      <c r="T108" s="62">
        <f>T103+T107</f>
        <v>59.050000000000004</v>
      </c>
      <c r="U108" s="62">
        <f t="shared" si="40"/>
        <v>55.319999999999993</v>
      </c>
      <c r="V108" s="62">
        <f t="shared" si="40"/>
        <v>54.05</v>
      </c>
      <c r="W108" s="62">
        <f>W103+W107</f>
        <v>53.370000000000005</v>
      </c>
      <c r="X108" s="62">
        <f t="shared" si="40"/>
        <v>50.439999999999991</v>
      </c>
      <c r="Y108" s="62">
        <f t="shared" si="40"/>
        <v>56.330000000000005</v>
      </c>
      <c r="Z108" s="62">
        <f t="shared" si="40"/>
        <v>52.45</v>
      </c>
      <c r="AA108" s="62">
        <f t="shared" si="40"/>
        <v>50.42</v>
      </c>
      <c r="AB108" s="62">
        <f t="shared" si="40"/>
        <v>46.02</v>
      </c>
      <c r="AC108" s="62">
        <f t="shared" si="40"/>
        <v>41.17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1">(COUNT(F13:F16))*7.2+(COUNT(F27:F28)*4.9)+(COUNT(F19:F21)*4.5)-F91-F93</f>
        <v>8.1300000000000026</v>
      </c>
      <c r="G109" s="63">
        <f t="shared" si="41"/>
        <v>2.860000000000003</v>
      </c>
      <c r="H109" s="63">
        <f t="shared" si="41"/>
        <v>-0.52999999999999936</v>
      </c>
      <c r="I109" s="63">
        <f t="shared" si="41"/>
        <v>7.7799999999999994</v>
      </c>
      <c r="J109" s="63">
        <f t="shared" si="41"/>
        <v>7.85</v>
      </c>
      <c r="K109" s="63">
        <f t="shared" si="41"/>
        <v>6</v>
      </c>
      <c r="L109" s="63">
        <f t="shared" si="41"/>
        <v>1.6000000000000014</v>
      </c>
      <c r="M109" s="63">
        <f t="shared" si="41"/>
        <v>-3.0999999999999996</v>
      </c>
      <c r="N109" s="63">
        <f t="shared" si="41"/>
        <v>-5.5</v>
      </c>
      <c r="O109" s="63">
        <f t="shared" si="41"/>
        <v>-0.50000000000000355</v>
      </c>
      <c r="P109" s="63">
        <f t="shared" si="41"/>
        <v>-2.5999999999999979</v>
      </c>
      <c r="Q109" s="63">
        <f t="shared" si="41"/>
        <v>-2.3000000000000007</v>
      </c>
      <c r="R109" s="63">
        <f t="shared" si="41"/>
        <v>-2.0000000000000036</v>
      </c>
      <c r="S109" s="63">
        <f t="shared" si="41"/>
        <v>-3.3000000000000007</v>
      </c>
      <c r="T109" s="63">
        <f t="shared" si="41"/>
        <v>1.1999999999999993</v>
      </c>
      <c r="U109" s="63">
        <f t="shared" si="41"/>
        <v>-2.0000000000000036</v>
      </c>
      <c r="V109" s="63">
        <f t="shared" si="41"/>
        <v>0.69999999999999929</v>
      </c>
      <c r="W109" s="63">
        <f t="shared" si="41"/>
        <v>0.99999999999999645</v>
      </c>
      <c r="X109" s="63">
        <f t="shared" si="41"/>
        <v>7.5</v>
      </c>
      <c r="Y109" s="63">
        <f t="shared" si="41"/>
        <v>4.5999999999999979</v>
      </c>
      <c r="Z109" s="63">
        <f t="shared" si="41"/>
        <v>5.8999999999999986</v>
      </c>
      <c r="AA109" s="63">
        <f t="shared" si="41"/>
        <v>5.6999999999999993</v>
      </c>
      <c r="AB109" s="63">
        <f t="shared" si="41"/>
        <v>4.2999999999999972</v>
      </c>
      <c r="AC109" s="63">
        <f t="shared" si="41"/>
        <v>9.6999999999999993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-1.169999999999999</v>
      </c>
      <c r="G110" s="205">
        <f t="shared" si="42"/>
        <v>-3.4399999999999995</v>
      </c>
      <c r="H110" s="205">
        <f t="shared" si="42"/>
        <v>-5.43</v>
      </c>
      <c r="I110" s="205">
        <f t="shared" si="42"/>
        <v>2.8800000000000008</v>
      </c>
      <c r="J110" s="205">
        <f t="shared" si="42"/>
        <v>-4.25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-6.1</v>
      </c>
      <c r="L110" s="205">
        <f t="shared" si="42"/>
        <v>1.6000000000000032</v>
      </c>
      <c r="M110" s="205">
        <f t="shared" si="42"/>
        <v>-3.0999999999999996</v>
      </c>
      <c r="N110" s="205">
        <f t="shared" si="42"/>
        <v>-5.5</v>
      </c>
      <c r="O110" s="205">
        <f t="shared" si="42"/>
        <v>-0.3000000000000016</v>
      </c>
      <c r="P110" s="205">
        <f t="shared" si="42"/>
        <v>-3.0999999999999961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-5.3999999999999986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-5.5000000000000018</v>
      </c>
      <c r="S110" s="205">
        <f t="shared" si="43"/>
        <v>-6.7999999999999989</v>
      </c>
      <c r="T110" s="205">
        <f t="shared" si="43"/>
        <v>-2.2999999999999989</v>
      </c>
      <c r="U110" s="205">
        <f t="shared" si="43"/>
        <v>-3.9000000000000021</v>
      </c>
      <c r="V110" s="205">
        <f t="shared" si="43"/>
        <v>-2.399999999999999</v>
      </c>
      <c r="W110" s="205">
        <f t="shared" si="43"/>
        <v>-1.700000000000002</v>
      </c>
      <c r="X110" s="205">
        <f t="shared" si="43"/>
        <v>5.6000000000000014</v>
      </c>
      <c r="Y110" s="205">
        <f t="shared" si="43"/>
        <v>1.0999999999999996</v>
      </c>
      <c r="Z110" s="205">
        <f t="shared" si="43"/>
        <v>4</v>
      </c>
      <c r="AA110" s="205">
        <f t="shared" si="43"/>
        <v>1.3000000000000007</v>
      </c>
      <c r="AB110" s="205">
        <f t="shared" si="43"/>
        <v>0.89999999999999858</v>
      </c>
      <c r="AC110" s="205">
        <f t="shared" si="43"/>
        <v>5.5000000000000009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60.15</v>
      </c>
      <c r="G111" s="456">
        <v>60.18</v>
      </c>
      <c r="H111" s="456">
        <v>60.09</v>
      </c>
      <c r="I111" s="456">
        <v>60.14</v>
      </c>
      <c r="J111" s="456">
        <v>60.12</v>
      </c>
      <c r="K111" s="456">
        <v>60.06</v>
      </c>
      <c r="L111" s="456">
        <v>60.06</v>
      </c>
      <c r="M111" s="456">
        <v>60.13</v>
      </c>
      <c r="N111" s="456">
        <v>59.98</v>
      </c>
      <c r="O111" s="456">
        <v>60.02</v>
      </c>
      <c r="P111" s="457">
        <v>60.17</v>
      </c>
      <c r="Q111" s="457">
        <v>60.22</v>
      </c>
      <c r="R111" s="457">
        <v>60.2</v>
      </c>
      <c r="S111" s="457">
        <v>60.18</v>
      </c>
      <c r="T111" s="457">
        <v>60.24</v>
      </c>
      <c r="U111" s="456">
        <v>60.25</v>
      </c>
      <c r="V111" s="456">
        <v>60.15</v>
      </c>
      <c r="W111" s="456">
        <v>60.2</v>
      </c>
      <c r="X111" s="456">
        <v>60.19</v>
      </c>
      <c r="Y111" s="456">
        <v>60.31</v>
      </c>
      <c r="Z111" s="456">
        <v>60.17</v>
      </c>
      <c r="AA111" s="456">
        <v>60.16</v>
      </c>
      <c r="AB111" s="456">
        <v>60.22</v>
      </c>
      <c r="AC111" s="456">
        <v>60.15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/>
      <c r="M115" s="520"/>
      <c r="N115" s="520"/>
      <c r="O115" s="520"/>
      <c r="P115" s="520"/>
      <c r="Q115" s="520"/>
      <c r="R115" s="520"/>
      <c r="S115" s="520"/>
      <c r="T115" s="520"/>
      <c r="U115" s="520"/>
      <c r="V115" s="520"/>
      <c r="W115" s="520"/>
      <c r="X115" s="520"/>
      <c r="Y115" s="520"/>
      <c r="Z115" s="520"/>
      <c r="AA115" s="520"/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8278" priority="498" operator="greaterThan">
      <formula>60.3</formula>
    </cfRule>
  </conditionalFormatting>
  <conditionalFormatting sqref="F111">
    <cfRule type="cellIs" dxfId="18277" priority="497" operator="greaterThan">
      <formula>60.3</formula>
    </cfRule>
  </conditionalFormatting>
  <conditionalFormatting sqref="H13:J13 N13:O13 D42:E42 H36:J59 L13:L14 N36:AC39 I15:N16 N41:AC46 N57:AC59 L36:L59 P40:AC40 O14:O16 P13:AC16 H62:L64 M51 P47:AC56 P62:AC64">
    <cfRule type="cellIs" dxfId="18276" priority="489" operator="equal">
      <formula>"PMS"</formula>
    </cfRule>
    <cfRule type="containsText" dxfId="18275" priority="490" operator="containsText" text="CMS">
      <formula>NOT(ISERROR(SEARCH("CMS",D13)))</formula>
    </cfRule>
    <cfRule type="cellIs" dxfId="18274" priority="491" operator="equal">
      <formula>0</formula>
    </cfRule>
    <cfRule type="cellIs" dxfId="18273" priority="492" operator="greaterThan">
      <formula>0</formula>
    </cfRule>
    <cfRule type="cellIs" dxfId="18272" priority="493" operator="equal">
      <formula>"PMS"</formula>
    </cfRule>
    <cfRule type="containsText" dxfId="18271" priority="494" operator="containsText" text="CMS">
      <formula>NOT(ISERROR(SEARCH("CMS",D13)))</formula>
    </cfRule>
    <cfRule type="cellIs" dxfId="18270" priority="495" operator="equal">
      <formula>0</formula>
    </cfRule>
    <cfRule type="cellIs" dxfId="18269" priority="496" operator="greaterThan">
      <formula>0</formula>
    </cfRule>
  </conditionalFormatting>
  <conditionalFormatting sqref="H13:J13 N13:O13 D42:E42 H36:J59 L13:L14 N36:AC39 I15:N16 N41:AC46 N57:AC59 L36:L59 P40:AC40 O14:O16 P13:AC16 H62:L64 M51 P47:AC56 P62:AC64">
    <cfRule type="cellIs" dxfId="18268" priority="485" operator="equal">
      <formula>"PMS"</formula>
    </cfRule>
    <cfRule type="containsText" dxfId="18267" priority="486" operator="containsText" text="CMS">
      <formula>NOT(ISERROR(SEARCH("CMS",D13)))</formula>
    </cfRule>
    <cfRule type="cellIs" dxfId="18266" priority="487" operator="equal">
      <formula>0</formula>
    </cfRule>
    <cfRule type="cellIs" dxfId="18265" priority="488" operator="greaterThan">
      <formula>0</formula>
    </cfRule>
  </conditionalFormatting>
  <conditionalFormatting sqref="G67:AC75">
    <cfRule type="cellIs" dxfId="18264" priority="477" operator="equal">
      <formula>"PMS"</formula>
    </cfRule>
    <cfRule type="containsText" dxfId="18263" priority="478" operator="containsText" text="CMS">
      <formula>NOT(ISERROR(SEARCH("CMS",G67)))</formula>
    </cfRule>
    <cfRule type="cellIs" dxfId="18262" priority="479" operator="equal">
      <formula>0</formula>
    </cfRule>
    <cfRule type="cellIs" dxfId="18261" priority="480" operator="greaterThan">
      <formula>0</formula>
    </cfRule>
    <cfRule type="cellIs" dxfId="18260" priority="481" operator="equal">
      <formula>"PMS"</formula>
    </cfRule>
    <cfRule type="containsText" dxfId="18259" priority="482" operator="containsText" text="CMS">
      <formula>NOT(ISERROR(SEARCH("CMS",G67)))</formula>
    </cfRule>
    <cfRule type="cellIs" dxfId="18258" priority="483" operator="equal">
      <formula>0</formula>
    </cfRule>
    <cfRule type="cellIs" dxfId="18257" priority="484" operator="greaterThan">
      <formula>0</formula>
    </cfRule>
  </conditionalFormatting>
  <conditionalFormatting sqref="G67:AC75">
    <cfRule type="cellIs" dxfId="18256" priority="473" operator="equal">
      <formula>"PMS"</formula>
    </cfRule>
    <cfRule type="containsText" dxfId="18255" priority="474" operator="containsText" text="CMS">
      <formula>NOT(ISERROR(SEARCH("CMS",G67)))</formula>
    </cfRule>
    <cfRule type="cellIs" dxfId="18254" priority="475" operator="equal">
      <formula>0</formula>
    </cfRule>
    <cfRule type="cellIs" dxfId="18253" priority="476" operator="greaterThan">
      <formula>0</formula>
    </cfRule>
  </conditionalFormatting>
  <conditionalFormatting sqref="G82:AC82">
    <cfRule type="cellIs" dxfId="18252" priority="465" operator="equal">
      <formula>"PMS"</formula>
    </cfRule>
    <cfRule type="containsText" dxfId="18251" priority="466" operator="containsText" text="CMS">
      <formula>NOT(ISERROR(SEARCH("CMS",G82)))</formula>
    </cfRule>
    <cfRule type="cellIs" dxfId="18250" priority="467" operator="equal">
      <formula>0</formula>
    </cfRule>
    <cfRule type="cellIs" dxfId="18249" priority="468" operator="greaterThan">
      <formula>0</formula>
    </cfRule>
    <cfRule type="cellIs" dxfId="18248" priority="469" operator="equal">
      <formula>"PMS"</formula>
    </cfRule>
    <cfRule type="containsText" dxfId="18247" priority="470" operator="containsText" text="CMS">
      <formula>NOT(ISERROR(SEARCH("CMS",G82)))</formula>
    </cfRule>
    <cfRule type="cellIs" dxfId="18246" priority="471" operator="equal">
      <formula>0</formula>
    </cfRule>
    <cfRule type="cellIs" dxfId="18245" priority="472" operator="greaterThan">
      <formula>0</formula>
    </cfRule>
  </conditionalFormatting>
  <conditionalFormatting sqref="G82:AC82">
    <cfRule type="cellIs" dxfId="18244" priority="461" operator="equal">
      <formula>"PMS"</formula>
    </cfRule>
    <cfRule type="containsText" dxfId="18243" priority="462" operator="containsText" text="CMS">
      <formula>NOT(ISERROR(SEARCH("CMS",G82)))</formula>
    </cfRule>
    <cfRule type="cellIs" dxfId="18242" priority="463" operator="equal">
      <formula>0</formula>
    </cfRule>
    <cfRule type="cellIs" dxfId="18241" priority="464" operator="greaterThan">
      <formula>0</formula>
    </cfRule>
  </conditionalFormatting>
  <conditionalFormatting sqref="I14 M14:N14">
    <cfRule type="cellIs" dxfId="18240" priority="453" operator="equal">
      <formula>"PMS"</formula>
    </cfRule>
    <cfRule type="containsText" dxfId="18239" priority="454" operator="containsText" text="CMS">
      <formula>NOT(ISERROR(SEARCH("CMS",I14)))</formula>
    </cfRule>
    <cfRule type="cellIs" dxfId="18238" priority="455" operator="equal">
      <formula>0</formula>
    </cfRule>
    <cfRule type="cellIs" dxfId="18237" priority="456" operator="greaterThan">
      <formula>0</formula>
    </cfRule>
    <cfRule type="cellIs" dxfId="18236" priority="457" operator="equal">
      <formula>"PMS"</formula>
    </cfRule>
    <cfRule type="containsText" dxfId="18235" priority="458" operator="containsText" text="CMS">
      <formula>NOT(ISERROR(SEARCH("CMS",I14)))</formula>
    </cfRule>
    <cfRule type="cellIs" dxfId="18234" priority="459" operator="equal">
      <formula>0</formula>
    </cfRule>
    <cfRule type="cellIs" dxfId="18233" priority="460" operator="greaterThan">
      <formula>0</formula>
    </cfRule>
  </conditionalFormatting>
  <conditionalFormatting sqref="I14 M14:N14">
    <cfRule type="cellIs" dxfId="18232" priority="449" operator="equal">
      <formula>"PMS"</formula>
    </cfRule>
    <cfRule type="containsText" dxfId="18231" priority="450" operator="containsText" text="CMS">
      <formula>NOT(ISERROR(SEARCH("CMS",I14)))</formula>
    </cfRule>
    <cfRule type="cellIs" dxfId="18230" priority="451" operator="equal">
      <formula>0</formula>
    </cfRule>
    <cfRule type="cellIs" dxfId="18229" priority="452" operator="greaterThan">
      <formula>0</formula>
    </cfRule>
  </conditionalFormatting>
  <conditionalFormatting sqref="G13">
    <cfRule type="cellIs" dxfId="18228" priority="441" operator="equal">
      <formula>"PMS"</formula>
    </cfRule>
    <cfRule type="containsText" dxfId="18227" priority="442" operator="containsText" text="CMS">
      <formula>NOT(ISERROR(SEARCH("CMS",G13)))</formula>
    </cfRule>
    <cfRule type="cellIs" dxfId="18226" priority="443" operator="equal">
      <formula>0</formula>
    </cfRule>
    <cfRule type="cellIs" dxfId="18225" priority="444" operator="greaterThan">
      <formula>0</formula>
    </cfRule>
    <cfRule type="cellIs" dxfId="18224" priority="445" operator="equal">
      <formula>"PMS"</formula>
    </cfRule>
    <cfRule type="containsText" dxfId="18223" priority="446" operator="containsText" text="CMS">
      <formula>NOT(ISERROR(SEARCH("CMS",G13)))</formula>
    </cfRule>
    <cfRule type="cellIs" dxfId="18222" priority="447" operator="equal">
      <formula>0</formula>
    </cfRule>
    <cfRule type="cellIs" dxfId="18221" priority="448" operator="greaterThan">
      <formula>0</formula>
    </cfRule>
  </conditionalFormatting>
  <conditionalFormatting sqref="G13">
    <cfRule type="cellIs" dxfId="18220" priority="437" operator="equal">
      <formula>"PMS"</formula>
    </cfRule>
    <cfRule type="containsText" dxfId="18219" priority="438" operator="containsText" text="CMS">
      <formula>NOT(ISERROR(SEARCH("CMS",G13)))</formula>
    </cfRule>
    <cfRule type="cellIs" dxfId="18218" priority="439" operator="equal">
      <formula>0</formula>
    </cfRule>
    <cfRule type="cellIs" dxfId="18217" priority="440" operator="greaterThan">
      <formula>0</formula>
    </cfRule>
  </conditionalFormatting>
  <conditionalFormatting sqref="M13">
    <cfRule type="cellIs" dxfId="18216" priority="429" operator="equal">
      <formula>"PMS"</formula>
    </cfRule>
    <cfRule type="containsText" dxfId="18215" priority="430" operator="containsText" text="CMS">
      <formula>NOT(ISERROR(SEARCH("CMS",M13)))</formula>
    </cfRule>
    <cfRule type="cellIs" dxfId="18214" priority="431" operator="equal">
      <formula>0</formula>
    </cfRule>
    <cfRule type="cellIs" dxfId="18213" priority="432" operator="greaterThan">
      <formula>0</formula>
    </cfRule>
    <cfRule type="cellIs" dxfId="18212" priority="433" operator="equal">
      <formula>"PMS"</formula>
    </cfRule>
    <cfRule type="containsText" dxfId="18211" priority="434" operator="containsText" text="CMS">
      <formula>NOT(ISERROR(SEARCH("CMS",M13)))</formula>
    </cfRule>
    <cfRule type="cellIs" dxfId="18210" priority="435" operator="equal">
      <formula>0</formula>
    </cfRule>
    <cfRule type="cellIs" dxfId="18209" priority="436" operator="greaterThan">
      <formula>0</formula>
    </cfRule>
  </conditionalFormatting>
  <conditionalFormatting sqref="M13">
    <cfRule type="cellIs" dxfId="18208" priority="425" operator="equal">
      <formula>"PMS"</formula>
    </cfRule>
    <cfRule type="containsText" dxfId="18207" priority="426" operator="containsText" text="CMS">
      <formula>NOT(ISERROR(SEARCH("CMS",M13)))</formula>
    </cfRule>
    <cfRule type="cellIs" dxfId="18206" priority="427" operator="equal">
      <formula>0</formula>
    </cfRule>
    <cfRule type="cellIs" dxfId="18205" priority="428" operator="greaterThan">
      <formula>0</formula>
    </cfRule>
  </conditionalFormatting>
  <conditionalFormatting sqref="K13">
    <cfRule type="cellIs" dxfId="18204" priority="417" operator="equal">
      <formula>"PMS"</formula>
    </cfRule>
    <cfRule type="containsText" dxfId="18203" priority="418" operator="containsText" text="CMS">
      <formula>NOT(ISERROR(SEARCH("CMS",K13)))</formula>
    </cfRule>
    <cfRule type="cellIs" dxfId="18202" priority="419" operator="equal">
      <formula>0</formula>
    </cfRule>
    <cfRule type="cellIs" dxfId="18201" priority="420" operator="greaterThan">
      <formula>0</formula>
    </cfRule>
    <cfRule type="cellIs" dxfId="18200" priority="421" operator="equal">
      <formula>"PMS"</formula>
    </cfRule>
    <cfRule type="containsText" dxfId="18199" priority="422" operator="containsText" text="CMS">
      <formula>NOT(ISERROR(SEARCH("CMS",K13)))</formula>
    </cfRule>
    <cfRule type="cellIs" dxfId="18198" priority="423" operator="equal">
      <formula>0</formula>
    </cfRule>
    <cfRule type="cellIs" dxfId="18197" priority="424" operator="greaterThan">
      <formula>0</formula>
    </cfRule>
  </conditionalFormatting>
  <conditionalFormatting sqref="K13">
    <cfRule type="cellIs" dxfId="18196" priority="413" operator="equal">
      <formula>"PMS"</formula>
    </cfRule>
    <cfRule type="containsText" dxfId="18195" priority="414" operator="containsText" text="CMS">
      <formula>NOT(ISERROR(SEARCH("CMS",K13)))</formula>
    </cfRule>
    <cfRule type="cellIs" dxfId="18194" priority="415" operator="equal">
      <formula>0</formula>
    </cfRule>
    <cfRule type="cellIs" dxfId="18193" priority="416" operator="greaterThan">
      <formula>0</formula>
    </cfRule>
  </conditionalFormatting>
  <conditionalFormatting sqref="G113:AC113">
    <cfRule type="cellIs" dxfId="18192" priority="412" operator="greaterThan">
      <formula>60.3</formula>
    </cfRule>
  </conditionalFormatting>
  <conditionalFormatting sqref="H112:M112">
    <cfRule type="cellIs" dxfId="18191" priority="411" operator="greaterThan">
      <formula>60.3</formula>
    </cfRule>
  </conditionalFormatting>
  <conditionalFormatting sqref="F112:G112">
    <cfRule type="cellIs" dxfId="18190" priority="410" operator="greaterThan">
      <formula>60.3</formula>
    </cfRule>
  </conditionalFormatting>
  <conditionalFormatting sqref="N112:AC112">
    <cfRule type="cellIs" dxfId="18189" priority="409" operator="greaterThan">
      <formula>60.3</formula>
    </cfRule>
  </conditionalFormatting>
  <conditionalFormatting sqref="G14:G16">
    <cfRule type="cellIs" dxfId="18188" priority="401" operator="equal">
      <formula>"PMS"</formula>
    </cfRule>
    <cfRule type="containsText" dxfId="18187" priority="402" operator="containsText" text="CMS">
      <formula>NOT(ISERROR(SEARCH("CMS",G14)))</formula>
    </cfRule>
    <cfRule type="cellIs" dxfId="18186" priority="403" operator="equal">
      <formula>0</formula>
    </cfRule>
    <cfRule type="cellIs" dxfId="18185" priority="404" operator="greaterThan">
      <formula>0</formula>
    </cfRule>
    <cfRule type="cellIs" dxfId="18184" priority="405" operator="equal">
      <formula>"PMS"</formula>
    </cfRule>
    <cfRule type="containsText" dxfId="18183" priority="406" operator="containsText" text="CMS">
      <formula>NOT(ISERROR(SEARCH("CMS",G14)))</formula>
    </cfRule>
    <cfRule type="cellIs" dxfId="18182" priority="407" operator="equal">
      <formula>0</formula>
    </cfRule>
    <cfRule type="cellIs" dxfId="18181" priority="408" operator="greaterThan">
      <formula>0</formula>
    </cfRule>
  </conditionalFormatting>
  <conditionalFormatting sqref="G14:G16">
    <cfRule type="cellIs" dxfId="18180" priority="397" operator="equal">
      <formula>"PMS"</formula>
    </cfRule>
    <cfRule type="containsText" dxfId="18179" priority="398" operator="containsText" text="CMS">
      <formula>NOT(ISERROR(SEARCH("CMS",G14)))</formula>
    </cfRule>
    <cfRule type="cellIs" dxfId="18178" priority="399" operator="equal">
      <formula>0</formula>
    </cfRule>
    <cfRule type="cellIs" dxfId="18177" priority="400" operator="greaterThan">
      <formula>0</formula>
    </cfRule>
  </conditionalFormatting>
  <conditionalFormatting sqref="H14 H16">
    <cfRule type="cellIs" dxfId="18176" priority="389" operator="equal">
      <formula>"PMS"</formula>
    </cfRule>
    <cfRule type="containsText" dxfId="18175" priority="390" operator="containsText" text="CMS">
      <formula>NOT(ISERROR(SEARCH("CMS",H14)))</formula>
    </cfRule>
    <cfRule type="cellIs" dxfId="18174" priority="391" operator="equal">
      <formula>0</formula>
    </cfRule>
    <cfRule type="cellIs" dxfId="18173" priority="392" operator="greaterThan">
      <formula>0</formula>
    </cfRule>
    <cfRule type="cellIs" dxfId="18172" priority="393" operator="equal">
      <formula>"PMS"</formula>
    </cfRule>
    <cfRule type="containsText" dxfId="18171" priority="394" operator="containsText" text="CMS">
      <formula>NOT(ISERROR(SEARCH("CMS",H14)))</formula>
    </cfRule>
    <cfRule type="cellIs" dxfId="18170" priority="395" operator="equal">
      <formula>0</formula>
    </cfRule>
    <cfRule type="cellIs" dxfId="18169" priority="396" operator="greaterThan">
      <formula>0</formula>
    </cfRule>
  </conditionalFormatting>
  <conditionalFormatting sqref="H14 H16">
    <cfRule type="cellIs" dxfId="18168" priority="385" operator="equal">
      <formula>"PMS"</formula>
    </cfRule>
    <cfRule type="containsText" dxfId="18167" priority="386" operator="containsText" text="CMS">
      <formula>NOT(ISERROR(SEARCH("CMS",H14)))</formula>
    </cfRule>
    <cfRule type="cellIs" dxfId="18166" priority="387" operator="equal">
      <formula>0</formula>
    </cfRule>
    <cfRule type="cellIs" dxfId="18165" priority="388" operator="greaterThan">
      <formula>0</formula>
    </cfRule>
  </conditionalFormatting>
  <conditionalFormatting sqref="G36:G38 G57:G59">
    <cfRule type="cellIs" dxfId="18164" priority="377" operator="equal">
      <formula>"PMS"</formula>
    </cfRule>
    <cfRule type="containsText" dxfId="18163" priority="378" operator="containsText" text="CMS">
      <formula>NOT(ISERROR(SEARCH("CMS",G36)))</formula>
    </cfRule>
    <cfRule type="cellIs" dxfId="18162" priority="379" operator="equal">
      <formula>0</formula>
    </cfRule>
    <cfRule type="cellIs" dxfId="18161" priority="380" operator="greaterThan">
      <formula>0</formula>
    </cfRule>
    <cfRule type="cellIs" dxfId="18160" priority="381" operator="equal">
      <formula>"PMS"</formula>
    </cfRule>
    <cfRule type="containsText" dxfId="18159" priority="382" operator="containsText" text="CMS">
      <formula>NOT(ISERROR(SEARCH("CMS",G36)))</formula>
    </cfRule>
    <cfRule type="cellIs" dxfId="18158" priority="383" operator="equal">
      <formula>0</formula>
    </cfRule>
    <cfRule type="cellIs" dxfId="18157" priority="384" operator="greaterThan">
      <formula>0</formula>
    </cfRule>
  </conditionalFormatting>
  <conditionalFormatting sqref="G36:G38 G57:G59">
    <cfRule type="cellIs" dxfId="18156" priority="373" operator="equal">
      <formula>"PMS"</formula>
    </cfRule>
    <cfRule type="containsText" dxfId="18155" priority="374" operator="containsText" text="CMS">
      <formula>NOT(ISERROR(SEARCH("CMS",G36)))</formula>
    </cfRule>
    <cfRule type="cellIs" dxfId="18154" priority="375" operator="equal">
      <formula>0</formula>
    </cfRule>
    <cfRule type="cellIs" dxfId="18153" priority="376" operator="greaterThan">
      <formula>0</formula>
    </cfRule>
  </conditionalFormatting>
  <conditionalFormatting sqref="M36:M38 M57:M59">
    <cfRule type="cellIs" dxfId="18152" priority="365" operator="equal">
      <formula>"PMS"</formula>
    </cfRule>
    <cfRule type="containsText" dxfId="18151" priority="366" operator="containsText" text="CMS">
      <formula>NOT(ISERROR(SEARCH("CMS",M36)))</formula>
    </cfRule>
    <cfRule type="cellIs" dxfId="18150" priority="367" operator="equal">
      <formula>0</formula>
    </cfRule>
    <cfRule type="cellIs" dxfId="18149" priority="368" operator="greaterThan">
      <formula>0</formula>
    </cfRule>
    <cfRule type="cellIs" dxfId="18148" priority="369" operator="equal">
      <formula>"PMS"</formula>
    </cfRule>
    <cfRule type="containsText" dxfId="18147" priority="370" operator="containsText" text="CMS">
      <formula>NOT(ISERROR(SEARCH("CMS",M36)))</formula>
    </cfRule>
    <cfRule type="cellIs" dxfId="18146" priority="371" operator="equal">
      <formula>0</formula>
    </cfRule>
    <cfRule type="cellIs" dxfId="18145" priority="372" operator="greaterThan">
      <formula>0</formula>
    </cfRule>
  </conditionalFormatting>
  <conditionalFormatting sqref="M36:M38 M57:M59">
    <cfRule type="cellIs" dxfId="18144" priority="361" operator="equal">
      <formula>"PMS"</formula>
    </cfRule>
    <cfRule type="containsText" dxfId="18143" priority="362" operator="containsText" text="CMS">
      <formula>NOT(ISERROR(SEARCH("CMS",M36)))</formula>
    </cfRule>
    <cfRule type="cellIs" dxfId="18142" priority="363" operator="equal">
      <formula>0</formula>
    </cfRule>
    <cfRule type="cellIs" dxfId="18141" priority="364" operator="greaterThan">
      <formula>0</formula>
    </cfRule>
  </conditionalFormatting>
  <conditionalFormatting sqref="K36:K38 K57:K59">
    <cfRule type="cellIs" dxfId="18140" priority="353" operator="equal">
      <formula>"PMS"</formula>
    </cfRule>
    <cfRule type="containsText" dxfId="18139" priority="354" operator="containsText" text="CMS">
      <formula>NOT(ISERROR(SEARCH("CMS",K36)))</formula>
    </cfRule>
    <cfRule type="cellIs" dxfId="18138" priority="355" operator="equal">
      <formula>0</formula>
    </cfRule>
    <cfRule type="cellIs" dxfId="18137" priority="356" operator="greaterThan">
      <formula>0</formula>
    </cfRule>
    <cfRule type="cellIs" dxfId="18136" priority="357" operator="equal">
      <formula>"PMS"</formula>
    </cfRule>
    <cfRule type="containsText" dxfId="18135" priority="358" operator="containsText" text="CMS">
      <formula>NOT(ISERROR(SEARCH("CMS",K36)))</formula>
    </cfRule>
    <cfRule type="cellIs" dxfId="18134" priority="359" operator="equal">
      <formula>0</formula>
    </cfRule>
    <cfRule type="cellIs" dxfId="18133" priority="360" operator="greaterThan">
      <formula>0</formula>
    </cfRule>
  </conditionalFormatting>
  <conditionalFormatting sqref="K36:K38 K57:K59">
    <cfRule type="cellIs" dxfId="18132" priority="349" operator="equal">
      <formula>"PMS"</formula>
    </cfRule>
    <cfRule type="containsText" dxfId="18131" priority="350" operator="containsText" text="CMS">
      <formula>NOT(ISERROR(SEARCH("CMS",K36)))</formula>
    </cfRule>
    <cfRule type="cellIs" dxfId="18130" priority="351" operator="equal">
      <formula>0</formula>
    </cfRule>
    <cfRule type="cellIs" dxfId="18129" priority="352" operator="greaterThan">
      <formula>0</formula>
    </cfRule>
  </conditionalFormatting>
  <conditionalFormatting sqref="K14">
    <cfRule type="cellIs" dxfId="18128" priority="341" operator="equal">
      <formula>"PMS"</formula>
    </cfRule>
    <cfRule type="containsText" dxfId="18127" priority="342" operator="containsText" text="CMS">
      <formula>NOT(ISERROR(SEARCH("CMS",K14)))</formula>
    </cfRule>
    <cfRule type="cellIs" dxfId="18126" priority="343" operator="equal">
      <formula>0</formula>
    </cfRule>
    <cfRule type="cellIs" dxfId="18125" priority="344" operator="greaterThan">
      <formula>0</formula>
    </cfRule>
    <cfRule type="cellIs" dxfId="18124" priority="345" operator="equal">
      <formula>"PMS"</formula>
    </cfRule>
    <cfRule type="containsText" dxfId="18123" priority="346" operator="containsText" text="CMS">
      <formula>NOT(ISERROR(SEARCH("CMS",K14)))</formula>
    </cfRule>
    <cfRule type="cellIs" dxfId="18122" priority="347" operator="equal">
      <formula>0</formula>
    </cfRule>
    <cfRule type="cellIs" dxfId="18121" priority="348" operator="greaterThan">
      <formula>0</formula>
    </cfRule>
  </conditionalFormatting>
  <conditionalFormatting sqref="K14">
    <cfRule type="cellIs" dxfId="18120" priority="337" operator="equal">
      <formula>"PMS"</formula>
    </cfRule>
    <cfRule type="containsText" dxfId="18119" priority="338" operator="containsText" text="CMS">
      <formula>NOT(ISERROR(SEARCH("CMS",K14)))</formula>
    </cfRule>
    <cfRule type="cellIs" dxfId="18118" priority="339" operator="equal">
      <formula>0</formula>
    </cfRule>
    <cfRule type="cellIs" dxfId="18117" priority="340" operator="greaterThan">
      <formula>0</formula>
    </cfRule>
  </conditionalFormatting>
  <conditionalFormatting sqref="G49 G52:G55">
    <cfRule type="cellIs" dxfId="18116" priority="329" operator="equal">
      <formula>"PMS"</formula>
    </cfRule>
    <cfRule type="containsText" dxfId="18115" priority="330" operator="containsText" text="CMS">
      <formula>NOT(ISERROR(SEARCH("CMS",G49)))</formula>
    </cfRule>
    <cfRule type="cellIs" dxfId="18114" priority="331" operator="equal">
      <formula>0</formula>
    </cfRule>
    <cfRule type="cellIs" dxfId="18113" priority="332" operator="greaterThan">
      <formula>0</formula>
    </cfRule>
    <cfRule type="cellIs" dxfId="18112" priority="333" operator="equal">
      <formula>"PMS"</formula>
    </cfRule>
    <cfRule type="containsText" dxfId="18111" priority="334" operator="containsText" text="CMS">
      <formula>NOT(ISERROR(SEARCH("CMS",G49)))</formula>
    </cfRule>
    <cfRule type="cellIs" dxfId="18110" priority="335" operator="equal">
      <formula>0</formula>
    </cfRule>
    <cfRule type="cellIs" dxfId="18109" priority="336" operator="greaterThan">
      <formula>0</formula>
    </cfRule>
  </conditionalFormatting>
  <conditionalFormatting sqref="G49 G52:G55">
    <cfRule type="cellIs" dxfId="18108" priority="325" operator="equal">
      <formula>"PMS"</formula>
    </cfRule>
    <cfRule type="containsText" dxfId="18107" priority="326" operator="containsText" text="CMS">
      <formula>NOT(ISERROR(SEARCH("CMS",G49)))</formula>
    </cfRule>
    <cfRule type="cellIs" dxfId="18106" priority="327" operator="equal">
      <formula>0</formula>
    </cfRule>
    <cfRule type="cellIs" dxfId="18105" priority="328" operator="greaterThan">
      <formula>0</formula>
    </cfRule>
  </conditionalFormatting>
  <conditionalFormatting sqref="M49:N49 M52:M55">
    <cfRule type="cellIs" dxfId="18104" priority="317" operator="equal">
      <formula>"PMS"</formula>
    </cfRule>
    <cfRule type="containsText" dxfId="18103" priority="318" operator="containsText" text="CMS">
      <formula>NOT(ISERROR(SEARCH("CMS",M49)))</formula>
    </cfRule>
    <cfRule type="cellIs" dxfId="18102" priority="319" operator="equal">
      <formula>0</formula>
    </cfRule>
    <cfRule type="cellIs" dxfId="18101" priority="320" operator="greaterThan">
      <formula>0</formula>
    </cfRule>
    <cfRule type="cellIs" dxfId="18100" priority="321" operator="equal">
      <formula>"PMS"</formula>
    </cfRule>
    <cfRule type="containsText" dxfId="18099" priority="322" operator="containsText" text="CMS">
      <formula>NOT(ISERROR(SEARCH("CMS",M49)))</formula>
    </cfRule>
    <cfRule type="cellIs" dxfId="18098" priority="323" operator="equal">
      <formula>0</formula>
    </cfRule>
    <cfRule type="cellIs" dxfId="18097" priority="324" operator="greaterThan">
      <formula>0</formula>
    </cfRule>
  </conditionalFormatting>
  <conditionalFormatting sqref="M49:N49 M52:M55">
    <cfRule type="cellIs" dxfId="18096" priority="313" operator="equal">
      <formula>"PMS"</formula>
    </cfRule>
    <cfRule type="containsText" dxfId="18095" priority="314" operator="containsText" text="CMS">
      <formula>NOT(ISERROR(SEARCH("CMS",M49)))</formula>
    </cfRule>
    <cfRule type="cellIs" dxfId="18094" priority="315" operator="equal">
      <formula>0</formula>
    </cfRule>
    <cfRule type="cellIs" dxfId="18093" priority="316" operator="greaterThan">
      <formula>0</formula>
    </cfRule>
  </conditionalFormatting>
  <conditionalFormatting sqref="K49 K52:K55">
    <cfRule type="cellIs" dxfId="18092" priority="305" operator="equal">
      <formula>"PMS"</formula>
    </cfRule>
    <cfRule type="containsText" dxfId="18091" priority="306" operator="containsText" text="CMS">
      <formula>NOT(ISERROR(SEARCH("CMS",K49)))</formula>
    </cfRule>
    <cfRule type="cellIs" dxfId="18090" priority="307" operator="equal">
      <formula>0</formula>
    </cfRule>
    <cfRule type="cellIs" dxfId="18089" priority="308" operator="greaterThan">
      <formula>0</formula>
    </cfRule>
    <cfRule type="cellIs" dxfId="18088" priority="309" operator="equal">
      <formula>"PMS"</formula>
    </cfRule>
    <cfRule type="containsText" dxfId="18087" priority="310" operator="containsText" text="CMS">
      <formula>NOT(ISERROR(SEARCH("CMS",K49)))</formula>
    </cfRule>
    <cfRule type="cellIs" dxfId="18086" priority="311" operator="equal">
      <formula>0</formula>
    </cfRule>
    <cfRule type="cellIs" dxfId="18085" priority="312" operator="greaterThan">
      <formula>0</formula>
    </cfRule>
  </conditionalFormatting>
  <conditionalFormatting sqref="K49 K52:K55">
    <cfRule type="cellIs" dxfId="18084" priority="301" operator="equal">
      <formula>"PMS"</formula>
    </cfRule>
    <cfRule type="containsText" dxfId="18083" priority="302" operator="containsText" text="CMS">
      <formula>NOT(ISERROR(SEARCH("CMS",K49)))</formula>
    </cfRule>
    <cfRule type="cellIs" dxfId="18082" priority="303" operator="equal">
      <formula>0</formula>
    </cfRule>
    <cfRule type="cellIs" dxfId="18081" priority="304" operator="greaterThan">
      <formula>0</formula>
    </cfRule>
  </conditionalFormatting>
  <conditionalFormatting sqref="L78:L79 H33:J33 L33 L27:L30 H24:J24 H19:J20 L20:L21 V28:AC28 M21 Q28:T28 N28:P29 N33:AC33 N30 P30 Q29:AC30 H27:J30 H78:J79 N19:AC21 L24:AC24 H21:K21 O78:AC79 K19:M19">
    <cfRule type="cellIs" dxfId="18080" priority="293" operator="equal">
      <formula>"PMS"</formula>
    </cfRule>
    <cfRule type="containsText" dxfId="18079" priority="294" operator="containsText" text="CMS">
      <formula>NOT(ISERROR(SEARCH("CMS",H19)))</formula>
    </cfRule>
    <cfRule type="cellIs" dxfId="18078" priority="295" operator="equal">
      <formula>0</formula>
    </cfRule>
    <cfRule type="cellIs" dxfId="18077" priority="296" operator="greaterThan">
      <formula>0</formula>
    </cfRule>
    <cfRule type="cellIs" dxfId="18076" priority="297" operator="equal">
      <formula>"PMS"</formula>
    </cfRule>
    <cfRule type="containsText" dxfId="18075" priority="298" operator="containsText" text="CMS">
      <formula>NOT(ISERROR(SEARCH("CMS",H19)))</formula>
    </cfRule>
    <cfRule type="cellIs" dxfId="18074" priority="299" operator="equal">
      <formula>0</formula>
    </cfRule>
    <cfRule type="cellIs" dxfId="18073" priority="300" operator="greaterThan">
      <formula>0</formula>
    </cfRule>
  </conditionalFormatting>
  <conditionalFormatting sqref="L78:L79 H33:J33 L33 L27:L30 H24:J24 H19:J20 L20:L21 V28:AC28 M21 Q28:T28 N28:P29 N33:AC33 N30 P30 Q29:AC30 H27:J30 H78:J79 N19:AC21 L24:AC24 H21:K21 O78:AC79 K19:M19">
    <cfRule type="cellIs" dxfId="18072" priority="289" operator="equal">
      <formula>"PMS"</formula>
    </cfRule>
    <cfRule type="containsText" dxfId="18071" priority="290" operator="containsText" text="CMS">
      <formula>NOT(ISERROR(SEARCH("CMS",H19)))</formula>
    </cfRule>
    <cfRule type="cellIs" dxfId="18070" priority="291" operator="equal">
      <formula>0</formula>
    </cfRule>
    <cfRule type="cellIs" dxfId="18069" priority="292" operator="greaterThan">
      <formula>0</formula>
    </cfRule>
  </conditionalFormatting>
  <conditionalFormatting sqref="G78:G79 G33 G27:G30 G24 G39:G48 G50:G51 G56 G19:G21">
    <cfRule type="cellIs" dxfId="18068" priority="281" operator="equal">
      <formula>"PMS"</formula>
    </cfRule>
    <cfRule type="containsText" dxfId="18067" priority="282" operator="containsText" text="CMS">
      <formula>NOT(ISERROR(SEARCH("CMS",G19)))</formula>
    </cfRule>
    <cfRule type="cellIs" dxfId="18066" priority="283" operator="equal">
      <formula>0</formula>
    </cfRule>
    <cfRule type="cellIs" dxfId="18065" priority="284" operator="greaterThan">
      <formula>0</formula>
    </cfRule>
    <cfRule type="cellIs" dxfId="18064" priority="285" operator="equal">
      <formula>"PMS"</formula>
    </cfRule>
    <cfRule type="containsText" dxfId="18063" priority="286" operator="containsText" text="CMS">
      <formula>NOT(ISERROR(SEARCH("CMS",G19)))</formula>
    </cfRule>
    <cfRule type="cellIs" dxfId="18062" priority="287" operator="equal">
      <formula>0</formula>
    </cfRule>
    <cfRule type="cellIs" dxfId="18061" priority="288" operator="greaterThan">
      <formula>0</formula>
    </cfRule>
  </conditionalFormatting>
  <conditionalFormatting sqref="G78:G79 G33 G27:G30 G24 G39:G48 G50:G51 G56 G19:G21">
    <cfRule type="cellIs" dxfId="18060" priority="277" operator="equal">
      <formula>"PMS"</formula>
    </cfRule>
    <cfRule type="containsText" dxfId="18059" priority="278" operator="containsText" text="CMS">
      <formula>NOT(ISERROR(SEARCH("CMS",G19)))</formula>
    </cfRule>
    <cfRule type="cellIs" dxfId="18058" priority="279" operator="equal">
      <formula>0</formula>
    </cfRule>
    <cfRule type="cellIs" dxfId="18057" priority="280" operator="greaterThan">
      <formula>0</formula>
    </cfRule>
  </conditionalFormatting>
  <conditionalFormatting sqref="M39:M48 M33 M27:M30 M20 AB27:AC27 N27:X27 M78:N79 M62:M64 N47:N48 M50 M56 N50:N56">
    <cfRule type="cellIs" dxfId="18056" priority="269" operator="equal">
      <formula>"PMS"</formula>
    </cfRule>
    <cfRule type="containsText" dxfId="18055" priority="270" operator="containsText" text="CMS">
      <formula>NOT(ISERROR(SEARCH("CMS",M20)))</formula>
    </cfRule>
    <cfRule type="cellIs" dxfId="18054" priority="271" operator="equal">
      <formula>0</formula>
    </cfRule>
    <cfRule type="cellIs" dxfId="18053" priority="272" operator="greaterThan">
      <formula>0</formula>
    </cfRule>
    <cfRule type="cellIs" dxfId="18052" priority="273" operator="equal">
      <formula>"PMS"</formula>
    </cfRule>
    <cfRule type="containsText" dxfId="18051" priority="274" operator="containsText" text="CMS">
      <formula>NOT(ISERROR(SEARCH("CMS",M20)))</formula>
    </cfRule>
    <cfRule type="cellIs" dxfId="18050" priority="275" operator="equal">
      <formula>0</formula>
    </cfRule>
    <cfRule type="cellIs" dxfId="18049" priority="276" operator="greaterThan">
      <formula>0</formula>
    </cfRule>
  </conditionalFormatting>
  <conditionalFormatting sqref="M39:M48 M33 M27:M30 M20 AB27:AC27 N27:X27 M78:N79 M62:M64 N47:N48 M50 M56 N50:N56">
    <cfRule type="cellIs" dxfId="18048" priority="265" operator="equal">
      <formula>"PMS"</formula>
    </cfRule>
    <cfRule type="containsText" dxfId="18047" priority="266" operator="containsText" text="CMS">
      <formula>NOT(ISERROR(SEARCH("CMS",M20)))</formula>
    </cfRule>
    <cfRule type="cellIs" dxfId="18046" priority="267" operator="equal">
      <formula>0</formula>
    </cfRule>
    <cfRule type="cellIs" dxfId="18045" priority="268" operator="greaterThan">
      <formula>0</formula>
    </cfRule>
  </conditionalFormatting>
  <conditionalFormatting sqref="K56 K50:K51 K39:K48 K33 K27 K24 K20 K29:K30 K78:K79">
    <cfRule type="cellIs" dxfId="18044" priority="257" operator="equal">
      <formula>"PMS"</formula>
    </cfRule>
    <cfRule type="containsText" dxfId="18043" priority="258" operator="containsText" text="CMS">
      <formula>NOT(ISERROR(SEARCH("CMS",K20)))</formula>
    </cfRule>
    <cfRule type="cellIs" dxfId="18042" priority="259" operator="equal">
      <formula>0</formula>
    </cfRule>
    <cfRule type="cellIs" dxfId="18041" priority="260" operator="greaterThan">
      <formula>0</formula>
    </cfRule>
    <cfRule type="cellIs" dxfId="18040" priority="261" operator="equal">
      <formula>"PMS"</formula>
    </cfRule>
    <cfRule type="containsText" dxfId="18039" priority="262" operator="containsText" text="CMS">
      <formula>NOT(ISERROR(SEARCH("CMS",K20)))</formula>
    </cfRule>
    <cfRule type="cellIs" dxfId="18038" priority="263" operator="equal">
      <formula>0</formula>
    </cfRule>
    <cfRule type="cellIs" dxfId="18037" priority="264" operator="greaterThan">
      <formula>0</formula>
    </cfRule>
  </conditionalFormatting>
  <conditionalFormatting sqref="K56 K50:K51 K39:K48 K33 K27 K24 K20 K29:K30 K78:K79">
    <cfRule type="cellIs" dxfId="18036" priority="253" operator="equal">
      <formula>"PMS"</formula>
    </cfRule>
    <cfRule type="containsText" dxfId="18035" priority="254" operator="containsText" text="CMS">
      <formula>NOT(ISERROR(SEARCH("CMS",K20)))</formula>
    </cfRule>
    <cfRule type="cellIs" dxfId="18034" priority="255" operator="equal">
      <formula>0</formula>
    </cfRule>
    <cfRule type="cellIs" dxfId="18033" priority="256" operator="greaterThan">
      <formula>0</formula>
    </cfRule>
  </conditionalFormatting>
  <conditionalFormatting sqref="K28">
    <cfRule type="cellIs" dxfId="18032" priority="245" operator="equal">
      <formula>"PMS"</formula>
    </cfRule>
    <cfRule type="containsText" dxfId="18031" priority="246" operator="containsText" text="CMS">
      <formula>NOT(ISERROR(SEARCH("CMS",K28)))</formula>
    </cfRule>
    <cfRule type="cellIs" dxfId="18030" priority="247" operator="equal">
      <formula>0</formula>
    </cfRule>
    <cfRule type="cellIs" dxfId="18029" priority="248" operator="greaterThan">
      <formula>0</formula>
    </cfRule>
    <cfRule type="cellIs" dxfId="18028" priority="249" operator="equal">
      <formula>"PMS"</formula>
    </cfRule>
    <cfRule type="containsText" dxfId="18027" priority="250" operator="containsText" text="CMS">
      <formula>NOT(ISERROR(SEARCH("CMS",K28)))</formula>
    </cfRule>
    <cfRule type="cellIs" dxfId="18026" priority="251" operator="equal">
      <formula>0</formula>
    </cfRule>
    <cfRule type="cellIs" dxfId="18025" priority="252" operator="greaterThan">
      <formula>0</formula>
    </cfRule>
  </conditionalFormatting>
  <conditionalFormatting sqref="K28">
    <cfRule type="cellIs" dxfId="18024" priority="241" operator="equal">
      <formula>"PMS"</formula>
    </cfRule>
    <cfRule type="containsText" dxfId="18023" priority="242" operator="containsText" text="CMS">
      <formula>NOT(ISERROR(SEARCH("CMS",K28)))</formula>
    </cfRule>
    <cfRule type="cellIs" dxfId="18022" priority="243" operator="equal">
      <formula>0</formula>
    </cfRule>
    <cfRule type="cellIs" dxfId="18021" priority="244" operator="greaterThan">
      <formula>0</formula>
    </cfRule>
  </conditionalFormatting>
  <conditionalFormatting sqref="N62:O64">
    <cfRule type="cellIs" dxfId="18020" priority="233" operator="equal">
      <formula>"PMS"</formula>
    </cfRule>
    <cfRule type="containsText" dxfId="18019" priority="234" operator="containsText" text="CMS">
      <formula>NOT(ISERROR(SEARCH("CMS",N62)))</formula>
    </cfRule>
    <cfRule type="cellIs" dxfId="18018" priority="235" operator="equal">
      <formula>0</formula>
    </cfRule>
    <cfRule type="cellIs" dxfId="18017" priority="236" operator="greaterThan">
      <formula>0</formula>
    </cfRule>
    <cfRule type="cellIs" dxfId="18016" priority="237" operator="equal">
      <formula>"PMS"</formula>
    </cfRule>
    <cfRule type="containsText" dxfId="18015" priority="238" operator="containsText" text="CMS">
      <formula>NOT(ISERROR(SEARCH("CMS",N62)))</formula>
    </cfRule>
    <cfRule type="cellIs" dxfId="18014" priority="239" operator="equal">
      <formula>0</formula>
    </cfRule>
    <cfRule type="cellIs" dxfId="18013" priority="240" operator="greaterThan">
      <formula>0</formula>
    </cfRule>
  </conditionalFormatting>
  <conditionalFormatting sqref="N62:O64">
    <cfRule type="cellIs" dxfId="18012" priority="229" operator="equal">
      <formula>"PMS"</formula>
    </cfRule>
    <cfRule type="containsText" dxfId="18011" priority="230" operator="containsText" text="CMS">
      <formula>NOT(ISERROR(SEARCH("CMS",N62)))</formula>
    </cfRule>
    <cfRule type="cellIs" dxfId="18010" priority="231" operator="equal">
      <formula>0</formula>
    </cfRule>
    <cfRule type="cellIs" dxfId="18009" priority="232" operator="greaterThan">
      <formula>0</formula>
    </cfRule>
  </conditionalFormatting>
  <conditionalFormatting sqref="J14">
    <cfRule type="cellIs" dxfId="18008" priority="221" operator="equal">
      <formula>"PMS"</formula>
    </cfRule>
    <cfRule type="containsText" dxfId="18007" priority="222" operator="containsText" text="CMS">
      <formula>NOT(ISERROR(SEARCH("CMS",J14)))</formula>
    </cfRule>
    <cfRule type="cellIs" dxfId="18006" priority="223" operator="equal">
      <formula>0</formula>
    </cfRule>
    <cfRule type="cellIs" dxfId="18005" priority="224" operator="greaterThan">
      <formula>0</formula>
    </cfRule>
    <cfRule type="cellIs" dxfId="18004" priority="225" operator="equal">
      <formula>"PMS"</formula>
    </cfRule>
    <cfRule type="containsText" dxfId="18003" priority="226" operator="containsText" text="CMS">
      <formula>NOT(ISERROR(SEARCH("CMS",J14)))</formula>
    </cfRule>
    <cfRule type="cellIs" dxfId="18002" priority="227" operator="equal">
      <formula>0</formula>
    </cfRule>
    <cfRule type="cellIs" dxfId="18001" priority="228" operator="greaterThan">
      <formula>0</formula>
    </cfRule>
  </conditionalFormatting>
  <conditionalFormatting sqref="J14">
    <cfRule type="cellIs" dxfId="18000" priority="217" operator="equal">
      <formula>"PMS"</formula>
    </cfRule>
    <cfRule type="containsText" dxfId="17999" priority="218" operator="containsText" text="CMS">
      <formula>NOT(ISERROR(SEARCH("CMS",J14)))</formula>
    </cfRule>
    <cfRule type="cellIs" dxfId="17998" priority="219" operator="equal">
      <formula>0</formula>
    </cfRule>
    <cfRule type="cellIs" dxfId="17997" priority="220" operator="greaterThan">
      <formula>0</formula>
    </cfRule>
  </conditionalFormatting>
  <conditionalFormatting sqref="U28">
    <cfRule type="cellIs" dxfId="17996" priority="209" operator="equal">
      <formula>"PMS"</formula>
    </cfRule>
    <cfRule type="containsText" dxfId="17995" priority="210" operator="containsText" text="CMS">
      <formula>NOT(ISERROR(SEARCH("CMS",U28)))</formula>
    </cfRule>
    <cfRule type="cellIs" dxfId="17994" priority="211" operator="equal">
      <formula>0</formula>
    </cfRule>
    <cfRule type="cellIs" dxfId="17993" priority="212" operator="greaterThan">
      <formula>0</formula>
    </cfRule>
    <cfRule type="cellIs" dxfId="17992" priority="213" operator="equal">
      <formula>"PMS"</formula>
    </cfRule>
    <cfRule type="containsText" dxfId="17991" priority="214" operator="containsText" text="CMS">
      <formula>NOT(ISERROR(SEARCH("CMS",U28)))</formula>
    </cfRule>
    <cfRule type="cellIs" dxfId="17990" priority="215" operator="equal">
      <formula>0</formula>
    </cfRule>
    <cfRule type="cellIs" dxfId="17989" priority="216" operator="greaterThan">
      <formula>0</formula>
    </cfRule>
  </conditionalFormatting>
  <conditionalFormatting sqref="U28">
    <cfRule type="cellIs" dxfId="17988" priority="205" operator="equal">
      <formula>"PMS"</formula>
    </cfRule>
    <cfRule type="containsText" dxfId="17987" priority="206" operator="containsText" text="CMS">
      <formula>NOT(ISERROR(SEARCH("CMS",U28)))</formula>
    </cfRule>
    <cfRule type="cellIs" dxfId="17986" priority="207" operator="equal">
      <formula>0</formula>
    </cfRule>
    <cfRule type="cellIs" dxfId="17985" priority="208" operator="greaterThan">
      <formula>0</formula>
    </cfRule>
  </conditionalFormatting>
  <conditionalFormatting sqref="Y27:AA27">
    <cfRule type="cellIs" dxfId="17984" priority="197" operator="equal">
      <formula>"PMS"</formula>
    </cfRule>
    <cfRule type="containsText" dxfId="17983" priority="198" operator="containsText" text="CMS">
      <formula>NOT(ISERROR(SEARCH("CMS",Y27)))</formula>
    </cfRule>
    <cfRule type="cellIs" dxfId="17982" priority="199" operator="equal">
      <formula>0</formula>
    </cfRule>
    <cfRule type="cellIs" dxfId="17981" priority="200" operator="greaterThan">
      <formula>0</formula>
    </cfRule>
    <cfRule type="cellIs" dxfId="17980" priority="201" operator="equal">
      <formula>"PMS"</formula>
    </cfRule>
    <cfRule type="containsText" dxfId="17979" priority="202" operator="containsText" text="CMS">
      <formula>NOT(ISERROR(SEARCH("CMS",Y27)))</formula>
    </cfRule>
    <cfRule type="cellIs" dxfId="17978" priority="203" operator="equal">
      <formula>0</formula>
    </cfRule>
    <cfRule type="cellIs" dxfId="17977" priority="204" operator="greaterThan">
      <formula>0</formula>
    </cfRule>
  </conditionalFormatting>
  <conditionalFormatting sqref="Y27:AA27">
    <cfRule type="cellIs" dxfId="17976" priority="193" operator="equal">
      <formula>"PMS"</formula>
    </cfRule>
    <cfRule type="containsText" dxfId="17975" priority="194" operator="containsText" text="CMS">
      <formula>NOT(ISERROR(SEARCH("CMS",Y27)))</formula>
    </cfRule>
    <cfRule type="cellIs" dxfId="17974" priority="195" operator="equal">
      <formula>0</formula>
    </cfRule>
    <cfRule type="cellIs" dxfId="17973" priority="196" operator="greaterThan">
      <formula>0</formula>
    </cfRule>
  </conditionalFormatting>
  <conditionalFormatting sqref="G62:G64">
    <cfRule type="cellIs" dxfId="17972" priority="185" operator="equal">
      <formula>"PMS"</formula>
    </cfRule>
    <cfRule type="containsText" dxfId="17971" priority="186" operator="containsText" text="CMS">
      <formula>NOT(ISERROR(SEARCH("CMS",G62)))</formula>
    </cfRule>
    <cfRule type="cellIs" dxfId="17970" priority="187" operator="equal">
      <formula>0</formula>
    </cfRule>
    <cfRule type="cellIs" dxfId="17969" priority="188" operator="greaterThan">
      <formula>0</formula>
    </cfRule>
    <cfRule type="cellIs" dxfId="17968" priority="189" operator="equal">
      <formula>"PMS"</formula>
    </cfRule>
    <cfRule type="containsText" dxfId="17967" priority="190" operator="containsText" text="CMS">
      <formula>NOT(ISERROR(SEARCH("CMS",G62)))</formula>
    </cfRule>
    <cfRule type="cellIs" dxfId="17966" priority="191" operator="equal">
      <formula>0</formula>
    </cfRule>
    <cfRule type="cellIs" dxfId="17965" priority="192" operator="greaterThan">
      <formula>0</formula>
    </cfRule>
  </conditionalFormatting>
  <conditionalFormatting sqref="G62:G64">
    <cfRule type="cellIs" dxfId="17964" priority="181" operator="equal">
      <formula>"PMS"</formula>
    </cfRule>
    <cfRule type="containsText" dxfId="17963" priority="182" operator="containsText" text="CMS">
      <formula>NOT(ISERROR(SEARCH("CMS",G62)))</formula>
    </cfRule>
    <cfRule type="cellIs" dxfId="17962" priority="183" operator="equal">
      <formula>0</formula>
    </cfRule>
    <cfRule type="cellIs" dxfId="17961" priority="184" operator="greaterThan">
      <formula>0</formula>
    </cfRule>
  </conditionalFormatting>
  <conditionalFormatting sqref="N40">
    <cfRule type="cellIs" dxfId="17960" priority="173" operator="equal">
      <formula>"PMS"</formula>
    </cfRule>
    <cfRule type="containsText" dxfId="17959" priority="174" operator="containsText" text="CMS">
      <formula>NOT(ISERROR(SEARCH("CMS",N40)))</formula>
    </cfRule>
    <cfRule type="cellIs" dxfId="17958" priority="175" operator="equal">
      <formula>0</formula>
    </cfRule>
    <cfRule type="cellIs" dxfId="17957" priority="176" operator="greaterThan">
      <formula>0</formula>
    </cfRule>
    <cfRule type="cellIs" dxfId="17956" priority="177" operator="equal">
      <formula>"PMS"</formula>
    </cfRule>
    <cfRule type="containsText" dxfId="17955" priority="178" operator="containsText" text="CMS">
      <formula>NOT(ISERROR(SEARCH("CMS",N40)))</formula>
    </cfRule>
    <cfRule type="cellIs" dxfId="17954" priority="179" operator="equal">
      <formula>0</formula>
    </cfRule>
    <cfRule type="cellIs" dxfId="17953" priority="180" operator="greaterThan">
      <formula>0</formula>
    </cfRule>
  </conditionalFormatting>
  <conditionalFormatting sqref="N40">
    <cfRule type="cellIs" dxfId="17952" priority="169" operator="equal">
      <formula>"PMS"</formula>
    </cfRule>
    <cfRule type="containsText" dxfId="17951" priority="170" operator="containsText" text="CMS">
      <formula>NOT(ISERROR(SEARCH("CMS",N40)))</formula>
    </cfRule>
    <cfRule type="cellIs" dxfId="17950" priority="171" operator="equal">
      <formula>0</formula>
    </cfRule>
    <cfRule type="cellIs" dxfId="17949" priority="172" operator="greaterThan">
      <formula>0</formula>
    </cfRule>
  </conditionalFormatting>
  <conditionalFormatting sqref="O30">
    <cfRule type="cellIs" dxfId="17948" priority="161" operator="equal">
      <formula>"PMS"</formula>
    </cfRule>
    <cfRule type="containsText" dxfId="17947" priority="162" operator="containsText" text="CMS">
      <formula>NOT(ISERROR(SEARCH("CMS",O30)))</formula>
    </cfRule>
    <cfRule type="cellIs" dxfId="17946" priority="163" operator="equal">
      <formula>0</formula>
    </cfRule>
    <cfRule type="cellIs" dxfId="17945" priority="164" operator="greaterThan">
      <formula>0</formula>
    </cfRule>
    <cfRule type="cellIs" dxfId="17944" priority="165" operator="equal">
      <formula>"PMS"</formula>
    </cfRule>
    <cfRule type="containsText" dxfId="17943" priority="166" operator="containsText" text="CMS">
      <formula>NOT(ISERROR(SEARCH("CMS",O30)))</formula>
    </cfRule>
    <cfRule type="cellIs" dxfId="17942" priority="167" operator="equal">
      <formula>0</formula>
    </cfRule>
    <cfRule type="cellIs" dxfId="17941" priority="168" operator="greaterThan">
      <formula>0</formula>
    </cfRule>
  </conditionalFormatting>
  <conditionalFormatting sqref="O30">
    <cfRule type="cellIs" dxfId="17940" priority="157" operator="equal">
      <formula>"PMS"</formula>
    </cfRule>
    <cfRule type="containsText" dxfId="17939" priority="158" operator="containsText" text="CMS">
      <formula>NOT(ISERROR(SEARCH("CMS",O30)))</formula>
    </cfRule>
    <cfRule type="cellIs" dxfId="17938" priority="159" operator="equal">
      <formula>0</formula>
    </cfRule>
    <cfRule type="cellIs" dxfId="17937" priority="160" operator="greaterThan">
      <formula>0</formula>
    </cfRule>
  </conditionalFormatting>
  <conditionalFormatting sqref="O47:O56">
    <cfRule type="cellIs" dxfId="17936" priority="149" operator="equal">
      <formula>"PMS"</formula>
    </cfRule>
    <cfRule type="containsText" dxfId="17935" priority="150" operator="containsText" text="CMS">
      <formula>NOT(ISERROR(SEARCH("CMS",O47)))</formula>
    </cfRule>
    <cfRule type="cellIs" dxfId="17934" priority="151" operator="equal">
      <formula>0</formula>
    </cfRule>
    <cfRule type="cellIs" dxfId="17933" priority="152" operator="greaterThan">
      <formula>0</formula>
    </cfRule>
    <cfRule type="cellIs" dxfId="17932" priority="153" operator="equal">
      <formula>"PMS"</formula>
    </cfRule>
    <cfRule type="containsText" dxfId="17931" priority="154" operator="containsText" text="CMS">
      <formula>NOT(ISERROR(SEARCH("CMS",O47)))</formula>
    </cfRule>
    <cfRule type="cellIs" dxfId="17930" priority="155" operator="equal">
      <formula>0</formula>
    </cfRule>
    <cfRule type="cellIs" dxfId="17929" priority="156" operator="greaterThan">
      <formula>0</formula>
    </cfRule>
  </conditionalFormatting>
  <conditionalFormatting sqref="O47:O56">
    <cfRule type="cellIs" dxfId="17928" priority="145" operator="equal">
      <formula>"PMS"</formula>
    </cfRule>
    <cfRule type="containsText" dxfId="17927" priority="146" operator="containsText" text="CMS">
      <formula>NOT(ISERROR(SEARCH("CMS",O47)))</formula>
    </cfRule>
    <cfRule type="cellIs" dxfId="17926" priority="147" operator="equal">
      <formula>0</formula>
    </cfRule>
    <cfRule type="cellIs" dxfId="17925" priority="148" operator="greaterThan">
      <formula>0</formula>
    </cfRule>
  </conditionalFormatting>
  <conditionalFormatting sqref="F82">
    <cfRule type="cellIs" dxfId="17924" priority="113" operator="equal">
      <formula>"PMS"</formula>
    </cfRule>
    <cfRule type="containsText" dxfId="17923" priority="114" operator="containsText" text="CMS">
      <formula>NOT(ISERROR(SEARCH("CMS",F82)))</formula>
    </cfRule>
    <cfRule type="cellIs" dxfId="17922" priority="115" operator="equal">
      <formula>0</formula>
    </cfRule>
    <cfRule type="cellIs" dxfId="17921" priority="116" operator="greaterThan">
      <formula>0</formula>
    </cfRule>
    <cfRule type="cellIs" dxfId="17920" priority="117" operator="equal">
      <formula>"PMS"</formula>
    </cfRule>
    <cfRule type="containsText" dxfId="17919" priority="118" operator="containsText" text="CMS">
      <formula>NOT(ISERROR(SEARCH("CMS",F82)))</formula>
    </cfRule>
    <cfRule type="cellIs" dxfId="17918" priority="119" operator="equal">
      <formula>0</formula>
    </cfRule>
    <cfRule type="cellIs" dxfId="17917" priority="120" operator="greaterThan">
      <formula>0</formula>
    </cfRule>
  </conditionalFormatting>
  <conditionalFormatting sqref="F82">
    <cfRule type="cellIs" dxfId="17916" priority="109" operator="equal">
      <formula>"PMS"</formula>
    </cfRule>
    <cfRule type="containsText" dxfId="17915" priority="110" operator="containsText" text="CMS">
      <formula>NOT(ISERROR(SEARCH("CMS",F82)))</formula>
    </cfRule>
    <cfRule type="cellIs" dxfId="17914" priority="111" operator="equal">
      <formula>0</formula>
    </cfRule>
    <cfRule type="cellIs" dxfId="17913" priority="112" operator="greaterThan">
      <formula>0</formula>
    </cfRule>
  </conditionalFormatting>
  <conditionalFormatting sqref="F36:F59 F13:F16 F62:F64">
    <cfRule type="cellIs" dxfId="17912" priority="77" operator="equal">
      <formula>"PMS"</formula>
    </cfRule>
    <cfRule type="containsText" dxfId="17911" priority="78" operator="containsText" text="CMS">
      <formula>NOT(ISERROR(SEARCH("CMS",F13)))</formula>
    </cfRule>
    <cfRule type="cellIs" dxfId="17910" priority="79" operator="equal">
      <formula>0</formula>
    </cfRule>
    <cfRule type="cellIs" dxfId="17909" priority="80" operator="greaterThan">
      <formula>0</formula>
    </cfRule>
    <cfRule type="cellIs" dxfId="17908" priority="81" operator="equal">
      <formula>"PMS"</formula>
    </cfRule>
    <cfRule type="containsText" dxfId="17907" priority="82" operator="containsText" text="CMS">
      <formula>NOT(ISERROR(SEARCH("CMS",F13)))</formula>
    </cfRule>
    <cfRule type="cellIs" dxfId="17906" priority="83" operator="equal">
      <formula>0</formula>
    </cfRule>
    <cfRule type="cellIs" dxfId="17905" priority="84" operator="greaterThan">
      <formula>0</formula>
    </cfRule>
  </conditionalFormatting>
  <conditionalFormatting sqref="F36:F59 F13:F16 F62:F64">
    <cfRule type="cellIs" dxfId="17904" priority="73" operator="equal">
      <formula>"PMS"</formula>
    </cfRule>
    <cfRule type="containsText" dxfId="17903" priority="74" operator="containsText" text="CMS">
      <formula>NOT(ISERROR(SEARCH("CMS",F13)))</formula>
    </cfRule>
    <cfRule type="cellIs" dxfId="17902" priority="75" operator="equal">
      <formula>0</formula>
    </cfRule>
    <cfRule type="cellIs" dxfId="17901" priority="76" operator="greaterThan">
      <formula>0</formula>
    </cfRule>
  </conditionalFormatting>
  <conditionalFormatting sqref="F67:F75">
    <cfRule type="cellIs" dxfId="17900" priority="65" operator="equal">
      <formula>"PMS"</formula>
    </cfRule>
    <cfRule type="containsText" dxfId="17899" priority="66" operator="containsText" text="CMS">
      <formula>NOT(ISERROR(SEARCH("CMS",F67)))</formula>
    </cfRule>
    <cfRule type="cellIs" dxfId="17898" priority="67" operator="equal">
      <formula>0</formula>
    </cfRule>
    <cfRule type="cellIs" dxfId="17897" priority="68" operator="greaterThan">
      <formula>0</formula>
    </cfRule>
    <cfRule type="cellIs" dxfId="17896" priority="69" operator="equal">
      <formula>"PMS"</formula>
    </cfRule>
    <cfRule type="containsText" dxfId="17895" priority="70" operator="containsText" text="CMS">
      <formula>NOT(ISERROR(SEARCH("CMS",F67)))</formula>
    </cfRule>
    <cfRule type="cellIs" dxfId="17894" priority="71" operator="equal">
      <formula>0</formula>
    </cfRule>
    <cfRule type="cellIs" dxfId="17893" priority="72" operator="greaterThan">
      <formula>0</formula>
    </cfRule>
  </conditionalFormatting>
  <conditionalFormatting sqref="F67:F75">
    <cfRule type="cellIs" dxfId="17892" priority="61" operator="equal">
      <formula>"PMS"</formula>
    </cfRule>
    <cfRule type="containsText" dxfId="17891" priority="62" operator="containsText" text="CMS">
      <formula>NOT(ISERROR(SEARCH("CMS",F67)))</formula>
    </cfRule>
    <cfRule type="cellIs" dxfId="17890" priority="63" operator="equal">
      <formula>0</formula>
    </cfRule>
    <cfRule type="cellIs" dxfId="17889" priority="64" operator="greaterThan">
      <formula>0</formula>
    </cfRule>
  </conditionalFormatting>
  <conditionalFormatting sqref="F33 F28:F30 F19:F21 F24 F78:F79">
    <cfRule type="cellIs" dxfId="17888" priority="53" operator="equal">
      <formula>"PMS"</formula>
    </cfRule>
    <cfRule type="containsText" dxfId="17887" priority="54" operator="containsText" text="CMS">
      <formula>NOT(ISERROR(SEARCH("CMS",F19)))</formula>
    </cfRule>
    <cfRule type="cellIs" dxfId="17886" priority="55" operator="equal">
      <formula>0</formula>
    </cfRule>
    <cfRule type="cellIs" dxfId="17885" priority="56" operator="greaterThan">
      <formula>0</formula>
    </cfRule>
    <cfRule type="cellIs" dxfId="17884" priority="57" operator="equal">
      <formula>"PMS"</formula>
    </cfRule>
    <cfRule type="containsText" dxfId="17883" priority="58" operator="containsText" text="CMS">
      <formula>NOT(ISERROR(SEARCH("CMS",F19)))</formula>
    </cfRule>
    <cfRule type="cellIs" dxfId="17882" priority="59" operator="equal">
      <formula>0</formula>
    </cfRule>
    <cfRule type="cellIs" dxfId="17881" priority="60" operator="greaterThan">
      <formula>0</formula>
    </cfRule>
  </conditionalFormatting>
  <conditionalFormatting sqref="F33 F28:F30 F19:F21 F24 F78:F79">
    <cfRule type="cellIs" dxfId="17880" priority="49" operator="equal">
      <formula>"PMS"</formula>
    </cfRule>
    <cfRule type="containsText" dxfId="17879" priority="50" operator="containsText" text="CMS">
      <formula>NOT(ISERROR(SEARCH("CMS",F19)))</formula>
    </cfRule>
    <cfRule type="cellIs" dxfId="17878" priority="51" operator="equal">
      <formula>0</formula>
    </cfRule>
    <cfRule type="cellIs" dxfId="17877" priority="52" operator="greaterThan">
      <formula>0</formula>
    </cfRule>
  </conditionalFormatting>
  <conditionalFormatting sqref="F27">
    <cfRule type="cellIs" dxfId="17876" priority="41" operator="equal">
      <formula>"PMS"</formula>
    </cfRule>
    <cfRule type="containsText" dxfId="17875" priority="42" operator="containsText" text="CMS">
      <formula>NOT(ISERROR(SEARCH("CMS",F27)))</formula>
    </cfRule>
    <cfRule type="cellIs" dxfId="17874" priority="43" operator="equal">
      <formula>0</formula>
    </cfRule>
    <cfRule type="cellIs" dxfId="17873" priority="44" operator="greaterThan">
      <formula>0</formula>
    </cfRule>
    <cfRule type="cellIs" dxfId="17872" priority="45" operator="equal">
      <formula>"PMS"</formula>
    </cfRule>
    <cfRule type="containsText" dxfId="17871" priority="46" operator="containsText" text="CMS">
      <formula>NOT(ISERROR(SEARCH("CMS",F27)))</formula>
    </cfRule>
    <cfRule type="cellIs" dxfId="17870" priority="47" operator="equal">
      <formula>0</formula>
    </cfRule>
    <cfRule type="cellIs" dxfId="17869" priority="48" operator="greaterThan">
      <formula>0</formula>
    </cfRule>
  </conditionalFormatting>
  <conditionalFormatting sqref="F27">
    <cfRule type="cellIs" dxfId="17868" priority="37" operator="equal">
      <formula>"PMS"</formula>
    </cfRule>
    <cfRule type="containsText" dxfId="17867" priority="38" operator="containsText" text="CMS">
      <formula>NOT(ISERROR(SEARCH("CMS",F27)))</formula>
    </cfRule>
    <cfRule type="cellIs" dxfId="17866" priority="39" operator="equal">
      <formula>0</formula>
    </cfRule>
    <cfRule type="cellIs" dxfId="17865" priority="40" operator="greaterThan">
      <formula>0</formula>
    </cfRule>
  </conditionalFormatting>
  <conditionalFormatting sqref="O40">
    <cfRule type="cellIs" dxfId="17864" priority="17" operator="equal">
      <formula>"PMS"</formula>
    </cfRule>
    <cfRule type="containsText" dxfId="17863" priority="18" operator="containsText" text="CMS">
      <formula>NOT(ISERROR(SEARCH("CMS",O40)))</formula>
    </cfRule>
    <cfRule type="cellIs" dxfId="17862" priority="19" operator="equal">
      <formula>0</formula>
    </cfRule>
    <cfRule type="cellIs" dxfId="17861" priority="20" operator="greaterThan">
      <formula>0</formula>
    </cfRule>
    <cfRule type="cellIs" dxfId="17860" priority="21" operator="equal">
      <formula>"PMS"</formula>
    </cfRule>
    <cfRule type="containsText" dxfId="17859" priority="22" operator="containsText" text="CMS">
      <formula>NOT(ISERROR(SEARCH("CMS",O40)))</formula>
    </cfRule>
    <cfRule type="cellIs" dxfId="17858" priority="23" operator="equal">
      <formula>0</formula>
    </cfRule>
    <cfRule type="cellIs" dxfId="17857" priority="24" operator="greaterThan">
      <formula>0</formula>
    </cfRule>
  </conditionalFormatting>
  <conditionalFormatting sqref="O40">
    <cfRule type="cellIs" dxfId="17856" priority="13" operator="equal">
      <formula>"PMS"</formula>
    </cfRule>
    <cfRule type="containsText" dxfId="17855" priority="14" operator="containsText" text="CMS">
      <formula>NOT(ISERROR(SEARCH("CMS",O40)))</formula>
    </cfRule>
    <cfRule type="cellIs" dxfId="17854" priority="15" operator="equal">
      <formula>0</formula>
    </cfRule>
    <cfRule type="cellIs" dxfId="17853" priority="16" operator="greaterThan">
      <formula>0</formula>
    </cfRule>
  </conditionalFormatting>
  <conditionalFormatting sqref="H15">
    <cfRule type="cellIs" dxfId="17852" priority="5" operator="equal">
      <formula>"PMS"</formula>
    </cfRule>
    <cfRule type="containsText" dxfId="17851" priority="6" operator="containsText" text="CMS">
      <formula>NOT(ISERROR(SEARCH("CMS",H15)))</formula>
    </cfRule>
    <cfRule type="cellIs" dxfId="17850" priority="7" operator="equal">
      <formula>0</formula>
    </cfRule>
    <cfRule type="cellIs" dxfId="17849" priority="8" operator="greaterThan">
      <formula>0</formula>
    </cfRule>
    <cfRule type="cellIs" dxfId="17848" priority="9" operator="equal">
      <formula>"PMS"</formula>
    </cfRule>
    <cfRule type="containsText" dxfId="17847" priority="10" operator="containsText" text="CMS">
      <formula>NOT(ISERROR(SEARCH("CMS",H15)))</formula>
    </cfRule>
    <cfRule type="cellIs" dxfId="17846" priority="11" operator="equal">
      <formula>0</formula>
    </cfRule>
    <cfRule type="cellIs" dxfId="17845" priority="12" operator="greaterThan">
      <formula>0</formula>
    </cfRule>
  </conditionalFormatting>
  <conditionalFormatting sqref="H15">
    <cfRule type="cellIs" dxfId="17844" priority="1" operator="equal">
      <formula>"PMS"</formula>
    </cfRule>
    <cfRule type="containsText" dxfId="17843" priority="2" operator="containsText" text="CMS">
      <formula>NOT(ISERROR(SEARCH("CMS",H15)))</formula>
    </cfRule>
    <cfRule type="cellIs" dxfId="17842" priority="3" operator="equal">
      <formula>0</formula>
    </cfRule>
    <cfRule type="cellIs" dxfId="1784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6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4EDE-2076-4CF8-A417-E278A5896281}">
  <sheetPr codeName="Sheet225"/>
  <dimension ref="A2:DT141"/>
  <sheetViews>
    <sheetView zoomScale="70" zoomScaleNormal="70" workbookViewId="0">
      <pane xSplit="5" ySplit="11" topLeftCell="F12" activePane="bottomRight" state="frozen"/>
      <selection pane="bottomRight" activeCell="W83" sqref="W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416.7999999999999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9" t="s">
        <v>9</v>
      </c>
      <c r="I14" s="357" t="s">
        <v>9</v>
      </c>
      <c r="J14" s="357" t="s">
        <v>9</v>
      </c>
      <c r="K14" s="359" t="s">
        <v>9</v>
      </c>
      <c r="L14" s="359" t="s">
        <v>9</v>
      </c>
      <c r="M14" s="357">
        <v>2.2999999999999998</v>
      </c>
      <c r="N14" s="359">
        <v>6.7</v>
      </c>
      <c r="O14" s="357">
        <v>6.3</v>
      </c>
      <c r="P14" s="357">
        <v>6.8</v>
      </c>
      <c r="Q14" s="357">
        <v>6.7</v>
      </c>
      <c r="R14" s="357">
        <v>6.4</v>
      </c>
      <c r="S14" s="462">
        <v>7</v>
      </c>
      <c r="T14" s="462">
        <v>6.6</v>
      </c>
      <c r="U14" s="357">
        <v>6.4</v>
      </c>
      <c r="V14" s="357">
        <v>6.7</v>
      </c>
      <c r="W14" s="357">
        <v>6.7</v>
      </c>
      <c r="X14" s="357">
        <v>6.6</v>
      </c>
      <c r="Y14" s="357">
        <v>6.6</v>
      </c>
      <c r="Z14" s="462">
        <v>6.5</v>
      </c>
      <c r="AA14" s="462">
        <v>6.6</v>
      </c>
      <c r="AB14" s="357">
        <v>6.7</v>
      </c>
      <c r="AC14" s="357">
        <v>6.2</v>
      </c>
      <c r="AD14" s="41"/>
      <c r="AE14" s="41"/>
      <c r="AF14" s="11">
        <f>COUNTIF(F14:AC14,$AJ$8)</f>
        <v>7</v>
      </c>
      <c r="AG14" s="11">
        <f>COUNTIF(F14:AD14,$AJ$7)</f>
        <v>0</v>
      </c>
      <c r="AH14" s="11">
        <f>COUNT(F14:AC14)</f>
        <v>17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6.7</v>
      </c>
      <c r="G15" s="357">
        <v>6.7</v>
      </c>
      <c r="H15" s="357">
        <v>6.8</v>
      </c>
      <c r="I15" s="357">
        <v>6.8</v>
      </c>
      <c r="J15" s="357">
        <v>6.7</v>
      </c>
      <c r="K15" s="359">
        <v>6.7</v>
      </c>
      <c r="L15" s="359">
        <v>6.6</v>
      </c>
      <c r="M15" s="359">
        <v>5.2</v>
      </c>
      <c r="N15" s="359"/>
      <c r="O15" s="357">
        <v>6</v>
      </c>
      <c r="P15" s="357">
        <v>6.8</v>
      </c>
      <c r="Q15" s="357">
        <v>6.7</v>
      </c>
      <c r="R15" s="357">
        <v>6.4</v>
      </c>
      <c r="S15" s="462">
        <v>7</v>
      </c>
      <c r="T15" s="462">
        <v>6.6</v>
      </c>
      <c r="U15" s="357">
        <v>6.4</v>
      </c>
      <c r="V15" s="462">
        <v>6.7</v>
      </c>
      <c r="W15" s="357">
        <v>6.7</v>
      </c>
      <c r="X15" s="357">
        <v>6.6</v>
      </c>
      <c r="Y15" s="357">
        <v>6.6</v>
      </c>
      <c r="Z15" s="462">
        <v>6.5</v>
      </c>
      <c r="AA15" s="462">
        <v>6.6</v>
      </c>
      <c r="AB15" s="462">
        <v>6.7</v>
      </c>
      <c r="AC15" s="462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6.8</v>
      </c>
      <c r="I16" s="357">
        <v>6.8</v>
      </c>
      <c r="J16" s="357">
        <v>6.7</v>
      </c>
      <c r="K16" s="359">
        <v>6.7</v>
      </c>
      <c r="L16" s="359">
        <v>6.6</v>
      </c>
      <c r="M16" s="359">
        <v>5.2</v>
      </c>
      <c r="N16" s="359">
        <v>6.7</v>
      </c>
      <c r="O16" s="357">
        <v>6.3</v>
      </c>
      <c r="P16" s="357">
        <v>6.8</v>
      </c>
      <c r="Q16" s="357">
        <v>6.7</v>
      </c>
      <c r="R16" s="357">
        <v>6.4</v>
      </c>
      <c r="S16" s="462">
        <v>7</v>
      </c>
      <c r="T16" s="462">
        <v>6.6</v>
      </c>
      <c r="U16" s="357">
        <v>6.4</v>
      </c>
      <c r="V16" s="462">
        <v>6.7</v>
      </c>
      <c r="W16" s="357">
        <v>6.7</v>
      </c>
      <c r="X16" s="357">
        <v>6.6</v>
      </c>
      <c r="Y16" s="357">
        <v>6.6</v>
      </c>
      <c r="Z16" s="462">
        <v>6.5</v>
      </c>
      <c r="AA16" s="462">
        <v>6.6</v>
      </c>
      <c r="AB16" s="462">
        <v>6.7</v>
      </c>
      <c r="AC16" s="357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13.6</v>
      </c>
      <c r="I17" s="19">
        <f t="shared" si="1"/>
        <v>13.6</v>
      </c>
      <c r="J17" s="19">
        <f t="shared" si="1"/>
        <v>13.4</v>
      </c>
      <c r="K17" s="19">
        <f t="shared" si="1"/>
        <v>13.4</v>
      </c>
      <c r="L17" s="19">
        <f t="shared" si="1"/>
        <v>13.2</v>
      </c>
      <c r="M17" s="19">
        <f t="shared" si="1"/>
        <v>12.7</v>
      </c>
      <c r="N17" s="19">
        <f t="shared" si="1"/>
        <v>13.4</v>
      </c>
      <c r="O17" s="19">
        <f t="shared" si="1"/>
        <v>18.600000000000001</v>
      </c>
      <c r="P17" s="19">
        <f t="shared" si="1"/>
        <v>20.399999999999999</v>
      </c>
      <c r="Q17" s="19">
        <f t="shared" si="1"/>
        <v>20.100000000000001</v>
      </c>
      <c r="R17" s="19">
        <f t="shared" si="1"/>
        <v>19.200000000000003</v>
      </c>
      <c r="S17" s="463">
        <f t="shared" si="1"/>
        <v>21</v>
      </c>
      <c r="T17" s="463">
        <f t="shared" si="1"/>
        <v>19.799999999999997</v>
      </c>
      <c r="U17" s="19">
        <f t="shared" si="1"/>
        <v>19.200000000000003</v>
      </c>
      <c r="V17" s="19">
        <f t="shared" si="1"/>
        <v>20.100000000000001</v>
      </c>
      <c r="W17" s="19">
        <f t="shared" si="1"/>
        <v>20.100000000000001</v>
      </c>
      <c r="X17" s="19">
        <f t="shared" si="1"/>
        <v>19.799999999999997</v>
      </c>
      <c r="Y17" s="19">
        <f t="shared" si="1"/>
        <v>19.799999999999997</v>
      </c>
      <c r="Z17" s="463">
        <f t="shared" si="1"/>
        <v>19.5</v>
      </c>
      <c r="AA17" s="463">
        <f t="shared" si="1"/>
        <v>19.799999999999997</v>
      </c>
      <c r="AB17" s="463">
        <f>SUM(AB13:AB16)</f>
        <v>20.100000000000001</v>
      </c>
      <c r="AC17" s="19">
        <f t="shared" si="1"/>
        <v>19.2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54.599999999999994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357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</v>
      </c>
      <c r="G21" s="357"/>
      <c r="H21" s="357"/>
      <c r="I21" s="357"/>
      <c r="J21" s="357"/>
      <c r="K21" s="357"/>
      <c r="L21" s="359">
        <v>1.3</v>
      </c>
      <c r="M21" s="359">
        <v>3</v>
      </c>
      <c r="N21" s="357">
        <v>3.8</v>
      </c>
      <c r="O21" s="357">
        <v>3.8</v>
      </c>
      <c r="P21" s="357">
        <v>3.8</v>
      </c>
      <c r="Q21" s="357">
        <v>3</v>
      </c>
      <c r="R21" s="357">
        <v>3.8</v>
      </c>
      <c r="S21" s="462">
        <v>3.8</v>
      </c>
      <c r="T21" s="462">
        <v>3.5</v>
      </c>
      <c r="U21" s="357">
        <v>3</v>
      </c>
      <c r="V21" s="357">
        <v>3.8</v>
      </c>
      <c r="W21" s="357">
        <v>3</v>
      </c>
      <c r="X21" s="357">
        <v>3.5</v>
      </c>
      <c r="Y21" s="357">
        <v>3</v>
      </c>
      <c r="Z21" s="357">
        <v>3</v>
      </c>
      <c r="AA21" s="357">
        <v>2.5</v>
      </c>
      <c r="AB21" s="357">
        <v>0</v>
      </c>
      <c r="AC21" s="357">
        <v>0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1.3</v>
      </c>
      <c r="M22" s="19">
        <f t="shared" si="3"/>
        <v>3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</v>
      </c>
      <c r="R22" s="19">
        <f t="shared" si="3"/>
        <v>3.8</v>
      </c>
      <c r="S22" s="463">
        <f>SUM(S19:S21)</f>
        <v>3.8</v>
      </c>
      <c r="T22" s="463">
        <f t="shared" ref="T22" si="4">SUM(T19:T21)</f>
        <v>3.5</v>
      </c>
      <c r="U22" s="19">
        <f t="shared" si="3"/>
        <v>3</v>
      </c>
      <c r="V22" s="19">
        <f t="shared" si="3"/>
        <v>3.8</v>
      </c>
      <c r="W22" s="19">
        <f t="shared" si="3"/>
        <v>3</v>
      </c>
      <c r="X22" s="19">
        <f t="shared" si="3"/>
        <v>3.5</v>
      </c>
      <c r="Y22" s="19">
        <f t="shared" si="3"/>
        <v>3</v>
      </c>
      <c r="Z22" s="463">
        <f>SUM(Z19:Z21)</f>
        <v>3</v>
      </c>
      <c r="AA22" s="463">
        <f t="shared" si="3"/>
        <v>2.5</v>
      </c>
      <c r="AB22" s="463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39.5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3.8</v>
      </c>
      <c r="P24" s="359">
        <v>3.8</v>
      </c>
      <c r="Q24" s="357">
        <v>3.8</v>
      </c>
      <c r="R24" s="357">
        <v>3</v>
      </c>
      <c r="S24" s="462">
        <v>3</v>
      </c>
      <c r="T24" s="462">
        <v>3.8</v>
      </c>
      <c r="U24" s="357">
        <v>3</v>
      </c>
      <c r="V24" s="357">
        <v>3.8</v>
      </c>
      <c r="W24" s="357">
        <v>3</v>
      </c>
      <c r="X24" s="357">
        <v>3</v>
      </c>
      <c r="Y24" s="357">
        <v>3</v>
      </c>
      <c r="Z24" s="357">
        <v>2.5</v>
      </c>
      <c r="AA24" s="357">
        <v>0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</v>
      </c>
      <c r="S25" s="463">
        <f t="shared" si="6"/>
        <v>3</v>
      </c>
      <c r="T25" s="463">
        <f t="shared" si="6"/>
        <v>3.8</v>
      </c>
      <c r="U25" s="19">
        <f t="shared" si="6"/>
        <v>3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</v>
      </c>
      <c r="Z25" s="463">
        <f t="shared" si="6"/>
        <v>2.5</v>
      </c>
      <c r="AA25" s="463">
        <f t="shared" si="6"/>
        <v>0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102.19999999999999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</v>
      </c>
      <c r="G27" s="357">
        <v>3.5</v>
      </c>
      <c r="H27" s="357">
        <v>2.5</v>
      </c>
      <c r="I27" s="357">
        <v>2</v>
      </c>
      <c r="J27" s="357">
        <v>2</v>
      </c>
      <c r="K27" s="357">
        <v>3</v>
      </c>
      <c r="L27" s="359">
        <v>3.5</v>
      </c>
      <c r="M27" s="357">
        <v>3.3</v>
      </c>
      <c r="N27" s="357">
        <v>4</v>
      </c>
      <c r="O27" s="357">
        <v>3.5</v>
      </c>
      <c r="P27" s="357"/>
      <c r="Q27" s="357"/>
      <c r="R27" s="357"/>
      <c r="S27" s="462"/>
      <c r="T27" s="462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10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3.5</v>
      </c>
      <c r="H28" s="357">
        <v>2.5</v>
      </c>
      <c r="I28" s="357">
        <v>2.5</v>
      </c>
      <c r="J28" s="359">
        <v>2.5</v>
      </c>
      <c r="K28" s="357">
        <v>3</v>
      </c>
      <c r="L28" s="359">
        <v>3.5</v>
      </c>
      <c r="M28" s="357">
        <v>3.3</v>
      </c>
      <c r="N28" s="357">
        <v>4</v>
      </c>
      <c r="O28" s="357">
        <v>3.5</v>
      </c>
      <c r="P28" s="357">
        <v>3.8</v>
      </c>
      <c r="Q28" s="357">
        <v>3.8</v>
      </c>
      <c r="R28" s="357">
        <v>3</v>
      </c>
      <c r="S28" s="462">
        <v>3.2</v>
      </c>
      <c r="T28" s="359">
        <v>3.2</v>
      </c>
      <c r="U28" s="359">
        <v>3</v>
      </c>
      <c r="V28" s="359">
        <v>3.8</v>
      </c>
      <c r="W28" s="357">
        <v>3</v>
      </c>
      <c r="X28" s="357">
        <v>3</v>
      </c>
      <c r="Y28" s="357">
        <v>3.8</v>
      </c>
      <c r="Z28" s="357">
        <v>2</v>
      </c>
      <c r="AA28" s="357">
        <v>2</v>
      </c>
      <c r="AB28" s="357">
        <v>1.5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110.3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3</v>
      </c>
      <c r="R29" s="357">
        <v>3</v>
      </c>
      <c r="S29" s="462">
        <v>3.3</v>
      </c>
      <c r="T29" s="359">
        <v>3</v>
      </c>
      <c r="U29" s="357">
        <v>3</v>
      </c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 t="s">
        <v>9</v>
      </c>
      <c r="G30" s="359" t="s">
        <v>9</v>
      </c>
      <c r="H30" s="357" t="s">
        <v>9</v>
      </c>
      <c r="I30" s="357" t="s">
        <v>9</v>
      </c>
      <c r="J30" s="357" t="s">
        <v>9</v>
      </c>
      <c r="K30" s="357">
        <v>1</v>
      </c>
      <c r="L30" s="359">
        <v>2</v>
      </c>
      <c r="M30" s="357" t="s">
        <v>9</v>
      </c>
      <c r="N30" s="357" t="s">
        <v>9</v>
      </c>
      <c r="O30" s="357">
        <v>1</v>
      </c>
      <c r="P30" s="357">
        <v>7</v>
      </c>
      <c r="Q30" s="357">
        <v>7</v>
      </c>
      <c r="R30" s="357">
        <v>7</v>
      </c>
      <c r="S30" s="462">
        <v>7</v>
      </c>
      <c r="T30" s="359">
        <v>6.8</v>
      </c>
      <c r="U30" s="359">
        <v>6.5</v>
      </c>
      <c r="V30" s="357">
        <v>7</v>
      </c>
      <c r="W30" s="359">
        <v>7</v>
      </c>
      <c r="X30" s="357">
        <v>6.5</v>
      </c>
      <c r="Y30" s="359">
        <v>7</v>
      </c>
      <c r="Z30" s="357">
        <v>7</v>
      </c>
      <c r="AA30" s="357">
        <v>7</v>
      </c>
      <c r="AB30" s="359">
        <v>5.5</v>
      </c>
      <c r="AC30" s="359">
        <v>2.7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6</v>
      </c>
      <c r="G31" s="19">
        <f>SUM(G27:G30)</f>
        <v>7</v>
      </c>
      <c r="H31" s="19">
        <f t="shared" ref="H31:X31" si="8">SUM(H27:H30)</f>
        <v>5</v>
      </c>
      <c r="I31" s="19">
        <f t="shared" si="8"/>
        <v>4.5</v>
      </c>
      <c r="J31" s="19">
        <f t="shared" si="8"/>
        <v>4.5</v>
      </c>
      <c r="K31" s="19">
        <f t="shared" si="8"/>
        <v>7</v>
      </c>
      <c r="L31" s="19">
        <f t="shared" si="8"/>
        <v>9</v>
      </c>
      <c r="M31" s="19">
        <f t="shared" si="8"/>
        <v>6.6</v>
      </c>
      <c r="N31" s="19">
        <f t="shared" si="8"/>
        <v>8</v>
      </c>
      <c r="O31" s="19">
        <f t="shared" si="8"/>
        <v>8</v>
      </c>
      <c r="P31" s="19">
        <f t="shared" si="8"/>
        <v>10.8</v>
      </c>
      <c r="Q31" s="19">
        <f t="shared" si="8"/>
        <v>13.8</v>
      </c>
      <c r="R31" s="19">
        <f t="shared" si="8"/>
        <v>13</v>
      </c>
      <c r="S31" s="463">
        <f t="shared" si="8"/>
        <v>13.5</v>
      </c>
      <c r="T31" s="463">
        <f t="shared" si="8"/>
        <v>13</v>
      </c>
      <c r="U31" s="19">
        <f t="shared" si="8"/>
        <v>12.5</v>
      </c>
      <c r="V31" s="19">
        <f t="shared" si="8"/>
        <v>10.8</v>
      </c>
      <c r="W31" s="19">
        <f t="shared" si="8"/>
        <v>10</v>
      </c>
      <c r="X31" s="19">
        <f t="shared" si="8"/>
        <v>9.5</v>
      </c>
      <c r="Y31" s="19">
        <f>SUM(Y27:Y30)</f>
        <v>10.8</v>
      </c>
      <c r="Z31" s="19">
        <f t="shared" ref="Z31:AC31" si="9">SUM(Z27:Z30)</f>
        <v>9</v>
      </c>
      <c r="AA31" s="19">
        <f t="shared" si="9"/>
        <v>9</v>
      </c>
      <c r="AB31" s="19">
        <f t="shared" si="9"/>
        <v>7</v>
      </c>
      <c r="AC31" s="19">
        <f t="shared" si="9"/>
        <v>4.2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340.76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14.26</v>
      </c>
      <c r="G33" s="357">
        <v>14.25</v>
      </c>
      <c r="H33" s="357">
        <v>14.26</v>
      </c>
      <c r="I33" s="359">
        <v>14.26</v>
      </c>
      <c r="J33" s="357">
        <v>14.24</v>
      </c>
      <c r="K33" s="357">
        <v>14.24</v>
      </c>
      <c r="L33" s="359">
        <v>14.21</v>
      </c>
      <c r="M33" s="357">
        <v>14.21</v>
      </c>
      <c r="N33" s="357">
        <v>14.24</v>
      </c>
      <c r="O33" s="357">
        <v>14.27</v>
      </c>
      <c r="P33" s="357">
        <v>14.29</v>
      </c>
      <c r="Q33" s="359">
        <v>14.31</v>
      </c>
      <c r="R33" s="357">
        <v>14.29</v>
      </c>
      <c r="S33" s="462">
        <v>14.28</v>
      </c>
      <c r="T33" s="462">
        <v>12.79</v>
      </c>
      <c r="U33" s="357">
        <v>14.27</v>
      </c>
      <c r="V33" s="359">
        <v>14.31</v>
      </c>
      <c r="W33" s="357">
        <v>14.29</v>
      </c>
      <c r="X33" s="357">
        <v>14.3</v>
      </c>
      <c r="Y33" s="357">
        <v>14.32</v>
      </c>
      <c r="Z33" s="357">
        <v>14.27</v>
      </c>
      <c r="AA33" s="357">
        <v>14.23</v>
      </c>
      <c r="AB33" s="357">
        <v>14.33</v>
      </c>
      <c r="AC33" s="357">
        <v>14.04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14.26</v>
      </c>
      <c r="G34" s="19">
        <f t="shared" ref="G34:AC34" si="11">SUM(G33)</f>
        <v>14.25</v>
      </c>
      <c r="H34" s="19">
        <f t="shared" si="11"/>
        <v>14.26</v>
      </c>
      <c r="I34" s="19">
        <f t="shared" si="11"/>
        <v>14.26</v>
      </c>
      <c r="J34" s="19">
        <f t="shared" si="11"/>
        <v>14.24</v>
      </c>
      <c r="K34" s="19">
        <f t="shared" si="11"/>
        <v>14.24</v>
      </c>
      <c r="L34" s="19">
        <f t="shared" si="11"/>
        <v>14.21</v>
      </c>
      <c r="M34" s="19">
        <f t="shared" si="11"/>
        <v>14.21</v>
      </c>
      <c r="N34" s="19">
        <f t="shared" si="11"/>
        <v>14.24</v>
      </c>
      <c r="O34" s="19">
        <f t="shared" si="11"/>
        <v>14.27</v>
      </c>
      <c r="P34" s="19">
        <f t="shared" si="11"/>
        <v>14.29</v>
      </c>
      <c r="Q34" s="19">
        <f t="shared" si="11"/>
        <v>14.31</v>
      </c>
      <c r="R34" s="19">
        <f t="shared" si="11"/>
        <v>14.29</v>
      </c>
      <c r="S34" s="19">
        <f t="shared" si="11"/>
        <v>14.28</v>
      </c>
      <c r="T34" s="463">
        <f t="shared" si="11"/>
        <v>12.79</v>
      </c>
      <c r="U34" s="19">
        <f t="shared" si="11"/>
        <v>14.27</v>
      </c>
      <c r="V34" s="19">
        <f t="shared" si="11"/>
        <v>14.31</v>
      </c>
      <c r="W34" s="19">
        <f t="shared" si="11"/>
        <v>14.29</v>
      </c>
      <c r="X34" s="19">
        <f t="shared" si="11"/>
        <v>14.3</v>
      </c>
      <c r="Y34" s="19">
        <f t="shared" si="11"/>
        <v>14.32</v>
      </c>
      <c r="Z34" s="19">
        <f t="shared" si="11"/>
        <v>14.27</v>
      </c>
      <c r="AA34" s="19">
        <f t="shared" si="11"/>
        <v>14.23</v>
      </c>
      <c r="AB34" s="19">
        <f t="shared" si="11"/>
        <v>14.33</v>
      </c>
      <c r="AC34" s="19">
        <f t="shared" si="11"/>
        <v>14.04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17.199999999999996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/>
      <c r="P40" s="359"/>
      <c r="Q40" s="357"/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9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0.8</v>
      </c>
      <c r="M47" s="357">
        <v>0</v>
      </c>
      <c r="N47" s="357">
        <v>0</v>
      </c>
      <c r="O47" s="357">
        <v>0.75</v>
      </c>
      <c r="P47" s="359"/>
      <c r="Q47" s="357">
        <v>0.8</v>
      </c>
      <c r="R47" s="357"/>
      <c r="S47" s="462"/>
      <c r="T47" s="462"/>
      <c r="U47" s="462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0.8</v>
      </c>
      <c r="M48" s="357">
        <v>0</v>
      </c>
      <c r="N48" s="359">
        <f>2.3/3</f>
        <v>0.76666666666666661</v>
      </c>
      <c r="O48" s="357"/>
      <c r="P48" s="359">
        <v>0.75</v>
      </c>
      <c r="Q48" s="357">
        <v>0.75</v>
      </c>
      <c r="R48" s="357"/>
      <c r="S48" s="462"/>
      <c r="T48" s="357"/>
      <c r="U48" s="462">
        <v>0.8</v>
      </c>
      <c r="V48" s="462">
        <v>0.7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>
        <f>2.3/3</f>
        <v>0.76666666666666661</v>
      </c>
      <c r="O50" s="357">
        <v>0.75</v>
      </c>
      <c r="P50" s="359">
        <v>0.75</v>
      </c>
      <c r="Q50" s="357"/>
      <c r="R50" s="357"/>
      <c r="S50" s="462"/>
      <c r="T50" s="357">
        <v>0.7</v>
      </c>
      <c r="U50" s="462">
        <v>0.7</v>
      </c>
      <c r="V50" s="462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0.7</v>
      </c>
      <c r="M51" s="359">
        <v>0</v>
      </c>
      <c r="N51" s="357">
        <v>0</v>
      </c>
      <c r="O51" s="357">
        <v>0.75</v>
      </c>
      <c r="P51" s="359">
        <v>0.75</v>
      </c>
      <c r="Q51" s="357">
        <v>0.75</v>
      </c>
      <c r="R51" s="357"/>
      <c r="S51" s="462"/>
      <c r="T51" s="357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6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>
        <f>2.3/3</f>
        <v>0.76666666666666661</v>
      </c>
      <c r="O56" s="357">
        <v>0.75</v>
      </c>
      <c r="P56" s="359">
        <v>0.75</v>
      </c>
      <c r="Q56" s="357"/>
      <c r="R56" s="357"/>
      <c r="S56" s="462"/>
      <c r="T56" s="357">
        <v>0.7</v>
      </c>
      <c r="U56" s="357">
        <v>0.7</v>
      </c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5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2.2999999999999998</v>
      </c>
      <c r="M60" s="19">
        <f t="shared" si="16"/>
        <v>0</v>
      </c>
      <c r="N60" s="19">
        <f t="shared" si="16"/>
        <v>2.2999999999999998</v>
      </c>
      <c r="O60" s="19">
        <f>SUM(O36:O59)</f>
        <v>3</v>
      </c>
      <c r="P60" s="19">
        <f t="shared" si="16"/>
        <v>3</v>
      </c>
      <c r="Q60" s="19">
        <f t="shared" si="16"/>
        <v>2.2999999999999998</v>
      </c>
      <c r="R60" s="19">
        <f t="shared" si="16"/>
        <v>0</v>
      </c>
      <c r="S60" s="463">
        <f t="shared" si="16"/>
        <v>0</v>
      </c>
      <c r="T60" s="463">
        <f>SUM(T36:T59)</f>
        <v>1.4</v>
      </c>
      <c r="U60" s="19">
        <f t="shared" ref="U60:AC60" si="17">SUM(U36:U59)</f>
        <v>2.2000000000000002</v>
      </c>
      <c r="V60" s="19">
        <f>SUM(V36:V59)</f>
        <v>0.7</v>
      </c>
      <c r="W60" s="19">
        <f t="shared" si="17"/>
        <v>0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24.970000000000002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0.495</v>
      </c>
      <c r="G62" s="359">
        <v>0.47499999999999998</v>
      </c>
      <c r="H62" s="357">
        <v>0.41499999999999998</v>
      </c>
      <c r="I62" s="359">
        <v>0.40500000000000003</v>
      </c>
      <c r="J62" s="357">
        <v>0.4</v>
      </c>
      <c r="K62" s="357">
        <v>0.435</v>
      </c>
      <c r="L62" s="357">
        <f>1.18/2</f>
        <v>0.59</v>
      </c>
      <c r="M62" s="357">
        <v>0</v>
      </c>
      <c r="N62" s="357">
        <v>0</v>
      </c>
      <c r="O62" s="357">
        <v>0</v>
      </c>
      <c r="P62" s="357">
        <v>0</v>
      </c>
      <c r="Q62" s="357">
        <v>0</v>
      </c>
      <c r="R62" s="357">
        <v>0</v>
      </c>
      <c r="S62" s="462">
        <v>0.68</v>
      </c>
      <c r="T62" s="357">
        <f>1.17/2</f>
        <v>0.58499999999999996</v>
      </c>
      <c r="U62" s="357">
        <f>1.09/2</f>
        <v>0.54500000000000004</v>
      </c>
      <c r="V62" s="462">
        <f>1.09/2</f>
        <v>0.54500000000000004</v>
      </c>
      <c r="W62" s="357">
        <f>1.06/2</f>
        <v>0.53</v>
      </c>
      <c r="X62" s="357">
        <f>1.4/2</f>
        <v>0.7</v>
      </c>
      <c r="Y62" s="357">
        <f>1.23/2</f>
        <v>0.61499999999999999</v>
      </c>
      <c r="Z62" s="357">
        <f>1.16/2</f>
        <v>0.57999999999999996</v>
      </c>
      <c r="AA62" s="357">
        <f>1.1/2</f>
        <v>0.55000000000000004</v>
      </c>
      <c r="AB62" s="357">
        <v>0.5</v>
      </c>
      <c r="AC62" s="357"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9">
        <v>0.47499999999999998</v>
      </c>
      <c r="H63" s="357">
        <v>0.41499999999999998</v>
      </c>
      <c r="I63" s="359">
        <v>0.40500000000000003</v>
      </c>
      <c r="J63" s="357">
        <v>0.4</v>
      </c>
      <c r="K63" s="357">
        <v>0.435</v>
      </c>
      <c r="L63" s="357">
        <f>L62</f>
        <v>0.59</v>
      </c>
      <c r="M63" s="357"/>
      <c r="N63" s="357">
        <v>0.5</v>
      </c>
      <c r="O63" s="357">
        <f>1.16/2</f>
        <v>0.57999999999999996</v>
      </c>
      <c r="P63" s="357">
        <v>0.59499999999999997</v>
      </c>
      <c r="Q63" s="357">
        <v>0.6</v>
      </c>
      <c r="R63" s="357">
        <v>0.68</v>
      </c>
      <c r="S63" s="462"/>
      <c r="T63" s="357"/>
      <c r="U63" s="357"/>
      <c r="V63" s="462"/>
      <c r="W63" s="357"/>
      <c r="X63" s="357"/>
      <c r="Y63" s="357"/>
      <c r="Z63" s="357"/>
      <c r="AA63" s="357">
        <f>1.1/2</f>
        <v>0.55000000000000004</v>
      </c>
      <c r="AB63" s="357">
        <v>0.5</v>
      </c>
      <c r="AC63" s="357"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0.495</v>
      </c>
      <c r="G64" s="357"/>
      <c r="H64" s="357"/>
      <c r="I64" s="357"/>
      <c r="J64" s="357"/>
      <c r="K64" s="357"/>
      <c r="L64" s="357"/>
      <c r="M64" s="357"/>
      <c r="N64" s="357">
        <v>0.5</v>
      </c>
      <c r="O64" s="357">
        <f>1.16/2</f>
        <v>0.57999999999999996</v>
      </c>
      <c r="P64" s="357">
        <v>0.59499999999999997</v>
      </c>
      <c r="Q64" s="357">
        <v>0.6</v>
      </c>
      <c r="R64" s="357">
        <v>0.68</v>
      </c>
      <c r="S64" s="462">
        <v>0.68</v>
      </c>
      <c r="T64" s="357">
        <f>1.17/2</f>
        <v>0.58499999999999996</v>
      </c>
      <c r="U64" s="357">
        <f>1.09/2</f>
        <v>0.54500000000000004</v>
      </c>
      <c r="V64" s="462">
        <f>1.09/2</f>
        <v>0.54500000000000004</v>
      </c>
      <c r="W64" s="357">
        <f>1.06/2</f>
        <v>0.53</v>
      </c>
      <c r="X64" s="357">
        <f>1.4/2</f>
        <v>0.7</v>
      </c>
      <c r="Y64" s="357">
        <f>1.23/2</f>
        <v>0.61499999999999999</v>
      </c>
      <c r="Z64" s="357">
        <f>1.16/2</f>
        <v>0.57999999999999996</v>
      </c>
      <c r="AA64" s="357">
        <v>0</v>
      </c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0.99</v>
      </c>
      <c r="G65" s="19">
        <f t="shared" ref="G65:AB65" si="18">SUM(G62:G64)</f>
        <v>0.95</v>
      </c>
      <c r="H65" s="19">
        <f t="shared" si="18"/>
        <v>0.83</v>
      </c>
      <c r="I65" s="19">
        <f t="shared" si="18"/>
        <v>0.81</v>
      </c>
      <c r="J65" s="19">
        <f t="shared" si="18"/>
        <v>0.8</v>
      </c>
      <c r="K65" s="19">
        <f t="shared" si="18"/>
        <v>0.87</v>
      </c>
      <c r="L65" s="19">
        <f t="shared" si="18"/>
        <v>1.18</v>
      </c>
      <c r="M65" s="19">
        <f t="shared" si="18"/>
        <v>0</v>
      </c>
      <c r="N65" s="19">
        <f t="shared" si="18"/>
        <v>1</v>
      </c>
      <c r="O65" s="19">
        <f t="shared" si="18"/>
        <v>1.1599999999999999</v>
      </c>
      <c r="P65" s="19">
        <f t="shared" si="18"/>
        <v>1.19</v>
      </c>
      <c r="Q65" s="19">
        <f t="shared" si="18"/>
        <v>1.2</v>
      </c>
      <c r="R65" s="19">
        <f t="shared" si="18"/>
        <v>1.36</v>
      </c>
      <c r="S65" s="463">
        <f t="shared" si="18"/>
        <v>1.36</v>
      </c>
      <c r="T65" s="463">
        <f t="shared" si="18"/>
        <v>1.17</v>
      </c>
      <c r="U65" s="463">
        <f t="shared" si="18"/>
        <v>1.0900000000000001</v>
      </c>
      <c r="V65" s="19">
        <f>SUM(V62:V64)</f>
        <v>1.0900000000000001</v>
      </c>
      <c r="W65" s="19">
        <f t="shared" si="18"/>
        <v>1.06</v>
      </c>
      <c r="X65" s="19">
        <f t="shared" si="18"/>
        <v>1.4</v>
      </c>
      <c r="Y65" s="19">
        <f>SUM(Y62:Y64)</f>
        <v>1.23</v>
      </c>
      <c r="Z65" s="19">
        <f>SUM(Z62:Z64)</f>
        <v>1.1599999999999999</v>
      </c>
      <c r="AA65" s="19">
        <f t="shared" si="18"/>
        <v>1.1000000000000001</v>
      </c>
      <c r="AB65" s="19">
        <f t="shared" si="18"/>
        <v>1</v>
      </c>
      <c r="AC65" s="19">
        <f>SUM(AC62:AC64)</f>
        <v>0.97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15.5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/>
      <c r="N78" s="357">
        <v>0.76</v>
      </c>
      <c r="O78" s="357">
        <v>0.78</v>
      </c>
      <c r="P78" s="357">
        <v>0.81</v>
      </c>
      <c r="Q78" s="357">
        <v>0.83</v>
      </c>
      <c r="R78" s="357">
        <v>0.85</v>
      </c>
      <c r="S78" s="357"/>
      <c r="T78" s="357"/>
      <c r="U78" s="357"/>
      <c r="V78" s="357"/>
      <c r="W78" s="357">
        <v>0.95</v>
      </c>
      <c r="X78" s="357">
        <v>0.93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0.79</v>
      </c>
      <c r="G79" s="357">
        <v>0.76</v>
      </c>
      <c r="H79" s="357">
        <v>0.72</v>
      </c>
      <c r="I79" s="357">
        <v>0.7</v>
      </c>
      <c r="J79" s="357">
        <v>0.69</v>
      </c>
      <c r="K79" s="357">
        <v>0.73</v>
      </c>
      <c r="L79" s="359">
        <v>0.81</v>
      </c>
      <c r="M79" s="357"/>
      <c r="N79" s="357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0.99</v>
      </c>
      <c r="Z79" s="357">
        <v>0.91</v>
      </c>
      <c r="AA79" s="357">
        <v>0.85</v>
      </c>
      <c r="AB79" s="357">
        <v>0.83</v>
      </c>
      <c r="AC79" s="357">
        <v>0.81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0.79</v>
      </c>
      <c r="G80" s="19">
        <f t="shared" si="24"/>
        <v>0.76</v>
      </c>
      <c r="H80" s="19">
        <f>SUM(H78:H79)</f>
        <v>0.72</v>
      </c>
      <c r="I80" s="19">
        <f>SUM(I78:I79)</f>
        <v>0.7</v>
      </c>
      <c r="J80" s="19">
        <f t="shared" ref="J80:AC80" si="25">SUM(J78:J79)</f>
        <v>0.69</v>
      </c>
      <c r="K80" s="19">
        <f t="shared" si="25"/>
        <v>0.73</v>
      </c>
      <c r="L80" s="19">
        <f>SUM(L78:L79)</f>
        <v>0.81</v>
      </c>
      <c r="M80" s="19">
        <f t="shared" si="25"/>
        <v>0</v>
      </c>
      <c r="N80" s="19">
        <f t="shared" si="25"/>
        <v>0.76</v>
      </c>
      <c r="O80" s="19">
        <f>SUM(O78:O79)</f>
        <v>0.78</v>
      </c>
      <c r="P80" s="19">
        <f>SUM(P78:P79)</f>
        <v>0.81</v>
      </c>
      <c r="Q80" s="19">
        <f t="shared" si="25"/>
        <v>0.83</v>
      </c>
      <c r="R80" s="19">
        <f t="shared" si="25"/>
        <v>0.85</v>
      </c>
      <c r="S80" s="463">
        <f t="shared" si="25"/>
        <v>0</v>
      </c>
      <c r="T80" s="463">
        <f t="shared" si="25"/>
        <v>0</v>
      </c>
      <c r="U80" s="19">
        <f t="shared" si="25"/>
        <v>0</v>
      </c>
      <c r="V80" s="19">
        <f t="shared" si="25"/>
        <v>0</v>
      </c>
      <c r="W80" s="19">
        <f t="shared" si="25"/>
        <v>0.95</v>
      </c>
      <c r="X80" s="19">
        <f t="shared" si="25"/>
        <v>0.93</v>
      </c>
      <c r="Y80" s="19">
        <f t="shared" si="25"/>
        <v>0.99</v>
      </c>
      <c r="Z80" s="19">
        <f t="shared" si="25"/>
        <v>0.91</v>
      </c>
      <c r="AA80" s="19">
        <f t="shared" si="25"/>
        <v>0.85</v>
      </c>
      <c r="AB80" s="19">
        <f t="shared" si="25"/>
        <v>0.83</v>
      </c>
      <c r="AC80" s="19">
        <f t="shared" si="25"/>
        <v>0.81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38.44</v>
      </c>
      <c r="G83" s="28">
        <f>SUM(G17,G22,G25,G31,G34,G60,G65,G76,G80,G82)</f>
        <v>36.36</v>
      </c>
      <c r="H83" s="28">
        <f>SUM(H17,H22,H25,H31,H34,H60,H65,H76,H80,H82)</f>
        <v>34.409999999999997</v>
      </c>
      <c r="I83" s="28">
        <f t="shared" ref="I83:AC83" si="27">SUM(I17,I22,I25,I31,I34,I60,I65,I76,I80,I82)</f>
        <v>33.870000000000005</v>
      </c>
      <c r="J83" s="28">
        <f t="shared" si="27"/>
        <v>33.629999999999995</v>
      </c>
      <c r="K83" s="28">
        <f t="shared" si="27"/>
        <v>36.239999999999995</v>
      </c>
      <c r="L83" s="28">
        <f t="shared" si="27"/>
        <v>42</v>
      </c>
      <c r="M83" s="28">
        <f t="shared" si="27"/>
        <v>36.51</v>
      </c>
      <c r="N83" s="28">
        <f>SUM(N17,N22,N25,N31,N34,N60,N65,N76,N80,N82)</f>
        <v>43.499999999999993</v>
      </c>
      <c r="O83" s="28">
        <f>SUM(O17,O22,O25,O31,O34,O60,O65,O76,O80,O82)</f>
        <v>53.41</v>
      </c>
      <c r="P83" s="28">
        <f t="shared" si="27"/>
        <v>58.089999999999996</v>
      </c>
      <c r="Q83" s="28">
        <f t="shared" si="27"/>
        <v>59.34</v>
      </c>
      <c r="R83" s="28">
        <f t="shared" si="27"/>
        <v>55.5</v>
      </c>
      <c r="S83" s="518">
        <f t="shared" si="27"/>
        <v>56.94</v>
      </c>
      <c r="T83" s="518">
        <f t="shared" si="27"/>
        <v>55.459999999999994</v>
      </c>
      <c r="U83" s="28">
        <f>SUM(U17,U22,U25,U31,U34,U60,U65,U76,U80,U82)</f>
        <v>55.260000000000005</v>
      </c>
      <c r="V83" s="28">
        <f t="shared" si="27"/>
        <v>54.600000000000009</v>
      </c>
      <c r="W83" s="28">
        <f t="shared" si="27"/>
        <v>52.400000000000006</v>
      </c>
      <c r="X83" s="28">
        <f t="shared" si="27"/>
        <v>52.429999999999993</v>
      </c>
      <c r="Y83" s="28">
        <f t="shared" si="27"/>
        <v>53.139999999999993</v>
      </c>
      <c r="Z83" s="28">
        <f t="shared" si="27"/>
        <v>50.339999999999989</v>
      </c>
      <c r="AA83" s="28">
        <f t="shared" si="27"/>
        <v>47.480000000000004</v>
      </c>
      <c r="AB83" s="28">
        <f t="shared" si="27"/>
        <v>43.26</v>
      </c>
      <c r="AC83" s="28">
        <f t="shared" si="27"/>
        <v>39.22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0.71000000000000085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8">SUM(F22,F25)</f>
        <v>3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1.3</v>
      </c>
      <c r="M89" s="64">
        <f t="shared" si="28"/>
        <v>3</v>
      </c>
      <c r="N89" s="64">
        <f t="shared" si="28"/>
        <v>3.8</v>
      </c>
      <c r="O89" s="64">
        <f t="shared" si="28"/>
        <v>7.6</v>
      </c>
      <c r="P89" s="64">
        <f t="shared" si="28"/>
        <v>7.6</v>
      </c>
      <c r="Q89" s="64">
        <f t="shared" si="28"/>
        <v>6.8</v>
      </c>
      <c r="R89" s="64">
        <f t="shared" si="28"/>
        <v>6.8</v>
      </c>
      <c r="S89" s="64">
        <f t="shared" si="28"/>
        <v>6.8</v>
      </c>
      <c r="T89" s="64">
        <f t="shared" si="28"/>
        <v>7.3</v>
      </c>
      <c r="U89" s="64">
        <f t="shared" si="28"/>
        <v>6</v>
      </c>
      <c r="V89" s="64">
        <f t="shared" si="28"/>
        <v>7.6</v>
      </c>
      <c r="W89" s="64">
        <f t="shared" si="28"/>
        <v>6</v>
      </c>
      <c r="X89" s="64">
        <f t="shared" si="28"/>
        <v>6.5</v>
      </c>
      <c r="Y89" s="64">
        <f t="shared" si="28"/>
        <v>6</v>
      </c>
      <c r="Z89" s="64">
        <f t="shared" si="28"/>
        <v>5.5</v>
      </c>
      <c r="AA89" s="64">
        <f t="shared" si="28"/>
        <v>2.5</v>
      </c>
      <c r="AB89" s="64">
        <f t="shared" si="28"/>
        <v>0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0.223</v>
      </c>
      <c r="P90" s="68">
        <v>0.255</v>
      </c>
      <c r="Q90" s="68">
        <v>0.188</v>
      </c>
      <c r="R90" s="68">
        <v>0.20300000000000001</v>
      </c>
      <c r="S90" s="68">
        <v>0.23200000000000001</v>
      </c>
      <c r="T90" s="68">
        <v>0.26500000000000001</v>
      </c>
      <c r="U90" s="68">
        <v>0.21099999999999999</v>
      </c>
      <c r="V90" s="68">
        <v>0.20499999999999999</v>
      </c>
      <c r="W90" s="68">
        <v>0.21</v>
      </c>
      <c r="X90" s="68">
        <v>0.23</v>
      </c>
      <c r="Y90" s="68">
        <v>0.19500000000000001</v>
      </c>
      <c r="Z90" s="68">
        <v>0.16400000000000001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9">F17</f>
        <v>13.4</v>
      </c>
      <c r="G91" s="64">
        <f t="shared" si="29"/>
        <v>13.4</v>
      </c>
      <c r="H91" s="64">
        <f t="shared" si="29"/>
        <v>13.6</v>
      </c>
      <c r="I91" s="64">
        <f t="shared" si="29"/>
        <v>13.6</v>
      </c>
      <c r="J91" s="64">
        <f t="shared" si="29"/>
        <v>13.4</v>
      </c>
      <c r="K91" s="64">
        <f t="shared" si="29"/>
        <v>13.4</v>
      </c>
      <c r="L91" s="64">
        <f t="shared" si="29"/>
        <v>13.2</v>
      </c>
      <c r="M91" s="64">
        <f t="shared" si="29"/>
        <v>12.7</v>
      </c>
      <c r="N91" s="64">
        <f t="shared" si="29"/>
        <v>13.4</v>
      </c>
      <c r="O91" s="64">
        <f t="shared" si="29"/>
        <v>18.600000000000001</v>
      </c>
      <c r="P91" s="64">
        <f t="shared" si="29"/>
        <v>20.399999999999999</v>
      </c>
      <c r="Q91" s="64">
        <f t="shared" si="29"/>
        <v>20.100000000000001</v>
      </c>
      <c r="R91" s="64">
        <f t="shared" si="29"/>
        <v>19.200000000000003</v>
      </c>
      <c r="S91" s="64">
        <f t="shared" si="29"/>
        <v>21</v>
      </c>
      <c r="T91" s="64">
        <f t="shared" si="29"/>
        <v>19.799999999999997</v>
      </c>
      <c r="U91" s="64">
        <f>U17</f>
        <v>19.200000000000003</v>
      </c>
      <c r="V91" s="64">
        <f t="shared" si="29"/>
        <v>20.100000000000001</v>
      </c>
      <c r="W91" s="64">
        <f t="shared" si="29"/>
        <v>20.100000000000001</v>
      </c>
      <c r="X91" s="64">
        <f t="shared" si="29"/>
        <v>19.799999999999997</v>
      </c>
      <c r="Y91" s="64">
        <f t="shared" si="29"/>
        <v>19.799999999999997</v>
      </c>
      <c r="Z91" s="64">
        <f t="shared" si="29"/>
        <v>19.5</v>
      </c>
      <c r="AA91" s="64">
        <f t="shared" si="29"/>
        <v>19.799999999999997</v>
      </c>
      <c r="AB91" s="64">
        <f t="shared" si="29"/>
        <v>20.100000000000001</v>
      </c>
      <c r="AC91" s="64">
        <f t="shared" si="29"/>
        <v>19.2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0.51700000000000002</v>
      </c>
      <c r="G92" s="68">
        <v>0.45600000000000002</v>
      </c>
      <c r="H92" s="68">
        <v>0.47099999999999997</v>
      </c>
      <c r="I92" s="68">
        <v>0.437</v>
      </c>
      <c r="J92" s="68">
        <v>0.442</v>
      </c>
      <c r="K92" s="68">
        <v>0.59499999999999997</v>
      </c>
      <c r="L92" s="68">
        <v>0.72</v>
      </c>
      <c r="M92" s="68">
        <v>0.755</v>
      </c>
      <c r="N92" s="68">
        <v>0.59</v>
      </c>
      <c r="O92" s="68">
        <v>0.65900000000000003</v>
      </c>
      <c r="P92" s="68">
        <v>0.66</v>
      </c>
      <c r="Q92" s="68">
        <v>0.69699999999999995</v>
      </c>
      <c r="R92" s="68">
        <v>0.59499999999999997</v>
      </c>
      <c r="S92" s="68">
        <v>0.54800000000000004</v>
      </c>
      <c r="T92" s="68">
        <v>0.73299999999999998</v>
      </c>
      <c r="U92" s="68">
        <v>0.71799999999999997</v>
      </c>
      <c r="V92" s="68">
        <v>0.69</v>
      </c>
      <c r="W92" s="68">
        <v>0.77400000000000002</v>
      </c>
      <c r="X92" s="68">
        <v>0.69</v>
      </c>
      <c r="Y92" s="68">
        <v>0.61599999999999999</v>
      </c>
      <c r="Z92" s="68">
        <v>0.58699999999999997</v>
      </c>
      <c r="AA92" s="68">
        <v>0.67200000000000004</v>
      </c>
      <c r="AB92" s="68">
        <v>0.77200000000000002</v>
      </c>
      <c r="AC92" s="68">
        <v>0.79900000000000004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0">F31</f>
        <v>6</v>
      </c>
      <c r="G93" s="65">
        <f t="shared" si="30"/>
        <v>7</v>
      </c>
      <c r="H93" s="65">
        <f t="shared" si="30"/>
        <v>5</v>
      </c>
      <c r="I93" s="65">
        <f t="shared" si="30"/>
        <v>4.5</v>
      </c>
      <c r="J93" s="65">
        <f t="shared" si="30"/>
        <v>4.5</v>
      </c>
      <c r="K93" s="65">
        <f t="shared" si="30"/>
        <v>7</v>
      </c>
      <c r="L93" s="65">
        <f t="shared" si="30"/>
        <v>9</v>
      </c>
      <c r="M93" s="65">
        <f t="shared" si="30"/>
        <v>6.6</v>
      </c>
      <c r="N93" s="65">
        <f t="shared" si="30"/>
        <v>8</v>
      </c>
      <c r="O93" s="65">
        <f t="shared" si="30"/>
        <v>8</v>
      </c>
      <c r="P93" s="65">
        <f t="shared" si="30"/>
        <v>10.8</v>
      </c>
      <c r="Q93" s="65">
        <f t="shared" si="30"/>
        <v>13.8</v>
      </c>
      <c r="R93" s="65">
        <f t="shared" si="30"/>
        <v>13</v>
      </c>
      <c r="S93" s="65">
        <f t="shared" si="30"/>
        <v>13.5</v>
      </c>
      <c r="T93" s="65">
        <f>T31</f>
        <v>13</v>
      </c>
      <c r="U93" s="65">
        <f t="shared" si="30"/>
        <v>12.5</v>
      </c>
      <c r="V93" s="65">
        <f t="shared" si="30"/>
        <v>10.8</v>
      </c>
      <c r="W93" s="65">
        <f t="shared" si="30"/>
        <v>10</v>
      </c>
      <c r="X93" s="65">
        <f t="shared" si="30"/>
        <v>9.5</v>
      </c>
      <c r="Y93" s="65">
        <f t="shared" si="30"/>
        <v>10.8</v>
      </c>
      <c r="Z93" s="65">
        <f t="shared" si="30"/>
        <v>9</v>
      </c>
      <c r="AA93" s="65">
        <f t="shared" si="30"/>
        <v>9</v>
      </c>
      <c r="AB93" s="65">
        <f t="shared" si="30"/>
        <v>7</v>
      </c>
      <c r="AC93" s="65">
        <f t="shared" si="30"/>
        <v>4.2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0.23200000000000001</v>
      </c>
      <c r="G94" s="68">
        <v>0.23899999999999999</v>
      </c>
      <c r="H94" s="68">
        <v>0.23699999999999999</v>
      </c>
      <c r="I94" s="68">
        <v>0.24199999999999999</v>
      </c>
      <c r="J94" s="68">
        <v>0.25</v>
      </c>
      <c r="K94" s="68">
        <v>0.22700000000000001</v>
      </c>
      <c r="L94" s="68">
        <v>0.223</v>
      </c>
      <c r="M94" s="68">
        <v>0.255</v>
      </c>
      <c r="N94" s="68">
        <v>0.248</v>
      </c>
      <c r="O94" s="68">
        <v>0.24299999999999999</v>
      </c>
      <c r="P94" s="68">
        <v>0.17599999999999999</v>
      </c>
      <c r="Q94" s="68">
        <v>0.17299999999999999</v>
      </c>
      <c r="R94" s="68">
        <v>0.17299999999999999</v>
      </c>
      <c r="S94" s="68">
        <v>0.17799999999999999</v>
      </c>
      <c r="T94" s="68">
        <v>0.17599999999999999</v>
      </c>
      <c r="U94" s="68">
        <v>0.17699999999999999</v>
      </c>
      <c r="V94" s="68">
        <v>0.186</v>
      </c>
      <c r="W94" s="68">
        <v>0.16300000000000001</v>
      </c>
      <c r="X94" s="68">
        <v>0.191</v>
      </c>
      <c r="Y94" s="68">
        <v>0.214</v>
      </c>
      <c r="Z94" s="68">
        <v>0.183</v>
      </c>
      <c r="AA94" s="68">
        <v>0.192</v>
      </c>
      <c r="AB94" s="68">
        <v>0.19900000000000001</v>
      </c>
      <c r="AC94" s="68">
        <v>0.19400000000000001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 t="s">
        <v>1</v>
      </c>
      <c r="G95" s="68" t="s">
        <v>1</v>
      </c>
      <c r="H95" s="68" t="s">
        <v>1</v>
      </c>
      <c r="I95" s="68" t="s">
        <v>1</v>
      </c>
      <c r="J95" s="68" t="s">
        <v>1</v>
      </c>
      <c r="K95" s="68">
        <v>0.16700000000000001</v>
      </c>
      <c r="L95" s="68">
        <v>0.19900000000000001</v>
      </c>
      <c r="M95" s="68" t="s">
        <v>1</v>
      </c>
      <c r="N95" s="68" t="s">
        <v>1</v>
      </c>
      <c r="O95" s="68">
        <v>0.19900000000000001</v>
      </c>
      <c r="P95" s="68">
        <v>0.21</v>
      </c>
      <c r="Q95" s="68">
        <v>0.31</v>
      </c>
      <c r="R95" s="68">
        <v>0.31</v>
      </c>
      <c r="S95" s="68">
        <v>0.32</v>
      </c>
      <c r="T95" s="68">
        <v>0.32</v>
      </c>
      <c r="U95" s="68">
        <v>0.34</v>
      </c>
      <c r="V95" s="68">
        <v>0.28000000000000003</v>
      </c>
      <c r="W95" s="68">
        <v>0.28000000000000003</v>
      </c>
      <c r="X95" s="68">
        <v>0.34</v>
      </c>
      <c r="Y95" s="68">
        <v>0.28000000000000003</v>
      </c>
      <c r="Z95" s="68">
        <v>0.31</v>
      </c>
      <c r="AA95" s="68">
        <v>0.22500000000000001</v>
      </c>
      <c r="AB95" s="68">
        <v>0.221</v>
      </c>
      <c r="AC95" s="68">
        <v>0.20599999999999999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1">F34</f>
        <v>14.26</v>
      </c>
      <c r="G96" s="65">
        <f t="shared" si="31"/>
        <v>14.25</v>
      </c>
      <c r="H96" s="65">
        <f t="shared" si="31"/>
        <v>14.26</v>
      </c>
      <c r="I96" s="65">
        <f t="shared" si="31"/>
        <v>14.26</v>
      </c>
      <c r="J96" s="65">
        <f t="shared" si="31"/>
        <v>14.24</v>
      </c>
      <c r="K96" s="65">
        <f t="shared" si="31"/>
        <v>14.24</v>
      </c>
      <c r="L96" s="65">
        <f t="shared" si="31"/>
        <v>14.21</v>
      </c>
      <c r="M96" s="65">
        <f t="shared" si="31"/>
        <v>14.21</v>
      </c>
      <c r="N96" s="65">
        <f t="shared" si="31"/>
        <v>14.24</v>
      </c>
      <c r="O96" s="65">
        <f t="shared" si="31"/>
        <v>14.27</v>
      </c>
      <c r="P96" s="65">
        <f t="shared" si="31"/>
        <v>14.29</v>
      </c>
      <c r="Q96" s="65">
        <f t="shared" si="31"/>
        <v>14.31</v>
      </c>
      <c r="R96" s="65">
        <f t="shared" si="31"/>
        <v>14.29</v>
      </c>
      <c r="S96" s="65">
        <f t="shared" si="31"/>
        <v>14.28</v>
      </c>
      <c r="T96" s="65">
        <f t="shared" si="31"/>
        <v>12.79</v>
      </c>
      <c r="U96" s="65">
        <f t="shared" si="31"/>
        <v>14.27</v>
      </c>
      <c r="V96" s="65">
        <f>V34</f>
        <v>14.31</v>
      </c>
      <c r="W96" s="65">
        <f t="shared" si="31"/>
        <v>14.29</v>
      </c>
      <c r="X96" s="65">
        <f t="shared" si="31"/>
        <v>14.3</v>
      </c>
      <c r="Y96" s="65">
        <f t="shared" si="31"/>
        <v>14.32</v>
      </c>
      <c r="Z96" s="65">
        <f t="shared" si="31"/>
        <v>14.27</v>
      </c>
      <c r="AA96" s="65">
        <f t="shared" si="31"/>
        <v>14.23</v>
      </c>
      <c r="AB96" s="65">
        <f t="shared" si="31"/>
        <v>14.33</v>
      </c>
      <c r="AC96" s="65">
        <f t="shared" si="31"/>
        <v>14.04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0.74</v>
      </c>
      <c r="G97" s="68">
        <v>0.75</v>
      </c>
      <c r="H97" s="68">
        <v>0.74</v>
      </c>
      <c r="I97" s="68">
        <v>0.76</v>
      </c>
      <c r="J97" s="68">
        <v>0.76</v>
      </c>
      <c r="K97" s="68">
        <v>0.76</v>
      </c>
      <c r="L97" s="68">
        <v>0.79</v>
      </c>
      <c r="M97" s="68">
        <v>0.79</v>
      </c>
      <c r="N97" s="68">
        <v>0.76</v>
      </c>
      <c r="O97" s="68">
        <v>0.73</v>
      </c>
      <c r="P97" s="68">
        <v>0.71</v>
      </c>
      <c r="Q97" s="68">
        <v>0.69</v>
      </c>
      <c r="R97" s="68">
        <v>0.71</v>
      </c>
      <c r="S97" s="68">
        <v>0.72</v>
      </c>
      <c r="T97" s="68">
        <v>0.71</v>
      </c>
      <c r="U97" s="68">
        <v>0.73</v>
      </c>
      <c r="V97" s="68">
        <v>0.69</v>
      </c>
      <c r="W97" s="68">
        <v>0.71</v>
      </c>
      <c r="X97" s="68">
        <v>0.7</v>
      </c>
      <c r="Y97" s="68">
        <v>0.68</v>
      </c>
      <c r="Z97" s="68">
        <v>0.73</v>
      </c>
      <c r="AA97" s="68">
        <v>0.77</v>
      </c>
      <c r="AB97" s="68">
        <v>0.67</v>
      </c>
      <c r="AC97" s="68">
        <v>0.96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2.2999999999999998</v>
      </c>
      <c r="M98" s="64">
        <f t="shared" si="32"/>
        <v>0</v>
      </c>
      <c r="N98" s="64">
        <f t="shared" si="32"/>
        <v>2.2999999999999998</v>
      </c>
      <c r="O98" s="64">
        <f t="shared" si="32"/>
        <v>3</v>
      </c>
      <c r="P98" s="64">
        <f t="shared" si="32"/>
        <v>3</v>
      </c>
      <c r="Q98" s="64">
        <f t="shared" si="32"/>
        <v>2.2999999999999998</v>
      </c>
      <c r="R98" s="64">
        <f t="shared" si="32"/>
        <v>0</v>
      </c>
      <c r="S98" s="64">
        <f t="shared" si="32"/>
        <v>0</v>
      </c>
      <c r="T98" s="64">
        <f t="shared" si="32"/>
        <v>1.4</v>
      </c>
      <c r="U98" s="64">
        <f t="shared" si="32"/>
        <v>2.2000000000000002</v>
      </c>
      <c r="V98" s="64">
        <f t="shared" si="32"/>
        <v>0.7</v>
      </c>
      <c r="W98" s="64">
        <f t="shared" si="32"/>
        <v>0</v>
      </c>
      <c r="X98" s="64">
        <f t="shared" si="32"/>
        <v>0</v>
      </c>
      <c r="Y98" s="64">
        <f t="shared" si="32"/>
        <v>0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3">F65</f>
        <v>0.99</v>
      </c>
      <c r="G99" s="64">
        <f t="shared" si="33"/>
        <v>0.95</v>
      </c>
      <c r="H99" s="64">
        <f t="shared" si="33"/>
        <v>0.83</v>
      </c>
      <c r="I99" s="64">
        <f t="shared" si="33"/>
        <v>0.81</v>
      </c>
      <c r="J99" s="64">
        <f t="shared" si="33"/>
        <v>0.8</v>
      </c>
      <c r="K99" s="64">
        <f t="shared" si="33"/>
        <v>0.87</v>
      </c>
      <c r="L99" s="64">
        <f t="shared" si="33"/>
        <v>1.18</v>
      </c>
      <c r="M99" s="64">
        <f t="shared" si="33"/>
        <v>0</v>
      </c>
      <c r="N99" s="64">
        <f t="shared" si="33"/>
        <v>1</v>
      </c>
      <c r="O99" s="64">
        <f t="shared" si="33"/>
        <v>1.1599999999999999</v>
      </c>
      <c r="P99" s="64">
        <f t="shared" si="33"/>
        <v>1.19</v>
      </c>
      <c r="Q99" s="64">
        <f t="shared" si="33"/>
        <v>1.2</v>
      </c>
      <c r="R99" s="64">
        <f t="shared" si="33"/>
        <v>1.36</v>
      </c>
      <c r="S99" s="64">
        <f t="shared" si="33"/>
        <v>1.36</v>
      </c>
      <c r="T99" s="64">
        <f t="shared" si="33"/>
        <v>1.17</v>
      </c>
      <c r="U99" s="64">
        <f t="shared" si="33"/>
        <v>1.0900000000000001</v>
      </c>
      <c r="V99" s="64">
        <f t="shared" si="33"/>
        <v>1.0900000000000001</v>
      </c>
      <c r="W99" s="64">
        <f t="shared" si="33"/>
        <v>1.06</v>
      </c>
      <c r="X99" s="64">
        <f t="shared" si="33"/>
        <v>1.4</v>
      </c>
      <c r="Y99" s="64">
        <f t="shared" si="33"/>
        <v>1.23</v>
      </c>
      <c r="Z99" s="64">
        <f t="shared" si="33"/>
        <v>1.1599999999999999</v>
      </c>
      <c r="AA99" s="64">
        <f t="shared" si="33"/>
        <v>1.1000000000000001</v>
      </c>
      <c r="AB99" s="64">
        <f t="shared" si="33"/>
        <v>1</v>
      </c>
      <c r="AC99" s="64">
        <f t="shared" si="33"/>
        <v>0.97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5">F80</f>
        <v>0.79</v>
      </c>
      <c r="G101" s="64">
        <f t="shared" si="35"/>
        <v>0.76</v>
      </c>
      <c r="H101" s="64">
        <f t="shared" si="35"/>
        <v>0.72</v>
      </c>
      <c r="I101" s="64">
        <f t="shared" si="35"/>
        <v>0.7</v>
      </c>
      <c r="J101" s="64">
        <f t="shared" si="35"/>
        <v>0.69</v>
      </c>
      <c r="K101" s="64">
        <f t="shared" si="35"/>
        <v>0.73</v>
      </c>
      <c r="L101" s="64">
        <f t="shared" si="35"/>
        <v>0.81</v>
      </c>
      <c r="M101" s="64">
        <f t="shared" si="35"/>
        <v>0</v>
      </c>
      <c r="N101" s="64">
        <f t="shared" si="35"/>
        <v>0.76</v>
      </c>
      <c r="O101" s="64">
        <f t="shared" si="35"/>
        <v>0.78</v>
      </c>
      <c r="P101" s="64">
        <f t="shared" si="35"/>
        <v>0.81</v>
      </c>
      <c r="Q101" s="64">
        <f t="shared" si="35"/>
        <v>0.83</v>
      </c>
      <c r="R101" s="64">
        <f t="shared" si="35"/>
        <v>0.85</v>
      </c>
      <c r="S101" s="64">
        <f t="shared" si="35"/>
        <v>0</v>
      </c>
      <c r="T101" s="64">
        <f t="shared" si="35"/>
        <v>0</v>
      </c>
      <c r="U101" s="64">
        <f t="shared" si="35"/>
        <v>0</v>
      </c>
      <c r="V101" s="64">
        <f t="shared" si="35"/>
        <v>0</v>
      </c>
      <c r="W101" s="64">
        <f t="shared" si="35"/>
        <v>0.95</v>
      </c>
      <c r="X101" s="64">
        <f t="shared" si="35"/>
        <v>0.93</v>
      </c>
      <c r="Y101" s="64">
        <f t="shared" si="35"/>
        <v>0.99</v>
      </c>
      <c r="Z101" s="64">
        <f t="shared" si="35"/>
        <v>0.91</v>
      </c>
      <c r="AA101" s="64">
        <f t="shared" si="35"/>
        <v>0.85</v>
      </c>
      <c r="AB101" s="64">
        <f t="shared" si="35"/>
        <v>0.83</v>
      </c>
      <c r="AC101" s="64">
        <f t="shared" si="35"/>
        <v>0.81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7">SUM(F89,F91,F93,F96,F98:F102,F81)</f>
        <v>38.44</v>
      </c>
      <c r="G103" s="61">
        <f t="shared" si="37"/>
        <v>36.36</v>
      </c>
      <c r="H103" s="61">
        <f t="shared" si="37"/>
        <v>34.409999999999997</v>
      </c>
      <c r="I103" s="61">
        <f t="shared" si="37"/>
        <v>33.870000000000005</v>
      </c>
      <c r="J103" s="61">
        <f t="shared" si="37"/>
        <v>33.629999999999995</v>
      </c>
      <c r="K103" s="61">
        <f t="shared" si="37"/>
        <v>36.239999999999995</v>
      </c>
      <c r="L103" s="61">
        <f t="shared" si="37"/>
        <v>42</v>
      </c>
      <c r="M103" s="61">
        <f t="shared" si="37"/>
        <v>36.51</v>
      </c>
      <c r="N103" s="61">
        <f t="shared" si="37"/>
        <v>43.499999999999993</v>
      </c>
      <c r="O103" s="61">
        <f t="shared" si="37"/>
        <v>53.41</v>
      </c>
      <c r="P103" s="61">
        <f t="shared" si="37"/>
        <v>58.089999999999996</v>
      </c>
      <c r="Q103" s="61">
        <f t="shared" si="37"/>
        <v>59.34</v>
      </c>
      <c r="R103" s="61">
        <f t="shared" si="37"/>
        <v>55.5</v>
      </c>
      <c r="S103" s="61">
        <f t="shared" si="37"/>
        <v>56.94</v>
      </c>
      <c r="T103" s="61">
        <f t="shared" si="37"/>
        <v>55.459999999999994</v>
      </c>
      <c r="U103" s="61">
        <f t="shared" si="37"/>
        <v>55.260000000000005</v>
      </c>
      <c r="V103" s="61">
        <f t="shared" si="37"/>
        <v>54.600000000000009</v>
      </c>
      <c r="W103" s="61">
        <f t="shared" si="37"/>
        <v>52.400000000000006</v>
      </c>
      <c r="X103" s="61">
        <f t="shared" si="37"/>
        <v>52.429999999999993</v>
      </c>
      <c r="Y103" s="61">
        <f t="shared" si="37"/>
        <v>53.139999999999993</v>
      </c>
      <c r="Z103" s="61">
        <f t="shared" si="37"/>
        <v>50.339999999999989</v>
      </c>
      <c r="AA103" s="61">
        <f t="shared" si="37"/>
        <v>47.480000000000004</v>
      </c>
      <c r="AB103" s="61">
        <f t="shared" si="37"/>
        <v>43.26</v>
      </c>
      <c r="AC103" s="61">
        <f t="shared" si="37"/>
        <v>39.22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f>1.18+0.81</f>
        <v>1.99</v>
      </c>
      <c r="N106" s="76"/>
      <c r="O106" s="76"/>
      <c r="P106" s="76"/>
      <c r="Q106" s="76"/>
      <c r="R106" s="76"/>
      <c r="S106" s="76">
        <v>0.85</v>
      </c>
      <c r="T106" s="76">
        <f>3.37+0.85</f>
        <v>4.22</v>
      </c>
      <c r="U106" s="76">
        <v>0.85</v>
      </c>
      <c r="V106" s="76">
        <v>0.85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1.99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0.85</v>
      </c>
      <c r="T107" s="61">
        <f t="shared" si="38"/>
        <v>4.22</v>
      </c>
      <c r="U107" s="61">
        <f t="shared" si="38"/>
        <v>0.85</v>
      </c>
      <c r="V107" s="61">
        <f t="shared" si="38"/>
        <v>0.85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9">F103+F107</f>
        <v>38.44</v>
      </c>
      <c r="G108" s="62">
        <f t="shared" si="39"/>
        <v>36.36</v>
      </c>
      <c r="H108" s="62">
        <f t="shared" si="39"/>
        <v>34.409999999999997</v>
      </c>
      <c r="I108" s="62">
        <f t="shared" si="39"/>
        <v>33.870000000000005</v>
      </c>
      <c r="J108" s="62">
        <f t="shared" si="39"/>
        <v>33.629999999999995</v>
      </c>
      <c r="K108" s="62">
        <f t="shared" si="39"/>
        <v>36.239999999999995</v>
      </c>
      <c r="L108" s="62">
        <f t="shared" si="39"/>
        <v>42</v>
      </c>
      <c r="M108" s="62">
        <f t="shared" si="39"/>
        <v>38.5</v>
      </c>
      <c r="N108" s="62">
        <f t="shared" si="39"/>
        <v>43.499999999999993</v>
      </c>
      <c r="O108" s="62">
        <f t="shared" si="39"/>
        <v>53.41</v>
      </c>
      <c r="P108" s="62">
        <f>P103+P107</f>
        <v>58.089999999999996</v>
      </c>
      <c r="Q108" s="62">
        <f t="shared" si="39"/>
        <v>59.34</v>
      </c>
      <c r="R108" s="62">
        <f t="shared" si="39"/>
        <v>55.5</v>
      </c>
      <c r="S108" s="62">
        <f t="shared" si="39"/>
        <v>57.79</v>
      </c>
      <c r="T108" s="62">
        <f>T103+T107</f>
        <v>59.679999999999993</v>
      </c>
      <c r="U108" s="62">
        <f t="shared" si="39"/>
        <v>56.110000000000007</v>
      </c>
      <c r="V108" s="62">
        <f t="shared" si="39"/>
        <v>55.45000000000001</v>
      </c>
      <c r="W108" s="62">
        <f>W103+W107</f>
        <v>52.400000000000006</v>
      </c>
      <c r="X108" s="62">
        <f t="shared" si="39"/>
        <v>52.429999999999993</v>
      </c>
      <c r="Y108" s="62">
        <f t="shared" si="39"/>
        <v>53.139999999999993</v>
      </c>
      <c r="Z108" s="62">
        <f t="shared" si="39"/>
        <v>50.339999999999989</v>
      </c>
      <c r="AA108" s="62">
        <f t="shared" si="39"/>
        <v>47.480000000000004</v>
      </c>
      <c r="AB108" s="62">
        <f t="shared" si="39"/>
        <v>43.26</v>
      </c>
      <c r="AC108" s="62">
        <f t="shared" si="39"/>
        <v>39.22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0">(COUNT(F13:F16))*7.2+(COUNT(F27:F28)*4.9)+(COUNT(F19:F21)*4.5)-F91-F93</f>
        <v>9.3000000000000025</v>
      </c>
      <c r="G109" s="63">
        <f t="shared" si="40"/>
        <v>3.8000000000000025</v>
      </c>
      <c r="H109" s="63">
        <f t="shared" si="40"/>
        <v>5.6000000000000032</v>
      </c>
      <c r="I109" s="63">
        <f t="shared" si="40"/>
        <v>6.1000000000000032</v>
      </c>
      <c r="J109" s="63">
        <f t="shared" si="40"/>
        <v>6.3000000000000025</v>
      </c>
      <c r="K109" s="63">
        <f t="shared" si="40"/>
        <v>3.8000000000000025</v>
      </c>
      <c r="L109" s="63">
        <f t="shared" si="40"/>
        <v>6.5000000000000036</v>
      </c>
      <c r="M109" s="63">
        <f t="shared" si="40"/>
        <v>16.600000000000009</v>
      </c>
      <c r="N109" s="63">
        <f t="shared" si="40"/>
        <v>7.3000000000000025</v>
      </c>
      <c r="O109" s="63">
        <f t="shared" si="40"/>
        <v>9.3000000000000043</v>
      </c>
      <c r="P109" s="63">
        <f t="shared" si="40"/>
        <v>-0.19999999999999929</v>
      </c>
      <c r="Q109" s="63">
        <f t="shared" si="40"/>
        <v>-2.9000000000000021</v>
      </c>
      <c r="R109" s="63">
        <f t="shared" si="40"/>
        <v>-1.2000000000000028</v>
      </c>
      <c r="S109" s="63">
        <f t="shared" si="40"/>
        <v>-3.5</v>
      </c>
      <c r="T109" s="63">
        <f t="shared" si="40"/>
        <v>-1.7999999999999972</v>
      </c>
      <c r="U109" s="63">
        <f t="shared" si="40"/>
        <v>-0.70000000000000284</v>
      </c>
      <c r="V109" s="63">
        <f t="shared" si="40"/>
        <v>9.9999999999997868E-2</v>
      </c>
      <c r="W109" s="63">
        <f t="shared" si="40"/>
        <v>0.89999999999999858</v>
      </c>
      <c r="X109" s="63">
        <f t="shared" si="40"/>
        <v>1.7000000000000028</v>
      </c>
      <c r="Y109" s="63">
        <f t="shared" si="40"/>
        <v>0.40000000000000213</v>
      </c>
      <c r="Z109" s="63">
        <f t="shared" si="40"/>
        <v>2.5</v>
      </c>
      <c r="AA109" s="63">
        <f t="shared" si="40"/>
        <v>2.2000000000000028</v>
      </c>
      <c r="AB109" s="63">
        <f t="shared" si="40"/>
        <v>3.8999999999999986</v>
      </c>
      <c r="AC109" s="63">
        <f t="shared" si="40"/>
        <v>7.6000000000000005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4.9000000000000004</v>
      </c>
      <c r="G110" s="205">
        <f t="shared" si="41"/>
        <v>2.4000000000000004</v>
      </c>
      <c r="H110" s="205">
        <f t="shared" si="41"/>
        <v>4.2000000000000011</v>
      </c>
      <c r="I110" s="205">
        <f t="shared" si="41"/>
        <v>4.7000000000000011</v>
      </c>
      <c r="J110" s="205">
        <f t="shared" si="41"/>
        <v>4.9000000000000004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2.4000000000000004</v>
      </c>
      <c r="L110" s="205">
        <f t="shared" si="41"/>
        <v>3.8000000000000016</v>
      </c>
      <c r="M110" s="205">
        <f t="shared" si="41"/>
        <v>12.200000000000005</v>
      </c>
      <c r="N110" s="205">
        <f t="shared" si="41"/>
        <v>2.1000000000000005</v>
      </c>
      <c r="O110" s="205">
        <f t="shared" si="41"/>
        <v>4.8000000000000016</v>
      </c>
      <c r="P110" s="205">
        <f t="shared" si="41"/>
        <v>-4.6999999999999975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-5.2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-3.9000000000000012</v>
      </c>
      <c r="S110" s="205">
        <f t="shared" si="42"/>
        <v>-6.1999999999999984</v>
      </c>
      <c r="T110" s="205">
        <f t="shared" si="42"/>
        <v>-4.9999999999999956</v>
      </c>
      <c r="U110" s="205">
        <f t="shared" si="42"/>
        <v>-2.6000000000000014</v>
      </c>
      <c r="V110" s="205">
        <f t="shared" si="42"/>
        <v>-3.4000000000000004</v>
      </c>
      <c r="W110" s="205">
        <f t="shared" si="42"/>
        <v>-1</v>
      </c>
      <c r="X110" s="205">
        <f t="shared" si="42"/>
        <v>-0.69999999999999574</v>
      </c>
      <c r="Y110" s="205">
        <f t="shared" si="42"/>
        <v>-1.4999999999999964</v>
      </c>
      <c r="Z110" s="205">
        <f t="shared" si="42"/>
        <v>1.1000000000000014</v>
      </c>
      <c r="AA110" s="205">
        <f t="shared" si="42"/>
        <v>-0.69999999999999574</v>
      </c>
      <c r="AB110" s="205">
        <f t="shared" si="42"/>
        <v>-1</v>
      </c>
      <c r="AC110" s="205">
        <f t="shared" si="42"/>
        <v>2.700000000000002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60.14</v>
      </c>
      <c r="G111" s="456">
        <v>60.2</v>
      </c>
      <c r="H111" s="456">
        <v>60.08</v>
      </c>
      <c r="I111" s="456">
        <v>60.06</v>
      </c>
      <c r="J111" s="456">
        <v>60.09</v>
      </c>
      <c r="K111" s="456">
        <v>60.14</v>
      </c>
      <c r="L111" s="456">
        <v>60.19</v>
      </c>
      <c r="M111" s="456">
        <v>60.26</v>
      </c>
      <c r="N111" s="456">
        <v>60.06</v>
      </c>
      <c r="O111" s="456">
        <v>60.27</v>
      </c>
      <c r="P111" s="457">
        <v>60.07</v>
      </c>
      <c r="Q111" s="457">
        <v>60.18</v>
      </c>
      <c r="R111" s="457">
        <v>60.17</v>
      </c>
      <c r="S111" s="457">
        <v>60.03</v>
      </c>
      <c r="T111" s="457">
        <v>60.2</v>
      </c>
      <c r="U111" s="456">
        <v>60.32</v>
      </c>
      <c r="V111" s="456">
        <v>60.14</v>
      </c>
      <c r="W111" s="456">
        <v>60.18</v>
      </c>
      <c r="X111" s="456">
        <v>60.19</v>
      </c>
      <c r="Y111" s="456">
        <v>60.14</v>
      </c>
      <c r="Z111" s="456">
        <v>60.2</v>
      </c>
      <c r="AA111" s="456">
        <v>60.21</v>
      </c>
      <c r="AB111" s="456">
        <v>60.14</v>
      </c>
      <c r="AC111" s="456">
        <v>60.35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 t="s">
        <v>102</v>
      </c>
      <c r="M115" s="520" t="s">
        <v>102</v>
      </c>
      <c r="N115" s="520" t="s">
        <v>102</v>
      </c>
      <c r="O115" s="520" t="s">
        <v>102</v>
      </c>
      <c r="P115" s="520" t="s">
        <v>102</v>
      </c>
      <c r="Q115" s="520" t="s">
        <v>102</v>
      </c>
      <c r="R115" s="520" t="s">
        <v>102</v>
      </c>
      <c r="S115" s="520" t="s">
        <v>102</v>
      </c>
      <c r="T115" s="520" t="s">
        <v>102</v>
      </c>
      <c r="U115" s="520" t="s">
        <v>103</v>
      </c>
      <c r="V115" s="520" t="s">
        <v>104</v>
      </c>
      <c r="W115" s="520" t="s">
        <v>103</v>
      </c>
      <c r="X115" s="520"/>
      <c r="Y115" s="520"/>
      <c r="Z115" s="520"/>
      <c r="AA115" s="520"/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7840" priority="570" operator="greaterThan">
      <formula>60.3</formula>
    </cfRule>
  </conditionalFormatting>
  <conditionalFormatting sqref="F111">
    <cfRule type="cellIs" dxfId="17839" priority="569" operator="greaterThan">
      <formula>60.3</formula>
    </cfRule>
  </conditionalFormatting>
  <conditionalFormatting sqref="H13:J13 N13:O13 D42:E42 H36:J59 L13:L14 N36:AC39 I15:N16 N41:AC46 N57:AC59 L36:L59 P40:AC40 O14:O16 P13:AC16 H62:L64 M51 P47:AC56 P62:AC64">
    <cfRule type="cellIs" dxfId="17838" priority="561" operator="equal">
      <formula>"PMS"</formula>
    </cfRule>
    <cfRule type="containsText" dxfId="17837" priority="562" operator="containsText" text="CMS">
      <formula>NOT(ISERROR(SEARCH("CMS",D13)))</formula>
    </cfRule>
    <cfRule type="cellIs" dxfId="17836" priority="563" operator="equal">
      <formula>0</formula>
    </cfRule>
    <cfRule type="cellIs" dxfId="17835" priority="564" operator="greaterThan">
      <formula>0</formula>
    </cfRule>
    <cfRule type="cellIs" dxfId="17834" priority="565" operator="equal">
      <formula>"PMS"</formula>
    </cfRule>
    <cfRule type="containsText" dxfId="17833" priority="566" operator="containsText" text="CMS">
      <formula>NOT(ISERROR(SEARCH("CMS",D13)))</formula>
    </cfRule>
    <cfRule type="cellIs" dxfId="17832" priority="567" operator="equal">
      <formula>0</formula>
    </cfRule>
    <cfRule type="cellIs" dxfId="17831" priority="568" operator="greaterThan">
      <formula>0</formula>
    </cfRule>
  </conditionalFormatting>
  <conditionalFormatting sqref="H13:J13 N13:O13 D42:E42 H36:J59 L13:L14 N36:AC39 I15:N16 N41:AC46 N57:AC59 L36:L59 P40:AC40 O14:O16 P13:AC16 H62:L64 M51 P47:AC56 P62:AC64">
    <cfRule type="cellIs" dxfId="17830" priority="557" operator="equal">
      <formula>"PMS"</formula>
    </cfRule>
    <cfRule type="containsText" dxfId="17829" priority="558" operator="containsText" text="CMS">
      <formula>NOT(ISERROR(SEARCH("CMS",D13)))</formula>
    </cfRule>
    <cfRule type="cellIs" dxfId="17828" priority="559" operator="equal">
      <formula>0</formula>
    </cfRule>
    <cfRule type="cellIs" dxfId="17827" priority="560" operator="greaterThan">
      <formula>0</formula>
    </cfRule>
  </conditionalFormatting>
  <conditionalFormatting sqref="G67:AC75">
    <cfRule type="cellIs" dxfId="17826" priority="549" operator="equal">
      <formula>"PMS"</formula>
    </cfRule>
    <cfRule type="containsText" dxfId="17825" priority="550" operator="containsText" text="CMS">
      <formula>NOT(ISERROR(SEARCH("CMS",G67)))</formula>
    </cfRule>
    <cfRule type="cellIs" dxfId="17824" priority="551" operator="equal">
      <formula>0</formula>
    </cfRule>
    <cfRule type="cellIs" dxfId="17823" priority="552" operator="greaterThan">
      <formula>0</formula>
    </cfRule>
    <cfRule type="cellIs" dxfId="17822" priority="553" operator="equal">
      <formula>"PMS"</formula>
    </cfRule>
    <cfRule type="containsText" dxfId="17821" priority="554" operator="containsText" text="CMS">
      <formula>NOT(ISERROR(SEARCH("CMS",G67)))</formula>
    </cfRule>
    <cfRule type="cellIs" dxfId="17820" priority="555" operator="equal">
      <formula>0</formula>
    </cfRule>
    <cfRule type="cellIs" dxfId="17819" priority="556" operator="greaterThan">
      <formula>0</formula>
    </cfRule>
  </conditionalFormatting>
  <conditionalFormatting sqref="G67:AC75">
    <cfRule type="cellIs" dxfId="17818" priority="545" operator="equal">
      <formula>"PMS"</formula>
    </cfRule>
    <cfRule type="containsText" dxfId="17817" priority="546" operator="containsText" text="CMS">
      <formula>NOT(ISERROR(SEARCH("CMS",G67)))</formula>
    </cfRule>
    <cfRule type="cellIs" dxfId="17816" priority="547" operator="equal">
      <formula>0</formula>
    </cfRule>
    <cfRule type="cellIs" dxfId="17815" priority="548" operator="greaterThan">
      <formula>0</formula>
    </cfRule>
  </conditionalFormatting>
  <conditionalFormatting sqref="G82:AC82">
    <cfRule type="cellIs" dxfId="17814" priority="537" operator="equal">
      <formula>"PMS"</formula>
    </cfRule>
    <cfRule type="containsText" dxfId="17813" priority="538" operator="containsText" text="CMS">
      <formula>NOT(ISERROR(SEARCH("CMS",G82)))</formula>
    </cfRule>
    <cfRule type="cellIs" dxfId="17812" priority="539" operator="equal">
      <formula>0</formula>
    </cfRule>
    <cfRule type="cellIs" dxfId="17811" priority="540" operator="greaterThan">
      <formula>0</formula>
    </cfRule>
    <cfRule type="cellIs" dxfId="17810" priority="541" operator="equal">
      <formula>"PMS"</formula>
    </cfRule>
    <cfRule type="containsText" dxfId="17809" priority="542" operator="containsText" text="CMS">
      <formula>NOT(ISERROR(SEARCH("CMS",G82)))</formula>
    </cfRule>
    <cfRule type="cellIs" dxfId="17808" priority="543" operator="equal">
      <formula>0</formula>
    </cfRule>
    <cfRule type="cellIs" dxfId="17807" priority="544" operator="greaterThan">
      <formula>0</formula>
    </cfRule>
  </conditionalFormatting>
  <conditionalFormatting sqref="G82:AC82">
    <cfRule type="cellIs" dxfId="17806" priority="533" operator="equal">
      <formula>"PMS"</formula>
    </cfRule>
    <cfRule type="containsText" dxfId="17805" priority="534" operator="containsText" text="CMS">
      <formula>NOT(ISERROR(SEARCH("CMS",G82)))</formula>
    </cfRule>
    <cfRule type="cellIs" dxfId="17804" priority="535" operator="equal">
      <formula>0</formula>
    </cfRule>
    <cfRule type="cellIs" dxfId="17803" priority="536" operator="greaterThan">
      <formula>0</formula>
    </cfRule>
  </conditionalFormatting>
  <conditionalFormatting sqref="I14 M14:N14">
    <cfRule type="cellIs" dxfId="17802" priority="525" operator="equal">
      <formula>"PMS"</formula>
    </cfRule>
    <cfRule type="containsText" dxfId="17801" priority="526" operator="containsText" text="CMS">
      <formula>NOT(ISERROR(SEARCH("CMS",I14)))</formula>
    </cfRule>
    <cfRule type="cellIs" dxfId="17800" priority="527" operator="equal">
      <formula>0</formula>
    </cfRule>
    <cfRule type="cellIs" dxfId="17799" priority="528" operator="greaterThan">
      <formula>0</formula>
    </cfRule>
    <cfRule type="cellIs" dxfId="17798" priority="529" operator="equal">
      <formula>"PMS"</formula>
    </cfRule>
    <cfRule type="containsText" dxfId="17797" priority="530" operator="containsText" text="CMS">
      <formula>NOT(ISERROR(SEARCH("CMS",I14)))</formula>
    </cfRule>
    <cfRule type="cellIs" dxfId="17796" priority="531" operator="equal">
      <formula>0</formula>
    </cfRule>
    <cfRule type="cellIs" dxfId="17795" priority="532" operator="greaterThan">
      <formula>0</formula>
    </cfRule>
  </conditionalFormatting>
  <conditionalFormatting sqref="I14 M14:N14">
    <cfRule type="cellIs" dxfId="17794" priority="521" operator="equal">
      <formula>"PMS"</formula>
    </cfRule>
    <cfRule type="containsText" dxfId="17793" priority="522" operator="containsText" text="CMS">
      <formula>NOT(ISERROR(SEARCH("CMS",I14)))</formula>
    </cfRule>
    <cfRule type="cellIs" dxfId="17792" priority="523" operator="equal">
      <formula>0</formula>
    </cfRule>
    <cfRule type="cellIs" dxfId="17791" priority="524" operator="greaterThan">
      <formula>0</formula>
    </cfRule>
  </conditionalFormatting>
  <conditionalFormatting sqref="G13">
    <cfRule type="cellIs" dxfId="17790" priority="513" operator="equal">
      <formula>"PMS"</formula>
    </cfRule>
    <cfRule type="containsText" dxfId="17789" priority="514" operator="containsText" text="CMS">
      <formula>NOT(ISERROR(SEARCH("CMS",G13)))</formula>
    </cfRule>
    <cfRule type="cellIs" dxfId="17788" priority="515" operator="equal">
      <formula>0</formula>
    </cfRule>
    <cfRule type="cellIs" dxfId="17787" priority="516" operator="greaterThan">
      <formula>0</formula>
    </cfRule>
    <cfRule type="cellIs" dxfId="17786" priority="517" operator="equal">
      <formula>"PMS"</formula>
    </cfRule>
    <cfRule type="containsText" dxfId="17785" priority="518" operator="containsText" text="CMS">
      <formula>NOT(ISERROR(SEARCH("CMS",G13)))</formula>
    </cfRule>
    <cfRule type="cellIs" dxfId="17784" priority="519" operator="equal">
      <formula>0</formula>
    </cfRule>
    <cfRule type="cellIs" dxfId="17783" priority="520" operator="greaterThan">
      <formula>0</formula>
    </cfRule>
  </conditionalFormatting>
  <conditionalFormatting sqref="G13">
    <cfRule type="cellIs" dxfId="17782" priority="509" operator="equal">
      <formula>"PMS"</formula>
    </cfRule>
    <cfRule type="containsText" dxfId="17781" priority="510" operator="containsText" text="CMS">
      <formula>NOT(ISERROR(SEARCH("CMS",G13)))</formula>
    </cfRule>
    <cfRule type="cellIs" dxfId="17780" priority="511" operator="equal">
      <formula>0</formula>
    </cfRule>
    <cfRule type="cellIs" dxfId="17779" priority="512" operator="greaterThan">
      <formula>0</formula>
    </cfRule>
  </conditionalFormatting>
  <conditionalFormatting sqref="M13">
    <cfRule type="cellIs" dxfId="17778" priority="501" operator="equal">
      <formula>"PMS"</formula>
    </cfRule>
    <cfRule type="containsText" dxfId="17777" priority="502" operator="containsText" text="CMS">
      <formula>NOT(ISERROR(SEARCH("CMS",M13)))</formula>
    </cfRule>
    <cfRule type="cellIs" dxfId="17776" priority="503" operator="equal">
      <formula>0</formula>
    </cfRule>
    <cfRule type="cellIs" dxfId="17775" priority="504" operator="greaterThan">
      <formula>0</formula>
    </cfRule>
    <cfRule type="cellIs" dxfId="17774" priority="505" operator="equal">
      <formula>"PMS"</formula>
    </cfRule>
    <cfRule type="containsText" dxfId="17773" priority="506" operator="containsText" text="CMS">
      <formula>NOT(ISERROR(SEARCH("CMS",M13)))</formula>
    </cfRule>
    <cfRule type="cellIs" dxfId="17772" priority="507" operator="equal">
      <formula>0</formula>
    </cfRule>
    <cfRule type="cellIs" dxfId="17771" priority="508" operator="greaterThan">
      <formula>0</formula>
    </cfRule>
  </conditionalFormatting>
  <conditionalFormatting sqref="M13">
    <cfRule type="cellIs" dxfId="17770" priority="497" operator="equal">
      <formula>"PMS"</formula>
    </cfRule>
    <cfRule type="containsText" dxfId="17769" priority="498" operator="containsText" text="CMS">
      <formula>NOT(ISERROR(SEARCH("CMS",M13)))</formula>
    </cfRule>
    <cfRule type="cellIs" dxfId="17768" priority="499" operator="equal">
      <formula>0</formula>
    </cfRule>
    <cfRule type="cellIs" dxfId="17767" priority="500" operator="greaterThan">
      <formula>0</formula>
    </cfRule>
  </conditionalFormatting>
  <conditionalFormatting sqref="K13">
    <cfRule type="cellIs" dxfId="17766" priority="489" operator="equal">
      <formula>"PMS"</formula>
    </cfRule>
    <cfRule type="containsText" dxfId="17765" priority="490" operator="containsText" text="CMS">
      <formula>NOT(ISERROR(SEARCH("CMS",K13)))</formula>
    </cfRule>
    <cfRule type="cellIs" dxfId="17764" priority="491" operator="equal">
      <formula>0</formula>
    </cfRule>
    <cfRule type="cellIs" dxfId="17763" priority="492" operator="greaterThan">
      <formula>0</formula>
    </cfRule>
    <cfRule type="cellIs" dxfId="17762" priority="493" operator="equal">
      <formula>"PMS"</formula>
    </cfRule>
    <cfRule type="containsText" dxfId="17761" priority="494" operator="containsText" text="CMS">
      <formula>NOT(ISERROR(SEARCH("CMS",K13)))</formula>
    </cfRule>
    <cfRule type="cellIs" dxfId="17760" priority="495" operator="equal">
      <formula>0</formula>
    </cfRule>
    <cfRule type="cellIs" dxfId="17759" priority="496" operator="greaterThan">
      <formula>0</formula>
    </cfRule>
  </conditionalFormatting>
  <conditionalFormatting sqref="K13">
    <cfRule type="cellIs" dxfId="17758" priority="485" operator="equal">
      <formula>"PMS"</formula>
    </cfRule>
    <cfRule type="containsText" dxfId="17757" priority="486" operator="containsText" text="CMS">
      <formula>NOT(ISERROR(SEARCH("CMS",K13)))</formula>
    </cfRule>
    <cfRule type="cellIs" dxfId="17756" priority="487" operator="equal">
      <formula>0</formula>
    </cfRule>
    <cfRule type="cellIs" dxfId="17755" priority="488" operator="greaterThan">
      <formula>0</formula>
    </cfRule>
  </conditionalFormatting>
  <conditionalFormatting sqref="G113:AC113">
    <cfRule type="cellIs" dxfId="17754" priority="484" operator="greaterThan">
      <formula>60.3</formula>
    </cfRule>
  </conditionalFormatting>
  <conditionalFormatting sqref="H112:M112">
    <cfRule type="cellIs" dxfId="17753" priority="483" operator="greaterThan">
      <formula>60.3</formula>
    </cfRule>
  </conditionalFormatting>
  <conditionalFormatting sqref="F112:G112">
    <cfRule type="cellIs" dxfId="17752" priority="482" operator="greaterThan">
      <formula>60.3</formula>
    </cfRule>
  </conditionalFormatting>
  <conditionalFormatting sqref="N112:AC112">
    <cfRule type="cellIs" dxfId="17751" priority="481" operator="greaterThan">
      <formula>60.3</formula>
    </cfRule>
  </conditionalFormatting>
  <conditionalFormatting sqref="G15:G16">
    <cfRule type="cellIs" dxfId="17750" priority="473" operator="equal">
      <formula>"PMS"</formula>
    </cfRule>
    <cfRule type="containsText" dxfId="17749" priority="474" operator="containsText" text="CMS">
      <formula>NOT(ISERROR(SEARCH("CMS",G15)))</formula>
    </cfRule>
    <cfRule type="cellIs" dxfId="17748" priority="475" operator="equal">
      <formula>0</formula>
    </cfRule>
    <cfRule type="cellIs" dxfId="17747" priority="476" operator="greaterThan">
      <formula>0</formula>
    </cfRule>
    <cfRule type="cellIs" dxfId="17746" priority="477" operator="equal">
      <formula>"PMS"</formula>
    </cfRule>
    <cfRule type="containsText" dxfId="17745" priority="478" operator="containsText" text="CMS">
      <formula>NOT(ISERROR(SEARCH("CMS",G15)))</formula>
    </cfRule>
    <cfRule type="cellIs" dxfId="17744" priority="479" operator="equal">
      <formula>0</formula>
    </cfRule>
    <cfRule type="cellIs" dxfId="17743" priority="480" operator="greaterThan">
      <formula>0</formula>
    </cfRule>
  </conditionalFormatting>
  <conditionalFormatting sqref="G15:G16">
    <cfRule type="cellIs" dxfId="17742" priority="469" operator="equal">
      <formula>"PMS"</formula>
    </cfRule>
    <cfRule type="containsText" dxfId="17741" priority="470" operator="containsText" text="CMS">
      <formula>NOT(ISERROR(SEARCH("CMS",G15)))</formula>
    </cfRule>
    <cfRule type="cellIs" dxfId="17740" priority="471" operator="equal">
      <formula>0</formula>
    </cfRule>
    <cfRule type="cellIs" dxfId="17739" priority="472" operator="greaterThan">
      <formula>0</formula>
    </cfRule>
  </conditionalFormatting>
  <conditionalFormatting sqref="H14 H16">
    <cfRule type="cellIs" dxfId="17738" priority="461" operator="equal">
      <formula>"PMS"</formula>
    </cfRule>
    <cfRule type="containsText" dxfId="17737" priority="462" operator="containsText" text="CMS">
      <formula>NOT(ISERROR(SEARCH("CMS",H14)))</formula>
    </cfRule>
    <cfRule type="cellIs" dxfId="17736" priority="463" operator="equal">
      <formula>0</formula>
    </cfRule>
    <cfRule type="cellIs" dxfId="17735" priority="464" operator="greaterThan">
      <formula>0</formula>
    </cfRule>
    <cfRule type="cellIs" dxfId="17734" priority="465" operator="equal">
      <formula>"PMS"</formula>
    </cfRule>
    <cfRule type="containsText" dxfId="17733" priority="466" operator="containsText" text="CMS">
      <formula>NOT(ISERROR(SEARCH("CMS",H14)))</formula>
    </cfRule>
    <cfRule type="cellIs" dxfId="17732" priority="467" operator="equal">
      <formula>0</formula>
    </cfRule>
    <cfRule type="cellIs" dxfId="17731" priority="468" operator="greaterThan">
      <formula>0</formula>
    </cfRule>
  </conditionalFormatting>
  <conditionalFormatting sqref="H14 H16">
    <cfRule type="cellIs" dxfId="17730" priority="457" operator="equal">
      <formula>"PMS"</formula>
    </cfRule>
    <cfRule type="containsText" dxfId="17729" priority="458" operator="containsText" text="CMS">
      <formula>NOT(ISERROR(SEARCH("CMS",H14)))</formula>
    </cfRule>
    <cfRule type="cellIs" dxfId="17728" priority="459" operator="equal">
      <formula>0</formula>
    </cfRule>
    <cfRule type="cellIs" dxfId="17727" priority="460" operator="greaterThan">
      <formula>0</formula>
    </cfRule>
  </conditionalFormatting>
  <conditionalFormatting sqref="G36:G38 G57:G59">
    <cfRule type="cellIs" dxfId="17726" priority="449" operator="equal">
      <formula>"PMS"</formula>
    </cfRule>
    <cfRule type="containsText" dxfId="17725" priority="450" operator="containsText" text="CMS">
      <formula>NOT(ISERROR(SEARCH("CMS",G36)))</formula>
    </cfRule>
    <cfRule type="cellIs" dxfId="17724" priority="451" operator="equal">
      <formula>0</formula>
    </cfRule>
    <cfRule type="cellIs" dxfId="17723" priority="452" operator="greaterThan">
      <formula>0</formula>
    </cfRule>
    <cfRule type="cellIs" dxfId="17722" priority="453" operator="equal">
      <formula>"PMS"</formula>
    </cfRule>
    <cfRule type="containsText" dxfId="17721" priority="454" operator="containsText" text="CMS">
      <formula>NOT(ISERROR(SEARCH("CMS",G36)))</formula>
    </cfRule>
    <cfRule type="cellIs" dxfId="17720" priority="455" operator="equal">
      <formula>0</formula>
    </cfRule>
    <cfRule type="cellIs" dxfId="17719" priority="456" operator="greaterThan">
      <formula>0</formula>
    </cfRule>
  </conditionalFormatting>
  <conditionalFormatting sqref="G36:G38 G57:G59">
    <cfRule type="cellIs" dxfId="17718" priority="445" operator="equal">
      <formula>"PMS"</formula>
    </cfRule>
    <cfRule type="containsText" dxfId="17717" priority="446" operator="containsText" text="CMS">
      <formula>NOT(ISERROR(SEARCH("CMS",G36)))</formula>
    </cfRule>
    <cfRule type="cellIs" dxfId="17716" priority="447" operator="equal">
      <formula>0</formula>
    </cfRule>
    <cfRule type="cellIs" dxfId="17715" priority="448" operator="greaterThan">
      <formula>0</formula>
    </cfRule>
  </conditionalFormatting>
  <conditionalFormatting sqref="M36:M38 M57:M59">
    <cfRule type="cellIs" dxfId="17714" priority="437" operator="equal">
      <formula>"PMS"</formula>
    </cfRule>
    <cfRule type="containsText" dxfId="17713" priority="438" operator="containsText" text="CMS">
      <formula>NOT(ISERROR(SEARCH("CMS",M36)))</formula>
    </cfRule>
    <cfRule type="cellIs" dxfId="17712" priority="439" operator="equal">
      <formula>0</formula>
    </cfRule>
    <cfRule type="cellIs" dxfId="17711" priority="440" operator="greaterThan">
      <formula>0</formula>
    </cfRule>
    <cfRule type="cellIs" dxfId="17710" priority="441" operator="equal">
      <formula>"PMS"</formula>
    </cfRule>
    <cfRule type="containsText" dxfId="17709" priority="442" operator="containsText" text="CMS">
      <formula>NOT(ISERROR(SEARCH("CMS",M36)))</formula>
    </cfRule>
    <cfRule type="cellIs" dxfId="17708" priority="443" operator="equal">
      <formula>0</formula>
    </cfRule>
    <cfRule type="cellIs" dxfId="17707" priority="444" operator="greaterThan">
      <formula>0</formula>
    </cfRule>
  </conditionalFormatting>
  <conditionalFormatting sqref="M36:M38 M57:M59">
    <cfRule type="cellIs" dxfId="17706" priority="433" operator="equal">
      <formula>"PMS"</formula>
    </cfRule>
    <cfRule type="containsText" dxfId="17705" priority="434" operator="containsText" text="CMS">
      <formula>NOT(ISERROR(SEARCH("CMS",M36)))</formula>
    </cfRule>
    <cfRule type="cellIs" dxfId="17704" priority="435" operator="equal">
      <formula>0</formula>
    </cfRule>
    <cfRule type="cellIs" dxfId="17703" priority="436" operator="greaterThan">
      <formula>0</formula>
    </cfRule>
  </conditionalFormatting>
  <conditionalFormatting sqref="K36:K38 K57:K59">
    <cfRule type="cellIs" dxfId="17702" priority="425" operator="equal">
      <formula>"PMS"</formula>
    </cfRule>
    <cfRule type="containsText" dxfId="17701" priority="426" operator="containsText" text="CMS">
      <formula>NOT(ISERROR(SEARCH("CMS",K36)))</formula>
    </cfRule>
    <cfRule type="cellIs" dxfId="17700" priority="427" operator="equal">
      <formula>0</formula>
    </cfRule>
    <cfRule type="cellIs" dxfId="17699" priority="428" operator="greaterThan">
      <formula>0</formula>
    </cfRule>
    <cfRule type="cellIs" dxfId="17698" priority="429" operator="equal">
      <formula>"PMS"</formula>
    </cfRule>
    <cfRule type="containsText" dxfId="17697" priority="430" operator="containsText" text="CMS">
      <formula>NOT(ISERROR(SEARCH("CMS",K36)))</formula>
    </cfRule>
    <cfRule type="cellIs" dxfId="17696" priority="431" operator="equal">
      <formula>0</formula>
    </cfRule>
    <cfRule type="cellIs" dxfId="17695" priority="432" operator="greaterThan">
      <formula>0</formula>
    </cfRule>
  </conditionalFormatting>
  <conditionalFormatting sqref="K36:K38 K57:K59">
    <cfRule type="cellIs" dxfId="17694" priority="421" operator="equal">
      <formula>"PMS"</formula>
    </cfRule>
    <cfRule type="containsText" dxfId="17693" priority="422" operator="containsText" text="CMS">
      <formula>NOT(ISERROR(SEARCH("CMS",K36)))</formula>
    </cfRule>
    <cfRule type="cellIs" dxfId="17692" priority="423" operator="equal">
      <formula>0</formula>
    </cfRule>
    <cfRule type="cellIs" dxfId="17691" priority="424" operator="greaterThan">
      <formula>0</formula>
    </cfRule>
  </conditionalFormatting>
  <conditionalFormatting sqref="K14">
    <cfRule type="cellIs" dxfId="17690" priority="413" operator="equal">
      <formula>"PMS"</formula>
    </cfRule>
    <cfRule type="containsText" dxfId="17689" priority="414" operator="containsText" text="CMS">
      <formula>NOT(ISERROR(SEARCH("CMS",K14)))</formula>
    </cfRule>
    <cfRule type="cellIs" dxfId="17688" priority="415" operator="equal">
      <formula>0</formula>
    </cfRule>
    <cfRule type="cellIs" dxfId="17687" priority="416" operator="greaterThan">
      <formula>0</formula>
    </cfRule>
    <cfRule type="cellIs" dxfId="17686" priority="417" operator="equal">
      <formula>"PMS"</formula>
    </cfRule>
    <cfRule type="containsText" dxfId="17685" priority="418" operator="containsText" text="CMS">
      <formula>NOT(ISERROR(SEARCH("CMS",K14)))</formula>
    </cfRule>
    <cfRule type="cellIs" dxfId="17684" priority="419" operator="equal">
      <formula>0</formula>
    </cfRule>
    <cfRule type="cellIs" dxfId="17683" priority="420" operator="greaterThan">
      <formula>0</formula>
    </cfRule>
  </conditionalFormatting>
  <conditionalFormatting sqref="K14">
    <cfRule type="cellIs" dxfId="17682" priority="409" operator="equal">
      <formula>"PMS"</formula>
    </cfRule>
    <cfRule type="containsText" dxfId="17681" priority="410" operator="containsText" text="CMS">
      <formula>NOT(ISERROR(SEARCH("CMS",K14)))</formula>
    </cfRule>
    <cfRule type="cellIs" dxfId="17680" priority="411" operator="equal">
      <formula>0</formula>
    </cfRule>
    <cfRule type="cellIs" dxfId="17679" priority="412" operator="greaterThan">
      <formula>0</formula>
    </cfRule>
  </conditionalFormatting>
  <conditionalFormatting sqref="G49 G52:G55">
    <cfRule type="cellIs" dxfId="17678" priority="401" operator="equal">
      <formula>"PMS"</formula>
    </cfRule>
    <cfRule type="containsText" dxfId="17677" priority="402" operator="containsText" text="CMS">
      <formula>NOT(ISERROR(SEARCH("CMS",G49)))</formula>
    </cfRule>
    <cfRule type="cellIs" dxfId="17676" priority="403" operator="equal">
      <formula>0</formula>
    </cfRule>
    <cfRule type="cellIs" dxfId="17675" priority="404" operator="greaterThan">
      <formula>0</formula>
    </cfRule>
    <cfRule type="cellIs" dxfId="17674" priority="405" operator="equal">
      <formula>"PMS"</formula>
    </cfRule>
    <cfRule type="containsText" dxfId="17673" priority="406" operator="containsText" text="CMS">
      <formula>NOT(ISERROR(SEARCH("CMS",G49)))</formula>
    </cfRule>
    <cfRule type="cellIs" dxfId="17672" priority="407" operator="equal">
      <formula>0</formula>
    </cfRule>
    <cfRule type="cellIs" dxfId="17671" priority="408" operator="greaterThan">
      <formula>0</formula>
    </cfRule>
  </conditionalFormatting>
  <conditionalFormatting sqref="G49 G52:G55">
    <cfRule type="cellIs" dxfId="17670" priority="397" operator="equal">
      <formula>"PMS"</formula>
    </cfRule>
    <cfRule type="containsText" dxfId="17669" priority="398" operator="containsText" text="CMS">
      <formula>NOT(ISERROR(SEARCH("CMS",G49)))</formula>
    </cfRule>
    <cfRule type="cellIs" dxfId="17668" priority="399" operator="equal">
      <formula>0</formula>
    </cfRule>
    <cfRule type="cellIs" dxfId="17667" priority="400" operator="greaterThan">
      <formula>0</formula>
    </cfRule>
  </conditionalFormatting>
  <conditionalFormatting sqref="M49:N49 M52:M55">
    <cfRule type="cellIs" dxfId="17666" priority="389" operator="equal">
      <formula>"PMS"</formula>
    </cfRule>
    <cfRule type="containsText" dxfId="17665" priority="390" operator="containsText" text="CMS">
      <formula>NOT(ISERROR(SEARCH("CMS",M49)))</formula>
    </cfRule>
    <cfRule type="cellIs" dxfId="17664" priority="391" operator="equal">
      <formula>0</formula>
    </cfRule>
    <cfRule type="cellIs" dxfId="17663" priority="392" operator="greaterThan">
      <formula>0</formula>
    </cfRule>
    <cfRule type="cellIs" dxfId="17662" priority="393" operator="equal">
      <formula>"PMS"</formula>
    </cfRule>
    <cfRule type="containsText" dxfId="17661" priority="394" operator="containsText" text="CMS">
      <formula>NOT(ISERROR(SEARCH("CMS",M49)))</formula>
    </cfRule>
    <cfRule type="cellIs" dxfId="17660" priority="395" operator="equal">
      <formula>0</formula>
    </cfRule>
    <cfRule type="cellIs" dxfId="17659" priority="396" operator="greaterThan">
      <formula>0</formula>
    </cfRule>
  </conditionalFormatting>
  <conditionalFormatting sqref="M49:N49 M52:M55">
    <cfRule type="cellIs" dxfId="17658" priority="385" operator="equal">
      <formula>"PMS"</formula>
    </cfRule>
    <cfRule type="containsText" dxfId="17657" priority="386" operator="containsText" text="CMS">
      <formula>NOT(ISERROR(SEARCH("CMS",M49)))</formula>
    </cfRule>
    <cfRule type="cellIs" dxfId="17656" priority="387" operator="equal">
      <formula>0</formula>
    </cfRule>
    <cfRule type="cellIs" dxfId="17655" priority="388" operator="greaterThan">
      <formula>0</formula>
    </cfRule>
  </conditionalFormatting>
  <conditionalFormatting sqref="K49 K52:K55">
    <cfRule type="cellIs" dxfId="17654" priority="377" operator="equal">
      <formula>"PMS"</formula>
    </cfRule>
    <cfRule type="containsText" dxfId="17653" priority="378" operator="containsText" text="CMS">
      <formula>NOT(ISERROR(SEARCH("CMS",K49)))</formula>
    </cfRule>
    <cfRule type="cellIs" dxfId="17652" priority="379" operator="equal">
      <formula>0</formula>
    </cfRule>
    <cfRule type="cellIs" dxfId="17651" priority="380" operator="greaterThan">
      <formula>0</formula>
    </cfRule>
    <cfRule type="cellIs" dxfId="17650" priority="381" operator="equal">
      <formula>"PMS"</formula>
    </cfRule>
    <cfRule type="containsText" dxfId="17649" priority="382" operator="containsText" text="CMS">
      <formula>NOT(ISERROR(SEARCH("CMS",K49)))</formula>
    </cfRule>
    <cfRule type="cellIs" dxfId="17648" priority="383" operator="equal">
      <formula>0</formula>
    </cfRule>
    <cfRule type="cellIs" dxfId="17647" priority="384" operator="greaterThan">
      <formula>0</formula>
    </cfRule>
  </conditionalFormatting>
  <conditionalFormatting sqref="K49 K52:K55">
    <cfRule type="cellIs" dxfId="17646" priority="373" operator="equal">
      <formula>"PMS"</formula>
    </cfRule>
    <cfRule type="containsText" dxfId="17645" priority="374" operator="containsText" text="CMS">
      <formula>NOT(ISERROR(SEARCH("CMS",K49)))</formula>
    </cfRule>
    <cfRule type="cellIs" dxfId="17644" priority="375" operator="equal">
      <formula>0</formula>
    </cfRule>
    <cfRule type="cellIs" dxfId="17643" priority="376" operator="greaterThan">
      <formula>0</formula>
    </cfRule>
  </conditionalFormatting>
  <conditionalFormatting sqref="L78:L79 H33:J33 L33 L27:L30 H24:J24 H19:J20 L20:L21 V28:AC28 M21 Q28:T28 N28:P29 N33:AC33 P30 Q29:AC30 H27:J30 H78:J79 N19:AC21 L24:AC24 H21:K21 K19:M19 M30:N30 O78:AC79">
    <cfRule type="cellIs" dxfId="17642" priority="365" operator="equal">
      <formula>"PMS"</formula>
    </cfRule>
    <cfRule type="containsText" dxfId="17641" priority="366" operator="containsText" text="CMS">
      <formula>NOT(ISERROR(SEARCH("CMS",H19)))</formula>
    </cfRule>
    <cfRule type="cellIs" dxfId="17640" priority="367" operator="equal">
      <formula>0</formula>
    </cfRule>
    <cfRule type="cellIs" dxfId="17639" priority="368" operator="greaterThan">
      <formula>0</formula>
    </cfRule>
    <cfRule type="cellIs" dxfId="17638" priority="369" operator="equal">
      <formula>"PMS"</formula>
    </cfRule>
    <cfRule type="containsText" dxfId="17637" priority="370" operator="containsText" text="CMS">
      <formula>NOT(ISERROR(SEARCH("CMS",H19)))</formula>
    </cfRule>
    <cfRule type="cellIs" dxfId="17636" priority="371" operator="equal">
      <formula>0</formula>
    </cfRule>
    <cfRule type="cellIs" dxfId="17635" priority="372" operator="greaterThan">
      <formula>0</formula>
    </cfRule>
  </conditionalFormatting>
  <conditionalFormatting sqref="L78:L79 H33:J33 L33 L27:L30 H24:J24 H19:J20 L20:L21 V28:AC28 M21 Q28:T28 N28:P29 N33:AC33 P30 Q29:AC30 H27:J30 H78:J79 N19:AC21 L24:AC24 H21:K21 K19:M19 M30:N30 O78:AC79">
    <cfRule type="cellIs" dxfId="17634" priority="361" operator="equal">
      <formula>"PMS"</formula>
    </cfRule>
    <cfRule type="containsText" dxfId="17633" priority="362" operator="containsText" text="CMS">
      <formula>NOT(ISERROR(SEARCH("CMS",H19)))</formula>
    </cfRule>
    <cfRule type="cellIs" dxfId="17632" priority="363" operator="equal">
      <formula>0</formula>
    </cfRule>
    <cfRule type="cellIs" dxfId="17631" priority="364" operator="greaterThan">
      <formula>0</formula>
    </cfRule>
  </conditionalFormatting>
  <conditionalFormatting sqref="G78:G79 G33 G27:G30 G24 G39:G48 G50:G51 G56 G19:G21">
    <cfRule type="cellIs" dxfId="17630" priority="353" operator="equal">
      <formula>"PMS"</formula>
    </cfRule>
    <cfRule type="containsText" dxfId="17629" priority="354" operator="containsText" text="CMS">
      <formula>NOT(ISERROR(SEARCH("CMS",G19)))</formula>
    </cfRule>
    <cfRule type="cellIs" dxfId="17628" priority="355" operator="equal">
      <formula>0</formula>
    </cfRule>
    <cfRule type="cellIs" dxfId="17627" priority="356" operator="greaterThan">
      <formula>0</formula>
    </cfRule>
    <cfRule type="cellIs" dxfId="17626" priority="357" operator="equal">
      <formula>"PMS"</formula>
    </cfRule>
    <cfRule type="containsText" dxfId="17625" priority="358" operator="containsText" text="CMS">
      <formula>NOT(ISERROR(SEARCH("CMS",G19)))</formula>
    </cfRule>
    <cfRule type="cellIs" dxfId="17624" priority="359" operator="equal">
      <formula>0</formula>
    </cfRule>
    <cfRule type="cellIs" dxfId="17623" priority="360" operator="greaterThan">
      <formula>0</formula>
    </cfRule>
  </conditionalFormatting>
  <conditionalFormatting sqref="G78:G79 G33 G27:G30 G24 G39:G48 G50:G51 G56 G19:G21">
    <cfRule type="cellIs" dxfId="17622" priority="349" operator="equal">
      <formula>"PMS"</formula>
    </cfRule>
    <cfRule type="containsText" dxfId="17621" priority="350" operator="containsText" text="CMS">
      <formula>NOT(ISERROR(SEARCH("CMS",G19)))</formula>
    </cfRule>
    <cfRule type="cellIs" dxfId="17620" priority="351" operator="equal">
      <formula>0</formula>
    </cfRule>
    <cfRule type="cellIs" dxfId="17619" priority="352" operator="greaterThan">
      <formula>0</formula>
    </cfRule>
  </conditionalFormatting>
  <conditionalFormatting sqref="M39:M48 M33 M27:M29 M20 AB27:AC27 N27:X27 M78:N79 N47 M50 M56 N51:N55 M62:M64">
    <cfRule type="cellIs" dxfId="17618" priority="341" operator="equal">
      <formula>"PMS"</formula>
    </cfRule>
    <cfRule type="containsText" dxfId="17617" priority="342" operator="containsText" text="CMS">
      <formula>NOT(ISERROR(SEARCH("CMS",M20)))</formula>
    </cfRule>
    <cfRule type="cellIs" dxfId="17616" priority="343" operator="equal">
      <formula>0</formula>
    </cfRule>
    <cfRule type="cellIs" dxfId="17615" priority="344" operator="greaterThan">
      <formula>0</formula>
    </cfRule>
    <cfRule type="cellIs" dxfId="17614" priority="345" operator="equal">
      <formula>"PMS"</formula>
    </cfRule>
    <cfRule type="containsText" dxfId="17613" priority="346" operator="containsText" text="CMS">
      <formula>NOT(ISERROR(SEARCH("CMS",M20)))</formula>
    </cfRule>
    <cfRule type="cellIs" dxfId="17612" priority="347" operator="equal">
      <formula>0</formula>
    </cfRule>
    <cfRule type="cellIs" dxfId="17611" priority="348" operator="greaterThan">
      <formula>0</formula>
    </cfRule>
  </conditionalFormatting>
  <conditionalFormatting sqref="M39:M48 M33 M27:M29 M20 AB27:AC27 N27:X27 M78:N79 N47 M50 M56 N51:N55 M62:M64">
    <cfRule type="cellIs" dxfId="17610" priority="337" operator="equal">
      <formula>"PMS"</formula>
    </cfRule>
    <cfRule type="containsText" dxfId="17609" priority="338" operator="containsText" text="CMS">
      <formula>NOT(ISERROR(SEARCH("CMS",M20)))</formula>
    </cfRule>
    <cfRule type="cellIs" dxfId="17608" priority="339" operator="equal">
      <formula>0</formula>
    </cfRule>
    <cfRule type="cellIs" dxfId="17607" priority="340" operator="greaterThan">
      <formula>0</formula>
    </cfRule>
  </conditionalFormatting>
  <conditionalFormatting sqref="K56 K50:K51 K39:K48 K33 K27 K24 K20 K29:K30 K78:K79">
    <cfRule type="cellIs" dxfId="17606" priority="329" operator="equal">
      <formula>"PMS"</formula>
    </cfRule>
    <cfRule type="containsText" dxfId="17605" priority="330" operator="containsText" text="CMS">
      <formula>NOT(ISERROR(SEARCH("CMS",K20)))</formula>
    </cfRule>
    <cfRule type="cellIs" dxfId="17604" priority="331" operator="equal">
      <formula>0</formula>
    </cfRule>
    <cfRule type="cellIs" dxfId="17603" priority="332" operator="greaterThan">
      <formula>0</formula>
    </cfRule>
    <cfRule type="cellIs" dxfId="17602" priority="333" operator="equal">
      <formula>"PMS"</formula>
    </cfRule>
    <cfRule type="containsText" dxfId="17601" priority="334" operator="containsText" text="CMS">
      <formula>NOT(ISERROR(SEARCH("CMS",K20)))</formula>
    </cfRule>
    <cfRule type="cellIs" dxfId="17600" priority="335" operator="equal">
      <formula>0</formula>
    </cfRule>
    <cfRule type="cellIs" dxfId="17599" priority="336" operator="greaterThan">
      <formula>0</formula>
    </cfRule>
  </conditionalFormatting>
  <conditionalFormatting sqref="K56 K50:K51 K39:K48 K33 K27 K24 K20 K29:K30 K78:K79">
    <cfRule type="cellIs" dxfId="17598" priority="325" operator="equal">
      <formula>"PMS"</formula>
    </cfRule>
    <cfRule type="containsText" dxfId="17597" priority="326" operator="containsText" text="CMS">
      <formula>NOT(ISERROR(SEARCH("CMS",K20)))</formula>
    </cfRule>
    <cfRule type="cellIs" dxfId="17596" priority="327" operator="equal">
      <formula>0</formula>
    </cfRule>
    <cfRule type="cellIs" dxfId="17595" priority="328" operator="greaterThan">
      <formula>0</formula>
    </cfRule>
  </conditionalFormatting>
  <conditionalFormatting sqref="K28">
    <cfRule type="cellIs" dxfId="17594" priority="317" operator="equal">
      <formula>"PMS"</formula>
    </cfRule>
    <cfRule type="containsText" dxfId="17593" priority="318" operator="containsText" text="CMS">
      <formula>NOT(ISERROR(SEARCH("CMS",K28)))</formula>
    </cfRule>
    <cfRule type="cellIs" dxfId="17592" priority="319" operator="equal">
      <formula>0</formula>
    </cfRule>
    <cfRule type="cellIs" dxfId="17591" priority="320" operator="greaterThan">
      <formula>0</formula>
    </cfRule>
    <cfRule type="cellIs" dxfId="17590" priority="321" operator="equal">
      <formula>"PMS"</formula>
    </cfRule>
    <cfRule type="containsText" dxfId="17589" priority="322" operator="containsText" text="CMS">
      <formula>NOT(ISERROR(SEARCH("CMS",K28)))</formula>
    </cfRule>
    <cfRule type="cellIs" dxfId="17588" priority="323" operator="equal">
      <formula>0</formula>
    </cfRule>
    <cfRule type="cellIs" dxfId="17587" priority="324" operator="greaterThan">
      <formula>0</formula>
    </cfRule>
  </conditionalFormatting>
  <conditionalFormatting sqref="K28">
    <cfRule type="cellIs" dxfId="17586" priority="313" operator="equal">
      <formula>"PMS"</formula>
    </cfRule>
    <cfRule type="containsText" dxfId="17585" priority="314" operator="containsText" text="CMS">
      <formula>NOT(ISERROR(SEARCH("CMS",K28)))</formula>
    </cfRule>
    <cfRule type="cellIs" dxfId="17584" priority="315" operator="equal">
      <formula>0</formula>
    </cfRule>
    <cfRule type="cellIs" dxfId="17583" priority="316" operator="greaterThan">
      <formula>0</formula>
    </cfRule>
  </conditionalFormatting>
  <conditionalFormatting sqref="N62:O62 O63:O64">
    <cfRule type="cellIs" dxfId="17582" priority="305" operator="equal">
      <formula>"PMS"</formula>
    </cfRule>
    <cfRule type="containsText" dxfId="17581" priority="306" operator="containsText" text="CMS">
      <formula>NOT(ISERROR(SEARCH("CMS",N62)))</formula>
    </cfRule>
    <cfRule type="cellIs" dxfId="17580" priority="307" operator="equal">
      <formula>0</formula>
    </cfRule>
    <cfRule type="cellIs" dxfId="17579" priority="308" operator="greaterThan">
      <formula>0</formula>
    </cfRule>
    <cfRule type="cellIs" dxfId="17578" priority="309" operator="equal">
      <formula>"PMS"</formula>
    </cfRule>
    <cfRule type="containsText" dxfId="17577" priority="310" operator="containsText" text="CMS">
      <formula>NOT(ISERROR(SEARCH("CMS",N62)))</formula>
    </cfRule>
    <cfRule type="cellIs" dxfId="17576" priority="311" operator="equal">
      <formula>0</formula>
    </cfRule>
    <cfRule type="cellIs" dxfId="17575" priority="312" operator="greaterThan">
      <formula>0</formula>
    </cfRule>
  </conditionalFormatting>
  <conditionalFormatting sqref="N62:O62 O63:O64">
    <cfRule type="cellIs" dxfId="17574" priority="301" operator="equal">
      <formula>"PMS"</formula>
    </cfRule>
    <cfRule type="containsText" dxfId="17573" priority="302" operator="containsText" text="CMS">
      <formula>NOT(ISERROR(SEARCH("CMS",N62)))</formula>
    </cfRule>
    <cfRule type="cellIs" dxfId="17572" priority="303" operator="equal">
      <formula>0</formula>
    </cfRule>
    <cfRule type="cellIs" dxfId="17571" priority="304" operator="greaterThan">
      <formula>0</formula>
    </cfRule>
  </conditionalFormatting>
  <conditionalFormatting sqref="J14">
    <cfRule type="cellIs" dxfId="17570" priority="293" operator="equal">
      <formula>"PMS"</formula>
    </cfRule>
    <cfRule type="containsText" dxfId="17569" priority="294" operator="containsText" text="CMS">
      <formula>NOT(ISERROR(SEARCH("CMS",J14)))</formula>
    </cfRule>
    <cfRule type="cellIs" dxfId="17568" priority="295" operator="equal">
      <formula>0</formula>
    </cfRule>
    <cfRule type="cellIs" dxfId="17567" priority="296" operator="greaterThan">
      <formula>0</formula>
    </cfRule>
    <cfRule type="cellIs" dxfId="17566" priority="297" operator="equal">
      <formula>"PMS"</formula>
    </cfRule>
    <cfRule type="containsText" dxfId="17565" priority="298" operator="containsText" text="CMS">
      <formula>NOT(ISERROR(SEARCH("CMS",J14)))</formula>
    </cfRule>
    <cfRule type="cellIs" dxfId="17564" priority="299" operator="equal">
      <formula>0</formula>
    </cfRule>
    <cfRule type="cellIs" dxfId="17563" priority="300" operator="greaterThan">
      <formula>0</formula>
    </cfRule>
  </conditionalFormatting>
  <conditionalFormatting sqref="J14">
    <cfRule type="cellIs" dxfId="17562" priority="289" operator="equal">
      <formula>"PMS"</formula>
    </cfRule>
    <cfRule type="containsText" dxfId="17561" priority="290" operator="containsText" text="CMS">
      <formula>NOT(ISERROR(SEARCH("CMS",J14)))</formula>
    </cfRule>
    <cfRule type="cellIs" dxfId="17560" priority="291" operator="equal">
      <formula>0</formula>
    </cfRule>
    <cfRule type="cellIs" dxfId="17559" priority="292" operator="greaterThan">
      <formula>0</formula>
    </cfRule>
  </conditionalFormatting>
  <conditionalFormatting sqref="U28">
    <cfRule type="cellIs" dxfId="17558" priority="281" operator="equal">
      <formula>"PMS"</formula>
    </cfRule>
    <cfRule type="containsText" dxfId="17557" priority="282" operator="containsText" text="CMS">
      <formula>NOT(ISERROR(SEARCH("CMS",U28)))</formula>
    </cfRule>
    <cfRule type="cellIs" dxfId="17556" priority="283" operator="equal">
      <formula>0</formula>
    </cfRule>
    <cfRule type="cellIs" dxfId="17555" priority="284" operator="greaterThan">
      <formula>0</formula>
    </cfRule>
    <cfRule type="cellIs" dxfId="17554" priority="285" operator="equal">
      <formula>"PMS"</formula>
    </cfRule>
    <cfRule type="containsText" dxfId="17553" priority="286" operator="containsText" text="CMS">
      <formula>NOT(ISERROR(SEARCH("CMS",U28)))</formula>
    </cfRule>
    <cfRule type="cellIs" dxfId="17552" priority="287" operator="equal">
      <formula>0</formula>
    </cfRule>
    <cfRule type="cellIs" dxfId="17551" priority="288" operator="greaterThan">
      <formula>0</formula>
    </cfRule>
  </conditionalFormatting>
  <conditionalFormatting sqref="U28">
    <cfRule type="cellIs" dxfId="17550" priority="277" operator="equal">
      <formula>"PMS"</formula>
    </cfRule>
    <cfRule type="containsText" dxfId="17549" priority="278" operator="containsText" text="CMS">
      <formula>NOT(ISERROR(SEARCH("CMS",U28)))</formula>
    </cfRule>
    <cfRule type="cellIs" dxfId="17548" priority="279" operator="equal">
      <formula>0</formula>
    </cfRule>
    <cfRule type="cellIs" dxfId="17547" priority="280" operator="greaterThan">
      <formula>0</formula>
    </cfRule>
  </conditionalFormatting>
  <conditionalFormatting sqref="Y27:AA27">
    <cfRule type="cellIs" dxfId="17546" priority="269" operator="equal">
      <formula>"PMS"</formula>
    </cfRule>
    <cfRule type="containsText" dxfId="17545" priority="270" operator="containsText" text="CMS">
      <formula>NOT(ISERROR(SEARCH("CMS",Y27)))</formula>
    </cfRule>
    <cfRule type="cellIs" dxfId="17544" priority="271" operator="equal">
      <formula>0</formula>
    </cfRule>
    <cfRule type="cellIs" dxfId="17543" priority="272" operator="greaterThan">
      <formula>0</formula>
    </cfRule>
    <cfRule type="cellIs" dxfId="17542" priority="273" operator="equal">
      <formula>"PMS"</formula>
    </cfRule>
    <cfRule type="containsText" dxfId="17541" priority="274" operator="containsText" text="CMS">
      <formula>NOT(ISERROR(SEARCH("CMS",Y27)))</formula>
    </cfRule>
    <cfRule type="cellIs" dxfId="17540" priority="275" operator="equal">
      <formula>0</formula>
    </cfRule>
    <cfRule type="cellIs" dxfId="17539" priority="276" operator="greaterThan">
      <formula>0</formula>
    </cfRule>
  </conditionalFormatting>
  <conditionalFormatting sqref="Y27:AA27">
    <cfRule type="cellIs" dxfId="17538" priority="265" operator="equal">
      <formula>"PMS"</formula>
    </cfRule>
    <cfRule type="containsText" dxfId="17537" priority="266" operator="containsText" text="CMS">
      <formula>NOT(ISERROR(SEARCH("CMS",Y27)))</formula>
    </cfRule>
    <cfRule type="cellIs" dxfId="17536" priority="267" operator="equal">
      <formula>0</formula>
    </cfRule>
    <cfRule type="cellIs" dxfId="17535" priority="268" operator="greaterThan">
      <formula>0</formula>
    </cfRule>
  </conditionalFormatting>
  <conditionalFormatting sqref="G62:G64">
    <cfRule type="cellIs" dxfId="17534" priority="257" operator="equal">
      <formula>"PMS"</formula>
    </cfRule>
    <cfRule type="containsText" dxfId="17533" priority="258" operator="containsText" text="CMS">
      <formula>NOT(ISERROR(SEARCH("CMS",G62)))</formula>
    </cfRule>
    <cfRule type="cellIs" dxfId="17532" priority="259" operator="equal">
      <formula>0</formula>
    </cfRule>
    <cfRule type="cellIs" dxfId="17531" priority="260" operator="greaterThan">
      <formula>0</formula>
    </cfRule>
    <cfRule type="cellIs" dxfId="17530" priority="261" operator="equal">
      <formula>"PMS"</formula>
    </cfRule>
    <cfRule type="containsText" dxfId="17529" priority="262" operator="containsText" text="CMS">
      <formula>NOT(ISERROR(SEARCH("CMS",G62)))</formula>
    </cfRule>
    <cfRule type="cellIs" dxfId="17528" priority="263" operator="equal">
      <formula>0</formula>
    </cfRule>
    <cfRule type="cellIs" dxfId="17527" priority="264" operator="greaterThan">
      <formula>0</formula>
    </cfRule>
  </conditionalFormatting>
  <conditionalFormatting sqref="G62:G64">
    <cfRule type="cellIs" dxfId="17526" priority="253" operator="equal">
      <formula>"PMS"</formula>
    </cfRule>
    <cfRule type="containsText" dxfId="17525" priority="254" operator="containsText" text="CMS">
      <formula>NOT(ISERROR(SEARCH("CMS",G62)))</formula>
    </cfRule>
    <cfRule type="cellIs" dxfId="17524" priority="255" operator="equal">
      <formula>0</formula>
    </cfRule>
    <cfRule type="cellIs" dxfId="17523" priority="256" operator="greaterThan">
      <formula>0</formula>
    </cfRule>
  </conditionalFormatting>
  <conditionalFormatting sqref="N40">
    <cfRule type="cellIs" dxfId="17522" priority="245" operator="equal">
      <formula>"PMS"</formula>
    </cfRule>
    <cfRule type="containsText" dxfId="17521" priority="246" operator="containsText" text="CMS">
      <formula>NOT(ISERROR(SEARCH("CMS",N40)))</formula>
    </cfRule>
    <cfRule type="cellIs" dxfId="17520" priority="247" operator="equal">
      <formula>0</formula>
    </cfRule>
    <cfRule type="cellIs" dxfId="17519" priority="248" operator="greaterThan">
      <formula>0</formula>
    </cfRule>
    <cfRule type="cellIs" dxfId="17518" priority="249" operator="equal">
      <formula>"PMS"</formula>
    </cfRule>
    <cfRule type="containsText" dxfId="17517" priority="250" operator="containsText" text="CMS">
      <formula>NOT(ISERROR(SEARCH("CMS",N40)))</formula>
    </cfRule>
    <cfRule type="cellIs" dxfId="17516" priority="251" operator="equal">
      <formula>0</formula>
    </cfRule>
    <cfRule type="cellIs" dxfId="17515" priority="252" operator="greaterThan">
      <formula>0</formula>
    </cfRule>
  </conditionalFormatting>
  <conditionalFormatting sqref="N40">
    <cfRule type="cellIs" dxfId="17514" priority="241" operator="equal">
      <formula>"PMS"</formula>
    </cfRule>
    <cfRule type="containsText" dxfId="17513" priority="242" operator="containsText" text="CMS">
      <formula>NOT(ISERROR(SEARCH("CMS",N40)))</formula>
    </cfRule>
    <cfRule type="cellIs" dxfId="17512" priority="243" operator="equal">
      <formula>0</formula>
    </cfRule>
    <cfRule type="cellIs" dxfId="17511" priority="244" operator="greaterThan">
      <formula>0</formula>
    </cfRule>
  </conditionalFormatting>
  <conditionalFormatting sqref="O30">
    <cfRule type="cellIs" dxfId="17510" priority="233" operator="equal">
      <formula>"PMS"</formula>
    </cfRule>
    <cfRule type="containsText" dxfId="17509" priority="234" operator="containsText" text="CMS">
      <formula>NOT(ISERROR(SEARCH("CMS",O30)))</formula>
    </cfRule>
    <cfRule type="cellIs" dxfId="17508" priority="235" operator="equal">
      <formula>0</formula>
    </cfRule>
    <cfRule type="cellIs" dxfId="17507" priority="236" operator="greaterThan">
      <formula>0</formula>
    </cfRule>
    <cfRule type="cellIs" dxfId="17506" priority="237" operator="equal">
      <formula>"PMS"</formula>
    </cfRule>
    <cfRule type="containsText" dxfId="17505" priority="238" operator="containsText" text="CMS">
      <formula>NOT(ISERROR(SEARCH("CMS",O30)))</formula>
    </cfRule>
    <cfRule type="cellIs" dxfId="17504" priority="239" operator="equal">
      <formula>0</formula>
    </cfRule>
    <cfRule type="cellIs" dxfId="17503" priority="240" operator="greaterThan">
      <formula>0</formula>
    </cfRule>
  </conditionalFormatting>
  <conditionalFormatting sqref="O30">
    <cfRule type="cellIs" dxfId="17502" priority="229" operator="equal">
      <formula>"PMS"</formula>
    </cfRule>
    <cfRule type="containsText" dxfId="17501" priority="230" operator="containsText" text="CMS">
      <formula>NOT(ISERROR(SEARCH("CMS",O30)))</formula>
    </cfRule>
    <cfRule type="cellIs" dxfId="17500" priority="231" operator="equal">
      <formula>0</formula>
    </cfRule>
    <cfRule type="cellIs" dxfId="17499" priority="232" operator="greaterThan">
      <formula>0</formula>
    </cfRule>
  </conditionalFormatting>
  <conditionalFormatting sqref="O47:O56">
    <cfRule type="cellIs" dxfId="17498" priority="221" operator="equal">
      <formula>"PMS"</formula>
    </cfRule>
    <cfRule type="containsText" dxfId="17497" priority="222" operator="containsText" text="CMS">
      <formula>NOT(ISERROR(SEARCH("CMS",O47)))</formula>
    </cfRule>
    <cfRule type="cellIs" dxfId="17496" priority="223" operator="equal">
      <formula>0</formula>
    </cfRule>
    <cfRule type="cellIs" dxfId="17495" priority="224" operator="greaterThan">
      <formula>0</formula>
    </cfRule>
    <cfRule type="cellIs" dxfId="17494" priority="225" operator="equal">
      <formula>"PMS"</formula>
    </cfRule>
    <cfRule type="containsText" dxfId="17493" priority="226" operator="containsText" text="CMS">
      <formula>NOT(ISERROR(SEARCH("CMS",O47)))</formula>
    </cfRule>
    <cfRule type="cellIs" dxfId="17492" priority="227" operator="equal">
      <formula>0</formula>
    </cfRule>
    <cfRule type="cellIs" dxfId="17491" priority="228" operator="greaterThan">
      <formula>0</formula>
    </cfRule>
  </conditionalFormatting>
  <conditionalFormatting sqref="O47:O56">
    <cfRule type="cellIs" dxfId="17490" priority="217" operator="equal">
      <formula>"PMS"</formula>
    </cfRule>
    <cfRule type="containsText" dxfId="17489" priority="218" operator="containsText" text="CMS">
      <formula>NOT(ISERROR(SEARCH("CMS",O47)))</formula>
    </cfRule>
    <cfRule type="cellIs" dxfId="17488" priority="219" operator="equal">
      <formula>0</formula>
    </cfRule>
    <cfRule type="cellIs" dxfId="17487" priority="220" operator="greaterThan">
      <formula>0</formula>
    </cfRule>
  </conditionalFormatting>
  <conditionalFormatting sqref="F82">
    <cfRule type="cellIs" dxfId="17486" priority="209" operator="equal">
      <formula>"PMS"</formula>
    </cfRule>
    <cfRule type="containsText" dxfId="17485" priority="210" operator="containsText" text="CMS">
      <formula>NOT(ISERROR(SEARCH("CMS",F82)))</formula>
    </cfRule>
    <cfRule type="cellIs" dxfId="17484" priority="211" operator="equal">
      <formula>0</formula>
    </cfRule>
    <cfRule type="cellIs" dxfId="17483" priority="212" operator="greaterThan">
      <formula>0</formula>
    </cfRule>
    <cfRule type="cellIs" dxfId="17482" priority="213" operator="equal">
      <formula>"PMS"</formula>
    </cfRule>
    <cfRule type="containsText" dxfId="17481" priority="214" operator="containsText" text="CMS">
      <formula>NOT(ISERROR(SEARCH("CMS",F82)))</formula>
    </cfRule>
    <cfRule type="cellIs" dxfId="17480" priority="215" operator="equal">
      <formula>0</formula>
    </cfRule>
    <cfRule type="cellIs" dxfId="17479" priority="216" operator="greaterThan">
      <formula>0</formula>
    </cfRule>
  </conditionalFormatting>
  <conditionalFormatting sqref="F82">
    <cfRule type="cellIs" dxfId="17478" priority="205" operator="equal">
      <formula>"PMS"</formula>
    </cfRule>
    <cfRule type="containsText" dxfId="17477" priority="206" operator="containsText" text="CMS">
      <formula>NOT(ISERROR(SEARCH("CMS",F82)))</formula>
    </cfRule>
    <cfRule type="cellIs" dxfId="17476" priority="207" operator="equal">
      <formula>0</formula>
    </cfRule>
    <cfRule type="cellIs" dxfId="17475" priority="208" operator="greaterThan">
      <formula>0</formula>
    </cfRule>
  </conditionalFormatting>
  <conditionalFormatting sqref="H15">
    <cfRule type="cellIs" dxfId="17474" priority="137" operator="equal">
      <formula>"PMS"</formula>
    </cfRule>
    <cfRule type="containsText" dxfId="17473" priority="138" operator="containsText" text="CMS">
      <formula>NOT(ISERROR(SEARCH("CMS",H15)))</formula>
    </cfRule>
    <cfRule type="cellIs" dxfId="17472" priority="139" operator="equal">
      <formula>0</formula>
    </cfRule>
    <cfRule type="cellIs" dxfId="17471" priority="140" operator="greaterThan">
      <formula>0</formula>
    </cfRule>
    <cfRule type="cellIs" dxfId="17470" priority="141" operator="equal">
      <formula>"PMS"</formula>
    </cfRule>
    <cfRule type="containsText" dxfId="17469" priority="142" operator="containsText" text="CMS">
      <formula>NOT(ISERROR(SEARCH("CMS",H15)))</formula>
    </cfRule>
    <cfRule type="cellIs" dxfId="17468" priority="143" operator="equal">
      <formula>0</formula>
    </cfRule>
    <cfRule type="cellIs" dxfId="17467" priority="144" operator="greaterThan">
      <formula>0</formula>
    </cfRule>
  </conditionalFormatting>
  <conditionalFormatting sqref="H15">
    <cfRule type="cellIs" dxfId="17466" priority="133" operator="equal">
      <formula>"PMS"</formula>
    </cfRule>
    <cfRule type="containsText" dxfId="17465" priority="134" operator="containsText" text="CMS">
      <formula>NOT(ISERROR(SEARCH("CMS",H15)))</formula>
    </cfRule>
    <cfRule type="cellIs" dxfId="17464" priority="135" operator="equal">
      <formula>0</formula>
    </cfRule>
    <cfRule type="cellIs" dxfId="17463" priority="136" operator="greaterThan">
      <formula>0</formula>
    </cfRule>
  </conditionalFormatting>
  <conditionalFormatting sqref="F13:F16 F36:F59 F62:F64 G14">
    <cfRule type="cellIs" dxfId="17462" priority="125" operator="equal">
      <formula>"PMS"</formula>
    </cfRule>
    <cfRule type="containsText" dxfId="17461" priority="126" operator="containsText" text="CMS">
      <formula>NOT(ISERROR(SEARCH("CMS",F13)))</formula>
    </cfRule>
    <cfRule type="cellIs" dxfId="17460" priority="127" operator="equal">
      <formula>0</formula>
    </cfRule>
    <cfRule type="cellIs" dxfId="17459" priority="128" operator="greaterThan">
      <formula>0</formula>
    </cfRule>
    <cfRule type="cellIs" dxfId="17458" priority="129" operator="equal">
      <formula>"PMS"</formula>
    </cfRule>
    <cfRule type="containsText" dxfId="17457" priority="130" operator="containsText" text="CMS">
      <formula>NOT(ISERROR(SEARCH("CMS",F13)))</formula>
    </cfRule>
    <cfRule type="cellIs" dxfId="17456" priority="131" operator="equal">
      <formula>0</formula>
    </cfRule>
    <cfRule type="cellIs" dxfId="17455" priority="132" operator="greaterThan">
      <formula>0</formula>
    </cfRule>
  </conditionalFormatting>
  <conditionalFormatting sqref="F13:F16 F36:F59 F62:F64 G14">
    <cfRule type="cellIs" dxfId="17454" priority="121" operator="equal">
      <formula>"PMS"</formula>
    </cfRule>
    <cfRule type="containsText" dxfId="17453" priority="122" operator="containsText" text="CMS">
      <formula>NOT(ISERROR(SEARCH("CMS",F13)))</formula>
    </cfRule>
    <cfRule type="cellIs" dxfId="17452" priority="123" operator="equal">
      <formula>0</formula>
    </cfRule>
    <cfRule type="cellIs" dxfId="17451" priority="124" operator="greaterThan">
      <formula>0</formula>
    </cfRule>
  </conditionalFormatting>
  <conditionalFormatting sqref="F67:F75">
    <cfRule type="cellIs" dxfId="17450" priority="113" operator="equal">
      <formula>"PMS"</formula>
    </cfRule>
    <cfRule type="containsText" dxfId="17449" priority="114" operator="containsText" text="CMS">
      <formula>NOT(ISERROR(SEARCH("CMS",F67)))</formula>
    </cfRule>
    <cfRule type="cellIs" dxfId="17448" priority="115" operator="equal">
      <formula>0</formula>
    </cfRule>
    <cfRule type="cellIs" dxfId="17447" priority="116" operator="greaterThan">
      <formula>0</formula>
    </cfRule>
    <cfRule type="cellIs" dxfId="17446" priority="117" operator="equal">
      <formula>"PMS"</formula>
    </cfRule>
    <cfRule type="containsText" dxfId="17445" priority="118" operator="containsText" text="CMS">
      <formula>NOT(ISERROR(SEARCH("CMS",F67)))</formula>
    </cfRule>
    <cfRule type="cellIs" dxfId="17444" priority="119" operator="equal">
      <formula>0</formula>
    </cfRule>
    <cfRule type="cellIs" dxfId="17443" priority="120" operator="greaterThan">
      <formula>0</formula>
    </cfRule>
  </conditionalFormatting>
  <conditionalFormatting sqref="F67:F75">
    <cfRule type="cellIs" dxfId="17442" priority="109" operator="equal">
      <formula>"PMS"</formula>
    </cfRule>
    <cfRule type="containsText" dxfId="17441" priority="110" operator="containsText" text="CMS">
      <formula>NOT(ISERROR(SEARCH("CMS",F67)))</formula>
    </cfRule>
    <cfRule type="cellIs" dxfId="17440" priority="111" operator="equal">
      <formula>0</formula>
    </cfRule>
    <cfRule type="cellIs" dxfId="17439" priority="112" operator="greaterThan">
      <formula>0</formula>
    </cfRule>
  </conditionalFormatting>
  <conditionalFormatting sqref="F33 F28:F30 F19:F21 F24 F78:F79">
    <cfRule type="cellIs" dxfId="17438" priority="101" operator="equal">
      <formula>"PMS"</formula>
    </cfRule>
    <cfRule type="containsText" dxfId="17437" priority="102" operator="containsText" text="CMS">
      <formula>NOT(ISERROR(SEARCH("CMS",F19)))</formula>
    </cfRule>
    <cfRule type="cellIs" dxfId="17436" priority="103" operator="equal">
      <formula>0</formula>
    </cfRule>
    <cfRule type="cellIs" dxfId="17435" priority="104" operator="greaterThan">
      <formula>0</formula>
    </cfRule>
    <cfRule type="cellIs" dxfId="17434" priority="105" operator="equal">
      <formula>"PMS"</formula>
    </cfRule>
    <cfRule type="containsText" dxfId="17433" priority="106" operator="containsText" text="CMS">
      <formula>NOT(ISERROR(SEARCH("CMS",F19)))</formula>
    </cfRule>
    <cfRule type="cellIs" dxfId="17432" priority="107" operator="equal">
      <formula>0</formula>
    </cfRule>
    <cfRule type="cellIs" dxfId="17431" priority="108" operator="greaterThan">
      <formula>0</formula>
    </cfRule>
  </conditionalFormatting>
  <conditionalFormatting sqref="F33 F28:F30 F19:F21 F24 F78:F79">
    <cfRule type="cellIs" dxfId="17430" priority="97" operator="equal">
      <formula>"PMS"</formula>
    </cfRule>
    <cfRule type="containsText" dxfId="17429" priority="98" operator="containsText" text="CMS">
      <formula>NOT(ISERROR(SEARCH("CMS",F19)))</formula>
    </cfRule>
    <cfRule type="cellIs" dxfId="17428" priority="99" operator="equal">
      <formula>0</formula>
    </cfRule>
    <cfRule type="cellIs" dxfId="17427" priority="100" operator="greaterThan">
      <formula>0</formula>
    </cfRule>
  </conditionalFormatting>
  <conditionalFormatting sqref="F27">
    <cfRule type="cellIs" dxfId="17426" priority="89" operator="equal">
      <formula>"PMS"</formula>
    </cfRule>
    <cfRule type="containsText" dxfId="17425" priority="90" operator="containsText" text="CMS">
      <formula>NOT(ISERROR(SEARCH("CMS",F27)))</formula>
    </cfRule>
    <cfRule type="cellIs" dxfId="17424" priority="91" operator="equal">
      <formula>0</formula>
    </cfRule>
    <cfRule type="cellIs" dxfId="17423" priority="92" operator="greaterThan">
      <formula>0</formula>
    </cfRule>
    <cfRule type="cellIs" dxfId="17422" priority="93" operator="equal">
      <formula>"PMS"</formula>
    </cfRule>
    <cfRule type="containsText" dxfId="17421" priority="94" operator="containsText" text="CMS">
      <formula>NOT(ISERROR(SEARCH("CMS",F27)))</formula>
    </cfRule>
    <cfRule type="cellIs" dxfId="17420" priority="95" operator="equal">
      <formula>0</formula>
    </cfRule>
    <cfRule type="cellIs" dxfId="17419" priority="96" operator="greaterThan">
      <formula>0</formula>
    </cfRule>
  </conditionalFormatting>
  <conditionalFormatting sqref="F27">
    <cfRule type="cellIs" dxfId="17418" priority="85" operator="equal">
      <formula>"PMS"</formula>
    </cfRule>
    <cfRule type="containsText" dxfId="17417" priority="86" operator="containsText" text="CMS">
      <formula>NOT(ISERROR(SEARCH("CMS",F27)))</formula>
    </cfRule>
    <cfRule type="cellIs" dxfId="17416" priority="87" operator="equal">
      <formula>0</formula>
    </cfRule>
    <cfRule type="cellIs" dxfId="17415" priority="88" operator="greaterThan">
      <formula>0</formula>
    </cfRule>
  </conditionalFormatting>
  <conditionalFormatting sqref="N48">
    <cfRule type="cellIs" dxfId="17414" priority="53" operator="equal">
      <formula>"PMS"</formula>
    </cfRule>
    <cfRule type="containsText" dxfId="17413" priority="54" operator="containsText" text="CMS">
      <formula>NOT(ISERROR(SEARCH("CMS",N48)))</formula>
    </cfRule>
    <cfRule type="cellIs" dxfId="17412" priority="55" operator="equal">
      <formula>0</formula>
    </cfRule>
    <cfRule type="cellIs" dxfId="17411" priority="56" operator="greaterThan">
      <formula>0</formula>
    </cfRule>
    <cfRule type="cellIs" dxfId="17410" priority="57" operator="equal">
      <formula>"PMS"</formula>
    </cfRule>
    <cfRule type="containsText" dxfId="17409" priority="58" operator="containsText" text="CMS">
      <formula>NOT(ISERROR(SEARCH("CMS",N48)))</formula>
    </cfRule>
    <cfRule type="cellIs" dxfId="17408" priority="59" operator="equal">
      <formula>0</formula>
    </cfRule>
    <cfRule type="cellIs" dxfId="17407" priority="60" operator="greaterThan">
      <formula>0</formula>
    </cfRule>
  </conditionalFormatting>
  <conditionalFormatting sqref="N48">
    <cfRule type="cellIs" dxfId="17406" priority="49" operator="equal">
      <formula>"PMS"</formula>
    </cfRule>
    <cfRule type="containsText" dxfId="17405" priority="50" operator="containsText" text="CMS">
      <formula>NOT(ISERROR(SEARCH("CMS",N48)))</formula>
    </cfRule>
    <cfRule type="cellIs" dxfId="17404" priority="51" operator="equal">
      <formula>0</formula>
    </cfRule>
    <cfRule type="cellIs" dxfId="17403" priority="52" operator="greaterThan">
      <formula>0</formula>
    </cfRule>
  </conditionalFormatting>
  <conditionalFormatting sqref="N50">
    <cfRule type="cellIs" dxfId="17402" priority="41" operator="equal">
      <formula>"PMS"</formula>
    </cfRule>
    <cfRule type="containsText" dxfId="17401" priority="42" operator="containsText" text="CMS">
      <formula>NOT(ISERROR(SEARCH("CMS",N50)))</formula>
    </cfRule>
    <cfRule type="cellIs" dxfId="17400" priority="43" operator="equal">
      <formula>0</formula>
    </cfRule>
    <cfRule type="cellIs" dxfId="17399" priority="44" operator="greaterThan">
      <formula>0</formula>
    </cfRule>
    <cfRule type="cellIs" dxfId="17398" priority="45" operator="equal">
      <formula>"PMS"</formula>
    </cfRule>
    <cfRule type="containsText" dxfId="17397" priority="46" operator="containsText" text="CMS">
      <formula>NOT(ISERROR(SEARCH("CMS",N50)))</formula>
    </cfRule>
    <cfRule type="cellIs" dxfId="17396" priority="47" operator="equal">
      <formula>0</formula>
    </cfRule>
    <cfRule type="cellIs" dxfId="17395" priority="48" operator="greaterThan">
      <formula>0</formula>
    </cfRule>
  </conditionalFormatting>
  <conditionalFormatting sqref="N50">
    <cfRule type="cellIs" dxfId="17394" priority="37" operator="equal">
      <formula>"PMS"</formula>
    </cfRule>
    <cfRule type="containsText" dxfId="17393" priority="38" operator="containsText" text="CMS">
      <formula>NOT(ISERROR(SEARCH("CMS",N50)))</formula>
    </cfRule>
    <cfRule type="cellIs" dxfId="17392" priority="39" operator="equal">
      <formula>0</formula>
    </cfRule>
    <cfRule type="cellIs" dxfId="17391" priority="40" operator="greaterThan">
      <formula>0</formula>
    </cfRule>
  </conditionalFormatting>
  <conditionalFormatting sqref="N56">
    <cfRule type="cellIs" dxfId="17390" priority="29" operator="equal">
      <formula>"PMS"</formula>
    </cfRule>
    <cfRule type="containsText" dxfId="17389" priority="30" operator="containsText" text="CMS">
      <formula>NOT(ISERROR(SEARCH("CMS",N56)))</formula>
    </cfRule>
    <cfRule type="cellIs" dxfId="17388" priority="31" operator="equal">
      <formula>0</formula>
    </cfRule>
    <cfRule type="cellIs" dxfId="17387" priority="32" operator="greaterThan">
      <formula>0</formula>
    </cfRule>
    <cfRule type="cellIs" dxfId="17386" priority="33" operator="equal">
      <formula>"PMS"</formula>
    </cfRule>
    <cfRule type="containsText" dxfId="17385" priority="34" operator="containsText" text="CMS">
      <formula>NOT(ISERROR(SEARCH("CMS",N56)))</formula>
    </cfRule>
    <cfRule type="cellIs" dxfId="17384" priority="35" operator="equal">
      <formula>0</formula>
    </cfRule>
    <cfRule type="cellIs" dxfId="17383" priority="36" operator="greaterThan">
      <formula>0</formula>
    </cfRule>
  </conditionalFormatting>
  <conditionalFormatting sqref="N56">
    <cfRule type="cellIs" dxfId="17382" priority="25" operator="equal">
      <formula>"PMS"</formula>
    </cfRule>
    <cfRule type="containsText" dxfId="17381" priority="26" operator="containsText" text="CMS">
      <formula>NOT(ISERROR(SEARCH("CMS",N56)))</formula>
    </cfRule>
    <cfRule type="cellIs" dxfId="17380" priority="27" operator="equal">
      <formula>0</formula>
    </cfRule>
    <cfRule type="cellIs" dxfId="17379" priority="28" operator="greaterThan">
      <formula>0</formula>
    </cfRule>
  </conditionalFormatting>
  <conditionalFormatting sqref="N63:N64">
    <cfRule type="cellIs" dxfId="17378" priority="17" operator="equal">
      <formula>"PMS"</formula>
    </cfRule>
    <cfRule type="containsText" dxfId="17377" priority="18" operator="containsText" text="CMS">
      <formula>NOT(ISERROR(SEARCH("CMS",N63)))</formula>
    </cfRule>
    <cfRule type="cellIs" dxfId="17376" priority="19" operator="equal">
      <formula>0</formula>
    </cfRule>
    <cfRule type="cellIs" dxfId="17375" priority="20" operator="greaterThan">
      <formula>0</formula>
    </cfRule>
    <cfRule type="cellIs" dxfId="17374" priority="21" operator="equal">
      <formula>"PMS"</formula>
    </cfRule>
    <cfRule type="containsText" dxfId="17373" priority="22" operator="containsText" text="CMS">
      <formula>NOT(ISERROR(SEARCH("CMS",N63)))</formula>
    </cfRule>
    <cfRule type="cellIs" dxfId="17372" priority="23" operator="equal">
      <formula>0</formula>
    </cfRule>
    <cfRule type="cellIs" dxfId="17371" priority="24" operator="greaterThan">
      <formula>0</formula>
    </cfRule>
  </conditionalFormatting>
  <conditionalFormatting sqref="N63:N64">
    <cfRule type="cellIs" dxfId="17370" priority="13" operator="equal">
      <formula>"PMS"</formula>
    </cfRule>
    <cfRule type="containsText" dxfId="17369" priority="14" operator="containsText" text="CMS">
      <formula>NOT(ISERROR(SEARCH("CMS",N63)))</formula>
    </cfRule>
    <cfRule type="cellIs" dxfId="17368" priority="15" operator="equal">
      <formula>0</formula>
    </cfRule>
    <cfRule type="cellIs" dxfId="17367" priority="16" operator="greaterThan">
      <formula>0</formula>
    </cfRule>
  </conditionalFormatting>
  <conditionalFormatting sqref="O40">
    <cfRule type="cellIs" dxfId="17366" priority="5" operator="equal">
      <formula>"PMS"</formula>
    </cfRule>
    <cfRule type="containsText" dxfId="17365" priority="6" operator="containsText" text="CMS">
      <formula>NOT(ISERROR(SEARCH("CMS",O40)))</formula>
    </cfRule>
    <cfRule type="cellIs" dxfId="17364" priority="7" operator="equal">
      <formula>0</formula>
    </cfRule>
    <cfRule type="cellIs" dxfId="17363" priority="8" operator="greaterThan">
      <formula>0</formula>
    </cfRule>
    <cfRule type="cellIs" dxfId="17362" priority="9" operator="equal">
      <formula>"PMS"</formula>
    </cfRule>
    <cfRule type="containsText" dxfId="17361" priority="10" operator="containsText" text="CMS">
      <formula>NOT(ISERROR(SEARCH("CMS",O40)))</formula>
    </cfRule>
    <cfRule type="cellIs" dxfId="17360" priority="11" operator="equal">
      <formula>0</formula>
    </cfRule>
    <cfRule type="cellIs" dxfId="17359" priority="12" operator="greaterThan">
      <formula>0</formula>
    </cfRule>
  </conditionalFormatting>
  <conditionalFormatting sqref="O40">
    <cfRule type="cellIs" dxfId="17358" priority="1" operator="equal">
      <formula>"PMS"</formula>
    </cfRule>
    <cfRule type="containsText" dxfId="17357" priority="2" operator="containsText" text="CMS">
      <formula>NOT(ISERROR(SEARCH("CMS",O40)))</formula>
    </cfRule>
    <cfRule type="cellIs" dxfId="17356" priority="3" operator="equal">
      <formula>0</formula>
    </cfRule>
    <cfRule type="cellIs" dxfId="1735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50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2792-8E8D-4D57-A698-B92311A2271E}">
  <sheetPr codeName="Sheet226"/>
  <dimension ref="A2:DT141"/>
  <sheetViews>
    <sheetView zoomScale="70" zoomScaleNormal="70" workbookViewId="0">
      <pane xSplit="5" ySplit="11" topLeftCell="F12" activePane="bottomRight" state="frozen"/>
      <selection pane="bottomRight" activeCell="AA16" sqref="AA1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392.69999999999982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6.7</v>
      </c>
      <c r="H14" s="359">
        <v>6.7</v>
      </c>
      <c r="I14" s="357">
        <v>6.7</v>
      </c>
      <c r="J14" s="357">
        <v>6.7</v>
      </c>
      <c r="K14" s="359">
        <v>5.6</v>
      </c>
      <c r="L14" s="359">
        <v>0</v>
      </c>
      <c r="M14" s="357">
        <v>0</v>
      </c>
      <c r="N14" s="359">
        <v>0</v>
      </c>
      <c r="O14" s="357">
        <v>6.5</v>
      </c>
      <c r="P14" s="357">
        <v>6</v>
      </c>
      <c r="Q14" s="357">
        <v>6.4</v>
      </c>
      <c r="R14" s="357">
        <v>6.6</v>
      </c>
      <c r="S14" s="462">
        <v>6.7</v>
      </c>
      <c r="T14" s="462">
        <v>6.7</v>
      </c>
      <c r="U14" s="357">
        <v>6.7</v>
      </c>
      <c r="V14" s="357">
        <v>6.7</v>
      </c>
      <c r="W14" s="357">
        <v>6.4</v>
      </c>
      <c r="X14" s="357">
        <v>6.7</v>
      </c>
      <c r="Y14" s="357">
        <v>6.7</v>
      </c>
      <c r="Z14" s="462">
        <v>6.8</v>
      </c>
      <c r="AA14" s="462">
        <v>6.7</v>
      </c>
      <c r="AB14" s="357">
        <v>6.8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/>
      <c r="G15" s="357"/>
      <c r="H15" s="357"/>
      <c r="I15" s="357"/>
      <c r="J15" s="357"/>
      <c r="K15" s="359">
        <v>2</v>
      </c>
      <c r="L15" s="359">
        <v>6.4</v>
      </c>
      <c r="M15" s="359">
        <v>6.4</v>
      </c>
      <c r="N15" s="359">
        <v>7</v>
      </c>
      <c r="O15" s="357" t="s">
        <v>9</v>
      </c>
      <c r="P15" s="357">
        <v>1.3</v>
      </c>
      <c r="Q15" s="357">
        <v>6.6</v>
      </c>
      <c r="R15" s="357">
        <v>6.6</v>
      </c>
      <c r="S15" s="462">
        <v>6.7</v>
      </c>
      <c r="T15" s="462">
        <v>6.7</v>
      </c>
      <c r="U15" s="357">
        <v>6.7</v>
      </c>
      <c r="V15" s="462">
        <v>6.7</v>
      </c>
      <c r="W15" s="357">
        <v>6.6</v>
      </c>
      <c r="X15" s="357">
        <v>6.7</v>
      </c>
      <c r="Y15" s="357">
        <v>6.8</v>
      </c>
      <c r="Z15" s="462">
        <v>6.8</v>
      </c>
      <c r="AA15" s="462">
        <v>6.7</v>
      </c>
      <c r="AB15" s="462">
        <v>6.8</v>
      </c>
      <c r="AC15" s="462">
        <v>6.7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6.7</v>
      </c>
      <c r="H16" s="357">
        <v>6.7</v>
      </c>
      <c r="I16" s="357">
        <v>6.7</v>
      </c>
      <c r="J16" s="357">
        <v>6.7</v>
      </c>
      <c r="K16" s="359">
        <v>5.6</v>
      </c>
      <c r="L16" s="359">
        <v>6.4</v>
      </c>
      <c r="M16" s="359">
        <v>6.4</v>
      </c>
      <c r="N16" s="359">
        <v>7</v>
      </c>
      <c r="O16" s="357">
        <v>6.5</v>
      </c>
      <c r="P16" s="357">
        <v>5.9</v>
      </c>
      <c r="Q16" s="357">
        <v>6.2</v>
      </c>
      <c r="R16" s="357">
        <v>6.6</v>
      </c>
      <c r="S16" s="462">
        <v>6.7</v>
      </c>
      <c r="T16" s="462">
        <v>6.7</v>
      </c>
      <c r="U16" s="357">
        <v>6.7</v>
      </c>
      <c r="V16" s="462">
        <v>6.7</v>
      </c>
      <c r="W16" s="357">
        <v>6.5</v>
      </c>
      <c r="X16" s="357">
        <v>6.7</v>
      </c>
      <c r="Y16" s="357">
        <v>6.7</v>
      </c>
      <c r="Z16" s="462">
        <v>6.8</v>
      </c>
      <c r="AA16" s="462">
        <v>6.7</v>
      </c>
      <c r="AB16" s="462" t="s">
        <v>9</v>
      </c>
      <c r="AC16" s="357" t="s">
        <v>9</v>
      </c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22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13.2</v>
      </c>
      <c r="L17" s="19">
        <f t="shared" si="1"/>
        <v>12.8</v>
      </c>
      <c r="M17" s="19">
        <f t="shared" si="1"/>
        <v>12.8</v>
      </c>
      <c r="N17" s="19">
        <f t="shared" si="1"/>
        <v>14</v>
      </c>
      <c r="O17" s="19">
        <f t="shared" si="1"/>
        <v>13</v>
      </c>
      <c r="P17" s="19">
        <f t="shared" si="1"/>
        <v>13.2</v>
      </c>
      <c r="Q17" s="19">
        <f t="shared" si="1"/>
        <v>19.2</v>
      </c>
      <c r="R17" s="19">
        <f t="shared" si="1"/>
        <v>19.799999999999997</v>
      </c>
      <c r="S17" s="463">
        <f t="shared" si="1"/>
        <v>20.100000000000001</v>
      </c>
      <c r="T17" s="463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19.5</v>
      </c>
      <c r="X17" s="19">
        <f t="shared" si="1"/>
        <v>20.100000000000001</v>
      </c>
      <c r="Y17" s="19">
        <f t="shared" si="1"/>
        <v>20.2</v>
      </c>
      <c r="Z17" s="463">
        <f t="shared" si="1"/>
        <v>20.399999999999999</v>
      </c>
      <c r="AA17" s="463">
        <f t="shared" si="1"/>
        <v>20.100000000000001</v>
      </c>
      <c r="AB17" s="463">
        <f>SUM(AB13:AB16)</f>
        <v>13.6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54.5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357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0</v>
      </c>
      <c r="G21" s="357">
        <v>0</v>
      </c>
      <c r="H21" s="357">
        <v>0</v>
      </c>
      <c r="I21" s="357">
        <v>0</v>
      </c>
      <c r="J21" s="357">
        <v>0</v>
      </c>
      <c r="K21" s="357">
        <v>0</v>
      </c>
      <c r="L21" s="359">
        <v>0</v>
      </c>
      <c r="M21" s="359">
        <v>0</v>
      </c>
      <c r="N21" s="357">
        <v>0</v>
      </c>
      <c r="O21" s="357">
        <v>3.8</v>
      </c>
      <c r="P21" s="357">
        <v>3.8</v>
      </c>
      <c r="Q21" s="357">
        <v>3.8</v>
      </c>
      <c r="R21" s="357">
        <v>3.8</v>
      </c>
      <c r="S21" s="462">
        <v>3.8</v>
      </c>
      <c r="T21" s="462">
        <v>3.8</v>
      </c>
      <c r="U21" s="357">
        <v>3.8</v>
      </c>
      <c r="V21" s="357">
        <v>3.8</v>
      </c>
      <c r="W21" s="357">
        <v>3</v>
      </c>
      <c r="X21" s="357">
        <v>3.8</v>
      </c>
      <c r="Y21" s="357">
        <v>3.8</v>
      </c>
      <c r="Z21" s="357">
        <v>3.7</v>
      </c>
      <c r="AA21" s="357">
        <v>3</v>
      </c>
      <c r="AB21" s="357">
        <v>3.8</v>
      </c>
      <c r="AC21" s="357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463">
        <f>SUM(S19:S21)</f>
        <v>3.8</v>
      </c>
      <c r="T22" s="463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</v>
      </c>
      <c r="X22" s="19">
        <f t="shared" si="3"/>
        <v>3.8</v>
      </c>
      <c r="Y22" s="19">
        <f t="shared" si="3"/>
        <v>3.8</v>
      </c>
      <c r="Z22" s="463">
        <f>SUM(Z19:Z21)</f>
        <v>3.7</v>
      </c>
      <c r="AA22" s="463">
        <f t="shared" si="3"/>
        <v>3</v>
      </c>
      <c r="AB22" s="463">
        <f>SUM(AB19:AB21)</f>
        <v>3.8</v>
      </c>
      <c r="AC22" s="19">
        <f t="shared" si="3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51.599999999999994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0</v>
      </c>
      <c r="G24" s="357">
        <v>0</v>
      </c>
      <c r="H24" s="357">
        <v>0</v>
      </c>
      <c r="I24" s="357">
        <v>0</v>
      </c>
      <c r="J24" s="357">
        <v>0</v>
      </c>
      <c r="K24" s="357">
        <v>0</v>
      </c>
      <c r="L24" s="359">
        <v>0</v>
      </c>
      <c r="M24" s="359">
        <v>0</v>
      </c>
      <c r="N24" s="359">
        <v>0</v>
      </c>
      <c r="O24" s="357">
        <v>0</v>
      </c>
      <c r="P24" s="357">
        <v>3.8</v>
      </c>
      <c r="Q24" s="357">
        <v>3.8</v>
      </c>
      <c r="R24" s="357">
        <v>3.8</v>
      </c>
      <c r="S24" s="462">
        <v>3.8</v>
      </c>
      <c r="T24" s="462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>
        <v>3.8</v>
      </c>
      <c r="AA24" s="357">
        <v>3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3">
        <f t="shared" si="6"/>
        <v>3.8</v>
      </c>
      <c r="AA25" s="463">
        <f t="shared" si="6"/>
        <v>3</v>
      </c>
      <c r="AB25" s="463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70.699999999999974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4</v>
      </c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2"/>
      <c r="T27" s="462"/>
      <c r="U27" s="357"/>
      <c r="V27" s="359"/>
      <c r="W27" s="357"/>
      <c r="X27" s="357">
        <v>3.8</v>
      </c>
      <c r="Y27" s="357">
        <v>3.8</v>
      </c>
      <c r="Z27" s="357">
        <v>3.8</v>
      </c>
      <c r="AA27" s="357">
        <v>3.3</v>
      </c>
      <c r="AB27" s="357">
        <v>3.8</v>
      </c>
      <c r="AC27" s="357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</v>
      </c>
      <c r="G28" s="357"/>
      <c r="H28" s="357"/>
      <c r="I28" s="357"/>
      <c r="J28" s="359"/>
      <c r="K28" s="357"/>
      <c r="L28" s="359">
        <v>3.8</v>
      </c>
      <c r="M28" s="357">
        <v>1.8</v>
      </c>
      <c r="N28" s="357">
        <v>3.8</v>
      </c>
      <c r="O28" s="357">
        <v>3.9</v>
      </c>
      <c r="P28" s="357">
        <v>3.8</v>
      </c>
      <c r="Q28" s="357">
        <v>3.8</v>
      </c>
      <c r="R28" s="357">
        <v>3.8</v>
      </c>
      <c r="S28" s="462">
        <v>3.8</v>
      </c>
      <c r="T28" s="359">
        <v>3.8</v>
      </c>
      <c r="U28" s="359">
        <v>3.3</v>
      </c>
      <c r="V28" s="359">
        <v>3.8</v>
      </c>
      <c r="W28" s="357">
        <v>3.3</v>
      </c>
      <c r="X28" s="357">
        <v>0</v>
      </c>
      <c r="Y28" s="357">
        <v>0</v>
      </c>
      <c r="Z28" s="357">
        <v>0</v>
      </c>
      <c r="AA28" s="357">
        <v>0</v>
      </c>
      <c r="AB28" s="357">
        <v>0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9">
        <f>SUM(F29:AC30)</f>
        <v>180.3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>
        <v>2</v>
      </c>
      <c r="P29" s="357">
        <v>4.7</v>
      </c>
      <c r="Q29" s="357">
        <v>3</v>
      </c>
      <c r="R29" s="357">
        <v>3</v>
      </c>
      <c r="S29" s="462">
        <v>3</v>
      </c>
      <c r="T29" s="359">
        <v>5</v>
      </c>
      <c r="U29" s="357">
        <v>4</v>
      </c>
      <c r="V29" s="357">
        <v>4.0999999999999996</v>
      </c>
      <c r="W29" s="359">
        <v>3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 t="s">
        <v>9</v>
      </c>
      <c r="G30" s="359">
        <v>6</v>
      </c>
      <c r="H30" s="357">
        <v>4.5</v>
      </c>
      <c r="I30" s="357">
        <v>3.5</v>
      </c>
      <c r="J30" s="357">
        <v>3.5</v>
      </c>
      <c r="K30" s="357">
        <v>5.5</v>
      </c>
      <c r="L30" s="359">
        <v>7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9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</v>
      </c>
      <c r="G31" s="19">
        <f>SUM(G27:G30)</f>
        <v>6</v>
      </c>
      <c r="H31" s="19">
        <f t="shared" ref="H31:X31" si="8">SUM(H27:H30)</f>
        <v>4.5</v>
      </c>
      <c r="I31" s="19">
        <f t="shared" si="8"/>
        <v>3.5</v>
      </c>
      <c r="J31" s="19">
        <f t="shared" si="8"/>
        <v>3.5</v>
      </c>
      <c r="K31" s="19">
        <f t="shared" si="8"/>
        <v>5.5</v>
      </c>
      <c r="L31" s="19">
        <f t="shared" si="8"/>
        <v>10.8</v>
      </c>
      <c r="M31" s="19">
        <f t="shared" si="8"/>
        <v>8.8000000000000007</v>
      </c>
      <c r="N31" s="19">
        <f t="shared" si="8"/>
        <v>10.8</v>
      </c>
      <c r="O31" s="19">
        <f t="shared" si="8"/>
        <v>12.9</v>
      </c>
      <c r="P31" s="19">
        <f t="shared" si="8"/>
        <v>15.5</v>
      </c>
      <c r="Q31" s="19">
        <f t="shared" si="8"/>
        <v>13.8</v>
      </c>
      <c r="R31" s="19">
        <f t="shared" si="8"/>
        <v>13.8</v>
      </c>
      <c r="S31" s="463">
        <f t="shared" si="8"/>
        <v>13.8</v>
      </c>
      <c r="T31" s="463">
        <f t="shared" si="8"/>
        <v>15.8</v>
      </c>
      <c r="U31" s="19">
        <f t="shared" si="8"/>
        <v>14.3</v>
      </c>
      <c r="V31" s="19">
        <f t="shared" si="8"/>
        <v>14.899999999999999</v>
      </c>
      <c r="W31" s="19">
        <f t="shared" si="8"/>
        <v>13.3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10.8</v>
      </c>
      <c r="AA31" s="19">
        <f t="shared" si="9"/>
        <v>10.3</v>
      </c>
      <c r="AB31" s="19">
        <f t="shared" si="9"/>
        <v>10.8</v>
      </c>
      <c r="AC31" s="19">
        <f t="shared" si="9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341.62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14.13</v>
      </c>
      <c r="G33" s="357">
        <v>14.2</v>
      </c>
      <c r="H33" s="357">
        <v>14.29</v>
      </c>
      <c r="I33" s="359">
        <v>14.27</v>
      </c>
      <c r="J33" s="357">
        <v>14.2</v>
      </c>
      <c r="K33" s="357">
        <v>14.25</v>
      </c>
      <c r="L33" s="359">
        <v>14.17</v>
      </c>
      <c r="M33" s="357">
        <v>13.59</v>
      </c>
      <c r="N33" s="357">
        <v>14.14</v>
      </c>
      <c r="O33" s="357">
        <v>14.31</v>
      </c>
      <c r="P33" s="357">
        <v>14.27</v>
      </c>
      <c r="Q33" s="359">
        <v>14.29</v>
      </c>
      <c r="R33" s="357">
        <v>14.28</v>
      </c>
      <c r="S33" s="462">
        <v>14.29</v>
      </c>
      <c r="T33" s="462">
        <v>14.27</v>
      </c>
      <c r="U33" s="357">
        <v>14.31</v>
      </c>
      <c r="V33" s="359">
        <v>14.29</v>
      </c>
      <c r="W33" s="357">
        <v>14.3</v>
      </c>
      <c r="X33" s="357">
        <v>14.33</v>
      </c>
      <c r="Y33" s="357">
        <v>14.32</v>
      </c>
      <c r="Z33" s="357">
        <v>14.31</v>
      </c>
      <c r="AA33" s="357">
        <v>14.28</v>
      </c>
      <c r="AB33" s="357">
        <v>14.29</v>
      </c>
      <c r="AC33" s="357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14.13</v>
      </c>
      <c r="G34" s="19">
        <f t="shared" ref="G34:AC34" si="11">SUM(G33)</f>
        <v>14.2</v>
      </c>
      <c r="H34" s="19">
        <f t="shared" si="11"/>
        <v>14.29</v>
      </c>
      <c r="I34" s="19">
        <f t="shared" si="11"/>
        <v>14.27</v>
      </c>
      <c r="J34" s="19">
        <f t="shared" si="11"/>
        <v>14.2</v>
      </c>
      <c r="K34" s="19">
        <f t="shared" si="11"/>
        <v>14.25</v>
      </c>
      <c r="L34" s="19">
        <f t="shared" si="11"/>
        <v>14.17</v>
      </c>
      <c r="M34" s="19">
        <f t="shared" si="11"/>
        <v>13.59</v>
      </c>
      <c r="N34" s="19">
        <f t="shared" si="11"/>
        <v>14.14</v>
      </c>
      <c r="O34" s="19">
        <f t="shared" si="11"/>
        <v>14.31</v>
      </c>
      <c r="P34" s="19">
        <f t="shared" si="11"/>
        <v>14.27</v>
      </c>
      <c r="Q34" s="19">
        <f t="shared" si="11"/>
        <v>14.29</v>
      </c>
      <c r="R34" s="19">
        <f t="shared" si="11"/>
        <v>14.28</v>
      </c>
      <c r="S34" s="19">
        <f t="shared" si="11"/>
        <v>14.29</v>
      </c>
      <c r="T34" s="463">
        <f t="shared" si="11"/>
        <v>14.27</v>
      </c>
      <c r="U34" s="19">
        <f t="shared" si="11"/>
        <v>14.31</v>
      </c>
      <c r="V34" s="19">
        <f t="shared" si="11"/>
        <v>14.29</v>
      </c>
      <c r="W34" s="19">
        <f t="shared" si="11"/>
        <v>14.3</v>
      </c>
      <c r="X34" s="19">
        <f t="shared" si="11"/>
        <v>14.33</v>
      </c>
      <c r="Y34" s="19">
        <f t="shared" si="11"/>
        <v>14.32</v>
      </c>
      <c r="Z34" s="19">
        <f t="shared" si="11"/>
        <v>14.31</v>
      </c>
      <c r="AA34" s="19">
        <f t="shared" si="11"/>
        <v>14.28</v>
      </c>
      <c r="AB34" s="19">
        <f t="shared" si="11"/>
        <v>14.29</v>
      </c>
      <c r="AC34" s="19">
        <f t="shared" si="11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22.7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>
        <v>0.7</v>
      </c>
      <c r="P40" s="359">
        <v>0</v>
      </c>
      <c r="Q40" s="357">
        <v>0</v>
      </c>
      <c r="R40" s="357">
        <v>0</v>
      </c>
      <c r="S40" s="462">
        <v>0</v>
      </c>
      <c r="T40" s="462">
        <v>0</v>
      </c>
      <c r="U40" s="357">
        <v>0</v>
      </c>
      <c r="V40" s="357">
        <v>0</v>
      </c>
      <c r="W40" s="357">
        <v>0</v>
      </c>
      <c r="X40" s="357">
        <v>0</v>
      </c>
      <c r="Y40" s="357">
        <v>0</v>
      </c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0.8</v>
      </c>
      <c r="G47" s="357"/>
      <c r="H47" s="357"/>
      <c r="I47" s="357"/>
      <c r="J47" s="357"/>
      <c r="K47" s="357"/>
      <c r="L47" s="359"/>
      <c r="M47" s="357"/>
      <c r="N47" s="357"/>
      <c r="O47" s="357">
        <v>0.8</v>
      </c>
      <c r="P47" s="359">
        <v>0.8</v>
      </c>
      <c r="Q47" s="357">
        <v>0.7</v>
      </c>
      <c r="R47" s="357"/>
      <c r="S47" s="462"/>
      <c r="T47" s="462"/>
      <c r="U47" s="462"/>
      <c r="V47" s="357"/>
      <c r="W47" s="357"/>
      <c r="X47" s="357"/>
      <c r="Y47" s="357">
        <v>0.7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7">
        <v>0.8</v>
      </c>
      <c r="P48" s="359"/>
      <c r="Q48" s="357"/>
      <c r="R48" s="357"/>
      <c r="S48" s="462">
        <v>0.8</v>
      </c>
      <c r="T48" s="357">
        <v>0.8</v>
      </c>
      <c r="U48" s="462">
        <f>1.4/2</f>
        <v>0.7</v>
      </c>
      <c r="V48" s="462">
        <v>0.7</v>
      </c>
      <c r="W48" s="357">
        <v>0.7</v>
      </c>
      <c r="X48" s="357">
        <v>0</v>
      </c>
      <c r="Y48" s="357">
        <v>0.7</v>
      </c>
      <c r="Z48" s="357"/>
      <c r="AA48" s="357"/>
      <c r="AB48" s="357">
        <v>0.75</v>
      </c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9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>
        <v>0.8</v>
      </c>
      <c r="O50" s="357">
        <v>0.8</v>
      </c>
      <c r="P50" s="359"/>
      <c r="Q50" s="357"/>
      <c r="R50" s="357">
        <v>0.7</v>
      </c>
      <c r="S50" s="462">
        <v>0.8</v>
      </c>
      <c r="T50" s="357">
        <v>0.8</v>
      </c>
      <c r="U50" s="462">
        <v>0</v>
      </c>
      <c r="V50" s="462">
        <v>0</v>
      </c>
      <c r="W50" s="357">
        <v>0</v>
      </c>
      <c r="X50" s="357">
        <v>0</v>
      </c>
      <c r="Y50" s="357">
        <v>0.8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>
        <v>0.8</v>
      </c>
      <c r="P51" s="359"/>
      <c r="Q51" s="357"/>
      <c r="R51" s="357"/>
      <c r="S51" s="462"/>
      <c r="T51" s="357"/>
      <c r="U51" s="357"/>
      <c r="V51" s="357"/>
      <c r="W51" s="357"/>
      <c r="X51" s="357"/>
      <c r="Y51" s="357">
        <v>0.8</v>
      </c>
      <c r="Z51" s="357"/>
      <c r="AA51" s="357"/>
      <c r="AB51" s="357">
        <v>0.75</v>
      </c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3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>
        <v>0.7</v>
      </c>
      <c r="P56" s="359"/>
      <c r="Q56" s="357"/>
      <c r="R56" s="357"/>
      <c r="S56" s="462">
        <v>0.8</v>
      </c>
      <c r="T56" s="357">
        <v>0.8</v>
      </c>
      <c r="U56" s="462">
        <f>1.4/2</f>
        <v>0.7</v>
      </c>
      <c r="V56" s="357">
        <v>0.7</v>
      </c>
      <c r="W56" s="357">
        <v>0.7</v>
      </c>
      <c r="X56" s="357">
        <v>0</v>
      </c>
      <c r="Y56" s="357">
        <v>0.8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8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0.8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0</v>
      </c>
      <c r="N60" s="19">
        <f t="shared" si="16"/>
        <v>0.8</v>
      </c>
      <c r="O60" s="19">
        <f>SUM(O36:O59)</f>
        <v>4.5999999999999996</v>
      </c>
      <c r="P60" s="19">
        <f t="shared" si="16"/>
        <v>0.8</v>
      </c>
      <c r="Q60" s="19">
        <f t="shared" si="16"/>
        <v>0.7</v>
      </c>
      <c r="R60" s="19">
        <f t="shared" si="16"/>
        <v>0.7</v>
      </c>
      <c r="S60" s="463">
        <f t="shared" si="16"/>
        <v>2.4000000000000004</v>
      </c>
      <c r="T60" s="463">
        <f>SUM(T36:T59)</f>
        <v>2.4000000000000004</v>
      </c>
      <c r="U60" s="19">
        <f t="shared" ref="U60:AC60" si="17">SUM(U36:U59)</f>
        <v>1.4</v>
      </c>
      <c r="V60" s="19">
        <f>SUM(V36:V59)</f>
        <v>1.4</v>
      </c>
      <c r="W60" s="19">
        <f t="shared" si="17"/>
        <v>1.4</v>
      </c>
      <c r="X60" s="19">
        <f t="shared" si="17"/>
        <v>0</v>
      </c>
      <c r="Y60" s="19">
        <f t="shared" si="17"/>
        <v>3.8</v>
      </c>
      <c r="Z60" s="19">
        <f t="shared" si="17"/>
        <v>0</v>
      </c>
      <c r="AA60" s="19">
        <f t="shared" si="17"/>
        <v>0</v>
      </c>
      <c r="AB60" s="19">
        <f t="shared" si="17"/>
        <v>1.5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27.234999999999999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0.43</v>
      </c>
      <c r="G62" s="359">
        <v>0.43</v>
      </c>
      <c r="H62" s="357">
        <v>0.4</v>
      </c>
      <c r="I62" s="359">
        <f>0.78/2</f>
        <v>0.39</v>
      </c>
      <c r="J62" s="357">
        <f>0.77/2</f>
        <v>0.38500000000000001</v>
      </c>
      <c r="K62" s="357">
        <v>0</v>
      </c>
      <c r="L62" s="357"/>
      <c r="M62" s="357"/>
      <c r="N62" s="357"/>
      <c r="O62" s="357"/>
      <c r="P62" s="357"/>
      <c r="Q62" s="357"/>
      <c r="R62" s="357"/>
      <c r="S62" s="462">
        <f>1.36/2</f>
        <v>0.68</v>
      </c>
      <c r="T62" s="357">
        <f>1.39/2</f>
        <v>0.69499999999999995</v>
      </c>
      <c r="U62" s="357">
        <f>1.14/2</f>
        <v>0.56999999999999995</v>
      </c>
      <c r="V62" s="462">
        <f>1.37/2</f>
        <v>0.68500000000000005</v>
      </c>
      <c r="W62" s="357">
        <f>1.28/2</f>
        <v>0.64</v>
      </c>
      <c r="X62" s="357">
        <f>1.15/2</f>
        <v>0.57499999999999996</v>
      </c>
      <c r="Y62" s="357">
        <f>1.45/2</f>
        <v>0.72499999999999998</v>
      </c>
      <c r="Z62" s="357">
        <f>1.46/2</f>
        <v>0.73</v>
      </c>
      <c r="AA62" s="357">
        <f>1.36/2</f>
        <v>0.68</v>
      </c>
      <c r="AB62" s="357">
        <v>0.61</v>
      </c>
      <c r="AC62" s="357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0.43</v>
      </c>
      <c r="G63" s="357">
        <v>0.43</v>
      </c>
      <c r="H63" s="357">
        <v>0.4</v>
      </c>
      <c r="I63" s="359">
        <f>0.78/2</f>
        <v>0.39</v>
      </c>
      <c r="J63" s="357">
        <f>0.77/2</f>
        <v>0.38500000000000001</v>
      </c>
      <c r="K63" s="357">
        <v>0.41</v>
      </c>
      <c r="L63" s="357">
        <v>0.5</v>
      </c>
      <c r="M63" s="357">
        <v>0.5</v>
      </c>
      <c r="N63" s="357">
        <v>0.5</v>
      </c>
      <c r="O63" s="357">
        <v>0.6</v>
      </c>
      <c r="P63" s="357">
        <f>1.29/2</f>
        <v>0.64500000000000002</v>
      </c>
      <c r="Q63" s="357">
        <f>1.33/2</f>
        <v>0.66500000000000004</v>
      </c>
      <c r="R63" s="357">
        <f>1.35/2</f>
        <v>0.67500000000000004</v>
      </c>
      <c r="S63" s="462"/>
      <c r="T63" s="357"/>
      <c r="U63" s="357"/>
      <c r="V63" s="462"/>
      <c r="W63" s="357"/>
      <c r="X63" s="357"/>
      <c r="Y63" s="357"/>
      <c r="Z63" s="357"/>
      <c r="AA63" s="357"/>
      <c r="AB63" s="357">
        <v>0.61</v>
      </c>
      <c r="AC63" s="357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/>
      <c r="I64" s="359"/>
      <c r="J64" s="357"/>
      <c r="K64" s="357">
        <v>0.41</v>
      </c>
      <c r="L64" s="357">
        <f>L63</f>
        <v>0.5</v>
      </c>
      <c r="M64" s="357">
        <f>L63</f>
        <v>0.5</v>
      </c>
      <c r="N64" s="357">
        <f>L63</f>
        <v>0.5</v>
      </c>
      <c r="O64" s="357">
        <v>0.6</v>
      </c>
      <c r="P64" s="357">
        <f>P63</f>
        <v>0.64500000000000002</v>
      </c>
      <c r="Q64" s="357">
        <f>1.33/2</f>
        <v>0.66500000000000004</v>
      </c>
      <c r="R64" s="357">
        <f>1.35/2</f>
        <v>0.67500000000000004</v>
      </c>
      <c r="S64" s="462">
        <f>1.36/2</f>
        <v>0.68</v>
      </c>
      <c r="T64" s="357">
        <f>1.39/2</f>
        <v>0.69499999999999995</v>
      </c>
      <c r="U64" s="357">
        <f>1.14/2</f>
        <v>0.56999999999999995</v>
      </c>
      <c r="V64" s="462">
        <f>1.37/2</f>
        <v>0.68500000000000005</v>
      </c>
      <c r="W64" s="357">
        <f>1.28/2</f>
        <v>0.64</v>
      </c>
      <c r="X64" s="357">
        <f>1.15/2</f>
        <v>0.57499999999999996</v>
      </c>
      <c r="Y64" s="357">
        <f>1.45/2</f>
        <v>0.72499999999999998</v>
      </c>
      <c r="Z64" s="357">
        <f>1.45/2</f>
        <v>0.72499999999999998</v>
      </c>
      <c r="AA64" s="357">
        <f>1.36/2</f>
        <v>0.68</v>
      </c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0.86</v>
      </c>
      <c r="G65" s="19">
        <f t="shared" ref="G65:AB65" si="18">SUM(G62:G64)</f>
        <v>0.86</v>
      </c>
      <c r="H65" s="19">
        <f t="shared" si="18"/>
        <v>0.8</v>
      </c>
      <c r="I65" s="19">
        <f t="shared" si="18"/>
        <v>0.78</v>
      </c>
      <c r="J65" s="19">
        <f t="shared" si="18"/>
        <v>0.77</v>
      </c>
      <c r="K65" s="19">
        <f t="shared" si="18"/>
        <v>0.82</v>
      </c>
      <c r="L65" s="19">
        <f t="shared" si="18"/>
        <v>1</v>
      </c>
      <c r="M65" s="19">
        <f t="shared" si="18"/>
        <v>1</v>
      </c>
      <c r="N65" s="19">
        <f t="shared" si="18"/>
        <v>1</v>
      </c>
      <c r="O65" s="19">
        <f t="shared" si="18"/>
        <v>1.2</v>
      </c>
      <c r="P65" s="19">
        <f t="shared" si="18"/>
        <v>1.29</v>
      </c>
      <c r="Q65" s="19">
        <f t="shared" si="18"/>
        <v>1.33</v>
      </c>
      <c r="R65" s="19">
        <f t="shared" si="18"/>
        <v>1.35</v>
      </c>
      <c r="S65" s="463">
        <f t="shared" si="18"/>
        <v>1.36</v>
      </c>
      <c r="T65" s="463">
        <f t="shared" si="18"/>
        <v>1.39</v>
      </c>
      <c r="U65" s="463">
        <f t="shared" si="18"/>
        <v>1.1399999999999999</v>
      </c>
      <c r="V65" s="19">
        <f>SUM(V62:V64)</f>
        <v>1.37</v>
      </c>
      <c r="W65" s="19">
        <f t="shared" si="18"/>
        <v>1.28</v>
      </c>
      <c r="X65" s="19">
        <f t="shared" si="18"/>
        <v>1.1499999999999999</v>
      </c>
      <c r="Y65" s="19">
        <f>SUM(Y62:Y64)</f>
        <v>1.45</v>
      </c>
      <c r="Z65" s="19">
        <f>SUM(Z62:Z64)</f>
        <v>1.4550000000000001</v>
      </c>
      <c r="AA65" s="19">
        <f t="shared" si="18"/>
        <v>1.36</v>
      </c>
      <c r="AB65" s="19">
        <f t="shared" si="18"/>
        <v>1.22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19.429999999999996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7"/>
      <c r="M78" s="359">
        <v>0.73</v>
      </c>
      <c r="N78" s="357">
        <v>0.74</v>
      </c>
      <c r="O78" s="357">
        <v>0.76</v>
      </c>
      <c r="P78" s="357">
        <v>0.83</v>
      </c>
      <c r="Q78" s="357">
        <v>0.83</v>
      </c>
      <c r="R78" s="357">
        <v>0.86</v>
      </c>
      <c r="S78" s="357">
        <v>0.82</v>
      </c>
      <c r="T78" s="357">
        <v>0.83</v>
      </c>
      <c r="U78" s="357">
        <v>0.85</v>
      </c>
      <c r="V78" s="357">
        <v>0.86</v>
      </c>
      <c r="W78" s="357">
        <v>0.84</v>
      </c>
      <c r="X78" s="357">
        <v>0.86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0.74</v>
      </c>
      <c r="G79" s="357">
        <v>0.72</v>
      </c>
      <c r="H79" s="357">
        <v>0.7</v>
      </c>
      <c r="I79" s="357">
        <v>0.68</v>
      </c>
      <c r="J79" s="357">
        <v>0.67</v>
      </c>
      <c r="K79" s="357">
        <v>0.73</v>
      </c>
      <c r="L79" s="359">
        <v>0.8</v>
      </c>
      <c r="M79" s="359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0.96</v>
      </c>
      <c r="Z79" s="357">
        <v>0.98</v>
      </c>
      <c r="AA79" s="357">
        <v>0.93</v>
      </c>
      <c r="AB79" s="357">
        <v>0.88</v>
      </c>
      <c r="AC79" s="357">
        <v>0.83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0.74</v>
      </c>
      <c r="G80" s="19">
        <f t="shared" si="24"/>
        <v>0.72</v>
      </c>
      <c r="H80" s="19">
        <f>SUM(H78:H79)</f>
        <v>0.7</v>
      </c>
      <c r="I80" s="19">
        <f>SUM(I78:I79)</f>
        <v>0.68</v>
      </c>
      <c r="J80" s="19">
        <f t="shared" ref="J80:AC80" si="25">SUM(J78:J79)</f>
        <v>0.67</v>
      </c>
      <c r="K80" s="19">
        <f t="shared" si="25"/>
        <v>0.73</v>
      </c>
      <c r="L80" s="19">
        <f>SUM(L78:L79)</f>
        <v>0.8</v>
      </c>
      <c r="M80" s="19">
        <f t="shared" si="25"/>
        <v>0.73</v>
      </c>
      <c r="N80" s="19">
        <f t="shared" si="25"/>
        <v>0.74</v>
      </c>
      <c r="O80" s="19">
        <f>SUM(O78:O79)</f>
        <v>0.76</v>
      </c>
      <c r="P80" s="19">
        <f>SUM(P78:P79)</f>
        <v>0.83</v>
      </c>
      <c r="Q80" s="19">
        <f t="shared" si="25"/>
        <v>0.83</v>
      </c>
      <c r="R80" s="19">
        <f t="shared" si="25"/>
        <v>0.86</v>
      </c>
      <c r="S80" s="463">
        <f t="shared" si="25"/>
        <v>0.82</v>
      </c>
      <c r="T80" s="463">
        <f t="shared" si="25"/>
        <v>0.83</v>
      </c>
      <c r="U80" s="19">
        <f t="shared" si="25"/>
        <v>0.85</v>
      </c>
      <c r="V80" s="19">
        <f t="shared" si="25"/>
        <v>0.86</v>
      </c>
      <c r="W80" s="19">
        <f t="shared" si="25"/>
        <v>0.84</v>
      </c>
      <c r="X80" s="19">
        <f t="shared" si="25"/>
        <v>0.86</v>
      </c>
      <c r="Y80" s="19">
        <f t="shared" si="25"/>
        <v>0.96</v>
      </c>
      <c r="Z80" s="19">
        <f t="shared" si="25"/>
        <v>0.98</v>
      </c>
      <c r="AA80" s="19">
        <f t="shared" si="25"/>
        <v>0.93</v>
      </c>
      <c r="AB80" s="19">
        <f t="shared" si="25"/>
        <v>0.88</v>
      </c>
      <c r="AC80" s="19">
        <f t="shared" si="25"/>
        <v>0.83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37.93</v>
      </c>
      <c r="G83" s="28">
        <f>SUM(G17,G22,G25,G31,G34,G60,G65,G76,G80,G82)</f>
        <v>35.179999999999993</v>
      </c>
      <c r="H83" s="28">
        <f>SUM(H17,H22,H25,H31,H34,H60,H65,H76,H80,H82)</f>
        <v>33.69</v>
      </c>
      <c r="I83" s="28">
        <f t="shared" ref="I83:AC83" si="27">SUM(I17,I22,I25,I31,I34,I60,I65,I76,I80,I82)</f>
        <v>32.630000000000003</v>
      </c>
      <c r="J83" s="28">
        <f t="shared" si="27"/>
        <v>32.54</v>
      </c>
      <c r="K83" s="28">
        <f t="shared" si="27"/>
        <v>34.5</v>
      </c>
      <c r="L83" s="28">
        <f t="shared" si="27"/>
        <v>39.57</v>
      </c>
      <c r="M83" s="28">
        <f t="shared" si="27"/>
        <v>36.919999999999995</v>
      </c>
      <c r="N83" s="28">
        <f>SUM(N17,N22,N25,N31,N34,N60,N65,N76,N80,N82)</f>
        <v>41.48</v>
      </c>
      <c r="O83" s="28">
        <f>SUM(O17,O22,O25,O31,O34,O60,O65,O76,O80,O82)</f>
        <v>50.570000000000007</v>
      </c>
      <c r="P83" s="28">
        <f t="shared" si="27"/>
        <v>53.489999999999988</v>
      </c>
      <c r="Q83" s="28">
        <f t="shared" si="27"/>
        <v>57.75</v>
      </c>
      <c r="R83" s="28">
        <f t="shared" si="27"/>
        <v>58.390000000000008</v>
      </c>
      <c r="S83" s="518">
        <f t="shared" si="27"/>
        <v>60.37</v>
      </c>
      <c r="T83" s="518">
        <f t="shared" si="27"/>
        <v>62.389999999999993</v>
      </c>
      <c r="U83" s="28">
        <f>SUM(U17,U22,U25,U31,U34,U60,U65,U76,U80,U82)</f>
        <v>59.7</v>
      </c>
      <c r="V83" s="28">
        <f t="shared" si="27"/>
        <v>60.519999999999996</v>
      </c>
      <c r="W83" s="28">
        <f t="shared" si="27"/>
        <v>57.420000000000009</v>
      </c>
      <c r="X83" s="28">
        <f t="shared" si="27"/>
        <v>54.839999999999996</v>
      </c>
      <c r="Y83" s="28">
        <f t="shared" si="27"/>
        <v>59.13</v>
      </c>
      <c r="Z83" s="28">
        <f t="shared" si="27"/>
        <v>55.445</v>
      </c>
      <c r="AA83" s="28">
        <f t="shared" si="27"/>
        <v>52.970000000000006</v>
      </c>
      <c r="AB83" s="28">
        <f t="shared" si="27"/>
        <v>49.89</v>
      </c>
      <c r="AC83" s="28">
        <f t="shared" si="27"/>
        <v>43.47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4.2900000000000063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3.8</v>
      </c>
      <c r="P89" s="64">
        <f t="shared" si="28"/>
        <v>7.6</v>
      </c>
      <c r="Q89" s="64">
        <f t="shared" si="28"/>
        <v>7.6</v>
      </c>
      <c r="R89" s="64">
        <f t="shared" si="28"/>
        <v>7.6</v>
      </c>
      <c r="S89" s="64">
        <f t="shared" si="28"/>
        <v>7.6</v>
      </c>
      <c r="T89" s="64">
        <f t="shared" si="28"/>
        <v>7.6</v>
      </c>
      <c r="U89" s="64">
        <f t="shared" si="28"/>
        <v>7.6</v>
      </c>
      <c r="V89" s="64">
        <f t="shared" si="28"/>
        <v>7.6</v>
      </c>
      <c r="W89" s="64">
        <f t="shared" si="28"/>
        <v>6.8</v>
      </c>
      <c r="X89" s="64">
        <f t="shared" si="28"/>
        <v>7.6</v>
      </c>
      <c r="Y89" s="64">
        <f t="shared" si="28"/>
        <v>7.6</v>
      </c>
      <c r="Z89" s="64">
        <f t="shared" si="28"/>
        <v>7.5</v>
      </c>
      <c r="AA89" s="64">
        <f t="shared" si="28"/>
        <v>6</v>
      </c>
      <c r="AB89" s="64">
        <f t="shared" si="28"/>
        <v>7.6</v>
      </c>
      <c r="AC89" s="64">
        <f t="shared" si="28"/>
        <v>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0.214</v>
      </c>
      <c r="Q90" s="68">
        <v>0.19600000000000001</v>
      </c>
      <c r="R90" s="68">
        <v>0.22500000000000001</v>
      </c>
      <c r="S90" s="68">
        <v>0.245</v>
      </c>
      <c r="T90" s="68">
        <v>0.20200000000000001</v>
      </c>
      <c r="U90" s="68">
        <v>0.223</v>
      </c>
      <c r="V90" s="68">
        <v>0.26400000000000001</v>
      </c>
      <c r="W90" s="68">
        <v>0.2</v>
      </c>
      <c r="X90" s="68">
        <v>0.23</v>
      </c>
      <c r="Y90" s="68">
        <v>0.22500000000000001</v>
      </c>
      <c r="Z90" s="68">
        <v>0.193</v>
      </c>
      <c r="AA90" s="68">
        <v>0.217</v>
      </c>
      <c r="AB90" s="68">
        <v>0.26200000000000001</v>
      </c>
      <c r="AC90" s="68">
        <v>0.247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9">F17</f>
        <v>13.4</v>
      </c>
      <c r="G91" s="64">
        <f t="shared" si="29"/>
        <v>13.4</v>
      </c>
      <c r="H91" s="64">
        <f t="shared" si="29"/>
        <v>13.4</v>
      </c>
      <c r="I91" s="64">
        <f t="shared" si="29"/>
        <v>13.4</v>
      </c>
      <c r="J91" s="64">
        <f t="shared" si="29"/>
        <v>13.4</v>
      </c>
      <c r="K91" s="64">
        <f t="shared" si="29"/>
        <v>13.2</v>
      </c>
      <c r="L91" s="64">
        <f t="shared" si="29"/>
        <v>12.8</v>
      </c>
      <c r="M91" s="64">
        <f t="shared" si="29"/>
        <v>12.8</v>
      </c>
      <c r="N91" s="64">
        <f t="shared" si="29"/>
        <v>14</v>
      </c>
      <c r="O91" s="64">
        <f t="shared" si="29"/>
        <v>13</v>
      </c>
      <c r="P91" s="64">
        <f t="shared" si="29"/>
        <v>13.2</v>
      </c>
      <c r="Q91" s="64">
        <f t="shared" si="29"/>
        <v>19.2</v>
      </c>
      <c r="R91" s="64">
        <f t="shared" si="29"/>
        <v>19.799999999999997</v>
      </c>
      <c r="S91" s="64">
        <f t="shared" si="29"/>
        <v>20.100000000000001</v>
      </c>
      <c r="T91" s="64">
        <f t="shared" si="29"/>
        <v>20.100000000000001</v>
      </c>
      <c r="U91" s="64">
        <f>U17</f>
        <v>20.100000000000001</v>
      </c>
      <c r="V91" s="64">
        <f t="shared" si="29"/>
        <v>20.100000000000001</v>
      </c>
      <c r="W91" s="64">
        <f t="shared" si="29"/>
        <v>19.5</v>
      </c>
      <c r="X91" s="64">
        <f t="shared" si="29"/>
        <v>20.100000000000001</v>
      </c>
      <c r="Y91" s="64">
        <f t="shared" si="29"/>
        <v>20.2</v>
      </c>
      <c r="Z91" s="64">
        <f t="shared" si="29"/>
        <v>20.399999999999999</v>
      </c>
      <c r="AA91" s="64">
        <f t="shared" si="29"/>
        <v>20.100000000000001</v>
      </c>
      <c r="AB91" s="64">
        <f t="shared" si="29"/>
        <v>13.6</v>
      </c>
      <c r="AC91" s="64">
        <f t="shared" si="29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0.47099999999999997</v>
      </c>
      <c r="G92" s="68">
        <v>0.46500000000000002</v>
      </c>
      <c r="H92" s="68">
        <v>0.435</v>
      </c>
      <c r="I92" s="68">
        <v>0.53100000000000003</v>
      </c>
      <c r="J92" s="68">
        <v>0.66800000000000004</v>
      </c>
      <c r="K92" s="68">
        <v>0.75</v>
      </c>
      <c r="L92" s="68">
        <v>0.66300000000000003</v>
      </c>
      <c r="M92" s="68">
        <v>0.59499999999999997</v>
      </c>
      <c r="N92" s="68">
        <v>0.51500000000000001</v>
      </c>
      <c r="O92" s="68">
        <v>0.54</v>
      </c>
      <c r="P92" s="68">
        <v>0.64500000000000002</v>
      </c>
      <c r="Q92" s="68">
        <v>0.79400000000000004</v>
      </c>
      <c r="R92" s="68">
        <v>0.82599999999999996</v>
      </c>
      <c r="S92" s="68">
        <v>0.64</v>
      </c>
      <c r="T92" s="68">
        <v>0.57299999999999995</v>
      </c>
      <c r="U92" s="68">
        <v>0.78500000000000003</v>
      </c>
      <c r="V92" s="68">
        <v>0.59599999999999997</v>
      </c>
      <c r="W92" s="68">
        <v>0.57299999999999995</v>
      </c>
      <c r="X92" s="68">
        <v>0.55700000000000005</v>
      </c>
      <c r="Y92" s="68">
        <v>0.79500000000000004</v>
      </c>
      <c r="Z92" s="68">
        <v>0.61799999999999999</v>
      </c>
      <c r="AA92" s="68">
        <v>0.68600000000000005</v>
      </c>
      <c r="AB92" s="68">
        <v>0.63500000000000001</v>
      </c>
      <c r="AC92" s="68">
        <v>0.71799999999999997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0">F31</f>
        <v>8</v>
      </c>
      <c r="G93" s="65">
        <f t="shared" si="30"/>
        <v>6</v>
      </c>
      <c r="H93" s="65">
        <f t="shared" si="30"/>
        <v>4.5</v>
      </c>
      <c r="I93" s="65">
        <f t="shared" si="30"/>
        <v>3.5</v>
      </c>
      <c r="J93" s="65">
        <f t="shared" si="30"/>
        <v>3.5</v>
      </c>
      <c r="K93" s="65">
        <f t="shared" si="30"/>
        <v>5.5</v>
      </c>
      <c r="L93" s="65">
        <f t="shared" si="30"/>
        <v>10.8</v>
      </c>
      <c r="M93" s="65">
        <f t="shared" si="30"/>
        <v>8.8000000000000007</v>
      </c>
      <c r="N93" s="65">
        <f t="shared" si="30"/>
        <v>10.8</v>
      </c>
      <c r="O93" s="65">
        <f t="shared" si="30"/>
        <v>12.9</v>
      </c>
      <c r="P93" s="65">
        <f t="shared" si="30"/>
        <v>15.5</v>
      </c>
      <c r="Q93" s="65">
        <f t="shared" si="30"/>
        <v>13.8</v>
      </c>
      <c r="R93" s="65">
        <f t="shared" si="30"/>
        <v>13.8</v>
      </c>
      <c r="S93" s="65">
        <f t="shared" si="30"/>
        <v>13.8</v>
      </c>
      <c r="T93" s="65">
        <f>T31</f>
        <v>15.8</v>
      </c>
      <c r="U93" s="65">
        <f t="shared" si="30"/>
        <v>14.3</v>
      </c>
      <c r="V93" s="65">
        <f t="shared" si="30"/>
        <v>14.899999999999999</v>
      </c>
      <c r="W93" s="65">
        <f t="shared" si="30"/>
        <v>13.3</v>
      </c>
      <c r="X93" s="65">
        <f t="shared" si="30"/>
        <v>10.8</v>
      </c>
      <c r="Y93" s="65">
        <f t="shared" si="30"/>
        <v>10.8</v>
      </c>
      <c r="Z93" s="65">
        <f t="shared" si="30"/>
        <v>10.8</v>
      </c>
      <c r="AA93" s="65">
        <f t="shared" si="30"/>
        <v>10.3</v>
      </c>
      <c r="AB93" s="65">
        <f t="shared" si="30"/>
        <v>10.8</v>
      </c>
      <c r="AC93" s="65">
        <f t="shared" si="30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0.253</v>
      </c>
      <c r="G94" s="68">
        <v>1.9E-2</v>
      </c>
      <c r="H94" s="68">
        <v>0.126</v>
      </c>
      <c r="I94" s="68">
        <v>0.13500000000000001</v>
      </c>
      <c r="J94" s="68">
        <v>0.13200000000000001</v>
      </c>
      <c r="K94" s="68">
        <v>0.13700000000000001</v>
      </c>
      <c r="L94" s="68">
        <v>0.182</v>
      </c>
      <c r="M94" s="68">
        <v>0.21</v>
      </c>
      <c r="N94" s="68">
        <v>0.20200000000000001</v>
      </c>
      <c r="O94" s="68">
        <v>0.19900000000000001</v>
      </c>
      <c r="P94" s="68">
        <v>0.20899999999999999</v>
      </c>
      <c r="Q94" s="68">
        <v>0.20399999999999999</v>
      </c>
      <c r="R94" s="68">
        <v>0.19400000000000001</v>
      </c>
      <c r="S94" s="68">
        <v>0.192</v>
      </c>
      <c r="T94" s="68">
        <v>0.19</v>
      </c>
      <c r="U94" s="68">
        <v>0.192</v>
      </c>
      <c r="V94" s="68">
        <v>0.13</v>
      </c>
      <c r="W94" s="68">
        <v>0.21099999999999999</v>
      </c>
      <c r="X94" s="68">
        <v>0.17399999999999999</v>
      </c>
      <c r="Y94" s="68">
        <v>0.18</v>
      </c>
      <c r="Z94" s="68">
        <v>0.161</v>
      </c>
      <c r="AA94" s="68">
        <v>0.19600000000000001</v>
      </c>
      <c r="AB94" s="68">
        <v>0.19900000000000001</v>
      </c>
      <c r="AC94" s="68">
        <v>0.19500000000000001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 t="s">
        <v>1</v>
      </c>
      <c r="G95" s="68">
        <v>0.2</v>
      </c>
      <c r="H95" s="68">
        <v>0.216</v>
      </c>
      <c r="I95" s="68">
        <v>0.21199999999999999</v>
      </c>
      <c r="J95" s="68">
        <v>0.21099999999999999</v>
      </c>
      <c r="K95" s="68">
        <v>0.216</v>
      </c>
      <c r="L95" s="68">
        <v>0.222</v>
      </c>
      <c r="M95" s="68">
        <v>0.224</v>
      </c>
      <c r="N95" s="68">
        <v>0.20499999999999999</v>
      </c>
      <c r="O95" s="68">
        <v>0.28499999999999998</v>
      </c>
      <c r="P95" s="68">
        <v>0.38900000000000001</v>
      </c>
      <c r="Q95" s="68">
        <v>0.39800000000000002</v>
      </c>
      <c r="R95" s="68">
        <v>0.40100000000000002</v>
      </c>
      <c r="S95" s="68">
        <v>0.40200000000000002</v>
      </c>
      <c r="T95" s="68">
        <v>0.40200000000000002</v>
      </c>
      <c r="U95" s="68">
        <v>0.38900000000000001</v>
      </c>
      <c r="V95" s="68">
        <v>0.376</v>
      </c>
      <c r="W95" s="68">
        <v>0.379</v>
      </c>
      <c r="X95" s="68">
        <v>0.38</v>
      </c>
      <c r="Y95" s="68">
        <v>0.38</v>
      </c>
      <c r="Z95" s="68">
        <v>0.38500000000000001</v>
      </c>
      <c r="AA95" s="68">
        <v>0.22</v>
      </c>
      <c r="AB95" s="68">
        <v>0.23100000000000001</v>
      </c>
      <c r="AC95" s="68">
        <v>0.22900000000000001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1">F34</f>
        <v>14.13</v>
      </c>
      <c r="G96" s="65">
        <f t="shared" si="31"/>
        <v>14.2</v>
      </c>
      <c r="H96" s="65">
        <f t="shared" si="31"/>
        <v>14.29</v>
      </c>
      <c r="I96" s="65">
        <f t="shared" si="31"/>
        <v>14.27</v>
      </c>
      <c r="J96" s="65">
        <f t="shared" si="31"/>
        <v>14.2</v>
      </c>
      <c r="K96" s="65">
        <f t="shared" si="31"/>
        <v>14.25</v>
      </c>
      <c r="L96" s="65">
        <f t="shared" si="31"/>
        <v>14.17</v>
      </c>
      <c r="M96" s="65">
        <f t="shared" si="31"/>
        <v>13.59</v>
      </c>
      <c r="N96" s="65">
        <f t="shared" si="31"/>
        <v>14.14</v>
      </c>
      <c r="O96" s="65">
        <f t="shared" si="31"/>
        <v>14.31</v>
      </c>
      <c r="P96" s="65">
        <f t="shared" si="31"/>
        <v>14.27</v>
      </c>
      <c r="Q96" s="65">
        <f t="shared" si="31"/>
        <v>14.29</v>
      </c>
      <c r="R96" s="65">
        <f t="shared" si="31"/>
        <v>14.28</v>
      </c>
      <c r="S96" s="65">
        <f t="shared" si="31"/>
        <v>14.29</v>
      </c>
      <c r="T96" s="65">
        <f t="shared" si="31"/>
        <v>14.27</v>
      </c>
      <c r="U96" s="65">
        <f t="shared" si="31"/>
        <v>14.31</v>
      </c>
      <c r="V96" s="65">
        <f>V34</f>
        <v>14.29</v>
      </c>
      <c r="W96" s="65">
        <f t="shared" si="31"/>
        <v>14.3</v>
      </c>
      <c r="X96" s="65">
        <f t="shared" si="31"/>
        <v>14.33</v>
      </c>
      <c r="Y96" s="65">
        <f t="shared" si="31"/>
        <v>14.32</v>
      </c>
      <c r="Z96" s="65">
        <f t="shared" si="31"/>
        <v>14.31</v>
      </c>
      <c r="AA96" s="65">
        <f t="shared" si="31"/>
        <v>14.28</v>
      </c>
      <c r="AB96" s="65">
        <f t="shared" si="31"/>
        <v>14.29</v>
      </c>
      <c r="AC96" s="65">
        <f t="shared" si="31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0.87</v>
      </c>
      <c r="G97" s="68">
        <v>0.8</v>
      </c>
      <c r="H97" s="68">
        <v>0.71</v>
      </c>
      <c r="I97" s="68">
        <v>0.73</v>
      </c>
      <c r="J97" s="68">
        <v>0.8</v>
      </c>
      <c r="K97" s="68">
        <v>0.75</v>
      </c>
      <c r="L97" s="68">
        <v>0.83</v>
      </c>
      <c r="M97" s="68">
        <v>0.91</v>
      </c>
      <c r="N97" s="68">
        <v>0.86</v>
      </c>
      <c r="O97" s="68">
        <v>0.69</v>
      </c>
      <c r="P97" s="68">
        <v>0.73</v>
      </c>
      <c r="Q97" s="68">
        <v>0.71</v>
      </c>
      <c r="R97" s="68">
        <v>0.72</v>
      </c>
      <c r="S97" s="68">
        <v>0.71</v>
      </c>
      <c r="T97" s="68">
        <v>0.73</v>
      </c>
      <c r="U97" s="68">
        <v>0.69</v>
      </c>
      <c r="V97" s="68">
        <v>0.71</v>
      </c>
      <c r="W97" s="68">
        <v>0.7</v>
      </c>
      <c r="X97" s="68">
        <v>0.67</v>
      </c>
      <c r="Y97" s="68">
        <v>0.68</v>
      </c>
      <c r="Z97" s="68">
        <v>0.69</v>
      </c>
      <c r="AA97" s="68">
        <v>0.72</v>
      </c>
      <c r="AB97" s="68">
        <v>0.71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2">F60</f>
        <v>0.8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0.8</v>
      </c>
      <c r="O98" s="64">
        <f t="shared" si="32"/>
        <v>4.5999999999999996</v>
      </c>
      <c r="P98" s="64">
        <f t="shared" si="32"/>
        <v>0.8</v>
      </c>
      <c r="Q98" s="64">
        <f t="shared" si="32"/>
        <v>0.7</v>
      </c>
      <c r="R98" s="64">
        <f t="shared" si="32"/>
        <v>0.7</v>
      </c>
      <c r="S98" s="64">
        <f t="shared" si="32"/>
        <v>2.4000000000000004</v>
      </c>
      <c r="T98" s="64">
        <f t="shared" si="32"/>
        <v>2.4000000000000004</v>
      </c>
      <c r="U98" s="64">
        <f t="shared" si="32"/>
        <v>1.4</v>
      </c>
      <c r="V98" s="64">
        <f t="shared" si="32"/>
        <v>1.4</v>
      </c>
      <c r="W98" s="64">
        <f t="shared" si="32"/>
        <v>1.4</v>
      </c>
      <c r="X98" s="64">
        <f t="shared" si="32"/>
        <v>0</v>
      </c>
      <c r="Y98" s="64">
        <f t="shared" si="32"/>
        <v>3.8</v>
      </c>
      <c r="Z98" s="64">
        <f t="shared" si="32"/>
        <v>0</v>
      </c>
      <c r="AA98" s="64">
        <f t="shared" si="32"/>
        <v>0</v>
      </c>
      <c r="AB98" s="64">
        <f t="shared" si="32"/>
        <v>1.5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3">F65</f>
        <v>0.86</v>
      </c>
      <c r="G99" s="64">
        <f t="shared" si="33"/>
        <v>0.86</v>
      </c>
      <c r="H99" s="64">
        <f t="shared" si="33"/>
        <v>0.8</v>
      </c>
      <c r="I99" s="64">
        <f t="shared" si="33"/>
        <v>0.78</v>
      </c>
      <c r="J99" s="64">
        <f t="shared" si="33"/>
        <v>0.77</v>
      </c>
      <c r="K99" s="64">
        <f t="shared" si="33"/>
        <v>0.82</v>
      </c>
      <c r="L99" s="64">
        <f t="shared" si="33"/>
        <v>1</v>
      </c>
      <c r="M99" s="64">
        <f t="shared" si="33"/>
        <v>1</v>
      </c>
      <c r="N99" s="64">
        <f t="shared" si="33"/>
        <v>1</v>
      </c>
      <c r="O99" s="64">
        <f t="shared" si="33"/>
        <v>1.2</v>
      </c>
      <c r="P99" s="64">
        <f t="shared" si="33"/>
        <v>1.29</v>
      </c>
      <c r="Q99" s="64">
        <f t="shared" si="33"/>
        <v>1.33</v>
      </c>
      <c r="R99" s="64">
        <f t="shared" si="33"/>
        <v>1.35</v>
      </c>
      <c r="S99" s="64">
        <f t="shared" si="33"/>
        <v>1.36</v>
      </c>
      <c r="T99" s="64">
        <f t="shared" si="33"/>
        <v>1.39</v>
      </c>
      <c r="U99" s="64">
        <f t="shared" si="33"/>
        <v>1.1399999999999999</v>
      </c>
      <c r="V99" s="64">
        <f t="shared" si="33"/>
        <v>1.37</v>
      </c>
      <c r="W99" s="64">
        <f t="shared" si="33"/>
        <v>1.28</v>
      </c>
      <c r="X99" s="64">
        <f t="shared" si="33"/>
        <v>1.1499999999999999</v>
      </c>
      <c r="Y99" s="64">
        <f t="shared" si="33"/>
        <v>1.45</v>
      </c>
      <c r="Z99" s="64">
        <f t="shared" si="33"/>
        <v>1.4550000000000001</v>
      </c>
      <c r="AA99" s="64">
        <f t="shared" si="33"/>
        <v>1.36</v>
      </c>
      <c r="AB99" s="64">
        <f t="shared" si="33"/>
        <v>1.22</v>
      </c>
      <c r="AC99" s="64">
        <f t="shared" si="33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5">F80</f>
        <v>0.74</v>
      </c>
      <c r="G101" s="64">
        <f t="shared" si="35"/>
        <v>0.72</v>
      </c>
      <c r="H101" s="64">
        <f t="shared" si="35"/>
        <v>0.7</v>
      </c>
      <c r="I101" s="64">
        <f t="shared" si="35"/>
        <v>0.68</v>
      </c>
      <c r="J101" s="64">
        <f t="shared" si="35"/>
        <v>0.67</v>
      </c>
      <c r="K101" s="64">
        <f t="shared" si="35"/>
        <v>0.73</v>
      </c>
      <c r="L101" s="64">
        <f t="shared" si="35"/>
        <v>0.8</v>
      </c>
      <c r="M101" s="64">
        <f t="shared" si="35"/>
        <v>0.73</v>
      </c>
      <c r="N101" s="64">
        <f t="shared" si="35"/>
        <v>0.74</v>
      </c>
      <c r="O101" s="64">
        <f t="shared" si="35"/>
        <v>0.76</v>
      </c>
      <c r="P101" s="64">
        <f t="shared" si="35"/>
        <v>0.83</v>
      </c>
      <c r="Q101" s="64">
        <f t="shared" si="35"/>
        <v>0.83</v>
      </c>
      <c r="R101" s="64">
        <f t="shared" si="35"/>
        <v>0.86</v>
      </c>
      <c r="S101" s="64">
        <f t="shared" si="35"/>
        <v>0.82</v>
      </c>
      <c r="T101" s="64">
        <f t="shared" si="35"/>
        <v>0.83</v>
      </c>
      <c r="U101" s="64">
        <f t="shared" si="35"/>
        <v>0.85</v>
      </c>
      <c r="V101" s="64">
        <f t="shared" si="35"/>
        <v>0.86</v>
      </c>
      <c r="W101" s="64">
        <f t="shared" si="35"/>
        <v>0.84</v>
      </c>
      <c r="X101" s="64">
        <f t="shared" si="35"/>
        <v>0.86</v>
      </c>
      <c r="Y101" s="64">
        <f t="shared" si="35"/>
        <v>0.96</v>
      </c>
      <c r="Z101" s="64">
        <f t="shared" si="35"/>
        <v>0.98</v>
      </c>
      <c r="AA101" s="64">
        <f t="shared" si="35"/>
        <v>0.93</v>
      </c>
      <c r="AB101" s="64">
        <f t="shared" si="35"/>
        <v>0.88</v>
      </c>
      <c r="AC101" s="64">
        <f t="shared" si="35"/>
        <v>0.83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7">SUM(F89,F91,F93,F96,F98:F102,F81)</f>
        <v>37.93</v>
      </c>
      <c r="G103" s="61">
        <f t="shared" si="37"/>
        <v>35.179999999999993</v>
      </c>
      <c r="H103" s="61">
        <f t="shared" si="37"/>
        <v>33.69</v>
      </c>
      <c r="I103" s="61">
        <f t="shared" si="37"/>
        <v>32.630000000000003</v>
      </c>
      <c r="J103" s="61">
        <f t="shared" si="37"/>
        <v>32.54</v>
      </c>
      <c r="K103" s="61">
        <f t="shared" si="37"/>
        <v>34.5</v>
      </c>
      <c r="L103" s="61">
        <f t="shared" si="37"/>
        <v>39.57</v>
      </c>
      <c r="M103" s="61">
        <f t="shared" si="37"/>
        <v>36.919999999999995</v>
      </c>
      <c r="N103" s="61">
        <f t="shared" si="37"/>
        <v>41.48</v>
      </c>
      <c r="O103" s="61">
        <f t="shared" si="37"/>
        <v>50.570000000000007</v>
      </c>
      <c r="P103" s="61">
        <f t="shared" si="37"/>
        <v>53.489999999999988</v>
      </c>
      <c r="Q103" s="61">
        <f t="shared" si="37"/>
        <v>57.749999999999993</v>
      </c>
      <c r="R103" s="61">
        <f t="shared" si="37"/>
        <v>58.390000000000008</v>
      </c>
      <c r="S103" s="61">
        <f t="shared" si="37"/>
        <v>60.37</v>
      </c>
      <c r="T103" s="61">
        <f t="shared" si="37"/>
        <v>62.389999999999993</v>
      </c>
      <c r="U103" s="61">
        <f t="shared" si="37"/>
        <v>59.7</v>
      </c>
      <c r="V103" s="61">
        <f t="shared" si="37"/>
        <v>60.519999999999996</v>
      </c>
      <c r="W103" s="61">
        <f t="shared" si="37"/>
        <v>57.420000000000009</v>
      </c>
      <c r="X103" s="61">
        <f t="shared" si="37"/>
        <v>54.839999999999996</v>
      </c>
      <c r="Y103" s="61">
        <f t="shared" si="37"/>
        <v>59.129999999999995</v>
      </c>
      <c r="Z103" s="61">
        <f t="shared" si="37"/>
        <v>55.445</v>
      </c>
      <c r="AA103" s="61">
        <f t="shared" si="37"/>
        <v>52.970000000000006</v>
      </c>
      <c r="AB103" s="61">
        <f t="shared" si="37"/>
        <v>49.89</v>
      </c>
      <c r="AC103" s="61">
        <f t="shared" si="37"/>
        <v>43.47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9">F103+F107</f>
        <v>37.93</v>
      </c>
      <c r="G108" s="62">
        <f t="shared" si="39"/>
        <v>35.179999999999993</v>
      </c>
      <c r="H108" s="62">
        <f t="shared" si="39"/>
        <v>33.69</v>
      </c>
      <c r="I108" s="62">
        <f t="shared" si="39"/>
        <v>32.630000000000003</v>
      </c>
      <c r="J108" s="62">
        <f t="shared" si="39"/>
        <v>32.54</v>
      </c>
      <c r="K108" s="62">
        <f t="shared" si="39"/>
        <v>34.5</v>
      </c>
      <c r="L108" s="62">
        <f t="shared" si="39"/>
        <v>39.57</v>
      </c>
      <c r="M108" s="62">
        <f t="shared" si="39"/>
        <v>36.919999999999995</v>
      </c>
      <c r="N108" s="62">
        <f t="shared" si="39"/>
        <v>41.48</v>
      </c>
      <c r="O108" s="62">
        <f t="shared" si="39"/>
        <v>50.570000000000007</v>
      </c>
      <c r="P108" s="62">
        <f>P103+P107</f>
        <v>53.489999999999988</v>
      </c>
      <c r="Q108" s="62">
        <f t="shared" si="39"/>
        <v>57.749999999999993</v>
      </c>
      <c r="R108" s="62">
        <f t="shared" si="39"/>
        <v>58.390000000000008</v>
      </c>
      <c r="S108" s="62">
        <f t="shared" si="39"/>
        <v>60.37</v>
      </c>
      <c r="T108" s="62">
        <f>T103+T107</f>
        <v>62.389999999999993</v>
      </c>
      <c r="U108" s="62">
        <f t="shared" si="39"/>
        <v>59.7</v>
      </c>
      <c r="V108" s="62">
        <f t="shared" si="39"/>
        <v>60.519999999999996</v>
      </c>
      <c r="W108" s="62">
        <f>W103+W107</f>
        <v>57.420000000000009</v>
      </c>
      <c r="X108" s="62">
        <f t="shared" si="39"/>
        <v>54.839999999999996</v>
      </c>
      <c r="Y108" s="62">
        <f t="shared" si="39"/>
        <v>59.129999999999995</v>
      </c>
      <c r="Z108" s="62">
        <f t="shared" si="39"/>
        <v>55.445</v>
      </c>
      <c r="AA108" s="62">
        <f t="shared" si="39"/>
        <v>52.970000000000006</v>
      </c>
      <c r="AB108" s="62">
        <f t="shared" si="39"/>
        <v>49.89</v>
      </c>
      <c r="AC108" s="62">
        <f t="shared" si="39"/>
        <v>43.47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0">(COUNT(F13:F16))*7.2+(COUNT(F27:F28)*4.9)+(COUNT(F19:F21)*4.5)-F91-F93</f>
        <v>7.3000000000000025</v>
      </c>
      <c r="G109" s="63">
        <f t="shared" si="40"/>
        <v>-0.50000000000000178</v>
      </c>
      <c r="H109" s="63">
        <f t="shared" si="40"/>
        <v>0.99999999999999822</v>
      </c>
      <c r="I109" s="63">
        <f t="shared" si="40"/>
        <v>1.9999999999999982</v>
      </c>
      <c r="J109" s="63">
        <f t="shared" si="40"/>
        <v>1.9999999999999982</v>
      </c>
      <c r="K109" s="63">
        <f t="shared" si="40"/>
        <v>7.4000000000000021</v>
      </c>
      <c r="L109" s="63">
        <f t="shared" si="40"/>
        <v>7.3999999999999986</v>
      </c>
      <c r="M109" s="63">
        <f t="shared" si="40"/>
        <v>9.3999999999999986</v>
      </c>
      <c r="N109" s="63">
        <f t="shared" si="40"/>
        <v>6.1999999999999993</v>
      </c>
      <c r="O109" s="63">
        <f t="shared" si="40"/>
        <v>-2.0999999999999996</v>
      </c>
      <c r="P109" s="63">
        <f t="shared" si="40"/>
        <v>2.3000000000000007</v>
      </c>
      <c r="Q109" s="63">
        <f t="shared" si="40"/>
        <v>-2</v>
      </c>
      <c r="R109" s="63">
        <f t="shared" si="40"/>
        <v>-2.5999999999999979</v>
      </c>
      <c r="S109" s="63">
        <f t="shared" si="40"/>
        <v>-2.9000000000000021</v>
      </c>
      <c r="T109" s="63">
        <f t="shared" si="40"/>
        <v>-4.9000000000000021</v>
      </c>
      <c r="U109" s="63">
        <f t="shared" si="40"/>
        <v>-3.4000000000000021</v>
      </c>
      <c r="V109" s="63">
        <f t="shared" si="40"/>
        <v>-4</v>
      </c>
      <c r="W109" s="63">
        <f t="shared" si="40"/>
        <v>-1.8000000000000007</v>
      </c>
      <c r="X109" s="63">
        <f t="shared" si="40"/>
        <v>5.0000000000000036</v>
      </c>
      <c r="Y109" s="63">
        <f t="shared" si="40"/>
        <v>4.9000000000000057</v>
      </c>
      <c r="Z109" s="63">
        <f t="shared" si="40"/>
        <v>4.7000000000000064</v>
      </c>
      <c r="AA109" s="63">
        <f t="shared" si="40"/>
        <v>5.5000000000000036</v>
      </c>
      <c r="AB109" s="63">
        <f t="shared" si="40"/>
        <v>4.3000000000000025</v>
      </c>
      <c r="AC109" s="63">
        <f t="shared" si="40"/>
        <v>7.3000000000000025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1.4000000000000004</v>
      </c>
      <c r="G110" s="205">
        <f t="shared" si="41"/>
        <v>-5</v>
      </c>
      <c r="H110" s="205">
        <f t="shared" si="41"/>
        <v>-3.5</v>
      </c>
      <c r="I110" s="205">
        <f t="shared" si="41"/>
        <v>-2.5</v>
      </c>
      <c r="J110" s="205">
        <f t="shared" si="41"/>
        <v>-2.5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2.9000000000000021</v>
      </c>
      <c r="L110" s="205">
        <f t="shared" si="41"/>
        <v>-5.7000000000000011</v>
      </c>
      <c r="M110" s="205">
        <f t="shared" si="41"/>
        <v>-3.7000000000000011</v>
      </c>
      <c r="N110" s="205">
        <f t="shared" si="41"/>
        <v>-6.9</v>
      </c>
      <c r="O110" s="205">
        <f t="shared" si="41"/>
        <v>-7.3</v>
      </c>
      <c r="P110" s="205">
        <f t="shared" si="41"/>
        <v>-2.1999999999999975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-5.0999999999999979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-6.0999999999999961</v>
      </c>
      <c r="S110" s="205">
        <f t="shared" si="42"/>
        <v>-6.4</v>
      </c>
      <c r="T110" s="205">
        <f t="shared" si="42"/>
        <v>-8.4000000000000021</v>
      </c>
      <c r="U110" s="205">
        <f t="shared" si="42"/>
        <v>-6.9</v>
      </c>
      <c r="V110" s="205">
        <f t="shared" si="42"/>
        <v>-7.4999999999999991</v>
      </c>
      <c r="W110" s="205">
        <f t="shared" si="42"/>
        <v>-4.4999999999999991</v>
      </c>
      <c r="X110" s="205">
        <f t="shared" si="42"/>
        <v>-3.4000000000000004</v>
      </c>
      <c r="Y110" s="205">
        <f t="shared" si="42"/>
        <v>-3.4999999999999982</v>
      </c>
      <c r="Z110" s="205">
        <f t="shared" si="42"/>
        <v>-3.5999999999999979</v>
      </c>
      <c r="AA110" s="205">
        <f t="shared" si="42"/>
        <v>-1.3000000000000007</v>
      </c>
      <c r="AB110" s="205">
        <f t="shared" si="42"/>
        <v>-4.0999999999999996</v>
      </c>
      <c r="AC110" s="205">
        <f t="shared" si="42"/>
        <v>0.5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60.12</v>
      </c>
      <c r="G111" s="456">
        <v>60.12</v>
      </c>
      <c r="H111" s="456">
        <v>60.09</v>
      </c>
      <c r="I111" s="456">
        <v>60.13</v>
      </c>
      <c r="J111" s="456">
        <v>60.1</v>
      </c>
      <c r="K111" s="456">
        <v>60.16</v>
      </c>
      <c r="L111" s="456">
        <v>60.11</v>
      </c>
      <c r="M111" s="456">
        <v>60.28</v>
      </c>
      <c r="N111" s="456">
        <v>60.12</v>
      </c>
      <c r="O111" s="456">
        <v>60.04</v>
      </c>
      <c r="P111" s="457">
        <v>60.15</v>
      </c>
      <c r="Q111" s="457">
        <v>60.18</v>
      </c>
      <c r="R111" s="457">
        <v>60.18</v>
      </c>
      <c r="S111" s="457">
        <v>60.1</v>
      </c>
      <c r="T111" s="457">
        <v>60.07</v>
      </c>
      <c r="U111" s="456">
        <v>60.11</v>
      </c>
      <c r="V111" s="456">
        <v>60.14</v>
      </c>
      <c r="W111" s="456">
        <v>60.22</v>
      </c>
      <c r="X111" s="456">
        <v>60.22</v>
      </c>
      <c r="Y111" s="456">
        <v>60.11</v>
      </c>
      <c r="Z111" s="456">
        <v>60.12</v>
      </c>
      <c r="AA111" s="456">
        <v>60.15</v>
      </c>
      <c r="AB111" s="456">
        <v>60.12</v>
      </c>
      <c r="AC111" s="456">
        <v>60.13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/>
      <c r="M115" s="520"/>
      <c r="N115" s="520"/>
      <c r="O115" s="520"/>
      <c r="P115" s="520"/>
      <c r="Q115" s="520"/>
      <c r="R115" s="520"/>
      <c r="S115" s="520"/>
      <c r="T115" s="520"/>
      <c r="U115" s="520"/>
      <c r="V115" s="520"/>
      <c r="W115" s="520"/>
      <c r="X115" s="520"/>
      <c r="Y115" s="520"/>
      <c r="Z115" s="520" t="s">
        <v>100</v>
      </c>
      <c r="AA115" s="520" t="s">
        <v>100</v>
      </c>
      <c r="AB115" s="520" t="s">
        <v>100</v>
      </c>
      <c r="AC115" s="520" t="s">
        <v>100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7354" priority="570" operator="greaterThan">
      <formula>60.3</formula>
    </cfRule>
  </conditionalFormatting>
  <conditionalFormatting sqref="F111">
    <cfRule type="cellIs" dxfId="17353" priority="569" operator="greaterThan">
      <formula>60.3</formula>
    </cfRule>
  </conditionalFormatting>
  <conditionalFormatting sqref="H13:J13 N13:O13 D42:E42 H36:J59 L13 N36:AC39 N41:AC46 N57:AC59 L36:L59 P40:AC40 M51 H62:L64 I15:N16 O14:O16 P13:AC16 P62:AC64 P47:AC56">
    <cfRule type="cellIs" dxfId="17352" priority="561" operator="equal">
      <formula>"PMS"</formula>
    </cfRule>
    <cfRule type="containsText" dxfId="17351" priority="562" operator="containsText" text="CMS">
      <formula>NOT(ISERROR(SEARCH("CMS",D13)))</formula>
    </cfRule>
    <cfRule type="cellIs" dxfId="17350" priority="563" operator="equal">
      <formula>0</formula>
    </cfRule>
    <cfRule type="cellIs" dxfId="17349" priority="564" operator="greaterThan">
      <formula>0</formula>
    </cfRule>
    <cfRule type="cellIs" dxfId="17348" priority="565" operator="equal">
      <formula>"PMS"</formula>
    </cfRule>
    <cfRule type="containsText" dxfId="17347" priority="566" operator="containsText" text="CMS">
      <formula>NOT(ISERROR(SEARCH("CMS",D13)))</formula>
    </cfRule>
    <cfRule type="cellIs" dxfId="17346" priority="567" operator="equal">
      <formula>0</formula>
    </cfRule>
    <cfRule type="cellIs" dxfId="17345" priority="568" operator="greaterThan">
      <formula>0</formula>
    </cfRule>
  </conditionalFormatting>
  <conditionalFormatting sqref="H13:J13 N13:O13 D42:E42 H36:J59 L13 N36:AC39 N41:AC46 N57:AC59 L36:L59 P40:AC40 M51 H62:L64 I15:N16 O14:O16 P13:AC16 P62:AC64 P47:AC56">
    <cfRule type="cellIs" dxfId="17344" priority="557" operator="equal">
      <formula>"PMS"</formula>
    </cfRule>
    <cfRule type="containsText" dxfId="17343" priority="558" operator="containsText" text="CMS">
      <formula>NOT(ISERROR(SEARCH("CMS",D13)))</formula>
    </cfRule>
    <cfRule type="cellIs" dxfId="17342" priority="559" operator="equal">
      <formula>0</formula>
    </cfRule>
    <cfRule type="cellIs" dxfId="17341" priority="560" operator="greaterThan">
      <formula>0</formula>
    </cfRule>
  </conditionalFormatting>
  <conditionalFormatting sqref="G67:AC75">
    <cfRule type="cellIs" dxfId="17340" priority="549" operator="equal">
      <formula>"PMS"</formula>
    </cfRule>
    <cfRule type="containsText" dxfId="17339" priority="550" operator="containsText" text="CMS">
      <formula>NOT(ISERROR(SEARCH("CMS",G67)))</formula>
    </cfRule>
    <cfRule type="cellIs" dxfId="17338" priority="551" operator="equal">
      <formula>0</formula>
    </cfRule>
    <cfRule type="cellIs" dxfId="17337" priority="552" operator="greaterThan">
      <formula>0</formula>
    </cfRule>
    <cfRule type="cellIs" dxfId="17336" priority="553" operator="equal">
      <formula>"PMS"</formula>
    </cfRule>
    <cfRule type="containsText" dxfId="17335" priority="554" operator="containsText" text="CMS">
      <formula>NOT(ISERROR(SEARCH("CMS",G67)))</formula>
    </cfRule>
    <cfRule type="cellIs" dxfId="17334" priority="555" operator="equal">
      <formula>0</formula>
    </cfRule>
    <cfRule type="cellIs" dxfId="17333" priority="556" operator="greaterThan">
      <formula>0</formula>
    </cfRule>
  </conditionalFormatting>
  <conditionalFormatting sqref="G67:AC75">
    <cfRule type="cellIs" dxfId="17332" priority="545" operator="equal">
      <formula>"PMS"</formula>
    </cfRule>
    <cfRule type="containsText" dxfId="17331" priority="546" operator="containsText" text="CMS">
      <formula>NOT(ISERROR(SEARCH("CMS",G67)))</formula>
    </cfRule>
    <cfRule type="cellIs" dxfId="17330" priority="547" operator="equal">
      <formula>0</formula>
    </cfRule>
    <cfRule type="cellIs" dxfId="17329" priority="548" operator="greaterThan">
      <formula>0</formula>
    </cfRule>
  </conditionalFormatting>
  <conditionalFormatting sqref="G82:AC82">
    <cfRule type="cellIs" dxfId="17328" priority="537" operator="equal">
      <formula>"PMS"</formula>
    </cfRule>
    <cfRule type="containsText" dxfId="17327" priority="538" operator="containsText" text="CMS">
      <formula>NOT(ISERROR(SEARCH("CMS",G82)))</formula>
    </cfRule>
    <cfRule type="cellIs" dxfId="17326" priority="539" operator="equal">
      <formula>0</formula>
    </cfRule>
    <cfRule type="cellIs" dxfId="17325" priority="540" operator="greaterThan">
      <formula>0</formula>
    </cfRule>
    <cfRule type="cellIs" dxfId="17324" priority="541" operator="equal">
      <formula>"PMS"</formula>
    </cfRule>
    <cfRule type="containsText" dxfId="17323" priority="542" operator="containsText" text="CMS">
      <formula>NOT(ISERROR(SEARCH("CMS",G82)))</formula>
    </cfRule>
    <cfRule type="cellIs" dxfId="17322" priority="543" operator="equal">
      <formula>0</formula>
    </cfRule>
    <cfRule type="cellIs" dxfId="17321" priority="544" operator="greaterThan">
      <formula>0</formula>
    </cfRule>
  </conditionalFormatting>
  <conditionalFormatting sqref="G82:AC82">
    <cfRule type="cellIs" dxfId="17320" priority="533" operator="equal">
      <formula>"PMS"</formula>
    </cfRule>
    <cfRule type="containsText" dxfId="17319" priority="534" operator="containsText" text="CMS">
      <formula>NOT(ISERROR(SEARCH("CMS",G82)))</formula>
    </cfRule>
    <cfRule type="cellIs" dxfId="17318" priority="535" operator="equal">
      <formula>0</formula>
    </cfRule>
    <cfRule type="cellIs" dxfId="17317" priority="536" operator="greaterThan">
      <formula>0</formula>
    </cfRule>
  </conditionalFormatting>
  <conditionalFormatting sqref="I14 M14:N14">
    <cfRule type="cellIs" dxfId="17316" priority="525" operator="equal">
      <formula>"PMS"</formula>
    </cfRule>
    <cfRule type="containsText" dxfId="17315" priority="526" operator="containsText" text="CMS">
      <formula>NOT(ISERROR(SEARCH("CMS",I14)))</formula>
    </cfRule>
    <cfRule type="cellIs" dxfId="17314" priority="527" operator="equal">
      <formula>0</formula>
    </cfRule>
    <cfRule type="cellIs" dxfId="17313" priority="528" operator="greaterThan">
      <formula>0</formula>
    </cfRule>
    <cfRule type="cellIs" dxfId="17312" priority="529" operator="equal">
      <formula>"PMS"</formula>
    </cfRule>
    <cfRule type="containsText" dxfId="17311" priority="530" operator="containsText" text="CMS">
      <formula>NOT(ISERROR(SEARCH("CMS",I14)))</formula>
    </cfRule>
    <cfRule type="cellIs" dxfId="17310" priority="531" operator="equal">
      <formula>0</formula>
    </cfRule>
    <cfRule type="cellIs" dxfId="17309" priority="532" operator="greaterThan">
      <formula>0</formula>
    </cfRule>
  </conditionalFormatting>
  <conditionalFormatting sqref="I14 M14:N14">
    <cfRule type="cellIs" dxfId="17308" priority="521" operator="equal">
      <formula>"PMS"</formula>
    </cfRule>
    <cfRule type="containsText" dxfId="17307" priority="522" operator="containsText" text="CMS">
      <formula>NOT(ISERROR(SEARCH("CMS",I14)))</formula>
    </cfRule>
    <cfRule type="cellIs" dxfId="17306" priority="523" operator="equal">
      <formula>0</formula>
    </cfRule>
    <cfRule type="cellIs" dxfId="17305" priority="524" operator="greaterThan">
      <formula>0</formula>
    </cfRule>
  </conditionalFormatting>
  <conditionalFormatting sqref="G13">
    <cfRule type="cellIs" dxfId="17304" priority="513" operator="equal">
      <formula>"PMS"</formula>
    </cfRule>
    <cfRule type="containsText" dxfId="17303" priority="514" operator="containsText" text="CMS">
      <formula>NOT(ISERROR(SEARCH("CMS",G13)))</formula>
    </cfRule>
    <cfRule type="cellIs" dxfId="17302" priority="515" operator="equal">
      <formula>0</formula>
    </cfRule>
    <cfRule type="cellIs" dxfId="17301" priority="516" operator="greaterThan">
      <formula>0</formula>
    </cfRule>
    <cfRule type="cellIs" dxfId="17300" priority="517" operator="equal">
      <formula>"PMS"</formula>
    </cfRule>
    <cfRule type="containsText" dxfId="17299" priority="518" operator="containsText" text="CMS">
      <formula>NOT(ISERROR(SEARCH("CMS",G13)))</formula>
    </cfRule>
    <cfRule type="cellIs" dxfId="17298" priority="519" operator="equal">
      <formula>0</formula>
    </cfRule>
    <cfRule type="cellIs" dxfId="17297" priority="520" operator="greaterThan">
      <formula>0</formula>
    </cfRule>
  </conditionalFormatting>
  <conditionalFormatting sqref="G13">
    <cfRule type="cellIs" dxfId="17296" priority="509" operator="equal">
      <formula>"PMS"</formula>
    </cfRule>
    <cfRule type="containsText" dxfId="17295" priority="510" operator="containsText" text="CMS">
      <formula>NOT(ISERROR(SEARCH("CMS",G13)))</formula>
    </cfRule>
    <cfRule type="cellIs" dxfId="17294" priority="511" operator="equal">
      <formula>0</formula>
    </cfRule>
    <cfRule type="cellIs" dxfId="17293" priority="512" operator="greaterThan">
      <formula>0</formula>
    </cfRule>
  </conditionalFormatting>
  <conditionalFormatting sqref="M13">
    <cfRule type="cellIs" dxfId="17292" priority="501" operator="equal">
      <formula>"PMS"</formula>
    </cfRule>
    <cfRule type="containsText" dxfId="17291" priority="502" operator="containsText" text="CMS">
      <formula>NOT(ISERROR(SEARCH("CMS",M13)))</formula>
    </cfRule>
    <cfRule type="cellIs" dxfId="17290" priority="503" operator="equal">
      <formula>0</formula>
    </cfRule>
    <cfRule type="cellIs" dxfId="17289" priority="504" operator="greaterThan">
      <formula>0</formula>
    </cfRule>
    <cfRule type="cellIs" dxfId="17288" priority="505" operator="equal">
      <formula>"PMS"</formula>
    </cfRule>
    <cfRule type="containsText" dxfId="17287" priority="506" operator="containsText" text="CMS">
      <formula>NOT(ISERROR(SEARCH("CMS",M13)))</formula>
    </cfRule>
    <cfRule type="cellIs" dxfId="17286" priority="507" operator="equal">
      <formula>0</formula>
    </cfRule>
    <cfRule type="cellIs" dxfId="17285" priority="508" operator="greaterThan">
      <formula>0</formula>
    </cfRule>
  </conditionalFormatting>
  <conditionalFormatting sqref="M13">
    <cfRule type="cellIs" dxfId="17284" priority="497" operator="equal">
      <formula>"PMS"</formula>
    </cfRule>
    <cfRule type="containsText" dxfId="17283" priority="498" operator="containsText" text="CMS">
      <formula>NOT(ISERROR(SEARCH("CMS",M13)))</formula>
    </cfRule>
    <cfRule type="cellIs" dxfId="17282" priority="499" operator="equal">
      <formula>0</formula>
    </cfRule>
    <cfRule type="cellIs" dxfId="17281" priority="500" operator="greaterThan">
      <formula>0</formula>
    </cfRule>
  </conditionalFormatting>
  <conditionalFormatting sqref="K13">
    <cfRule type="cellIs" dxfId="17280" priority="489" operator="equal">
      <formula>"PMS"</formula>
    </cfRule>
    <cfRule type="containsText" dxfId="17279" priority="490" operator="containsText" text="CMS">
      <formula>NOT(ISERROR(SEARCH("CMS",K13)))</formula>
    </cfRule>
    <cfRule type="cellIs" dxfId="17278" priority="491" operator="equal">
      <formula>0</formula>
    </cfRule>
    <cfRule type="cellIs" dxfId="17277" priority="492" operator="greaterThan">
      <formula>0</formula>
    </cfRule>
    <cfRule type="cellIs" dxfId="17276" priority="493" operator="equal">
      <formula>"PMS"</formula>
    </cfRule>
    <cfRule type="containsText" dxfId="17275" priority="494" operator="containsText" text="CMS">
      <formula>NOT(ISERROR(SEARCH("CMS",K13)))</formula>
    </cfRule>
    <cfRule type="cellIs" dxfId="17274" priority="495" operator="equal">
      <formula>0</formula>
    </cfRule>
    <cfRule type="cellIs" dxfId="17273" priority="496" operator="greaterThan">
      <formula>0</formula>
    </cfRule>
  </conditionalFormatting>
  <conditionalFormatting sqref="K13">
    <cfRule type="cellIs" dxfId="17272" priority="485" operator="equal">
      <formula>"PMS"</formula>
    </cfRule>
    <cfRule type="containsText" dxfId="17271" priority="486" operator="containsText" text="CMS">
      <formula>NOT(ISERROR(SEARCH("CMS",K13)))</formula>
    </cfRule>
    <cfRule type="cellIs" dxfId="17270" priority="487" operator="equal">
      <formula>0</formula>
    </cfRule>
    <cfRule type="cellIs" dxfId="17269" priority="488" operator="greaterThan">
      <formula>0</formula>
    </cfRule>
  </conditionalFormatting>
  <conditionalFormatting sqref="G113:AC113">
    <cfRule type="cellIs" dxfId="17268" priority="484" operator="greaterThan">
      <formula>60.3</formula>
    </cfRule>
  </conditionalFormatting>
  <conditionalFormatting sqref="H112:M112">
    <cfRule type="cellIs" dxfId="17267" priority="483" operator="greaterThan">
      <formula>60.3</formula>
    </cfRule>
  </conditionalFormatting>
  <conditionalFormatting sqref="F112:G112">
    <cfRule type="cellIs" dxfId="17266" priority="482" operator="greaterThan">
      <formula>60.3</formula>
    </cfRule>
  </conditionalFormatting>
  <conditionalFormatting sqref="N112:AC112">
    <cfRule type="cellIs" dxfId="17265" priority="481" operator="greaterThan">
      <formula>60.3</formula>
    </cfRule>
  </conditionalFormatting>
  <conditionalFormatting sqref="G15:G16">
    <cfRule type="cellIs" dxfId="17264" priority="473" operator="equal">
      <formula>"PMS"</formula>
    </cfRule>
    <cfRule type="containsText" dxfId="17263" priority="474" operator="containsText" text="CMS">
      <formula>NOT(ISERROR(SEARCH("CMS",G15)))</formula>
    </cfRule>
    <cfRule type="cellIs" dxfId="17262" priority="475" operator="equal">
      <formula>0</formula>
    </cfRule>
    <cfRule type="cellIs" dxfId="17261" priority="476" operator="greaterThan">
      <formula>0</formula>
    </cfRule>
    <cfRule type="cellIs" dxfId="17260" priority="477" operator="equal">
      <formula>"PMS"</formula>
    </cfRule>
    <cfRule type="containsText" dxfId="17259" priority="478" operator="containsText" text="CMS">
      <formula>NOT(ISERROR(SEARCH("CMS",G15)))</formula>
    </cfRule>
    <cfRule type="cellIs" dxfId="17258" priority="479" operator="equal">
      <formula>0</formula>
    </cfRule>
    <cfRule type="cellIs" dxfId="17257" priority="480" operator="greaterThan">
      <formula>0</formula>
    </cfRule>
  </conditionalFormatting>
  <conditionalFormatting sqref="G15:G16">
    <cfRule type="cellIs" dxfId="17256" priority="469" operator="equal">
      <formula>"PMS"</formula>
    </cfRule>
    <cfRule type="containsText" dxfId="17255" priority="470" operator="containsText" text="CMS">
      <formula>NOT(ISERROR(SEARCH("CMS",G15)))</formula>
    </cfRule>
    <cfRule type="cellIs" dxfId="17254" priority="471" operator="equal">
      <formula>0</formula>
    </cfRule>
    <cfRule type="cellIs" dxfId="17253" priority="472" operator="greaterThan">
      <formula>0</formula>
    </cfRule>
  </conditionalFormatting>
  <conditionalFormatting sqref="H14 H16">
    <cfRule type="cellIs" dxfId="17252" priority="461" operator="equal">
      <formula>"PMS"</formula>
    </cfRule>
    <cfRule type="containsText" dxfId="17251" priority="462" operator="containsText" text="CMS">
      <formula>NOT(ISERROR(SEARCH("CMS",H14)))</formula>
    </cfRule>
    <cfRule type="cellIs" dxfId="17250" priority="463" operator="equal">
      <formula>0</formula>
    </cfRule>
    <cfRule type="cellIs" dxfId="17249" priority="464" operator="greaterThan">
      <formula>0</formula>
    </cfRule>
    <cfRule type="cellIs" dxfId="17248" priority="465" operator="equal">
      <formula>"PMS"</formula>
    </cfRule>
    <cfRule type="containsText" dxfId="17247" priority="466" operator="containsText" text="CMS">
      <formula>NOT(ISERROR(SEARCH("CMS",H14)))</formula>
    </cfRule>
    <cfRule type="cellIs" dxfId="17246" priority="467" operator="equal">
      <formula>0</formula>
    </cfRule>
    <cfRule type="cellIs" dxfId="17245" priority="468" operator="greaterThan">
      <formula>0</formula>
    </cfRule>
  </conditionalFormatting>
  <conditionalFormatting sqref="H14 H16">
    <cfRule type="cellIs" dxfId="17244" priority="457" operator="equal">
      <formula>"PMS"</formula>
    </cfRule>
    <cfRule type="containsText" dxfId="17243" priority="458" operator="containsText" text="CMS">
      <formula>NOT(ISERROR(SEARCH("CMS",H14)))</formula>
    </cfRule>
    <cfRule type="cellIs" dxfId="17242" priority="459" operator="equal">
      <formula>0</formula>
    </cfRule>
    <cfRule type="cellIs" dxfId="17241" priority="460" operator="greaterThan">
      <formula>0</formula>
    </cfRule>
  </conditionalFormatting>
  <conditionalFormatting sqref="G36:G38 G57:G59">
    <cfRule type="cellIs" dxfId="17240" priority="449" operator="equal">
      <formula>"PMS"</formula>
    </cfRule>
    <cfRule type="containsText" dxfId="17239" priority="450" operator="containsText" text="CMS">
      <formula>NOT(ISERROR(SEARCH("CMS",G36)))</formula>
    </cfRule>
    <cfRule type="cellIs" dxfId="17238" priority="451" operator="equal">
      <formula>0</formula>
    </cfRule>
    <cfRule type="cellIs" dxfId="17237" priority="452" operator="greaterThan">
      <formula>0</formula>
    </cfRule>
    <cfRule type="cellIs" dxfId="17236" priority="453" operator="equal">
      <formula>"PMS"</formula>
    </cfRule>
    <cfRule type="containsText" dxfId="17235" priority="454" operator="containsText" text="CMS">
      <formula>NOT(ISERROR(SEARCH("CMS",G36)))</formula>
    </cfRule>
    <cfRule type="cellIs" dxfId="17234" priority="455" operator="equal">
      <formula>0</formula>
    </cfRule>
    <cfRule type="cellIs" dxfId="17233" priority="456" operator="greaterThan">
      <formula>0</formula>
    </cfRule>
  </conditionalFormatting>
  <conditionalFormatting sqref="G36:G38 G57:G59">
    <cfRule type="cellIs" dxfId="17232" priority="445" operator="equal">
      <formula>"PMS"</formula>
    </cfRule>
    <cfRule type="containsText" dxfId="17231" priority="446" operator="containsText" text="CMS">
      <formula>NOT(ISERROR(SEARCH("CMS",G36)))</formula>
    </cfRule>
    <cfRule type="cellIs" dxfId="17230" priority="447" operator="equal">
      <formula>0</formula>
    </cfRule>
    <cfRule type="cellIs" dxfId="17229" priority="448" operator="greaterThan">
      <formula>0</formula>
    </cfRule>
  </conditionalFormatting>
  <conditionalFormatting sqref="M36:M38 M57:M59">
    <cfRule type="cellIs" dxfId="17228" priority="437" operator="equal">
      <formula>"PMS"</formula>
    </cfRule>
    <cfRule type="containsText" dxfId="17227" priority="438" operator="containsText" text="CMS">
      <formula>NOT(ISERROR(SEARCH("CMS",M36)))</formula>
    </cfRule>
    <cfRule type="cellIs" dxfId="17226" priority="439" operator="equal">
      <formula>0</formula>
    </cfRule>
    <cfRule type="cellIs" dxfId="17225" priority="440" operator="greaterThan">
      <formula>0</formula>
    </cfRule>
    <cfRule type="cellIs" dxfId="17224" priority="441" operator="equal">
      <formula>"PMS"</formula>
    </cfRule>
    <cfRule type="containsText" dxfId="17223" priority="442" operator="containsText" text="CMS">
      <formula>NOT(ISERROR(SEARCH("CMS",M36)))</formula>
    </cfRule>
    <cfRule type="cellIs" dxfId="17222" priority="443" operator="equal">
      <formula>0</formula>
    </cfRule>
    <cfRule type="cellIs" dxfId="17221" priority="444" operator="greaterThan">
      <formula>0</formula>
    </cfRule>
  </conditionalFormatting>
  <conditionalFormatting sqref="M36:M38 M57:M59">
    <cfRule type="cellIs" dxfId="17220" priority="433" operator="equal">
      <formula>"PMS"</formula>
    </cfRule>
    <cfRule type="containsText" dxfId="17219" priority="434" operator="containsText" text="CMS">
      <formula>NOT(ISERROR(SEARCH("CMS",M36)))</formula>
    </cfRule>
    <cfRule type="cellIs" dxfId="17218" priority="435" operator="equal">
      <formula>0</formula>
    </cfRule>
    <cfRule type="cellIs" dxfId="17217" priority="436" operator="greaterThan">
      <formula>0</formula>
    </cfRule>
  </conditionalFormatting>
  <conditionalFormatting sqref="K36:K38 K57:K59">
    <cfRule type="cellIs" dxfId="17216" priority="425" operator="equal">
      <formula>"PMS"</formula>
    </cfRule>
    <cfRule type="containsText" dxfId="17215" priority="426" operator="containsText" text="CMS">
      <formula>NOT(ISERROR(SEARCH("CMS",K36)))</formula>
    </cfRule>
    <cfRule type="cellIs" dxfId="17214" priority="427" operator="equal">
      <formula>0</formula>
    </cfRule>
    <cfRule type="cellIs" dxfId="17213" priority="428" operator="greaterThan">
      <formula>0</formula>
    </cfRule>
    <cfRule type="cellIs" dxfId="17212" priority="429" operator="equal">
      <formula>"PMS"</formula>
    </cfRule>
    <cfRule type="containsText" dxfId="17211" priority="430" operator="containsText" text="CMS">
      <formula>NOT(ISERROR(SEARCH("CMS",K36)))</formula>
    </cfRule>
    <cfRule type="cellIs" dxfId="17210" priority="431" operator="equal">
      <formula>0</formula>
    </cfRule>
    <cfRule type="cellIs" dxfId="17209" priority="432" operator="greaterThan">
      <formula>0</formula>
    </cfRule>
  </conditionalFormatting>
  <conditionalFormatting sqref="K36:K38 K57:K59">
    <cfRule type="cellIs" dxfId="17208" priority="421" operator="equal">
      <formula>"PMS"</formula>
    </cfRule>
    <cfRule type="containsText" dxfId="17207" priority="422" operator="containsText" text="CMS">
      <formula>NOT(ISERROR(SEARCH("CMS",K36)))</formula>
    </cfRule>
    <cfRule type="cellIs" dxfId="17206" priority="423" operator="equal">
      <formula>0</formula>
    </cfRule>
    <cfRule type="cellIs" dxfId="17205" priority="424" operator="greaterThan">
      <formula>0</formula>
    </cfRule>
  </conditionalFormatting>
  <conditionalFormatting sqref="K14:L14">
    <cfRule type="cellIs" dxfId="17204" priority="413" operator="equal">
      <formula>"PMS"</formula>
    </cfRule>
    <cfRule type="containsText" dxfId="17203" priority="414" operator="containsText" text="CMS">
      <formula>NOT(ISERROR(SEARCH("CMS",K14)))</formula>
    </cfRule>
    <cfRule type="cellIs" dxfId="17202" priority="415" operator="equal">
      <formula>0</formula>
    </cfRule>
    <cfRule type="cellIs" dxfId="17201" priority="416" operator="greaterThan">
      <formula>0</formula>
    </cfRule>
    <cfRule type="cellIs" dxfId="17200" priority="417" operator="equal">
      <formula>"PMS"</formula>
    </cfRule>
    <cfRule type="containsText" dxfId="17199" priority="418" operator="containsText" text="CMS">
      <formula>NOT(ISERROR(SEARCH("CMS",K14)))</formula>
    </cfRule>
    <cfRule type="cellIs" dxfId="17198" priority="419" operator="equal">
      <formula>0</formula>
    </cfRule>
    <cfRule type="cellIs" dxfId="17197" priority="420" operator="greaterThan">
      <formula>0</formula>
    </cfRule>
  </conditionalFormatting>
  <conditionalFormatting sqref="K14:L14">
    <cfRule type="cellIs" dxfId="17196" priority="409" operator="equal">
      <formula>"PMS"</formula>
    </cfRule>
    <cfRule type="containsText" dxfId="17195" priority="410" operator="containsText" text="CMS">
      <formula>NOT(ISERROR(SEARCH("CMS",K14)))</formula>
    </cfRule>
    <cfRule type="cellIs" dxfId="17194" priority="411" operator="equal">
      <formula>0</formula>
    </cfRule>
    <cfRule type="cellIs" dxfId="17193" priority="412" operator="greaterThan">
      <formula>0</formula>
    </cfRule>
  </conditionalFormatting>
  <conditionalFormatting sqref="G49 G52:G55">
    <cfRule type="cellIs" dxfId="17192" priority="401" operator="equal">
      <formula>"PMS"</formula>
    </cfRule>
    <cfRule type="containsText" dxfId="17191" priority="402" operator="containsText" text="CMS">
      <formula>NOT(ISERROR(SEARCH("CMS",G49)))</formula>
    </cfRule>
    <cfRule type="cellIs" dxfId="17190" priority="403" operator="equal">
      <formula>0</formula>
    </cfRule>
    <cfRule type="cellIs" dxfId="17189" priority="404" operator="greaterThan">
      <formula>0</formula>
    </cfRule>
    <cfRule type="cellIs" dxfId="17188" priority="405" operator="equal">
      <formula>"PMS"</formula>
    </cfRule>
    <cfRule type="containsText" dxfId="17187" priority="406" operator="containsText" text="CMS">
      <formula>NOT(ISERROR(SEARCH("CMS",G49)))</formula>
    </cfRule>
    <cfRule type="cellIs" dxfId="17186" priority="407" operator="equal">
      <formula>0</formula>
    </cfRule>
    <cfRule type="cellIs" dxfId="17185" priority="408" operator="greaterThan">
      <formula>0</formula>
    </cfRule>
  </conditionalFormatting>
  <conditionalFormatting sqref="G49 G52:G55">
    <cfRule type="cellIs" dxfId="17184" priority="397" operator="equal">
      <formula>"PMS"</formula>
    </cfRule>
    <cfRule type="containsText" dxfId="17183" priority="398" operator="containsText" text="CMS">
      <formula>NOT(ISERROR(SEARCH("CMS",G49)))</formula>
    </cfRule>
    <cfRule type="cellIs" dxfId="17182" priority="399" operator="equal">
      <formula>0</formula>
    </cfRule>
    <cfRule type="cellIs" dxfId="17181" priority="400" operator="greaterThan">
      <formula>0</formula>
    </cfRule>
  </conditionalFormatting>
  <conditionalFormatting sqref="M49:N49 M52:M55">
    <cfRule type="cellIs" dxfId="17180" priority="389" operator="equal">
      <formula>"PMS"</formula>
    </cfRule>
    <cfRule type="containsText" dxfId="17179" priority="390" operator="containsText" text="CMS">
      <formula>NOT(ISERROR(SEARCH("CMS",M49)))</formula>
    </cfRule>
    <cfRule type="cellIs" dxfId="17178" priority="391" operator="equal">
      <formula>0</formula>
    </cfRule>
    <cfRule type="cellIs" dxfId="17177" priority="392" operator="greaterThan">
      <formula>0</formula>
    </cfRule>
    <cfRule type="cellIs" dxfId="17176" priority="393" operator="equal">
      <formula>"PMS"</formula>
    </cfRule>
    <cfRule type="containsText" dxfId="17175" priority="394" operator="containsText" text="CMS">
      <formula>NOT(ISERROR(SEARCH("CMS",M49)))</formula>
    </cfRule>
    <cfRule type="cellIs" dxfId="17174" priority="395" operator="equal">
      <formula>0</formula>
    </cfRule>
    <cfRule type="cellIs" dxfId="17173" priority="396" operator="greaterThan">
      <formula>0</formula>
    </cfRule>
  </conditionalFormatting>
  <conditionalFormatting sqref="M49:N49 M52:M55">
    <cfRule type="cellIs" dxfId="17172" priority="385" operator="equal">
      <formula>"PMS"</formula>
    </cfRule>
    <cfRule type="containsText" dxfId="17171" priority="386" operator="containsText" text="CMS">
      <formula>NOT(ISERROR(SEARCH("CMS",M49)))</formula>
    </cfRule>
    <cfRule type="cellIs" dxfId="17170" priority="387" operator="equal">
      <formula>0</formula>
    </cfRule>
    <cfRule type="cellIs" dxfId="17169" priority="388" operator="greaterThan">
      <formula>0</formula>
    </cfRule>
  </conditionalFormatting>
  <conditionalFormatting sqref="K49 K52:K55">
    <cfRule type="cellIs" dxfId="17168" priority="377" operator="equal">
      <formula>"PMS"</formula>
    </cfRule>
    <cfRule type="containsText" dxfId="17167" priority="378" operator="containsText" text="CMS">
      <formula>NOT(ISERROR(SEARCH("CMS",K49)))</formula>
    </cfRule>
    <cfRule type="cellIs" dxfId="17166" priority="379" operator="equal">
      <formula>0</formula>
    </cfRule>
    <cfRule type="cellIs" dxfId="17165" priority="380" operator="greaterThan">
      <formula>0</formula>
    </cfRule>
    <cfRule type="cellIs" dxfId="17164" priority="381" operator="equal">
      <formula>"PMS"</formula>
    </cfRule>
    <cfRule type="containsText" dxfId="17163" priority="382" operator="containsText" text="CMS">
      <formula>NOT(ISERROR(SEARCH("CMS",K49)))</formula>
    </cfRule>
    <cfRule type="cellIs" dxfId="17162" priority="383" operator="equal">
      <formula>0</formula>
    </cfRule>
    <cfRule type="cellIs" dxfId="17161" priority="384" operator="greaterThan">
      <formula>0</formula>
    </cfRule>
  </conditionalFormatting>
  <conditionalFormatting sqref="K49 K52:K55">
    <cfRule type="cellIs" dxfId="17160" priority="373" operator="equal">
      <formula>"PMS"</formula>
    </cfRule>
    <cfRule type="containsText" dxfId="17159" priority="374" operator="containsText" text="CMS">
      <formula>NOT(ISERROR(SEARCH("CMS",K49)))</formula>
    </cfRule>
    <cfRule type="cellIs" dxfId="17158" priority="375" operator="equal">
      <formula>0</formula>
    </cfRule>
    <cfRule type="cellIs" dxfId="17157" priority="376" operator="greaterThan">
      <formula>0</formula>
    </cfRule>
  </conditionalFormatting>
  <conditionalFormatting sqref="H33:J33 L33 L27:L30 H24:J24 H19:J20 L20:L21 V28:AC28 M21 Q28:T28 N28:P29 N33:AC33 P30 Q29:AC30 H27:J30 N19:AC21 H21:K21 O78:AC79 K19:M19 M30:N30 H79:J79 L79:M79 L24:AC24">
    <cfRule type="cellIs" dxfId="17156" priority="365" operator="equal">
      <formula>"PMS"</formula>
    </cfRule>
    <cfRule type="containsText" dxfId="17155" priority="366" operator="containsText" text="CMS">
      <formula>NOT(ISERROR(SEARCH("CMS",H19)))</formula>
    </cfRule>
    <cfRule type="cellIs" dxfId="17154" priority="367" operator="equal">
      <formula>0</formula>
    </cfRule>
    <cfRule type="cellIs" dxfId="17153" priority="368" operator="greaterThan">
      <formula>0</formula>
    </cfRule>
    <cfRule type="cellIs" dxfId="17152" priority="369" operator="equal">
      <formula>"PMS"</formula>
    </cfRule>
    <cfRule type="containsText" dxfId="17151" priority="370" operator="containsText" text="CMS">
      <formula>NOT(ISERROR(SEARCH("CMS",H19)))</formula>
    </cfRule>
    <cfRule type="cellIs" dxfId="17150" priority="371" operator="equal">
      <formula>0</formula>
    </cfRule>
    <cfRule type="cellIs" dxfId="17149" priority="372" operator="greaterThan">
      <formula>0</formula>
    </cfRule>
  </conditionalFormatting>
  <conditionalFormatting sqref="H33:J33 L33 L27:L30 H24:J24 H19:J20 L20:L21 V28:AC28 M21 Q28:T28 N28:P29 N33:AC33 P30 Q29:AC30 H27:J30 N19:AC21 H21:K21 O78:AC79 K19:M19 M30:N30 H79:J79 L79:M79 L24:AC24">
    <cfRule type="cellIs" dxfId="17148" priority="361" operator="equal">
      <formula>"PMS"</formula>
    </cfRule>
    <cfRule type="containsText" dxfId="17147" priority="362" operator="containsText" text="CMS">
      <formula>NOT(ISERROR(SEARCH("CMS",H19)))</formula>
    </cfRule>
    <cfRule type="cellIs" dxfId="17146" priority="363" operator="equal">
      <formula>0</formula>
    </cfRule>
    <cfRule type="cellIs" dxfId="17145" priority="364" operator="greaterThan">
      <formula>0</formula>
    </cfRule>
  </conditionalFormatting>
  <conditionalFormatting sqref="G33 G27:G30 G24 G39:G48 G50:G51 G56 G19:G21 G79">
    <cfRule type="cellIs" dxfId="17144" priority="353" operator="equal">
      <formula>"PMS"</formula>
    </cfRule>
    <cfRule type="containsText" dxfId="17143" priority="354" operator="containsText" text="CMS">
      <formula>NOT(ISERROR(SEARCH("CMS",G19)))</formula>
    </cfRule>
    <cfRule type="cellIs" dxfId="17142" priority="355" operator="equal">
      <formula>0</formula>
    </cfRule>
    <cfRule type="cellIs" dxfId="17141" priority="356" operator="greaterThan">
      <formula>0</formula>
    </cfRule>
    <cfRule type="cellIs" dxfId="17140" priority="357" operator="equal">
      <formula>"PMS"</formula>
    </cfRule>
    <cfRule type="containsText" dxfId="17139" priority="358" operator="containsText" text="CMS">
      <formula>NOT(ISERROR(SEARCH("CMS",G19)))</formula>
    </cfRule>
    <cfRule type="cellIs" dxfId="17138" priority="359" operator="equal">
      <formula>0</formula>
    </cfRule>
    <cfRule type="cellIs" dxfId="17137" priority="360" operator="greaterThan">
      <formula>0</formula>
    </cfRule>
  </conditionalFormatting>
  <conditionalFormatting sqref="G33 G27:G30 G24 G39:G48 G50:G51 G56 G19:G21 G79">
    <cfRule type="cellIs" dxfId="17136" priority="349" operator="equal">
      <formula>"PMS"</formula>
    </cfRule>
    <cfRule type="containsText" dxfId="17135" priority="350" operator="containsText" text="CMS">
      <formula>NOT(ISERROR(SEARCH("CMS",G19)))</formula>
    </cfRule>
    <cfRule type="cellIs" dxfId="17134" priority="351" operator="equal">
      <formula>0</formula>
    </cfRule>
    <cfRule type="cellIs" dxfId="17133" priority="352" operator="greaterThan">
      <formula>0</formula>
    </cfRule>
  </conditionalFormatting>
  <conditionalFormatting sqref="M39:M48 M33 M27:M29 M20 AB27:AC27 N27:X27 N47 M50 M56 N51:N55 M62:M64 N78:N79">
    <cfRule type="cellIs" dxfId="17132" priority="341" operator="equal">
      <formula>"PMS"</formula>
    </cfRule>
    <cfRule type="containsText" dxfId="17131" priority="342" operator="containsText" text="CMS">
      <formula>NOT(ISERROR(SEARCH("CMS",M20)))</formula>
    </cfRule>
    <cfRule type="cellIs" dxfId="17130" priority="343" operator="equal">
      <formula>0</formula>
    </cfRule>
    <cfRule type="cellIs" dxfId="17129" priority="344" operator="greaterThan">
      <formula>0</formula>
    </cfRule>
    <cfRule type="cellIs" dxfId="17128" priority="345" operator="equal">
      <formula>"PMS"</formula>
    </cfRule>
    <cfRule type="containsText" dxfId="17127" priority="346" operator="containsText" text="CMS">
      <formula>NOT(ISERROR(SEARCH("CMS",M20)))</formula>
    </cfRule>
    <cfRule type="cellIs" dxfId="17126" priority="347" operator="equal">
      <formula>0</formula>
    </cfRule>
    <cfRule type="cellIs" dxfId="17125" priority="348" operator="greaterThan">
      <formula>0</formula>
    </cfRule>
  </conditionalFormatting>
  <conditionalFormatting sqref="M39:M48 M33 M27:M29 M20 AB27:AC27 N27:X27 N47 M50 M56 N51:N55 M62:M64 N78:N79">
    <cfRule type="cellIs" dxfId="17124" priority="337" operator="equal">
      <formula>"PMS"</formula>
    </cfRule>
    <cfRule type="containsText" dxfId="17123" priority="338" operator="containsText" text="CMS">
      <formula>NOT(ISERROR(SEARCH("CMS",M20)))</formula>
    </cfRule>
    <cfRule type="cellIs" dxfId="17122" priority="339" operator="equal">
      <formula>0</formula>
    </cfRule>
    <cfRule type="cellIs" dxfId="17121" priority="340" operator="greaterThan">
      <formula>0</formula>
    </cfRule>
  </conditionalFormatting>
  <conditionalFormatting sqref="K56 K50:K51 K39:K48 K33 K27 K24 K20 K29:K30 K79">
    <cfRule type="cellIs" dxfId="17120" priority="329" operator="equal">
      <formula>"PMS"</formula>
    </cfRule>
    <cfRule type="containsText" dxfId="17119" priority="330" operator="containsText" text="CMS">
      <formula>NOT(ISERROR(SEARCH("CMS",K20)))</formula>
    </cfRule>
    <cfRule type="cellIs" dxfId="17118" priority="331" operator="equal">
      <formula>0</formula>
    </cfRule>
    <cfRule type="cellIs" dxfId="17117" priority="332" operator="greaterThan">
      <formula>0</formula>
    </cfRule>
    <cfRule type="cellIs" dxfId="17116" priority="333" operator="equal">
      <formula>"PMS"</formula>
    </cfRule>
    <cfRule type="containsText" dxfId="17115" priority="334" operator="containsText" text="CMS">
      <formula>NOT(ISERROR(SEARCH("CMS",K20)))</formula>
    </cfRule>
    <cfRule type="cellIs" dxfId="17114" priority="335" operator="equal">
      <formula>0</formula>
    </cfRule>
    <cfRule type="cellIs" dxfId="17113" priority="336" operator="greaterThan">
      <formula>0</formula>
    </cfRule>
  </conditionalFormatting>
  <conditionalFormatting sqref="K56 K50:K51 K39:K48 K33 K27 K24 K20 K29:K30 K79">
    <cfRule type="cellIs" dxfId="17112" priority="325" operator="equal">
      <formula>"PMS"</formula>
    </cfRule>
    <cfRule type="containsText" dxfId="17111" priority="326" operator="containsText" text="CMS">
      <formula>NOT(ISERROR(SEARCH("CMS",K20)))</formula>
    </cfRule>
    <cfRule type="cellIs" dxfId="17110" priority="327" operator="equal">
      <formula>0</formula>
    </cfRule>
    <cfRule type="cellIs" dxfId="17109" priority="328" operator="greaterThan">
      <formula>0</formula>
    </cfRule>
  </conditionalFormatting>
  <conditionalFormatting sqref="K28">
    <cfRule type="cellIs" dxfId="17108" priority="317" operator="equal">
      <formula>"PMS"</formula>
    </cfRule>
    <cfRule type="containsText" dxfId="17107" priority="318" operator="containsText" text="CMS">
      <formula>NOT(ISERROR(SEARCH("CMS",K28)))</formula>
    </cfRule>
    <cfRule type="cellIs" dxfId="17106" priority="319" operator="equal">
      <formula>0</formula>
    </cfRule>
    <cfRule type="cellIs" dxfId="17105" priority="320" operator="greaterThan">
      <formula>0</formula>
    </cfRule>
    <cfRule type="cellIs" dxfId="17104" priority="321" operator="equal">
      <formula>"PMS"</formula>
    </cfRule>
    <cfRule type="containsText" dxfId="17103" priority="322" operator="containsText" text="CMS">
      <formula>NOT(ISERROR(SEARCH("CMS",K28)))</formula>
    </cfRule>
    <cfRule type="cellIs" dxfId="17102" priority="323" operator="equal">
      <formula>0</formula>
    </cfRule>
    <cfRule type="cellIs" dxfId="17101" priority="324" operator="greaterThan">
      <formula>0</formula>
    </cfRule>
  </conditionalFormatting>
  <conditionalFormatting sqref="K28">
    <cfRule type="cellIs" dxfId="17100" priority="313" operator="equal">
      <formula>"PMS"</formula>
    </cfRule>
    <cfRule type="containsText" dxfId="17099" priority="314" operator="containsText" text="CMS">
      <formula>NOT(ISERROR(SEARCH("CMS",K28)))</formula>
    </cfRule>
    <cfRule type="cellIs" dxfId="17098" priority="315" operator="equal">
      <formula>0</formula>
    </cfRule>
    <cfRule type="cellIs" dxfId="17097" priority="316" operator="greaterThan">
      <formula>0</formula>
    </cfRule>
  </conditionalFormatting>
  <conditionalFormatting sqref="N62:O62 O63:O64">
    <cfRule type="cellIs" dxfId="17096" priority="305" operator="equal">
      <formula>"PMS"</formula>
    </cfRule>
    <cfRule type="containsText" dxfId="17095" priority="306" operator="containsText" text="CMS">
      <formula>NOT(ISERROR(SEARCH("CMS",N62)))</formula>
    </cfRule>
    <cfRule type="cellIs" dxfId="17094" priority="307" operator="equal">
      <formula>0</formula>
    </cfRule>
    <cfRule type="cellIs" dxfId="17093" priority="308" operator="greaterThan">
      <formula>0</formula>
    </cfRule>
    <cfRule type="cellIs" dxfId="17092" priority="309" operator="equal">
      <formula>"PMS"</formula>
    </cfRule>
    <cfRule type="containsText" dxfId="17091" priority="310" operator="containsText" text="CMS">
      <formula>NOT(ISERROR(SEARCH("CMS",N62)))</formula>
    </cfRule>
    <cfRule type="cellIs" dxfId="17090" priority="311" operator="equal">
      <formula>0</formula>
    </cfRule>
    <cfRule type="cellIs" dxfId="17089" priority="312" operator="greaterThan">
      <formula>0</formula>
    </cfRule>
  </conditionalFormatting>
  <conditionalFormatting sqref="N62:O62 O63:O64">
    <cfRule type="cellIs" dxfId="17088" priority="301" operator="equal">
      <formula>"PMS"</formula>
    </cfRule>
    <cfRule type="containsText" dxfId="17087" priority="302" operator="containsText" text="CMS">
      <formula>NOT(ISERROR(SEARCH("CMS",N62)))</formula>
    </cfRule>
    <cfRule type="cellIs" dxfId="17086" priority="303" operator="equal">
      <formula>0</formula>
    </cfRule>
    <cfRule type="cellIs" dxfId="17085" priority="304" operator="greaterThan">
      <formula>0</formula>
    </cfRule>
  </conditionalFormatting>
  <conditionalFormatting sqref="J14">
    <cfRule type="cellIs" dxfId="17084" priority="293" operator="equal">
      <formula>"PMS"</formula>
    </cfRule>
    <cfRule type="containsText" dxfId="17083" priority="294" operator="containsText" text="CMS">
      <formula>NOT(ISERROR(SEARCH("CMS",J14)))</formula>
    </cfRule>
    <cfRule type="cellIs" dxfId="17082" priority="295" operator="equal">
      <formula>0</formula>
    </cfRule>
    <cfRule type="cellIs" dxfId="17081" priority="296" operator="greaterThan">
      <formula>0</formula>
    </cfRule>
    <cfRule type="cellIs" dxfId="17080" priority="297" operator="equal">
      <formula>"PMS"</formula>
    </cfRule>
    <cfRule type="containsText" dxfId="17079" priority="298" operator="containsText" text="CMS">
      <formula>NOT(ISERROR(SEARCH("CMS",J14)))</formula>
    </cfRule>
    <cfRule type="cellIs" dxfId="17078" priority="299" operator="equal">
      <formula>0</formula>
    </cfRule>
    <cfRule type="cellIs" dxfId="17077" priority="300" operator="greaterThan">
      <formula>0</formula>
    </cfRule>
  </conditionalFormatting>
  <conditionalFormatting sqref="J14">
    <cfRule type="cellIs" dxfId="17076" priority="289" operator="equal">
      <formula>"PMS"</formula>
    </cfRule>
    <cfRule type="containsText" dxfId="17075" priority="290" operator="containsText" text="CMS">
      <formula>NOT(ISERROR(SEARCH("CMS",J14)))</formula>
    </cfRule>
    <cfRule type="cellIs" dxfId="17074" priority="291" operator="equal">
      <formula>0</formula>
    </cfRule>
    <cfRule type="cellIs" dxfId="17073" priority="292" operator="greaterThan">
      <formula>0</formula>
    </cfRule>
  </conditionalFormatting>
  <conditionalFormatting sqref="U28">
    <cfRule type="cellIs" dxfId="17072" priority="281" operator="equal">
      <formula>"PMS"</formula>
    </cfRule>
    <cfRule type="containsText" dxfId="17071" priority="282" operator="containsText" text="CMS">
      <formula>NOT(ISERROR(SEARCH("CMS",U28)))</formula>
    </cfRule>
    <cfRule type="cellIs" dxfId="17070" priority="283" operator="equal">
      <formula>0</formula>
    </cfRule>
    <cfRule type="cellIs" dxfId="17069" priority="284" operator="greaterThan">
      <formula>0</formula>
    </cfRule>
    <cfRule type="cellIs" dxfId="17068" priority="285" operator="equal">
      <formula>"PMS"</formula>
    </cfRule>
    <cfRule type="containsText" dxfId="17067" priority="286" operator="containsText" text="CMS">
      <formula>NOT(ISERROR(SEARCH("CMS",U28)))</formula>
    </cfRule>
    <cfRule type="cellIs" dxfId="17066" priority="287" operator="equal">
      <formula>0</formula>
    </cfRule>
    <cfRule type="cellIs" dxfId="17065" priority="288" operator="greaterThan">
      <formula>0</formula>
    </cfRule>
  </conditionalFormatting>
  <conditionalFormatting sqref="U28">
    <cfRule type="cellIs" dxfId="17064" priority="277" operator="equal">
      <formula>"PMS"</formula>
    </cfRule>
    <cfRule type="containsText" dxfId="17063" priority="278" operator="containsText" text="CMS">
      <formula>NOT(ISERROR(SEARCH("CMS",U28)))</formula>
    </cfRule>
    <cfRule type="cellIs" dxfId="17062" priority="279" operator="equal">
      <formula>0</formula>
    </cfRule>
    <cfRule type="cellIs" dxfId="17061" priority="280" operator="greaterThan">
      <formula>0</formula>
    </cfRule>
  </conditionalFormatting>
  <conditionalFormatting sqref="Y27:AA27">
    <cfRule type="cellIs" dxfId="17060" priority="269" operator="equal">
      <formula>"PMS"</formula>
    </cfRule>
    <cfRule type="containsText" dxfId="17059" priority="270" operator="containsText" text="CMS">
      <formula>NOT(ISERROR(SEARCH("CMS",Y27)))</formula>
    </cfRule>
    <cfRule type="cellIs" dxfId="17058" priority="271" operator="equal">
      <formula>0</formula>
    </cfRule>
    <cfRule type="cellIs" dxfId="17057" priority="272" operator="greaterThan">
      <formula>0</formula>
    </cfRule>
    <cfRule type="cellIs" dxfId="17056" priority="273" operator="equal">
      <formula>"PMS"</formula>
    </cfRule>
    <cfRule type="containsText" dxfId="17055" priority="274" operator="containsText" text="CMS">
      <formula>NOT(ISERROR(SEARCH("CMS",Y27)))</formula>
    </cfRule>
    <cfRule type="cellIs" dxfId="17054" priority="275" operator="equal">
      <formula>0</formula>
    </cfRule>
    <cfRule type="cellIs" dxfId="17053" priority="276" operator="greaterThan">
      <formula>0</formula>
    </cfRule>
  </conditionalFormatting>
  <conditionalFormatting sqref="Y27:AA27">
    <cfRule type="cellIs" dxfId="17052" priority="265" operator="equal">
      <formula>"PMS"</formula>
    </cfRule>
    <cfRule type="containsText" dxfId="17051" priority="266" operator="containsText" text="CMS">
      <formula>NOT(ISERROR(SEARCH("CMS",Y27)))</formula>
    </cfRule>
    <cfRule type="cellIs" dxfId="17050" priority="267" operator="equal">
      <formula>0</formula>
    </cfRule>
    <cfRule type="cellIs" dxfId="17049" priority="268" operator="greaterThan">
      <formula>0</formula>
    </cfRule>
  </conditionalFormatting>
  <conditionalFormatting sqref="G62:G64">
    <cfRule type="cellIs" dxfId="17048" priority="257" operator="equal">
      <formula>"PMS"</formula>
    </cfRule>
    <cfRule type="containsText" dxfId="17047" priority="258" operator="containsText" text="CMS">
      <formula>NOT(ISERROR(SEARCH("CMS",G62)))</formula>
    </cfRule>
    <cfRule type="cellIs" dxfId="17046" priority="259" operator="equal">
      <formula>0</formula>
    </cfRule>
    <cfRule type="cellIs" dxfId="17045" priority="260" operator="greaterThan">
      <formula>0</formula>
    </cfRule>
    <cfRule type="cellIs" dxfId="17044" priority="261" operator="equal">
      <formula>"PMS"</formula>
    </cfRule>
    <cfRule type="containsText" dxfId="17043" priority="262" operator="containsText" text="CMS">
      <formula>NOT(ISERROR(SEARCH("CMS",G62)))</formula>
    </cfRule>
    <cfRule type="cellIs" dxfId="17042" priority="263" operator="equal">
      <formula>0</formula>
    </cfRule>
    <cfRule type="cellIs" dxfId="17041" priority="264" operator="greaterThan">
      <formula>0</formula>
    </cfRule>
  </conditionalFormatting>
  <conditionalFormatting sqref="G62:G64">
    <cfRule type="cellIs" dxfId="17040" priority="253" operator="equal">
      <formula>"PMS"</formula>
    </cfRule>
    <cfRule type="containsText" dxfId="17039" priority="254" operator="containsText" text="CMS">
      <formula>NOT(ISERROR(SEARCH("CMS",G62)))</formula>
    </cfRule>
    <cfRule type="cellIs" dxfId="17038" priority="255" operator="equal">
      <formula>0</formula>
    </cfRule>
    <cfRule type="cellIs" dxfId="17037" priority="256" operator="greaterThan">
      <formula>0</formula>
    </cfRule>
  </conditionalFormatting>
  <conditionalFormatting sqref="N40">
    <cfRule type="cellIs" dxfId="17036" priority="245" operator="equal">
      <formula>"PMS"</formula>
    </cfRule>
    <cfRule type="containsText" dxfId="17035" priority="246" operator="containsText" text="CMS">
      <formula>NOT(ISERROR(SEARCH("CMS",N40)))</formula>
    </cfRule>
    <cfRule type="cellIs" dxfId="17034" priority="247" operator="equal">
      <formula>0</formula>
    </cfRule>
    <cfRule type="cellIs" dxfId="17033" priority="248" operator="greaterThan">
      <formula>0</formula>
    </cfRule>
    <cfRule type="cellIs" dxfId="17032" priority="249" operator="equal">
      <formula>"PMS"</formula>
    </cfRule>
    <cfRule type="containsText" dxfId="17031" priority="250" operator="containsText" text="CMS">
      <formula>NOT(ISERROR(SEARCH("CMS",N40)))</formula>
    </cfRule>
    <cfRule type="cellIs" dxfId="17030" priority="251" operator="equal">
      <formula>0</formula>
    </cfRule>
    <cfRule type="cellIs" dxfId="17029" priority="252" operator="greaterThan">
      <formula>0</formula>
    </cfRule>
  </conditionalFormatting>
  <conditionalFormatting sqref="N40">
    <cfRule type="cellIs" dxfId="17028" priority="241" operator="equal">
      <formula>"PMS"</formula>
    </cfRule>
    <cfRule type="containsText" dxfId="17027" priority="242" operator="containsText" text="CMS">
      <formula>NOT(ISERROR(SEARCH("CMS",N40)))</formula>
    </cfRule>
    <cfRule type="cellIs" dxfId="17026" priority="243" operator="equal">
      <formula>0</formula>
    </cfRule>
    <cfRule type="cellIs" dxfId="17025" priority="244" operator="greaterThan">
      <formula>0</formula>
    </cfRule>
  </conditionalFormatting>
  <conditionalFormatting sqref="O30">
    <cfRule type="cellIs" dxfId="17024" priority="233" operator="equal">
      <formula>"PMS"</formula>
    </cfRule>
    <cfRule type="containsText" dxfId="17023" priority="234" operator="containsText" text="CMS">
      <formula>NOT(ISERROR(SEARCH("CMS",O30)))</formula>
    </cfRule>
    <cfRule type="cellIs" dxfId="17022" priority="235" operator="equal">
      <formula>0</formula>
    </cfRule>
    <cfRule type="cellIs" dxfId="17021" priority="236" operator="greaterThan">
      <formula>0</formula>
    </cfRule>
    <cfRule type="cellIs" dxfId="17020" priority="237" operator="equal">
      <formula>"PMS"</formula>
    </cfRule>
    <cfRule type="containsText" dxfId="17019" priority="238" operator="containsText" text="CMS">
      <formula>NOT(ISERROR(SEARCH("CMS",O30)))</formula>
    </cfRule>
    <cfRule type="cellIs" dxfId="17018" priority="239" operator="equal">
      <formula>0</formula>
    </cfRule>
    <cfRule type="cellIs" dxfId="17017" priority="240" operator="greaterThan">
      <formula>0</formula>
    </cfRule>
  </conditionalFormatting>
  <conditionalFormatting sqref="O30">
    <cfRule type="cellIs" dxfId="17016" priority="229" operator="equal">
      <formula>"PMS"</formula>
    </cfRule>
    <cfRule type="containsText" dxfId="17015" priority="230" operator="containsText" text="CMS">
      <formula>NOT(ISERROR(SEARCH("CMS",O30)))</formula>
    </cfRule>
    <cfRule type="cellIs" dxfId="17014" priority="231" operator="equal">
      <formula>0</formula>
    </cfRule>
    <cfRule type="cellIs" dxfId="17013" priority="232" operator="greaterThan">
      <formula>0</formula>
    </cfRule>
  </conditionalFormatting>
  <conditionalFormatting sqref="O47:O56">
    <cfRule type="cellIs" dxfId="17012" priority="221" operator="equal">
      <formula>"PMS"</formula>
    </cfRule>
    <cfRule type="containsText" dxfId="17011" priority="222" operator="containsText" text="CMS">
      <formula>NOT(ISERROR(SEARCH("CMS",O47)))</formula>
    </cfRule>
    <cfRule type="cellIs" dxfId="17010" priority="223" operator="equal">
      <formula>0</formula>
    </cfRule>
    <cfRule type="cellIs" dxfId="17009" priority="224" operator="greaterThan">
      <formula>0</formula>
    </cfRule>
    <cfRule type="cellIs" dxfId="17008" priority="225" operator="equal">
      <formula>"PMS"</formula>
    </cfRule>
    <cfRule type="containsText" dxfId="17007" priority="226" operator="containsText" text="CMS">
      <formula>NOT(ISERROR(SEARCH("CMS",O47)))</formula>
    </cfRule>
    <cfRule type="cellIs" dxfId="17006" priority="227" operator="equal">
      <formula>0</formula>
    </cfRule>
    <cfRule type="cellIs" dxfId="17005" priority="228" operator="greaterThan">
      <formula>0</formula>
    </cfRule>
  </conditionalFormatting>
  <conditionalFormatting sqref="O47:O56">
    <cfRule type="cellIs" dxfId="17004" priority="217" operator="equal">
      <formula>"PMS"</formula>
    </cfRule>
    <cfRule type="containsText" dxfId="17003" priority="218" operator="containsText" text="CMS">
      <formula>NOT(ISERROR(SEARCH("CMS",O47)))</formula>
    </cfRule>
    <cfRule type="cellIs" dxfId="17002" priority="219" operator="equal">
      <formula>0</formula>
    </cfRule>
    <cfRule type="cellIs" dxfId="17001" priority="220" operator="greaterThan">
      <formula>0</formula>
    </cfRule>
  </conditionalFormatting>
  <conditionalFormatting sqref="F82">
    <cfRule type="cellIs" dxfId="17000" priority="209" operator="equal">
      <formula>"PMS"</formula>
    </cfRule>
    <cfRule type="containsText" dxfId="16999" priority="210" operator="containsText" text="CMS">
      <formula>NOT(ISERROR(SEARCH("CMS",F82)))</formula>
    </cfRule>
    <cfRule type="cellIs" dxfId="16998" priority="211" operator="equal">
      <formula>0</formula>
    </cfRule>
    <cfRule type="cellIs" dxfId="16997" priority="212" operator="greaterThan">
      <formula>0</formula>
    </cfRule>
    <cfRule type="cellIs" dxfId="16996" priority="213" operator="equal">
      <formula>"PMS"</formula>
    </cfRule>
    <cfRule type="containsText" dxfId="16995" priority="214" operator="containsText" text="CMS">
      <formula>NOT(ISERROR(SEARCH("CMS",F82)))</formula>
    </cfRule>
    <cfRule type="cellIs" dxfId="16994" priority="215" operator="equal">
      <formula>0</formula>
    </cfRule>
    <cfRule type="cellIs" dxfId="16993" priority="216" operator="greaterThan">
      <formula>0</formula>
    </cfRule>
  </conditionalFormatting>
  <conditionalFormatting sqref="F82">
    <cfRule type="cellIs" dxfId="16992" priority="205" operator="equal">
      <formula>"PMS"</formula>
    </cfRule>
    <cfRule type="containsText" dxfId="16991" priority="206" operator="containsText" text="CMS">
      <formula>NOT(ISERROR(SEARCH("CMS",F82)))</formula>
    </cfRule>
    <cfRule type="cellIs" dxfId="16990" priority="207" operator="equal">
      <formula>0</formula>
    </cfRule>
    <cfRule type="cellIs" dxfId="16989" priority="208" operator="greaterThan">
      <formula>0</formula>
    </cfRule>
  </conditionalFormatting>
  <conditionalFormatting sqref="H15">
    <cfRule type="cellIs" dxfId="16988" priority="197" operator="equal">
      <formula>"PMS"</formula>
    </cfRule>
    <cfRule type="containsText" dxfId="16987" priority="198" operator="containsText" text="CMS">
      <formula>NOT(ISERROR(SEARCH("CMS",H15)))</formula>
    </cfRule>
    <cfRule type="cellIs" dxfId="16986" priority="199" operator="equal">
      <formula>0</formula>
    </cfRule>
    <cfRule type="cellIs" dxfId="16985" priority="200" operator="greaterThan">
      <formula>0</formula>
    </cfRule>
    <cfRule type="cellIs" dxfId="16984" priority="201" operator="equal">
      <formula>"PMS"</formula>
    </cfRule>
    <cfRule type="containsText" dxfId="16983" priority="202" operator="containsText" text="CMS">
      <formula>NOT(ISERROR(SEARCH("CMS",H15)))</formula>
    </cfRule>
    <cfRule type="cellIs" dxfId="16982" priority="203" operator="equal">
      <formula>0</formula>
    </cfRule>
    <cfRule type="cellIs" dxfId="16981" priority="204" operator="greaterThan">
      <formula>0</formula>
    </cfRule>
  </conditionalFormatting>
  <conditionalFormatting sqref="H15">
    <cfRule type="cellIs" dxfId="16980" priority="193" operator="equal">
      <formula>"PMS"</formula>
    </cfRule>
    <cfRule type="containsText" dxfId="16979" priority="194" operator="containsText" text="CMS">
      <formula>NOT(ISERROR(SEARCH("CMS",H15)))</formula>
    </cfRule>
    <cfRule type="cellIs" dxfId="16978" priority="195" operator="equal">
      <formula>0</formula>
    </cfRule>
    <cfRule type="cellIs" dxfId="16977" priority="196" operator="greaterThan">
      <formula>0</formula>
    </cfRule>
  </conditionalFormatting>
  <conditionalFormatting sqref="G14">
    <cfRule type="cellIs" dxfId="16976" priority="185" operator="equal">
      <formula>"PMS"</formula>
    </cfRule>
    <cfRule type="containsText" dxfId="16975" priority="186" operator="containsText" text="CMS">
      <formula>NOT(ISERROR(SEARCH("CMS",G14)))</formula>
    </cfRule>
    <cfRule type="cellIs" dxfId="16974" priority="187" operator="equal">
      <formula>0</formula>
    </cfRule>
    <cfRule type="cellIs" dxfId="16973" priority="188" operator="greaterThan">
      <formula>0</formula>
    </cfRule>
    <cfRule type="cellIs" dxfId="16972" priority="189" operator="equal">
      <formula>"PMS"</formula>
    </cfRule>
    <cfRule type="containsText" dxfId="16971" priority="190" operator="containsText" text="CMS">
      <formula>NOT(ISERROR(SEARCH("CMS",G14)))</formula>
    </cfRule>
    <cfRule type="cellIs" dxfId="16970" priority="191" operator="equal">
      <formula>0</formula>
    </cfRule>
    <cfRule type="cellIs" dxfId="16969" priority="192" operator="greaterThan">
      <formula>0</formula>
    </cfRule>
  </conditionalFormatting>
  <conditionalFormatting sqref="G14">
    <cfRule type="cellIs" dxfId="16968" priority="181" operator="equal">
      <formula>"PMS"</formula>
    </cfRule>
    <cfRule type="containsText" dxfId="16967" priority="182" operator="containsText" text="CMS">
      <formula>NOT(ISERROR(SEARCH("CMS",G14)))</formula>
    </cfRule>
    <cfRule type="cellIs" dxfId="16966" priority="183" operator="equal">
      <formula>0</formula>
    </cfRule>
    <cfRule type="cellIs" dxfId="16965" priority="184" operator="greaterThan">
      <formula>0</formula>
    </cfRule>
  </conditionalFormatting>
  <conditionalFormatting sqref="N48">
    <cfRule type="cellIs" dxfId="16964" priority="137" operator="equal">
      <formula>"PMS"</formula>
    </cfRule>
    <cfRule type="containsText" dxfId="16963" priority="138" operator="containsText" text="CMS">
      <formula>NOT(ISERROR(SEARCH("CMS",N48)))</formula>
    </cfRule>
    <cfRule type="cellIs" dxfId="16962" priority="139" operator="equal">
      <formula>0</formula>
    </cfRule>
    <cfRule type="cellIs" dxfId="16961" priority="140" operator="greaterThan">
      <formula>0</formula>
    </cfRule>
    <cfRule type="cellIs" dxfId="16960" priority="141" operator="equal">
      <formula>"PMS"</formula>
    </cfRule>
    <cfRule type="containsText" dxfId="16959" priority="142" operator="containsText" text="CMS">
      <formula>NOT(ISERROR(SEARCH("CMS",N48)))</formula>
    </cfRule>
    <cfRule type="cellIs" dxfId="16958" priority="143" operator="equal">
      <formula>0</formula>
    </cfRule>
    <cfRule type="cellIs" dxfId="16957" priority="144" operator="greaterThan">
      <formula>0</formula>
    </cfRule>
  </conditionalFormatting>
  <conditionalFormatting sqref="N48">
    <cfRule type="cellIs" dxfId="16956" priority="133" operator="equal">
      <formula>"PMS"</formula>
    </cfRule>
    <cfRule type="containsText" dxfId="16955" priority="134" operator="containsText" text="CMS">
      <formula>NOT(ISERROR(SEARCH("CMS",N48)))</formula>
    </cfRule>
    <cfRule type="cellIs" dxfId="16954" priority="135" operator="equal">
      <formula>0</formula>
    </cfRule>
    <cfRule type="cellIs" dxfId="16953" priority="136" operator="greaterThan">
      <formula>0</formula>
    </cfRule>
  </conditionalFormatting>
  <conditionalFormatting sqref="N50">
    <cfRule type="cellIs" dxfId="16952" priority="125" operator="equal">
      <formula>"PMS"</formula>
    </cfRule>
    <cfRule type="containsText" dxfId="16951" priority="126" operator="containsText" text="CMS">
      <formula>NOT(ISERROR(SEARCH("CMS",N50)))</formula>
    </cfRule>
    <cfRule type="cellIs" dxfId="16950" priority="127" operator="equal">
      <formula>0</formula>
    </cfRule>
    <cfRule type="cellIs" dxfId="16949" priority="128" operator="greaterThan">
      <formula>0</formula>
    </cfRule>
    <cfRule type="cellIs" dxfId="16948" priority="129" operator="equal">
      <formula>"PMS"</formula>
    </cfRule>
    <cfRule type="containsText" dxfId="16947" priority="130" operator="containsText" text="CMS">
      <formula>NOT(ISERROR(SEARCH("CMS",N50)))</formula>
    </cfRule>
    <cfRule type="cellIs" dxfId="16946" priority="131" operator="equal">
      <formula>0</formula>
    </cfRule>
    <cfRule type="cellIs" dxfId="16945" priority="132" operator="greaterThan">
      <formula>0</formula>
    </cfRule>
  </conditionalFormatting>
  <conditionalFormatting sqref="N50">
    <cfRule type="cellIs" dxfId="16944" priority="121" operator="equal">
      <formula>"PMS"</formula>
    </cfRule>
    <cfRule type="containsText" dxfId="16943" priority="122" operator="containsText" text="CMS">
      <formula>NOT(ISERROR(SEARCH("CMS",N50)))</formula>
    </cfRule>
    <cfRule type="cellIs" dxfId="16942" priority="123" operator="equal">
      <formula>0</formula>
    </cfRule>
    <cfRule type="cellIs" dxfId="16941" priority="124" operator="greaterThan">
      <formula>0</formula>
    </cfRule>
  </conditionalFormatting>
  <conditionalFormatting sqref="N56">
    <cfRule type="cellIs" dxfId="16940" priority="113" operator="equal">
      <formula>"PMS"</formula>
    </cfRule>
    <cfRule type="containsText" dxfId="16939" priority="114" operator="containsText" text="CMS">
      <formula>NOT(ISERROR(SEARCH("CMS",N56)))</formula>
    </cfRule>
    <cfRule type="cellIs" dxfId="16938" priority="115" operator="equal">
      <formula>0</formula>
    </cfRule>
    <cfRule type="cellIs" dxfId="16937" priority="116" operator="greaterThan">
      <formula>0</formula>
    </cfRule>
    <cfRule type="cellIs" dxfId="16936" priority="117" operator="equal">
      <formula>"PMS"</formula>
    </cfRule>
    <cfRule type="containsText" dxfId="16935" priority="118" operator="containsText" text="CMS">
      <formula>NOT(ISERROR(SEARCH("CMS",N56)))</formula>
    </cfRule>
    <cfRule type="cellIs" dxfId="16934" priority="119" operator="equal">
      <formula>0</formula>
    </cfRule>
    <cfRule type="cellIs" dxfId="16933" priority="120" operator="greaterThan">
      <formula>0</formula>
    </cfRule>
  </conditionalFormatting>
  <conditionalFormatting sqref="N56">
    <cfRule type="cellIs" dxfId="16932" priority="109" operator="equal">
      <formula>"PMS"</formula>
    </cfRule>
    <cfRule type="containsText" dxfId="16931" priority="110" operator="containsText" text="CMS">
      <formula>NOT(ISERROR(SEARCH("CMS",N56)))</formula>
    </cfRule>
    <cfRule type="cellIs" dxfId="16930" priority="111" operator="equal">
      <formula>0</formula>
    </cfRule>
    <cfRule type="cellIs" dxfId="16929" priority="112" operator="greaterThan">
      <formula>0</formula>
    </cfRule>
  </conditionalFormatting>
  <conditionalFormatting sqref="N63:N64">
    <cfRule type="cellIs" dxfId="16928" priority="101" operator="equal">
      <formula>"PMS"</formula>
    </cfRule>
    <cfRule type="containsText" dxfId="16927" priority="102" operator="containsText" text="CMS">
      <formula>NOT(ISERROR(SEARCH("CMS",N63)))</formula>
    </cfRule>
    <cfRule type="cellIs" dxfId="16926" priority="103" operator="equal">
      <formula>0</formula>
    </cfRule>
    <cfRule type="cellIs" dxfId="16925" priority="104" operator="greaterThan">
      <formula>0</formula>
    </cfRule>
    <cfRule type="cellIs" dxfId="16924" priority="105" operator="equal">
      <formula>"PMS"</formula>
    </cfRule>
    <cfRule type="containsText" dxfId="16923" priority="106" operator="containsText" text="CMS">
      <formula>NOT(ISERROR(SEARCH("CMS",N63)))</formula>
    </cfRule>
    <cfRule type="cellIs" dxfId="16922" priority="107" operator="equal">
      <formula>0</formula>
    </cfRule>
    <cfRule type="cellIs" dxfId="16921" priority="108" operator="greaterThan">
      <formula>0</formula>
    </cfRule>
  </conditionalFormatting>
  <conditionalFormatting sqref="N63:N64">
    <cfRule type="cellIs" dxfId="16920" priority="97" operator="equal">
      <formula>"PMS"</formula>
    </cfRule>
    <cfRule type="containsText" dxfId="16919" priority="98" operator="containsText" text="CMS">
      <formula>NOT(ISERROR(SEARCH("CMS",N63)))</formula>
    </cfRule>
    <cfRule type="cellIs" dxfId="16918" priority="99" operator="equal">
      <formula>0</formula>
    </cfRule>
    <cfRule type="cellIs" dxfId="16917" priority="100" operator="greaterThan">
      <formula>0</formula>
    </cfRule>
  </conditionalFormatting>
  <conditionalFormatting sqref="F13:F16 F36:F59 F62:F64">
    <cfRule type="cellIs" dxfId="16916" priority="77" operator="equal">
      <formula>"PMS"</formula>
    </cfRule>
    <cfRule type="containsText" dxfId="16915" priority="78" operator="containsText" text="CMS">
      <formula>NOT(ISERROR(SEARCH("CMS",F13)))</formula>
    </cfRule>
    <cfRule type="cellIs" dxfId="16914" priority="79" operator="equal">
      <formula>0</formula>
    </cfRule>
    <cfRule type="cellIs" dxfId="16913" priority="80" operator="greaterThan">
      <formula>0</formula>
    </cfRule>
    <cfRule type="cellIs" dxfId="16912" priority="81" operator="equal">
      <formula>"PMS"</formula>
    </cfRule>
    <cfRule type="containsText" dxfId="16911" priority="82" operator="containsText" text="CMS">
      <formula>NOT(ISERROR(SEARCH("CMS",F13)))</formula>
    </cfRule>
    <cfRule type="cellIs" dxfId="16910" priority="83" operator="equal">
      <formula>0</formula>
    </cfRule>
    <cfRule type="cellIs" dxfId="16909" priority="84" operator="greaterThan">
      <formula>0</formula>
    </cfRule>
  </conditionalFormatting>
  <conditionalFormatting sqref="F13:F16 F36:F59 F62:F64">
    <cfRule type="cellIs" dxfId="16908" priority="73" operator="equal">
      <formula>"PMS"</formula>
    </cfRule>
    <cfRule type="containsText" dxfId="16907" priority="74" operator="containsText" text="CMS">
      <formula>NOT(ISERROR(SEARCH("CMS",F13)))</formula>
    </cfRule>
    <cfRule type="cellIs" dxfId="16906" priority="75" operator="equal">
      <formula>0</formula>
    </cfRule>
    <cfRule type="cellIs" dxfId="16905" priority="76" operator="greaterThan">
      <formula>0</formula>
    </cfRule>
  </conditionalFormatting>
  <conditionalFormatting sqref="F67:F75">
    <cfRule type="cellIs" dxfId="16904" priority="65" operator="equal">
      <formula>"PMS"</formula>
    </cfRule>
    <cfRule type="containsText" dxfId="16903" priority="66" operator="containsText" text="CMS">
      <formula>NOT(ISERROR(SEARCH("CMS",F67)))</formula>
    </cfRule>
    <cfRule type="cellIs" dxfId="16902" priority="67" operator="equal">
      <formula>0</formula>
    </cfRule>
    <cfRule type="cellIs" dxfId="16901" priority="68" operator="greaterThan">
      <formula>0</formula>
    </cfRule>
    <cfRule type="cellIs" dxfId="16900" priority="69" operator="equal">
      <formula>"PMS"</formula>
    </cfRule>
    <cfRule type="containsText" dxfId="16899" priority="70" operator="containsText" text="CMS">
      <formula>NOT(ISERROR(SEARCH("CMS",F67)))</formula>
    </cfRule>
    <cfRule type="cellIs" dxfId="16898" priority="71" operator="equal">
      <formula>0</formula>
    </cfRule>
    <cfRule type="cellIs" dxfId="16897" priority="72" operator="greaterThan">
      <formula>0</formula>
    </cfRule>
  </conditionalFormatting>
  <conditionalFormatting sqref="F67:F75">
    <cfRule type="cellIs" dxfId="16896" priority="61" operator="equal">
      <formula>"PMS"</formula>
    </cfRule>
    <cfRule type="containsText" dxfId="16895" priority="62" operator="containsText" text="CMS">
      <formula>NOT(ISERROR(SEARCH("CMS",F67)))</formula>
    </cfRule>
    <cfRule type="cellIs" dxfId="16894" priority="63" operator="equal">
      <formula>0</formula>
    </cfRule>
    <cfRule type="cellIs" dxfId="16893" priority="64" operator="greaterThan">
      <formula>0</formula>
    </cfRule>
  </conditionalFormatting>
  <conditionalFormatting sqref="F33 F28:F30 F19:F21 F24 F79">
    <cfRule type="cellIs" dxfId="16892" priority="53" operator="equal">
      <formula>"PMS"</formula>
    </cfRule>
    <cfRule type="containsText" dxfId="16891" priority="54" operator="containsText" text="CMS">
      <formula>NOT(ISERROR(SEARCH("CMS",F19)))</formula>
    </cfRule>
    <cfRule type="cellIs" dxfId="16890" priority="55" operator="equal">
      <formula>0</formula>
    </cfRule>
    <cfRule type="cellIs" dxfId="16889" priority="56" operator="greaterThan">
      <formula>0</formula>
    </cfRule>
    <cfRule type="cellIs" dxfId="16888" priority="57" operator="equal">
      <formula>"PMS"</formula>
    </cfRule>
    <cfRule type="containsText" dxfId="16887" priority="58" operator="containsText" text="CMS">
      <formula>NOT(ISERROR(SEARCH("CMS",F19)))</formula>
    </cfRule>
    <cfRule type="cellIs" dxfId="16886" priority="59" operator="equal">
      <formula>0</formula>
    </cfRule>
    <cfRule type="cellIs" dxfId="16885" priority="60" operator="greaterThan">
      <formula>0</formula>
    </cfRule>
  </conditionalFormatting>
  <conditionalFormatting sqref="F33 F28:F30 F19:F21 F24 F79">
    <cfRule type="cellIs" dxfId="16884" priority="49" operator="equal">
      <formula>"PMS"</formula>
    </cfRule>
    <cfRule type="containsText" dxfId="16883" priority="50" operator="containsText" text="CMS">
      <formula>NOT(ISERROR(SEARCH("CMS",F19)))</formula>
    </cfRule>
    <cfRule type="cellIs" dxfId="16882" priority="51" operator="equal">
      <formula>0</formula>
    </cfRule>
    <cfRule type="cellIs" dxfId="16881" priority="52" operator="greaterThan">
      <formula>0</formula>
    </cfRule>
  </conditionalFormatting>
  <conditionalFormatting sqref="F27">
    <cfRule type="cellIs" dxfId="16880" priority="41" operator="equal">
      <formula>"PMS"</formula>
    </cfRule>
    <cfRule type="containsText" dxfId="16879" priority="42" operator="containsText" text="CMS">
      <formula>NOT(ISERROR(SEARCH("CMS",F27)))</formula>
    </cfRule>
    <cfRule type="cellIs" dxfId="16878" priority="43" operator="equal">
      <formula>0</formula>
    </cfRule>
    <cfRule type="cellIs" dxfId="16877" priority="44" operator="greaterThan">
      <formula>0</formula>
    </cfRule>
    <cfRule type="cellIs" dxfId="16876" priority="45" operator="equal">
      <formula>"PMS"</formula>
    </cfRule>
    <cfRule type="containsText" dxfId="16875" priority="46" operator="containsText" text="CMS">
      <formula>NOT(ISERROR(SEARCH("CMS",F27)))</formula>
    </cfRule>
    <cfRule type="cellIs" dxfId="16874" priority="47" operator="equal">
      <formula>0</formula>
    </cfRule>
    <cfRule type="cellIs" dxfId="16873" priority="48" operator="greaterThan">
      <formula>0</formula>
    </cfRule>
  </conditionalFormatting>
  <conditionalFormatting sqref="F27">
    <cfRule type="cellIs" dxfId="16872" priority="37" operator="equal">
      <formula>"PMS"</formula>
    </cfRule>
    <cfRule type="containsText" dxfId="16871" priority="38" operator="containsText" text="CMS">
      <formula>NOT(ISERROR(SEARCH("CMS",F27)))</formula>
    </cfRule>
    <cfRule type="cellIs" dxfId="16870" priority="39" operator="equal">
      <formula>0</formula>
    </cfRule>
    <cfRule type="cellIs" dxfId="16869" priority="40" operator="greaterThan">
      <formula>0</formula>
    </cfRule>
  </conditionalFormatting>
  <conditionalFormatting sqref="F78:L78">
    <cfRule type="cellIs" dxfId="16868" priority="29" operator="equal">
      <formula>"PMS"</formula>
    </cfRule>
    <cfRule type="containsText" dxfId="16867" priority="30" operator="containsText" text="CMS">
      <formula>NOT(ISERROR(SEARCH("CMS",F78)))</formula>
    </cfRule>
    <cfRule type="cellIs" dxfId="16866" priority="31" operator="equal">
      <formula>0</formula>
    </cfRule>
    <cfRule type="cellIs" dxfId="16865" priority="32" operator="greaterThan">
      <formula>0</formula>
    </cfRule>
    <cfRule type="cellIs" dxfId="16864" priority="33" operator="equal">
      <formula>"PMS"</formula>
    </cfRule>
    <cfRule type="containsText" dxfId="16863" priority="34" operator="containsText" text="CMS">
      <formula>NOT(ISERROR(SEARCH("CMS",F78)))</formula>
    </cfRule>
    <cfRule type="cellIs" dxfId="16862" priority="35" operator="equal">
      <formula>0</formula>
    </cfRule>
    <cfRule type="cellIs" dxfId="16861" priority="36" operator="greaterThan">
      <formula>0</formula>
    </cfRule>
  </conditionalFormatting>
  <conditionalFormatting sqref="F78:L78">
    <cfRule type="cellIs" dxfId="16860" priority="25" operator="equal">
      <formula>"PMS"</formula>
    </cfRule>
    <cfRule type="containsText" dxfId="16859" priority="26" operator="containsText" text="CMS">
      <formula>NOT(ISERROR(SEARCH("CMS",F78)))</formula>
    </cfRule>
    <cfRule type="cellIs" dxfId="16858" priority="27" operator="equal">
      <formula>0</formula>
    </cfRule>
    <cfRule type="cellIs" dxfId="16857" priority="28" operator="greaterThan">
      <formula>0</formula>
    </cfRule>
  </conditionalFormatting>
  <conditionalFormatting sqref="M78">
    <cfRule type="cellIs" dxfId="16856" priority="17" operator="equal">
      <formula>"PMS"</formula>
    </cfRule>
    <cfRule type="containsText" dxfId="16855" priority="18" operator="containsText" text="CMS">
      <formula>NOT(ISERROR(SEARCH("CMS",M78)))</formula>
    </cfRule>
    <cfRule type="cellIs" dxfId="16854" priority="19" operator="equal">
      <formula>0</formula>
    </cfRule>
    <cfRule type="cellIs" dxfId="16853" priority="20" operator="greaterThan">
      <formula>0</formula>
    </cfRule>
    <cfRule type="cellIs" dxfId="16852" priority="21" operator="equal">
      <formula>"PMS"</formula>
    </cfRule>
    <cfRule type="containsText" dxfId="16851" priority="22" operator="containsText" text="CMS">
      <formula>NOT(ISERROR(SEARCH("CMS",M78)))</formula>
    </cfRule>
    <cfRule type="cellIs" dxfId="16850" priority="23" operator="equal">
      <formula>0</formula>
    </cfRule>
    <cfRule type="cellIs" dxfId="16849" priority="24" operator="greaterThan">
      <formula>0</formula>
    </cfRule>
  </conditionalFormatting>
  <conditionalFormatting sqref="M78">
    <cfRule type="cellIs" dxfId="16848" priority="13" operator="equal">
      <formula>"PMS"</formula>
    </cfRule>
    <cfRule type="containsText" dxfId="16847" priority="14" operator="containsText" text="CMS">
      <formula>NOT(ISERROR(SEARCH("CMS",M78)))</formula>
    </cfRule>
    <cfRule type="cellIs" dxfId="16846" priority="15" operator="equal">
      <formula>0</formula>
    </cfRule>
    <cfRule type="cellIs" dxfId="16845" priority="16" operator="greaterThan">
      <formula>0</formula>
    </cfRule>
  </conditionalFormatting>
  <conditionalFormatting sqref="O40">
    <cfRule type="cellIs" dxfId="16844" priority="5" operator="equal">
      <formula>"PMS"</formula>
    </cfRule>
    <cfRule type="containsText" dxfId="16843" priority="6" operator="containsText" text="CMS">
      <formula>NOT(ISERROR(SEARCH("CMS",O40)))</formula>
    </cfRule>
    <cfRule type="cellIs" dxfId="16842" priority="7" operator="equal">
      <formula>0</formula>
    </cfRule>
    <cfRule type="cellIs" dxfId="16841" priority="8" operator="greaterThan">
      <formula>0</formula>
    </cfRule>
    <cfRule type="cellIs" dxfId="16840" priority="9" operator="equal">
      <formula>"PMS"</formula>
    </cfRule>
    <cfRule type="containsText" dxfId="16839" priority="10" operator="containsText" text="CMS">
      <formula>NOT(ISERROR(SEARCH("CMS",O40)))</formula>
    </cfRule>
    <cfRule type="cellIs" dxfId="16838" priority="11" operator="equal">
      <formula>0</formula>
    </cfRule>
    <cfRule type="cellIs" dxfId="16837" priority="12" operator="greaterThan">
      <formula>0</formula>
    </cfRule>
  </conditionalFormatting>
  <conditionalFormatting sqref="O40">
    <cfRule type="cellIs" dxfId="16836" priority="1" operator="equal">
      <formula>"PMS"</formula>
    </cfRule>
    <cfRule type="containsText" dxfId="16835" priority="2" operator="containsText" text="CMS">
      <formula>NOT(ISERROR(SEARCH("CMS",O40)))</formula>
    </cfRule>
    <cfRule type="cellIs" dxfId="16834" priority="3" operator="equal">
      <formula>0</formula>
    </cfRule>
    <cfRule type="cellIs" dxfId="1683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CB157-379C-435F-AD23-3399E968E983}">
  <sheetPr codeName="Sheet227"/>
  <dimension ref="A2:DT141"/>
  <sheetViews>
    <sheetView zoomScale="70" zoomScaleNormal="70" workbookViewId="0">
      <pane xSplit="5" ySplit="11" topLeftCell="F12" activePane="bottomRight" state="frozen"/>
      <selection pane="bottomRight" activeCell="R111" sqref="R11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373.39999999999992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6.8</v>
      </c>
      <c r="G14" s="357">
        <v>6.7</v>
      </c>
      <c r="H14" s="359">
        <v>6.7</v>
      </c>
      <c r="I14" s="357">
        <v>6.4</v>
      </c>
      <c r="J14" s="357">
        <v>6.7</v>
      </c>
      <c r="K14" s="359">
        <v>6.7</v>
      </c>
      <c r="L14" s="359">
        <v>6.8</v>
      </c>
      <c r="M14" s="357">
        <v>5.8</v>
      </c>
      <c r="N14" s="359">
        <v>7.1</v>
      </c>
      <c r="O14" s="357">
        <v>6.2</v>
      </c>
      <c r="P14" s="357">
        <v>4.7</v>
      </c>
      <c r="Q14" s="357" t="s">
        <v>9</v>
      </c>
      <c r="R14" s="357">
        <v>4</v>
      </c>
      <c r="S14" s="462">
        <v>6.5</v>
      </c>
      <c r="T14" s="462">
        <v>6.6</v>
      </c>
      <c r="U14" s="357">
        <v>6.7</v>
      </c>
      <c r="V14" s="357">
        <v>6.5</v>
      </c>
      <c r="W14" s="357">
        <v>6.4</v>
      </c>
      <c r="X14" s="357">
        <v>6.7</v>
      </c>
      <c r="Y14" s="357">
        <v>6.8</v>
      </c>
      <c r="Z14" s="462">
        <v>6.8</v>
      </c>
      <c r="AA14" s="462">
        <v>7.1</v>
      </c>
      <c r="AB14" s="357">
        <v>6.7</v>
      </c>
      <c r="AC14" s="357">
        <v>6.8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6.8</v>
      </c>
      <c r="G15" s="357">
        <v>6.7</v>
      </c>
      <c r="H15" s="357">
        <v>6.7</v>
      </c>
      <c r="I15" s="357">
        <v>6</v>
      </c>
      <c r="J15" s="357" t="s">
        <v>9</v>
      </c>
      <c r="K15" s="359" t="s">
        <v>9</v>
      </c>
      <c r="L15" s="359" t="s">
        <v>9</v>
      </c>
      <c r="M15" s="359">
        <v>3</v>
      </c>
      <c r="N15" s="359">
        <v>7.1</v>
      </c>
      <c r="O15" s="357">
        <v>6</v>
      </c>
      <c r="P15" s="357">
        <v>3.2</v>
      </c>
      <c r="Q15" s="357">
        <v>5.4</v>
      </c>
      <c r="R15" s="357">
        <v>6.5</v>
      </c>
      <c r="S15" s="462">
        <v>6.7</v>
      </c>
      <c r="T15" s="462">
        <v>6.7</v>
      </c>
      <c r="U15" s="357">
        <v>6.7</v>
      </c>
      <c r="V15" s="462">
        <v>6.5</v>
      </c>
      <c r="W15" s="357">
        <v>6.4</v>
      </c>
      <c r="X15" s="357">
        <v>6.7</v>
      </c>
      <c r="Y15" s="357">
        <v>6.8</v>
      </c>
      <c r="Z15" s="462">
        <v>6.8</v>
      </c>
      <c r="AA15" s="462">
        <v>7.1</v>
      </c>
      <c r="AB15" s="462">
        <v>6.7</v>
      </c>
      <c r="AC15" s="462">
        <v>6.8</v>
      </c>
      <c r="AD15" s="41"/>
      <c r="AE15" s="41"/>
      <c r="AF15" s="11">
        <f>COUNTIF(F15:AC15,$AJ$8)</f>
        <v>3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 t="s">
        <v>9</v>
      </c>
      <c r="G16" s="357" t="s">
        <v>9</v>
      </c>
      <c r="H16" s="357" t="s">
        <v>9</v>
      </c>
      <c r="I16" s="357" t="s">
        <v>9</v>
      </c>
      <c r="J16" s="357" t="s">
        <v>9</v>
      </c>
      <c r="K16" s="359" t="s">
        <v>9</v>
      </c>
      <c r="L16" s="359" t="s">
        <v>9</v>
      </c>
      <c r="M16" s="359" t="s">
        <v>9</v>
      </c>
      <c r="N16" s="359" t="s">
        <v>9</v>
      </c>
      <c r="O16" s="357">
        <v>1</v>
      </c>
      <c r="P16" s="357">
        <v>6.5</v>
      </c>
      <c r="Q16" s="357">
        <v>6</v>
      </c>
      <c r="R16" s="357">
        <v>6.4</v>
      </c>
      <c r="S16" s="462">
        <v>6.7</v>
      </c>
      <c r="T16" s="462">
        <v>6.7</v>
      </c>
      <c r="U16" s="357">
        <v>6.7</v>
      </c>
      <c r="V16" s="462">
        <v>6.5</v>
      </c>
      <c r="W16" s="357">
        <v>6.4</v>
      </c>
      <c r="X16" s="357">
        <v>6.7</v>
      </c>
      <c r="Y16" s="357">
        <v>6.9</v>
      </c>
      <c r="Z16" s="462">
        <v>6.8</v>
      </c>
      <c r="AA16" s="462">
        <v>7.1</v>
      </c>
      <c r="AB16" s="462">
        <v>6.7</v>
      </c>
      <c r="AC16" s="357">
        <v>6.8</v>
      </c>
      <c r="AD16" s="41"/>
      <c r="AE16" s="41"/>
      <c r="AF16" s="11">
        <f>COUNTIF(F16:AC16,$AJ$8)</f>
        <v>9</v>
      </c>
      <c r="AG16" s="11">
        <f>COUNTIF(G16:AD16,$AJ$7)</f>
        <v>0</v>
      </c>
      <c r="AH16" s="11">
        <f>COUNT(F16:AC16)</f>
        <v>15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13.6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12.4</v>
      </c>
      <c r="J17" s="19">
        <f t="shared" si="1"/>
        <v>6.7</v>
      </c>
      <c r="K17" s="19">
        <f t="shared" si="1"/>
        <v>6.7</v>
      </c>
      <c r="L17" s="19">
        <f t="shared" si="1"/>
        <v>6.8</v>
      </c>
      <c r="M17" s="19">
        <f t="shared" si="1"/>
        <v>8.8000000000000007</v>
      </c>
      <c r="N17" s="19">
        <f t="shared" si="1"/>
        <v>14.2</v>
      </c>
      <c r="O17" s="19">
        <f t="shared" si="1"/>
        <v>13.2</v>
      </c>
      <c r="P17" s="19">
        <f t="shared" si="1"/>
        <v>14.4</v>
      </c>
      <c r="Q17" s="19">
        <f t="shared" si="1"/>
        <v>11.4</v>
      </c>
      <c r="R17" s="19">
        <f t="shared" si="1"/>
        <v>16.899999999999999</v>
      </c>
      <c r="S17" s="463">
        <f t="shared" si="1"/>
        <v>19.899999999999999</v>
      </c>
      <c r="T17" s="463">
        <f t="shared" si="1"/>
        <v>20</v>
      </c>
      <c r="U17" s="19">
        <f t="shared" si="1"/>
        <v>20.100000000000001</v>
      </c>
      <c r="V17" s="19">
        <f t="shared" si="1"/>
        <v>19.5</v>
      </c>
      <c r="W17" s="19">
        <f t="shared" si="1"/>
        <v>19.200000000000003</v>
      </c>
      <c r="X17" s="19">
        <f t="shared" si="1"/>
        <v>20.100000000000001</v>
      </c>
      <c r="Y17" s="19">
        <f t="shared" si="1"/>
        <v>20.5</v>
      </c>
      <c r="Z17" s="463">
        <f t="shared" si="1"/>
        <v>20.399999999999999</v>
      </c>
      <c r="AA17" s="463">
        <f t="shared" si="1"/>
        <v>21.299999999999997</v>
      </c>
      <c r="AB17" s="463">
        <f>SUM(AB13:AB16)</f>
        <v>20.100000000000001</v>
      </c>
      <c r="AC17" s="19">
        <f t="shared" si="1"/>
        <v>20.399999999999999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58.199999999999996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>
        <v>1</v>
      </c>
      <c r="P20" s="357">
        <v>1.5</v>
      </c>
      <c r="Q20" s="357">
        <v>3</v>
      </c>
      <c r="R20" s="357">
        <v>3</v>
      </c>
      <c r="S20" s="357">
        <v>3</v>
      </c>
      <c r="T20" s="357">
        <v>3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18</v>
      </c>
      <c r="AG20" s="11">
        <f>COUNTIF(G20:AD20,$AJ$7)</f>
        <v>0</v>
      </c>
      <c r="AH20" s="11">
        <f>COUNT(F20:AC20)</f>
        <v>6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2.5</v>
      </c>
      <c r="G21" s="357"/>
      <c r="H21" s="357"/>
      <c r="I21" s="357"/>
      <c r="J21" s="357"/>
      <c r="K21" s="357"/>
      <c r="L21" s="359"/>
      <c r="M21" s="359"/>
      <c r="N21" s="357">
        <v>3.8</v>
      </c>
      <c r="O21" s="357">
        <v>3</v>
      </c>
      <c r="P21" s="357">
        <v>2.5</v>
      </c>
      <c r="Q21" s="357">
        <v>1</v>
      </c>
      <c r="R21" s="357">
        <v>1</v>
      </c>
      <c r="S21" s="462">
        <v>1</v>
      </c>
      <c r="T21" s="462">
        <v>1</v>
      </c>
      <c r="U21" s="357">
        <v>3.8</v>
      </c>
      <c r="V21" s="357">
        <v>3</v>
      </c>
      <c r="W21" s="357">
        <v>3</v>
      </c>
      <c r="X21" s="357">
        <v>3.8</v>
      </c>
      <c r="Y21" s="357">
        <v>3.8</v>
      </c>
      <c r="Z21" s="357">
        <v>3.6</v>
      </c>
      <c r="AA21" s="357">
        <v>3.9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3.8</v>
      </c>
      <c r="O22" s="19">
        <f t="shared" si="3"/>
        <v>4</v>
      </c>
      <c r="P22" s="19">
        <f t="shared" si="3"/>
        <v>4</v>
      </c>
      <c r="Q22" s="19">
        <f t="shared" si="3"/>
        <v>4</v>
      </c>
      <c r="R22" s="19">
        <f t="shared" si="3"/>
        <v>4</v>
      </c>
      <c r="S22" s="463">
        <f>SUM(S19:S21)</f>
        <v>4</v>
      </c>
      <c r="T22" s="463">
        <f t="shared" ref="T22" si="4">SUM(T19:T21)</f>
        <v>4</v>
      </c>
      <c r="U22" s="19">
        <f t="shared" si="3"/>
        <v>3.8</v>
      </c>
      <c r="V22" s="19">
        <f t="shared" si="3"/>
        <v>3</v>
      </c>
      <c r="W22" s="19">
        <f t="shared" si="3"/>
        <v>3</v>
      </c>
      <c r="X22" s="19">
        <f t="shared" si="3"/>
        <v>3.8</v>
      </c>
      <c r="Y22" s="19">
        <f t="shared" si="3"/>
        <v>3.8</v>
      </c>
      <c r="Z22" s="463">
        <f>SUM(Z19:Z21)</f>
        <v>3.6</v>
      </c>
      <c r="AA22" s="463">
        <f t="shared" si="3"/>
        <v>3.9</v>
      </c>
      <c r="AB22" s="463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38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1</v>
      </c>
      <c r="P24" s="357">
        <v>3.8</v>
      </c>
      <c r="Q24" s="357">
        <v>3</v>
      </c>
      <c r="R24" s="357">
        <v>3.8</v>
      </c>
      <c r="S24" s="462">
        <v>3</v>
      </c>
      <c r="T24" s="462">
        <v>3</v>
      </c>
      <c r="U24" s="357">
        <v>3</v>
      </c>
      <c r="V24" s="357">
        <v>3</v>
      </c>
      <c r="W24" s="357">
        <v>3</v>
      </c>
      <c r="X24" s="357">
        <v>3.8</v>
      </c>
      <c r="Y24" s="357">
        <v>3.8</v>
      </c>
      <c r="Z24" s="357">
        <v>3.8</v>
      </c>
      <c r="AA24" s="357">
        <v>0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1</v>
      </c>
      <c r="P25" s="19">
        <f t="shared" si="6"/>
        <v>3.8</v>
      </c>
      <c r="Q25" s="19">
        <f t="shared" si="6"/>
        <v>3</v>
      </c>
      <c r="R25" s="19">
        <f t="shared" si="6"/>
        <v>3.8</v>
      </c>
      <c r="S25" s="463">
        <f t="shared" si="6"/>
        <v>3</v>
      </c>
      <c r="T25" s="463">
        <f t="shared" si="6"/>
        <v>3</v>
      </c>
      <c r="U25" s="19">
        <f t="shared" si="6"/>
        <v>3</v>
      </c>
      <c r="V25" s="19">
        <f t="shared" si="6"/>
        <v>3</v>
      </c>
      <c r="W25" s="19">
        <f t="shared" si="6"/>
        <v>3</v>
      </c>
      <c r="X25" s="19">
        <f t="shared" si="6"/>
        <v>3.8</v>
      </c>
      <c r="Y25" s="19">
        <f t="shared" si="6"/>
        <v>3.8</v>
      </c>
      <c r="Z25" s="463">
        <f t="shared" si="6"/>
        <v>3.8</v>
      </c>
      <c r="AA25" s="463">
        <f t="shared" si="6"/>
        <v>0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69.799999999999983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1.5</v>
      </c>
      <c r="G27" s="357">
        <v>1.5</v>
      </c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2"/>
      <c r="T27" s="462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0</v>
      </c>
      <c r="I28" s="357">
        <v>0</v>
      </c>
      <c r="J28" s="359">
        <v>3.8</v>
      </c>
      <c r="K28" s="357">
        <v>3.9</v>
      </c>
      <c r="L28" s="359">
        <v>4</v>
      </c>
      <c r="M28" s="357">
        <v>3.8</v>
      </c>
      <c r="N28" s="357">
        <v>1.8</v>
      </c>
      <c r="O28" s="357">
        <v>3.8</v>
      </c>
      <c r="P28" s="357">
        <v>3.8</v>
      </c>
      <c r="Q28" s="357">
        <v>3.5</v>
      </c>
      <c r="R28" s="357">
        <v>3.8</v>
      </c>
      <c r="S28" s="462">
        <v>3</v>
      </c>
      <c r="T28" s="359">
        <v>3.8</v>
      </c>
      <c r="U28" s="359">
        <v>3.8</v>
      </c>
      <c r="V28" s="359">
        <v>3.8</v>
      </c>
      <c r="W28" s="357">
        <v>2.8</v>
      </c>
      <c r="X28" s="357">
        <v>3.8</v>
      </c>
      <c r="Y28" s="357">
        <v>3</v>
      </c>
      <c r="Z28" s="357">
        <v>3.8</v>
      </c>
      <c r="AA28" s="357">
        <v>3.8</v>
      </c>
      <c r="AB28" s="357">
        <v>1.5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165.9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2.2000000000000002</v>
      </c>
      <c r="Q29" s="357">
        <v>3.2</v>
      </c>
      <c r="R29" s="357"/>
      <c r="S29" s="462"/>
      <c r="T29" s="359"/>
      <c r="U29" s="357"/>
      <c r="V29" s="357"/>
      <c r="W29" s="359"/>
      <c r="X29" s="357"/>
      <c r="Y29" s="359">
        <v>3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6.5</v>
      </c>
      <c r="G30" s="359">
        <v>7</v>
      </c>
      <c r="H30" s="357">
        <v>7</v>
      </c>
      <c r="I30" s="357">
        <v>5.8</v>
      </c>
      <c r="J30" s="357">
        <v>7.2</v>
      </c>
      <c r="K30" s="357">
        <v>7.2</v>
      </c>
      <c r="L30" s="359">
        <v>7.4</v>
      </c>
      <c r="M30" s="357">
        <v>7</v>
      </c>
      <c r="N30" s="357">
        <v>5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6.5</v>
      </c>
      <c r="X30" s="357">
        <v>2.6</v>
      </c>
      <c r="Y30" s="359">
        <v>5</v>
      </c>
      <c r="Z30" s="357">
        <v>7</v>
      </c>
      <c r="AA30" s="357">
        <v>7.3</v>
      </c>
      <c r="AB30" s="359">
        <v>7</v>
      </c>
      <c r="AC30" s="359">
        <v>6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</v>
      </c>
      <c r="G31" s="19">
        <f>SUM(G27:G30)</f>
        <v>8.5</v>
      </c>
      <c r="H31" s="19">
        <v>6</v>
      </c>
      <c r="I31" s="19">
        <f t="shared" ref="I31:X31" si="8">SUM(I27:I30)</f>
        <v>5.8</v>
      </c>
      <c r="J31" s="19">
        <f t="shared" si="8"/>
        <v>11</v>
      </c>
      <c r="K31" s="19">
        <f t="shared" si="8"/>
        <v>11.1</v>
      </c>
      <c r="L31" s="19">
        <f t="shared" si="8"/>
        <v>11.4</v>
      </c>
      <c r="M31" s="19">
        <f t="shared" si="8"/>
        <v>10.8</v>
      </c>
      <c r="N31" s="19">
        <f t="shared" si="8"/>
        <v>6.8</v>
      </c>
      <c r="O31" s="19">
        <f t="shared" si="8"/>
        <v>10.8</v>
      </c>
      <c r="P31" s="19">
        <f t="shared" si="8"/>
        <v>13</v>
      </c>
      <c r="Q31" s="19">
        <f t="shared" si="8"/>
        <v>13.7</v>
      </c>
      <c r="R31" s="19">
        <f t="shared" si="8"/>
        <v>10.8</v>
      </c>
      <c r="S31" s="463">
        <f t="shared" si="8"/>
        <v>10</v>
      </c>
      <c r="T31" s="463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9.3000000000000007</v>
      </c>
      <c r="X31" s="19">
        <f t="shared" si="8"/>
        <v>6.4</v>
      </c>
      <c r="Y31" s="19">
        <f>SUM(Y27:Y30)</f>
        <v>11</v>
      </c>
      <c r="Z31" s="19">
        <f t="shared" ref="Z31:AC31" si="9">SUM(Z27:Z30)</f>
        <v>10.8</v>
      </c>
      <c r="AA31" s="19">
        <f t="shared" si="9"/>
        <v>11.1</v>
      </c>
      <c r="AB31" s="19">
        <f t="shared" si="9"/>
        <v>8.5</v>
      </c>
      <c r="AC31" s="19">
        <f t="shared" si="9"/>
        <v>7.5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342.69000000000005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14.22</v>
      </c>
      <c r="H33" s="357">
        <v>14.29</v>
      </c>
      <c r="I33" s="359">
        <v>14.25</v>
      </c>
      <c r="J33" s="357">
        <v>14.26</v>
      </c>
      <c r="K33" s="357">
        <v>14.28</v>
      </c>
      <c r="L33" s="359">
        <v>14.27</v>
      </c>
      <c r="M33" s="357">
        <v>14.31</v>
      </c>
      <c r="N33" s="357">
        <v>14.26</v>
      </c>
      <c r="O33" s="357">
        <v>14.29</v>
      </c>
      <c r="P33" s="357">
        <v>14.31</v>
      </c>
      <c r="Q33" s="359">
        <v>14.27</v>
      </c>
      <c r="R33" s="357">
        <v>14.3</v>
      </c>
      <c r="S33" s="462">
        <v>14.29</v>
      </c>
      <c r="T33" s="462">
        <v>14.24</v>
      </c>
      <c r="U33" s="357">
        <v>14.28</v>
      </c>
      <c r="V33" s="359">
        <v>14.27</v>
      </c>
      <c r="W33" s="357">
        <v>14.29</v>
      </c>
      <c r="X33" s="357">
        <v>14.31</v>
      </c>
      <c r="Y33" s="357">
        <v>14.27</v>
      </c>
      <c r="Z33" s="357">
        <v>14.29</v>
      </c>
      <c r="AA33" s="357">
        <v>14.3</v>
      </c>
      <c r="AB33" s="357">
        <v>14.31</v>
      </c>
      <c r="AC33" s="357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14.27</v>
      </c>
      <c r="G34" s="19">
        <f t="shared" ref="G34:AC34" si="11">SUM(G33)</f>
        <v>14.22</v>
      </c>
      <c r="H34" s="19">
        <f t="shared" si="11"/>
        <v>14.29</v>
      </c>
      <c r="I34" s="19">
        <f t="shared" si="11"/>
        <v>14.25</v>
      </c>
      <c r="J34" s="19">
        <f t="shared" si="11"/>
        <v>14.26</v>
      </c>
      <c r="K34" s="19">
        <f t="shared" si="11"/>
        <v>14.28</v>
      </c>
      <c r="L34" s="19">
        <f t="shared" si="11"/>
        <v>14.27</v>
      </c>
      <c r="M34" s="19">
        <f t="shared" si="11"/>
        <v>14.31</v>
      </c>
      <c r="N34" s="19">
        <f t="shared" si="11"/>
        <v>14.26</v>
      </c>
      <c r="O34" s="19">
        <f t="shared" si="11"/>
        <v>14.29</v>
      </c>
      <c r="P34" s="19">
        <f t="shared" si="11"/>
        <v>14.31</v>
      </c>
      <c r="Q34" s="19">
        <f t="shared" si="11"/>
        <v>14.27</v>
      </c>
      <c r="R34" s="19">
        <f t="shared" si="11"/>
        <v>14.3</v>
      </c>
      <c r="S34" s="19">
        <f t="shared" si="11"/>
        <v>14.29</v>
      </c>
      <c r="T34" s="463">
        <f t="shared" si="11"/>
        <v>14.24</v>
      </c>
      <c r="U34" s="19">
        <f t="shared" si="11"/>
        <v>14.28</v>
      </c>
      <c r="V34" s="19">
        <f t="shared" si="11"/>
        <v>14.27</v>
      </c>
      <c r="W34" s="19">
        <f t="shared" si="11"/>
        <v>14.29</v>
      </c>
      <c r="X34" s="19">
        <f t="shared" si="11"/>
        <v>14.31</v>
      </c>
      <c r="Y34" s="19">
        <f t="shared" si="11"/>
        <v>14.27</v>
      </c>
      <c r="Z34" s="19">
        <f t="shared" si="11"/>
        <v>14.29</v>
      </c>
      <c r="AA34" s="19">
        <f t="shared" si="11"/>
        <v>14.3</v>
      </c>
      <c r="AB34" s="19">
        <f t="shared" si="11"/>
        <v>14.31</v>
      </c>
      <c r="AC34" s="19">
        <f t="shared" si="11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22.299999999999997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357"/>
      <c r="W40" s="357"/>
      <c r="X40" s="357"/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5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>
        <v>0</v>
      </c>
      <c r="K47" s="357">
        <v>0</v>
      </c>
      <c r="L47" s="359">
        <v>0.8</v>
      </c>
      <c r="M47" s="357">
        <v>0</v>
      </c>
      <c r="N47" s="357">
        <v>0</v>
      </c>
      <c r="O47" s="357">
        <v>0.77500000000000002</v>
      </c>
      <c r="P47" s="359">
        <v>0.8</v>
      </c>
      <c r="Q47" s="357"/>
      <c r="R47" s="357">
        <f>3.9/5</f>
        <v>0.78</v>
      </c>
      <c r="S47" s="462"/>
      <c r="T47" s="462"/>
      <c r="U47" s="462"/>
      <c r="V47" s="357"/>
      <c r="W47" s="357"/>
      <c r="X47" s="357"/>
      <c r="Y47" s="357">
        <v>0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>
        <v>0</v>
      </c>
      <c r="K48" s="357">
        <v>0</v>
      </c>
      <c r="L48" s="359">
        <v>0.8</v>
      </c>
      <c r="M48" s="357">
        <v>0.8</v>
      </c>
      <c r="N48" s="359">
        <v>0</v>
      </c>
      <c r="O48" s="357">
        <v>0</v>
      </c>
      <c r="P48" s="359"/>
      <c r="Q48" s="357">
        <f>3.1/4</f>
        <v>0.77500000000000002</v>
      </c>
      <c r="R48" s="357">
        <f>3.9/5</f>
        <v>0.78</v>
      </c>
      <c r="S48" s="462"/>
      <c r="T48" s="357"/>
      <c r="U48" s="462"/>
      <c r="V48" s="462"/>
      <c r="W48" s="357"/>
      <c r="X48" s="357">
        <f>1.5/2</f>
        <v>0.75</v>
      </c>
      <c r="Y48" s="357">
        <v>0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>
        <v>0</v>
      </c>
      <c r="K50" s="357">
        <v>0</v>
      </c>
      <c r="L50" s="359">
        <v>0.8</v>
      </c>
      <c r="M50" s="357">
        <v>0.8</v>
      </c>
      <c r="N50" s="359">
        <v>0</v>
      </c>
      <c r="O50" s="357">
        <v>0.77500000000000002</v>
      </c>
      <c r="P50" s="359"/>
      <c r="Q50" s="357">
        <f>3.1/4</f>
        <v>0.77500000000000002</v>
      </c>
      <c r="R50" s="357">
        <f>3.9/5</f>
        <v>0.78</v>
      </c>
      <c r="S50" s="462"/>
      <c r="T50" s="357"/>
      <c r="U50" s="462"/>
      <c r="V50" s="462"/>
      <c r="W50" s="357"/>
      <c r="X50" s="357"/>
      <c r="Y50" s="357">
        <v>0.75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>
        <v>0.8</v>
      </c>
      <c r="K51" s="357">
        <v>0.75</v>
      </c>
      <c r="L51" s="359">
        <v>0.7</v>
      </c>
      <c r="M51" s="359">
        <v>0</v>
      </c>
      <c r="N51" s="357">
        <v>0</v>
      </c>
      <c r="O51" s="357">
        <v>0.77500000000000002</v>
      </c>
      <c r="P51" s="359"/>
      <c r="Q51" s="357">
        <f>3.1/4</f>
        <v>0.77500000000000002</v>
      </c>
      <c r="R51" s="357">
        <f>3.9/5</f>
        <v>0.78</v>
      </c>
      <c r="S51" s="462"/>
      <c r="T51" s="357"/>
      <c r="U51" s="357"/>
      <c r="V51" s="357"/>
      <c r="W51" s="357"/>
      <c r="X51" s="357">
        <f>1.5/2</f>
        <v>0.75</v>
      </c>
      <c r="Y51" s="357">
        <v>0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14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>
        <v>0</v>
      </c>
      <c r="K56" s="357">
        <v>0.75</v>
      </c>
      <c r="L56" s="359">
        <v>0.7</v>
      </c>
      <c r="M56" s="357">
        <v>0.7</v>
      </c>
      <c r="N56" s="359">
        <v>0</v>
      </c>
      <c r="O56" s="357">
        <v>0.77500000000000002</v>
      </c>
      <c r="P56" s="359"/>
      <c r="Q56" s="357">
        <f>3.1/4</f>
        <v>0.77500000000000002</v>
      </c>
      <c r="R56" s="357">
        <f>3.9/5</f>
        <v>0.78</v>
      </c>
      <c r="S56" s="462"/>
      <c r="T56" s="357"/>
      <c r="U56" s="462"/>
      <c r="V56" s="357"/>
      <c r="W56" s="357"/>
      <c r="X56" s="357"/>
      <c r="Y56" s="357">
        <v>0.75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13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0.8</v>
      </c>
      <c r="K60" s="19">
        <f t="shared" si="16"/>
        <v>1.5</v>
      </c>
      <c r="L60" s="19">
        <f>SUM(L36:L59)</f>
        <v>3.8000000000000007</v>
      </c>
      <c r="M60" s="19">
        <f t="shared" si="16"/>
        <v>2.2999999999999998</v>
      </c>
      <c r="N60" s="19">
        <f t="shared" si="16"/>
        <v>0</v>
      </c>
      <c r="O60" s="19">
        <f>SUM(O36:O59)</f>
        <v>3.1</v>
      </c>
      <c r="P60" s="19">
        <f t="shared" si="16"/>
        <v>0.8</v>
      </c>
      <c r="Q60" s="19">
        <f t="shared" si="16"/>
        <v>3.1</v>
      </c>
      <c r="R60" s="19">
        <f t="shared" si="16"/>
        <v>3.9000000000000004</v>
      </c>
      <c r="S60" s="463">
        <f t="shared" si="16"/>
        <v>0</v>
      </c>
      <c r="T60" s="463">
        <f>SUM(T36:T59)</f>
        <v>0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1.5</v>
      </c>
      <c r="Y60" s="19">
        <f t="shared" si="17"/>
        <v>1.5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26.610000000000003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0.48</v>
      </c>
      <c r="G62" s="359">
        <v>0.48</v>
      </c>
      <c r="H62" s="357">
        <v>0.46</v>
      </c>
      <c r="I62" s="359">
        <v>0.44</v>
      </c>
      <c r="J62" s="357">
        <v>0.435</v>
      </c>
      <c r="K62" s="357">
        <v>0</v>
      </c>
      <c r="L62" s="357">
        <v>0</v>
      </c>
      <c r="M62" s="357">
        <v>0</v>
      </c>
      <c r="N62" s="357">
        <v>0</v>
      </c>
      <c r="O62" s="357">
        <v>0</v>
      </c>
      <c r="P62" s="357">
        <v>0</v>
      </c>
      <c r="Q62" s="357">
        <v>0</v>
      </c>
      <c r="R62" s="357">
        <v>0</v>
      </c>
      <c r="S62" s="462">
        <v>0</v>
      </c>
      <c r="T62" s="357">
        <f>1.21/2</f>
        <v>0.60499999999999998</v>
      </c>
      <c r="U62" s="357">
        <f>1.2/2</f>
        <v>0.6</v>
      </c>
      <c r="V62" s="462">
        <f>1.16/2</f>
        <v>0.57999999999999996</v>
      </c>
      <c r="W62" s="357">
        <f>1.13/2</f>
        <v>0.56499999999999995</v>
      </c>
      <c r="X62" s="357">
        <f>1.16/2</f>
        <v>0.57999999999999996</v>
      </c>
      <c r="Y62" s="357">
        <f>1.38/2</f>
        <v>0.69</v>
      </c>
      <c r="Z62" s="357">
        <f>1.42/2</f>
        <v>0.71</v>
      </c>
      <c r="AA62" s="357">
        <v>0.66500000000000004</v>
      </c>
      <c r="AB62" s="357">
        <v>0.59</v>
      </c>
      <c r="AC62" s="357">
        <v>0.53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0.48</v>
      </c>
      <c r="G63" s="357">
        <v>0.48</v>
      </c>
      <c r="H63" s="357">
        <v>0.46</v>
      </c>
      <c r="I63" s="359">
        <v>0.44</v>
      </c>
      <c r="J63" s="357">
        <v>0.435</v>
      </c>
      <c r="K63" s="357">
        <v>0.44</v>
      </c>
      <c r="L63" s="357">
        <f>0.94/2</f>
        <v>0.47</v>
      </c>
      <c r="M63" s="357">
        <f>1/2</f>
        <v>0.5</v>
      </c>
      <c r="N63" s="357">
        <f>1/2</f>
        <v>0.5</v>
      </c>
      <c r="O63" s="357">
        <v>0.56499999999999995</v>
      </c>
      <c r="P63" s="357">
        <v>0.6</v>
      </c>
      <c r="Q63" s="357">
        <f>1.2/2</f>
        <v>0.6</v>
      </c>
      <c r="R63" s="357">
        <f>1.22/2</f>
        <v>0.61</v>
      </c>
      <c r="S63" s="462">
        <f>1.22/2</f>
        <v>0.61</v>
      </c>
      <c r="T63" s="357">
        <v>0</v>
      </c>
      <c r="U63" s="357"/>
      <c r="V63" s="462"/>
      <c r="W63" s="357"/>
      <c r="X63" s="357"/>
      <c r="Y63" s="357"/>
      <c r="Z63" s="357"/>
      <c r="AA63" s="357">
        <v>0.66500000000000004</v>
      </c>
      <c r="AB63" s="357">
        <v>0.59</v>
      </c>
      <c r="AC63" s="357">
        <v>0.53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/>
      <c r="I64" s="359"/>
      <c r="J64" s="357"/>
      <c r="K64" s="357">
        <v>0.44</v>
      </c>
      <c r="L64" s="357">
        <f>L63</f>
        <v>0.47</v>
      </c>
      <c r="M64" s="357">
        <f>M63</f>
        <v>0.5</v>
      </c>
      <c r="N64" s="357">
        <f>M63</f>
        <v>0.5</v>
      </c>
      <c r="O64" s="357">
        <v>0.56499999999999995</v>
      </c>
      <c r="P64" s="357">
        <v>0.6</v>
      </c>
      <c r="Q64" s="357">
        <f>1.2/2</f>
        <v>0.6</v>
      </c>
      <c r="R64" s="357">
        <f>1.22/2</f>
        <v>0.61</v>
      </c>
      <c r="S64" s="462">
        <f>1.22/2</f>
        <v>0.61</v>
      </c>
      <c r="T64" s="357">
        <f>1.21/2</f>
        <v>0.60499999999999998</v>
      </c>
      <c r="U64" s="357">
        <v>0.6</v>
      </c>
      <c r="V64" s="462">
        <f>1.16/2</f>
        <v>0.57999999999999996</v>
      </c>
      <c r="W64" s="357">
        <f>1.13/2</f>
        <v>0.56499999999999995</v>
      </c>
      <c r="X64" s="357">
        <f>1.16/2</f>
        <v>0.57999999999999996</v>
      </c>
      <c r="Y64" s="357">
        <f>1.38/2</f>
        <v>0.69</v>
      </c>
      <c r="Z64" s="357">
        <f>1.42/2</f>
        <v>0.71</v>
      </c>
      <c r="AA64" s="357">
        <v>0</v>
      </c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0.96</v>
      </c>
      <c r="G65" s="19">
        <f t="shared" ref="G65:AB65" si="18">SUM(G62:G64)</f>
        <v>0.96</v>
      </c>
      <c r="H65" s="19">
        <f t="shared" si="18"/>
        <v>0.92</v>
      </c>
      <c r="I65" s="19">
        <f t="shared" si="18"/>
        <v>0.88</v>
      </c>
      <c r="J65" s="19">
        <f t="shared" si="18"/>
        <v>0.87</v>
      </c>
      <c r="K65" s="19">
        <f t="shared" si="18"/>
        <v>0.88</v>
      </c>
      <c r="L65" s="19">
        <f t="shared" si="18"/>
        <v>0.94</v>
      </c>
      <c r="M65" s="19">
        <f t="shared" si="18"/>
        <v>1</v>
      </c>
      <c r="N65" s="19">
        <f t="shared" si="18"/>
        <v>1</v>
      </c>
      <c r="O65" s="19">
        <f t="shared" si="18"/>
        <v>1.1299999999999999</v>
      </c>
      <c r="P65" s="19">
        <f t="shared" si="18"/>
        <v>1.2</v>
      </c>
      <c r="Q65" s="19">
        <f t="shared" si="18"/>
        <v>1.2</v>
      </c>
      <c r="R65" s="19">
        <f t="shared" si="18"/>
        <v>1.22</v>
      </c>
      <c r="S65" s="463">
        <f t="shared" si="18"/>
        <v>1.22</v>
      </c>
      <c r="T65" s="463">
        <f t="shared" si="18"/>
        <v>1.21</v>
      </c>
      <c r="U65" s="463">
        <f t="shared" si="18"/>
        <v>1.2</v>
      </c>
      <c r="V65" s="19">
        <f>SUM(V62:V64)</f>
        <v>1.1599999999999999</v>
      </c>
      <c r="W65" s="19">
        <f t="shared" si="18"/>
        <v>1.1299999999999999</v>
      </c>
      <c r="X65" s="19">
        <f t="shared" si="18"/>
        <v>1.1599999999999999</v>
      </c>
      <c r="Y65" s="19">
        <f>SUM(Y62:Y64)</f>
        <v>1.38</v>
      </c>
      <c r="Z65" s="19">
        <f>SUM(Z62:Z64)</f>
        <v>1.42</v>
      </c>
      <c r="AA65" s="19">
        <f t="shared" si="18"/>
        <v>1.33</v>
      </c>
      <c r="AB65" s="19">
        <f t="shared" si="18"/>
        <v>1.18</v>
      </c>
      <c r="AC65" s="19">
        <f>SUM(AC62:AC64)</f>
        <v>1.06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19.91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>
        <v>0.75</v>
      </c>
      <c r="M78" s="359">
        <v>0.71</v>
      </c>
      <c r="N78" s="357">
        <v>0.76</v>
      </c>
      <c r="O78" s="357">
        <v>0.78</v>
      </c>
      <c r="P78" s="357">
        <v>0.84</v>
      </c>
      <c r="Q78" s="357">
        <v>0.85</v>
      </c>
      <c r="R78" s="357">
        <v>0.91</v>
      </c>
      <c r="S78" s="357">
        <v>0.89</v>
      </c>
      <c r="T78" s="357">
        <v>0.9</v>
      </c>
      <c r="U78" s="357">
        <v>0.92</v>
      </c>
      <c r="V78" s="357">
        <v>0.93</v>
      </c>
      <c r="W78" s="357">
        <v>0.89</v>
      </c>
      <c r="X78" s="357">
        <v>0.88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0.78</v>
      </c>
      <c r="G79" s="357">
        <v>0.75</v>
      </c>
      <c r="H79" s="357">
        <v>0.72</v>
      </c>
      <c r="I79" s="357">
        <v>0.7</v>
      </c>
      <c r="J79" s="357">
        <v>0.68</v>
      </c>
      <c r="K79" s="357">
        <v>0.7</v>
      </c>
      <c r="L79" s="359">
        <v>0</v>
      </c>
      <c r="M79" s="359">
        <v>0</v>
      </c>
      <c r="N79" s="359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0.93</v>
      </c>
      <c r="Z79" s="357">
        <v>0.99</v>
      </c>
      <c r="AA79" s="357">
        <v>0.93</v>
      </c>
      <c r="AB79" s="357">
        <v>0.87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0.78</v>
      </c>
      <c r="G80" s="19">
        <f t="shared" si="24"/>
        <v>0.75</v>
      </c>
      <c r="H80" s="19">
        <f>SUM(H78:H79)</f>
        <v>0.72</v>
      </c>
      <c r="I80" s="19">
        <f>SUM(I78:I79)</f>
        <v>0.7</v>
      </c>
      <c r="J80" s="19">
        <f t="shared" ref="J80:AC80" si="25">SUM(J78:J79)</f>
        <v>0.68</v>
      </c>
      <c r="K80" s="19">
        <f t="shared" si="25"/>
        <v>0.7</v>
      </c>
      <c r="L80" s="19">
        <f>SUM(L78:L79)</f>
        <v>0.75</v>
      </c>
      <c r="M80" s="19">
        <f t="shared" si="25"/>
        <v>0.71</v>
      </c>
      <c r="N80" s="19">
        <f t="shared" si="25"/>
        <v>0.76</v>
      </c>
      <c r="O80" s="19">
        <f>SUM(O78:O79)</f>
        <v>0.78</v>
      </c>
      <c r="P80" s="19">
        <f>SUM(P78:P79)</f>
        <v>0.84</v>
      </c>
      <c r="Q80" s="19">
        <f t="shared" si="25"/>
        <v>0.85</v>
      </c>
      <c r="R80" s="19">
        <f t="shared" si="25"/>
        <v>0.91</v>
      </c>
      <c r="S80" s="463">
        <f t="shared" si="25"/>
        <v>0.89</v>
      </c>
      <c r="T80" s="463">
        <f t="shared" si="25"/>
        <v>0.9</v>
      </c>
      <c r="U80" s="19">
        <f t="shared" si="25"/>
        <v>0.92</v>
      </c>
      <c r="V80" s="19">
        <f t="shared" si="25"/>
        <v>0.93</v>
      </c>
      <c r="W80" s="19">
        <f t="shared" si="25"/>
        <v>0.89</v>
      </c>
      <c r="X80" s="19">
        <f t="shared" si="25"/>
        <v>0.88</v>
      </c>
      <c r="Y80" s="19">
        <f t="shared" si="25"/>
        <v>0.93</v>
      </c>
      <c r="Z80" s="19">
        <f t="shared" si="25"/>
        <v>0.99</v>
      </c>
      <c r="AA80" s="19">
        <f t="shared" si="25"/>
        <v>0.93</v>
      </c>
      <c r="AB80" s="19">
        <f t="shared" si="25"/>
        <v>0.87</v>
      </c>
      <c r="AC80" s="19">
        <f t="shared" si="25"/>
        <v>0.85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40.110000000000007</v>
      </c>
      <c r="G83" s="28">
        <f>SUM(G17,G22,G25,G31,G34,G60,G65,G76,G80,G82)</f>
        <v>37.83</v>
      </c>
      <c r="H83" s="28">
        <f>SUM(H17,H22,H25,H31,H34,H60,H65,H76,H80,H82)</f>
        <v>35.33</v>
      </c>
      <c r="I83" s="28">
        <f t="shared" ref="I83:AC83" si="27">SUM(I17,I22,I25,I31,I34,I60,I65,I76,I80,I82)</f>
        <v>34.030000000000008</v>
      </c>
      <c r="J83" s="28">
        <f t="shared" si="27"/>
        <v>34.309999999999995</v>
      </c>
      <c r="K83" s="28">
        <f t="shared" si="27"/>
        <v>35.160000000000004</v>
      </c>
      <c r="L83" s="28">
        <f t="shared" si="27"/>
        <v>37.959999999999994</v>
      </c>
      <c r="M83" s="28">
        <f t="shared" si="27"/>
        <v>37.92</v>
      </c>
      <c r="N83" s="28">
        <f>SUM(N17,N22,N25,N31,N34,N60,N65,N76,N80,N82)</f>
        <v>40.82</v>
      </c>
      <c r="O83" s="28">
        <f>SUM(O17,O22,O25,O31,O34,O60,O65,O76,O80,O82)</f>
        <v>48.300000000000004</v>
      </c>
      <c r="P83" s="28">
        <f t="shared" si="27"/>
        <v>52.350000000000009</v>
      </c>
      <c r="Q83" s="28">
        <f t="shared" si="27"/>
        <v>51.519999999999996</v>
      </c>
      <c r="R83" s="28">
        <f t="shared" si="27"/>
        <v>55.829999999999991</v>
      </c>
      <c r="S83" s="518">
        <f t="shared" si="27"/>
        <v>53.3</v>
      </c>
      <c r="T83" s="518">
        <f t="shared" si="27"/>
        <v>54.15</v>
      </c>
      <c r="U83" s="28">
        <f>SUM(U17,U22,U25,U31,U34,U60,U65,U76,U80,U82)</f>
        <v>54.100000000000009</v>
      </c>
      <c r="V83" s="28">
        <f t="shared" si="27"/>
        <v>52.659999999999989</v>
      </c>
      <c r="W83" s="28">
        <f t="shared" si="27"/>
        <v>50.81</v>
      </c>
      <c r="X83" s="28">
        <f t="shared" si="27"/>
        <v>51.95</v>
      </c>
      <c r="Y83" s="28">
        <f t="shared" si="27"/>
        <v>57.180000000000007</v>
      </c>
      <c r="Z83" s="28">
        <f t="shared" si="27"/>
        <v>55.300000000000004</v>
      </c>
      <c r="AA83" s="28">
        <f t="shared" si="27"/>
        <v>52.859999999999992</v>
      </c>
      <c r="AB83" s="28">
        <f t="shared" si="27"/>
        <v>47.96</v>
      </c>
      <c r="AC83" s="28">
        <f t="shared" si="27"/>
        <v>44.07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5.230000000000004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8">SUM(F22,F25)</f>
        <v>2.5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3.8</v>
      </c>
      <c r="O89" s="64">
        <f t="shared" si="28"/>
        <v>5</v>
      </c>
      <c r="P89" s="64">
        <f t="shared" si="28"/>
        <v>7.8</v>
      </c>
      <c r="Q89" s="64">
        <f t="shared" si="28"/>
        <v>7</v>
      </c>
      <c r="R89" s="64">
        <f t="shared" si="28"/>
        <v>7.8</v>
      </c>
      <c r="S89" s="64">
        <f t="shared" si="28"/>
        <v>7</v>
      </c>
      <c r="T89" s="64">
        <f t="shared" si="28"/>
        <v>7</v>
      </c>
      <c r="U89" s="64">
        <f t="shared" si="28"/>
        <v>6.8</v>
      </c>
      <c r="V89" s="64">
        <f t="shared" si="28"/>
        <v>6</v>
      </c>
      <c r="W89" s="64">
        <f t="shared" si="28"/>
        <v>6</v>
      </c>
      <c r="X89" s="64">
        <f t="shared" si="28"/>
        <v>7.6</v>
      </c>
      <c r="Y89" s="64">
        <f t="shared" si="28"/>
        <v>7.6</v>
      </c>
      <c r="Z89" s="64">
        <f t="shared" si="28"/>
        <v>7.4</v>
      </c>
      <c r="AA89" s="64">
        <f t="shared" si="28"/>
        <v>3.9</v>
      </c>
      <c r="AB89" s="64">
        <f t="shared" si="28"/>
        <v>3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0.187</v>
      </c>
      <c r="P90" s="68">
        <v>0.23300000000000001</v>
      </c>
      <c r="Q90" s="68">
        <v>0.216</v>
      </c>
      <c r="R90" s="68">
        <v>0.255</v>
      </c>
      <c r="S90" s="68">
        <v>0.20499999999999999</v>
      </c>
      <c r="T90" s="68">
        <v>0.24</v>
      </c>
      <c r="U90" s="68">
        <v>0.27500000000000002</v>
      </c>
      <c r="V90" s="68">
        <v>0.215</v>
      </c>
      <c r="W90" s="68">
        <v>0.28799999999999998</v>
      </c>
      <c r="X90" s="68">
        <v>0.218</v>
      </c>
      <c r="Y90" s="68">
        <v>0.185</v>
      </c>
      <c r="Z90" s="68">
        <v>0.23100000000000001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9">F17</f>
        <v>13.6</v>
      </c>
      <c r="G91" s="64">
        <f t="shared" si="29"/>
        <v>13.4</v>
      </c>
      <c r="H91" s="64">
        <f t="shared" si="29"/>
        <v>13.4</v>
      </c>
      <c r="I91" s="64">
        <f t="shared" si="29"/>
        <v>12.4</v>
      </c>
      <c r="J91" s="64">
        <f t="shared" si="29"/>
        <v>6.7</v>
      </c>
      <c r="K91" s="64">
        <f t="shared" si="29"/>
        <v>6.7</v>
      </c>
      <c r="L91" s="64">
        <f t="shared" si="29"/>
        <v>6.8</v>
      </c>
      <c r="M91" s="64">
        <f t="shared" si="29"/>
        <v>8.8000000000000007</v>
      </c>
      <c r="N91" s="64">
        <f t="shared" si="29"/>
        <v>14.2</v>
      </c>
      <c r="O91" s="64">
        <f t="shared" si="29"/>
        <v>13.2</v>
      </c>
      <c r="P91" s="64">
        <f t="shared" si="29"/>
        <v>14.4</v>
      </c>
      <c r="Q91" s="64">
        <f t="shared" si="29"/>
        <v>11.4</v>
      </c>
      <c r="R91" s="64">
        <f t="shared" si="29"/>
        <v>16.899999999999999</v>
      </c>
      <c r="S91" s="64">
        <f t="shared" si="29"/>
        <v>19.899999999999999</v>
      </c>
      <c r="T91" s="64">
        <f t="shared" si="29"/>
        <v>20</v>
      </c>
      <c r="U91" s="64">
        <f>U17</f>
        <v>20.100000000000001</v>
      </c>
      <c r="V91" s="64">
        <f t="shared" si="29"/>
        <v>19.5</v>
      </c>
      <c r="W91" s="64">
        <f t="shared" si="29"/>
        <v>19.200000000000003</v>
      </c>
      <c r="X91" s="64">
        <f t="shared" si="29"/>
        <v>20.100000000000001</v>
      </c>
      <c r="Y91" s="64">
        <f t="shared" si="29"/>
        <v>20.5</v>
      </c>
      <c r="Z91" s="64">
        <f t="shared" si="29"/>
        <v>20.399999999999999</v>
      </c>
      <c r="AA91" s="64">
        <f t="shared" si="29"/>
        <v>21.299999999999997</v>
      </c>
      <c r="AB91" s="64">
        <f t="shared" si="29"/>
        <v>20.100000000000001</v>
      </c>
      <c r="AC91" s="64">
        <f t="shared" si="29"/>
        <v>20.399999999999999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0.54800000000000004</v>
      </c>
      <c r="G92" s="68">
        <v>0.53500000000000003</v>
      </c>
      <c r="H92" s="68">
        <v>0.45400000000000001</v>
      </c>
      <c r="I92" s="68">
        <v>0.53700000000000003</v>
      </c>
      <c r="J92" s="68">
        <v>0.57699999999999996</v>
      </c>
      <c r="K92" s="68">
        <v>0.55000000000000004</v>
      </c>
      <c r="L92" s="68">
        <v>0.49399999999999999</v>
      </c>
      <c r="M92" s="68">
        <v>0.50600000000000001</v>
      </c>
      <c r="N92" s="68">
        <v>0.57399999999999995</v>
      </c>
      <c r="O92" s="68">
        <v>0.68799999999999994</v>
      </c>
      <c r="P92" s="68">
        <v>0.59299999999999997</v>
      </c>
      <c r="Q92" s="68">
        <v>0.49299999999999999</v>
      </c>
      <c r="R92" s="68">
        <v>0.68</v>
      </c>
      <c r="S92" s="68">
        <v>0.79300000000000004</v>
      </c>
      <c r="T92" s="68">
        <v>0.66700000000000004</v>
      </c>
      <c r="U92" s="68">
        <v>0.56299999999999994</v>
      </c>
      <c r="V92" s="68">
        <v>0.58099999999999996</v>
      </c>
      <c r="W92" s="68">
        <v>0.79200000000000004</v>
      </c>
      <c r="X92" s="68">
        <v>0.83299999999999996</v>
      </c>
      <c r="Y92" s="68">
        <v>0.83</v>
      </c>
      <c r="Z92" s="68">
        <v>0.62</v>
      </c>
      <c r="AA92" s="68">
        <v>0.69099999999999995</v>
      </c>
      <c r="AB92" s="68">
        <v>0.60199999999999998</v>
      </c>
      <c r="AC92" s="68">
        <v>0.51800000000000002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0">F31</f>
        <v>8</v>
      </c>
      <c r="G93" s="65">
        <f t="shared" si="30"/>
        <v>8.5</v>
      </c>
      <c r="H93" s="65">
        <f t="shared" si="30"/>
        <v>6</v>
      </c>
      <c r="I93" s="65">
        <f t="shared" si="30"/>
        <v>5.8</v>
      </c>
      <c r="J93" s="65">
        <f t="shared" si="30"/>
        <v>11</v>
      </c>
      <c r="K93" s="65">
        <f t="shared" si="30"/>
        <v>11.1</v>
      </c>
      <c r="L93" s="65">
        <f t="shared" si="30"/>
        <v>11.4</v>
      </c>
      <c r="M93" s="65">
        <f t="shared" si="30"/>
        <v>10.8</v>
      </c>
      <c r="N93" s="65">
        <f t="shared" si="30"/>
        <v>6.8</v>
      </c>
      <c r="O93" s="65">
        <f t="shared" si="30"/>
        <v>10.8</v>
      </c>
      <c r="P93" s="65">
        <f t="shared" si="30"/>
        <v>13</v>
      </c>
      <c r="Q93" s="65">
        <f t="shared" si="30"/>
        <v>13.7</v>
      </c>
      <c r="R93" s="65">
        <f t="shared" si="30"/>
        <v>10.8</v>
      </c>
      <c r="S93" s="65">
        <f t="shared" si="30"/>
        <v>10</v>
      </c>
      <c r="T93" s="65">
        <f>T31</f>
        <v>10.8</v>
      </c>
      <c r="U93" s="65">
        <f t="shared" si="30"/>
        <v>10.8</v>
      </c>
      <c r="V93" s="65">
        <f t="shared" si="30"/>
        <v>10.8</v>
      </c>
      <c r="W93" s="65">
        <f t="shared" si="30"/>
        <v>9.3000000000000007</v>
      </c>
      <c r="X93" s="65">
        <f t="shared" si="30"/>
        <v>6.4</v>
      </c>
      <c r="Y93" s="65">
        <f t="shared" si="30"/>
        <v>11</v>
      </c>
      <c r="Z93" s="65">
        <f t="shared" si="30"/>
        <v>10.8</v>
      </c>
      <c r="AA93" s="65">
        <f t="shared" si="30"/>
        <v>11.1</v>
      </c>
      <c r="AB93" s="65">
        <f t="shared" si="30"/>
        <v>8.5</v>
      </c>
      <c r="AC93" s="65">
        <f t="shared" si="30"/>
        <v>7.5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0.19800000000000001</v>
      </c>
      <c r="G94" s="68">
        <v>0.20300000000000001</v>
      </c>
      <c r="H94" s="68">
        <v>0.107</v>
      </c>
      <c r="I94" s="68">
        <v>0.105</v>
      </c>
      <c r="J94" s="68">
        <v>0.18099999999999999</v>
      </c>
      <c r="K94" s="68">
        <v>0.17499999999999999</v>
      </c>
      <c r="L94" s="68">
        <v>0.2</v>
      </c>
      <c r="M94" s="68">
        <v>0.217</v>
      </c>
      <c r="N94" s="68">
        <v>0.19400000000000001</v>
      </c>
      <c r="O94" s="68">
        <v>0.21299999999999999</v>
      </c>
      <c r="P94" s="68">
        <v>0.20200000000000001</v>
      </c>
      <c r="Q94" s="68">
        <v>0.20899999999999999</v>
      </c>
      <c r="R94" s="68">
        <v>0.191</v>
      </c>
      <c r="S94" s="68">
        <v>0.186</v>
      </c>
      <c r="T94" s="68">
        <v>0.186</v>
      </c>
      <c r="U94" s="68">
        <v>0.182</v>
      </c>
      <c r="V94" s="68">
        <v>0.22</v>
      </c>
      <c r="W94" s="68">
        <v>0.223</v>
      </c>
      <c r="X94" s="68">
        <v>0.19400000000000001</v>
      </c>
      <c r="Y94" s="68">
        <v>0.20300000000000001</v>
      </c>
      <c r="Z94" s="68">
        <v>0.185</v>
      </c>
      <c r="AA94" s="68">
        <v>0.18</v>
      </c>
      <c r="AB94" s="68">
        <v>0.20399999999999999</v>
      </c>
      <c r="AC94" s="68">
        <v>0.19800000000000001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0.20699999999999999</v>
      </c>
      <c r="G95" s="68">
        <v>0.223</v>
      </c>
      <c r="H95" s="68">
        <v>0.219</v>
      </c>
      <c r="I95" s="68">
        <v>0.223</v>
      </c>
      <c r="J95" s="68">
        <v>0.216</v>
      </c>
      <c r="K95" s="68">
        <v>0.20899999999999999</v>
      </c>
      <c r="L95" s="68">
        <v>0.2</v>
      </c>
      <c r="M95" s="68">
        <v>0.20599999999999999</v>
      </c>
      <c r="N95" s="68">
        <v>0.20100000000000001</v>
      </c>
      <c r="O95" s="68">
        <v>0.20100000000000001</v>
      </c>
      <c r="P95" s="68">
        <v>0.20899999999999999</v>
      </c>
      <c r="Q95" s="68">
        <v>0.20300000000000001</v>
      </c>
      <c r="R95" s="68">
        <v>0.22500000000000001</v>
      </c>
      <c r="S95" s="68">
        <v>0.22</v>
      </c>
      <c r="T95" s="68">
        <v>0.23</v>
      </c>
      <c r="U95" s="68">
        <v>0.23</v>
      </c>
      <c r="V95" s="68">
        <v>0.24</v>
      </c>
      <c r="W95" s="68">
        <v>0.20100000000000001</v>
      </c>
      <c r="X95" s="68">
        <v>0.22500000000000001</v>
      </c>
      <c r="Y95" s="68">
        <v>0.22500000000000001</v>
      </c>
      <c r="Z95" s="68">
        <v>0.28000000000000003</v>
      </c>
      <c r="AA95" s="68">
        <v>0.23100000000000001</v>
      </c>
      <c r="AB95" s="68">
        <v>0.22700000000000001</v>
      </c>
      <c r="AC95" s="68">
        <v>0.22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1">F34</f>
        <v>14.27</v>
      </c>
      <c r="G96" s="65">
        <f t="shared" si="31"/>
        <v>14.22</v>
      </c>
      <c r="H96" s="65">
        <f t="shared" si="31"/>
        <v>14.29</v>
      </c>
      <c r="I96" s="65">
        <f t="shared" si="31"/>
        <v>14.25</v>
      </c>
      <c r="J96" s="65">
        <f t="shared" si="31"/>
        <v>14.26</v>
      </c>
      <c r="K96" s="65">
        <f t="shared" si="31"/>
        <v>14.28</v>
      </c>
      <c r="L96" s="65">
        <f t="shared" si="31"/>
        <v>14.27</v>
      </c>
      <c r="M96" s="65">
        <f t="shared" si="31"/>
        <v>14.31</v>
      </c>
      <c r="N96" s="65">
        <f t="shared" si="31"/>
        <v>14.26</v>
      </c>
      <c r="O96" s="65">
        <f t="shared" si="31"/>
        <v>14.29</v>
      </c>
      <c r="P96" s="65">
        <f t="shared" si="31"/>
        <v>14.31</v>
      </c>
      <c r="Q96" s="65">
        <f t="shared" si="31"/>
        <v>14.27</v>
      </c>
      <c r="R96" s="65">
        <f t="shared" si="31"/>
        <v>14.3</v>
      </c>
      <c r="S96" s="65">
        <f t="shared" si="31"/>
        <v>14.29</v>
      </c>
      <c r="T96" s="65">
        <f t="shared" si="31"/>
        <v>14.24</v>
      </c>
      <c r="U96" s="65">
        <f t="shared" si="31"/>
        <v>14.28</v>
      </c>
      <c r="V96" s="65">
        <f>V34</f>
        <v>14.27</v>
      </c>
      <c r="W96" s="65">
        <f t="shared" si="31"/>
        <v>14.29</v>
      </c>
      <c r="X96" s="65">
        <f t="shared" si="31"/>
        <v>14.31</v>
      </c>
      <c r="Y96" s="65">
        <f t="shared" si="31"/>
        <v>14.27</v>
      </c>
      <c r="Z96" s="65">
        <f t="shared" si="31"/>
        <v>14.29</v>
      </c>
      <c r="AA96" s="65">
        <f t="shared" si="31"/>
        <v>14.3</v>
      </c>
      <c r="AB96" s="65">
        <f t="shared" si="31"/>
        <v>14.31</v>
      </c>
      <c r="AC96" s="65">
        <f t="shared" si="31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0.73</v>
      </c>
      <c r="G97" s="68">
        <v>0.78</v>
      </c>
      <c r="H97" s="68">
        <v>0.71</v>
      </c>
      <c r="I97" s="68">
        <v>0.75</v>
      </c>
      <c r="J97" s="68">
        <v>0.74</v>
      </c>
      <c r="K97" s="68">
        <v>0.72</v>
      </c>
      <c r="L97" s="68">
        <v>0.73</v>
      </c>
      <c r="M97" s="68">
        <v>0.69</v>
      </c>
      <c r="N97" s="68">
        <v>0.74</v>
      </c>
      <c r="O97" s="68">
        <v>0.71</v>
      </c>
      <c r="P97" s="68">
        <v>0.69</v>
      </c>
      <c r="Q97" s="68">
        <v>0.73</v>
      </c>
      <c r="R97" s="68">
        <v>0.7</v>
      </c>
      <c r="S97" s="68">
        <v>0.71</v>
      </c>
      <c r="T97" s="68">
        <v>0.76</v>
      </c>
      <c r="U97" s="68">
        <v>0.72</v>
      </c>
      <c r="V97" s="68">
        <v>0.73</v>
      </c>
      <c r="W97" s="68">
        <v>0.71</v>
      </c>
      <c r="X97" s="68">
        <v>0.69</v>
      </c>
      <c r="Y97" s="68">
        <v>0.73</v>
      </c>
      <c r="Z97" s="68">
        <v>0.71</v>
      </c>
      <c r="AA97" s="68">
        <v>0.7</v>
      </c>
      <c r="AB97" s="68">
        <v>0.69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0.8</v>
      </c>
      <c r="K98" s="64">
        <f t="shared" si="32"/>
        <v>1.5</v>
      </c>
      <c r="L98" s="64">
        <f t="shared" si="32"/>
        <v>3.8000000000000007</v>
      </c>
      <c r="M98" s="64">
        <f t="shared" si="32"/>
        <v>2.2999999999999998</v>
      </c>
      <c r="N98" s="64">
        <f t="shared" si="32"/>
        <v>0</v>
      </c>
      <c r="O98" s="64">
        <f t="shared" si="32"/>
        <v>3.1</v>
      </c>
      <c r="P98" s="64">
        <f t="shared" si="32"/>
        <v>0.8</v>
      </c>
      <c r="Q98" s="64">
        <f t="shared" si="32"/>
        <v>3.1</v>
      </c>
      <c r="R98" s="64">
        <f t="shared" si="32"/>
        <v>3.9000000000000004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1.5</v>
      </c>
      <c r="Y98" s="64">
        <f t="shared" si="32"/>
        <v>1.5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3">F65</f>
        <v>0.96</v>
      </c>
      <c r="G99" s="64">
        <f t="shared" si="33"/>
        <v>0.96</v>
      </c>
      <c r="H99" s="64">
        <f t="shared" si="33"/>
        <v>0.92</v>
      </c>
      <c r="I99" s="64">
        <f t="shared" si="33"/>
        <v>0.88</v>
      </c>
      <c r="J99" s="64">
        <f t="shared" si="33"/>
        <v>0.87</v>
      </c>
      <c r="K99" s="64">
        <f t="shared" si="33"/>
        <v>0.88</v>
      </c>
      <c r="L99" s="64">
        <f t="shared" si="33"/>
        <v>0.94</v>
      </c>
      <c r="M99" s="64">
        <f t="shared" si="33"/>
        <v>1</v>
      </c>
      <c r="N99" s="64">
        <f t="shared" si="33"/>
        <v>1</v>
      </c>
      <c r="O99" s="64">
        <f t="shared" si="33"/>
        <v>1.1299999999999999</v>
      </c>
      <c r="P99" s="64">
        <f t="shared" si="33"/>
        <v>1.2</v>
      </c>
      <c r="Q99" s="64">
        <f t="shared" si="33"/>
        <v>1.2</v>
      </c>
      <c r="R99" s="64">
        <f t="shared" si="33"/>
        <v>1.22</v>
      </c>
      <c r="S99" s="64">
        <f t="shared" si="33"/>
        <v>1.22</v>
      </c>
      <c r="T99" s="64">
        <f t="shared" si="33"/>
        <v>1.21</v>
      </c>
      <c r="U99" s="64">
        <f t="shared" si="33"/>
        <v>1.2</v>
      </c>
      <c r="V99" s="64">
        <f t="shared" si="33"/>
        <v>1.1599999999999999</v>
      </c>
      <c r="W99" s="64">
        <f t="shared" si="33"/>
        <v>1.1299999999999999</v>
      </c>
      <c r="X99" s="64">
        <f t="shared" si="33"/>
        <v>1.1599999999999999</v>
      </c>
      <c r="Y99" s="64">
        <f t="shared" si="33"/>
        <v>1.38</v>
      </c>
      <c r="Z99" s="64">
        <f t="shared" si="33"/>
        <v>1.42</v>
      </c>
      <c r="AA99" s="64">
        <f t="shared" si="33"/>
        <v>1.33</v>
      </c>
      <c r="AB99" s="64">
        <f t="shared" si="33"/>
        <v>1.18</v>
      </c>
      <c r="AC99" s="64">
        <f t="shared" si="33"/>
        <v>1.06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5">F80</f>
        <v>0.78</v>
      </c>
      <c r="G101" s="64">
        <f t="shared" si="35"/>
        <v>0.75</v>
      </c>
      <c r="H101" s="64">
        <f t="shared" si="35"/>
        <v>0.72</v>
      </c>
      <c r="I101" s="64">
        <f t="shared" si="35"/>
        <v>0.7</v>
      </c>
      <c r="J101" s="64">
        <f t="shared" si="35"/>
        <v>0.68</v>
      </c>
      <c r="K101" s="64">
        <f t="shared" si="35"/>
        <v>0.7</v>
      </c>
      <c r="L101" s="64">
        <f t="shared" si="35"/>
        <v>0.75</v>
      </c>
      <c r="M101" s="64">
        <f t="shared" si="35"/>
        <v>0.71</v>
      </c>
      <c r="N101" s="64">
        <f t="shared" si="35"/>
        <v>0.76</v>
      </c>
      <c r="O101" s="64">
        <f t="shared" si="35"/>
        <v>0.78</v>
      </c>
      <c r="P101" s="64">
        <f t="shared" si="35"/>
        <v>0.84</v>
      </c>
      <c r="Q101" s="64">
        <f t="shared" si="35"/>
        <v>0.85</v>
      </c>
      <c r="R101" s="64">
        <f t="shared" si="35"/>
        <v>0.91</v>
      </c>
      <c r="S101" s="64">
        <f t="shared" si="35"/>
        <v>0.89</v>
      </c>
      <c r="T101" s="64">
        <f t="shared" si="35"/>
        <v>0.9</v>
      </c>
      <c r="U101" s="64">
        <f t="shared" si="35"/>
        <v>0.92</v>
      </c>
      <c r="V101" s="64">
        <f t="shared" si="35"/>
        <v>0.93</v>
      </c>
      <c r="W101" s="64">
        <f t="shared" si="35"/>
        <v>0.89</v>
      </c>
      <c r="X101" s="64">
        <f t="shared" si="35"/>
        <v>0.88</v>
      </c>
      <c r="Y101" s="64">
        <f t="shared" si="35"/>
        <v>0.93</v>
      </c>
      <c r="Z101" s="64">
        <f t="shared" si="35"/>
        <v>0.99</v>
      </c>
      <c r="AA101" s="64">
        <f t="shared" si="35"/>
        <v>0.93</v>
      </c>
      <c r="AB101" s="64">
        <f t="shared" si="35"/>
        <v>0.87</v>
      </c>
      <c r="AC101" s="64">
        <f t="shared" si="35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7">SUM(F89,F91,F93,F96,F98:F102,F81)</f>
        <v>40.110000000000007</v>
      </c>
      <c r="G103" s="61">
        <f t="shared" si="37"/>
        <v>37.83</v>
      </c>
      <c r="H103" s="61">
        <f t="shared" si="37"/>
        <v>35.33</v>
      </c>
      <c r="I103" s="61">
        <f t="shared" si="37"/>
        <v>34.030000000000008</v>
      </c>
      <c r="J103" s="61">
        <f t="shared" si="37"/>
        <v>34.309999999999995</v>
      </c>
      <c r="K103" s="61">
        <f t="shared" si="37"/>
        <v>35.160000000000004</v>
      </c>
      <c r="L103" s="61">
        <f t="shared" si="37"/>
        <v>37.959999999999994</v>
      </c>
      <c r="M103" s="61">
        <f t="shared" si="37"/>
        <v>37.92</v>
      </c>
      <c r="N103" s="61">
        <f t="shared" si="37"/>
        <v>40.82</v>
      </c>
      <c r="O103" s="61">
        <f t="shared" si="37"/>
        <v>48.300000000000004</v>
      </c>
      <c r="P103" s="61">
        <f t="shared" si="37"/>
        <v>52.350000000000009</v>
      </c>
      <c r="Q103" s="61">
        <f t="shared" si="37"/>
        <v>51.519999999999996</v>
      </c>
      <c r="R103" s="61">
        <f t="shared" si="37"/>
        <v>55.829999999999991</v>
      </c>
      <c r="S103" s="61">
        <f t="shared" si="37"/>
        <v>53.3</v>
      </c>
      <c r="T103" s="61">
        <f t="shared" si="37"/>
        <v>54.15</v>
      </c>
      <c r="U103" s="61">
        <f t="shared" si="37"/>
        <v>54.100000000000009</v>
      </c>
      <c r="V103" s="61">
        <f t="shared" si="37"/>
        <v>52.659999999999989</v>
      </c>
      <c r="W103" s="61">
        <f t="shared" si="37"/>
        <v>50.81</v>
      </c>
      <c r="X103" s="61">
        <f t="shared" si="37"/>
        <v>51.95</v>
      </c>
      <c r="Y103" s="61">
        <f t="shared" si="37"/>
        <v>57.180000000000007</v>
      </c>
      <c r="Z103" s="61">
        <f t="shared" si="37"/>
        <v>55.3</v>
      </c>
      <c r="AA103" s="61">
        <f t="shared" si="37"/>
        <v>52.859999999999992</v>
      </c>
      <c r="AB103" s="61">
        <f t="shared" si="37"/>
        <v>47.96</v>
      </c>
      <c r="AC103" s="61">
        <f t="shared" si="37"/>
        <v>44.07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9">F103+F107</f>
        <v>40.110000000000007</v>
      </c>
      <c r="G108" s="62">
        <f t="shared" si="39"/>
        <v>37.83</v>
      </c>
      <c r="H108" s="62">
        <f t="shared" si="39"/>
        <v>35.33</v>
      </c>
      <c r="I108" s="62">
        <f t="shared" si="39"/>
        <v>34.030000000000008</v>
      </c>
      <c r="J108" s="62">
        <f t="shared" si="39"/>
        <v>34.309999999999995</v>
      </c>
      <c r="K108" s="62">
        <f t="shared" si="39"/>
        <v>35.160000000000004</v>
      </c>
      <c r="L108" s="62">
        <f t="shared" si="39"/>
        <v>37.959999999999994</v>
      </c>
      <c r="M108" s="62">
        <f t="shared" si="39"/>
        <v>37.92</v>
      </c>
      <c r="N108" s="62">
        <f t="shared" si="39"/>
        <v>40.82</v>
      </c>
      <c r="O108" s="62">
        <f t="shared" si="39"/>
        <v>48.300000000000004</v>
      </c>
      <c r="P108" s="62">
        <f>P103+P107</f>
        <v>52.350000000000009</v>
      </c>
      <c r="Q108" s="62">
        <f t="shared" si="39"/>
        <v>51.519999999999996</v>
      </c>
      <c r="R108" s="62">
        <f t="shared" si="39"/>
        <v>55.829999999999991</v>
      </c>
      <c r="S108" s="62">
        <f t="shared" si="39"/>
        <v>53.3</v>
      </c>
      <c r="T108" s="62">
        <f>T103+T107</f>
        <v>54.15</v>
      </c>
      <c r="U108" s="62">
        <f t="shared" si="39"/>
        <v>54.100000000000009</v>
      </c>
      <c r="V108" s="62">
        <f t="shared" si="39"/>
        <v>52.659999999999989</v>
      </c>
      <c r="W108" s="62">
        <f>W103+W107</f>
        <v>50.81</v>
      </c>
      <c r="X108" s="62">
        <f t="shared" si="39"/>
        <v>51.95</v>
      </c>
      <c r="Y108" s="62">
        <f t="shared" si="39"/>
        <v>57.180000000000007</v>
      </c>
      <c r="Z108" s="62">
        <f t="shared" si="39"/>
        <v>55.3</v>
      </c>
      <c r="AA108" s="62">
        <f t="shared" si="39"/>
        <v>52.859999999999992</v>
      </c>
      <c r="AB108" s="62">
        <f t="shared" si="39"/>
        <v>47.96</v>
      </c>
      <c r="AC108" s="62">
        <f t="shared" si="39"/>
        <v>44.07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0">(COUNT(F13:F16))*7.2+(COUNT(F27:F28)*4.9)+(COUNT(F19:F21)*4.5)-F91-F93</f>
        <v>7.1000000000000032</v>
      </c>
      <c r="G109" s="63">
        <f t="shared" si="40"/>
        <v>2.3000000000000025</v>
      </c>
      <c r="H109" s="63">
        <f t="shared" si="40"/>
        <v>-9.9999999999999645E-2</v>
      </c>
      <c r="I109" s="63">
        <f t="shared" si="40"/>
        <v>1.1000000000000005</v>
      </c>
      <c r="J109" s="63">
        <f t="shared" si="40"/>
        <v>-5.5999999999999988</v>
      </c>
      <c r="K109" s="63">
        <f t="shared" si="40"/>
        <v>-5.6999999999999984</v>
      </c>
      <c r="L109" s="63">
        <f t="shared" si="40"/>
        <v>-6.0999999999999988</v>
      </c>
      <c r="M109" s="63">
        <f t="shared" si="40"/>
        <v>-0.30000000000000071</v>
      </c>
      <c r="N109" s="63">
        <f t="shared" si="40"/>
        <v>2.8000000000000016</v>
      </c>
      <c r="O109" s="63">
        <f t="shared" si="40"/>
        <v>11.5</v>
      </c>
      <c r="P109" s="63">
        <f t="shared" si="40"/>
        <v>8.1000000000000014</v>
      </c>
      <c r="Q109" s="63">
        <f t="shared" si="40"/>
        <v>3.1999999999999993</v>
      </c>
      <c r="R109" s="63">
        <f t="shared" si="40"/>
        <v>7.8000000000000007</v>
      </c>
      <c r="S109" s="63">
        <f t="shared" si="40"/>
        <v>5.6000000000000014</v>
      </c>
      <c r="T109" s="63">
        <f t="shared" si="40"/>
        <v>4.6999999999999993</v>
      </c>
      <c r="U109" s="63">
        <f t="shared" si="40"/>
        <v>9.9999999999997868E-2</v>
      </c>
      <c r="V109" s="63">
        <f t="shared" si="40"/>
        <v>0.69999999999999929</v>
      </c>
      <c r="W109" s="63">
        <f t="shared" si="40"/>
        <v>2.4999999999999964</v>
      </c>
      <c r="X109" s="63">
        <f t="shared" si="40"/>
        <v>4.4999999999999982</v>
      </c>
      <c r="Y109" s="63">
        <f t="shared" si="40"/>
        <v>-0.5</v>
      </c>
      <c r="Z109" s="63">
        <f t="shared" si="40"/>
        <v>-0.19999999999999929</v>
      </c>
      <c r="AA109" s="63">
        <f t="shared" si="40"/>
        <v>-1.3999999999999968</v>
      </c>
      <c r="AB109" s="63">
        <f t="shared" si="40"/>
        <v>2.3999999999999986</v>
      </c>
      <c r="AC109" s="63">
        <f t="shared" si="40"/>
        <v>-1.3999999999999986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-0.29999999999999893</v>
      </c>
      <c r="G110" s="205">
        <f t="shared" si="41"/>
        <v>-2.5999999999999996</v>
      </c>
      <c r="H110" s="205">
        <f t="shared" si="41"/>
        <v>-5</v>
      </c>
      <c r="I110" s="205">
        <f t="shared" si="41"/>
        <v>-3.8</v>
      </c>
      <c r="J110" s="205">
        <f t="shared" si="41"/>
        <v>-7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-7.1</v>
      </c>
      <c r="L110" s="205">
        <f t="shared" si="41"/>
        <v>-7.5</v>
      </c>
      <c r="M110" s="205">
        <f t="shared" si="41"/>
        <v>-1.7000000000000011</v>
      </c>
      <c r="N110" s="205">
        <f t="shared" si="41"/>
        <v>-2.3999999999999986</v>
      </c>
      <c r="O110" s="205">
        <f t="shared" si="41"/>
        <v>9.6000000000000014</v>
      </c>
      <c r="P110" s="205">
        <f t="shared" si="41"/>
        <v>3.4000000000000012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0.70000000000000107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4.1000000000000014</v>
      </c>
      <c r="S110" s="205">
        <f t="shared" si="42"/>
        <v>2.7000000000000028</v>
      </c>
      <c r="T110" s="205">
        <f t="shared" si="42"/>
        <v>1.8000000000000007</v>
      </c>
      <c r="U110" s="205">
        <f t="shared" si="42"/>
        <v>-2.6000000000000005</v>
      </c>
      <c r="V110" s="205">
        <f t="shared" si="42"/>
        <v>-1.1999999999999993</v>
      </c>
      <c r="W110" s="205">
        <f t="shared" si="42"/>
        <v>0.59999999999999787</v>
      </c>
      <c r="X110" s="205">
        <f t="shared" si="42"/>
        <v>1</v>
      </c>
      <c r="Y110" s="205">
        <f t="shared" si="42"/>
        <v>-3.9999999999999982</v>
      </c>
      <c r="Z110" s="205">
        <f t="shared" si="42"/>
        <v>-3.4999999999999978</v>
      </c>
      <c r="AA110" s="205">
        <f t="shared" si="42"/>
        <v>-5.6999999999999957</v>
      </c>
      <c r="AB110" s="205">
        <f t="shared" si="42"/>
        <v>-1</v>
      </c>
      <c r="AC110" s="205">
        <f t="shared" si="42"/>
        <v>-1.7999999999999972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60.13</v>
      </c>
      <c r="G111" s="456">
        <v>60.18</v>
      </c>
      <c r="H111" s="456">
        <v>60.14</v>
      </c>
      <c r="I111" s="456">
        <v>60.1</v>
      </c>
      <c r="J111" s="456">
        <v>60.04</v>
      </c>
      <c r="K111" s="456">
        <v>60.09</v>
      </c>
      <c r="L111" s="456">
        <v>60.06</v>
      </c>
      <c r="M111" s="456">
        <v>60.17</v>
      </c>
      <c r="N111" s="456">
        <v>60.01</v>
      </c>
      <c r="O111" s="456">
        <v>60.18</v>
      </c>
      <c r="P111" s="457">
        <v>60.18</v>
      </c>
      <c r="Q111" s="457">
        <v>60.16</v>
      </c>
      <c r="R111" s="457">
        <v>60.2</v>
      </c>
      <c r="S111" s="457">
        <v>60.19</v>
      </c>
      <c r="T111" s="457">
        <v>60.14</v>
      </c>
      <c r="U111" s="456">
        <v>60.05</v>
      </c>
      <c r="V111" s="456">
        <v>60.2</v>
      </c>
      <c r="W111" s="456">
        <v>60.25</v>
      </c>
      <c r="X111" s="456">
        <v>60.19</v>
      </c>
      <c r="Y111" s="456">
        <v>60.11</v>
      </c>
      <c r="Z111" s="456">
        <v>60.14</v>
      </c>
      <c r="AA111" s="456">
        <v>60</v>
      </c>
      <c r="AB111" s="456">
        <v>60.12</v>
      </c>
      <c r="AC111" s="456">
        <v>60.08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100</v>
      </c>
      <c r="G115" s="520" t="s">
        <v>100</v>
      </c>
      <c r="H115" s="520" t="s">
        <v>100</v>
      </c>
      <c r="I115" s="520" t="s">
        <v>100</v>
      </c>
      <c r="J115" s="520" t="s">
        <v>100</v>
      </c>
      <c r="K115" s="520" t="s">
        <v>100</v>
      </c>
      <c r="L115" s="520" t="s">
        <v>101</v>
      </c>
      <c r="M115" s="520" t="s">
        <v>101</v>
      </c>
      <c r="N115" s="520" t="s">
        <v>102</v>
      </c>
      <c r="O115" s="520" t="s">
        <v>102</v>
      </c>
      <c r="P115" s="520" t="s">
        <v>102</v>
      </c>
      <c r="Q115" s="520"/>
      <c r="R115" s="520"/>
      <c r="S115" s="520"/>
      <c r="T115" s="520" t="s">
        <v>102</v>
      </c>
      <c r="U115" s="520" t="s">
        <v>100</v>
      </c>
      <c r="V115" s="520" t="s">
        <v>100</v>
      </c>
      <c r="W115" s="520"/>
      <c r="X115" s="520"/>
      <c r="Y115" s="520"/>
      <c r="Z115" s="520"/>
      <c r="AA115" s="520"/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6832" priority="582" operator="greaterThan">
      <formula>60.3</formula>
    </cfRule>
  </conditionalFormatting>
  <conditionalFormatting sqref="F111">
    <cfRule type="cellIs" dxfId="16831" priority="581" operator="greaterThan">
      <formula>60.3</formula>
    </cfRule>
  </conditionalFormatting>
  <conditionalFormatting sqref="H13:J13 N13:O13 D42:E42 H36:J59 L13 N36:AC39 N41:AC46 N57:AC59 P40:AC40 I15:N16 O14:O16 H62:L64 L51:M51 L36:L59 P13:AC16 P47:AC56 P62:AC64">
    <cfRule type="cellIs" dxfId="16830" priority="573" operator="equal">
      <formula>"PMS"</formula>
    </cfRule>
    <cfRule type="containsText" dxfId="16829" priority="574" operator="containsText" text="CMS">
      <formula>NOT(ISERROR(SEARCH("CMS",D13)))</formula>
    </cfRule>
    <cfRule type="cellIs" dxfId="16828" priority="575" operator="equal">
      <formula>0</formula>
    </cfRule>
    <cfRule type="cellIs" dxfId="16827" priority="576" operator="greaterThan">
      <formula>0</formula>
    </cfRule>
    <cfRule type="cellIs" dxfId="16826" priority="577" operator="equal">
      <formula>"PMS"</formula>
    </cfRule>
    <cfRule type="containsText" dxfId="16825" priority="578" operator="containsText" text="CMS">
      <formula>NOT(ISERROR(SEARCH("CMS",D13)))</formula>
    </cfRule>
    <cfRule type="cellIs" dxfId="16824" priority="579" operator="equal">
      <formula>0</formula>
    </cfRule>
    <cfRule type="cellIs" dxfId="16823" priority="580" operator="greaterThan">
      <formula>0</formula>
    </cfRule>
  </conditionalFormatting>
  <conditionalFormatting sqref="H13:J13 N13:O13 D42:E42 H36:J59 L13 N36:AC39 N41:AC46 N57:AC59 P40:AC40 I15:N16 O14:O16 H62:L64 L51:M51 L36:L59 P13:AC16 P47:AC56 P62:AC64">
    <cfRule type="cellIs" dxfId="16822" priority="569" operator="equal">
      <formula>"PMS"</formula>
    </cfRule>
    <cfRule type="containsText" dxfId="16821" priority="570" operator="containsText" text="CMS">
      <formula>NOT(ISERROR(SEARCH("CMS",D13)))</formula>
    </cfRule>
    <cfRule type="cellIs" dxfId="16820" priority="571" operator="equal">
      <formula>0</formula>
    </cfRule>
    <cfRule type="cellIs" dxfId="16819" priority="572" operator="greaterThan">
      <formula>0</formula>
    </cfRule>
  </conditionalFormatting>
  <conditionalFormatting sqref="G67:AC75">
    <cfRule type="cellIs" dxfId="16818" priority="561" operator="equal">
      <formula>"PMS"</formula>
    </cfRule>
    <cfRule type="containsText" dxfId="16817" priority="562" operator="containsText" text="CMS">
      <formula>NOT(ISERROR(SEARCH("CMS",G67)))</formula>
    </cfRule>
    <cfRule type="cellIs" dxfId="16816" priority="563" operator="equal">
      <formula>0</formula>
    </cfRule>
    <cfRule type="cellIs" dxfId="16815" priority="564" operator="greaterThan">
      <formula>0</formula>
    </cfRule>
    <cfRule type="cellIs" dxfId="16814" priority="565" operator="equal">
      <formula>"PMS"</formula>
    </cfRule>
    <cfRule type="containsText" dxfId="16813" priority="566" operator="containsText" text="CMS">
      <formula>NOT(ISERROR(SEARCH("CMS",G67)))</formula>
    </cfRule>
    <cfRule type="cellIs" dxfId="16812" priority="567" operator="equal">
      <formula>0</formula>
    </cfRule>
    <cfRule type="cellIs" dxfId="16811" priority="568" operator="greaterThan">
      <formula>0</formula>
    </cfRule>
  </conditionalFormatting>
  <conditionalFormatting sqref="G67:AC75">
    <cfRule type="cellIs" dxfId="16810" priority="557" operator="equal">
      <formula>"PMS"</formula>
    </cfRule>
    <cfRule type="containsText" dxfId="16809" priority="558" operator="containsText" text="CMS">
      <formula>NOT(ISERROR(SEARCH("CMS",G67)))</formula>
    </cfRule>
    <cfRule type="cellIs" dxfId="16808" priority="559" operator="equal">
      <formula>0</formula>
    </cfRule>
    <cfRule type="cellIs" dxfId="16807" priority="560" operator="greaterThan">
      <formula>0</formula>
    </cfRule>
  </conditionalFormatting>
  <conditionalFormatting sqref="G82:AC82">
    <cfRule type="cellIs" dxfId="16806" priority="549" operator="equal">
      <formula>"PMS"</formula>
    </cfRule>
    <cfRule type="containsText" dxfId="16805" priority="550" operator="containsText" text="CMS">
      <formula>NOT(ISERROR(SEARCH("CMS",G82)))</formula>
    </cfRule>
    <cfRule type="cellIs" dxfId="16804" priority="551" operator="equal">
      <formula>0</formula>
    </cfRule>
    <cfRule type="cellIs" dxfId="16803" priority="552" operator="greaterThan">
      <formula>0</formula>
    </cfRule>
    <cfRule type="cellIs" dxfId="16802" priority="553" operator="equal">
      <formula>"PMS"</formula>
    </cfRule>
    <cfRule type="containsText" dxfId="16801" priority="554" operator="containsText" text="CMS">
      <formula>NOT(ISERROR(SEARCH("CMS",G82)))</formula>
    </cfRule>
    <cfRule type="cellIs" dxfId="16800" priority="555" operator="equal">
      <formula>0</formula>
    </cfRule>
    <cfRule type="cellIs" dxfId="16799" priority="556" operator="greaterThan">
      <formula>0</formula>
    </cfRule>
  </conditionalFormatting>
  <conditionalFormatting sqref="G82:AC82">
    <cfRule type="cellIs" dxfId="16798" priority="545" operator="equal">
      <formula>"PMS"</formula>
    </cfRule>
    <cfRule type="containsText" dxfId="16797" priority="546" operator="containsText" text="CMS">
      <formula>NOT(ISERROR(SEARCH("CMS",G82)))</formula>
    </cfRule>
    <cfRule type="cellIs" dxfId="16796" priority="547" operator="equal">
      <formula>0</formula>
    </cfRule>
    <cfRule type="cellIs" dxfId="16795" priority="548" operator="greaterThan">
      <formula>0</formula>
    </cfRule>
  </conditionalFormatting>
  <conditionalFormatting sqref="I14 M14:N14">
    <cfRule type="cellIs" dxfId="16794" priority="537" operator="equal">
      <formula>"PMS"</formula>
    </cfRule>
    <cfRule type="containsText" dxfId="16793" priority="538" operator="containsText" text="CMS">
      <formula>NOT(ISERROR(SEARCH("CMS",I14)))</formula>
    </cfRule>
    <cfRule type="cellIs" dxfId="16792" priority="539" operator="equal">
      <formula>0</formula>
    </cfRule>
    <cfRule type="cellIs" dxfId="16791" priority="540" operator="greaterThan">
      <formula>0</formula>
    </cfRule>
    <cfRule type="cellIs" dxfId="16790" priority="541" operator="equal">
      <formula>"PMS"</formula>
    </cfRule>
    <cfRule type="containsText" dxfId="16789" priority="542" operator="containsText" text="CMS">
      <formula>NOT(ISERROR(SEARCH("CMS",I14)))</formula>
    </cfRule>
    <cfRule type="cellIs" dxfId="16788" priority="543" operator="equal">
      <formula>0</formula>
    </cfRule>
    <cfRule type="cellIs" dxfId="16787" priority="544" operator="greaterThan">
      <formula>0</formula>
    </cfRule>
  </conditionalFormatting>
  <conditionalFormatting sqref="I14 M14:N14">
    <cfRule type="cellIs" dxfId="16786" priority="533" operator="equal">
      <formula>"PMS"</formula>
    </cfRule>
    <cfRule type="containsText" dxfId="16785" priority="534" operator="containsText" text="CMS">
      <formula>NOT(ISERROR(SEARCH("CMS",I14)))</formula>
    </cfRule>
    <cfRule type="cellIs" dxfId="16784" priority="535" operator="equal">
      <formula>0</formula>
    </cfRule>
    <cfRule type="cellIs" dxfId="16783" priority="536" operator="greaterThan">
      <formula>0</formula>
    </cfRule>
  </conditionalFormatting>
  <conditionalFormatting sqref="G13">
    <cfRule type="cellIs" dxfId="16782" priority="525" operator="equal">
      <formula>"PMS"</formula>
    </cfRule>
    <cfRule type="containsText" dxfId="16781" priority="526" operator="containsText" text="CMS">
      <formula>NOT(ISERROR(SEARCH("CMS",G13)))</formula>
    </cfRule>
    <cfRule type="cellIs" dxfId="16780" priority="527" operator="equal">
      <formula>0</formula>
    </cfRule>
    <cfRule type="cellIs" dxfId="16779" priority="528" operator="greaterThan">
      <formula>0</formula>
    </cfRule>
    <cfRule type="cellIs" dxfId="16778" priority="529" operator="equal">
      <formula>"PMS"</formula>
    </cfRule>
    <cfRule type="containsText" dxfId="16777" priority="530" operator="containsText" text="CMS">
      <formula>NOT(ISERROR(SEARCH("CMS",G13)))</formula>
    </cfRule>
    <cfRule type="cellIs" dxfId="16776" priority="531" operator="equal">
      <formula>0</formula>
    </cfRule>
    <cfRule type="cellIs" dxfId="16775" priority="532" operator="greaterThan">
      <formula>0</formula>
    </cfRule>
  </conditionalFormatting>
  <conditionalFormatting sqref="G13">
    <cfRule type="cellIs" dxfId="16774" priority="521" operator="equal">
      <formula>"PMS"</formula>
    </cfRule>
    <cfRule type="containsText" dxfId="16773" priority="522" operator="containsText" text="CMS">
      <formula>NOT(ISERROR(SEARCH("CMS",G13)))</formula>
    </cfRule>
    <cfRule type="cellIs" dxfId="16772" priority="523" operator="equal">
      <formula>0</formula>
    </cfRule>
    <cfRule type="cellIs" dxfId="16771" priority="524" operator="greaterThan">
      <formula>0</formula>
    </cfRule>
  </conditionalFormatting>
  <conditionalFormatting sqref="M13">
    <cfRule type="cellIs" dxfId="16770" priority="513" operator="equal">
      <formula>"PMS"</formula>
    </cfRule>
    <cfRule type="containsText" dxfId="16769" priority="514" operator="containsText" text="CMS">
      <formula>NOT(ISERROR(SEARCH("CMS",M13)))</formula>
    </cfRule>
    <cfRule type="cellIs" dxfId="16768" priority="515" operator="equal">
      <formula>0</formula>
    </cfRule>
    <cfRule type="cellIs" dxfId="16767" priority="516" operator="greaterThan">
      <formula>0</formula>
    </cfRule>
    <cfRule type="cellIs" dxfId="16766" priority="517" operator="equal">
      <formula>"PMS"</formula>
    </cfRule>
    <cfRule type="containsText" dxfId="16765" priority="518" operator="containsText" text="CMS">
      <formula>NOT(ISERROR(SEARCH("CMS",M13)))</formula>
    </cfRule>
    <cfRule type="cellIs" dxfId="16764" priority="519" operator="equal">
      <formula>0</formula>
    </cfRule>
    <cfRule type="cellIs" dxfId="16763" priority="520" operator="greaterThan">
      <formula>0</formula>
    </cfRule>
  </conditionalFormatting>
  <conditionalFormatting sqref="M13">
    <cfRule type="cellIs" dxfId="16762" priority="509" operator="equal">
      <formula>"PMS"</formula>
    </cfRule>
    <cfRule type="containsText" dxfId="16761" priority="510" operator="containsText" text="CMS">
      <formula>NOT(ISERROR(SEARCH("CMS",M13)))</formula>
    </cfRule>
    <cfRule type="cellIs" dxfId="16760" priority="511" operator="equal">
      <formula>0</formula>
    </cfRule>
    <cfRule type="cellIs" dxfId="16759" priority="512" operator="greaterThan">
      <formula>0</formula>
    </cfRule>
  </conditionalFormatting>
  <conditionalFormatting sqref="K13">
    <cfRule type="cellIs" dxfId="16758" priority="501" operator="equal">
      <formula>"PMS"</formula>
    </cfRule>
    <cfRule type="containsText" dxfId="16757" priority="502" operator="containsText" text="CMS">
      <formula>NOT(ISERROR(SEARCH("CMS",K13)))</formula>
    </cfRule>
    <cfRule type="cellIs" dxfId="16756" priority="503" operator="equal">
      <formula>0</formula>
    </cfRule>
    <cfRule type="cellIs" dxfId="16755" priority="504" operator="greaterThan">
      <formula>0</formula>
    </cfRule>
    <cfRule type="cellIs" dxfId="16754" priority="505" operator="equal">
      <formula>"PMS"</formula>
    </cfRule>
    <cfRule type="containsText" dxfId="16753" priority="506" operator="containsText" text="CMS">
      <formula>NOT(ISERROR(SEARCH("CMS",K13)))</formula>
    </cfRule>
    <cfRule type="cellIs" dxfId="16752" priority="507" operator="equal">
      <formula>0</formula>
    </cfRule>
    <cfRule type="cellIs" dxfId="16751" priority="508" operator="greaterThan">
      <formula>0</formula>
    </cfRule>
  </conditionalFormatting>
  <conditionalFormatting sqref="K13">
    <cfRule type="cellIs" dxfId="16750" priority="497" operator="equal">
      <formula>"PMS"</formula>
    </cfRule>
    <cfRule type="containsText" dxfId="16749" priority="498" operator="containsText" text="CMS">
      <formula>NOT(ISERROR(SEARCH("CMS",K13)))</formula>
    </cfRule>
    <cfRule type="cellIs" dxfId="16748" priority="499" operator="equal">
      <formula>0</formula>
    </cfRule>
    <cfRule type="cellIs" dxfId="16747" priority="500" operator="greaterThan">
      <formula>0</formula>
    </cfRule>
  </conditionalFormatting>
  <conditionalFormatting sqref="G113:AC113">
    <cfRule type="cellIs" dxfId="16746" priority="496" operator="greaterThan">
      <formula>60.3</formula>
    </cfRule>
  </conditionalFormatting>
  <conditionalFormatting sqref="H112:M112">
    <cfRule type="cellIs" dxfId="16745" priority="495" operator="greaterThan">
      <formula>60.3</formula>
    </cfRule>
  </conditionalFormatting>
  <conditionalFormatting sqref="F112:G112">
    <cfRule type="cellIs" dxfId="16744" priority="494" operator="greaterThan">
      <formula>60.3</formula>
    </cfRule>
  </conditionalFormatting>
  <conditionalFormatting sqref="N112:AC112">
    <cfRule type="cellIs" dxfId="16743" priority="493" operator="greaterThan">
      <formula>60.3</formula>
    </cfRule>
  </conditionalFormatting>
  <conditionalFormatting sqref="G15:G16">
    <cfRule type="cellIs" dxfId="16742" priority="485" operator="equal">
      <formula>"PMS"</formula>
    </cfRule>
    <cfRule type="containsText" dxfId="16741" priority="486" operator="containsText" text="CMS">
      <formula>NOT(ISERROR(SEARCH("CMS",G15)))</formula>
    </cfRule>
    <cfRule type="cellIs" dxfId="16740" priority="487" operator="equal">
      <formula>0</formula>
    </cfRule>
    <cfRule type="cellIs" dxfId="16739" priority="488" operator="greaterThan">
      <formula>0</formula>
    </cfRule>
    <cfRule type="cellIs" dxfId="16738" priority="489" operator="equal">
      <formula>"PMS"</formula>
    </cfRule>
    <cfRule type="containsText" dxfId="16737" priority="490" operator="containsText" text="CMS">
      <formula>NOT(ISERROR(SEARCH("CMS",G15)))</formula>
    </cfRule>
    <cfRule type="cellIs" dxfId="16736" priority="491" operator="equal">
      <formula>0</formula>
    </cfRule>
    <cfRule type="cellIs" dxfId="16735" priority="492" operator="greaterThan">
      <formula>0</formula>
    </cfRule>
  </conditionalFormatting>
  <conditionalFormatting sqref="G15:G16">
    <cfRule type="cellIs" dxfId="16734" priority="481" operator="equal">
      <formula>"PMS"</formula>
    </cfRule>
    <cfRule type="containsText" dxfId="16733" priority="482" operator="containsText" text="CMS">
      <formula>NOT(ISERROR(SEARCH("CMS",G15)))</formula>
    </cfRule>
    <cfRule type="cellIs" dxfId="16732" priority="483" operator="equal">
      <formula>0</formula>
    </cfRule>
    <cfRule type="cellIs" dxfId="16731" priority="484" operator="greaterThan">
      <formula>0</formula>
    </cfRule>
  </conditionalFormatting>
  <conditionalFormatting sqref="H14 H16">
    <cfRule type="cellIs" dxfId="16730" priority="473" operator="equal">
      <formula>"PMS"</formula>
    </cfRule>
    <cfRule type="containsText" dxfId="16729" priority="474" operator="containsText" text="CMS">
      <formula>NOT(ISERROR(SEARCH("CMS",H14)))</formula>
    </cfRule>
    <cfRule type="cellIs" dxfId="16728" priority="475" operator="equal">
      <formula>0</formula>
    </cfRule>
    <cfRule type="cellIs" dxfId="16727" priority="476" operator="greaterThan">
      <formula>0</formula>
    </cfRule>
    <cfRule type="cellIs" dxfId="16726" priority="477" operator="equal">
      <formula>"PMS"</formula>
    </cfRule>
    <cfRule type="containsText" dxfId="16725" priority="478" operator="containsText" text="CMS">
      <formula>NOT(ISERROR(SEARCH("CMS",H14)))</formula>
    </cfRule>
    <cfRule type="cellIs" dxfId="16724" priority="479" operator="equal">
      <formula>0</formula>
    </cfRule>
    <cfRule type="cellIs" dxfId="16723" priority="480" operator="greaterThan">
      <formula>0</formula>
    </cfRule>
  </conditionalFormatting>
  <conditionalFormatting sqref="H14 H16">
    <cfRule type="cellIs" dxfId="16722" priority="469" operator="equal">
      <formula>"PMS"</formula>
    </cfRule>
    <cfRule type="containsText" dxfId="16721" priority="470" operator="containsText" text="CMS">
      <formula>NOT(ISERROR(SEARCH("CMS",H14)))</formula>
    </cfRule>
    <cfRule type="cellIs" dxfId="16720" priority="471" operator="equal">
      <formula>0</formula>
    </cfRule>
    <cfRule type="cellIs" dxfId="16719" priority="472" operator="greaterThan">
      <formula>0</formula>
    </cfRule>
  </conditionalFormatting>
  <conditionalFormatting sqref="G36:G38 G57:G59">
    <cfRule type="cellIs" dxfId="16718" priority="461" operator="equal">
      <formula>"PMS"</formula>
    </cfRule>
    <cfRule type="containsText" dxfId="16717" priority="462" operator="containsText" text="CMS">
      <formula>NOT(ISERROR(SEARCH("CMS",G36)))</formula>
    </cfRule>
    <cfRule type="cellIs" dxfId="16716" priority="463" operator="equal">
      <formula>0</formula>
    </cfRule>
    <cfRule type="cellIs" dxfId="16715" priority="464" operator="greaterThan">
      <formula>0</formula>
    </cfRule>
    <cfRule type="cellIs" dxfId="16714" priority="465" operator="equal">
      <formula>"PMS"</formula>
    </cfRule>
    <cfRule type="containsText" dxfId="16713" priority="466" operator="containsText" text="CMS">
      <formula>NOT(ISERROR(SEARCH("CMS",G36)))</formula>
    </cfRule>
    <cfRule type="cellIs" dxfId="16712" priority="467" operator="equal">
      <formula>0</formula>
    </cfRule>
    <cfRule type="cellIs" dxfId="16711" priority="468" operator="greaterThan">
      <formula>0</formula>
    </cfRule>
  </conditionalFormatting>
  <conditionalFormatting sqref="G36:G38 G57:G59">
    <cfRule type="cellIs" dxfId="16710" priority="457" operator="equal">
      <formula>"PMS"</formula>
    </cfRule>
    <cfRule type="containsText" dxfId="16709" priority="458" operator="containsText" text="CMS">
      <formula>NOT(ISERROR(SEARCH("CMS",G36)))</formula>
    </cfRule>
    <cfRule type="cellIs" dxfId="16708" priority="459" operator="equal">
      <formula>0</formula>
    </cfRule>
    <cfRule type="cellIs" dxfId="16707" priority="460" operator="greaterThan">
      <formula>0</formula>
    </cfRule>
  </conditionalFormatting>
  <conditionalFormatting sqref="M36:M38 M57:M59">
    <cfRule type="cellIs" dxfId="16706" priority="449" operator="equal">
      <formula>"PMS"</formula>
    </cfRule>
    <cfRule type="containsText" dxfId="16705" priority="450" operator="containsText" text="CMS">
      <formula>NOT(ISERROR(SEARCH("CMS",M36)))</formula>
    </cfRule>
    <cfRule type="cellIs" dxfId="16704" priority="451" operator="equal">
      <formula>0</formula>
    </cfRule>
    <cfRule type="cellIs" dxfId="16703" priority="452" operator="greaterThan">
      <formula>0</formula>
    </cfRule>
    <cfRule type="cellIs" dxfId="16702" priority="453" operator="equal">
      <formula>"PMS"</formula>
    </cfRule>
    <cfRule type="containsText" dxfId="16701" priority="454" operator="containsText" text="CMS">
      <formula>NOT(ISERROR(SEARCH("CMS",M36)))</formula>
    </cfRule>
    <cfRule type="cellIs" dxfId="16700" priority="455" operator="equal">
      <formula>0</formula>
    </cfRule>
    <cfRule type="cellIs" dxfId="16699" priority="456" operator="greaterThan">
      <formula>0</formula>
    </cfRule>
  </conditionalFormatting>
  <conditionalFormatting sqref="M36:M38 M57:M59">
    <cfRule type="cellIs" dxfId="16698" priority="445" operator="equal">
      <formula>"PMS"</formula>
    </cfRule>
    <cfRule type="containsText" dxfId="16697" priority="446" operator="containsText" text="CMS">
      <formula>NOT(ISERROR(SEARCH("CMS",M36)))</formula>
    </cfRule>
    <cfRule type="cellIs" dxfId="16696" priority="447" operator="equal">
      <formula>0</formula>
    </cfRule>
    <cfRule type="cellIs" dxfId="16695" priority="448" operator="greaterThan">
      <formula>0</formula>
    </cfRule>
  </conditionalFormatting>
  <conditionalFormatting sqref="K36:K38 K57:K59">
    <cfRule type="cellIs" dxfId="16694" priority="437" operator="equal">
      <formula>"PMS"</formula>
    </cfRule>
    <cfRule type="containsText" dxfId="16693" priority="438" operator="containsText" text="CMS">
      <formula>NOT(ISERROR(SEARCH("CMS",K36)))</formula>
    </cfRule>
    <cfRule type="cellIs" dxfId="16692" priority="439" operator="equal">
      <formula>0</formula>
    </cfRule>
    <cfRule type="cellIs" dxfId="16691" priority="440" operator="greaterThan">
      <formula>0</formula>
    </cfRule>
    <cfRule type="cellIs" dxfId="16690" priority="441" operator="equal">
      <formula>"PMS"</formula>
    </cfRule>
    <cfRule type="containsText" dxfId="16689" priority="442" operator="containsText" text="CMS">
      <formula>NOT(ISERROR(SEARCH("CMS",K36)))</formula>
    </cfRule>
    <cfRule type="cellIs" dxfId="16688" priority="443" operator="equal">
      <formula>0</formula>
    </cfRule>
    <cfRule type="cellIs" dxfId="16687" priority="444" operator="greaterThan">
      <formula>0</formula>
    </cfRule>
  </conditionalFormatting>
  <conditionalFormatting sqref="K36:K38 K57:K59">
    <cfRule type="cellIs" dxfId="16686" priority="433" operator="equal">
      <formula>"PMS"</formula>
    </cfRule>
    <cfRule type="containsText" dxfId="16685" priority="434" operator="containsText" text="CMS">
      <formula>NOT(ISERROR(SEARCH("CMS",K36)))</formula>
    </cfRule>
    <cfRule type="cellIs" dxfId="16684" priority="435" operator="equal">
      <formula>0</formula>
    </cfRule>
    <cfRule type="cellIs" dxfId="16683" priority="436" operator="greaterThan">
      <formula>0</formula>
    </cfRule>
  </conditionalFormatting>
  <conditionalFormatting sqref="K14:L14">
    <cfRule type="cellIs" dxfId="16682" priority="425" operator="equal">
      <formula>"PMS"</formula>
    </cfRule>
    <cfRule type="containsText" dxfId="16681" priority="426" operator="containsText" text="CMS">
      <formula>NOT(ISERROR(SEARCH("CMS",K14)))</formula>
    </cfRule>
    <cfRule type="cellIs" dxfId="16680" priority="427" operator="equal">
      <formula>0</formula>
    </cfRule>
    <cfRule type="cellIs" dxfId="16679" priority="428" operator="greaterThan">
      <formula>0</formula>
    </cfRule>
    <cfRule type="cellIs" dxfId="16678" priority="429" operator="equal">
      <formula>"PMS"</formula>
    </cfRule>
    <cfRule type="containsText" dxfId="16677" priority="430" operator="containsText" text="CMS">
      <formula>NOT(ISERROR(SEARCH("CMS",K14)))</formula>
    </cfRule>
    <cfRule type="cellIs" dxfId="16676" priority="431" operator="equal">
      <formula>0</formula>
    </cfRule>
    <cfRule type="cellIs" dxfId="16675" priority="432" operator="greaterThan">
      <formula>0</formula>
    </cfRule>
  </conditionalFormatting>
  <conditionalFormatting sqref="K14:L14">
    <cfRule type="cellIs" dxfId="16674" priority="421" operator="equal">
      <formula>"PMS"</formula>
    </cfRule>
    <cfRule type="containsText" dxfId="16673" priority="422" operator="containsText" text="CMS">
      <formula>NOT(ISERROR(SEARCH("CMS",K14)))</formula>
    </cfRule>
    <cfRule type="cellIs" dxfId="16672" priority="423" operator="equal">
      <formula>0</formula>
    </cfRule>
    <cfRule type="cellIs" dxfId="16671" priority="424" operator="greaterThan">
      <formula>0</formula>
    </cfRule>
  </conditionalFormatting>
  <conditionalFormatting sqref="G49 G52:G55">
    <cfRule type="cellIs" dxfId="16670" priority="413" operator="equal">
      <formula>"PMS"</formula>
    </cfRule>
    <cfRule type="containsText" dxfId="16669" priority="414" operator="containsText" text="CMS">
      <formula>NOT(ISERROR(SEARCH("CMS",G49)))</formula>
    </cfRule>
    <cfRule type="cellIs" dxfId="16668" priority="415" operator="equal">
      <formula>0</formula>
    </cfRule>
    <cfRule type="cellIs" dxfId="16667" priority="416" operator="greaterThan">
      <formula>0</formula>
    </cfRule>
    <cfRule type="cellIs" dxfId="16666" priority="417" operator="equal">
      <formula>"PMS"</formula>
    </cfRule>
    <cfRule type="containsText" dxfId="16665" priority="418" operator="containsText" text="CMS">
      <formula>NOT(ISERROR(SEARCH("CMS",G49)))</formula>
    </cfRule>
    <cfRule type="cellIs" dxfId="16664" priority="419" operator="equal">
      <formula>0</formula>
    </cfRule>
    <cfRule type="cellIs" dxfId="16663" priority="420" operator="greaterThan">
      <formula>0</formula>
    </cfRule>
  </conditionalFormatting>
  <conditionalFormatting sqref="G49 G52:G55">
    <cfRule type="cellIs" dxfId="16662" priority="409" operator="equal">
      <formula>"PMS"</formula>
    </cfRule>
    <cfRule type="containsText" dxfId="16661" priority="410" operator="containsText" text="CMS">
      <formula>NOT(ISERROR(SEARCH("CMS",G49)))</formula>
    </cfRule>
    <cfRule type="cellIs" dxfId="16660" priority="411" operator="equal">
      <formula>0</formula>
    </cfRule>
    <cfRule type="cellIs" dxfId="16659" priority="412" operator="greaterThan">
      <formula>0</formula>
    </cfRule>
  </conditionalFormatting>
  <conditionalFormatting sqref="M49:N49 M52:M55">
    <cfRule type="cellIs" dxfId="16658" priority="401" operator="equal">
      <formula>"PMS"</formula>
    </cfRule>
    <cfRule type="containsText" dxfId="16657" priority="402" operator="containsText" text="CMS">
      <formula>NOT(ISERROR(SEARCH("CMS",M49)))</formula>
    </cfRule>
    <cfRule type="cellIs" dxfId="16656" priority="403" operator="equal">
      <formula>0</formula>
    </cfRule>
    <cfRule type="cellIs" dxfId="16655" priority="404" operator="greaterThan">
      <formula>0</formula>
    </cfRule>
    <cfRule type="cellIs" dxfId="16654" priority="405" operator="equal">
      <formula>"PMS"</formula>
    </cfRule>
    <cfRule type="containsText" dxfId="16653" priority="406" operator="containsText" text="CMS">
      <formula>NOT(ISERROR(SEARCH("CMS",M49)))</formula>
    </cfRule>
    <cfRule type="cellIs" dxfId="16652" priority="407" operator="equal">
      <formula>0</formula>
    </cfRule>
    <cfRule type="cellIs" dxfId="16651" priority="408" operator="greaterThan">
      <formula>0</formula>
    </cfRule>
  </conditionalFormatting>
  <conditionalFormatting sqref="M49:N49 M52:M55">
    <cfRule type="cellIs" dxfId="16650" priority="397" operator="equal">
      <formula>"PMS"</formula>
    </cfRule>
    <cfRule type="containsText" dxfId="16649" priority="398" operator="containsText" text="CMS">
      <formula>NOT(ISERROR(SEARCH("CMS",M49)))</formula>
    </cfRule>
    <cfRule type="cellIs" dxfId="16648" priority="399" operator="equal">
      <formula>0</formula>
    </cfRule>
    <cfRule type="cellIs" dxfId="16647" priority="400" operator="greaterThan">
      <formula>0</formula>
    </cfRule>
  </conditionalFormatting>
  <conditionalFormatting sqref="K49 K52:K55">
    <cfRule type="cellIs" dxfId="16646" priority="389" operator="equal">
      <formula>"PMS"</formula>
    </cfRule>
    <cfRule type="containsText" dxfId="16645" priority="390" operator="containsText" text="CMS">
      <formula>NOT(ISERROR(SEARCH("CMS",K49)))</formula>
    </cfRule>
    <cfRule type="cellIs" dxfId="16644" priority="391" operator="equal">
      <formula>0</formula>
    </cfRule>
    <cfRule type="cellIs" dxfId="16643" priority="392" operator="greaterThan">
      <formula>0</formula>
    </cfRule>
    <cfRule type="cellIs" dxfId="16642" priority="393" operator="equal">
      <formula>"PMS"</formula>
    </cfRule>
    <cfRule type="containsText" dxfId="16641" priority="394" operator="containsText" text="CMS">
      <formula>NOT(ISERROR(SEARCH("CMS",K49)))</formula>
    </cfRule>
    <cfRule type="cellIs" dxfId="16640" priority="395" operator="equal">
      <formula>0</formula>
    </cfRule>
    <cfRule type="cellIs" dxfId="16639" priority="396" operator="greaterThan">
      <formula>0</formula>
    </cfRule>
  </conditionalFormatting>
  <conditionalFormatting sqref="K49 K52:K55">
    <cfRule type="cellIs" dxfId="16638" priority="385" operator="equal">
      <formula>"PMS"</formula>
    </cfRule>
    <cfRule type="containsText" dxfId="16637" priority="386" operator="containsText" text="CMS">
      <formula>NOT(ISERROR(SEARCH("CMS",K49)))</formula>
    </cfRule>
    <cfRule type="cellIs" dxfId="16636" priority="387" operator="equal">
      <formula>0</formula>
    </cfRule>
    <cfRule type="cellIs" dxfId="16635" priority="388" operator="greaterThan">
      <formula>0</formula>
    </cfRule>
  </conditionalFormatting>
  <conditionalFormatting sqref="H33:J33 L33 L27:L30 H24:J24 H19:J20 L20:L21 V28:AC28 M21 Q28:T28 N28:P29 N33:AC33 P30 Q29:AC30 H27:J30 H21:K21 O78:AC79 K19:M19 M30:N30 H79:J79 L24:AC24 L79:N79 N19:AC21">
    <cfRule type="cellIs" dxfId="16634" priority="377" operator="equal">
      <formula>"PMS"</formula>
    </cfRule>
    <cfRule type="containsText" dxfId="16633" priority="378" operator="containsText" text="CMS">
      <formula>NOT(ISERROR(SEARCH("CMS",H19)))</formula>
    </cfRule>
    <cfRule type="cellIs" dxfId="16632" priority="379" operator="equal">
      <formula>0</formula>
    </cfRule>
    <cfRule type="cellIs" dxfId="16631" priority="380" operator="greaterThan">
      <formula>0</formula>
    </cfRule>
    <cfRule type="cellIs" dxfId="16630" priority="381" operator="equal">
      <formula>"PMS"</formula>
    </cfRule>
    <cfRule type="containsText" dxfId="16629" priority="382" operator="containsText" text="CMS">
      <formula>NOT(ISERROR(SEARCH("CMS",H19)))</formula>
    </cfRule>
    <cfRule type="cellIs" dxfId="16628" priority="383" operator="equal">
      <formula>0</formula>
    </cfRule>
    <cfRule type="cellIs" dxfId="16627" priority="384" operator="greaterThan">
      <formula>0</formula>
    </cfRule>
  </conditionalFormatting>
  <conditionalFormatting sqref="H33:J33 L33 L27:L30 H24:J24 H19:J20 L20:L21 V28:AC28 M21 Q28:T28 N28:P29 N33:AC33 P30 Q29:AC30 H27:J30 H21:K21 O78:AC79 K19:M19 M30:N30 H79:J79 L24:AC24 L79:N79 N19:AC21">
    <cfRule type="cellIs" dxfId="16626" priority="373" operator="equal">
      <formula>"PMS"</formula>
    </cfRule>
    <cfRule type="containsText" dxfId="16625" priority="374" operator="containsText" text="CMS">
      <formula>NOT(ISERROR(SEARCH("CMS",H19)))</formula>
    </cfRule>
    <cfRule type="cellIs" dxfId="16624" priority="375" operator="equal">
      <formula>0</formula>
    </cfRule>
    <cfRule type="cellIs" dxfId="16623" priority="376" operator="greaterThan">
      <formula>0</formula>
    </cfRule>
  </conditionalFormatting>
  <conditionalFormatting sqref="G33 G27:G30 G24 G39:G48 G50:G51 G56 G19:G21 G79">
    <cfRule type="cellIs" dxfId="16622" priority="365" operator="equal">
      <formula>"PMS"</formula>
    </cfRule>
    <cfRule type="containsText" dxfId="16621" priority="366" operator="containsText" text="CMS">
      <formula>NOT(ISERROR(SEARCH("CMS",G19)))</formula>
    </cfRule>
    <cfRule type="cellIs" dxfId="16620" priority="367" operator="equal">
      <formula>0</formula>
    </cfRule>
    <cfRule type="cellIs" dxfId="16619" priority="368" operator="greaterThan">
      <formula>0</formula>
    </cfRule>
    <cfRule type="cellIs" dxfId="16618" priority="369" operator="equal">
      <formula>"PMS"</formula>
    </cfRule>
    <cfRule type="containsText" dxfId="16617" priority="370" operator="containsText" text="CMS">
      <formula>NOT(ISERROR(SEARCH("CMS",G19)))</formula>
    </cfRule>
    <cfRule type="cellIs" dxfId="16616" priority="371" operator="equal">
      <formula>0</formula>
    </cfRule>
    <cfRule type="cellIs" dxfId="16615" priority="372" operator="greaterThan">
      <formula>0</formula>
    </cfRule>
  </conditionalFormatting>
  <conditionalFormatting sqref="G33 G27:G30 G24 G39:G48 G50:G51 G56 G19:G21 G79">
    <cfRule type="cellIs" dxfId="16614" priority="361" operator="equal">
      <formula>"PMS"</formula>
    </cfRule>
    <cfRule type="containsText" dxfId="16613" priority="362" operator="containsText" text="CMS">
      <formula>NOT(ISERROR(SEARCH("CMS",G19)))</formula>
    </cfRule>
    <cfRule type="cellIs" dxfId="16612" priority="363" operator="equal">
      <formula>0</formula>
    </cfRule>
    <cfRule type="cellIs" dxfId="16611" priority="364" operator="greaterThan">
      <formula>0</formula>
    </cfRule>
  </conditionalFormatting>
  <conditionalFormatting sqref="M39:M48 M33 M27:M29 M20 AB27:AC27 N27:X27 N47 M50 M56 N51:N55 M62:M64 N78">
    <cfRule type="cellIs" dxfId="16610" priority="353" operator="equal">
      <formula>"PMS"</formula>
    </cfRule>
    <cfRule type="containsText" dxfId="16609" priority="354" operator="containsText" text="CMS">
      <formula>NOT(ISERROR(SEARCH("CMS",M20)))</formula>
    </cfRule>
    <cfRule type="cellIs" dxfId="16608" priority="355" operator="equal">
      <formula>0</formula>
    </cfRule>
    <cfRule type="cellIs" dxfId="16607" priority="356" operator="greaterThan">
      <formula>0</formula>
    </cfRule>
    <cfRule type="cellIs" dxfId="16606" priority="357" operator="equal">
      <formula>"PMS"</formula>
    </cfRule>
    <cfRule type="containsText" dxfId="16605" priority="358" operator="containsText" text="CMS">
      <formula>NOT(ISERROR(SEARCH("CMS",M20)))</formula>
    </cfRule>
    <cfRule type="cellIs" dxfId="16604" priority="359" operator="equal">
      <formula>0</formula>
    </cfRule>
    <cfRule type="cellIs" dxfId="16603" priority="360" operator="greaterThan">
      <formula>0</formula>
    </cfRule>
  </conditionalFormatting>
  <conditionalFormatting sqref="M39:M48 M33 M27:M29 M20 AB27:AC27 N27:X27 N47 M50 M56 N51:N55 M62:M64 N78">
    <cfRule type="cellIs" dxfId="16602" priority="349" operator="equal">
      <formula>"PMS"</formula>
    </cfRule>
    <cfRule type="containsText" dxfId="16601" priority="350" operator="containsText" text="CMS">
      <formula>NOT(ISERROR(SEARCH("CMS",M20)))</formula>
    </cfRule>
    <cfRule type="cellIs" dxfId="16600" priority="351" operator="equal">
      <formula>0</formula>
    </cfRule>
    <cfRule type="cellIs" dxfId="16599" priority="352" operator="greaterThan">
      <formula>0</formula>
    </cfRule>
  </conditionalFormatting>
  <conditionalFormatting sqref="K56 K50:K51 K39:K48 K33 K27 K24 K20 K29:K30 K79">
    <cfRule type="cellIs" dxfId="16598" priority="341" operator="equal">
      <formula>"PMS"</formula>
    </cfRule>
    <cfRule type="containsText" dxfId="16597" priority="342" operator="containsText" text="CMS">
      <formula>NOT(ISERROR(SEARCH("CMS",K20)))</formula>
    </cfRule>
    <cfRule type="cellIs" dxfId="16596" priority="343" operator="equal">
      <formula>0</formula>
    </cfRule>
    <cfRule type="cellIs" dxfId="16595" priority="344" operator="greaterThan">
      <formula>0</formula>
    </cfRule>
    <cfRule type="cellIs" dxfId="16594" priority="345" operator="equal">
      <formula>"PMS"</formula>
    </cfRule>
    <cfRule type="containsText" dxfId="16593" priority="346" operator="containsText" text="CMS">
      <formula>NOT(ISERROR(SEARCH("CMS",K20)))</formula>
    </cfRule>
    <cfRule type="cellIs" dxfId="16592" priority="347" operator="equal">
      <formula>0</formula>
    </cfRule>
    <cfRule type="cellIs" dxfId="16591" priority="348" operator="greaterThan">
      <formula>0</formula>
    </cfRule>
  </conditionalFormatting>
  <conditionalFormatting sqref="K56 K50:K51 K39:K48 K33 K27 K24 K20 K29:K30 K79">
    <cfRule type="cellIs" dxfId="16590" priority="337" operator="equal">
      <formula>"PMS"</formula>
    </cfRule>
    <cfRule type="containsText" dxfId="16589" priority="338" operator="containsText" text="CMS">
      <formula>NOT(ISERROR(SEARCH("CMS",K20)))</formula>
    </cfRule>
    <cfRule type="cellIs" dxfId="16588" priority="339" operator="equal">
      <formula>0</formula>
    </cfRule>
    <cfRule type="cellIs" dxfId="16587" priority="340" operator="greaterThan">
      <formula>0</formula>
    </cfRule>
  </conditionalFormatting>
  <conditionalFormatting sqref="K28">
    <cfRule type="cellIs" dxfId="16586" priority="329" operator="equal">
      <formula>"PMS"</formula>
    </cfRule>
    <cfRule type="containsText" dxfId="16585" priority="330" operator="containsText" text="CMS">
      <formula>NOT(ISERROR(SEARCH("CMS",K28)))</formula>
    </cfRule>
    <cfRule type="cellIs" dxfId="16584" priority="331" operator="equal">
      <formula>0</formula>
    </cfRule>
    <cfRule type="cellIs" dxfId="16583" priority="332" operator="greaterThan">
      <formula>0</formula>
    </cfRule>
    <cfRule type="cellIs" dxfId="16582" priority="333" operator="equal">
      <formula>"PMS"</formula>
    </cfRule>
    <cfRule type="containsText" dxfId="16581" priority="334" operator="containsText" text="CMS">
      <formula>NOT(ISERROR(SEARCH("CMS",K28)))</formula>
    </cfRule>
    <cfRule type="cellIs" dxfId="16580" priority="335" operator="equal">
      <formula>0</formula>
    </cfRule>
    <cfRule type="cellIs" dxfId="16579" priority="336" operator="greaterThan">
      <formula>0</formula>
    </cfRule>
  </conditionalFormatting>
  <conditionalFormatting sqref="K28">
    <cfRule type="cellIs" dxfId="16578" priority="325" operator="equal">
      <formula>"PMS"</formula>
    </cfRule>
    <cfRule type="containsText" dxfId="16577" priority="326" operator="containsText" text="CMS">
      <formula>NOT(ISERROR(SEARCH("CMS",K28)))</formula>
    </cfRule>
    <cfRule type="cellIs" dxfId="16576" priority="327" operator="equal">
      <formula>0</formula>
    </cfRule>
    <cfRule type="cellIs" dxfId="16575" priority="328" operator="greaterThan">
      <formula>0</formula>
    </cfRule>
  </conditionalFormatting>
  <conditionalFormatting sqref="N62:O62 O63:O64">
    <cfRule type="cellIs" dxfId="16574" priority="317" operator="equal">
      <formula>"PMS"</formula>
    </cfRule>
    <cfRule type="containsText" dxfId="16573" priority="318" operator="containsText" text="CMS">
      <formula>NOT(ISERROR(SEARCH("CMS",N62)))</formula>
    </cfRule>
    <cfRule type="cellIs" dxfId="16572" priority="319" operator="equal">
      <formula>0</formula>
    </cfRule>
    <cfRule type="cellIs" dxfId="16571" priority="320" operator="greaterThan">
      <formula>0</formula>
    </cfRule>
    <cfRule type="cellIs" dxfId="16570" priority="321" operator="equal">
      <formula>"PMS"</formula>
    </cfRule>
    <cfRule type="containsText" dxfId="16569" priority="322" operator="containsText" text="CMS">
      <formula>NOT(ISERROR(SEARCH("CMS",N62)))</formula>
    </cfRule>
    <cfRule type="cellIs" dxfId="16568" priority="323" operator="equal">
      <formula>0</formula>
    </cfRule>
    <cfRule type="cellIs" dxfId="16567" priority="324" operator="greaterThan">
      <formula>0</formula>
    </cfRule>
  </conditionalFormatting>
  <conditionalFormatting sqref="N62:O62 O63:O64">
    <cfRule type="cellIs" dxfId="16566" priority="313" operator="equal">
      <formula>"PMS"</formula>
    </cfRule>
    <cfRule type="containsText" dxfId="16565" priority="314" operator="containsText" text="CMS">
      <formula>NOT(ISERROR(SEARCH("CMS",N62)))</formula>
    </cfRule>
    <cfRule type="cellIs" dxfId="16564" priority="315" operator="equal">
      <formula>0</formula>
    </cfRule>
    <cfRule type="cellIs" dxfId="16563" priority="316" operator="greaterThan">
      <formula>0</formula>
    </cfRule>
  </conditionalFormatting>
  <conditionalFormatting sqref="J14">
    <cfRule type="cellIs" dxfId="16562" priority="305" operator="equal">
      <formula>"PMS"</formula>
    </cfRule>
    <cfRule type="containsText" dxfId="16561" priority="306" operator="containsText" text="CMS">
      <formula>NOT(ISERROR(SEARCH("CMS",J14)))</formula>
    </cfRule>
    <cfRule type="cellIs" dxfId="16560" priority="307" operator="equal">
      <formula>0</formula>
    </cfRule>
    <cfRule type="cellIs" dxfId="16559" priority="308" operator="greaterThan">
      <formula>0</formula>
    </cfRule>
    <cfRule type="cellIs" dxfId="16558" priority="309" operator="equal">
      <formula>"PMS"</formula>
    </cfRule>
    <cfRule type="containsText" dxfId="16557" priority="310" operator="containsText" text="CMS">
      <formula>NOT(ISERROR(SEARCH("CMS",J14)))</formula>
    </cfRule>
    <cfRule type="cellIs" dxfId="16556" priority="311" operator="equal">
      <formula>0</formula>
    </cfRule>
    <cfRule type="cellIs" dxfId="16555" priority="312" operator="greaterThan">
      <formula>0</formula>
    </cfRule>
  </conditionalFormatting>
  <conditionalFormatting sqref="J14">
    <cfRule type="cellIs" dxfId="16554" priority="301" operator="equal">
      <formula>"PMS"</formula>
    </cfRule>
    <cfRule type="containsText" dxfId="16553" priority="302" operator="containsText" text="CMS">
      <formula>NOT(ISERROR(SEARCH("CMS",J14)))</formula>
    </cfRule>
    <cfRule type="cellIs" dxfId="16552" priority="303" operator="equal">
      <formula>0</formula>
    </cfRule>
    <cfRule type="cellIs" dxfId="16551" priority="304" operator="greaterThan">
      <formula>0</formula>
    </cfRule>
  </conditionalFormatting>
  <conditionalFormatting sqref="U28">
    <cfRule type="cellIs" dxfId="16550" priority="293" operator="equal">
      <formula>"PMS"</formula>
    </cfRule>
    <cfRule type="containsText" dxfId="16549" priority="294" operator="containsText" text="CMS">
      <formula>NOT(ISERROR(SEARCH("CMS",U28)))</formula>
    </cfRule>
    <cfRule type="cellIs" dxfId="16548" priority="295" operator="equal">
      <formula>0</formula>
    </cfRule>
    <cfRule type="cellIs" dxfId="16547" priority="296" operator="greaterThan">
      <formula>0</formula>
    </cfRule>
    <cfRule type="cellIs" dxfId="16546" priority="297" operator="equal">
      <formula>"PMS"</formula>
    </cfRule>
    <cfRule type="containsText" dxfId="16545" priority="298" operator="containsText" text="CMS">
      <formula>NOT(ISERROR(SEARCH("CMS",U28)))</formula>
    </cfRule>
    <cfRule type="cellIs" dxfId="16544" priority="299" operator="equal">
      <formula>0</formula>
    </cfRule>
    <cfRule type="cellIs" dxfId="16543" priority="300" operator="greaterThan">
      <formula>0</formula>
    </cfRule>
  </conditionalFormatting>
  <conditionalFormatting sqref="U28">
    <cfRule type="cellIs" dxfId="16542" priority="289" operator="equal">
      <formula>"PMS"</formula>
    </cfRule>
    <cfRule type="containsText" dxfId="16541" priority="290" operator="containsText" text="CMS">
      <formula>NOT(ISERROR(SEARCH("CMS",U28)))</formula>
    </cfRule>
    <cfRule type="cellIs" dxfId="16540" priority="291" operator="equal">
      <formula>0</formula>
    </cfRule>
    <cfRule type="cellIs" dxfId="16539" priority="292" operator="greaterThan">
      <formula>0</formula>
    </cfRule>
  </conditionalFormatting>
  <conditionalFormatting sqref="Y27:AA27">
    <cfRule type="cellIs" dxfId="16538" priority="281" operator="equal">
      <formula>"PMS"</formula>
    </cfRule>
    <cfRule type="containsText" dxfId="16537" priority="282" operator="containsText" text="CMS">
      <formula>NOT(ISERROR(SEARCH("CMS",Y27)))</formula>
    </cfRule>
    <cfRule type="cellIs" dxfId="16536" priority="283" operator="equal">
      <formula>0</formula>
    </cfRule>
    <cfRule type="cellIs" dxfId="16535" priority="284" operator="greaterThan">
      <formula>0</formula>
    </cfRule>
    <cfRule type="cellIs" dxfId="16534" priority="285" operator="equal">
      <formula>"PMS"</formula>
    </cfRule>
    <cfRule type="containsText" dxfId="16533" priority="286" operator="containsText" text="CMS">
      <formula>NOT(ISERROR(SEARCH("CMS",Y27)))</formula>
    </cfRule>
    <cfRule type="cellIs" dxfId="16532" priority="287" operator="equal">
      <formula>0</formula>
    </cfRule>
    <cfRule type="cellIs" dxfId="16531" priority="288" operator="greaterThan">
      <formula>0</formula>
    </cfRule>
  </conditionalFormatting>
  <conditionalFormatting sqref="Y27:AA27">
    <cfRule type="cellIs" dxfId="16530" priority="277" operator="equal">
      <formula>"PMS"</formula>
    </cfRule>
    <cfRule type="containsText" dxfId="16529" priority="278" operator="containsText" text="CMS">
      <formula>NOT(ISERROR(SEARCH("CMS",Y27)))</formula>
    </cfRule>
    <cfRule type="cellIs" dxfId="16528" priority="279" operator="equal">
      <formula>0</formula>
    </cfRule>
    <cfRule type="cellIs" dxfId="16527" priority="280" operator="greaterThan">
      <formula>0</formula>
    </cfRule>
  </conditionalFormatting>
  <conditionalFormatting sqref="G62:G64">
    <cfRule type="cellIs" dxfId="16526" priority="269" operator="equal">
      <formula>"PMS"</formula>
    </cfRule>
    <cfRule type="containsText" dxfId="16525" priority="270" operator="containsText" text="CMS">
      <formula>NOT(ISERROR(SEARCH("CMS",G62)))</formula>
    </cfRule>
    <cfRule type="cellIs" dxfId="16524" priority="271" operator="equal">
      <formula>0</formula>
    </cfRule>
    <cfRule type="cellIs" dxfId="16523" priority="272" operator="greaterThan">
      <formula>0</formula>
    </cfRule>
    <cfRule type="cellIs" dxfId="16522" priority="273" operator="equal">
      <formula>"PMS"</formula>
    </cfRule>
    <cfRule type="containsText" dxfId="16521" priority="274" operator="containsText" text="CMS">
      <formula>NOT(ISERROR(SEARCH("CMS",G62)))</formula>
    </cfRule>
    <cfRule type="cellIs" dxfId="16520" priority="275" operator="equal">
      <formula>0</formula>
    </cfRule>
    <cfRule type="cellIs" dxfId="16519" priority="276" operator="greaterThan">
      <formula>0</formula>
    </cfRule>
  </conditionalFormatting>
  <conditionalFormatting sqref="G62:G64">
    <cfRule type="cellIs" dxfId="16518" priority="265" operator="equal">
      <formula>"PMS"</formula>
    </cfRule>
    <cfRule type="containsText" dxfId="16517" priority="266" operator="containsText" text="CMS">
      <formula>NOT(ISERROR(SEARCH("CMS",G62)))</formula>
    </cfRule>
    <cfRule type="cellIs" dxfId="16516" priority="267" operator="equal">
      <formula>0</formula>
    </cfRule>
    <cfRule type="cellIs" dxfId="16515" priority="268" operator="greaterThan">
      <formula>0</formula>
    </cfRule>
  </conditionalFormatting>
  <conditionalFormatting sqref="N40">
    <cfRule type="cellIs" dxfId="16514" priority="257" operator="equal">
      <formula>"PMS"</formula>
    </cfRule>
    <cfRule type="containsText" dxfId="16513" priority="258" operator="containsText" text="CMS">
      <formula>NOT(ISERROR(SEARCH("CMS",N40)))</formula>
    </cfRule>
    <cfRule type="cellIs" dxfId="16512" priority="259" operator="equal">
      <formula>0</formula>
    </cfRule>
    <cfRule type="cellIs" dxfId="16511" priority="260" operator="greaterThan">
      <formula>0</formula>
    </cfRule>
    <cfRule type="cellIs" dxfId="16510" priority="261" operator="equal">
      <formula>"PMS"</formula>
    </cfRule>
    <cfRule type="containsText" dxfId="16509" priority="262" operator="containsText" text="CMS">
      <formula>NOT(ISERROR(SEARCH("CMS",N40)))</formula>
    </cfRule>
    <cfRule type="cellIs" dxfId="16508" priority="263" operator="equal">
      <formula>0</formula>
    </cfRule>
    <cfRule type="cellIs" dxfId="16507" priority="264" operator="greaterThan">
      <formula>0</formula>
    </cfRule>
  </conditionalFormatting>
  <conditionalFormatting sqref="N40">
    <cfRule type="cellIs" dxfId="16506" priority="253" operator="equal">
      <formula>"PMS"</formula>
    </cfRule>
    <cfRule type="containsText" dxfId="16505" priority="254" operator="containsText" text="CMS">
      <formula>NOT(ISERROR(SEARCH("CMS",N40)))</formula>
    </cfRule>
    <cfRule type="cellIs" dxfId="16504" priority="255" operator="equal">
      <formula>0</formula>
    </cfRule>
    <cfRule type="cellIs" dxfId="16503" priority="256" operator="greaterThan">
      <formula>0</formula>
    </cfRule>
  </conditionalFormatting>
  <conditionalFormatting sqref="O30">
    <cfRule type="cellIs" dxfId="16502" priority="245" operator="equal">
      <formula>"PMS"</formula>
    </cfRule>
    <cfRule type="containsText" dxfId="16501" priority="246" operator="containsText" text="CMS">
      <formula>NOT(ISERROR(SEARCH("CMS",O30)))</formula>
    </cfRule>
    <cfRule type="cellIs" dxfId="16500" priority="247" operator="equal">
      <formula>0</formula>
    </cfRule>
    <cfRule type="cellIs" dxfId="16499" priority="248" operator="greaterThan">
      <formula>0</formula>
    </cfRule>
    <cfRule type="cellIs" dxfId="16498" priority="249" operator="equal">
      <formula>"PMS"</formula>
    </cfRule>
    <cfRule type="containsText" dxfId="16497" priority="250" operator="containsText" text="CMS">
      <formula>NOT(ISERROR(SEARCH("CMS",O30)))</formula>
    </cfRule>
    <cfRule type="cellIs" dxfId="16496" priority="251" operator="equal">
      <formula>0</formula>
    </cfRule>
    <cfRule type="cellIs" dxfId="16495" priority="252" operator="greaterThan">
      <formula>0</formula>
    </cfRule>
  </conditionalFormatting>
  <conditionalFormatting sqref="O30">
    <cfRule type="cellIs" dxfId="16494" priority="241" operator="equal">
      <formula>"PMS"</formula>
    </cfRule>
    <cfRule type="containsText" dxfId="16493" priority="242" operator="containsText" text="CMS">
      <formula>NOT(ISERROR(SEARCH("CMS",O30)))</formula>
    </cfRule>
    <cfRule type="cellIs" dxfId="16492" priority="243" operator="equal">
      <formula>0</formula>
    </cfRule>
    <cfRule type="cellIs" dxfId="16491" priority="244" operator="greaterThan">
      <formula>0</formula>
    </cfRule>
  </conditionalFormatting>
  <conditionalFormatting sqref="O47:O56">
    <cfRule type="cellIs" dxfId="16490" priority="233" operator="equal">
      <formula>"PMS"</formula>
    </cfRule>
    <cfRule type="containsText" dxfId="16489" priority="234" operator="containsText" text="CMS">
      <formula>NOT(ISERROR(SEARCH("CMS",O47)))</formula>
    </cfRule>
    <cfRule type="cellIs" dxfId="16488" priority="235" operator="equal">
      <formula>0</formula>
    </cfRule>
    <cfRule type="cellIs" dxfId="16487" priority="236" operator="greaterThan">
      <formula>0</formula>
    </cfRule>
    <cfRule type="cellIs" dxfId="16486" priority="237" operator="equal">
      <formula>"PMS"</formula>
    </cfRule>
    <cfRule type="containsText" dxfId="16485" priority="238" operator="containsText" text="CMS">
      <formula>NOT(ISERROR(SEARCH("CMS",O47)))</formula>
    </cfRule>
    <cfRule type="cellIs" dxfId="16484" priority="239" operator="equal">
      <formula>0</formula>
    </cfRule>
    <cfRule type="cellIs" dxfId="16483" priority="240" operator="greaterThan">
      <formula>0</formula>
    </cfRule>
  </conditionalFormatting>
  <conditionalFormatting sqref="O47:O56">
    <cfRule type="cellIs" dxfId="16482" priority="229" operator="equal">
      <formula>"PMS"</formula>
    </cfRule>
    <cfRule type="containsText" dxfId="16481" priority="230" operator="containsText" text="CMS">
      <formula>NOT(ISERROR(SEARCH("CMS",O47)))</formula>
    </cfRule>
    <cfRule type="cellIs" dxfId="16480" priority="231" operator="equal">
      <formula>0</formula>
    </cfRule>
    <cfRule type="cellIs" dxfId="16479" priority="232" operator="greaterThan">
      <formula>0</formula>
    </cfRule>
  </conditionalFormatting>
  <conditionalFormatting sqref="F82">
    <cfRule type="cellIs" dxfId="16478" priority="221" operator="equal">
      <formula>"PMS"</formula>
    </cfRule>
    <cfRule type="containsText" dxfId="16477" priority="222" operator="containsText" text="CMS">
      <formula>NOT(ISERROR(SEARCH("CMS",F82)))</formula>
    </cfRule>
    <cfRule type="cellIs" dxfId="16476" priority="223" operator="equal">
      <formula>0</formula>
    </cfRule>
    <cfRule type="cellIs" dxfId="16475" priority="224" operator="greaterThan">
      <formula>0</formula>
    </cfRule>
    <cfRule type="cellIs" dxfId="16474" priority="225" operator="equal">
      <formula>"PMS"</formula>
    </cfRule>
    <cfRule type="containsText" dxfId="16473" priority="226" operator="containsText" text="CMS">
      <formula>NOT(ISERROR(SEARCH("CMS",F82)))</formula>
    </cfRule>
    <cfRule type="cellIs" dxfId="16472" priority="227" operator="equal">
      <formula>0</formula>
    </cfRule>
    <cfRule type="cellIs" dxfId="16471" priority="228" operator="greaterThan">
      <formula>0</formula>
    </cfRule>
  </conditionalFormatting>
  <conditionalFormatting sqref="F82">
    <cfRule type="cellIs" dxfId="16470" priority="217" operator="equal">
      <formula>"PMS"</formula>
    </cfRule>
    <cfRule type="containsText" dxfId="16469" priority="218" operator="containsText" text="CMS">
      <formula>NOT(ISERROR(SEARCH("CMS",F82)))</formula>
    </cfRule>
    <cfRule type="cellIs" dxfId="16468" priority="219" operator="equal">
      <formula>0</formula>
    </cfRule>
    <cfRule type="cellIs" dxfId="16467" priority="220" operator="greaterThan">
      <formula>0</formula>
    </cfRule>
  </conditionalFormatting>
  <conditionalFormatting sqref="H15">
    <cfRule type="cellIs" dxfId="16466" priority="209" operator="equal">
      <formula>"PMS"</formula>
    </cfRule>
    <cfRule type="containsText" dxfId="16465" priority="210" operator="containsText" text="CMS">
      <formula>NOT(ISERROR(SEARCH("CMS",H15)))</formula>
    </cfRule>
    <cfRule type="cellIs" dxfId="16464" priority="211" operator="equal">
      <formula>0</formula>
    </cfRule>
    <cfRule type="cellIs" dxfId="16463" priority="212" operator="greaterThan">
      <formula>0</formula>
    </cfRule>
    <cfRule type="cellIs" dxfId="16462" priority="213" operator="equal">
      <formula>"PMS"</formula>
    </cfRule>
    <cfRule type="containsText" dxfId="16461" priority="214" operator="containsText" text="CMS">
      <formula>NOT(ISERROR(SEARCH("CMS",H15)))</formula>
    </cfRule>
    <cfRule type="cellIs" dxfId="16460" priority="215" operator="equal">
      <formula>0</formula>
    </cfRule>
    <cfRule type="cellIs" dxfId="16459" priority="216" operator="greaterThan">
      <formula>0</formula>
    </cfRule>
  </conditionalFormatting>
  <conditionalFormatting sqref="H15">
    <cfRule type="cellIs" dxfId="16458" priority="205" operator="equal">
      <formula>"PMS"</formula>
    </cfRule>
    <cfRule type="containsText" dxfId="16457" priority="206" operator="containsText" text="CMS">
      <formula>NOT(ISERROR(SEARCH("CMS",H15)))</formula>
    </cfRule>
    <cfRule type="cellIs" dxfId="16456" priority="207" operator="equal">
      <formula>0</formula>
    </cfRule>
    <cfRule type="cellIs" dxfId="16455" priority="208" operator="greaterThan">
      <formula>0</formula>
    </cfRule>
  </conditionalFormatting>
  <conditionalFormatting sqref="G14">
    <cfRule type="cellIs" dxfId="16454" priority="197" operator="equal">
      <formula>"PMS"</formula>
    </cfRule>
    <cfRule type="containsText" dxfId="16453" priority="198" operator="containsText" text="CMS">
      <formula>NOT(ISERROR(SEARCH("CMS",G14)))</formula>
    </cfRule>
    <cfRule type="cellIs" dxfId="16452" priority="199" operator="equal">
      <formula>0</formula>
    </cfRule>
    <cfRule type="cellIs" dxfId="16451" priority="200" operator="greaterThan">
      <formula>0</formula>
    </cfRule>
    <cfRule type="cellIs" dxfId="16450" priority="201" operator="equal">
      <formula>"PMS"</formula>
    </cfRule>
    <cfRule type="containsText" dxfId="16449" priority="202" operator="containsText" text="CMS">
      <formula>NOT(ISERROR(SEARCH("CMS",G14)))</formula>
    </cfRule>
    <cfRule type="cellIs" dxfId="16448" priority="203" operator="equal">
      <formula>0</formula>
    </cfRule>
    <cfRule type="cellIs" dxfId="16447" priority="204" operator="greaterThan">
      <formula>0</formula>
    </cfRule>
  </conditionalFormatting>
  <conditionalFormatting sqref="G14">
    <cfRule type="cellIs" dxfId="16446" priority="193" operator="equal">
      <formula>"PMS"</formula>
    </cfRule>
    <cfRule type="containsText" dxfId="16445" priority="194" operator="containsText" text="CMS">
      <formula>NOT(ISERROR(SEARCH("CMS",G14)))</formula>
    </cfRule>
    <cfRule type="cellIs" dxfId="16444" priority="195" operator="equal">
      <formula>0</formula>
    </cfRule>
    <cfRule type="cellIs" dxfId="16443" priority="196" operator="greaterThan">
      <formula>0</formula>
    </cfRule>
  </conditionalFormatting>
  <conditionalFormatting sqref="N48">
    <cfRule type="cellIs" dxfId="16442" priority="185" operator="equal">
      <formula>"PMS"</formula>
    </cfRule>
    <cfRule type="containsText" dxfId="16441" priority="186" operator="containsText" text="CMS">
      <formula>NOT(ISERROR(SEARCH("CMS",N48)))</formula>
    </cfRule>
    <cfRule type="cellIs" dxfId="16440" priority="187" operator="equal">
      <formula>0</formula>
    </cfRule>
    <cfRule type="cellIs" dxfId="16439" priority="188" operator="greaterThan">
      <formula>0</formula>
    </cfRule>
    <cfRule type="cellIs" dxfId="16438" priority="189" operator="equal">
      <formula>"PMS"</formula>
    </cfRule>
    <cfRule type="containsText" dxfId="16437" priority="190" operator="containsText" text="CMS">
      <formula>NOT(ISERROR(SEARCH("CMS",N48)))</formula>
    </cfRule>
    <cfRule type="cellIs" dxfId="16436" priority="191" operator="equal">
      <formula>0</formula>
    </cfRule>
    <cfRule type="cellIs" dxfId="16435" priority="192" operator="greaterThan">
      <formula>0</formula>
    </cfRule>
  </conditionalFormatting>
  <conditionalFormatting sqref="N48">
    <cfRule type="cellIs" dxfId="16434" priority="181" operator="equal">
      <formula>"PMS"</formula>
    </cfRule>
    <cfRule type="containsText" dxfId="16433" priority="182" operator="containsText" text="CMS">
      <formula>NOT(ISERROR(SEARCH("CMS",N48)))</formula>
    </cfRule>
    <cfRule type="cellIs" dxfId="16432" priority="183" operator="equal">
      <formula>0</formula>
    </cfRule>
    <cfRule type="cellIs" dxfId="16431" priority="184" operator="greaterThan">
      <formula>0</formula>
    </cfRule>
  </conditionalFormatting>
  <conditionalFormatting sqref="N50">
    <cfRule type="cellIs" dxfId="16430" priority="173" operator="equal">
      <formula>"PMS"</formula>
    </cfRule>
    <cfRule type="containsText" dxfId="16429" priority="174" operator="containsText" text="CMS">
      <formula>NOT(ISERROR(SEARCH("CMS",N50)))</formula>
    </cfRule>
    <cfRule type="cellIs" dxfId="16428" priority="175" operator="equal">
      <formula>0</formula>
    </cfRule>
    <cfRule type="cellIs" dxfId="16427" priority="176" operator="greaterThan">
      <formula>0</formula>
    </cfRule>
    <cfRule type="cellIs" dxfId="16426" priority="177" operator="equal">
      <formula>"PMS"</formula>
    </cfRule>
    <cfRule type="containsText" dxfId="16425" priority="178" operator="containsText" text="CMS">
      <formula>NOT(ISERROR(SEARCH("CMS",N50)))</formula>
    </cfRule>
    <cfRule type="cellIs" dxfId="16424" priority="179" operator="equal">
      <formula>0</formula>
    </cfRule>
    <cfRule type="cellIs" dxfId="16423" priority="180" operator="greaterThan">
      <formula>0</formula>
    </cfRule>
  </conditionalFormatting>
  <conditionalFormatting sqref="N50">
    <cfRule type="cellIs" dxfId="16422" priority="169" operator="equal">
      <formula>"PMS"</formula>
    </cfRule>
    <cfRule type="containsText" dxfId="16421" priority="170" operator="containsText" text="CMS">
      <formula>NOT(ISERROR(SEARCH("CMS",N50)))</formula>
    </cfRule>
    <cfRule type="cellIs" dxfId="16420" priority="171" operator="equal">
      <formula>0</formula>
    </cfRule>
    <cfRule type="cellIs" dxfId="16419" priority="172" operator="greaterThan">
      <formula>0</formula>
    </cfRule>
  </conditionalFormatting>
  <conditionalFormatting sqref="N56">
    <cfRule type="cellIs" dxfId="16418" priority="161" operator="equal">
      <formula>"PMS"</formula>
    </cfRule>
    <cfRule type="containsText" dxfId="16417" priority="162" operator="containsText" text="CMS">
      <formula>NOT(ISERROR(SEARCH("CMS",N56)))</formula>
    </cfRule>
    <cfRule type="cellIs" dxfId="16416" priority="163" operator="equal">
      <formula>0</formula>
    </cfRule>
    <cfRule type="cellIs" dxfId="16415" priority="164" operator="greaterThan">
      <formula>0</formula>
    </cfRule>
    <cfRule type="cellIs" dxfId="16414" priority="165" operator="equal">
      <formula>"PMS"</formula>
    </cfRule>
    <cfRule type="containsText" dxfId="16413" priority="166" operator="containsText" text="CMS">
      <formula>NOT(ISERROR(SEARCH("CMS",N56)))</formula>
    </cfRule>
    <cfRule type="cellIs" dxfId="16412" priority="167" operator="equal">
      <formula>0</formula>
    </cfRule>
    <cfRule type="cellIs" dxfId="16411" priority="168" operator="greaterThan">
      <formula>0</formula>
    </cfRule>
  </conditionalFormatting>
  <conditionalFormatting sqref="N56">
    <cfRule type="cellIs" dxfId="16410" priority="157" operator="equal">
      <formula>"PMS"</formula>
    </cfRule>
    <cfRule type="containsText" dxfId="16409" priority="158" operator="containsText" text="CMS">
      <formula>NOT(ISERROR(SEARCH("CMS",N56)))</formula>
    </cfRule>
    <cfRule type="cellIs" dxfId="16408" priority="159" operator="equal">
      <formula>0</formula>
    </cfRule>
    <cfRule type="cellIs" dxfId="16407" priority="160" operator="greaterThan">
      <formula>0</formula>
    </cfRule>
  </conditionalFormatting>
  <conditionalFormatting sqref="N63:N64">
    <cfRule type="cellIs" dxfId="16406" priority="149" operator="equal">
      <formula>"PMS"</formula>
    </cfRule>
    <cfRule type="containsText" dxfId="16405" priority="150" operator="containsText" text="CMS">
      <formula>NOT(ISERROR(SEARCH("CMS",N63)))</formula>
    </cfRule>
    <cfRule type="cellIs" dxfId="16404" priority="151" operator="equal">
      <formula>0</formula>
    </cfRule>
    <cfRule type="cellIs" dxfId="16403" priority="152" operator="greaterThan">
      <formula>0</formula>
    </cfRule>
    <cfRule type="cellIs" dxfId="16402" priority="153" operator="equal">
      <formula>"PMS"</formula>
    </cfRule>
    <cfRule type="containsText" dxfId="16401" priority="154" operator="containsText" text="CMS">
      <formula>NOT(ISERROR(SEARCH("CMS",N63)))</formula>
    </cfRule>
    <cfRule type="cellIs" dxfId="16400" priority="155" operator="equal">
      <formula>0</formula>
    </cfRule>
    <cfRule type="cellIs" dxfId="16399" priority="156" operator="greaterThan">
      <formula>0</formula>
    </cfRule>
  </conditionalFormatting>
  <conditionalFormatting sqref="N63:N64">
    <cfRule type="cellIs" dxfId="16398" priority="145" operator="equal">
      <formula>"PMS"</formula>
    </cfRule>
    <cfRule type="containsText" dxfId="16397" priority="146" operator="containsText" text="CMS">
      <formula>NOT(ISERROR(SEARCH("CMS",N63)))</formula>
    </cfRule>
    <cfRule type="cellIs" dxfId="16396" priority="147" operator="equal">
      <formula>0</formula>
    </cfRule>
    <cfRule type="cellIs" dxfId="16395" priority="148" operator="greaterThan">
      <formula>0</formula>
    </cfRule>
  </conditionalFormatting>
  <conditionalFormatting sqref="G78:K78">
    <cfRule type="cellIs" dxfId="16394" priority="89" operator="equal">
      <formula>"PMS"</formula>
    </cfRule>
    <cfRule type="containsText" dxfId="16393" priority="90" operator="containsText" text="CMS">
      <formula>NOT(ISERROR(SEARCH("CMS",G78)))</formula>
    </cfRule>
    <cfRule type="cellIs" dxfId="16392" priority="91" operator="equal">
      <formula>0</formula>
    </cfRule>
    <cfRule type="cellIs" dxfId="16391" priority="92" operator="greaterThan">
      <formula>0</formula>
    </cfRule>
    <cfRule type="cellIs" dxfId="16390" priority="93" operator="equal">
      <formula>"PMS"</formula>
    </cfRule>
    <cfRule type="containsText" dxfId="16389" priority="94" operator="containsText" text="CMS">
      <formula>NOT(ISERROR(SEARCH("CMS",G78)))</formula>
    </cfRule>
    <cfRule type="cellIs" dxfId="16388" priority="95" operator="equal">
      <formula>0</formula>
    </cfRule>
    <cfRule type="cellIs" dxfId="16387" priority="96" operator="greaterThan">
      <formula>0</formula>
    </cfRule>
  </conditionalFormatting>
  <conditionalFormatting sqref="G78:K78">
    <cfRule type="cellIs" dxfId="16386" priority="85" operator="equal">
      <formula>"PMS"</formula>
    </cfRule>
    <cfRule type="containsText" dxfId="16385" priority="86" operator="containsText" text="CMS">
      <formula>NOT(ISERROR(SEARCH("CMS",G78)))</formula>
    </cfRule>
    <cfRule type="cellIs" dxfId="16384" priority="87" operator="equal">
      <formula>0</formula>
    </cfRule>
    <cfRule type="cellIs" dxfId="16383" priority="88" operator="greaterThan">
      <formula>0</formula>
    </cfRule>
  </conditionalFormatting>
  <conditionalFormatting sqref="M78">
    <cfRule type="cellIs" dxfId="16382" priority="77" operator="equal">
      <formula>"PMS"</formula>
    </cfRule>
    <cfRule type="containsText" dxfId="16381" priority="78" operator="containsText" text="CMS">
      <formula>NOT(ISERROR(SEARCH("CMS",M78)))</formula>
    </cfRule>
    <cfRule type="cellIs" dxfId="16380" priority="79" operator="equal">
      <formula>0</formula>
    </cfRule>
    <cfRule type="cellIs" dxfId="16379" priority="80" operator="greaterThan">
      <formula>0</formula>
    </cfRule>
    <cfRule type="cellIs" dxfId="16378" priority="81" operator="equal">
      <formula>"PMS"</formula>
    </cfRule>
    <cfRule type="containsText" dxfId="16377" priority="82" operator="containsText" text="CMS">
      <formula>NOT(ISERROR(SEARCH("CMS",M78)))</formula>
    </cfRule>
    <cfRule type="cellIs" dxfId="16376" priority="83" operator="equal">
      <formula>0</formula>
    </cfRule>
    <cfRule type="cellIs" dxfId="16375" priority="84" operator="greaterThan">
      <formula>0</formula>
    </cfRule>
  </conditionalFormatting>
  <conditionalFormatting sqref="M78">
    <cfRule type="cellIs" dxfId="16374" priority="73" operator="equal">
      <formula>"PMS"</formula>
    </cfRule>
    <cfRule type="containsText" dxfId="16373" priority="74" operator="containsText" text="CMS">
      <formula>NOT(ISERROR(SEARCH("CMS",M78)))</formula>
    </cfRule>
    <cfRule type="cellIs" dxfId="16372" priority="75" operator="equal">
      <formula>0</formula>
    </cfRule>
    <cfRule type="cellIs" dxfId="16371" priority="76" operator="greaterThan">
      <formula>0</formula>
    </cfRule>
  </conditionalFormatting>
  <conditionalFormatting sqref="O40">
    <cfRule type="cellIs" dxfId="16370" priority="65" operator="equal">
      <formula>"PMS"</formula>
    </cfRule>
    <cfRule type="containsText" dxfId="16369" priority="66" operator="containsText" text="CMS">
      <formula>NOT(ISERROR(SEARCH("CMS",O40)))</formula>
    </cfRule>
    <cfRule type="cellIs" dxfId="16368" priority="67" operator="equal">
      <formula>0</formula>
    </cfRule>
    <cfRule type="cellIs" dxfId="16367" priority="68" operator="greaterThan">
      <formula>0</formula>
    </cfRule>
    <cfRule type="cellIs" dxfId="16366" priority="69" operator="equal">
      <formula>"PMS"</formula>
    </cfRule>
    <cfRule type="containsText" dxfId="16365" priority="70" operator="containsText" text="CMS">
      <formula>NOT(ISERROR(SEARCH("CMS",O40)))</formula>
    </cfRule>
    <cfRule type="cellIs" dxfId="16364" priority="71" operator="equal">
      <formula>0</formula>
    </cfRule>
    <cfRule type="cellIs" dxfId="16363" priority="72" operator="greaterThan">
      <formula>0</formula>
    </cfRule>
  </conditionalFormatting>
  <conditionalFormatting sqref="O40">
    <cfRule type="cellIs" dxfId="16362" priority="61" operator="equal">
      <formula>"PMS"</formula>
    </cfRule>
    <cfRule type="containsText" dxfId="16361" priority="62" operator="containsText" text="CMS">
      <formula>NOT(ISERROR(SEARCH("CMS",O40)))</formula>
    </cfRule>
    <cfRule type="cellIs" dxfId="16360" priority="63" operator="equal">
      <formula>0</formula>
    </cfRule>
    <cfRule type="cellIs" dxfId="16359" priority="64" operator="greaterThan">
      <formula>0</formula>
    </cfRule>
  </conditionalFormatting>
  <conditionalFormatting sqref="F13:F16 F62:F64 F36:F59">
    <cfRule type="cellIs" dxfId="16358" priority="53" operator="equal">
      <formula>"PMS"</formula>
    </cfRule>
    <cfRule type="containsText" dxfId="16357" priority="54" operator="containsText" text="CMS">
      <formula>NOT(ISERROR(SEARCH("CMS",F13)))</formula>
    </cfRule>
    <cfRule type="cellIs" dxfId="16356" priority="55" operator="equal">
      <formula>0</formula>
    </cfRule>
    <cfRule type="cellIs" dxfId="16355" priority="56" operator="greaterThan">
      <formula>0</formula>
    </cfRule>
    <cfRule type="cellIs" dxfId="16354" priority="57" operator="equal">
      <formula>"PMS"</formula>
    </cfRule>
    <cfRule type="containsText" dxfId="16353" priority="58" operator="containsText" text="CMS">
      <formula>NOT(ISERROR(SEARCH("CMS",F13)))</formula>
    </cfRule>
    <cfRule type="cellIs" dxfId="16352" priority="59" operator="equal">
      <formula>0</formula>
    </cfRule>
    <cfRule type="cellIs" dxfId="16351" priority="60" operator="greaterThan">
      <formula>0</formula>
    </cfRule>
  </conditionalFormatting>
  <conditionalFormatting sqref="F13:F16 F62:F64 F36:F59">
    <cfRule type="cellIs" dxfId="16350" priority="49" operator="equal">
      <formula>"PMS"</formula>
    </cfRule>
    <cfRule type="containsText" dxfId="16349" priority="50" operator="containsText" text="CMS">
      <formula>NOT(ISERROR(SEARCH("CMS",F13)))</formula>
    </cfRule>
    <cfRule type="cellIs" dxfId="16348" priority="51" operator="equal">
      <formula>0</formula>
    </cfRule>
    <cfRule type="cellIs" dxfId="16347" priority="52" operator="greaterThan">
      <formula>0</formula>
    </cfRule>
  </conditionalFormatting>
  <conditionalFormatting sqref="F67:F75">
    <cfRule type="cellIs" dxfId="16346" priority="41" operator="equal">
      <formula>"PMS"</formula>
    </cfRule>
    <cfRule type="containsText" dxfId="16345" priority="42" operator="containsText" text="CMS">
      <formula>NOT(ISERROR(SEARCH("CMS",F67)))</formula>
    </cfRule>
    <cfRule type="cellIs" dxfId="16344" priority="43" operator="equal">
      <formula>0</formula>
    </cfRule>
    <cfRule type="cellIs" dxfId="16343" priority="44" operator="greaterThan">
      <formula>0</formula>
    </cfRule>
    <cfRule type="cellIs" dxfId="16342" priority="45" operator="equal">
      <formula>"PMS"</formula>
    </cfRule>
    <cfRule type="containsText" dxfId="16341" priority="46" operator="containsText" text="CMS">
      <formula>NOT(ISERROR(SEARCH("CMS",F67)))</formula>
    </cfRule>
    <cfRule type="cellIs" dxfId="16340" priority="47" operator="equal">
      <formula>0</formula>
    </cfRule>
    <cfRule type="cellIs" dxfId="16339" priority="48" operator="greaterThan">
      <formula>0</formula>
    </cfRule>
  </conditionalFormatting>
  <conditionalFormatting sqref="F67:F75">
    <cfRule type="cellIs" dxfId="16338" priority="37" operator="equal">
      <formula>"PMS"</formula>
    </cfRule>
    <cfRule type="containsText" dxfId="16337" priority="38" operator="containsText" text="CMS">
      <formula>NOT(ISERROR(SEARCH("CMS",F67)))</formula>
    </cfRule>
    <cfRule type="cellIs" dxfId="16336" priority="39" operator="equal">
      <formula>0</formula>
    </cfRule>
    <cfRule type="cellIs" dxfId="16335" priority="40" operator="greaterThan">
      <formula>0</formula>
    </cfRule>
  </conditionalFormatting>
  <conditionalFormatting sqref="F33 F28:F30 F19:F21 F78:F79 F24">
    <cfRule type="cellIs" dxfId="16334" priority="29" operator="equal">
      <formula>"PMS"</formula>
    </cfRule>
    <cfRule type="containsText" dxfId="16333" priority="30" operator="containsText" text="CMS">
      <formula>NOT(ISERROR(SEARCH("CMS",F19)))</formula>
    </cfRule>
    <cfRule type="cellIs" dxfId="16332" priority="31" operator="equal">
      <formula>0</formula>
    </cfRule>
    <cfRule type="cellIs" dxfId="16331" priority="32" operator="greaterThan">
      <formula>0</formula>
    </cfRule>
    <cfRule type="cellIs" dxfId="16330" priority="33" operator="equal">
      <formula>"PMS"</formula>
    </cfRule>
    <cfRule type="containsText" dxfId="16329" priority="34" operator="containsText" text="CMS">
      <formula>NOT(ISERROR(SEARCH("CMS",F19)))</formula>
    </cfRule>
    <cfRule type="cellIs" dxfId="16328" priority="35" operator="equal">
      <formula>0</formula>
    </cfRule>
    <cfRule type="cellIs" dxfId="16327" priority="36" operator="greaterThan">
      <formula>0</formula>
    </cfRule>
  </conditionalFormatting>
  <conditionalFormatting sqref="F33 F28:F30 F19:F21 F78:F79 F24">
    <cfRule type="cellIs" dxfId="16326" priority="25" operator="equal">
      <formula>"PMS"</formula>
    </cfRule>
    <cfRule type="containsText" dxfId="16325" priority="26" operator="containsText" text="CMS">
      <formula>NOT(ISERROR(SEARCH("CMS",F19)))</formula>
    </cfRule>
    <cfRule type="cellIs" dxfId="16324" priority="27" operator="equal">
      <formula>0</formula>
    </cfRule>
    <cfRule type="cellIs" dxfId="16323" priority="28" operator="greaterThan">
      <formula>0</formula>
    </cfRule>
  </conditionalFormatting>
  <conditionalFormatting sqref="F27">
    <cfRule type="cellIs" dxfId="16322" priority="17" operator="equal">
      <formula>"PMS"</formula>
    </cfRule>
    <cfRule type="containsText" dxfId="16321" priority="18" operator="containsText" text="CMS">
      <formula>NOT(ISERROR(SEARCH("CMS",F27)))</formula>
    </cfRule>
    <cfRule type="cellIs" dxfId="16320" priority="19" operator="equal">
      <formula>0</formula>
    </cfRule>
    <cfRule type="cellIs" dxfId="16319" priority="20" operator="greaterThan">
      <formula>0</formula>
    </cfRule>
    <cfRule type="cellIs" dxfId="16318" priority="21" operator="equal">
      <formula>"PMS"</formula>
    </cfRule>
    <cfRule type="containsText" dxfId="16317" priority="22" operator="containsText" text="CMS">
      <formula>NOT(ISERROR(SEARCH("CMS",F27)))</formula>
    </cfRule>
    <cfRule type="cellIs" dxfId="16316" priority="23" operator="equal">
      <formula>0</formula>
    </cfRule>
    <cfRule type="cellIs" dxfId="16315" priority="24" operator="greaterThan">
      <formula>0</formula>
    </cfRule>
  </conditionalFormatting>
  <conditionalFormatting sqref="F27">
    <cfRule type="cellIs" dxfId="16314" priority="13" operator="equal">
      <formula>"PMS"</formula>
    </cfRule>
    <cfRule type="containsText" dxfId="16313" priority="14" operator="containsText" text="CMS">
      <formula>NOT(ISERROR(SEARCH("CMS",F27)))</formula>
    </cfRule>
    <cfRule type="cellIs" dxfId="16312" priority="15" operator="equal">
      <formula>0</formula>
    </cfRule>
    <cfRule type="cellIs" dxfId="16311" priority="16" operator="greaterThan">
      <formula>0</formula>
    </cfRule>
  </conditionalFormatting>
  <conditionalFormatting sqref="L78">
    <cfRule type="cellIs" dxfId="16310" priority="5" operator="equal">
      <formula>"PMS"</formula>
    </cfRule>
    <cfRule type="containsText" dxfId="16309" priority="6" operator="containsText" text="CMS">
      <formula>NOT(ISERROR(SEARCH("CMS",L78)))</formula>
    </cfRule>
    <cfRule type="cellIs" dxfId="16308" priority="7" operator="equal">
      <formula>0</formula>
    </cfRule>
    <cfRule type="cellIs" dxfId="16307" priority="8" operator="greaterThan">
      <formula>0</formula>
    </cfRule>
    <cfRule type="cellIs" dxfId="16306" priority="9" operator="equal">
      <formula>"PMS"</formula>
    </cfRule>
    <cfRule type="containsText" dxfId="16305" priority="10" operator="containsText" text="CMS">
      <formula>NOT(ISERROR(SEARCH("CMS",L78)))</formula>
    </cfRule>
    <cfRule type="cellIs" dxfId="16304" priority="11" operator="equal">
      <formula>0</formula>
    </cfRule>
    <cfRule type="cellIs" dxfId="16303" priority="12" operator="greaterThan">
      <formula>0</formula>
    </cfRule>
  </conditionalFormatting>
  <conditionalFormatting sqref="L78">
    <cfRule type="cellIs" dxfId="16302" priority="1" operator="equal">
      <formula>"PMS"</formula>
    </cfRule>
    <cfRule type="containsText" dxfId="16301" priority="2" operator="containsText" text="CMS">
      <formula>NOT(ISERROR(SEARCH("CMS",L78)))</formula>
    </cfRule>
    <cfRule type="cellIs" dxfId="16300" priority="3" operator="equal">
      <formula>0</formula>
    </cfRule>
    <cfRule type="cellIs" dxfId="1629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19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03A5B-8895-480B-B688-08236CAAEC32}">
  <sheetPr codeName="Sheet228"/>
  <dimension ref="A2:DT141"/>
  <sheetViews>
    <sheetView zoomScale="70" zoomScaleNormal="70" workbookViewId="0">
      <pane xSplit="5" ySplit="11" topLeftCell="F17" activePane="bottomRight" state="frozen"/>
      <selection pane="bottomRight" activeCell="J176" sqref="J176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6.6</v>
      </c>
      <c r="H14" s="359">
        <v>6.8</v>
      </c>
      <c r="I14" s="357">
        <v>6.8</v>
      </c>
      <c r="J14" s="357">
        <v>6.9</v>
      </c>
      <c r="K14" s="359">
        <v>6.7</v>
      </c>
      <c r="L14" s="359">
        <v>6.9</v>
      </c>
      <c r="M14" s="357">
        <v>6.9</v>
      </c>
      <c r="N14" s="359">
        <v>6.9</v>
      </c>
      <c r="O14" s="357">
        <v>6.6</v>
      </c>
      <c r="P14" s="357">
        <v>6.7</v>
      </c>
      <c r="Q14" s="357">
        <v>6.5</v>
      </c>
      <c r="R14" s="357">
        <v>6.4</v>
      </c>
      <c r="S14" s="462">
        <v>6.9</v>
      </c>
      <c r="T14" s="462">
        <v>6.7</v>
      </c>
      <c r="U14" s="357">
        <v>6.3</v>
      </c>
      <c r="V14" s="357">
        <v>6.4</v>
      </c>
      <c r="W14" s="357">
        <v>6.7</v>
      </c>
      <c r="X14" s="357">
        <v>6.8</v>
      </c>
      <c r="Y14" s="357">
        <v>6.7</v>
      </c>
      <c r="Z14" s="462">
        <v>6.6</v>
      </c>
      <c r="AA14" s="462">
        <v>6.5</v>
      </c>
      <c r="AB14" s="357">
        <v>6.5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7</v>
      </c>
      <c r="G15" s="357"/>
      <c r="H15" s="357"/>
      <c r="I15" s="357"/>
      <c r="J15" s="357"/>
      <c r="K15" s="359"/>
      <c r="L15" s="359">
        <v>6.8</v>
      </c>
      <c r="M15" s="359">
        <v>6.9</v>
      </c>
      <c r="N15" s="359">
        <v>6.9</v>
      </c>
      <c r="O15" s="357">
        <v>6.6</v>
      </c>
      <c r="P15" s="357">
        <v>6.7</v>
      </c>
      <c r="Q15" s="357">
        <v>6.5</v>
      </c>
      <c r="R15" s="357">
        <v>6.4</v>
      </c>
      <c r="S15" s="462">
        <v>6.9</v>
      </c>
      <c r="T15" s="462">
        <v>6.7</v>
      </c>
      <c r="U15" s="357">
        <v>6.3</v>
      </c>
      <c r="V15" s="462">
        <v>6.4</v>
      </c>
      <c r="W15" s="357">
        <v>6.7</v>
      </c>
      <c r="X15" s="357">
        <v>6.8</v>
      </c>
      <c r="Y15" s="357">
        <v>6.7</v>
      </c>
      <c r="Z15" s="462">
        <v>6.7</v>
      </c>
      <c r="AA15" s="462">
        <v>6.5</v>
      </c>
      <c r="AB15" s="462">
        <v>6.5</v>
      </c>
      <c r="AC15" s="462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6.5</v>
      </c>
      <c r="G16" s="357">
        <v>6.6</v>
      </c>
      <c r="H16" s="357">
        <v>6.8</v>
      </c>
      <c r="I16" s="357">
        <v>6.8</v>
      </c>
      <c r="J16" s="357">
        <v>6.9</v>
      </c>
      <c r="K16" s="359">
        <v>6.7</v>
      </c>
      <c r="L16" s="359">
        <v>0</v>
      </c>
      <c r="M16" s="359">
        <v>0</v>
      </c>
      <c r="N16" s="359">
        <v>0</v>
      </c>
      <c r="O16" s="357">
        <v>1.5</v>
      </c>
      <c r="P16" s="357">
        <v>6.7</v>
      </c>
      <c r="Q16" s="357">
        <v>6.5</v>
      </c>
      <c r="R16" s="357">
        <v>6.4</v>
      </c>
      <c r="S16" s="462">
        <v>6.9</v>
      </c>
      <c r="T16" s="462">
        <v>6.7</v>
      </c>
      <c r="U16" s="357">
        <v>6.3</v>
      </c>
      <c r="V16" s="462">
        <v>6.4</v>
      </c>
      <c r="W16" s="357">
        <v>6.7</v>
      </c>
      <c r="X16" s="357">
        <v>6.8</v>
      </c>
      <c r="Y16" s="357">
        <v>6.7</v>
      </c>
      <c r="Z16" s="462">
        <v>6.6</v>
      </c>
      <c r="AA16" s="462">
        <v>6.5</v>
      </c>
      <c r="AB16" s="462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</v>
      </c>
      <c r="G17" s="19">
        <f t="shared" ref="G17:AC17" si="1">SUM(G13:G16)</f>
        <v>13.2</v>
      </c>
      <c r="H17" s="19">
        <f t="shared" si="1"/>
        <v>13.6</v>
      </c>
      <c r="I17" s="19">
        <f t="shared" si="1"/>
        <v>13.6</v>
      </c>
      <c r="J17" s="19">
        <f t="shared" si="1"/>
        <v>13.8</v>
      </c>
      <c r="K17" s="19">
        <f t="shared" si="1"/>
        <v>13.4</v>
      </c>
      <c r="L17" s="19">
        <f t="shared" si="1"/>
        <v>13.7</v>
      </c>
      <c r="M17" s="19">
        <f t="shared" si="1"/>
        <v>13.8</v>
      </c>
      <c r="N17" s="19">
        <f t="shared" si="1"/>
        <v>13.8</v>
      </c>
      <c r="O17" s="19">
        <f t="shared" si="1"/>
        <v>14.7</v>
      </c>
      <c r="P17" s="19">
        <f t="shared" si="1"/>
        <v>20.100000000000001</v>
      </c>
      <c r="Q17" s="19">
        <f t="shared" si="1"/>
        <v>19.5</v>
      </c>
      <c r="R17" s="19">
        <f t="shared" si="1"/>
        <v>19.200000000000003</v>
      </c>
      <c r="S17" s="463">
        <f t="shared" si="1"/>
        <v>20.700000000000003</v>
      </c>
      <c r="T17" s="463">
        <f t="shared" si="1"/>
        <v>20.100000000000001</v>
      </c>
      <c r="U17" s="19">
        <f t="shared" si="1"/>
        <v>18.899999999999999</v>
      </c>
      <c r="V17" s="19">
        <f t="shared" si="1"/>
        <v>19.200000000000003</v>
      </c>
      <c r="W17" s="19">
        <f t="shared" si="1"/>
        <v>20.100000000000001</v>
      </c>
      <c r="X17" s="19">
        <f t="shared" si="1"/>
        <v>20.399999999999999</v>
      </c>
      <c r="Y17" s="19">
        <f t="shared" si="1"/>
        <v>20.100000000000001</v>
      </c>
      <c r="Z17" s="463">
        <f t="shared" si="1"/>
        <v>19.899999999999999</v>
      </c>
      <c r="AA17" s="463">
        <f t="shared" si="1"/>
        <v>19.5</v>
      </c>
      <c r="AB17" s="463">
        <f>SUM(AB13:AB16)</f>
        <v>19.600000000000001</v>
      </c>
      <c r="AC17" s="19">
        <f t="shared" si="1"/>
        <v>19.600000000000001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51.3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>
        <v>1.5</v>
      </c>
      <c r="S19" s="462"/>
      <c r="T19" s="462"/>
      <c r="U19" s="357"/>
      <c r="V19" s="357"/>
      <c r="W19" s="357"/>
      <c r="X19" s="357"/>
      <c r="Y19" s="357">
        <v>2.2000000000000002</v>
      </c>
      <c r="Z19" s="357">
        <v>2.8</v>
      </c>
      <c r="AA19" s="357">
        <v>2.6</v>
      </c>
      <c r="AB19" s="357">
        <v>2.7</v>
      </c>
      <c r="AC19" s="357"/>
      <c r="AD19" s="41"/>
      <c r="AE19" s="41"/>
      <c r="AF19" s="11">
        <f>COUNTIF(F19:AC19,$AJ$8)</f>
        <v>12</v>
      </c>
      <c r="AG19" s="11">
        <f>COUNTIF(G19:AD19,$AJ$7)</f>
        <v>0</v>
      </c>
      <c r="AH19" s="11">
        <f>COUNT(F19:AC19)</f>
        <v>5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357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>
        <v>1.7</v>
      </c>
      <c r="R21" s="357">
        <v>2.2000000000000002</v>
      </c>
      <c r="S21" s="462">
        <v>3.5</v>
      </c>
      <c r="T21" s="462">
        <v>3.8</v>
      </c>
      <c r="U21" s="357">
        <v>3.6</v>
      </c>
      <c r="V21" s="357">
        <v>3.8</v>
      </c>
      <c r="W21" s="357">
        <v>3.8</v>
      </c>
      <c r="X21" s="357">
        <v>3.8</v>
      </c>
      <c r="Y21" s="357">
        <v>3.9</v>
      </c>
      <c r="Z21" s="357">
        <v>3.8</v>
      </c>
      <c r="AA21" s="357">
        <v>3.6</v>
      </c>
      <c r="AB21" s="357">
        <v>2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1.7</v>
      </c>
      <c r="R22" s="19">
        <f t="shared" si="3"/>
        <v>3.7</v>
      </c>
      <c r="S22" s="463">
        <f>SUM(S19:S21)</f>
        <v>3.5</v>
      </c>
      <c r="T22" s="463">
        <f t="shared" ref="T22" si="4">SUM(T19:T21)</f>
        <v>3.8</v>
      </c>
      <c r="U22" s="19">
        <f t="shared" si="3"/>
        <v>3.6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6.1</v>
      </c>
      <c r="Z22" s="463">
        <f>SUM(Z19:Z21)</f>
        <v>6.6</v>
      </c>
      <c r="AA22" s="463">
        <f t="shared" si="3"/>
        <v>6.2</v>
      </c>
      <c r="AB22" s="463">
        <f>SUM(AB19:AB21)</f>
        <v>4.7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0</v>
      </c>
      <c r="G24" s="357">
        <v>0</v>
      </c>
      <c r="H24" s="357">
        <v>0</v>
      </c>
      <c r="I24" s="357">
        <v>0</v>
      </c>
      <c r="J24" s="357">
        <v>0</v>
      </c>
      <c r="K24" s="357">
        <v>0</v>
      </c>
      <c r="L24" s="359">
        <v>0</v>
      </c>
      <c r="M24" s="359">
        <v>0</v>
      </c>
      <c r="N24" s="359">
        <v>0</v>
      </c>
      <c r="O24" s="357">
        <v>0</v>
      </c>
      <c r="P24" s="357">
        <v>0</v>
      </c>
      <c r="Q24" s="357">
        <v>0</v>
      </c>
      <c r="R24" s="357">
        <v>0</v>
      </c>
      <c r="S24" s="462">
        <v>0</v>
      </c>
      <c r="T24" s="462">
        <v>0</v>
      </c>
      <c r="U24" s="357">
        <v>0</v>
      </c>
      <c r="V24" s="357">
        <v>0</v>
      </c>
      <c r="W24" s="357">
        <v>0</v>
      </c>
      <c r="X24" s="357">
        <v>0</v>
      </c>
      <c r="Y24" s="357">
        <v>0</v>
      </c>
      <c r="Z24" s="357">
        <v>0</v>
      </c>
      <c r="AA24" s="357">
        <v>0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463">
        <f t="shared" si="6"/>
        <v>0</v>
      </c>
      <c r="T25" s="463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3">
        <f t="shared" si="6"/>
        <v>0</v>
      </c>
      <c r="AA25" s="463">
        <f t="shared" si="6"/>
        <v>0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56.599999999999994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>
        <v>4</v>
      </c>
      <c r="P27" s="357">
        <v>3.9</v>
      </c>
      <c r="Q27" s="357">
        <v>3.7</v>
      </c>
      <c r="R27" s="357">
        <v>2.5</v>
      </c>
      <c r="S27" s="462"/>
      <c r="T27" s="462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2</v>
      </c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>
        <v>1.2</v>
      </c>
      <c r="S28" s="462">
        <v>3</v>
      </c>
      <c r="T28" s="359">
        <v>3.8</v>
      </c>
      <c r="U28" s="359">
        <v>3.7</v>
      </c>
      <c r="V28" s="359">
        <v>3.5</v>
      </c>
      <c r="W28" s="357">
        <v>3.8</v>
      </c>
      <c r="X28" s="357">
        <v>3.8</v>
      </c>
      <c r="Y28" s="357">
        <v>3.8</v>
      </c>
      <c r="Z28" s="357">
        <v>3.7</v>
      </c>
      <c r="AA28" s="357">
        <v>3.5</v>
      </c>
      <c r="AB28" s="357">
        <v>3.2</v>
      </c>
      <c r="AC28" s="357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14</v>
      </c>
      <c r="AI28" s="159">
        <f>SUM(F29:AC30)</f>
        <v>154.27000000000001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2">
        <v>0</v>
      </c>
      <c r="T29" s="359">
        <v>0</v>
      </c>
      <c r="U29" s="357">
        <v>0</v>
      </c>
      <c r="V29" s="357">
        <v>0</v>
      </c>
      <c r="W29" s="359">
        <v>0</v>
      </c>
      <c r="X29" s="357">
        <v>0</v>
      </c>
      <c r="Y29" s="359">
        <v>0</v>
      </c>
      <c r="Z29" s="357">
        <v>0</v>
      </c>
      <c r="AA29" s="357">
        <v>0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2.7</v>
      </c>
      <c r="G30" s="359">
        <v>7</v>
      </c>
      <c r="H30" s="357">
        <v>6.5</v>
      </c>
      <c r="I30" s="357">
        <v>5</v>
      </c>
      <c r="J30" s="357">
        <v>4.4000000000000004</v>
      </c>
      <c r="K30" s="357">
        <v>4.5</v>
      </c>
      <c r="L30" s="359">
        <v>6.4</v>
      </c>
      <c r="M30" s="357">
        <v>7.5</v>
      </c>
      <c r="N30" s="357">
        <v>7.5</v>
      </c>
      <c r="O30" s="357">
        <v>7</v>
      </c>
      <c r="P30" s="357">
        <v>7</v>
      </c>
      <c r="Q30" s="357">
        <v>7</v>
      </c>
      <c r="R30" s="357">
        <v>6.5</v>
      </c>
      <c r="S30" s="462">
        <v>6.86</v>
      </c>
      <c r="T30" s="359">
        <v>7</v>
      </c>
      <c r="U30" s="359">
        <v>6.51</v>
      </c>
      <c r="V30" s="357">
        <v>6.32</v>
      </c>
      <c r="W30" s="359">
        <v>6.98</v>
      </c>
      <c r="X30" s="357">
        <v>7</v>
      </c>
      <c r="Y30" s="359">
        <v>7</v>
      </c>
      <c r="Z30" s="357">
        <v>6.8</v>
      </c>
      <c r="AA30" s="357">
        <v>6.9</v>
      </c>
      <c r="AB30" s="359">
        <v>7</v>
      </c>
      <c r="AC30" s="359">
        <v>6.9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4.2</v>
      </c>
      <c r="G31" s="19">
        <f>SUM(G27:G30)</f>
        <v>9</v>
      </c>
      <c r="H31" s="19">
        <v>6</v>
      </c>
      <c r="I31" s="19">
        <f t="shared" ref="I31:X31" si="8">SUM(I27:I30)</f>
        <v>5</v>
      </c>
      <c r="J31" s="19">
        <f t="shared" si="8"/>
        <v>4.4000000000000004</v>
      </c>
      <c r="K31" s="19">
        <f t="shared" si="8"/>
        <v>4.5</v>
      </c>
      <c r="L31" s="19">
        <f t="shared" si="8"/>
        <v>6.4</v>
      </c>
      <c r="M31" s="19">
        <f t="shared" si="8"/>
        <v>7.5</v>
      </c>
      <c r="N31" s="19">
        <f t="shared" si="8"/>
        <v>7.5</v>
      </c>
      <c r="O31" s="19">
        <f t="shared" si="8"/>
        <v>11</v>
      </c>
      <c r="P31" s="19">
        <f t="shared" si="8"/>
        <v>10.9</v>
      </c>
      <c r="Q31" s="19">
        <f t="shared" si="8"/>
        <v>10.7</v>
      </c>
      <c r="R31" s="19">
        <f t="shared" si="8"/>
        <v>10.199999999999999</v>
      </c>
      <c r="S31" s="463">
        <f t="shared" si="8"/>
        <v>9.86</v>
      </c>
      <c r="T31" s="463">
        <f t="shared" si="8"/>
        <v>10.8</v>
      </c>
      <c r="U31" s="19">
        <f t="shared" si="8"/>
        <v>10.210000000000001</v>
      </c>
      <c r="V31" s="19">
        <f t="shared" si="8"/>
        <v>9.82</v>
      </c>
      <c r="W31" s="19">
        <f t="shared" si="8"/>
        <v>10.780000000000001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10.5</v>
      </c>
      <c r="AA31" s="19">
        <f t="shared" si="9"/>
        <v>10.4</v>
      </c>
      <c r="AB31" s="19">
        <f t="shared" si="9"/>
        <v>10.199999999999999</v>
      </c>
      <c r="AC31" s="19">
        <f t="shared" si="9"/>
        <v>8.9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342.27000000000004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13.78</v>
      </c>
      <c r="G33" s="357">
        <v>14.31</v>
      </c>
      <c r="H33" s="357">
        <v>14.29</v>
      </c>
      <c r="I33" s="359">
        <v>14.32</v>
      </c>
      <c r="J33" s="357">
        <v>14.26</v>
      </c>
      <c r="K33" s="357">
        <v>14.29</v>
      </c>
      <c r="L33" s="359">
        <v>14.21</v>
      </c>
      <c r="M33" s="357">
        <v>14.28</v>
      </c>
      <c r="N33" s="357">
        <v>14.28</v>
      </c>
      <c r="O33" s="357">
        <v>14.29</v>
      </c>
      <c r="P33" s="357">
        <v>14.28</v>
      </c>
      <c r="Q33" s="359">
        <v>14.31</v>
      </c>
      <c r="R33" s="357">
        <v>14.3</v>
      </c>
      <c r="S33" s="462">
        <v>14.26</v>
      </c>
      <c r="T33" s="462">
        <v>14.28</v>
      </c>
      <c r="U33" s="357">
        <v>14.26</v>
      </c>
      <c r="V33" s="359">
        <v>14.27</v>
      </c>
      <c r="W33" s="357">
        <v>14.26</v>
      </c>
      <c r="X33" s="357">
        <v>14.3</v>
      </c>
      <c r="Y33" s="357">
        <v>14.32</v>
      </c>
      <c r="Z33" s="357">
        <v>14.3</v>
      </c>
      <c r="AA33" s="357">
        <v>14.27</v>
      </c>
      <c r="AB33" s="357">
        <v>14.25</v>
      </c>
      <c r="AC33" s="357">
        <v>14.3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13.78</v>
      </c>
      <c r="G34" s="19">
        <f t="shared" ref="G34:AC34" si="11">SUM(G33)</f>
        <v>14.31</v>
      </c>
      <c r="H34" s="19">
        <f t="shared" si="11"/>
        <v>14.29</v>
      </c>
      <c r="I34" s="19">
        <f t="shared" si="11"/>
        <v>14.32</v>
      </c>
      <c r="J34" s="19">
        <f t="shared" si="11"/>
        <v>14.26</v>
      </c>
      <c r="K34" s="19">
        <f t="shared" si="11"/>
        <v>14.29</v>
      </c>
      <c r="L34" s="19">
        <f t="shared" si="11"/>
        <v>14.21</v>
      </c>
      <c r="M34" s="19">
        <f t="shared" si="11"/>
        <v>14.28</v>
      </c>
      <c r="N34" s="19">
        <f t="shared" si="11"/>
        <v>14.28</v>
      </c>
      <c r="O34" s="19">
        <f t="shared" si="11"/>
        <v>14.29</v>
      </c>
      <c r="P34" s="19">
        <f t="shared" si="11"/>
        <v>14.28</v>
      </c>
      <c r="Q34" s="19">
        <f t="shared" si="11"/>
        <v>14.31</v>
      </c>
      <c r="R34" s="19">
        <f t="shared" si="11"/>
        <v>14.3</v>
      </c>
      <c r="S34" s="19">
        <f t="shared" si="11"/>
        <v>14.26</v>
      </c>
      <c r="T34" s="463">
        <f t="shared" si="11"/>
        <v>14.28</v>
      </c>
      <c r="U34" s="19">
        <f t="shared" si="11"/>
        <v>14.26</v>
      </c>
      <c r="V34" s="19">
        <f t="shared" si="11"/>
        <v>14.27</v>
      </c>
      <c r="W34" s="19">
        <f t="shared" si="11"/>
        <v>14.26</v>
      </c>
      <c r="X34" s="19">
        <f t="shared" si="11"/>
        <v>14.3</v>
      </c>
      <c r="Y34" s="19">
        <f t="shared" si="11"/>
        <v>14.32</v>
      </c>
      <c r="Z34" s="19">
        <f t="shared" si="11"/>
        <v>14.3</v>
      </c>
      <c r="AA34" s="19">
        <f t="shared" si="11"/>
        <v>14.27</v>
      </c>
      <c r="AB34" s="19">
        <f t="shared" si="11"/>
        <v>14.25</v>
      </c>
      <c r="AC34" s="19">
        <f t="shared" si="11"/>
        <v>14.3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22.7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>
        <v>0</v>
      </c>
      <c r="P40" s="359">
        <v>0</v>
      </c>
      <c r="Q40" s="357">
        <v>0</v>
      </c>
      <c r="R40" s="357">
        <v>0</v>
      </c>
      <c r="S40" s="462">
        <v>0</v>
      </c>
      <c r="T40" s="462">
        <v>0</v>
      </c>
      <c r="U40" s="357">
        <v>0</v>
      </c>
      <c r="V40" s="357">
        <v>0</v>
      </c>
      <c r="W40" s="357">
        <v>0</v>
      </c>
      <c r="X40" s="357">
        <v>0</v>
      </c>
      <c r="Y40" s="357">
        <v>0.7</v>
      </c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0.8</v>
      </c>
      <c r="N47" s="357">
        <v>0.8</v>
      </c>
      <c r="O47" s="357">
        <v>0.72499999999999998</v>
      </c>
      <c r="P47" s="359"/>
      <c r="Q47" s="357">
        <v>0.8</v>
      </c>
      <c r="R47" s="357"/>
      <c r="S47" s="462"/>
      <c r="T47" s="462"/>
      <c r="U47" s="462">
        <f>3.3/4</f>
        <v>0.82499999999999996</v>
      </c>
      <c r="V47" s="357">
        <v>0.75</v>
      </c>
      <c r="W47" s="357">
        <v>0</v>
      </c>
      <c r="X47" s="357">
        <v>0</v>
      </c>
      <c r="Y47" s="357">
        <v>0.7</v>
      </c>
      <c r="Z47" s="357">
        <v>0.7</v>
      </c>
      <c r="AA47" s="357">
        <v>0.75</v>
      </c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18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>
        <v>0</v>
      </c>
      <c r="I48" s="357">
        <v>0</v>
      </c>
      <c r="J48" s="357">
        <v>0</v>
      </c>
      <c r="K48" s="357">
        <v>0</v>
      </c>
      <c r="L48" s="359">
        <v>0</v>
      </c>
      <c r="M48" s="357">
        <v>0</v>
      </c>
      <c r="N48" s="359">
        <v>0</v>
      </c>
      <c r="O48" s="357">
        <v>0.72499999999999998</v>
      </c>
      <c r="P48" s="359"/>
      <c r="Q48" s="357"/>
      <c r="R48" s="357"/>
      <c r="S48" s="462"/>
      <c r="T48" s="357">
        <f>2.2/3</f>
        <v>0.73333333333333339</v>
      </c>
      <c r="U48" s="462">
        <f>3.3/4</f>
        <v>0.82499999999999996</v>
      </c>
      <c r="V48" s="462">
        <v>0</v>
      </c>
      <c r="W48" s="357">
        <v>0</v>
      </c>
      <c r="X48" s="357">
        <v>0</v>
      </c>
      <c r="Y48" s="357">
        <v>0.7</v>
      </c>
      <c r="Z48" s="357">
        <v>0.8</v>
      </c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>
        <v>0</v>
      </c>
      <c r="G50" s="357">
        <v>0</v>
      </c>
      <c r="H50" s="357">
        <v>0</v>
      </c>
      <c r="I50" s="357">
        <v>0</v>
      </c>
      <c r="J50" s="357">
        <v>0</v>
      </c>
      <c r="K50" s="357">
        <v>0</v>
      </c>
      <c r="L50" s="359">
        <v>0</v>
      </c>
      <c r="M50" s="357">
        <v>0</v>
      </c>
      <c r="N50" s="359">
        <v>0</v>
      </c>
      <c r="O50" s="357">
        <v>0.72499999999999998</v>
      </c>
      <c r="P50" s="359"/>
      <c r="Q50" s="357"/>
      <c r="R50" s="357"/>
      <c r="S50" s="462"/>
      <c r="T50" s="357">
        <f>2.2/3</f>
        <v>0.73333333333333339</v>
      </c>
      <c r="U50" s="462">
        <v>0</v>
      </c>
      <c r="V50" s="462">
        <v>0</v>
      </c>
      <c r="W50" s="357">
        <v>0</v>
      </c>
      <c r="X50" s="357">
        <v>0</v>
      </c>
      <c r="Y50" s="357">
        <v>0.8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16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>
        <v>0</v>
      </c>
      <c r="K51" s="357">
        <v>0</v>
      </c>
      <c r="L51" s="359">
        <v>0</v>
      </c>
      <c r="M51" s="359">
        <v>0.7</v>
      </c>
      <c r="N51" s="357">
        <v>0.7</v>
      </c>
      <c r="O51" s="357"/>
      <c r="P51" s="359">
        <v>0.7</v>
      </c>
      <c r="Q51" s="357"/>
      <c r="R51" s="357"/>
      <c r="S51" s="462"/>
      <c r="T51" s="357"/>
      <c r="U51" s="462">
        <f>3.3/4</f>
        <v>0.82499999999999996</v>
      </c>
      <c r="V51" s="357">
        <v>0.75</v>
      </c>
      <c r="W51" s="357">
        <v>0</v>
      </c>
      <c r="X51" s="357">
        <v>0</v>
      </c>
      <c r="Y51" s="357">
        <v>0.8</v>
      </c>
      <c r="Z51" s="357">
        <v>0.8</v>
      </c>
      <c r="AA51" s="357">
        <v>0.75</v>
      </c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17</v>
      </c>
    </row>
    <row r="52" spans="1:124" hidden="1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 t="s">
        <v>47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>
        <v>0</v>
      </c>
      <c r="M56" s="357">
        <v>0</v>
      </c>
      <c r="N56" s="359">
        <v>0</v>
      </c>
      <c r="O56" s="357">
        <v>0.72499999999999998</v>
      </c>
      <c r="P56" s="359"/>
      <c r="Q56" s="357"/>
      <c r="R56" s="357"/>
      <c r="S56" s="462"/>
      <c r="T56" s="357">
        <f>2.2/3</f>
        <v>0.73333333333333339</v>
      </c>
      <c r="U56" s="462">
        <f>3.3/4</f>
        <v>0.82499999999999996</v>
      </c>
      <c r="V56" s="357">
        <v>0</v>
      </c>
      <c r="W56" s="357">
        <v>0</v>
      </c>
      <c r="X56" s="357">
        <v>0</v>
      </c>
      <c r="Y56" s="357">
        <v>0.8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16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0</v>
      </c>
      <c r="M60" s="19">
        <f t="shared" si="16"/>
        <v>1.5</v>
      </c>
      <c r="N60" s="19">
        <f t="shared" si="16"/>
        <v>1.5</v>
      </c>
      <c r="O60" s="19">
        <f>SUM(O36:O59)</f>
        <v>2.9</v>
      </c>
      <c r="P60" s="19">
        <f t="shared" si="16"/>
        <v>0.7</v>
      </c>
      <c r="Q60" s="19">
        <f t="shared" si="16"/>
        <v>0.8</v>
      </c>
      <c r="R60" s="19">
        <f t="shared" si="16"/>
        <v>0</v>
      </c>
      <c r="S60" s="463">
        <f t="shared" si="16"/>
        <v>0</v>
      </c>
      <c r="T60" s="463">
        <f>SUM(T36:T59)</f>
        <v>2.2000000000000002</v>
      </c>
      <c r="U60" s="19">
        <f t="shared" ref="U60:AC60" si="17">SUM(U36:U59)</f>
        <v>3.3</v>
      </c>
      <c r="V60" s="19">
        <f>SUM(V36:V59)</f>
        <v>1.5</v>
      </c>
      <c r="W60" s="19">
        <f t="shared" si="17"/>
        <v>0</v>
      </c>
      <c r="X60" s="19">
        <f t="shared" si="17"/>
        <v>0</v>
      </c>
      <c r="Y60" s="19">
        <f t="shared" si="17"/>
        <v>4.4999999999999991</v>
      </c>
      <c r="Z60" s="19">
        <f t="shared" si="17"/>
        <v>2.2999999999999998</v>
      </c>
      <c r="AA60" s="19">
        <f t="shared" si="17"/>
        <v>1.5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27.77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0.51500000000000001</v>
      </c>
      <c r="G62" s="357">
        <v>0.47499999999999998</v>
      </c>
      <c r="H62" s="357">
        <v>0.46</v>
      </c>
      <c r="I62" s="359">
        <v>0.43</v>
      </c>
      <c r="J62" s="357">
        <v>0</v>
      </c>
      <c r="K62" s="357">
        <v>0</v>
      </c>
      <c r="L62" s="357">
        <v>0</v>
      </c>
      <c r="M62" s="357">
        <v>0</v>
      </c>
      <c r="N62" s="357">
        <v>0</v>
      </c>
      <c r="O62" s="357">
        <v>0</v>
      </c>
      <c r="P62" s="357">
        <v>0</v>
      </c>
      <c r="Q62" s="357">
        <v>0</v>
      </c>
      <c r="R62" s="357">
        <f>1.23/2</f>
        <v>0.61499999999999999</v>
      </c>
      <c r="S62" s="462">
        <f>1.25/2</f>
        <v>0.625</v>
      </c>
      <c r="T62" s="357">
        <f>1.24/2</f>
        <v>0.62</v>
      </c>
      <c r="U62" s="357">
        <f>1.25/2</f>
        <v>0.625</v>
      </c>
      <c r="V62" s="462">
        <f>1.22/2</f>
        <v>0.61</v>
      </c>
      <c r="W62" s="357">
        <f>1.2/2</f>
        <v>0.6</v>
      </c>
      <c r="X62" s="357">
        <f>1.19/2</f>
        <v>0.59499999999999997</v>
      </c>
      <c r="Y62" s="357">
        <f>1.48/2</f>
        <v>0.74</v>
      </c>
      <c r="Z62" s="357">
        <f>1.58/3</f>
        <v>0.52666666666666673</v>
      </c>
      <c r="AA62" s="357">
        <f>1.49/2</f>
        <v>0.745</v>
      </c>
      <c r="AB62" s="357">
        <v>0.66500000000000004</v>
      </c>
      <c r="AC62" s="357"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0.51500000000000001</v>
      </c>
      <c r="G63" s="357">
        <v>0.47499999999999998</v>
      </c>
      <c r="H63" s="357">
        <v>0.46</v>
      </c>
      <c r="I63" s="359">
        <v>0.43</v>
      </c>
      <c r="J63" s="357">
        <v>0.41499999999999998</v>
      </c>
      <c r="K63" s="357">
        <f>0.86/2</f>
        <v>0.43</v>
      </c>
      <c r="L63" s="357">
        <f>0.91/2</f>
        <v>0.45500000000000002</v>
      </c>
      <c r="M63" s="357">
        <v>0.55000000000000004</v>
      </c>
      <c r="N63" s="357">
        <v>0.55000000000000004</v>
      </c>
      <c r="O63" s="357">
        <v>0.58499999999999996</v>
      </c>
      <c r="P63" s="357">
        <v>0.59</v>
      </c>
      <c r="Q63" s="357">
        <f>1.22/2</f>
        <v>0.61</v>
      </c>
      <c r="R63" s="357"/>
      <c r="S63" s="462"/>
      <c r="T63" s="357"/>
      <c r="U63" s="357"/>
      <c r="V63" s="462"/>
      <c r="W63" s="357"/>
      <c r="X63" s="357"/>
      <c r="Y63" s="357"/>
      <c r="Z63" s="357">
        <f>1.58/3</f>
        <v>0.52666666666666673</v>
      </c>
      <c r="AA63" s="357">
        <f>1.49/2</f>
        <v>0.745</v>
      </c>
      <c r="AB63" s="357">
        <v>0.66500000000000004</v>
      </c>
      <c r="AC63" s="357"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/>
      <c r="I64" s="359"/>
      <c r="J64" s="357">
        <v>0.41499999999999998</v>
      </c>
      <c r="K64" s="357">
        <f>K63</f>
        <v>0.43</v>
      </c>
      <c r="L64" s="357">
        <f>L63</f>
        <v>0.45500000000000002</v>
      </c>
      <c r="M64" s="357">
        <v>0.55000000000000004</v>
      </c>
      <c r="N64" s="357">
        <v>0.55000000000000004</v>
      </c>
      <c r="O64" s="357">
        <v>0.58499999999999996</v>
      </c>
      <c r="P64" s="357">
        <v>0.59</v>
      </c>
      <c r="Q64" s="357">
        <f>1.22/2</f>
        <v>0.61</v>
      </c>
      <c r="R64" s="357">
        <f>1.23/2</f>
        <v>0.61499999999999999</v>
      </c>
      <c r="S64" s="462">
        <f>1.25/2</f>
        <v>0.625</v>
      </c>
      <c r="T64" s="357">
        <f>1.24/2</f>
        <v>0.62</v>
      </c>
      <c r="U64" s="357">
        <f>1.25/2</f>
        <v>0.625</v>
      </c>
      <c r="V64" s="462">
        <f>1.22/2</f>
        <v>0.61</v>
      </c>
      <c r="W64" s="357">
        <f>1.2/2</f>
        <v>0.6</v>
      </c>
      <c r="X64" s="357">
        <f>1.19/2</f>
        <v>0.59499999999999997</v>
      </c>
      <c r="Y64" s="357">
        <f>1.48/2</f>
        <v>0.74</v>
      </c>
      <c r="Z64" s="357">
        <f>1.58/3</f>
        <v>0.52666666666666673</v>
      </c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1.03</v>
      </c>
      <c r="G65" s="19">
        <f t="shared" ref="G65:AB65" si="18">SUM(G62:G64)</f>
        <v>0.95</v>
      </c>
      <c r="H65" s="19">
        <f t="shared" si="18"/>
        <v>0.92</v>
      </c>
      <c r="I65" s="19">
        <f t="shared" si="18"/>
        <v>0.86</v>
      </c>
      <c r="J65" s="19">
        <f t="shared" si="18"/>
        <v>0.83</v>
      </c>
      <c r="K65" s="19">
        <f t="shared" si="18"/>
        <v>0.86</v>
      </c>
      <c r="L65" s="19">
        <f t="shared" si="18"/>
        <v>0.91</v>
      </c>
      <c r="M65" s="19">
        <f t="shared" si="18"/>
        <v>1.1000000000000001</v>
      </c>
      <c r="N65" s="19">
        <f t="shared" si="18"/>
        <v>1.1000000000000001</v>
      </c>
      <c r="O65" s="19">
        <f t="shared" si="18"/>
        <v>1.17</v>
      </c>
      <c r="P65" s="19">
        <f t="shared" si="18"/>
        <v>1.18</v>
      </c>
      <c r="Q65" s="19">
        <f t="shared" si="18"/>
        <v>1.22</v>
      </c>
      <c r="R65" s="19">
        <f t="shared" si="18"/>
        <v>1.23</v>
      </c>
      <c r="S65" s="463">
        <f t="shared" si="18"/>
        <v>1.25</v>
      </c>
      <c r="T65" s="463">
        <f t="shared" si="18"/>
        <v>1.24</v>
      </c>
      <c r="U65" s="463">
        <f t="shared" si="18"/>
        <v>1.25</v>
      </c>
      <c r="V65" s="19">
        <f>SUM(V62:V64)</f>
        <v>1.22</v>
      </c>
      <c r="W65" s="19">
        <f t="shared" si="18"/>
        <v>1.2</v>
      </c>
      <c r="X65" s="19">
        <f t="shared" si="18"/>
        <v>1.19</v>
      </c>
      <c r="Y65" s="19">
        <f>SUM(Y62:Y64)</f>
        <v>1.48</v>
      </c>
      <c r="Z65" s="19">
        <f>SUM(Z62:Z64)</f>
        <v>1.58</v>
      </c>
      <c r="AA65" s="19">
        <f t="shared" si="18"/>
        <v>1.49</v>
      </c>
      <c r="AB65" s="19">
        <f t="shared" si="18"/>
        <v>1.33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18.48</v>
      </c>
    </row>
    <row r="78" spans="1:124">
      <c r="A78" s="14" t="s">
        <v>67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9">
        <v>0.75</v>
      </c>
      <c r="N78" s="357">
        <v>0.75</v>
      </c>
      <c r="O78" s="357">
        <v>0.78</v>
      </c>
      <c r="P78" s="357">
        <v>0.82</v>
      </c>
      <c r="Q78" s="357">
        <v>0.86</v>
      </c>
      <c r="R78" s="357">
        <v>0.85</v>
      </c>
      <c r="S78" s="357">
        <v>0.89</v>
      </c>
      <c r="T78" s="357">
        <v>0.91</v>
      </c>
      <c r="U78" s="357">
        <v>0</v>
      </c>
      <c r="V78" s="357">
        <v>0</v>
      </c>
      <c r="W78" s="357">
        <v>0.71</v>
      </c>
      <c r="X78" s="357">
        <v>1.01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0.82</v>
      </c>
      <c r="G79" s="357">
        <v>0.79</v>
      </c>
      <c r="H79" s="357">
        <v>0.74</v>
      </c>
      <c r="I79" s="357">
        <v>0.71</v>
      </c>
      <c r="J79" s="357">
        <v>0.69</v>
      </c>
      <c r="K79" s="357">
        <v>0.69</v>
      </c>
      <c r="L79" s="359">
        <v>0.72</v>
      </c>
      <c r="M79" s="359">
        <v>0</v>
      </c>
      <c r="N79" s="359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1.05</v>
      </c>
      <c r="Z79" s="357">
        <v>1.07</v>
      </c>
      <c r="AA79" s="357">
        <v>1.03</v>
      </c>
      <c r="AB79" s="357">
        <v>0.99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0.82</v>
      </c>
      <c r="G80" s="19">
        <f t="shared" si="24"/>
        <v>0.79</v>
      </c>
      <c r="H80" s="19">
        <f>SUM(H78:H79)</f>
        <v>0.74</v>
      </c>
      <c r="I80" s="19">
        <f>SUM(I78:I79)</f>
        <v>0.71</v>
      </c>
      <c r="J80" s="19">
        <f t="shared" ref="J80:AC80" si="25">SUM(J78:J79)</f>
        <v>0.69</v>
      </c>
      <c r="K80" s="19">
        <f t="shared" si="25"/>
        <v>0.69</v>
      </c>
      <c r="L80" s="19">
        <f>SUM(L78:L79)</f>
        <v>0.72</v>
      </c>
      <c r="M80" s="19">
        <f t="shared" si="25"/>
        <v>0.75</v>
      </c>
      <c r="N80" s="19">
        <f t="shared" si="25"/>
        <v>0.75</v>
      </c>
      <c r="O80" s="19">
        <f>SUM(O78:O79)</f>
        <v>0.78</v>
      </c>
      <c r="P80" s="19">
        <f>SUM(P78:P79)</f>
        <v>0.82</v>
      </c>
      <c r="Q80" s="19">
        <f t="shared" si="25"/>
        <v>0.86</v>
      </c>
      <c r="R80" s="19">
        <f t="shared" si="25"/>
        <v>0.85</v>
      </c>
      <c r="S80" s="463">
        <f t="shared" si="25"/>
        <v>0.89</v>
      </c>
      <c r="T80" s="463">
        <f t="shared" si="25"/>
        <v>0.91</v>
      </c>
      <c r="U80" s="19">
        <f t="shared" si="25"/>
        <v>0</v>
      </c>
      <c r="V80" s="19">
        <f t="shared" si="25"/>
        <v>0</v>
      </c>
      <c r="W80" s="19">
        <f t="shared" si="25"/>
        <v>0.71</v>
      </c>
      <c r="X80" s="19">
        <f t="shared" si="25"/>
        <v>1.01</v>
      </c>
      <c r="Y80" s="19">
        <f t="shared" si="25"/>
        <v>1.05</v>
      </c>
      <c r="Z80" s="19">
        <f t="shared" si="25"/>
        <v>1.07</v>
      </c>
      <c r="AA80" s="19">
        <f t="shared" si="25"/>
        <v>1.03</v>
      </c>
      <c r="AB80" s="19">
        <f t="shared" si="25"/>
        <v>0.99</v>
      </c>
      <c r="AC80" s="19">
        <f t="shared" si="25"/>
        <v>0.85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39.83</v>
      </c>
      <c r="G83" s="28">
        <f>SUM(G17,G22,G25,G31,G34,G60,G65,G76,G80,G82)</f>
        <v>38.25</v>
      </c>
      <c r="H83" s="28">
        <f>SUM(H17,H22,H25,H31,H34,H60,H65,H76,H80,H82)</f>
        <v>35.550000000000004</v>
      </c>
      <c r="I83" s="28">
        <f t="shared" ref="I83:AC83" si="27">SUM(I17,I22,I25,I31,I34,I60,I65,I76,I80,I82)</f>
        <v>34.49</v>
      </c>
      <c r="J83" s="28">
        <f t="shared" si="27"/>
        <v>33.979999999999997</v>
      </c>
      <c r="K83" s="28">
        <f t="shared" si="27"/>
        <v>33.739999999999995</v>
      </c>
      <c r="L83" s="28">
        <f t="shared" si="27"/>
        <v>35.94</v>
      </c>
      <c r="M83" s="28">
        <f t="shared" si="27"/>
        <v>38.93</v>
      </c>
      <c r="N83" s="28">
        <f>SUM(N17,N22,N25,N31,N34,N60,N65,N76,N80,N82)</f>
        <v>38.93</v>
      </c>
      <c r="O83" s="28">
        <f>SUM(O17,O22,O25,O31,O34,O60,O65,O76,O80,O82)</f>
        <v>44.839999999999996</v>
      </c>
      <c r="P83" s="28">
        <f t="shared" si="27"/>
        <v>47.980000000000004</v>
      </c>
      <c r="Q83" s="28">
        <f t="shared" si="27"/>
        <v>49.089999999999996</v>
      </c>
      <c r="R83" s="28">
        <f t="shared" si="27"/>
        <v>49.480000000000004</v>
      </c>
      <c r="S83" s="518">
        <f t="shared" si="27"/>
        <v>50.46</v>
      </c>
      <c r="T83" s="518">
        <f t="shared" si="27"/>
        <v>53.330000000000005</v>
      </c>
      <c r="U83" s="518">
        <f t="shared" si="27"/>
        <v>51.519999999999996</v>
      </c>
      <c r="V83" s="28">
        <f t="shared" si="27"/>
        <v>49.81</v>
      </c>
      <c r="W83" s="28">
        <f t="shared" si="27"/>
        <v>50.850000000000009</v>
      </c>
      <c r="X83" s="28">
        <f t="shared" si="27"/>
        <v>51.499999999999993</v>
      </c>
      <c r="Y83" s="28">
        <f t="shared" si="27"/>
        <v>58.349999999999994</v>
      </c>
      <c r="Z83" s="28">
        <f t="shared" si="27"/>
        <v>56.249999999999993</v>
      </c>
      <c r="AA83" s="28">
        <f t="shared" si="27"/>
        <v>54.390000000000008</v>
      </c>
      <c r="AB83" s="28">
        <f t="shared" si="27"/>
        <v>51.07</v>
      </c>
      <c r="AC83" s="28">
        <f t="shared" si="27"/>
        <v>44.83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6.8500000000000014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0</v>
      </c>
      <c r="P89" s="64">
        <f t="shared" si="28"/>
        <v>0</v>
      </c>
      <c r="Q89" s="64">
        <f t="shared" si="28"/>
        <v>1.7</v>
      </c>
      <c r="R89" s="64">
        <f t="shared" si="28"/>
        <v>3.7</v>
      </c>
      <c r="S89" s="64">
        <f t="shared" si="28"/>
        <v>3.5</v>
      </c>
      <c r="T89" s="64">
        <f t="shared" si="28"/>
        <v>3.8</v>
      </c>
      <c r="U89" s="64">
        <f t="shared" si="28"/>
        <v>3.6</v>
      </c>
      <c r="V89" s="64">
        <f t="shared" si="28"/>
        <v>3.8</v>
      </c>
      <c r="W89" s="64">
        <f t="shared" si="28"/>
        <v>3.8</v>
      </c>
      <c r="X89" s="64">
        <f t="shared" si="28"/>
        <v>3.8</v>
      </c>
      <c r="Y89" s="64">
        <f t="shared" si="28"/>
        <v>6.1</v>
      </c>
      <c r="Z89" s="64">
        <f t="shared" si="28"/>
        <v>6.6</v>
      </c>
      <c r="AA89" s="64">
        <f t="shared" si="28"/>
        <v>6.2</v>
      </c>
      <c r="AB89" s="64">
        <f t="shared" si="28"/>
        <v>4.7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9">F17</f>
        <v>20</v>
      </c>
      <c r="G91" s="64">
        <f t="shared" si="29"/>
        <v>13.2</v>
      </c>
      <c r="H91" s="64">
        <f t="shared" si="29"/>
        <v>13.6</v>
      </c>
      <c r="I91" s="64">
        <f t="shared" si="29"/>
        <v>13.6</v>
      </c>
      <c r="J91" s="64">
        <f t="shared" si="29"/>
        <v>13.8</v>
      </c>
      <c r="K91" s="64">
        <f t="shared" si="29"/>
        <v>13.4</v>
      </c>
      <c r="L91" s="64">
        <f t="shared" si="29"/>
        <v>13.7</v>
      </c>
      <c r="M91" s="64">
        <f t="shared" si="29"/>
        <v>13.8</v>
      </c>
      <c r="N91" s="64">
        <f t="shared" si="29"/>
        <v>13.8</v>
      </c>
      <c r="O91" s="64">
        <f t="shared" si="29"/>
        <v>14.7</v>
      </c>
      <c r="P91" s="64">
        <f t="shared" si="29"/>
        <v>20.100000000000001</v>
      </c>
      <c r="Q91" s="64">
        <f t="shared" si="29"/>
        <v>19.5</v>
      </c>
      <c r="R91" s="64">
        <f t="shared" si="29"/>
        <v>19.200000000000003</v>
      </c>
      <c r="S91" s="64">
        <f t="shared" si="29"/>
        <v>20.700000000000003</v>
      </c>
      <c r="T91" s="64">
        <f t="shared" si="29"/>
        <v>20.100000000000001</v>
      </c>
      <c r="U91" s="64">
        <f>U17</f>
        <v>18.899999999999999</v>
      </c>
      <c r="V91" s="64">
        <f t="shared" si="29"/>
        <v>19.200000000000003</v>
      </c>
      <c r="W91" s="64">
        <f t="shared" si="29"/>
        <v>20.100000000000001</v>
      </c>
      <c r="X91" s="64">
        <f t="shared" si="29"/>
        <v>20.399999999999999</v>
      </c>
      <c r="Y91" s="64">
        <f t="shared" si="29"/>
        <v>20.100000000000001</v>
      </c>
      <c r="Z91" s="64">
        <f t="shared" si="29"/>
        <v>19.899999999999999</v>
      </c>
      <c r="AA91" s="64">
        <f t="shared" si="29"/>
        <v>19.5</v>
      </c>
      <c r="AB91" s="64">
        <f t="shared" si="29"/>
        <v>19.600000000000001</v>
      </c>
      <c r="AC91" s="64">
        <f t="shared" si="29"/>
        <v>19.600000000000001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0.51900000000000002</v>
      </c>
      <c r="G92" s="68">
        <v>0.51400000000000001</v>
      </c>
      <c r="H92" s="68">
        <v>0.52200000000000002</v>
      </c>
      <c r="I92" s="68">
        <v>0.56799999999999995</v>
      </c>
      <c r="J92" s="68">
        <v>0.51500000000000001</v>
      </c>
      <c r="K92" s="68">
        <v>0.50600000000000001</v>
      </c>
      <c r="L92" s="68">
        <v>0.64900000000000002</v>
      </c>
      <c r="M92" s="68">
        <v>0.58299999999999996</v>
      </c>
      <c r="N92" s="68">
        <v>0.78100000000000003</v>
      </c>
      <c r="O92" s="68">
        <v>0.60299999999999998</v>
      </c>
      <c r="P92" s="68">
        <v>0.57299999999999995</v>
      </c>
      <c r="Q92" s="68">
        <v>0.55100000000000005</v>
      </c>
      <c r="R92" s="68">
        <v>0.57099999999999995</v>
      </c>
      <c r="S92" s="68">
        <v>0.745</v>
      </c>
      <c r="T92" s="68">
        <v>0.77400000000000002</v>
      </c>
      <c r="U92" s="68">
        <v>0.78400000000000003</v>
      </c>
      <c r="V92" s="68">
        <v>0.77900000000000003</v>
      </c>
      <c r="W92" s="68">
        <v>0.60299999999999998</v>
      </c>
      <c r="X92" s="68">
        <v>0.56100000000000005</v>
      </c>
      <c r="Y92" s="68">
        <v>0.74099999999999999</v>
      </c>
      <c r="Z92" s="68">
        <v>0.78700000000000003</v>
      </c>
      <c r="AA92" s="68">
        <v>0.79400000000000004</v>
      </c>
      <c r="AB92" s="68">
        <v>0.82199999999999995</v>
      </c>
      <c r="AC92" s="68">
        <v>0.70599999999999996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0">F31</f>
        <v>4.2</v>
      </c>
      <c r="G93" s="65">
        <f t="shared" si="30"/>
        <v>9</v>
      </c>
      <c r="H93" s="65">
        <f t="shared" si="30"/>
        <v>6</v>
      </c>
      <c r="I93" s="65">
        <f t="shared" si="30"/>
        <v>5</v>
      </c>
      <c r="J93" s="65">
        <f t="shared" si="30"/>
        <v>4.4000000000000004</v>
      </c>
      <c r="K93" s="65">
        <f t="shared" si="30"/>
        <v>4.5</v>
      </c>
      <c r="L93" s="65">
        <f t="shared" si="30"/>
        <v>6.4</v>
      </c>
      <c r="M93" s="65">
        <f t="shared" si="30"/>
        <v>7.5</v>
      </c>
      <c r="N93" s="65">
        <f t="shared" si="30"/>
        <v>7.5</v>
      </c>
      <c r="O93" s="65">
        <f t="shared" si="30"/>
        <v>11</v>
      </c>
      <c r="P93" s="65">
        <f t="shared" si="30"/>
        <v>10.9</v>
      </c>
      <c r="Q93" s="65">
        <f t="shared" si="30"/>
        <v>10.7</v>
      </c>
      <c r="R93" s="65">
        <f t="shared" si="30"/>
        <v>10.199999999999999</v>
      </c>
      <c r="S93" s="65">
        <f t="shared" si="30"/>
        <v>9.86</v>
      </c>
      <c r="T93" s="65">
        <f>T31</f>
        <v>10.8</v>
      </c>
      <c r="U93" s="65">
        <f t="shared" si="30"/>
        <v>10.210000000000001</v>
      </c>
      <c r="V93" s="65">
        <f t="shared" si="30"/>
        <v>9.82</v>
      </c>
      <c r="W93" s="65">
        <f t="shared" si="30"/>
        <v>10.780000000000001</v>
      </c>
      <c r="X93" s="65">
        <f t="shared" si="30"/>
        <v>10.8</v>
      </c>
      <c r="Y93" s="65">
        <f t="shared" si="30"/>
        <v>10.8</v>
      </c>
      <c r="Z93" s="65">
        <f t="shared" si="30"/>
        <v>10.5</v>
      </c>
      <c r="AA93" s="65">
        <f t="shared" si="30"/>
        <v>10.4</v>
      </c>
      <c r="AB93" s="65">
        <f t="shared" si="30"/>
        <v>10.199999999999999</v>
      </c>
      <c r="AC93" s="65">
        <f t="shared" si="30"/>
        <v>8.9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0.193</v>
      </c>
      <c r="G94" s="68">
        <v>0.216</v>
      </c>
      <c r="H94" s="68">
        <v>0.10299999999999999</v>
      </c>
      <c r="I94" s="68">
        <v>8.2000000000000003E-2</v>
      </c>
      <c r="J94" s="68">
        <v>9.8000000000000004E-2</v>
      </c>
      <c r="K94" s="68">
        <v>9.1999999999999998E-2</v>
      </c>
      <c r="L94" s="68">
        <v>0.1</v>
      </c>
      <c r="M94" s="68">
        <v>0.13</v>
      </c>
      <c r="N94" s="68">
        <v>0.13500000000000001</v>
      </c>
      <c r="O94" s="68">
        <v>0.17799999999999999</v>
      </c>
      <c r="P94" s="68">
        <v>0.182</v>
      </c>
      <c r="Q94" s="68">
        <v>0.219</v>
      </c>
      <c r="R94" s="68">
        <v>0.246</v>
      </c>
      <c r="S94" s="68">
        <v>0.17299999999999999</v>
      </c>
      <c r="T94" s="68">
        <v>0.19800000000000001</v>
      </c>
      <c r="U94" s="68">
        <v>0.18</v>
      </c>
      <c r="V94" s="68">
        <v>0.189</v>
      </c>
      <c r="W94" s="68">
        <v>0.20200000000000001</v>
      </c>
      <c r="X94" s="68">
        <v>0.19700000000000001</v>
      </c>
      <c r="Y94" s="68">
        <v>0.19500000000000001</v>
      </c>
      <c r="Z94" s="68">
        <v>0.187</v>
      </c>
      <c r="AA94" s="68">
        <v>0.185</v>
      </c>
      <c r="AB94" s="68">
        <v>0.188</v>
      </c>
      <c r="AC94" s="68">
        <v>0.19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0.20499999999999999</v>
      </c>
      <c r="G95" s="68">
        <v>0.218</v>
      </c>
      <c r="H95" s="68">
        <v>0.223</v>
      </c>
      <c r="I95" s="68">
        <v>0.21</v>
      </c>
      <c r="J95" s="68">
        <v>0.216</v>
      </c>
      <c r="K95" s="68">
        <v>0.22600000000000001</v>
      </c>
      <c r="L95" s="68">
        <v>0.19900000000000001</v>
      </c>
      <c r="M95" s="68">
        <v>0.20300000000000001</v>
      </c>
      <c r="N95" s="68">
        <v>0.22900000000000001</v>
      </c>
      <c r="O95" s="68">
        <v>0.222</v>
      </c>
      <c r="P95" s="68">
        <v>0.2253</v>
      </c>
      <c r="Q95" s="68">
        <v>0.25629999999999997</v>
      </c>
      <c r="R95" s="68">
        <v>0.24160000000000001</v>
      </c>
      <c r="S95" s="68">
        <v>0.25009999999999999</v>
      </c>
      <c r="T95" s="68">
        <v>0.23100000000000001</v>
      </c>
      <c r="U95" s="68">
        <v>0.224</v>
      </c>
      <c r="V95" s="68">
        <v>0.221</v>
      </c>
      <c r="W95" s="68">
        <v>0.221</v>
      </c>
      <c r="X95" s="68">
        <v>0.20499999999999999</v>
      </c>
      <c r="Y95" s="68">
        <v>0.2248</v>
      </c>
      <c r="Z95" s="68">
        <v>0.21440000000000001</v>
      </c>
      <c r="AA95" s="68">
        <v>0.21199999999999999</v>
      </c>
      <c r="AB95" s="68">
        <v>0.21290000000000001</v>
      </c>
      <c r="AC95" s="68">
        <v>0.21299999999999999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1">F34</f>
        <v>13.78</v>
      </c>
      <c r="G96" s="65">
        <f t="shared" si="31"/>
        <v>14.31</v>
      </c>
      <c r="H96" s="65">
        <f t="shared" si="31"/>
        <v>14.29</v>
      </c>
      <c r="I96" s="65">
        <f t="shared" si="31"/>
        <v>14.32</v>
      </c>
      <c r="J96" s="65">
        <f t="shared" si="31"/>
        <v>14.26</v>
      </c>
      <c r="K96" s="65">
        <f t="shared" si="31"/>
        <v>14.29</v>
      </c>
      <c r="L96" s="65">
        <f t="shared" si="31"/>
        <v>14.21</v>
      </c>
      <c r="M96" s="65">
        <f t="shared" si="31"/>
        <v>14.28</v>
      </c>
      <c r="N96" s="65">
        <f t="shared" si="31"/>
        <v>14.28</v>
      </c>
      <c r="O96" s="65">
        <f t="shared" si="31"/>
        <v>14.29</v>
      </c>
      <c r="P96" s="65">
        <f t="shared" si="31"/>
        <v>14.28</v>
      </c>
      <c r="Q96" s="65">
        <f t="shared" si="31"/>
        <v>14.31</v>
      </c>
      <c r="R96" s="65">
        <f t="shared" si="31"/>
        <v>14.3</v>
      </c>
      <c r="S96" s="65">
        <f t="shared" si="31"/>
        <v>14.26</v>
      </c>
      <c r="T96" s="65">
        <f t="shared" si="31"/>
        <v>14.28</v>
      </c>
      <c r="U96" s="65">
        <f t="shared" si="31"/>
        <v>14.26</v>
      </c>
      <c r="V96" s="65">
        <f>V34</f>
        <v>14.27</v>
      </c>
      <c r="W96" s="65">
        <f t="shared" si="31"/>
        <v>14.26</v>
      </c>
      <c r="X96" s="65">
        <f t="shared" si="31"/>
        <v>14.3</v>
      </c>
      <c r="Y96" s="65">
        <f t="shared" si="31"/>
        <v>14.32</v>
      </c>
      <c r="Z96" s="65">
        <f t="shared" si="31"/>
        <v>14.3</v>
      </c>
      <c r="AA96" s="65">
        <f t="shared" si="31"/>
        <v>14.27</v>
      </c>
      <c r="AB96" s="65">
        <f t="shared" si="31"/>
        <v>14.25</v>
      </c>
      <c r="AC96" s="65">
        <f t="shared" si="31"/>
        <v>14.3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0.72</v>
      </c>
      <c r="G97" s="68">
        <v>0.69</v>
      </c>
      <c r="H97" s="68">
        <v>0.71</v>
      </c>
      <c r="I97" s="68">
        <v>0.68</v>
      </c>
      <c r="J97" s="68">
        <v>0.74</v>
      </c>
      <c r="K97" s="68">
        <v>0.71</v>
      </c>
      <c r="L97" s="68">
        <v>0.79</v>
      </c>
      <c r="M97" s="68">
        <v>0.73</v>
      </c>
      <c r="N97" s="68">
        <v>0.72</v>
      </c>
      <c r="O97" s="68">
        <v>0.71</v>
      </c>
      <c r="P97" s="68">
        <v>0.72</v>
      </c>
      <c r="Q97" s="68">
        <v>0.69</v>
      </c>
      <c r="R97" s="68">
        <v>0.7</v>
      </c>
      <c r="S97" s="68">
        <v>0.74</v>
      </c>
      <c r="T97" s="68">
        <v>0.72</v>
      </c>
      <c r="U97" s="68">
        <v>0.74</v>
      </c>
      <c r="V97" s="68">
        <v>0.73</v>
      </c>
      <c r="W97" s="68">
        <v>0.74</v>
      </c>
      <c r="X97" s="68">
        <v>0.7</v>
      </c>
      <c r="Y97" s="68">
        <v>0.68</v>
      </c>
      <c r="Z97" s="68">
        <v>0.69</v>
      </c>
      <c r="AA97" s="68">
        <v>0.73</v>
      </c>
      <c r="AB97" s="68">
        <v>0.75</v>
      </c>
      <c r="AC97" s="68">
        <v>0.7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1.5</v>
      </c>
      <c r="N98" s="64">
        <f t="shared" si="32"/>
        <v>1.5</v>
      </c>
      <c r="O98" s="64">
        <f t="shared" si="32"/>
        <v>2.9</v>
      </c>
      <c r="P98" s="64">
        <f t="shared" si="32"/>
        <v>0.7</v>
      </c>
      <c r="Q98" s="64">
        <f t="shared" si="32"/>
        <v>0.8</v>
      </c>
      <c r="R98" s="64">
        <f t="shared" si="32"/>
        <v>0</v>
      </c>
      <c r="S98" s="64">
        <f t="shared" si="32"/>
        <v>0</v>
      </c>
      <c r="T98" s="64">
        <f t="shared" si="32"/>
        <v>2.2000000000000002</v>
      </c>
      <c r="U98" s="64">
        <f t="shared" si="32"/>
        <v>3.3</v>
      </c>
      <c r="V98" s="64">
        <f t="shared" si="32"/>
        <v>1.5</v>
      </c>
      <c r="W98" s="64">
        <f t="shared" si="32"/>
        <v>0</v>
      </c>
      <c r="X98" s="64">
        <f t="shared" si="32"/>
        <v>0</v>
      </c>
      <c r="Y98" s="64">
        <f t="shared" si="32"/>
        <v>4.4999999999999991</v>
      </c>
      <c r="Z98" s="64">
        <f t="shared" si="32"/>
        <v>2.2999999999999998</v>
      </c>
      <c r="AA98" s="64">
        <f t="shared" si="32"/>
        <v>1.5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3">F65</f>
        <v>1.03</v>
      </c>
      <c r="G99" s="64">
        <f t="shared" si="33"/>
        <v>0.95</v>
      </c>
      <c r="H99" s="64">
        <f t="shared" si="33"/>
        <v>0.92</v>
      </c>
      <c r="I99" s="64">
        <f t="shared" si="33"/>
        <v>0.86</v>
      </c>
      <c r="J99" s="64">
        <f t="shared" si="33"/>
        <v>0.83</v>
      </c>
      <c r="K99" s="64">
        <f t="shared" si="33"/>
        <v>0.86</v>
      </c>
      <c r="L99" s="64">
        <f t="shared" si="33"/>
        <v>0.91</v>
      </c>
      <c r="M99" s="64">
        <f t="shared" si="33"/>
        <v>1.1000000000000001</v>
      </c>
      <c r="N99" s="64">
        <f t="shared" si="33"/>
        <v>1.1000000000000001</v>
      </c>
      <c r="O99" s="64">
        <f t="shared" si="33"/>
        <v>1.17</v>
      </c>
      <c r="P99" s="64">
        <f t="shared" si="33"/>
        <v>1.18</v>
      </c>
      <c r="Q99" s="64">
        <f t="shared" si="33"/>
        <v>1.22</v>
      </c>
      <c r="R99" s="64">
        <f t="shared" si="33"/>
        <v>1.23</v>
      </c>
      <c r="S99" s="64">
        <f t="shared" si="33"/>
        <v>1.25</v>
      </c>
      <c r="T99" s="64">
        <f t="shared" si="33"/>
        <v>1.24</v>
      </c>
      <c r="U99" s="64">
        <f t="shared" si="33"/>
        <v>1.25</v>
      </c>
      <c r="V99" s="64">
        <f t="shared" si="33"/>
        <v>1.22</v>
      </c>
      <c r="W99" s="64">
        <f t="shared" si="33"/>
        <v>1.2</v>
      </c>
      <c r="X99" s="64">
        <f t="shared" si="33"/>
        <v>1.19</v>
      </c>
      <c r="Y99" s="64">
        <f t="shared" si="33"/>
        <v>1.48</v>
      </c>
      <c r="Z99" s="64">
        <f t="shared" si="33"/>
        <v>1.58</v>
      </c>
      <c r="AA99" s="64">
        <f t="shared" si="33"/>
        <v>1.49</v>
      </c>
      <c r="AB99" s="64">
        <f t="shared" si="33"/>
        <v>1.33</v>
      </c>
      <c r="AC99" s="64">
        <f t="shared" si="33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5">F80</f>
        <v>0.82</v>
      </c>
      <c r="G101" s="64">
        <f t="shared" si="35"/>
        <v>0.79</v>
      </c>
      <c r="H101" s="64">
        <f t="shared" si="35"/>
        <v>0.74</v>
      </c>
      <c r="I101" s="64">
        <f t="shared" si="35"/>
        <v>0.71</v>
      </c>
      <c r="J101" s="64">
        <f t="shared" si="35"/>
        <v>0.69</v>
      </c>
      <c r="K101" s="64">
        <f t="shared" si="35"/>
        <v>0.69</v>
      </c>
      <c r="L101" s="64">
        <f t="shared" si="35"/>
        <v>0.72</v>
      </c>
      <c r="M101" s="64">
        <f t="shared" si="35"/>
        <v>0.75</v>
      </c>
      <c r="N101" s="64">
        <f t="shared" si="35"/>
        <v>0.75</v>
      </c>
      <c r="O101" s="64">
        <f t="shared" si="35"/>
        <v>0.78</v>
      </c>
      <c r="P101" s="64">
        <f t="shared" si="35"/>
        <v>0.82</v>
      </c>
      <c r="Q101" s="64">
        <f t="shared" si="35"/>
        <v>0.86</v>
      </c>
      <c r="R101" s="64">
        <f t="shared" si="35"/>
        <v>0.85</v>
      </c>
      <c r="S101" s="64">
        <f t="shared" si="35"/>
        <v>0.89</v>
      </c>
      <c r="T101" s="64">
        <f t="shared" si="35"/>
        <v>0.91</v>
      </c>
      <c r="U101" s="64">
        <f t="shared" si="35"/>
        <v>0</v>
      </c>
      <c r="V101" s="64">
        <f t="shared" si="35"/>
        <v>0</v>
      </c>
      <c r="W101" s="64">
        <f t="shared" si="35"/>
        <v>0.71</v>
      </c>
      <c r="X101" s="64">
        <f t="shared" si="35"/>
        <v>1.01</v>
      </c>
      <c r="Y101" s="64">
        <f t="shared" si="35"/>
        <v>1.05</v>
      </c>
      <c r="Z101" s="64">
        <f t="shared" si="35"/>
        <v>1.07</v>
      </c>
      <c r="AA101" s="64">
        <f t="shared" si="35"/>
        <v>1.03</v>
      </c>
      <c r="AB101" s="64">
        <f t="shared" si="35"/>
        <v>0.99</v>
      </c>
      <c r="AC101" s="64">
        <f t="shared" si="35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7">SUM(F89,F91,F93,F96,F98:F102,F81)</f>
        <v>39.83</v>
      </c>
      <c r="G103" s="61">
        <f t="shared" si="37"/>
        <v>38.25</v>
      </c>
      <c r="H103" s="61">
        <f t="shared" si="37"/>
        <v>35.550000000000004</v>
      </c>
      <c r="I103" s="61">
        <f t="shared" si="37"/>
        <v>34.49</v>
      </c>
      <c r="J103" s="61">
        <f t="shared" si="37"/>
        <v>33.979999999999997</v>
      </c>
      <c r="K103" s="61">
        <f t="shared" si="37"/>
        <v>33.739999999999995</v>
      </c>
      <c r="L103" s="61">
        <f t="shared" si="37"/>
        <v>35.94</v>
      </c>
      <c r="M103" s="61">
        <f t="shared" si="37"/>
        <v>38.93</v>
      </c>
      <c r="N103" s="61">
        <f t="shared" si="37"/>
        <v>38.93</v>
      </c>
      <c r="O103" s="61">
        <f t="shared" si="37"/>
        <v>44.839999999999996</v>
      </c>
      <c r="P103" s="61">
        <f t="shared" si="37"/>
        <v>47.980000000000004</v>
      </c>
      <c r="Q103" s="61">
        <f t="shared" si="37"/>
        <v>49.089999999999996</v>
      </c>
      <c r="R103" s="61">
        <f t="shared" si="37"/>
        <v>49.480000000000004</v>
      </c>
      <c r="S103" s="61">
        <f t="shared" si="37"/>
        <v>50.46</v>
      </c>
      <c r="T103" s="61">
        <f t="shared" si="37"/>
        <v>53.330000000000005</v>
      </c>
      <c r="U103" s="61">
        <f t="shared" si="37"/>
        <v>51.519999999999996</v>
      </c>
      <c r="V103" s="61">
        <f t="shared" si="37"/>
        <v>49.81</v>
      </c>
      <c r="W103" s="61">
        <f t="shared" si="37"/>
        <v>50.850000000000009</v>
      </c>
      <c r="X103" s="61">
        <f t="shared" si="37"/>
        <v>51.499999999999993</v>
      </c>
      <c r="Y103" s="61">
        <f t="shared" si="37"/>
        <v>58.349999999999994</v>
      </c>
      <c r="Z103" s="61">
        <f t="shared" si="37"/>
        <v>56.249999999999993</v>
      </c>
      <c r="AA103" s="61">
        <f t="shared" si="37"/>
        <v>54.390000000000008</v>
      </c>
      <c r="AB103" s="61">
        <f t="shared" si="37"/>
        <v>51.07</v>
      </c>
      <c r="AC103" s="61">
        <f t="shared" si="37"/>
        <v>44.83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v>2.27</v>
      </c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2.27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9">F103+F107</f>
        <v>39.83</v>
      </c>
      <c r="G108" s="62">
        <f t="shared" si="39"/>
        <v>38.25</v>
      </c>
      <c r="H108" s="62">
        <f t="shared" si="39"/>
        <v>35.550000000000004</v>
      </c>
      <c r="I108" s="62">
        <f t="shared" si="39"/>
        <v>34.49</v>
      </c>
      <c r="J108" s="62">
        <f t="shared" si="39"/>
        <v>33.979999999999997</v>
      </c>
      <c r="K108" s="62">
        <f t="shared" si="39"/>
        <v>33.739999999999995</v>
      </c>
      <c r="L108" s="62">
        <f t="shared" si="39"/>
        <v>35.94</v>
      </c>
      <c r="M108" s="62">
        <f t="shared" si="39"/>
        <v>38.93</v>
      </c>
      <c r="N108" s="62">
        <f t="shared" si="39"/>
        <v>38.93</v>
      </c>
      <c r="O108" s="62">
        <f t="shared" si="39"/>
        <v>44.839999999999996</v>
      </c>
      <c r="P108" s="62">
        <f>P103+P107</f>
        <v>47.980000000000004</v>
      </c>
      <c r="Q108" s="62">
        <f t="shared" si="39"/>
        <v>49.089999999999996</v>
      </c>
      <c r="R108" s="62">
        <f t="shared" si="39"/>
        <v>49.480000000000004</v>
      </c>
      <c r="S108" s="62">
        <f t="shared" si="39"/>
        <v>50.46</v>
      </c>
      <c r="T108" s="62">
        <f>T103+T107</f>
        <v>53.330000000000005</v>
      </c>
      <c r="U108" s="62">
        <f t="shared" si="39"/>
        <v>51.519999999999996</v>
      </c>
      <c r="V108" s="62">
        <f t="shared" si="39"/>
        <v>52.080000000000005</v>
      </c>
      <c r="W108" s="62">
        <f>W103+W107</f>
        <v>50.850000000000009</v>
      </c>
      <c r="X108" s="62">
        <f t="shared" si="39"/>
        <v>51.499999999999993</v>
      </c>
      <c r="Y108" s="62">
        <f t="shared" si="39"/>
        <v>58.349999999999994</v>
      </c>
      <c r="Z108" s="62">
        <f t="shared" si="39"/>
        <v>56.249999999999993</v>
      </c>
      <c r="AA108" s="62">
        <f t="shared" si="39"/>
        <v>54.390000000000008</v>
      </c>
      <c r="AB108" s="62">
        <f t="shared" si="39"/>
        <v>51.07</v>
      </c>
      <c r="AC108" s="62">
        <f t="shared" si="39"/>
        <v>44.83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0">(COUNT(F13:F16))*7.2+(COUNT(F27:F28)*4.9)+(COUNT(F19:F21)*4.5)-F91-F93</f>
        <v>2.2999999999999998</v>
      </c>
      <c r="G109" s="63">
        <f t="shared" si="40"/>
        <v>-2.8999999999999986</v>
      </c>
      <c r="H109" s="63">
        <f t="shared" si="40"/>
        <v>-5.1999999999999993</v>
      </c>
      <c r="I109" s="63">
        <f t="shared" si="40"/>
        <v>-4.1999999999999993</v>
      </c>
      <c r="J109" s="63">
        <f t="shared" si="40"/>
        <v>-3.8000000000000007</v>
      </c>
      <c r="K109" s="63">
        <f t="shared" si="40"/>
        <v>-3.5</v>
      </c>
      <c r="L109" s="63">
        <f t="shared" si="40"/>
        <v>1.5000000000000018</v>
      </c>
      <c r="M109" s="63">
        <f t="shared" si="40"/>
        <v>0.30000000000000071</v>
      </c>
      <c r="N109" s="63">
        <f t="shared" si="40"/>
        <v>0.30000000000000071</v>
      </c>
      <c r="O109" s="63">
        <f t="shared" si="40"/>
        <v>0.80000000000000071</v>
      </c>
      <c r="P109" s="63">
        <f t="shared" si="40"/>
        <v>-4.5000000000000018</v>
      </c>
      <c r="Q109" s="63">
        <f t="shared" si="40"/>
        <v>0.80000000000000071</v>
      </c>
      <c r="R109" s="63">
        <f t="shared" si="40"/>
        <v>11.000000000000004</v>
      </c>
      <c r="S109" s="63">
        <f t="shared" si="40"/>
        <v>0.43999999999999773</v>
      </c>
      <c r="T109" s="63">
        <f t="shared" si="40"/>
        <v>9.9999999999997868E-2</v>
      </c>
      <c r="U109" s="63">
        <f t="shared" si="40"/>
        <v>1.8900000000000006</v>
      </c>
      <c r="V109" s="63">
        <f t="shared" si="40"/>
        <v>1.9799999999999969</v>
      </c>
      <c r="W109" s="63">
        <f t="shared" si="40"/>
        <v>0.11999999999999744</v>
      </c>
      <c r="X109" s="63">
        <f t="shared" si="40"/>
        <v>-0.19999999999999929</v>
      </c>
      <c r="Y109" s="63">
        <f t="shared" si="40"/>
        <v>4.5999999999999979</v>
      </c>
      <c r="Z109" s="63">
        <f t="shared" si="40"/>
        <v>5.1000000000000014</v>
      </c>
      <c r="AA109" s="63">
        <f t="shared" si="40"/>
        <v>5.6</v>
      </c>
      <c r="AB109" s="63">
        <f t="shared" si="40"/>
        <v>5.6999999999999993</v>
      </c>
      <c r="AC109" s="63">
        <f t="shared" si="40"/>
        <v>-2.0000000000000018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0.90000000000000124</v>
      </c>
      <c r="G110" s="205">
        <f t="shared" si="41"/>
        <v>-4.2999999999999989</v>
      </c>
      <c r="H110" s="205">
        <f t="shared" si="41"/>
        <v>-5.1999999999999993</v>
      </c>
      <c r="I110" s="205">
        <f t="shared" si="41"/>
        <v>-4.1999999999999993</v>
      </c>
      <c r="J110" s="205">
        <f t="shared" si="41"/>
        <v>-3.8000000000000007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-3.5</v>
      </c>
      <c r="L110" s="205">
        <f t="shared" si="41"/>
        <v>-5.6999999999999993</v>
      </c>
      <c r="M110" s="205">
        <f t="shared" si="41"/>
        <v>-6.9</v>
      </c>
      <c r="N110" s="205">
        <f t="shared" si="41"/>
        <v>-6.9</v>
      </c>
      <c r="O110" s="205">
        <f t="shared" si="41"/>
        <v>0.80000000000000249</v>
      </c>
      <c r="P110" s="205">
        <f t="shared" si="41"/>
        <v>-4.5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-0.89999999999999747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5.4999999999999991</v>
      </c>
      <c r="S110" s="205">
        <f t="shared" si="42"/>
        <v>-3.4600000000000009</v>
      </c>
      <c r="T110" s="205">
        <f t="shared" si="42"/>
        <v>-4.1000000000000005</v>
      </c>
      <c r="U110" s="205">
        <f t="shared" si="42"/>
        <v>-2.1099999999999981</v>
      </c>
      <c r="V110" s="205">
        <f t="shared" si="42"/>
        <v>-2.2200000000000015</v>
      </c>
      <c r="W110" s="205">
        <f t="shared" si="42"/>
        <v>-4.080000000000001</v>
      </c>
      <c r="X110" s="205">
        <f t="shared" si="42"/>
        <v>-4.3999999999999977</v>
      </c>
      <c r="Y110" s="205">
        <f t="shared" si="42"/>
        <v>-2.9000000000000004</v>
      </c>
      <c r="Z110" s="205">
        <f t="shared" si="42"/>
        <v>-2.8999999999999968</v>
      </c>
      <c r="AA110" s="205">
        <f t="shared" si="42"/>
        <v>-1.9999999999999991</v>
      </c>
      <c r="AB110" s="205">
        <f t="shared" si="42"/>
        <v>-0.39999999999999947</v>
      </c>
      <c r="AC110" s="205">
        <f t="shared" si="42"/>
        <v>-2.4000000000000004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60.19</v>
      </c>
      <c r="G111" s="456">
        <v>60.19</v>
      </c>
      <c r="H111" s="456">
        <v>60.1</v>
      </c>
      <c r="I111" s="456">
        <v>60.08</v>
      </c>
      <c r="J111" s="456">
        <v>60.05</v>
      </c>
      <c r="K111" s="456">
        <v>60.05</v>
      </c>
      <c r="L111" s="456">
        <v>59.99</v>
      </c>
      <c r="M111" s="456">
        <v>60.19</v>
      </c>
      <c r="N111" s="456">
        <v>60.03</v>
      </c>
      <c r="O111" s="456">
        <v>60.11</v>
      </c>
      <c r="P111" s="457">
        <v>60.07</v>
      </c>
      <c r="Q111" s="457">
        <v>60.15</v>
      </c>
      <c r="R111" s="457">
        <v>60.27</v>
      </c>
      <c r="S111" s="457">
        <v>60.13</v>
      </c>
      <c r="T111" s="457">
        <v>60.11</v>
      </c>
      <c r="U111" s="456">
        <v>60.17</v>
      </c>
      <c r="V111" s="456">
        <v>60.2</v>
      </c>
      <c r="W111" s="456">
        <v>60.09</v>
      </c>
      <c r="X111" s="456">
        <v>60.09</v>
      </c>
      <c r="Y111" s="456">
        <v>60.09</v>
      </c>
      <c r="Z111" s="456">
        <v>60.1</v>
      </c>
      <c r="AA111" s="456">
        <v>60.1</v>
      </c>
      <c r="AB111" s="456">
        <v>60.18</v>
      </c>
      <c r="AC111" s="456">
        <v>60.16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/>
      <c r="M115" s="520"/>
      <c r="N115" s="520" t="s">
        <v>105</v>
      </c>
      <c r="O115" s="520" t="s">
        <v>105</v>
      </c>
      <c r="P115" s="520" t="s">
        <v>105</v>
      </c>
      <c r="Q115" s="520" t="s">
        <v>105</v>
      </c>
      <c r="R115" s="520" t="s">
        <v>105</v>
      </c>
      <c r="S115" s="520" t="s">
        <v>105</v>
      </c>
      <c r="T115" s="520" t="s">
        <v>105</v>
      </c>
      <c r="U115" s="520" t="s">
        <v>105</v>
      </c>
      <c r="V115" s="520"/>
      <c r="W115" s="520" t="s">
        <v>101</v>
      </c>
      <c r="X115" s="520" t="s">
        <v>101</v>
      </c>
      <c r="Y115" s="520" t="s">
        <v>101</v>
      </c>
      <c r="Z115" s="520" t="s">
        <v>101</v>
      </c>
      <c r="AA115" s="520" t="s">
        <v>101</v>
      </c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6298" priority="606" operator="greaterThan">
      <formula>60.3</formula>
    </cfRule>
  </conditionalFormatting>
  <conditionalFormatting sqref="F111">
    <cfRule type="cellIs" dxfId="16297" priority="605" operator="greaterThan">
      <formula>60.3</formula>
    </cfRule>
  </conditionalFormatting>
  <conditionalFormatting sqref="H13:J13 N13:O13 D42:E42 H36:J59 L13 N36:AC39 N41:AC46 N57:AC59 P40:AC40 O14:O16 L51:M51 L36:L50 L52:L59 P13:AC16 H62:L64 I15:N16 P47:AC56 P62:AC64">
    <cfRule type="cellIs" dxfId="16296" priority="597" operator="equal">
      <formula>"PMS"</formula>
    </cfRule>
    <cfRule type="containsText" dxfId="16295" priority="598" operator="containsText" text="CMS">
      <formula>NOT(ISERROR(SEARCH("CMS",D13)))</formula>
    </cfRule>
    <cfRule type="cellIs" dxfId="16294" priority="599" operator="equal">
      <formula>0</formula>
    </cfRule>
    <cfRule type="cellIs" dxfId="16293" priority="600" operator="greaterThan">
      <formula>0</formula>
    </cfRule>
    <cfRule type="cellIs" dxfId="16292" priority="601" operator="equal">
      <formula>"PMS"</formula>
    </cfRule>
    <cfRule type="containsText" dxfId="16291" priority="602" operator="containsText" text="CMS">
      <formula>NOT(ISERROR(SEARCH("CMS",D13)))</formula>
    </cfRule>
    <cfRule type="cellIs" dxfId="16290" priority="603" operator="equal">
      <formula>0</formula>
    </cfRule>
    <cfRule type="cellIs" dxfId="16289" priority="604" operator="greaterThan">
      <formula>0</formula>
    </cfRule>
  </conditionalFormatting>
  <conditionalFormatting sqref="H13:J13 N13:O13 D42:E42 H36:J59 L13 N36:AC39 N41:AC46 N57:AC59 P40:AC40 O14:O16 L51:M51 L36:L50 L52:L59 P13:AC16 H62:L64 I15:N16 P47:AC56 P62:AC64">
    <cfRule type="cellIs" dxfId="16288" priority="593" operator="equal">
      <formula>"PMS"</formula>
    </cfRule>
    <cfRule type="containsText" dxfId="16287" priority="594" operator="containsText" text="CMS">
      <formula>NOT(ISERROR(SEARCH("CMS",D13)))</formula>
    </cfRule>
    <cfRule type="cellIs" dxfId="16286" priority="595" operator="equal">
      <formula>0</formula>
    </cfRule>
    <cfRule type="cellIs" dxfId="16285" priority="596" operator="greaterThan">
      <formula>0</formula>
    </cfRule>
  </conditionalFormatting>
  <conditionalFormatting sqref="G67:AC75">
    <cfRule type="cellIs" dxfId="16284" priority="585" operator="equal">
      <formula>"PMS"</formula>
    </cfRule>
    <cfRule type="containsText" dxfId="16283" priority="586" operator="containsText" text="CMS">
      <formula>NOT(ISERROR(SEARCH("CMS",G67)))</formula>
    </cfRule>
    <cfRule type="cellIs" dxfId="16282" priority="587" operator="equal">
      <formula>0</formula>
    </cfRule>
    <cfRule type="cellIs" dxfId="16281" priority="588" operator="greaterThan">
      <formula>0</formula>
    </cfRule>
    <cfRule type="cellIs" dxfId="16280" priority="589" operator="equal">
      <formula>"PMS"</formula>
    </cfRule>
    <cfRule type="containsText" dxfId="16279" priority="590" operator="containsText" text="CMS">
      <formula>NOT(ISERROR(SEARCH("CMS",G67)))</formula>
    </cfRule>
    <cfRule type="cellIs" dxfId="16278" priority="591" operator="equal">
      <formula>0</formula>
    </cfRule>
    <cfRule type="cellIs" dxfId="16277" priority="592" operator="greaterThan">
      <formula>0</formula>
    </cfRule>
  </conditionalFormatting>
  <conditionalFormatting sqref="G67:AC75">
    <cfRule type="cellIs" dxfId="16276" priority="581" operator="equal">
      <formula>"PMS"</formula>
    </cfRule>
    <cfRule type="containsText" dxfId="16275" priority="582" operator="containsText" text="CMS">
      <formula>NOT(ISERROR(SEARCH("CMS",G67)))</formula>
    </cfRule>
    <cfRule type="cellIs" dxfId="16274" priority="583" operator="equal">
      <formula>0</formula>
    </cfRule>
    <cfRule type="cellIs" dxfId="16273" priority="584" operator="greaterThan">
      <formula>0</formula>
    </cfRule>
  </conditionalFormatting>
  <conditionalFormatting sqref="G82:AC82">
    <cfRule type="cellIs" dxfId="16272" priority="573" operator="equal">
      <formula>"PMS"</formula>
    </cfRule>
    <cfRule type="containsText" dxfId="16271" priority="574" operator="containsText" text="CMS">
      <formula>NOT(ISERROR(SEARCH("CMS",G82)))</formula>
    </cfRule>
    <cfRule type="cellIs" dxfId="16270" priority="575" operator="equal">
      <formula>0</formula>
    </cfRule>
    <cfRule type="cellIs" dxfId="16269" priority="576" operator="greaterThan">
      <formula>0</formula>
    </cfRule>
    <cfRule type="cellIs" dxfId="16268" priority="577" operator="equal">
      <formula>"PMS"</formula>
    </cfRule>
    <cfRule type="containsText" dxfId="16267" priority="578" operator="containsText" text="CMS">
      <formula>NOT(ISERROR(SEARCH("CMS",G82)))</formula>
    </cfRule>
    <cfRule type="cellIs" dxfId="16266" priority="579" operator="equal">
      <formula>0</formula>
    </cfRule>
    <cfRule type="cellIs" dxfId="16265" priority="580" operator="greaterThan">
      <formula>0</formula>
    </cfRule>
  </conditionalFormatting>
  <conditionalFormatting sqref="G82:AC82">
    <cfRule type="cellIs" dxfId="16264" priority="569" operator="equal">
      <formula>"PMS"</formula>
    </cfRule>
    <cfRule type="containsText" dxfId="16263" priority="570" operator="containsText" text="CMS">
      <formula>NOT(ISERROR(SEARCH("CMS",G82)))</formula>
    </cfRule>
    <cfRule type="cellIs" dxfId="16262" priority="571" operator="equal">
      <formula>0</formula>
    </cfRule>
    <cfRule type="cellIs" dxfId="16261" priority="572" operator="greaterThan">
      <formula>0</formula>
    </cfRule>
  </conditionalFormatting>
  <conditionalFormatting sqref="I14 M14:N14">
    <cfRule type="cellIs" dxfId="16260" priority="561" operator="equal">
      <formula>"PMS"</formula>
    </cfRule>
    <cfRule type="containsText" dxfId="16259" priority="562" operator="containsText" text="CMS">
      <formula>NOT(ISERROR(SEARCH("CMS",I14)))</formula>
    </cfRule>
    <cfRule type="cellIs" dxfId="16258" priority="563" operator="equal">
      <formula>0</formula>
    </cfRule>
    <cfRule type="cellIs" dxfId="16257" priority="564" operator="greaterThan">
      <formula>0</formula>
    </cfRule>
    <cfRule type="cellIs" dxfId="16256" priority="565" operator="equal">
      <formula>"PMS"</formula>
    </cfRule>
    <cfRule type="containsText" dxfId="16255" priority="566" operator="containsText" text="CMS">
      <formula>NOT(ISERROR(SEARCH("CMS",I14)))</formula>
    </cfRule>
    <cfRule type="cellIs" dxfId="16254" priority="567" operator="equal">
      <formula>0</formula>
    </cfRule>
    <cfRule type="cellIs" dxfId="16253" priority="568" operator="greaterThan">
      <formula>0</formula>
    </cfRule>
  </conditionalFormatting>
  <conditionalFormatting sqref="I14 M14:N14">
    <cfRule type="cellIs" dxfId="16252" priority="557" operator="equal">
      <formula>"PMS"</formula>
    </cfRule>
    <cfRule type="containsText" dxfId="16251" priority="558" operator="containsText" text="CMS">
      <formula>NOT(ISERROR(SEARCH("CMS",I14)))</formula>
    </cfRule>
    <cfRule type="cellIs" dxfId="16250" priority="559" operator="equal">
      <formula>0</formula>
    </cfRule>
    <cfRule type="cellIs" dxfId="16249" priority="560" operator="greaterThan">
      <formula>0</formula>
    </cfRule>
  </conditionalFormatting>
  <conditionalFormatting sqref="G13">
    <cfRule type="cellIs" dxfId="16248" priority="549" operator="equal">
      <formula>"PMS"</formula>
    </cfRule>
    <cfRule type="containsText" dxfId="16247" priority="550" operator="containsText" text="CMS">
      <formula>NOT(ISERROR(SEARCH("CMS",G13)))</formula>
    </cfRule>
    <cfRule type="cellIs" dxfId="16246" priority="551" operator="equal">
      <formula>0</formula>
    </cfRule>
    <cfRule type="cellIs" dxfId="16245" priority="552" operator="greaterThan">
      <formula>0</formula>
    </cfRule>
    <cfRule type="cellIs" dxfId="16244" priority="553" operator="equal">
      <formula>"PMS"</formula>
    </cfRule>
    <cfRule type="containsText" dxfId="16243" priority="554" operator="containsText" text="CMS">
      <formula>NOT(ISERROR(SEARCH("CMS",G13)))</formula>
    </cfRule>
    <cfRule type="cellIs" dxfId="16242" priority="555" operator="equal">
      <formula>0</formula>
    </cfRule>
    <cfRule type="cellIs" dxfId="16241" priority="556" operator="greaterThan">
      <formula>0</formula>
    </cfRule>
  </conditionalFormatting>
  <conditionalFormatting sqref="G13">
    <cfRule type="cellIs" dxfId="16240" priority="545" operator="equal">
      <formula>"PMS"</formula>
    </cfRule>
    <cfRule type="containsText" dxfId="16239" priority="546" operator="containsText" text="CMS">
      <formula>NOT(ISERROR(SEARCH("CMS",G13)))</formula>
    </cfRule>
    <cfRule type="cellIs" dxfId="16238" priority="547" operator="equal">
      <formula>0</formula>
    </cfRule>
    <cfRule type="cellIs" dxfId="16237" priority="548" operator="greaterThan">
      <formula>0</formula>
    </cfRule>
  </conditionalFormatting>
  <conditionalFormatting sqref="M13">
    <cfRule type="cellIs" dxfId="16236" priority="537" operator="equal">
      <formula>"PMS"</formula>
    </cfRule>
    <cfRule type="containsText" dxfId="16235" priority="538" operator="containsText" text="CMS">
      <formula>NOT(ISERROR(SEARCH("CMS",M13)))</formula>
    </cfRule>
    <cfRule type="cellIs" dxfId="16234" priority="539" operator="equal">
      <formula>0</formula>
    </cfRule>
    <cfRule type="cellIs" dxfId="16233" priority="540" operator="greaterThan">
      <formula>0</formula>
    </cfRule>
    <cfRule type="cellIs" dxfId="16232" priority="541" operator="equal">
      <formula>"PMS"</formula>
    </cfRule>
    <cfRule type="containsText" dxfId="16231" priority="542" operator="containsText" text="CMS">
      <formula>NOT(ISERROR(SEARCH("CMS",M13)))</formula>
    </cfRule>
    <cfRule type="cellIs" dxfId="16230" priority="543" operator="equal">
      <formula>0</formula>
    </cfRule>
    <cfRule type="cellIs" dxfId="16229" priority="544" operator="greaterThan">
      <formula>0</formula>
    </cfRule>
  </conditionalFormatting>
  <conditionalFormatting sqref="M13">
    <cfRule type="cellIs" dxfId="16228" priority="533" operator="equal">
      <formula>"PMS"</formula>
    </cfRule>
    <cfRule type="containsText" dxfId="16227" priority="534" operator="containsText" text="CMS">
      <formula>NOT(ISERROR(SEARCH("CMS",M13)))</formula>
    </cfRule>
    <cfRule type="cellIs" dxfId="16226" priority="535" operator="equal">
      <formula>0</formula>
    </cfRule>
    <cfRule type="cellIs" dxfId="16225" priority="536" operator="greaterThan">
      <formula>0</formula>
    </cfRule>
  </conditionalFormatting>
  <conditionalFormatting sqref="K13">
    <cfRule type="cellIs" dxfId="16224" priority="525" operator="equal">
      <formula>"PMS"</formula>
    </cfRule>
    <cfRule type="containsText" dxfId="16223" priority="526" operator="containsText" text="CMS">
      <formula>NOT(ISERROR(SEARCH("CMS",K13)))</formula>
    </cfRule>
    <cfRule type="cellIs" dxfId="16222" priority="527" operator="equal">
      <formula>0</formula>
    </cfRule>
    <cfRule type="cellIs" dxfId="16221" priority="528" operator="greaterThan">
      <formula>0</formula>
    </cfRule>
    <cfRule type="cellIs" dxfId="16220" priority="529" operator="equal">
      <formula>"PMS"</formula>
    </cfRule>
    <cfRule type="containsText" dxfId="16219" priority="530" operator="containsText" text="CMS">
      <formula>NOT(ISERROR(SEARCH("CMS",K13)))</formula>
    </cfRule>
    <cfRule type="cellIs" dxfId="16218" priority="531" operator="equal">
      <formula>0</formula>
    </cfRule>
    <cfRule type="cellIs" dxfId="16217" priority="532" operator="greaterThan">
      <formula>0</formula>
    </cfRule>
  </conditionalFormatting>
  <conditionalFormatting sqref="K13">
    <cfRule type="cellIs" dxfId="16216" priority="521" operator="equal">
      <formula>"PMS"</formula>
    </cfRule>
    <cfRule type="containsText" dxfId="16215" priority="522" operator="containsText" text="CMS">
      <formula>NOT(ISERROR(SEARCH("CMS",K13)))</formula>
    </cfRule>
    <cfRule type="cellIs" dxfId="16214" priority="523" operator="equal">
      <formula>0</formula>
    </cfRule>
    <cfRule type="cellIs" dxfId="16213" priority="524" operator="greaterThan">
      <formula>0</formula>
    </cfRule>
  </conditionalFormatting>
  <conditionalFormatting sqref="G113:AC113">
    <cfRule type="cellIs" dxfId="16212" priority="520" operator="greaterThan">
      <formula>60.3</formula>
    </cfRule>
  </conditionalFormatting>
  <conditionalFormatting sqref="H112:M112">
    <cfRule type="cellIs" dxfId="16211" priority="519" operator="greaterThan">
      <formula>60.3</formula>
    </cfRule>
  </conditionalFormatting>
  <conditionalFormatting sqref="F112:G112">
    <cfRule type="cellIs" dxfId="16210" priority="518" operator="greaterThan">
      <formula>60.3</formula>
    </cfRule>
  </conditionalFormatting>
  <conditionalFormatting sqref="N112:AC112">
    <cfRule type="cellIs" dxfId="16209" priority="517" operator="greaterThan">
      <formula>60.3</formula>
    </cfRule>
  </conditionalFormatting>
  <conditionalFormatting sqref="G15:G16">
    <cfRule type="cellIs" dxfId="16208" priority="509" operator="equal">
      <formula>"PMS"</formula>
    </cfRule>
    <cfRule type="containsText" dxfId="16207" priority="510" operator="containsText" text="CMS">
      <formula>NOT(ISERROR(SEARCH("CMS",G15)))</formula>
    </cfRule>
    <cfRule type="cellIs" dxfId="16206" priority="511" operator="equal">
      <formula>0</formula>
    </cfRule>
    <cfRule type="cellIs" dxfId="16205" priority="512" operator="greaterThan">
      <formula>0</formula>
    </cfRule>
    <cfRule type="cellIs" dxfId="16204" priority="513" operator="equal">
      <formula>"PMS"</formula>
    </cfRule>
    <cfRule type="containsText" dxfId="16203" priority="514" operator="containsText" text="CMS">
      <formula>NOT(ISERROR(SEARCH("CMS",G15)))</formula>
    </cfRule>
    <cfRule type="cellIs" dxfId="16202" priority="515" operator="equal">
      <formula>0</formula>
    </cfRule>
    <cfRule type="cellIs" dxfId="16201" priority="516" operator="greaterThan">
      <formula>0</formula>
    </cfRule>
  </conditionalFormatting>
  <conditionalFormatting sqref="G15:G16">
    <cfRule type="cellIs" dxfId="16200" priority="505" operator="equal">
      <formula>"PMS"</formula>
    </cfRule>
    <cfRule type="containsText" dxfId="16199" priority="506" operator="containsText" text="CMS">
      <formula>NOT(ISERROR(SEARCH("CMS",G15)))</formula>
    </cfRule>
    <cfRule type="cellIs" dxfId="16198" priority="507" operator="equal">
      <formula>0</formula>
    </cfRule>
    <cfRule type="cellIs" dxfId="16197" priority="508" operator="greaterThan">
      <formula>0</formula>
    </cfRule>
  </conditionalFormatting>
  <conditionalFormatting sqref="H14 H16">
    <cfRule type="cellIs" dxfId="16196" priority="497" operator="equal">
      <formula>"PMS"</formula>
    </cfRule>
    <cfRule type="containsText" dxfId="16195" priority="498" operator="containsText" text="CMS">
      <formula>NOT(ISERROR(SEARCH("CMS",H14)))</formula>
    </cfRule>
    <cfRule type="cellIs" dxfId="16194" priority="499" operator="equal">
      <formula>0</formula>
    </cfRule>
    <cfRule type="cellIs" dxfId="16193" priority="500" operator="greaterThan">
      <formula>0</formula>
    </cfRule>
    <cfRule type="cellIs" dxfId="16192" priority="501" operator="equal">
      <formula>"PMS"</formula>
    </cfRule>
    <cfRule type="containsText" dxfId="16191" priority="502" operator="containsText" text="CMS">
      <formula>NOT(ISERROR(SEARCH("CMS",H14)))</formula>
    </cfRule>
    <cfRule type="cellIs" dxfId="16190" priority="503" operator="equal">
      <formula>0</formula>
    </cfRule>
    <cfRule type="cellIs" dxfId="16189" priority="504" operator="greaterThan">
      <formula>0</formula>
    </cfRule>
  </conditionalFormatting>
  <conditionalFormatting sqref="H14 H16">
    <cfRule type="cellIs" dxfId="16188" priority="493" operator="equal">
      <formula>"PMS"</formula>
    </cfRule>
    <cfRule type="containsText" dxfId="16187" priority="494" operator="containsText" text="CMS">
      <formula>NOT(ISERROR(SEARCH("CMS",H14)))</formula>
    </cfRule>
    <cfRule type="cellIs" dxfId="16186" priority="495" operator="equal">
      <formula>0</formula>
    </cfRule>
    <cfRule type="cellIs" dxfId="16185" priority="496" operator="greaterThan">
      <formula>0</formula>
    </cfRule>
  </conditionalFormatting>
  <conditionalFormatting sqref="G36:G38 G57:G59">
    <cfRule type="cellIs" dxfId="16184" priority="485" operator="equal">
      <formula>"PMS"</formula>
    </cfRule>
    <cfRule type="containsText" dxfId="16183" priority="486" operator="containsText" text="CMS">
      <formula>NOT(ISERROR(SEARCH("CMS",G36)))</formula>
    </cfRule>
    <cfRule type="cellIs" dxfId="16182" priority="487" operator="equal">
      <formula>0</formula>
    </cfRule>
    <cfRule type="cellIs" dxfId="16181" priority="488" operator="greaterThan">
      <formula>0</formula>
    </cfRule>
    <cfRule type="cellIs" dxfId="16180" priority="489" operator="equal">
      <formula>"PMS"</formula>
    </cfRule>
    <cfRule type="containsText" dxfId="16179" priority="490" operator="containsText" text="CMS">
      <formula>NOT(ISERROR(SEARCH("CMS",G36)))</formula>
    </cfRule>
    <cfRule type="cellIs" dxfId="16178" priority="491" operator="equal">
      <formula>0</formula>
    </cfRule>
    <cfRule type="cellIs" dxfId="16177" priority="492" operator="greaterThan">
      <formula>0</formula>
    </cfRule>
  </conditionalFormatting>
  <conditionalFormatting sqref="G36:G38 G57:G59">
    <cfRule type="cellIs" dxfId="16176" priority="481" operator="equal">
      <formula>"PMS"</formula>
    </cfRule>
    <cfRule type="containsText" dxfId="16175" priority="482" operator="containsText" text="CMS">
      <formula>NOT(ISERROR(SEARCH("CMS",G36)))</formula>
    </cfRule>
    <cfRule type="cellIs" dxfId="16174" priority="483" operator="equal">
      <formula>0</formula>
    </cfRule>
    <cfRule type="cellIs" dxfId="16173" priority="484" operator="greaterThan">
      <formula>0</formula>
    </cfRule>
  </conditionalFormatting>
  <conditionalFormatting sqref="M36:M38 M57:M59">
    <cfRule type="cellIs" dxfId="16172" priority="473" operator="equal">
      <formula>"PMS"</formula>
    </cfRule>
    <cfRule type="containsText" dxfId="16171" priority="474" operator="containsText" text="CMS">
      <formula>NOT(ISERROR(SEARCH("CMS",M36)))</formula>
    </cfRule>
    <cfRule type="cellIs" dxfId="16170" priority="475" operator="equal">
      <formula>0</formula>
    </cfRule>
    <cfRule type="cellIs" dxfId="16169" priority="476" operator="greaterThan">
      <formula>0</formula>
    </cfRule>
    <cfRule type="cellIs" dxfId="16168" priority="477" operator="equal">
      <formula>"PMS"</formula>
    </cfRule>
    <cfRule type="containsText" dxfId="16167" priority="478" operator="containsText" text="CMS">
      <formula>NOT(ISERROR(SEARCH("CMS",M36)))</formula>
    </cfRule>
    <cfRule type="cellIs" dxfId="16166" priority="479" operator="equal">
      <formula>0</formula>
    </cfRule>
    <cfRule type="cellIs" dxfId="16165" priority="480" operator="greaterThan">
      <formula>0</formula>
    </cfRule>
  </conditionalFormatting>
  <conditionalFormatting sqref="M36:M38 M57:M59">
    <cfRule type="cellIs" dxfId="16164" priority="469" operator="equal">
      <formula>"PMS"</formula>
    </cfRule>
    <cfRule type="containsText" dxfId="16163" priority="470" operator="containsText" text="CMS">
      <formula>NOT(ISERROR(SEARCH("CMS",M36)))</formula>
    </cfRule>
    <cfRule type="cellIs" dxfId="16162" priority="471" operator="equal">
      <formula>0</formula>
    </cfRule>
    <cfRule type="cellIs" dxfId="16161" priority="472" operator="greaterThan">
      <formula>0</formula>
    </cfRule>
  </conditionalFormatting>
  <conditionalFormatting sqref="K36:K38 K57:K59">
    <cfRule type="cellIs" dxfId="16160" priority="461" operator="equal">
      <formula>"PMS"</formula>
    </cfRule>
    <cfRule type="containsText" dxfId="16159" priority="462" operator="containsText" text="CMS">
      <formula>NOT(ISERROR(SEARCH("CMS",K36)))</formula>
    </cfRule>
    <cfRule type="cellIs" dxfId="16158" priority="463" operator="equal">
      <formula>0</formula>
    </cfRule>
    <cfRule type="cellIs" dxfId="16157" priority="464" operator="greaterThan">
      <formula>0</formula>
    </cfRule>
    <cfRule type="cellIs" dxfId="16156" priority="465" operator="equal">
      <formula>"PMS"</formula>
    </cfRule>
    <cfRule type="containsText" dxfId="16155" priority="466" operator="containsText" text="CMS">
      <formula>NOT(ISERROR(SEARCH("CMS",K36)))</formula>
    </cfRule>
    <cfRule type="cellIs" dxfId="16154" priority="467" operator="equal">
      <formula>0</formula>
    </cfRule>
    <cfRule type="cellIs" dxfId="16153" priority="468" operator="greaterThan">
      <formula>0</formula>
    </cfRule>
  </conditionalFormatting>
  <conditionalFormatting sqref="K36:K38 K57:K59">
    <cfRule type="cellIs" dxfId="16152" priority="457" operator="equal">
      <formula>"PMS"</formula>
    </cfRule>
    <cfRule type="containsText" dxfId="16151" priority="458" operator="containsText" text="CMS">
      <formula>NOT(ISERROR(SEARCH("CMS",K36)))</formula>
    </cfRule>
    <cfRule type="cellIs" dxfId="16150" priority="459" operator="equal">
      <formula>0</formula>
    </cfRule>
    <cfRule type="cellIs" dxfId="16149" priority="460" operator="greaterThan">
      <formula>0</formula>
    </cfRule>
  </conditionalFormatting>
  <conditionalFormatting sqref="K14:L14">
    <cfRule type="cellIs" dxfId="16148" priority="449" operator="equal">
      <formula>"PMS"</formula>
    </cfRule>
    <cfRule type="containsText" dxfId="16147" priority="450" operator="containsText" text="CMS">
      <formula>NOT(ISERROR(SEARCH("CMS",K14)))</formula>
    </cfRule>
    <cfRule type="cellIs" dxfId="16146" priority="451" operator="equal">
      <formula>0</formula>
    </cfRule>
    <cfRule type="cellIs" dxfId="16145" priority="452" operator="greaterThan">
      <formula>0</formula>
    </cfRule>
    <cfRule type="cellIs" dxfId="16144" priority="453" operator="equal">
      <formula>"PMS"</formula>
    </cfRule>
    <cfRule type="containsText" dxfId="16143" priority="454" operator="containsText" text="CMS">
      <formula>NOT(ISERROR(SEARCH("CMS",K14)))</formula>
    </cfRule>
    <cfRule type="cellIs" dxfId="16142" priority="455" operator="equal">
      <formula>0</formula>
    </cfRule>
    <cfRule type="cellIs" dxfId="16141" priority="456" operator="greaterThan">
      <formula>0</formula>
    </cfRule>
  </conditionalFormatting>
  <conditionalFormatting sqref="K14:L14">
    <cfRule type="cellIs" dxfId="16140" priority="445" operator="equal">
      <formula>"PMS"</formula>
    </cfRule>
    <cfRule type="containsText" dxfId="16139" priority="446" operator="containsText" text="CMS">
      <formula>NOT(ISERROR(SEARCH("CMS",K14)))</formula>
    </cfRule>
    <cfRule type="cellIs" dxfId="16138" priority="447" operator="equal">
      <formula>0</formula>
    </cfRule>
    <cfRule type="cellIs" dxfId="16137" priority="448" operator="greaterThan">
      <formula>0</formula>
    </cfRule>
  </conditionalFormatting>
  <conditionalFormatting sqref="G49 G52:G55">
    <cfRule type="cellIs" dxfId="16136" priority="437" operator="equal">
      <formula>"PMS"</formula>
    </cfRule>
    <cfRule type="containsText" dxfId="16135" priority="438" operator="containsText" text="CMS">
      <formula>NOT(ISERROR(SEARCH("CMS",G49)))</formula>
    </cfRule>
    <cfRule type="cellIs" dxfId="16134" priority="439" operator="equal">
      <formula>0</formula>
    </cfRule>
    <cfRule type="cellIs" dxfId="16133" priority="440" operator="greaterThan">
      <formula>0</formula>
    </cfRule>
    <cfRule type="cellIs" dxfId="16132" priority="441" operator="equal">
      <formula>"PMS"</formula>
    </cfRule>
    <cfRule type="containsText" dxfId="16131" priority="442" operator="containsText" text="CMS">
      <formula>NOT(ISERROR(SEARCH("CMS",G49)))</formula>
    </cfRule>
    <cfRule type="cellIs" dxfId="16130" priority="443" operator="equal">
      <formula>0</formula>
    </cfRule>
    <cfRule type="cellIs" dxfId="16129" priority="444" operator="greaterThan">
      <formula>0</formula>
    </cfRule>
  </conditionalFormatting>
  <conditionalFormatting sqref="G49 G52:G55">
    <cfRule type="cellIs" dxfId="16128" priority="433" operator="equal">
      <formula>"PMS"</formula>
    </cfRule>
    <cfRule type="containsText" dxfId="16127" priority="434" operator="containsText" text="CMS">
      <formula>NOT(ISERROR(SEARCH("CMS",G49)))</formula>
    </cfRule>
    <cfRule type="cellIs" dxfId="16126" priority="435" operator="equal">
      <formula>0</formula>
    </cfRule>
    <cfRule type="cellIs" dxfId="16125" priority="436" operator="greaterThan">
      <formula>0</formula>
    </cfRule>
  </conditionalFormatting>
  <conditionalFormatting sqref="M49:N49 M52:M55">
    <cfRule type="cellIs" dxfId="16124" priority="425" operator="equal">
      <formula>"PMS"</formula>
    </cfRule>
    <cfRule type="containsText" dxfId="16123" priority="426" operator="containsText" text="CMS">
      <formula>NOT(ISERROR(SEARCH("CMS",M49)))</formula>
    </cfRule>
    <cfRule type="cellIs" dxfId="16122" priority="427" operator="equal">
      <formula>0</formula>
    </cfRule>
    <cfRule type="cellIs" dxfId="16121" priority="428" operator="greaterThan">
      <formula>0</formula>
    </cfRule>
    <cfRule type="cellIs" dxfId="16120" priority="429" operator="equal">
      <formula>"PMS"</formula>
    </cfRule>
    <cfRule type="containsText" dxfId="16119" priority="430" operator="containsText" text="CMS">
      <formula>NOT(ISERROR(SEARCH("CMS",M49)))</formula>
    </cfRule>
    <cfRule type="cellIs" dxfId="16118" priority="431" operator="equal">
      <formula>0</formula>
    </cfRule>
    <cfRule type="cellIs" dxfId="16117" priority="432" operator="greaterThan">
      <formula>0</formula>
    </cfRule>
  </conditionalFormatting>
  <conditionalFormatting sqref="M49:N49 M52:M55">
    <cfRule type="cellIs" dxfId="16116" priority="421" operator="equal">
      <formula>"PMS"</formula>
    </cfRule>
    <cfRule type="containsText" dxfId="16115" priority="422" operator="containsText" text="CMS">
      <formula>NOT(ISERROR(SEARCH("CMS",M49)))</formula>
    </cfRule>
    <cfRule type="cellIs" dxfId="16114" priority="423" operator="equal">
      <formula>0</formula>
    </cfRule>
    <cfRule type="cellIs" dxfId="16113" priority="424" operator="greaterThan">
      <formula>0</formula>
    </cfRule>
  </conditionalFormatting>
  <conditionalFormatting sqref="K49 K52:K55">
    <cfRule type="cellIs" dxfId="16112" priority="413" operator="equal">
      <formula>"PMS"</formula>
    </cfRule>
    <cfRule type="containsText" dxfId="16111" priority="414" operator="containsText" text="CMS">
      <formula>NOT(ISERROR(SEARCH("CMS",K49)))</formula>
    </cfRule>
    <cfRule type="cellIs" dxfId="16110" priority="415" operator="equal">
      <formula>0</formula>
    </cfRule>
    <cfRule type="cellIs" dxfId="16109" priority="416" operator="greaterThan">
      <formula>0</formula>
    </cfRule>
    <cfRule type="cellIs" dxfId="16108" priority="417" operator="equal">
      <formula>"PMS"</formula>
    </cfRule>
    <cfRule type="containsText" dxfId="16107" priority="418" operator="containsText" text="CMS">
      <formula>NOT(ISERROR(SEARCH("CMS",K49)))</formula>
    </cfRule>
    <cfRule type="cellIs" dxfId="16106" priority="419" operator="equal">
      <formula>0</formula>
    </cfRule>
    <cfRule type="cellIs" dxfId="16105" priority="420" operator="greaterThan">
      <formula>0</formula>
    </cfRule>
  </conditionalFormatting>
  <conditionalFormatting sqref="K49 K52:K55">
    <cfRule type="cellIs" dxfId="16104" priority="409" operator="equal">
      <formula>"PMS"</formula>
    </cfRule>
    <cfRule type="containsText" dxfId="16103" priority="410" operator="containsText" text="CMS">
      <formula>NOT(ISERROR(SEARCH("CMS",K49)))</formula>
    </cfRule>
    <cfRule type="cellIs" dxfId="16102" priority="411" operator="equal">
      <formula>0</formula>
    </cfRule>
    <cfRule type="cellIs" dxfId="16101" priority="412" operator="greaterThan">
      <formula>0</formula>
    </cfRule>
  </conditionalFormatting>
  <conditionalFormatting sqref="H33:J33 L33 L27:L30 H24:J24 H19:J20 L20:L21 V28:AC28 M21 Q28:T28 N28:P29 N33:AC33 P30 Q29:AC30 H27:J30 H21:K21 O78:AC79 K19:M19 M30:N30 H79:J79 L24:AC24 L79:N79 N19:AC21">
    <cfRule type="cellIs" dxfId="16100" priority="401" operator="equal">
      <formula>"PMS"</formula>
    </cfRule>
    <cfRule type="containsText" dxfId="16099" priority="402" operator="containsText" text="CMS">
      <formula>NOT(ISERROR(SEARCH("CMS",H19)))</formula>
    </cfRule>
    <cfRule type="cellIs" dxfId="16098" priority="403" operator="equal">
      <formula>0</formula>
    </cfRule>
    <cfRule type="cellIs" dxfId="16097" priority="404" operator="greaterThan">
      <formula>0</formula>
    </cfRule>
    <cfRule type="cellIs" dxfId="16096" priority="405" operator="equal">
      <formula>"PMS"</formula>
    </cfRule>
    <cfRule type="containsText" dxfId="16095" priority="406" operator="containsText" text="CMS">
      <formula>NOT(ISERROR(SEARCH("CMS",H19)))</formula>
    </cfRule>
    <cfRule type="cellIs" dxfId="16094" priority="407" operator="equal">
      <formula>0</formula>
    </cfRule>
    <cfRule type="cellIs" dxfId="16093" priority="408" operator="greaterThan">
      <formula>0</formula>
    </cfRule>
  </conditionalFormatting>
  <conditionalFormatting sqref="H33:J33 L33 L27:L30 H24:J24 H19:J20 L20:L21 V28:AC28 M21 Q28:T28 N28:P29 N33:AC33 P30 Q29:AC30 H27:J30 H21:K21 O78:AC79 K19:M19 M30:N30 H79:J79 L24:AC24 L79:N79 N19:AC21">
    <cfRule type="cellIs" dxfId="16092" priority="397" operator="equal">
      <formula>"PMS"</formula>
    </cfRule>
    <cfRule type="containsText" dxfId="16091" priority="398" operator="containsText" text="CMS">
      <formula>NOT(ISERROR(SEARCH("CMS",H19)))</formula>
    </cfRule>
    <cfRule type="cellIs" dxfId="16090" priority="399" operator="equal">
      <formula>0</formula>
    </cfRule>
    <cfRule type="cellIs" dxfId="16089" priority="400" operator="greaterThan">
      <formula>0</formula>
    </cfRule>
  </conditionalFormatting>
  <conditionalFormatting sqref="G33 G27:G30 G24 G39:G48 G50:G51 G56 G19:G21 G79">
    <cfRule type="cellIs" dxfId="16088" priority="389" operator="equal">
      <formula>"PMS"</formula>
    </cfRule>
    <cfRule type="containsText" dxfId="16087" priority="390" operator="containsText" text="CMS">
      <formula>NOT(ISERROR(SEARCH("CMS",G19)))</formula>
    </cfRule>
    <cfRule type="cellIs" dxfId="16086" priority="391" operator="equal">
      <formula>0</formula>
    </cfRule>
    <cfRule type="cellIs" dxfId="16085" priority="392" operator="greaterThan">
      <formula>0</formula>
    </cfRule>
    <cfRule type="cellIs" dxfId="16084" priority="393" operator="equal">
      <formula>"PMS"</formula>
    </cfRule>
    <cfRule type="containsText" dxfId="16083" priority="394" operator="containsText" text="CMS">
      <formula>NOT(ISERROR(SEARCH("CMS",G19)))</formula>
    </cfRule>
    <cfRule type="cellIs" dxfId="16082" priority="395" operator="equal">
      <formula>0</formula>
    </cfRule>
    <cfRule type="cellIs" dxfId="16081" priority="396" operator="greaterThan">
      <formula>0</formula>
    </cfRule>
  </conditionalFormatting>
  <conditionalFormatting sqref="G33 G27:G30 G24 G39:G48 G50:G51 G56 G19:G21 G79">
    <cfRule type="cellIs" dxfId="16080" priority="385" operator="equal">
      <formula>"PMS"</formula>
    </cfRule>
    <cfRule type="containsText" dxfId="16079" priority="386" operator="containsText" text="CMS">
      <formula>NOT(ISERROR(SEARCH("CMS",G19)))</formula>
    </cfRule>
    <cfRule type="cellIs" dxfId="16078" priority="387" operator="equal">
      <formula>0</formula>
    </cfRule>
    <cfRule type="cellIs" dxfId="16077" priority="388" operator="greaterThan">
      <formula>0</formula>
    </cfRule>
  </conditionalFormatting>
  <conditionalFormatting sqref="M39:M48 M33 M27:M29 M20 AB27:AC27 N27:Q27 N47 M50 M56 N51:N55 M62:M64 N78 S27:X27">
    <cfRule type="cellIs" dxfId="16076" priority="377" operator="equal">
      <formula>"PMS"</formula>
    </cfRule>
    <cfRule type="containsText" dxfId="16075" priority="378" operator="containsText" text="CMS">
      <formula>NOT(ISERROR(SEARCH("CMS",M20)))</formula>
    </cfRule>
    <cfRule type="cellIs" dxfId="16074" priority="379" operator="equal">
      <formula>0</formula>
    </cfRule>
    <cfRule type="cellIs" dxfId="16073" priority="380" operator="greaterThan">
      <formula>0</formula>
    </cfRule>
    <cfRule type="cellIs" dxfId="16072" priority="381" operator="equal">
      <formula>"PMS"</formula>
    </cfRule>
    <cfRule type="containsText" dxfId="16071" priority="382" operator="containsText" text="CMS">
      <formula>NOT(ISERROR(SEARCH("CMS",M20)))</formula>
    </cfRule>
    <cfRule type="cellIs" dxfId="16070" priority="383" operator="equal">
      <formula>0</formula>
    </cfRule>
    <cfRule type="cellIs" dxfId="16069" priority="384" operator="greaterThan">
      <formula>0</formula>
    </cfRule>
  </conditionalFormatting>
  <conditionalFormatting sqref="M39:M48 M33 M27:M29 M20 AB27:AC27 N27:Q27 N47 M50 M56 N51:N55 M62:M64 N78 S27:X27">
    <cfRule type="cellIs" dxfId="16068" priority="373" operator="equal">
      <formula>"PMS"</formula>
    </cfRule>
    <cfRule type="containsText" dxfId="16067" priority="374" operator="containsText" text="CMS">
      <formula>NOT(ISERROR(SEARCH("CMS",M20)))</formula>
    </cfRule>
    <cfRule type="cellIs" dxfId="16066" priority="375" operator="equal">
      <formula>0</formula>
    </cfRule>
    <cfRule type="cellIs" dxfId="16065" priority="376" operator="greaterThan">
      <formula>0</formula>
    </cfRule>
  </conditionalFormatting>
  <conditionalFormatting sqref="K56 K50:K51 K39:K48 K33 K27 K24 K20 K29:K30 K79">
    <cfRule type="cellIs" dxfId="16064" priority="365" operator="equal">
      <formula>"PMS"</formula>
    </cfRule>
    <cfRule type="containsText" dxfId="16063" priority="366" operator="containsText" text="CMS">
      <formula>NOT(ISERROR(SEARCH("CMS",K20)))</formula>
    </cfRule>
    <cfRule type="cellIs" dxfId="16062" priority="367" operator="equal">
      <formula>0</formula>
    </cfRule>
    <cfRule type="cellIs" dxfId="16061" priority="368" operator="greaterThan">
      <formula>0</formula>
    </cfRule>
    <cfRule type="cellIs" dxfId="16060" priority="369" operator="equal">
      <formula>"PMS"</formula>
    </cfRule>
    <cfRule type="containsText" dxfId="16059" priority="370" operator="containsText" text="CMS">
      <formula>NOT(ISERROR(SEARCH("CMS",K20)))</formula>
    </cfRule>
    <cfRule type="cellIs" dxfId="16058" priority="371" operator="equal">
      <formula>0</formula>
    </cfRule>
    <cfRule type="cellIs" dxfId="16057" priority="372" operator="greaterThan">
      <formula>0</formula>
    </cfRule>
  </conditionalFormatting>
  <conditionalFormatting sqref="K56 K50:K51 K39:K48 K33 K27 K24 K20 K29:K30 K79">
    <cfRule type="cellIs" dxfId="16056" priority="361" operator="equal">
      <formula>"PMS"</formula>
    </cfRule>
    <cfRule type="containsText" dxfId="16055" priority="362" operator="containsText" text="CMS">
      <formula>NOT(ISERROR(SEARCH("CMS",K20)))</formula>
    </cfRule>
    <cfRule type="cellIs" dxfId="16054" priority="363" operator="equal">
      <formula>0</formula>
    </cfRule>
    <cfRule type="cellIs" dxfId="16053" priority="364" operator="greaterThan">
      <formula>0</formula>
    </cfRule>
  </conditionalFormatting>
  <conditionalFormatting sqref="K28">
    <cfRule type="cellIs" dxfId="16052" priority="353" operator="equal">
      <formula>"PMS"</formula>
    </cfRule>
    <cfRule type="containsText" dxfId="16051" priority="354" operator="containsText" text="CMS">
      <formula>NOT(ISERROR(SEARCH("CMS",K28)))</formula>
    </cfRule>
    <cfRule type="cellIs" dxfId="16050" priority="355" operator="equal">
      <formula>0</formula>
    </cfRule>
    <cfRule type="cellIs" dxfId="16049" priority="356" operator="greaterThan">
      <formula>0</formula>
    </cfRule>
    <cfRule type="cellIs" dxfId="16048" priority="357" operator="equal">
      <formula>"PMS"</formula>
    </cfRule>
    <cfRule type="containsText" dxfId="16047" priority="358" operator="containsText" text="CMS">
      <formula>NOT(ISERROR(SEARCH("CMS",K28)))</formula>
    </cfRule>
    <cfRule type="cellIs" dxfId="16046" priority="359" operator="equal">
      <formula>0</formula>
    </cfRule>
    <cfRule type="cellIs" dxfId="16045" priority="360" operator="greaterThan">
      <formula>0</formula>
    </cfRule>
  </conditionalFormatting>
  <conditionalFormatting sqref="K28">
    <cfRule type="cellIs" dxfId="16044" priority="349" operator="equal">
      <formula>"PMS"</formula>
    </cfRule>
    <cfRule type="containsText" dxfId="16043" priority="350" operator="containsText" text="CMS">
      <formula>NOT(ISERROR(SEARCH("CMS",K28)))</formula>
    </cfRule>
    <cfRule type="cellIs" dxfId="16042" priority="351" operator="equal">
      <formula>0</formula>
    </cfRule>
    <cfRule type="cellIs" dxfId="16041" priority="352" operator="greaterThan">
      <formula>0</formula>
    </cfRule>
  </conditionalFormatting>
  <conditionalFormatting sqref="N62:O62 O63:O64">
    <cfRule type="cellIs" dxfId="16040" priority="341" operator="equal">
      <formula>"PMS"</formula>
    </cfRule>
    <cfRule type="containsText" dxfId="16039" priority="342" operator="containsText" text="CMS">
      <formula>NOT(ISERROR(SEARCH("CMS",N62)))</formula>
    </cfRule>
    <cfRule type="cellIs" dxfId="16038" priority="343" operator="equal">
      <formula>0</formula>
    </cfRule>
    <cfRule type="cellIs" dxfId="16037" priority="344" operator="greaterThan">
      <formula>0</formula>
    </cfRule>
    <cfRule type="cellIs" dxfId="16036" priority="345" operator="equal">
      <formula>"PMS"</formula>
    </cfRule>
    <cfRule type="containsText" dxfId="16035" priority="346" operator="containsText" text="CMS">
      <formula>NOT(ISERROR(SEARCH("CMS",N62)))</formula>
    </cfRule>
    <cfRule type="cellIs" dxfId="16034" priority="347" operator="equal">
      <formula>0</formula>
    </cfRule>
    <cfRule type="cellIs" dxfId="16033" priority="348" operator="greaterThan">
      <formula>0</formula>
    </cfRule>
  </conditionalFormatting>
  <conditionalFormatting sqref="N62:O62 O63:O64">
    <cfRule type="cellIs" dxfId="16032" priority="337" operator="equal">
      <formula>"PMS"</formula>
    </cfRule>
    <cfRule type="containsText" dxfId="16031" priority="338" operator="containsText" text="CMS">
      <formula>NOT(ISERROR(SEARCH("CMS",N62)))</formula>
    </cfRule>
    <cfRule type="cellIs" dxfId="16030" priority="339" operator="equal">
      <formula>0</formula>
    </cfRule>
    <cfRule type="cellIs" dxfId="16029" priority="340" operator="greaterThan">
      <formula>0</formula>
    </cfRule>
  </conditionalFormatting>
  <conditionalFormatting sqref="J14">
    <cfRule type="cellIs" dxfId="16028" priority="329" operator="equal">
      <formula>"PMS"</formula>
    </cfRule>
    <cfRule type="containsText" dxfId="16027" priority="330" operator="containsText" text="CMS">
      <formula>NOT(ISERROR(SEARCH("CMS",J14)))</formula>
    </cfRule>
    <cfRule type="cellIs" dxfId="16026" priority="331" operator="equal">
      <formula>0</formula>
    </cfRule>
    <cfRule type="cellIs" dxfId="16025" priority="332" operator="greaterThan">
      <formula>0</formula>
    </cfRule>
    <cfRule type="cellIs" dxfId="16024" priority="333" operator="equal">
      <formula>"PMS"</formula>
    </cfRule>
    <cfRule type="containsText" dxfId="16023" priority="334" operator="containsText" text="CMS">
      <formula>NOT(ISERROR(SEARCH("CMS",J14)))</formula>
    </cfRule>
    <cfRule type="cellIs" dxfId="16022" priority="335" operator="equal">
      <formula>0</formula>
    </cfRule>
    <cfRule type="cellIs" dxfId="16021" priority="336" operator="greaterThan">
      <formula>0</formula>
    </cfRule>
  </conditionalFormatting>
  <conditionalFormatting sqref="J14">
    <cfRule type="cellIs" dxfId="16020" priority="325" operator="equal">
      <formula>"PMS"</formula>
    </cfRule>
    <cfRule type="containsText" dxfId="16019" priority="326" operator="containsText" text="CMS">
      <formula>NOT(ISERROR(SEARCH("CMS",J14)))</formula>
    </cfRule>
    <cfRule type="cellIs" dxfId="16018" priority="327" operator="equal">
      <formula>0</formula>
    </cfRule>
    <cfRule type="cellIs" dxfId="16017" priority="328" operator="greaterThan">
      <formula>0</formula>
    </cfRule>
  </conditionalFormatting>
  <conditionalFormatting sqref="U28">
    <cfRule type="cellIs" dxfId="16016" priority="317" operator="equal">
      <formula>"PMS"</formula>
    </cfRule>
    <cfRule type="containsText" dxfId="16015" priority="318" operator="containsText" text="CMS">
      <formula>NOT(ISERROR(SEARCH("CMS",U28)))</formula>
    </cfRule>
    <cfRule type="cellIs" dxfId="16014" priority="319" operator="equal">
      <formula>0</formula>
    </cfRule>
    <cfRule type="cellIs" dxfId="16013" priority="320" operator="greaterThan">
      <formula>0</formula>
    </cfRule>
    <cfRule type="cellIs" dxfId="16012" priority="321" operator="equal">
      <formula>"PMS"</formula>
    </cfRule>
    <cfRule type="containsText" dxfId="16011" priority="322" operator="containsText" text="CMS">
      <formula>NOT(ISERROR(SEARCH("CMS",U28)))</formula>
    </cfRule>
    <cfRule type="cellIs" dxfId="16010" priority="323" operator="equal">
      <formula>0</formula>
    </cfRule>
    <cfRule type="cellIs" dxfId="16009" priority="324" operator="greaterThan">
      <formula>0</formula>
    </cfRule>
  </conditionalFormatting>
  <conditionalFormatting sqref="U28">
    <cfRule type="cellIs" dxfId="16008" priority="313" operator="equal">
      <formula>"PMS"</formula>
    </cfRule>
    <cfRule type="containsText" dxfId="16007" priority="314" operator="containsText" text="CMS">
      <formula>NOT(ISERROR(SEARCH("CMS",U28)))</formula>
    </cfRule>
    <cfRule type="cellIs" dxfId="16006" priority="315" operator="equal">
      <formula>0</formula>
    </cfRule>
    <cfRule type="cellIs" dxfId="16005" priority="316" operator="greaterThan">
      <formula>0</formula>
    </cfRule>
  </conditionalFormatting>
  <conditionalFormatting sqref="Y27:AA27">
    <cfRule type="cellIs" dxfId="16004" priority="305" operator="equal">
      <formula>"PMS"</formula>
    </cfRule>
    <cfRule type="containsText" dxfId="16003" priority="306" operator="containsText" text="CMS">
      <formula>NOT(ISERROR(SEARCH("CMS",Y27)))</formula>
    </cfRule>
    <cfRule type="cellIs" dxfId="16002" priority="307" operator="equal">
      <formula>0</formula>
    </cfRule>
    <cfRule type="cellIs" dxfId="16001" priority="308" operator="greaterThan">
      <formula>0</formula>
    </cfRule>
    <cfRule type="cellIs" dxfId="16000" priority="309" operator="equal">
      <formula>"PMS"</formula>
    </cfRule>
    <cfRule type="containsText" dxfId="15999" priority="310" operator="containsText" text="CMS">
      <formula>NOT(ISERROR(SEARCH("CMS",Y27)))</formula>
    </cfRule>
    <cfRule type="cellIs" dxfId="15998" priority="311" operator="equal">
      <formula>0</formula>
    </cfRule>
    <cfRule type="cellIs" dxfId="15997" priority="312" operator="greaterThan">
      <formula>0</formula>
    </cfRule>
  </conditionalFormatting>
  <conditionalFormatting sqref="Y27:AA27">
    <cfRule type="cellIs" dxfId="15996" priority="301" operator="equal">
      <formula>"PMS"</formula>
    </cfRule>
    <cfRule type="containsText" dxfId="15995" priority="302" operator="containsText" text="CMS">
      <formula>NOT(ISERROR(SEARCH("CMS",Y27)))</formula>
    </cfRule>
    <cfRule type="cellIs" dxfId="15994" priority="303" operator="equal">
      <formula>0</formula>
    </cfRule>
    <cfRule type="cellIs" dxfId="15993" priority="304" operator="greaterThan">
      <formula>0</formula>
    </cfRule>
  </conditionalFormatting>
  <conditionalFormatting sqref="G62:G64">
    <cfRule type="cellIs" dxfId="15992" priority="293" operator="equal">
      <formula>"PMS"</formula>
    </cfRule>
    <cfRule type="containsText" dxfId="15991" priority="294" operator="containsText" text="CMS">
      <formula>NOT(ISERROR(SEARCH("CMS",G62)))</formula>
    </cfRule>
    <cfRule type="cellIs" dxfId="15990" priority="295" operator="equal">
      <formula>0</formula>
    </cfRule>
    <cfRule type="cellIs" dxfId="15989" priority="296" operator="greaterThan">
      <formula>0</formula>
    </cfRule>
    <cfRule type="cellIs" dxfId="15988" priority="297" operator="equal">
      <formula>"PMS"</formula>
    </cfRule>
    <cfRule type="containsText" dxfId="15987" priority="298" operator="containsText" text="CMS">
      <formula>NOT(ISERROR(SEARCH("CMS",G62)))</formula>
    </cfRule>
    <cfRule type="cellIs" dxfId="15986" priority="299" operator="equal">
      <formula>0</formula>
    </cfRule>
    <cfRule type="cellIs" dxfId="15985" priority="300" operator="greaterThan">
      <formula>0</formula>
    </cfRule>
  </conditionalFormatting>
  <conditionalFormatting sqref="G62:G64">
    <cfRule type="cellIs" dxfId="15984" priority="289" operator="equal">
      <formula>"PMS"</formula>
    </cfRule>
    <cfRule type="containsText" dxfId="15983" priority="290" operator="containsText" text="CMS">
      <formula>NOT(ISERROR(SEARCH("CMS",G62)))</formula>
    </cfRule>
    <cfRule type="cellIs" dxfId="15982" priority="291" operator="equal">
      <formula>0</formula>
    </cfRule>
    <cfRule type="cellIs" dxfId="15981" priority="292" operator="greaterThan">
      <formula>0</formula>
    </cfRule>
  </conditionalFormatting>
  <conditionalFormatting sqref="N40">
    <cfRule type="cellIs" dxfId="15980" priority="281" operator="equal">
      <formula>"PMS"</formula>
    </cfRule>
    <cfRule type="containsText" dxfId="15979" priority="282" operator="containsText" text="CMS">
      <formula>NOT(ISERROR(SEARCH("CMS",N40)))</formula>
    </cfRule>
    <cfRule type="cellIs" dxfId="15978" priority="283" operator="equal">
      <formula>0</formula>
    </cfRule>
    <cfRule type="cellIs" dxfId="15977" priority="284" operator="greaterThan">
      <formula>0</formula>
    </cfRule>
    <cfRule type="cellIs" dxfId="15976" priority="285" operator="equal">
      <formula>"PMS"</formula>
    </cfRule>
    <cfRule type="containsText" dxfId="15975" priority="286" operator="containsText" text="CMS">
      <formula>NOT(ISERROR(SEARCH("CMS",N40)))</formula>
    </cfRule>
    <cfRule type="cellIs" dxfId="15974" priority="287" operator="equal">
      <formula>0</formula>
    </cfRule>
    <cfRule type="cellIs" dxfId="15973" priority="288" operator="greaterThan">
      <formula>0</formula>
    </cfRule>
  </conditionalFormatting>
  <conditionalFormatting sqref="N40">
    <cfRule type="cellIs" dxfId="15972" priority="277" operator="equal">
      <formula>"PMS"</formula>
    </cfRule>
    <cfRule type="containsText" dxfId="15971" priority="278" operator="containsText" text="CMS">
      <formula>NOT(ISERROR(SEARCH("CMS",N40)))</formula>
    </cfRule>
    <cfRule type="cellIs" dxfId="15970" priority="279" operator="equal">
      <formula>0</formula>
    </cfRule>
    <cfRule type="cellIs" dxfId="15969" priority="280" operator="greaterThan">
      <formula>0</formula>
    </cfRule>
  </conditionalFormatting>
  <conditionalFormatting sqref="O30">
    <cfRule type="cellIs" dxfId="15968" priority="269" operator="equal">
      <formula>"PMS"</formula>
    </cfRule>
    <cfRule type="containsText" dxfId="15967" priority="270" operator="containsText" text="CMS">
      <formula>NOT(ISERROR(SEARCH("CMS",O30)))</formula>
    </cfRule>
    <cfRule type="cellIs" dxfId="15966" priority="271" operator="equal">
      <formula>0</formula>
    </cfRule>
    <cfRule type="cellIs" dxfId="15965" priority="272" operator="greaterThan">
      <formula>0</formula>
    </cfRule>
    <cfRule type="cellIs" dxfId="15964" priority="273" operator="equal">
      <formula>"PMS"</formula>
    </cfRule>
    <cfRule type="containsText" dxfId="15963" priority="274" operator="containsText" text="CMS">
      <formula>NOT(ISERROR(SEARCH("CMS",O30)))</formula>
    </cfRule>
    <cfRule type="cellIs" dxfId="15962" priority="275" operator="equal">
      <formula>0</formula>
    </cfRule>
    <cfRule type="cellIs" dxfId="15961" priority="276" operator="greaterThan">
      <formula>0</formula>
    </cfRule>
  </conditionalFormatting>
  <conditionalFormatting sqref="O30">
    <cfRule type="cellIs" dxfId="15960" priority="265" operator="equal">
      <formula>"PMS"</formula>
    </cfRule>
    <cfRule type="containsText" dxfId="15959" priority="266" operator="containsText" text="CMS">
      <formula>NOT(ISERROR(SEARCH("CMS",O30)))</formula>
    </cfRule>
    <cfRule type="cellIs" dxfId="15958" priority="267" operator="equal">
      <formula>0</formula>
    </cfRule>
    <cfRule type="cellIs" dxfId="15957" priority="268" operator="greaterThan">
      <formula>0</formula>
    </cfRule>
  </conditionalFormatting>
  <conditionalFormatting sqref="O47:O56">
    <cfRule type="cellIs" dxfId="15956" priority="257" operator="equal">
      <formula>"PMS"</formula>
    </cfRule>
    <cfRule type="containsText" dxfId="15955" priority="258" operator="containsText" text="CMS">
      <formula>NOT(ISERROR(SEARCH("CMS",O47)))</formula>
    </cfRule>
    <cfRule type="cellIs" dxfId="15954" priority="259" operator="equal">
      <formula>0</formula>
    </cfRule>
    <cfRule type="cellIs" dxfId="15953" priority="260" operator="greaterThan">
      <formula>0</formula>
    </cfRule>
    <cfRule type="cellIs" dxfId="15952" priority="261" operator="equal">
      <formula>"PMS"</formula>
    </cfRule>
    <cfRule type="containsText" dxfId="15951" priority="262" operator="containsText" text="CMS">
      <formula>NOT(ISERROR(SEARCH("CMS",O47)))</formula>
    </cfRule>
    <cfRule type="cellIs" dxfId="15950" priority="263" operator="equal">
      <formula>0</formula>
    </cfRule>
    <cfRule type="cellIs" dxfId="15949" priority="264" operator="greaterThan">
      <formula>0</formula>
    </cfRule>
  </conditionalFormatting>
  <conditionalFormatting sqref="O47:O56">
    <cfRule type="cellIs" dxfId="15948" priority="253" operator="equal">
      <formula>"PMS"</formula>
    </cfRule>
    <cfRule type="containsText" dxfId="15947" priority="254" operator="containsText" text="CMS">
      <formula>NOT(ISERROR(SEARCH("CMS",O47)))</formula>
    </cfRule>
    <cfRule type="cellIs" dxfId="15946" priority="255" operator="equal">
      <formula>0</formula>
    </cfRule>
    <cfRule type="cellIs" dxfId="15945" priority="256" operator="greaterThan">
      <formula>0</formula>
    </cfRule>
  </conditionalFormatting>
  <conditionalFormatting sqref="F82">
    <cfRule type="cellIs" dxfId="15944" priority="245" operator="equal">
      <formula>"PMS"</formula>
    </cfRule>
    <cfRule type="containsText" dxfId="15943" priority="246" operator="containsText" text="CMS">
      <formula>NOT(ISERROR(SEARCH("CMS",F82)))</formula>
    </cfRule>
    <cfRule type="cellIs" dxfId="15942" priority="247" operator="equal">
      <formula>0</formula>
    </cfRule>
    <cfRule type="cellIs" dxfId="15941" priority="248" operator="greaterThan">
      <formula>0</formula>
    </cfRule>
    <cfRule type="cellIs" dxfId="15940" priority="249" operator="equal">
      <formula>"PMS"</formula>
    </cfRule>
    <cfRule type="containsText" dxfId="15939" priority="250" operator="containsText" text="CMS">
      <formula>NOT(ISERROR(SEARCH("CMS",F82)))</formula>
    </cfRule>
    <cfRule type="cellIs" dxfId="15938" priority="251" operator="equal">
      <formula>0</formula>
    </cfRule>
    <cfRule type="cellIs" dxfId="15937" priority="252" operator="greaterThan">
      <formula>0</formula>
    </cfRule>
  </conditionalFormatting>
  <conditionalFormatting sqref="F82">
    <cfRule type="cellIs" dxfId="15936" priority="241" operator="equal">
      <formula>"PMS"</formula>
    </cfRule>
    <cfRule type="containsText" dxfId="15935" priority="242" operator="containsText" text="CMS">
      <formula>NOT(ISERROR(SEARCH("CMS",F82)))</formula>
    </cfRule>
    <cfRule type="cellIs" dxfId="15934" priority="243" operator="equal">
      <formula>0</formula>
    </cfRule>
    <cfRule type="cellIs" dxfId="15933" priority="244" operator="greaterThan">
      <formula>0</formula>
    </cfRule>
  </conditionalFormatting>
  <conditionalFormatting sqref="H15">
    <cfRule type="cellIs" dxfId="15932" priority="233" operator="equal">
      <formula>"PMS"</formula>
    </cfRule>
    <cfRule type="containsText" dxfId="15931" priority="234" operator="containsText" text="CMS">
      <formula>NOT(ISERROR(SEARCH("CMS",H15)))</formula>
    </cfRule>
    <cfRule type="cellIs" dxfId="15930" priority="235" operator="equal">
      <formula>0</formula>
    </cfRule>
    <cfRule type="cellIs" dxfId="15929" priority="236" operator="greaterThan">
      <formula>0</formula>
    </cfRule>
    <cfRule type="cellIs" dxfId="15928" priority="237" operator="equal">
      <formula>"PMS"</formula>
    </cfRule>
    <cfRule type="containsText" dxfId="15927" priority="238" operator="containsText" text="CMS">
      <formula>NOT(ISERROR(SEARCH("CMS",H15)))</formula>
    </cfRule>
    <cfRule type="cellIs" dxfId="15926" priority="239" operator="equal">
      <formula>0</formula>
    </cfRule>
    <cfRule type="cellIs" dxfId="15925" priority="240" operator="greaterThan">
      <formula>0</formula>
    </cfRule>
  </conditionalFormatting>
  <conditionalFormatting sqref="H15">
    <cfRule type="cellIs" dxfId="15924" priority="229" operator="equal">
      <formula>"PMS"</formula>
    </cfRule>
    <cfRule type="containsText" dxfId="15923" priority="230" operator="containsText" text="CMS">
      <formula>NOT(ISERROR(SEARCH("CMS",H15)))</formula>
    </cfRule>
    <cfRule type="cellIs" dxfId="15922" priority="231" operator="equal">
      <formula>0</formula>
    </cfRule>
    <cfRule type="cellIs" dxfId="15921" priority="232" operator="greaterThan">
      <formula>0</formula>
    </cfRule>
  </conditionalFormatting>
  <conditionalFormatting sqref="G14">
    <cfRule type="cellIs" dxfId="15920" priority="221" operator="equal">
      <formula>"PMS"</formula>
    </cfRule>
    <cfRule type="containsText" dxfId="15919" priority="222" operator="containsText" text="CMS">
      <formula>NOT(ISERROR(SEARCH("CMS",G14)))</formula>
    </cfRule>
    <cfRule type="cellIs" dxfId="15918" priority="223" operator="equal">
      <formula>0</formula>
    </cfRule>
    <cfRule type="cellIs" dxfId="15917" priority="224" operator="greaterThan">
      <formula>0</formula>
    </cfRule>
    <cfRule type="cellIs" dxfId="15916" priority="225" operator="equal">
      <formula>"PMS"</formula>
    </cfRule>
    <cfRule type="containsText" dxfId="15915" priority="226" operator="containsText" text="CMS">
      <formula>NOT(ISERROR(SEARCH("CMS",G14)))</formula>
    </cfRule>
    <cfRule type="cellIs" dxfId="15914" priority="227" operator="equal">
      <formula>0</formula>
    </cfRule>
    <cfRule type="cellIs" dxfId="15913" priority="228" operator="greaterThan">
      <formula>0</formula>
    </cfRule>
  </conditionalFormatting>
  <conditionalFormatting sqref="G14">
    <cfRule type="cellIs" dxfId="15912" priority="217" operator="equal">
      <formula>"PMS"</formula>
    </cfRule>
    <cfRule type="containsText" dxfId="15911" priority="218" operator="containsText" text="CMS">
      <formula>NOT(ISERROR(SEARCH("CMS",G14)))</formula>
    </cfRule>
    <cfRule type="cellIs" dxfId="15910" priority="219" operator="equal">
      <formula>0</formula>
    </cfRule>
    <cfRule type="cellIs" dxfId="15909" priority="220" operator="greaterThan">
      <formula>0</formula>
    </cfRule>
  </conditionalFormatting>
  <conditionalFormatting sqref="N48">
    <cfRule type="cellIs" dxfId="15908" priority="209" operator="equal">
      <formula>"PMS"</formula>
    </cfRule>
    <cfRule type="containsText" dxfId="15907" priority="210" operator="containsText" text="CMS">
      <formula>NOT(ISERROR(SEARCH("CMS",N48)))</formula>
    </cfRule>
    <cfRule type="cellIs" dxfId="15906" priority="211" operator="equal">
      <formula>0</formula>
    </cfRule>
    <cfRule type="cellIs" dxfId="15905" priority="212" operator="greaterThan">
      <formula>0</formula>
    </cfRule>
    <cfRule type="cellIs" dxfId="15904" priority="213" operator="equal">
      <formula>"PMS"</formula>
    </cfRule>
    <cfRule type="containsText" dxfId="15903" priority="214" operator="containsText" text="CMS">
      <formula>NOT(ISERROR(SEARCH("CMS",N48)))</formula>
    </cfRule>
    <cfRule type="cellIs" dxfId="15902" priority="215" operator="equal">
      <formula>0</formula>
    </cfRule>
    <cfRule type="cellIs" dxfId="15901" priority="216" operator="greaterThan">
      <formula>0</formula>
    </cfRule>
  </conditionalFormatting>
  <conditionalFormatting sqref="N48">
    <cfRule type="cellIs" dxfId="15900" priority="205" operator="equal">
      <formula>"PMS"</formula>
    </cfRule>
    <cfRule type="containsText" dxfId="15899" priority="206" operator="containsText" text="CMS">
      <formula>NOT(ISERROR(SEARCH("CMS",N48)))</formula>
    </cfRule>
    <cfRule type="cellIs" dxfId="15898" priority="207" operator="equal">
      <formula>0</formula>
    </cfRule>
    <cfRule type="cellIs" dxfId="15897" priority="208" operator="greaterThan">
      <formula>0</formula>
    </cfRule>
  </conditionalFormatting>
  <conditionalFormatting sqref="N50">
    <cfRule type="cellIs" dxfId="15896" priority="197" operator="equal">
      <formula>"PMS"</formula>
    </cfRule>
    <cfRule type="containsText" dxfId="15895" priority="198" operator="containsText" text="CMS">
      <formula>NOT(ISERROR(SEARCH("CMS",N50)))</formula>
    </cfRule>
    <cfRule type="cellIs" dxfId="15894" priority="199" operator="equal">
      <formula>0</formula>
    </cfRule>
    <cfRule type="cellIs" dxfId="15893" priority="200" operator="greaterThan">
      <formula>0</formula>
    </cfRule>
    <cfRule type="cellIs" dxfId="15892" priority="201" operator="equal">
      <formula>"PMS"</formula>
    </cfRule>
    <cfRule type="containsText" dxfId="15891" priority="202" operator="containsText" text="CMS">
      <formula>NOT(ISERROR(SEARCH("CMS",N50)))</formula>
    </cfRule>
    <cfRule type="cellIs" dxfId="15890" priority="203" operator="equal">
      <formula>0</formula>
    </cfRule>
    <cfRule type="cellIs" dxfId="15889" priority="204" operator="greaterThan">
      <formula>0</formula>
    </cfRule>
  </conditionalFormatting>
  <conditionalFormatting sqref="N50">
    <cfRule type="cellIs" dxfId="15888" priority="193" operator="equal">
      <formula>"PMS"</formula>
    </cfRule>
    <cfRule type="containsText" dxfId="15887" priority="194" operator="containsText" text="CMS">
      <formula>NOT(ISERROR(SEARCH("CMS",N50)))</formula>
    </cfRule>
    <cfRule type="cellIs" dxfId="15886" priority="195" operator="equal">
      <formula>0</formula>
    </cfRule>
    <cfRule type="cellIs" dxfId="15885" priority="196" operator="greaterThan">
      <formula>0</formula>
    </cfRule>
  </conditionalFormatting>
  <conditionalFormatting sqref="N56">
    <cfRule type="cellIs" dxfId="15884" priority="185" operator="equal">
      <formula>"PMS"</formula>
    </cfRule>
    <cfRule type="containsText" dxfId="15883" priority="186" operator="containsText" text="CMS">
      <formula>NOT(ISERROR(SEARCH("CMS",N56)))</formula>
    </cfRule>
    <cfRule type="cellIs" dxfId="15882" priority="187" operator="equal">
      <formula>0</formula>
    </cfRule>
    <cfRule type="cellIs" dxfId="15881" priority="188" operator="greaterThan">
      <formula>0</formula>
    </cfRule>
    <cfRule type="cellIs" dxfId="15880" priority="189" operator="equal">
      <formula>"PMS"</formula>
    </cfRule>
    <cfRule type="containsText" dxfId="15879" priority="190" operator="containsText" text="CMS">
      <formula>NOT(ISERROR(SEARCH("CMS",N56)))</formula>
    </cfRule>
    <cfRule type="cellIs" dxfId="15878" priority="191" operator="equal">
      <formula>0</formula>
    </cfRule>
    <cfRule type="cellIs" dxfId="15877" priority="192" operator="greaterThan">
      <formula>0</formula>
    </cfRule>
  </conditionalFormatting>
  <conditionalFormatting sqref="N56">
    <cfRule type="cellIs" dxfId="15876" priority="181" operator="equal">
      <formula>"PMS"</formula>
    </cfRule>
    <cfRule type="containsText" dxfId="15875" priority="182" operator="containsText" text="CMS">
      <formula>NOT(ISERROR(SEARCH("CMS",N56)))</formula>
    </cfRule>
    <cfRule type="cellIs" dxfId="15874" priority="183" operator="equal">
      <formula>0</formula>
    </cfRule>
    <cfRule type="cellIs" dxfId="15873" priority="184" operator="greaterThan">
      <formula>0</formula>
    </cfRule>
  </conditionalFormatting>
  <conditionalFormatting sqref="N63:N64">
    <cfRule type="cellIs" dxfId="15872" priority="173" operator="equal">
      <formula>"PMS"</formula>
    </cfRule>
    <cfRule type="containsText" dxfId="15871" priority="174" operator="containsText" text="CMS">
      <formula>NOT(ISERROR(SEARCH("CMS",N63)))</formula>
    </cfRule>
    <cfRule type="cellIs" dxfId="15870" priority="175" operator="equal">
      <formula>0</formula>
    </cfRule>
    <cfRule type="cellIs" dxfId="15869" priority="176" operator="greaterThan">
      <formula>0</formula>
    </cfRule>
    <cfRule type="cellIs" dxfId="15868" priority="177" operator="equal">
      <formula>"PMS"</formula>
    </cfRule>
    <cfRule type="containsText" dxfId="15867" priority="178" operator="containsText" text="CMS">
      <formula>NOT(ISERROR(SEARCH("CMS",N63)))</formula>
    </cfRule>
    <cfRule type="cellIs" dxfId="15866" priority="179" operator="equal">
      <formula>0</formula>
    </cfRule>
    <cfRule type="cellIs" dxfId="15865" priority="180" operator="greaterThan">
      <formula>0</formula>
    </cfRule>
  </conditionalFormatting>
  <conditionalFormatting sqref="N63:N64">
    <cfRule type="cellIs" dxfId="15864" priority="169" operator="equal">
      <formula>"PMS"</formula>
    </cfRule>
    <cfRule type="containsText" dxfId="15863" priority="170" operator="containsText" text="CMS">
      <formula>NOT(ISERROR(SEARCH("CMS",N63)))</formula>
    </cfRule>
    <cfRule type="cellIs" dxfId="15862" priority="171" operator="equal">
      <formula>0</formula>
    </cfRule>
    <cfRule type="cellIs" dxfId="15861" priority="172" operator="greaterThan">
      <formula>0</formula>
    </cfRule>
  </conditionalFormatting>
  <conditionalFormatting sqref="G78:K78">
    <cfRule type="cellIs" dxfId="15860" priority="161" operator="equal">
      <formula>"PMS"</formula>
    </cfRule>
    <cfRule type="containsText" dxfId="15859" priority="162" operator="containsText" text="CMS">
      <formula>NOT(ISERROR(SEARCH("CMS",G78)))</formula>
    </cfRule>
    <cfRule type="cellIs" dxfId="15858" priority="163" operator="equal">
      <formula>0</formula>
    </cfRule>
    <cfRule type="cellIs" dxfId="15857" priority="164" operator="greaterThan">
      <formula>0</formula>
    </cfRule>
    <cfRule type="cellIs" dxfId="15856" priority="165" operator="equal">
      <formula>"PMS"</formula>
    </cfRule>
    <cfRule type="containsText" dxfId="15855" priority="166" operator="containsText" text="CMS">
      <formula>NOT(ISERROR(SEARCH("CMS",G78)))</formula>
    </cfRule>
    <cfRule type="cellIs" dxfId="15854" priority="167" operator="equal">
      <formula>0</formula>
    </cfRule>
    <cfRule type="cellIs" dxfId="15853" priority="168" operator="greaterThan">
      <formula>0</formula>
    </cfRule>
  </conditionalFormatting>
  <conditionalFormatting sqref="G78:K78">
    <cfRule type="cellIs" dxfId="15852" priority="157" operator="equal">
      <formula>"PMS"</formula>
    </cfRule>
    <cfRule type="containsText" dxfId="15851" priority="158" operator="containsText" text="CMS">
      <formula>NOT(ISERROR(SEARCH("CMS",G78)))</formula>
    </cfRule>
    <cfRule type="cellIs" dxfId="15850" priority="159" operator="equal">
      <formula>0</formula>
    </cfRule>
    <cfRule type="cellIs" dxfId="15849" priority="160" operator="greaterThan">
      <formula>0</formula>
    </cfRule>
  </conditionalFormatting>
  <conditionalFormatting sqref="O40">
    <cfRule type="cellIs" dxfId="15848" priority="137" operator="equal">
      <formula>"PMS"</formula>
    </cfRule>
    <cfRule type="containsText" dxfId="15847" priority="138" operator="containsText" text="CMS">
      <formula>NOT(ISERROR(SEARCH("CMS",O40)))</formula>
    </cfRule>
    <cfRule type="cellIs" dxfId="15846" priority="139" operator="equal">
      <formula>0</formula>
    </cfRule>
    <cfRule type="cellIs" dxfId="15845" priority="140" operator="greaterThan">
      <formula>0</formula>
    </cfRule>
    <cfRule type="cellIs" dxfId="15844" priority="141" operator="equal">
      <formula>"PMS"</formula>
    </cfRule>
    <cfRule type="containsText" dxfId="15843" priority="142" operator="containsText" text="CMS">
      <formula>NOT(ISERROR(SEARCH("CMS",O40)))</formula>
    </cfRule>
    <cfRule type="cellIs" dxfId="15842" priority="143" operator="equal">
      <formula>0</formula>
    </cfRule>
    <cfRule type="cellIs" dxfId="15841" priority="144" operator="greaterThan">
      <formula>0</formula>
    </cfRule>
  </conditionalFormatting>
  <conditionalFormatting sqref="O40">
    <cfRule type="cellIs" dxfId="15840" priority="133" operator="equal">
      <formula>"PMS"</formula>
    </cfRule>
    <cfRule type="containsText" dxfId="15839" priority="134" operator="containsText" text="CMS">
      <formula>NOT(ISERROR(SEARCH("CMS",O40)))</formula>
    </cfRule>
    <cfRule type="cellIs" dxfId="15838" priority="135" operator="equal">
      <formula>0</formula>
    </cfRule>
    <cfRule type="cellIs" dxfId="15837" priority="136" operator="greaterThan">
      <formula>0</formula>
    </cfRule>
  </conditionalFormatting>
  <conditionalFormatting sqref="L78">
    <cfRule type="cellIs" dxfId="15836" priority="77" operator="equal">
      <formula>"PMS"</formula>
    </cfRule>
    <cfRule type="containsText" dxfId="15835" priority="78" operator="containsText" text="CMS">
      <formula>NOT(ISERROR(SEARCH("CMS",L78)))</formula>
    </cfRule>
    <cfRule type="cellIs" dxfId="15834" priority="79" operator="equal">
      <formula>0</formula>
    </cfRule>
    <cfRule type="cellIs" dxfId="15833" priority="80" operator="greaterThan">
      <formula>0</formula>
    </cfRule>
    <cfRule type="cellIs" dxfId="15832" priority="81" operator="equal">
      <formula>"PMS"</formula>
    </cfRule>
    <cfRule type="containsText" dxfId="15831" priority="82" operator="containsText" text="CMS">
      <formula>NOT(ISERROR(SEARCH("CMS",L78)))</formula>
    </cfRule>
    <cfRule type="cellIs" dxfId="15830" priority="83" operator="equal">
      <formula>0</formula>
    </cfRule>
    <cfRule type="cellIs" dxfId="15829" priority="84" operator="greaterThan">
      <formula>0</formula>
    </cfRule>
  </conditionalFormatting>
  <conditionalFormatting sqref="L78">
    <cfRule type="cellIs" dxfId="15828" priority="73" operator="equal">
      <formula>"PMS"</formula>
    </cfRule>
    <cfRule type="containsText" dxfId="15827" priority="74" operator="containsText" text="CMS">
      <formula>NOT(ISERROR(SEARCH("CMS",L78)))</formula>
    </cfRule>
    <cfRule type="cellIs" dxfId="15826" priority="75" operator="equal">
      <formula>0</formula>
    </cfRule>
    <cfRule type="cellIs" dxfId="15825" priority="76" operator="greaterThan">
      <formula>0</formula>
    </cfRule>
  </conditionalFormatting>
  <conditionalFormatting sqref="F13:F16 F36:F59 F62:F64">
    <cfRule type="cellIs" dxfId="15824" priority="65" operator="equal">
      <formula>"PMS"</formula>
    </cfRule>
    <cfRule type="containsText" dxfId="15823" priority="66" operator="containsText" text="CMS">
      <formula>NOT(ISERROR(SEARCH("CMS",F13)))</formula>
    </cfRule>
    <cfRule type="cellIs" dxfId="15822" priority="67" operator="equal">
      <formula>0</formula>
    </cfRule>
    <cfRule type="cellIs" dxfId="15821" priority="68" operator="greaterThan">
      <formula>0</formula>
    </cfRule>
    <cfRule type="cellIs" dxfId="15820" priority="69" operator="equal">
      <formula>"PMS"</formula>
    </cfRule>
    <cfRule type="containsText" dxfId="15819" priority="70" operator="containsText" text="CMS">
      <formula>NOT(ISERROR(SEARCH("CMS",F13)))</formula>
    </cfRule>
    <cfRule type="cellIs" dxfId="15818" priority="71" operator="equal">
      <formula>0</formula>
    </cfRule>
    <cfRule type="cellIs" dxfId="15817" priority="72" operator="greaterThan">
      <formula>0</formula>
    </cfRule>
  </conditionalFormatting>
  <conditionalFormatting sqref="F13:F16 F36:F59 F62:F64">
    <cfRule type="cellIs" dxfId="15816" priority="61" operator="equal">
      <formula>"PMS"</formula>
    </cfRule>
    <cfRule type="containsText" dxfId="15815" priority="62" operator="containsText" text="CMS">
      <formula>NOT(ISERROR(SEARCH("CMS",F13)))</formula>
    </cfRule>
    <cfRule type="cellIs" dxfId="15814" priority="63" operator="equal">
      <formula>0</formula>
    </cfRule>
    <cfRule type="cellIs" dxfId="15813" priority="64" operator="greaterThan">
      <formula>0</formula>
    </cfRule>
  </conditionalFormatting>
  <conditionalFormatting sqref="F67:F75">
    <cfRule type="cellIs" dxfId="15812" priority="53" operator="equal">
      <formula>"PMS"</formula>
    </cfRule>
    <cfRule type="containsText" dxfId="15811" priority="54" operator="containsText" text="CMS">
      <formula>NOT(ISERROR(SEARCH("CMS",F67)))</formula>
    </cfRule>
    <cfRule type="cellIs" dxfId="15810" priority="55" operator="equal">
      <formula>0</formula>
    </cfRule>
    <cfRule type="cellIs" dxfId="15809" priority="56" operator="greaterThan">
      <formula>0</formula>
    </cfRule>
    <cfRule type="cellIs" dxfId="15808" priority="57" operator="equal">
      <formula>"PMS"</formula>
    </cfRule>
    <cfRule type="containsText" dxfId="15807" priority="58" operator="containsText" text="CMS">
      <formula>NOT(ISERROR(SEARCH("CMS",F67)))</formula>
    </cfRule>
    <cfRule type="cellIs" dxfId="15806" priority="59" operator="equal">
      <formula>0</formula>
    </cfRule>
    <cfRule type="cellIs" dxfId="15805" priority="60" operator="greaterThan">
      <formula>0</formula>
    </cfRule>
  </conditionalFormatting>
  <conditionalFormatting sqref="F67:F75">
    <cfRule type="cellIs" dxfId="15804" priority="49" operator="equal">
      <formula>"PMS"</formula>
    </cfRule>
    <cfRule type="containsText" dxfId="15803" priority="50" operator="containsText" text="CMS">
      <formula>NOT(ISERROR(SEARCH("CMS",F67)))</formula>
    </cfRule>
    <cfRule type="cellIs" dxfId="15802" priority="51" operator="equal">
      <formula>0</formula>
    </cfRule>
    <cfRule type="cellIs" dxfId="15801" priority="52" operator="greaterThan">
      <formula>0</formula>
    </cfRule>
  </conditionalFormatting>
  <conditionalFormatting sqref="F33 F28:F30 F78:F79 F24 F19:F21">
    <cfRule type="cellIs" dxfId="15800" priority="41" operator="equal">
      <formula>"PMS"</formula>
    </cfRule>
    <cfRule type="containsText" dxfId="15799" priority="42" operator="containsText" text="CMS">
      <formula>NOT(ISERROR(SEARCH("CMS",F19)))</formula>
    </cfRule>
    <cfRule type="cellIs" dxfId="15798" priority="43" operator="equal">
      <formula>0</formula>
    </cfRule>
    <cfRule type="cellIs" dxfId="15797" priority="44" operator="greaterThan">
      <formula>0</formula>
    </cfRule>
    <cfRule type="cellIs" dxfId="15796" priority="45" operator="equal">
      <formula>"PMS"</formula>
    </cfRule>
    <cfRule type="containsText" dxfId="15795" priority="46" operator="containsText" text="CMS">
      <formula>NOT(ISERROR(SEARCH("CMS",F19)))</formula>
    </cfRule>
    <cfRule type="cellIs" dxfId="15794" priority="47" operator="equal">
      <formula>0</formula>
    </cfRule>
    <cfRule type="cellIs" dxfId="15793" priority="48" operator="greaterThan">
      <formula>0</formula>
    </cfRule>
  </conditionalFormatting>
  <conditionalFormatting sqref="F33 F28:F30 F78:F79 F24 F19:F21">
    <cfRule type="cellIs" dxfId="15792" priority="37" operator="equal">
      <formula>"PMS"</formula>
    </cfRule>
    <cfRule type="containsText" dxfId="15791" priority="38" operator="containsText" text="CMS">
      <formula>NOT(ISERROR(SEARCH("CMS",F19)))</formula>
    </cfRule>
    <cfRule type="cellIs" dxfId="15790" priority="39" operator="equal">
      <formula>0</formula>
    </cfRule>
    <cfRule type="cellIs" dxfId="15789" priority="40" operator="greaterThan">
      <formula>0</formula>
    </cfRule>
  </conditionalFormatting>
  <conditionalFormatting sqref="F27">
    <cfRule type="cellIs" dxfId="15788" priority="29" operator="equal">
      <formula>"PMS"</formula>
    </cfRule>
    <cfRule type="containsText" dxfId="15787" priority="30" operator="containsText" text="CMS">
      <formula>NOT(ISERROR(SEARCH("CMS",F27)))</formula>
    </cfRule>
    <cfRule type="cellIs" dxfId="15786" priority="31" operator="equal">
      <formula>0</formula>
    </cfRule>
    <cfRule type="cellIs" dxfId="15785" priority="32" operator="greaterThan">
      <formula>0</formula>
    </cfRule>
    <cfRule type="cellIs" dxfId="15784" priority="33" operator="equal">
      <formula>"PMS"</formula>
    </cfRule>
    <cfRule type="containsText" dxfId="15783" priority="34" operator="containsText" text="CMS">
      <formula>NOT(ISERROR(SEARCH("CMS",F27)))</formula>
    </cfRule>
    <cfRule type="cellIs" dxfId="15782" priority="35" operator="equal">
      <formula>0</formula>
    </cfRule>
    <cfRule type="cellIs" dxfId="15781" priority="36" operator="greaterThan">
      <formula>0</formula>
    </cfRule>
  </conditionalFormatting>
  <conditionalFormatting sqref="F27">
    <cfRule type="cellIs" dxfId="15780" priority="25" operator="equal">
      <formula>"PMS"</formula>
    </cfRule>
    <cfRule type="containsText" dxfId="15779" priority="26" operator="containsText" text="CMS">
      <formula>NOT(ISERROR(SEARCH("CMS",F27)))</formula>
    </cfRule>
    <cfRule type="cellIs" dxfId="15778" priority="27" operator="equal">
      <formula>0</formula>
    </cfRule>
    <cfRule type="cellIs" dxfId="15777" priority="28" operator="greaterThan">
      <formula>0</formula>
    </cfRule>
  </conditionalFormatting>
  <conditionalFormatting sqref="M78">
    <cfRule type="cellIs" dxfId="15776" priority="17" operator="equal">
      <formula>"PMS"</formula>
    </cfRule>
    <cfRule type="containsText" dxfId="15775" priority="18" operator="containsText" text="CMS">
      <formula>NOT(ISERROR(SEARCH("CMS",M78)))</formula>
    </cfRule>
    <cfRule type="cellIs" dxfId="15774" priority="19" operator="equal">
      <formula>0</formula>
    </cfRule>
    <cfRule type="cellIs" dxfId="15773" priority="20" operator="greaterThan">
      <formula>0</formula>
    </cfRule>
    <cfRule type="cellIs" dxfId="15772" priority="21" operator="equal">
      <formula>"PMS"</formula>
    </cfRule>
    <cfRule type="containsText" dxfId="15771" priority="22" operator="containsText" text="CMS">
      <formula>NOT(ISERROR(SEARCH("CMS",M78)))</formula>
    </cfRule>
    <cfRule type="cellIs" dxfId="15770" priority="23" operator="equal">
      <formula>0</formula>
    </cfRule>
    <cfRule type="cellIs" dxfId="15769" priority="24" operator="greaterThan">
      <formula>0</formula>
    </cfRule>
  </conditionalFormatting>
  <conditionalFormatting sqref="M78">
    <cfRule type="cellIs" dxfId="15768" priority="13" operator="equal">
      <formula>"PMS"</formula>
    </cfRule>
    <cfRule type="containsText" dxfId="15767" priority="14" operator="containsText" text="CMS">
      <formula>NOT(ISERROR(SEARCH("CMS",M78)))</formula>
    </cfRule>
    <cfRule type="cellIs" dxfId="15766" priority="15" operator="equal">
      <formula>0</formula>
    </cfRule>
    <cfRule type="cellIs" dxfId="15765" priority="16" operator="greaterThan">
      <formula>0</formula>
    </cfRule>
  </conditionalFormatting>
  <conditionalFormatting sqref="R27">
    <cfRule type="cellIs" dxfId="15764" priority="5" operator="equal">
      <formula>"PMS"</formula>
    </cfRule>
    <cfRule type="containsText" dxfId="15763" priority="6" operator="containsText" text="CMS">
      <formula>NOT(ISERROR(SEARCH("CMS",R27)))</formula>
    </cfRule>
    <cfRule type="cellIs" dxfId="15762" priority="7" operator="equal">
      <formula>0</formula>
    </cfRule>
    <cfRule type="cellIs" dxfId="15761" priority="8" operator="greaterThan">
      <formula>0</formula>
    </cfRule>
    <cfRule type="cellIs" dxfId="15760" priority="9" operator="equal">
      <formula>"PMS"</formula>
    </cfRule>
    <cfRule type="containsText" dxfId="15759" priority="10" operator="containsText" text="CMS">
      <formula>NOT(ISERROR(SEARCH("CMS",R27)))</formula>
    </cfRule>
    <cfRule type="cellIs" dxfId="15758" priority="11" operator="equal">
      <formula>0</formula>
    </cfRule>
    <cfRule type="cellIs" dxfId="15757" priority="12" operator="greaterThan">
      <formula>0</formula>
    </cfRule>
  </conditionalFormatting>
  <conditionalFormatting sqref="R27">
    <cfRule type="cellIs" dxfId="15756" priority="1" operator="equal">
      <formula>"PMS"</formula>
    </cfRule>
    <cfRule type="containsText" dxfId="15755" priority="2" operator="containsText" text="CMS">
      <formula>NOT(ISERROR(SEARCH("CMS",R27)))</formula>
    </cfRule>
    <cfRule type="cellIs" dxfId="15754" priority="3" operator="equal">
      <formula>0</formula>
    </cfRule>
    <cfRule type="cellIs" dxfId="1575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03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4AC77-6FE7-4FF1-8A3A-A4684E30C14F}">
  <sheetPr codeName="Sheet229"/>
  <dimension ref="A2:DT141"/>
  <sheetViews>
    <sheetView zoomScale="70" zoomScaleNormal="70" workbookViewId="0">
      <pane xSplit="5" ySplit="11" topLeftCell="F14" activePane="bottomRight" state="frozen"/>
      <selection pane="bottomRight" activeCell="S108" sqref="S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424.10000000000008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6.8</v>
      </c>
      <c r="H14" s="359">
        <v>6.6</v>
      </c>
      <c r="I14" s="357">
        <v>6.6</v>
      </c>
      <c r="J14" s="357">
        <v>6.9</v>
      </c>
      <c r="K14" s="359">
        <v>6.8</v>
      </c>
      <c r="L14" s="359">
        <v>6.8</v>
      </c>
      <c r="M14" s="357">
        <v>6.6</v>
      </c>
      <c r="N14" s="359">
        <v>6.7</v>
      </c>
      <c r="O14" s="357">
        <v>6.4</v>
      </c>
      <c r="P14" s="357">
        <v>6.7</v>
      </c>
      <c r="Q14" s="357">
        <v>6.8</v>
      </c>
      <c r="R14" s="357">
        <v>6.7</v>
      </c>
      <c r="S14" s="462">
        <v>6.6</v>
      </c>
      <c r="T14" s="462">
        <v>6.4</v>
      </c>
      <c r="U14" s="357">
        <v>6.5</v>
      </c>
      <c r="V14" s="357">
        <v>6.9</v>
      </c>
      <c r="W14" s="357">
        <v>6.5</v>
      </c>
      <c r="X14" s="357">
        <v>6.6</v>
      </c>
      <c r="Y14" s="357">
        <v>6.8</v>
      </c>
      <c r="Z14" s="462">
        <v>6.6</v>
      </c>
      <c r="AA14" s="462">
        <v>6.6</v>
      </c>
      <c r="AB14" s="357">
        <v>6.7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6.7</v>
      </c>
      <c r="G15" s="357"/>
      <c r="H15" s="357"/>
      <c r="I15" s="357"/>
      <c r="J15" s="357">
        <v>6.9</v>
      </c>
      <c r="K15" s="359">
        <v>6.8</v>
      </c>
      <c r="L15" s="359">
        <v>6.8</v>
      </c>
      <c r="M15" s="359">
        <v>6.6</v>
      </c>
      <c r="N15" s="359">
        <v>6.7</v>
      </c>
      <c r="O15" s="357">
        <v>6.4</v>
      </c>
      <c r="P15" s="357">
        <v>6.7</v>
      </c>
      <c r="Q15" s="357">
        <v>6.8</v>
      </c>
      <c r="R15" s="357">
        <v>6.7</v>
      </c>
      <c r="S15" s="462">
        <v>6.7</v>
      </c>
      <c r="T15" s="462">
        <v>6.4</v>
      </c>
      <c r="U15" s="357">
        <v>6.5</v>
      </c>
      <c r="V15" s="462">
        <v>6.9</v>
      </c>
      <c r="W15" s="357">
        <v>6.5</v>
      </c>
      <c r="X15" s="357">
        <v>6.6</v>
      </c>
      <c r="Y15" s="357">
        <v>6.8</v>
      </c>
      <c r="Z15" s="462">
        <v>6.6</v>
      </c>
      <c r="AA15" s="462">
        <v>6.6</v>
      </c>
      <c r="AB15" s="462">
        <v>6.7</v>
      </c>
      <c r="AC15" s="46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6.6</v>
      </c>
      <c r="I16" s="357">
        <v>6.6</v>
      </c>
      <c r="J16" s="357">
        <v>0</v>
      </c>
      <c r="K16" s="359">
        <v>0</v>
      </c>
      <c r="L16" s="359">
        <v>0</v>
      </c>
      <c r="M16" s="359">
        <v>0</v>
      </c>
      <c r="N16" s="359">
        <v>0</v>
      </c>
      <c r="O16" s="357">
        <v>4.4000000000000004</v>
      </c>
      <c r="P16" s="357">
        <v>6.7</v>
      </c>
      <c r="Q16" s="357">
        <v>6.8</v>
      </c>
      <c r="R16" s="357">
        <v>6.7</v>
      </c>
      <c r="S16" s="462">
        <v>6.7</v>
      </c>
      <c r="T16" s="462">
        <v>6.4</v>
      </c>
      <c r="U16" s="357">
        <v>6.5</v>
      </c>
      <c r="V16" s="462">
        <v>6.9</v>
      </c>
      <c r="W16" s="357">
        <v>6.5</v>
      </c>
      <c r="X16" s="357">
        <v>6.6</v>
      </c>
      <c r="Y16" s="357">
        <v>6.8</v>
      </c>
      <c r="Z16" s="462">
        <v>6.6</v>
      </c>
      <c r="AA16" s="462">
        <v>6.6</v>
      </c>
      <c r="AB16" s="462">
        <v>6.7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19.899999999999999</v>
      </c>
      <c r="G17" s="19">
        <f t="shared" ref="G17:AC17" si="1">SUM(G13:G16)</f>
        <v>13.5</v>
      </c>
      <c r="H17" s="19">
        <f t="shared" si="1"/>
        <v>13.2</v>
      </c>
      <c r="I17" s="19">
        <f t="shared" si="1"/>
        <v>13.2</v>
      </c>
      <c r="J17" s="19">
        <f t="shared" si="1"/>
        <v>13.8</v>
      </c>
      <c r="K17" s="19">
        <f t="shared" si="1"/>
        <v>13.6</v>
      </c>
      <c r="L17" s="19">
        <f t="shared" si="1"/>
        <v>13.6</v>
      </c>
      <c r="M17" s="19">
        <f t="shared" si="1"/>
        <v>13.2</v>
      </c>
      <c r="N17" s="19">
        <f t="shared" si="1"/>
        <v>13.4</v>
      </c>
      <c r="O17" s="19">
        <f t="shared" si="1"/>
        <v>17.200000000000003</v>
      </c>
      <c r="P17" s="19">
        <f t="shared" si="1"/>
        <v>20.100000000000001</v>
      </c>
      <c r="Q17" s="19">
        <f t="shared" si="1"/>
        <v>20.399999999999999</v>
      </c>
      <c r="R17" s="19">
        <f t="shared" si="1"/>
        <v>20.100000000000001</v>
      </c>
      <c r="S17" s="463">
        <f t="shared" si="1"/>
        <v>20</v>
      </c>
      <c r="T17" s="463">
        <f t="shared" si="1"/>
        <v>19.200000000000003</v>
      </c>
      <c r="U17" s="19">
        <f t="shared" si="1"/>
        <v>19.5</v>
      </c>
      <c r="V17" s="19">
        <f t="shared" si="1"/>
        <v>20.700000000000003</v>
      </c>
      <c r="W17" s="19">
        <f t="shared" si="1"/>
        <v>19.5</v>
      </c>
      <c r="X17" s="19">
        <f t="shared" si="1"/>
        <v>19.799999999999997</v>
      </c>
      <c r="Y17" s="19">
        <f t="shared" si="1"/>
        <v>20.399999999999999</v>
      </c>
      <c r="Z17" s="463">
        <f t="shared" si="1"/>
        <v>19.799999999999997</v>
      </c>
      <c r="AA17" s="463">
        <f t="shared" si="1"/>
        <v>19.799999999999997</v>
      </c>
      <c r="AB17" s="463">
        <f>SUM(AB13:AB16)</f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81.599999999999994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2.8</v>
      </c>
      <c r="P19" s="357">
        <v>2.8</v>
      </c>
      <c r="Q19" s="357">
        <v>1.6</v>
      </c>
      <c r="R19" s="357">
        <v>1.6</v>
      </c>
      <c r="S19" s="462">
        <v>2.8</v>
      </c>
      <c r="T19" s="462">
        <v>2.8</v>
      </c>
      <c r="U19" s="357">
        <v>2</v>
      </c>
      <c r="V19" s="357">
        <v>2.5</v>
      </c>
      <c r="W19" s="357">
        <v>2</v>
      </c>
      <c r="X19" s="357">
        <v>2.2000000000000002</v>
      </c>
      <c r="Y19" s="357">
        <v>2.8</v>
      </c>
      <c r="Z19" s="357">
        <v>2</v>
      </c>
      <c r="AA19" s="357">
        <v>0</v>
      </c>
      <c r="AB19" s="357">
        <v>0</v>
      </c>
      <c r="AC19" s="357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>
        <v>3</v>
      </c>
      <c r="R20" s="357">
        <v>3</v>
      </c>
      <c r="S20" s="357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22</v>
      </c>
      <c r="AG20" s="11">
        <f>COUNTIF(G20:AD20,$AJ$7)</f>
        <v>0</v>
      </c>
      <c r="AH20" s="11">
        <f>COUNT(F20:AC20)</f>
        <v>2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3</v>
      </c>
      <c r="O21" s="357">
        <v>3.8</v>
      </c>
      <c r="P21" s="357">
        <v>3.8</v>
      </c>
      <c r="Q21" s="357">
        <v>2</v>
      </c>
      <c r="R21" s="357">
        <v>2</v>
      </c>
      <c r="S21" s="462">
        <v>3.8</v>
      </c>
      <c r="T21" s="462">
        <v>3.8</v>
      </c>
      <c r="U21" s="357">
        <v>3</v>
      </c>
      <c r="V21" s="357">
        <v>3.5</v>
      </c>
      <c r="W21" s="357">
        <v>3</v>
      </c>
      <c r="X21" s="357">
        <v>3.2</v>
      </c>
      <c r="Y21" s="357">
        <v>3.8</v>
      </c>
      <c r="Z21" s="357">
        <v>3</v>
      </c>
      <c r="AA21" s="357">
        <v>3</v>
      </c>
      <c r="AB21" s="357">
        <v>3</v>
      </c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</v>
      </c>
      <c r="O22" s="19">
        <f t="shared" si="3"/>
        <v>6.6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463">
        <f>SUM(S19:S21)</f>
        <v>6.6</v>
      </c>
      <c r="T22" s="463">
        <f t="shared" ref="T22" si="4">SUM(T19:T21)</f>
        <v>6.6</v>
      </c>
      <c r="U22" s="19">
        <f t="shared" si="3"/>
        <v>5</v>
      </c>
      <c r="V22" s="19">
        <f t="shared" si="3"/>
        <v>6</v>
      </c>
      <c r="W22" s="19">
        <f t="shared" si="3"/>
        <v>5</v>
      </c>
      <c r="X22" s="19">
        <f t="shared" si="3"/>
        <v>5.4</v>
      </c>
      <c r="Y22" s="19">
        <f t="shared" si="3"/>
        <v>6.6</v>
      </c>
      <c r="Z22" s="463">
        <f>SUM(Z19:Z21)</f>
        <v>5</v>
      </c>
      <c r="AA22" s="463">
        <f t="shared" si="3"/>
        <v>3</v>
      </c>
      <c r="AB22" s="463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40.599999999999994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0</v>
      </c>
      <c r="G24" s="357">
        <v>0</v>
      </c>
      <c r="H24" s="357">
        <v>0</v>
      </c>
      <c r="I24" s="357">
        <v>0</v>
      </c>
      <c r="J24" s="357">
        <v>0</v>
      </c>
      <c r="K24" s="357">
        <v>0</v>
      </c>
      <c r="L24" s="359">
        <v>0</v>
      </c>
      <c r="M24" s="359">
        <v>0</v>
      </c>
      <c r="N24" s="359">
        <v>0</v>
      </c>
      <c r="O24" s="357">
        <v>0</v>
      </c>
      <c r="P24" s="357">
        <v>2.8</v>
      </c>
      <c r="Q24" s="357">
        <v>3.8</v>
      </c>
      <c r="R24" s="357">
        <v>3.8</v>
      </c>
      <c r="S24" s="462">
        <v>3.8</v>
      </c>
      <c r="T24" s="462">
        <v>3.8</v>
      </c>
      <c r="U24" s="357">
        <v>3</v>
      </c>
      <c r="V24" s="357">
        <v>3</v>
      </c>
      <c r="W24" s="357">
        <v>3</v>
      </c>
      <c r="X24" s="357">
        <v>3</v>
      </c>
      <c r="Y24" s="357">
        <v>3.8</v>
      </c>
      <c r="Z24" s="357">
        <v>3.8</v>
      </c>
      <c r="AA24" s="357">
        <v>3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2.8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</v>
      </c>
      <c r="V25" s="19">
        <f t="shared" si="6"/>
        <v>3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3">
        <f t="shared" si="6"/>
        <v>3.8</v>
      </c>
      <c r="AA25" s="463">
        <f t="shared" si="6"/>
        <v>3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66.099999999999994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>
        <v>0.9</v>
      </c>
      <c r="L27" s="359">
        <v>3.8</v>
      </c>
      <c r="M27" s="357">
        <v>2.4</v>
      </c>
      <c r="N27" s="357">
        <v>3.8</v>
      </c>
      <c r="O27" s="357">
        <v>3.8</v>
      </c>
      <c r="P27" s="357">
        <v>3.8</v>
      </c>
      <c r="Q27" s="357">
        <v>3.8</v>
      </c>
      <c r="R27" s="357"/>
      <c r="S27" s="462">
        <v>3.5</v>
      </c>
      <c r="T27" s="462">
        <v>3.6</v>
      </c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1.5</v>
      </c>
      <c r="H28" s="357">
        <v>0</v>
      </c>
      <c r="I28" s="357">
        <v>0</v>
      </c>
      <c r="J28" s="359">
        <v>0</v>
      </c>
      <c r="K28" s="357">
        <v>0</v>
      </c>
      <c r="L28" s="359">
        <v>0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3.8</v>
      </c>
      <c r="S28" s="462">
        <v>3.5</v>
      </c>
      <c r="T28" s="359">
        <v>3.6</v>
      </c>
      <c r="U28" s="359">
        <v>4</v>
      </c>
      <c r="V28" s="359">
        <v>1.5</v>
      </c>
      <c r="W28" s="357">
        <v>3.5</v>
      </c>
      <c r="X28" s="357">
        <v>1.5</v>
      </c>
      <c r="Y28" s="357">
        <v>3.8</v>
      </c>
      <c r="Z28" s="357">
        <v>3</v>
      </c>
      <c r="AA28" s="357">
        <v>2.5</v>
      </c>
      <c r="AB28" s="357">
        <v>1.5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173.22000000000003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>
        <v>0</v>
      </c>
      <c r="G29" s="357">
        <v>0</v>
      </c>
      <c r="H29" s="357">
        <v>0</v>
      </c>
      <c r="I29" s="357">
        <v>0</v>
      </c>
      <c r="J29" s="357">
        <v>0</v>
      </c>
      <c r="K29" s="357">
        <v>0</v>
      </c>
      <c r="L29" s="359">
        <v>0</v>
      </c>
      <c r="M29" s="357">
        <v>0</v>
      </c>
      <c r="N29" s="357">
        <v>0</v>
      </c>
      <c r="O29" s="357">
        <v>0</v>
      </c>
      <c r="P29" s="357">
        <v>0</v>
      </c>
      <c r="Q29" s="357">
        <v>0</v>
      </c>
      <c r="R29" s="357">
        <v>0</v>
      </c>
      <c r="S29" s="462">
        <v>3.2</v>
      </c>
      <c r="T29" s="359">
        <v>3.5</v>
      </c>
      <c r="U29" s="357">
        <v>3.1</v>
      </c>
      <c r="V29" s="357">
        <v>2.67</v>
      </c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3.5</v>
      </c>
      <c r="G30" s="359">
        <v>6.5</v>
      </c>
      <c r="H30" s="357">
        <v>6.5</v>
      </c>
      <c r="I30" s="357">
        <v>5.7</v>
      </c>
      <c r="J30" s="357">
        <v>5.4</v>
      </c>
      <c r="K30" s="357">
        <v>7.2</v>
      </c>
      <c r="L30" s="359">
        <v>7</v>
      </c>
      <c r="M30" s="357">
        <v>7</v>
      </c>
      <c r="N30" s="357">
        <v>7</v>
      </c>
      <c r="O30" s="357">
        <v>6.95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5</v>
      </c>
      <c r="G31" s="19">
        <f>SUM(G27:G30)</f>
        <v>8</v>
      </c>
      <c r="H31" s="19">
        <v>6</v>
      </c>
      <c r="I31" s="19">
        <f t="shared" ref="I31:X31" si="8">SUM(I27:I30)</f>
        <v>5.7</v>
      </c>
      <c r="J31" s="19">
        <f t="shared" si="8"/>
        <v>5.4</v>
      </c>
      <c r="K31" s="19">
        <f t="shared" si="8"/>
        <v>8.1</v>
      </c>
      <c r="L31" s="19">
        <f t="shared" si="8"/>
        <v>10.8</v>
      </c>
      <c r="M31" s="19">
        <f t="shared" si="8"/>
        <v>9.4</v>
      </c>
      <c r="N31" s="19">
        <f t="shared" si="8"/>
        <v>10.8</v>
      </c>
      <c r="O31" s="19">
        <f t="shared" si="8"/>
        <v>10.75</v>
      </c>
      <c r="P31" s="19">
        <f t="shared" si="8"/>
        <v>10.8</v>
      </c>
      <c r="Q31" s="19">
        <f t="shared" si="8"/>
        <v>10.8</v>
      </c>
      <c r="R31" s="19">
        <f t="shared" si="8"/>
        <v>10.8</v>
      </c>
      <c r="S31" s="463">
        <f t="shared" si="8"/>
        <v>17.2</v>
      </c>
      <c r="T31" s="463">
        <f t="shared" si="8"/>
        <v>17.7</v>
      </c>
      <c r="U31" s="19">
        <f t="shared" si="8"/>
        <v>14.1</v>
      </c>
      <c r="V31" s="19">
        <f t="shared" si="8"/>
        <v>11.17</v>
      </c>
      <c r="W31" s="19">
        <f t="shared" si="8"/>
        <v>10.5</v>
      </c>
      <c r="X31" s="19">
        <f t="shared" si="8"/>
        <v>8.5</v>
      </c>
      <c r="Y31" s="19">
        <f>SUM(Y27:Y30)</f>
        <v>10.8</v>
      </c>
      <c r="Z31" s="19">
        <f t="shared" ref="Z31:AC31" si="9">SUM(Z27:Z30)</f>
        <v>10</v>
      </c>
      <c r="AA31" s="19">
        <f t="shared" si="9"/>
        <v>9.5</v>
      </c>
      <c r="AB31" s="19">
        <f t="shared" si="9"/>
        <v>8.5</v>
      </c>
      <c r="AC31" s="19">
        <f t="shared" si="9"/>
        <v>8.5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336.22999999999996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14.22</v>
      </c>
      <c r="G33" s="357">
        <v>14.25</v>
      </c>
      <c r="H33" s="357">
        <v>14.27</v>
      </c>
      <c r="I33" s="359">
        <v>14.27</v>
      </c>
      <c r="J33" s="357">
        <v>14.25</v>
      </c>
      <c r="K33" s="357">
        <v>14.25</v>
      </c>
      <c r="L33" s="359">
        <v>14.26</v>
      </c>
      <c r="M33" s="357">
        <v>14.28</v>
      </c>
      <c r="N33" s="357">
        <v>14.28</v>
      </c>
      <c r="O33" s="357">
        <v>14.3</v>
      </c>
      <c r="P33" s="357">
        <v>14.29</v>
      </c>
      <c r="Q33" s="359">
        <v>14.31</v>
      </c>
      <c r="R33" s="357">
        <v>14.31</v>
      </c>
      <c r="S33" s="462">
        <v>12.3</v>
      </c>
      <c r="T33" s="462">
        <v>10.8</v>
      </c>
      <c r="U33" s="357">
        <v>13.23</v>
      </c>
      <c r="V33" s="359">
        <v>14.3</v>
      </c>
      <c r="W33" s="357">
        <v>14.32</v>
      </c>
      <c r="X33" s="357">
        <v>14.33</v>
      </c>
      <c r="Y33" s="357">
        <v>14.31</v>
      </c>
      <c r="Z33" s="357">
        <v>14.3</v>
      </c>
      <c r="AA33" s="357">
        <v>14.28</v>
      </c>
      <c r="AB33" s="357">
        <v>14.28</v>
      </c>
      <c r="AC33" s="357">
        <v>14.24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14.22</v>
      </c>
      <c r="G34" s="19">
        <f t="shared" ref="G34:AC34" si="11">SUM(G33)</f>
        <v>14.25</v>
      </c>
      <c r="H34" s="19">
        <f t="shared" si="11"/>
        <v>14.27</v>
      </c>
      <c r="I34" s="19">
        <f t="shared" si="11"/>
        <v>14.27</v>
      </c>
      <c r="J34" s="19">
        <f t="shared" si="11"/>
        <v>14.25</v>
      </c>
      <c r="K34" s="19">
        <f t="shared" si="11"/>
        <v>14.25</v>
      </c>
      <c r="L34" s="19">
        <f t="shared" si="11"/>
        <v>14.26</v>
      </c>
      <c r="M34" s="19">
        <f t="shared" si="11"/>
        <v>14.28</v>
      </c>
      <c r="N34" s="19">
        <f t="shared" si="11"/>
        <v>14.28</v>
      </c>
      <c r="O34" s="19">
        <f t="shared" si="11"/>
        <v>14.3</v>
      </c>
      <c r="P34" s="19">
        <f t="shared" si="11"/>
        <v>14.29</v>
      </c>
      <c r="Q34" s="19">
        <f t="shared" si="11"/>
        <v>14.31</v>
      </c>
      <c r="R34" s="19">
        <f t="shared" si="11"/>
        <v>14.31</v>
      </c>
      <c r="S34" s="19">
        <f t="shared" si="11"/>
        <v>12.3</v>
      </c>
      <c r="T34" s="463">
        <f t="shared" si="11"/>
        <v>10.8</v>
      </c>
      <c r="U34" s="19">
        <f t="shared" si="11"/>
        <v>13.23</v>
      </c>
      <c r="V34" s="19">
        <f t="shared" si="11"/>
        <v>14.3</v>
      </c>
      <c r="W34" s="19">
        <f t="shared" si="11"/>
        <v>14.32</v>
      </c>
      <c r="X34" s="19">
        <f t="shared" si="11"/>
        <v>14.33</v>
      </c>
      <c r="Y34" s="19">
        <f t="shared" si="11"/>
        <v>14.31</v>
      </c>
      <c r="Z34" s="19">
        <f t="shared" si="11"/>
        <v>14.3</v>
      </c>
      <c r="AA34" s="19">
        <f t="shared" si="11"/>
        <v>14.28</v>
      </c>
      <c r="AB34" s="19">
        <f t="shared" si="11"/>
        <v>14.28</v>
      </c>
      <c r="AC34" s="19">
        <f t="shared" si="11"/>
        <v>14.24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15.25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>
        <v>0</v>
      </c>
      <c r="O47" s="357">
        <v>0.70499999999999996</v>
      </c>
      <c r="P47" s="359">
        <v>0.69666666666666666</v>
      </c>
      <c r="Q47" s="357">
        <v>0.75</v>
      </c>
      <c r="R47" s="357">
        <f>2.94/4</f>
        <v>0.73499999999999999</v>
      </c>
      <c r="S47" s="462"/>
      <c r="T47" s="462"/>
      <c r="U47" s="462"/>
      <c r="V47" s="357"/>
      <c r="W47" s="357"/>
      <c r="X47" s="357"/>
      <c r="Y47" s="357">
        <v>0.7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10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</v>
      </c>
      <c r="M48" s="357">
        <v>0</v>
      </c>
      <c r="N48" s="359">
        <v>0</v>
      </c>
      <c r="O48" s="357">
        <v>0.70499999999999996</v>
      </c>
      <c r="P48" s="359"/>
      <c r="Q48" s="357"/>
      <c r="R48" s="357">
        <f>2.94/4</f>
        <v>0.73499999999999999</v>
      </c>
      <c r="S48" s="462"/>
      <c r="T48" s="357"/>
      <c r="U48" s="462"/>
      <c r="V48" s="462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5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9">
        <v>0.8</v>
      </c>
      <c r="O50" s="357"/>
      <c r="P50" s="359"/>
      <c r="Q50" s="357"/>
      <c r="R50" s="357"/>
      <c r="S50" s="462" t="s">
        <v>9</v>
      </c>
      <c r="T50" s="357" t="s">
        <v>9</v>
      </c>
      <c r="U50" s="462" t="s">
        <v>9</v>
      </c>
      <c r="V50" s="462" t="s">
        <v>9</v>
      </c>
      <c r="W50" s="357" t="s">
        <v>9</v>
      </c>
      <c r="X50" s="357" t="s">
        <v>9</v>
      </c>
      <c r="Y50" s="357">
        <v>0.7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12"/>
        <v>6</v>
      </c>
      <c r="AG50" s="11">
        <f t="shared" si="13"/>
        <v>0</v>
      </c>
      <c r="AH50" s="11">
        <f t="shared" si="14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>
        <v>0.70499999999999996</v>
      </c>
      <c r="P51" s="359">
        <v>0.69666666666666666</v>
      </c>
      <c r="Q51" s="357"/>
      <c r="R51" s="357">
        <f>2.94/4</f>
        <v>0.73499999999999999</v>
      </c>
      <c r="S51" s="462">
        <v>0.8</v>
      </c>
      <c r="T51" s="357">
        <v>0.8</v>
      </c>
      <c r="U51" s="462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5</v>
      </c>
    </row>
    <row r="52" spans="1:124">
      <c r="A52" s="70" t="s">
        <v>46</v>
      </c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0</v>
      </c>
    </row>
    <row r="53" spans="1:124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>
      <c r="A55" s="70" t="s">
        <v>47</v>
      </c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>
        <f>COUNTIF(F55:AC55,$AJ$8)</f>
        <v>0</v>
      </c>
      <c r="AG55" s="11">
        <f t="shared" si="13"/>
        <v>0</v>
      </c>
      <c r="AH55" s="11">
        <f>COUNT(F55:AC55)</f>
        <v>0</v>
      </c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>
        <v>0</v>
      </c>
      <c r="N56" s="359">
        <v>0.7</v>
      </c>
      <c r="O56" s="357">
        <v>0.70499999999999996</v>
      </c>
      <c r="P56" s="359">
        <v>0.69666666666666666</v>
      </c>
      <c r="Q56" s="357">
        <v>0.75</v>
      </c>
      <c r="R56" s="357">
        <f>2.94/4</f>
        <v>0.73499999999999999</v>
      </c>
      <c r="S56" s="462"/>
      <c r="T56" s="357"/>
      <c r="U56" s="462"/>
      <c r="V56" s="357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7</v>
      </c>
    </row>
    <row r="57" spans="1:124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S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>SUM(L36:L59)</f>
        <v>1.4</v>
      </c>
      <c r="M60" s="19">
        <f t="shared" si="16"/>
        <v>0</v>
      </c>
      <c r="N60" s="19">
        <f t="shared" si="16"/>
        <v>1.5</v>
      </c>
      <c r="O60" s="19">
        <f>SUM(O36:O59)</f>
        <v>2.82</v>
      </c>
      <c r="P60" s="19">
        <f t="shared" si="16"/>
        <v>2.09</v>
      </c>
      <c r="Q60" s="19">
        <f t="shared" si="16"/>
        <v>1.5</v>
      </c>
      <c r="R60" s="19">
        <f t="shared" si="16"/>
        <v>2.94</v>
      </c>
      <c r="S60" s="463">
        <f t="shared" si="16"/>
        <v>0.8</v>
      </c>
      <c r="T60" s="463">
        <f>SUM(T36:T59)</f>
        <v>0.8</v>
      </c>
      <c r="U60" s="19">
        <f t="shared" ref="U60:AC60" si="17">SUM(U36:U59)</f>
        <v>0</v>
      </c>
      <c r="V60" s="19">
        <f>SUM(V36:V59)</f>
        <v>0</v>
      </c>
      <c r="W60" s="19">
        <f t="shared" si="17"/>
        <v>0</v>
      </c>
      <c r="X60" s="19">
        <f t="shared" si="17"/>
        <v>0</v>
      </c>
      <c r="Y60" s="19">
        <f t="shared" si="17"/>
        <v>1.4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29.266999999999996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0.54</v>
      </c>
      <c r="G62" s="357">
        <v>0.505</v>
      </c>
      <c r="H62" s="357">
        <v>0.49</v>
      </c>
      <c r="I62" s="359">
        <v>0.48349999999999999</v>
      </c>
      <c r="J62" s="357">
        <v>0.49</v>
      </c>
      <c r="K62" s="357">
        <v>0</v>
      </c>
      <c r="L62" s="357">
        <v>0</v>
      </c>
      <c r="M62" s="357">
        <v>0</v>
      </c>
      <c r="N62" s="357">
        <v>0</v>
      </c>
      <c r="O62" s="357">
        <v>0</v>
      </c>
      <c r="P62" s="357">
        <v>0</v>
      </c>
      <c r="Q62" s="357">
        <v>0</v>
      </c>
      <c r="R62" s="357">
        <v>0</v>
      </c>
      <c r="S62" s="462">
        <f>1.41/2</f>
        <v>0.70499999999999996</v>
      </c>
      <c r="T62" s="357">
        <f>1.39/2</f>
        <v>0.69499999999999995</v>
      </c>
      <c r="U62" s="357">
        <f>1.38/2</f>
        <v>0.69</v>
      </c>
      <c r="V62" s="462">
        <f>1.36/2</f>
        <v>0.68</v>
      </c>
      <c r="W62" s="357">
        <f>1.34/2</f>
        <v>0.67</v>
      </c>
      <c r="X62" s="357">
        <f>1.18/2</f>
        <v>0.59</v>
      </c>
      <c r="Y62" s="357">
        <f>1.42/2</f>
        <v>0.71</v>
      </c>
      <c r="Z62" s="357">
        <f>1.5/2</f>
        <v>0.75</v>
      </c>
      <c r="AA62" s="357">
        <f>1.4/2</f>
        <v>0.7</v>
      </c>
      <c r="AB62" s="357">
        <v>0.62</v>
      </c>
      <c r="AC62" s="357">
        <v>0.52500000000000002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0.54</v>
      </c>
      <c r="G63" s="357">
        <v>0.505</v>
      </c>
      <c r="H63" s="357">
        <v>0.49</v>
      </c>
      <c r="I63" s="359">
        <v>0.48349999999999999</v>
      </c>
      <c r="J63" s="357">
        <v>0.49</v>
      </c>
      <c r="K63" s="357">
        <v>0.49</v>
      </c>
      <c r="L63" s="357">
        <f>1.22/2</f>
        <v>0.61</v>
      </c>
      <c r="M63" s="357">
        <f>0.99/2</f>
        <v>0.495</v>
      </c>
      <c r="N63" s="357">
        <f>0.99/2</f>
        <v>0.495</v>
      </c>
      <c r="O63" s="357">
        <v>0.625</v>
      </c>
      <c r="P63" s="357">
        <v>0.67</v>
      </c>
      <c r="Q63" s="357">
        <f>1.41/2</f>
        <v>0.70499999999999996</v>
      </c>
      <c r="R63" s="357">
        <f>1.4/2</f>
        <v>0.7</v>
      </c>
      <c r="S63" s="462"/>
      <c r="T63" s="357"/>
      <c r="U63" s="357"/>
      <c r="V63" s="462"/>
      <c r="W63" s="357"/>
      <c r="X63" s="357"/>
      <c r="Y63" s="357">
        <f>1.42/2</f>
        <v>0.71</v>
      </c>
      <c r="Z63" s="357">
        <f>1.5/2</f>
        <v>0.75</v>
      </c>
      <c r="AA63" s="357">
        <f>1.4/2</f>
        <v>0.7</v>
      </c>
      <c r="AB63" s="357">
        <v>0.62</v>
      </c>
      <c r="AC63" s="357">
        <v>0.52500000000000002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/>
      <c r="I64" s="359"/>
      <c r="J64" s="357"/>
      <c r="K64" s="357">
        <v>0.49</v>
      </c>
      <c r="L64" s="357">
        <f>L63</f>
        <v>0.61</v>
      </c>
      <c r="M64" s="357">
        <f>M63</f>
        <v>0.495</v>
      </c>
      <c r="N64" s="357">
        <f>M63</f>
        <v>0.495</v>
      </c>
      <c r="O64" s="357">
        <v>0.625</v>
      </c>
      <c r="P64" s="357">
        <v>0.67</v>
      </c>
      <c r="Q64" s="357">
        <f>1.41/2</f>
        <v>0.70499999999999996</v>
      </c>
      <c r="R64" s="357">
        <f>1.4/2</f>
        <v>0.7</v>
      </c>
      <c r="S64" s="462">
        <f>1.41/2</f>
        <v>0.70499999999999996</v>
      </c>
      <c r="T64" s="357">
        <f>1.39/2</f>
        <v>0.69499999999999995</v>
      </c>
      <c r="U64" s="357">
        <f>1.38/2</f>
        <v>0.69</v>
      </c>
      <c r="V64" s="462">
        <f>1.36/2</f>
        <v>0.68</v>
      </c>
      <c r="W64" s="357">
        <f>1.34/2</f>
        <v>0.67</v>
      </c>
      <c r="X64" s="357">
        <f>1.18/2</f>
        <v>0.59</v>
      </c>
      <c r="Y64" s="357">
        <v>0</v>
      </c>
      <c r="Z64" s="357">
        <v>0</v>
      </c>
      <c r="AA64" s="357">
        <v>0</v>
      </c>
      <c r="AB64" s="357">
        <v>0</v>
      </c>
      <c r="AC64" s="357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1.08</v>
      </c>
      <c r="G65" s="19">
        <f t="shared" ref="G65:AB65" si="18">SUM(G62:G64)</f>
        <v>1.01</v>
      </c>
      <c r="H65" s="19">
        <f t="shared" si="18"/>
        <v>0.98</v>
      </c>
      <c r="I65" s="19">
        <f t="shared" si="18"/>
        <v>0.96699999999999997</v>
      </c>
      <c r="J65" s="19">
        <f t="shared" si="18"/>
        <v>0.98</v>
      </c>
      <c r="K65" s="19">
        <f t="shared" si="18"/>
        <v>0.98</v>
      </c>
      <c r="L65" s="19">
        <f t="shared" si="18"/>
        <v>1.22</v>
      </c>
      <c r="M65" s="19">
        <f t="shared" si="18"/>
        <v>0.99</v>
      </c>
      <c r="N65" s="19">
        <f t="shared" si="18"/>
        <v>0.99</v>
      </c>
      <c r="O65" s="19">
        <f t="shared" si="18"/>
        <v>1.25</v>
      </c>
      <c r="P65" s="19">
        <f t="shared" si="18"/>
        <v>1.34</v>
      </c>
      <c r="Q65" s="19">
        <f t="shared" si="18"/>
        <v>1.41</v>
      </c>
      <c r="R65" s="19">
        <f t="shared" si="18"/>
        <v>1.4</v>
      </c>
      <c r="S65" s="463">
        <f t="shared" si="18"/>
        <v>1.41</v>
      </c>
      <c r="T65" s="463">
        <f t="shared" si="18"/>
        <v>1.39</v>
      </c>
      <c r="U65" s="463">
        <f t="shared" si="18"/>
        <v>1.38</v>
      </c>
      <c r="V65" s="19">
        <f>SUM(V62:V64)</f>
        <v>1.36</v>
      </c>
      <c r="W65" s="19">
        <f t="shared" si="18"/>
        <v>1.34</v>
      </c>
      <c r="X65" s="19">
        <f t="shared" si="18"/>
        <v>1.18</v>
      </c>
      <c r="Y65" s="19">
        <f>SUM(Y62:Y64)</f>
        <v>1.42</v>
      </c>
      <c r="Z65" s="19">
        <f>SUM(Z62:Z64)</f>
        <v>1.5</v>
      </c>
      <c r="AA65" s="19">
        <f t="shared" si="18"/>
        <v>1.4</v>
      </c>
      <c r="AB65" s="19">
        <f t="shared" si="18"/>
        <v>1.24</v>
      </c>
      <c r="AC65" s="19">
        <f>SUM(AC62:AC64)</f>
        <v>1.05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19.410000000000004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/>
      <c r="N78" s="357"/>
      <c r="O78" s="357">
        <v>0.78</v>
      </c>
      <c r="P78" s="357">
        <v>0.77</v>
      </c>
      <c r="Q78" s="357">
        <v>0.75</v>
      </c>
      <c r="R78" s="357">
        <v>0.74</v>
      </c>
      <c r="S78" s="357">
        <v>0.75</v>
      </c>
      <c r="T78" s="357">
        <v>0.78</v>
      </c>
      <c r="U78" s="357">
        <v>0.82</v>
      </c>
      <c r="V78" s="357">
        <v>0.87</v>
      </c>
      <c r="W78" s="357">
        <v>0.89</v>
      </c>
      <c r="X78" s="357">
        <v>0.87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</v>
      </c>
      <c r="G79" s="357">
        <v>0.75</v>
      </c>
      <c r="H79" s="357">
        <v>0.72</v>
      </c>
      <c r="I79" s="357">
        <v>0.72</v>
      </c>
      <c r="J79" s="357">
        <v>0.7</v>
      </c>
      <c r="K79" s="357">
        <v>0.73</v>
      </c>
      <c r="L79" s="359">
        <v>0.81</v>
      </c>
      <c r="M79" s="359">
        <v>0.71</v>
      </c>
      <c r="N79" s="359">
        <v>0.72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0.98</v>
      </c>
      <c r="Z79" s="357">
        <v>1.02</v>
      </c>
      <c r="AA79" s="357">
        <v>0.97</v>
      </c>
      <c r="AB79" s="357">
        <v>0.92</v>
      </c>
      <c r="AC79" s="357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</v>
      </c>
      <c r="G80" s="19">
        <f t="shared" si="24"/>
        <v>0.75</v>
      </c>
      <c r="H80" s="19">
        <f>SUM(H78:H79)</f>
        <v>0.72</v>
      </c>
      <c r="I80" s="19">
        <f>SUM(I78:I79)</f>
        <v>0.72</v>
      </c>
      <c r="J80" s="19">
        <f t="shared" ref="J80:AC80" si="25">SUM(J78:J79)</f>
        <v>0.7</v>
      </c>
      <c r="K80" s="19">
        <f t="shared" si="25"/>
        <v>0.73</v>
      </c>
      <c r="L80" s="19">
        <f>SUM(L78:L79)</f>
        <v>0.81</v>
      </c>
      <c r="M80" s="19">
        <f t="shared" si="25"/>
        <v>0.71</v>
      </c>
      <c r="N80" s="19">
        <f t="shared" si="25"/>
        <v>0.72</v>
      </c>
      <c r="O80" s="19">
        <f>SUM(O78:O79)</f>
        <v>0.78</v>
      </c>
      <c r="P80" s="19">
        <f>SUM(P78:P79)</f>
        <v>0.77</v>
      </c>
      <c r="Q80" s="19">
        <f t="shared" si="25"/>
        <v>0.75</v>
      </c>
      <c r="R80" s="19">
        <f t="shared" si="25"/>
        <v>0.74</v>
      </c>
      <c r="S80" s="463">
        <f t="shared" si="25"/>
        <v>0.75</v>
      </c>
      <c r="T80" s="463">
        <f t="shared" si="25"/>
        <v>0.78</v>
      </c>
      <c r="U80" s="19">
        <f t="shared" si="25"/>
        <v>0.82</v>
      </c>
      <c r="V80" s="19">
        <f t="shared" si="25"/>
        <v>0.87</v>
      </c>
      <c r="W80" s="19">
        <f t="shared" si="25"/>
        <v>0.89</v>
      </c>
      <c r="X80" s="19">
        <f t="shared" si="25"/>
        <v>0.87</v>
      </c>
      <c r="Y80" s="19">
        <f t="shared" si="25"/>
        <v>0.98</v>
      </c>
      <c r="Z80" s="19">
        <f t="shared" si="25"/>
        <v>1.02</v>
      </c>
      <c r="AA80" s="19">
        <f t="shared" si="25"/>
        <v>0.97</v>
      </c>
      <c r="AB80" s="19">
        <f t="shared" si="25"/>
        <v>0.92</v>
      </c>
      <c r="AC80" s="19">
        <f t="shared" si="25"/>
        <v>0.84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40.999999999999993</v>
      </c>
      <c r="G83" s="28">
        <f>SUM(G17,G22,G25,G31,G34,G60,G65,G76,G80,G82)</f>
        <v>37.51</v>
      </c>
      <c r="H83" s="28">
        <f>SUM(H17,H22,H25,H31,H34,H60,H65,H76,H80,H82)</f>
        <v>35.169999999999995</v>
      </c>
      <c r="I83" s="28">
        <f t="shared" ref="I83:AC83" si="27">SUM(I17,I22,I25,I31,I34,I60,I65,I76,I80,I82)</f>
        <v>34.856999999999999</v>
      </c>
      <c r="J83" s="28">
        <f t="shared" si="27"/>
        <v>35.130000000000003</v>
      </c>
      <c r="K83" s="28">
        <f t="shared" si="27"/>
        <v>37.659999999999997</v>
      </c>
      <c r="L83" s="28">
        <f t="shared" si="27"/>
        <v>42.089999999999996</v>
      </c>
      <c r="M83" s="28">
        <f t="shared" si="27"/>
        <v>38.580000000000005</v>
      </c>
      <c r="N83" s="28">
        <f>SUM(N17,N22,N25,N31,N34,N60,N65,N76,N80,N82)</f>
        <v>44.69</v>
      </c>
      <c r="O83" s="28">
        <f>SUM(O17,O22,O25,O31,O34,O60,O65,O76,O80,O82)</f>
        <v>53.70000000000001</v>
      </c>
      <c r="P83" s="28">
        <f t="shared" si="27"/>
        <v>58.790000000000013</v>
      </c>
      <c r="Q83" s="28">
        <f t="shared" si="27"/>
        <v>59.57</v>
      </c>
      <c r="R83" s="28">
        <f t="shared" si="27"/>
        <v>60.690000000000005</v>
      </c>
      <c r="S83" s="518">
        <f t="shared" si="27"/>
        <v>62.86</v>
      </c>
      <c r="T83" s="518">
        <f t="shared" si="27"/>
        <v>61.070000000000007</v>
      </c>
      <c r="U83" s="518">
        <f t="shared" si="27"/>
        <v>57.03</v>
      </c>
      <c r="V83" s="28">
        <f t="shared" si="27"/>
        <v>57.4</v>
      </c>
      <c r="W83" s="28">
        <f t="shared" si="27"/>
        <v>54.550000000000004</v>
      </c>
      <c r="X83" s="28">
        <f t="shared" si="27"/>
        <v>53.079999999999991</v>
      </c>
      <c r="Y83" s="28">
        <f t="shared" si="27"/>
        <v>59.71</v>
      </c>
      <c r="Z83" s="28">
        <f t="shared" si="27"/>
        <v>55.419999999999995</v>
      </c>
      <c r="AA83" s="28">
        <f t="shared" si="27"/>
        <v>51.949999999999996</v>
      </c>
      <c r="AB83" s="28">
        <f t="shared" si="27"/>
        <v>48.040000000000006</v>
      </c>
      <c r="AC83" s="28">
        <f t="shared" si="27"/>
        <v>44.730000000000004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6.6300000000000097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3</v>
      </c>
      <c r="O89" s="64">
        <f t="shared" si="28"/>
        <v>6.6</v>
      </c>
      <c r="P89" s="64">
        <f t="shared" si="28"/>
        <v>9.3999999999999986</v>
      </c>
      <c r="Q89" s="64">
        <f t="shared" si="28"/>
        <v>10.399999999999999</v>
      </c>
      <c r="R89" s="64">
        <f t="shared" si="28"/>
        <v>10.399999999999999</v>
      </c>
      <c r="S89" s="64">
        <f t="shared" si="28"/>
        <v>10.399999999999999</v>
      </c>
      <c r="T89" s="64">
        <f t="shared" si="28"/>
        <v>10.399999999999999</v>
      </c>
      <c r="U89" s="64">
        <f t="shared" si="28"/>
        <v>8</v>
      </c>
      <c r="V89" s="64">
        <f t="shared" si="28"/>
        <v>9</v>
      </c>
      <c r="W89" s="64">
        <f t="shared" si="28"/>
        <v>8</v>
      </c>
      <c r="X89" s="64">
        <f t="shared" si="28"/>
        <v>8.4</v>
      </c>
      <c r="Y89" s="64">
        <f t="shared" si="28"/>
        <v>10.399999999999999</v>
      </c>
      <c r="Z89" s="64">
        <f t="shared" si="28"/>
        <v>8.8000000000000007</v>
      </c>
      <c r="AA89" s="64">
        <f t="shared" si="28"/>
        <v>6</v>
      </c>
      <c r="AB89" s="64">
        <f t="shared" si="28"/>
        <v>3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0.22700000000000001</v>
      </c>
      <c r="Q90" s="68">
        <v>0.22900000000000001</v>
      </c>
      <c r="R90" s="68">
        <v>0.22700000000000001</v>
      </c>
      <c r="S90" s="68">
        <v>0.28000000000000003</v>
      </c>
      <c r="T90" s="68">
        <v>0.247</v>
      </c>
      <c r="U90" s="68">
        <v>0.218</v>
      </c>
      <c r="V90" s="68">
        <v>0.22600000000000001</v>
      </c>
      <c r="W90" s="68">
        <v>0.152</v>
      </c>
      <c r="X90" s="68">
        <v>0.24299999999999999</v>
      </c>
      <c r="Y90" s="68">
        <v>0.22700000000000001</v>
      </c>
      <c r="Z90" s="68">
        <v>0.18</v>
      </c>
      <c r="AA90" s="68">
        <v>0.16400000000000001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9">F17</f>
        <v>19.899999999999999</v>
      </c>
      <c r="G91" s="64">
        <f t="shared" si="29"/>
        <v>13.5</v>
      </c>
      <c r="H91" s="64">
        <f t="shared" si="29"/>
        <v>13.2</v>
      </c>
      <c r="I91" s="64">
        <f t="shared" si="29"/>
        <v>13.2</v>
      </c>
      <c r="J91" s="64">
        <f t="shared" si="29"/>
        <v>13.8</v>
      </c>
      <c r="K91" s="64">
        <f t="shared" si="29"/>
        <v>13.6</v>
      </c>
      <c r="L91" s="64">
        <f t="shared" si="29"/>
        <v>13.6</v>
      </c>
      <c r="M91" s="64">
        <f t="shared" si="29"/>
        <v>13.2</v>
      </c>
      <c r="N91" s="64">
        <f t="shared" si="29"/>
        <v>13.4</v>
      </c>
      <c r="O91" s="64">
        <f t="shared" si="29"/>
        <v>17.200000000000003</v>
      </c>
      <c r="P91" s="64">
        <f t="shared" si="29"/>
        <v>20.100000000000001</v>
      </c>
      <c r="Q91" s="64">
        <f t="shared" si="29"/>
        <v>20.399999999999999</v>
      </c>
      <c r="R91" s="64">
        <f t="shared" si="29"/>
        <v>20.100000000000001</v>
      </c>
      <c r="S91" s="64">
        <f t="shared" si="29"/>
        <v>20</v>
      </c>
      <c r="T91" s="64">
        <f t="shared" si="29"/>
        <v>19.200000000000003</v>
      </c>
      <c r="U91" s="64">
        <f>U17</f>
        <v>19.5</v>
      </c>
      <c r="V91" s="64">
        <f t="shared" si="29"/>
        <v>20.700000000000003</v>
      </c>
      <c r="W91" s="64">
        <f t="shared" si="29"/>
        <v>19.5</v>
      </c>
      <c r="X91" s="64">
        <f t="shared" si="29"/>
        <v>19.799999999999997</v>
      </c>
      <c r="Y91" s="64">
        <f t="shared" si="29"/>
        <v>20.399999999999999</v>
      </c>
      <c r="Z91" s="64">
        <f t="shared" si="29"/>
        <v>19.799999999999997</v>
      </c>
      <c r="AA91" s="64">
        <f t="shared" si="29"/>
        <v>19.799999999999997</v>
      </c>
      <c r="AB91" s="64">
        <f t="shared" si="29"/>
        <v>20.100000000000001</v>
      </c>
      <c r="AC91" s="64">
        <f t="shared" si="29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0.55700000000000005</v>
      </c>
      <c r="G92" s="68">
        <v>0.65900000000000003</v>
      </c>
      <c r="H92" s="68">
        <v>0.45700000000000002</v>
      </c>
      <c r="I92" s="68">
        <v>0.50900000000000001</v>
      </c>
      <c r="J92" s="68">
        <v>0.55000000000000004</v>
      </c>
      <c r="K92" s="68">
        <v>0.69799999999999995</v>
      </c>
      <c r="L92" s="68">
        <v>0.68799999999999994</v>
      </c>
      <c r="M92" s="68">
        <v>0.68400000000000005</v>
      </c>
      <c r="N92" s="68">
        <v>0.55400000000000005</v>
      </c>
      <c r="O92" s="68">
        <v>0.64500000000000002</v>
      </c>
      <c r="P92" s="68">
        <v>0.55300000000000005</v>
      </c>
      <c r="Q92" s="68">
        <v>0.56100000000000005</v>
      </c>
      <c r="R92" s="68">
        <v>0.66800000000000004</v>
      </c>
      <c r="S92" s="68">
        <v>0.66700000000000004</v>
      </c>
      <c r="T92" s="68">
        <v>0.72099999999999997</v>
      </c>
      <c r="U92" s="68">
        <v>0.80100000000000005</v>
      </c>
      <c r="V92" s="68">
        <v>0.82899999999999996</v>
      </c>
      <c r="W92" s="68">
        <v>0.78100000000000003</v>
      </c>
      <c r="X92" s="68">
        <v>0.78200000000000003</v>
      </c>
      <c r="Y92" s="68">
        <v>0.77200000000000002</v>
      </c>
      <c r="Z92" s="68">
        <v>0.60099999999999998</v>
      </c>
      <c r="AA92" s="68">
        <v>0.57799999999999996</v>
      </c>
      <c r="AB92" s="68">
        <v>0.53800000000000003</v>
      </c>
      <c r="AC92" s="68">
        <v>0.76800000000000002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0">F31</f>
        <v>5</v>
      </c>
      <c r="G93" s="65">
        <f t="shared" si="30"/>
        <v>8</v>
      </c>
      <c r="H93" s="65">
        <f t="shared" si="30"/>
        <v>6</v>
      </c>
      <c r="I93" s="65">
        <f t="shared" si="30"/>
        <v>5.7</v>
      </c>
      <c r="J93" s="65">
        <f t="shared" si="30"/>
        <v>5.4</v>
      </c>
      <c r="K93" s="65">
        <f t="shared" si="30"/>
        <v>8.1</v>
      </c>
      <c r="L93" s="65">
        <f t="shared" si="30"/>
        <v>10.8</v>
      </c>
      <c r="M93" s="65">
        <f t="shared" si="30"/>
        <v>9.4</v>
      </c>
      <c r="N93" s="65">
        <f t="shared" si="30"/>
        <v>10.8</v>
      </c>
      <c r="O93" s="65">
        <f t="shared" si="30"/>
        <v>10.75</v>
      </c>
      <c r="P93" s="65">
        <f t="shared" si="30"/>
        <v>10.8</v>
      </c>
      <c r="Q93" s="65">
        <f t="shared" si="30"/>
        <v>10.8</v>
      </c>
      <c r="R93" s="65">
        <f t="shared" si="30"/>
        <v>10.8</v>
      </c>
      <c r="S93" s="65">
        <f t="shared" si="30"/>
        <v>17.2</v>
      </c>
      <c r="T93" s="65">
        <f>T31</f>
        <v>17.7</v>
      </c>
      <c r="U93" s="65">
        <f t="shared" si="30"/>
        <v>14.1</v>
      </c>
      <c r="V93" s="65">
        <f t="shared" si="30"/>
        <v>11.17</v>
      </c>
      <c r="W93" s="65">
        <f t="shared" si="30"/>
        <v>10.5</v>
      </c>
      <c r="X93" s="65">
        <f t="shared" si="30"/>
        <v>8.5</v>
      </c>
      <c r="Y93" s="65">
        <f t="shared" si="30"/>
        <v>10.8</v>
      </c>
      <c r="Z93" s="65">
        <f t="shared" si="30"/>
        <v>10</v>
      </c>
      <c r="AA93" s="65">
        <f t="shared" si="30"/>
        <v>9.5</v>
      </c>
      <c r="AB93" s="65">
        <f t="shared" si="30"/>
        <v>8.5</v>
      </c>
      <c r="AC93" s="65">
        <f t="shared" si="30"/>
        <v>8.5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0.19400000000000001</v>
      </c>
      <c r="G94" s="68">
        <v>0.2</v>
      </c>
      <c r="H94" s="68">
        <v>0.11700000000000001</v>
      </c>
      <c r="I94" s="68">
        <v>9.7000000000000003E-2</v>
      </c>
      <c r="J94" s="68">
        <v>0.10199999999999999</v>
      </c>
      <c r="K94" s="68">
        <v>0.185</v>
      </c>
      <c r="L94" s="68">
        <v>0.182</v>
      </c>
      <c r="M94" s="68">
        <v>0.222</v>
      </c>
      <c r="N94" s="68">
        <v>0.21199999999999999</v>
      </c>
      <c r="O94" s="68">
        <v>0.21</v>
      </c>
      <c r="P94" s="68">
        <v>0.20200000000000001</v>
      </c>
      <c r="Q94" s="68">
        <v>0.20499999999999999</v>
      </c>
      <c r="R94" s="68">
        <v>0.19</v>
      </c>
      <c r="S94" s="68">
        <v>0.19500000000000001</v>
      </c>
      <c r="T94" s="68">
        <v>0.246</v>
      </c>
      <c r="U94" s="68">
        <v>0.185</v>
      </c>
      <c r="V94" s="68">
        <v>0.17499999999999999</v>
      </c>
      <c r="W94" s="68">
        <v>0.188</v>
      </c>
      <c r="X94" s="68">
        <v>0.221</v>
      </c>
      <c r="Y94" s="68">
        <v>0.22</v>
      </c>
      <c r="Z94" s="68">
        <v>0.191</v>
      </c>
      <c r="AA94" s="68">
        <v>0.185</v>
      </c>
      <c r="AB94" s="68">
        <v>0.17699999999999999</v>
      </c>
      <c r="AC94" s="68">
        <v>0.19500000000000001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0.27100000000000002</v>
      </c>
      <c r="G95" s="68">
        <v>0.26500000000000001</v>
      </c>
      <c r="H95" s="68">
        <v>0.20710000000000001</v>
      </c>
      <c r="I95" s="68">
        <v>0.20499999999999999</v>
      </c>
      <c r="J95" s="68">
        <v>0.2039</v>
      </c>
      <c r="K95" s="68">
        <v>0.21079999999999999</v>
      </c>
      <c r="L95" s="68">
        <v>0.25800000000000001</v>
      </c>
      <c r="M95" s="68">
        <v>0.217</v>
      </c>
      <c r="N95" s="68">
        <v>0.27</v>
      </c>
      <c r="O95" s="68">
        <v>0.22500000000000001</v>
      </c>
      <c r="P95" s="68">
        <v>0.2576</v>
      </c>
      <c r="Q95" s="68">
        <v>0.21240000000000001</v>
      </c>
      <c r="R95" s="68">
        <v>0.21</v>
      </c>
      <c r="S95" s="68">
        <v>0.38030000000000003</v>
      </c>
      <c r="T95" s="68">
        <v>0.37209999999999999</v>
      </c>
      <c r="U95" s="68">
        <v>0.37640000000000001</v>
      </c>
      <c r="V95" s="68">
        <v>0.3715</v>
      </c>
      <c r="W95" s="68">
        <v>0.25600000000000001</v>
      </c>
      <c r="X95" s="68">
        <v>0.218</v>
      </c>
      <c r="Y95" s="68">
        <v>0.23400000000000001</v>
      </c>
      <c r="Z95" s="68">
        <v>0.2</v>
      </c>
      <c r="AA95" s="68">
        <v>0.19800000000000001</v>
      </c>
      <c r="AB95" s="68">
        <v>0.21329999999999999</v>
      </c>
      <c r="AC95" s="68">
        <v>0.21010000000000001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1">F34</f>
        <v>14.22</v>
      </c>
      <c r="G96" s="65">
        <f t="shared" si="31"/>
        <v>14.25</v>
      </c>
      <c r="H96" s="65">
        <f t="shared" si="31"/>
        <v>14.27</v>
      </c>
      <c r="I96" s="65">
        <f t="shared" si="31"/>
        <v>14.27</v>
      </c>
      <c r="J96" s="65">
        <f t="shared" si="31"/>
        <v>14.25</v>
      </c>
      <c r="K96" s="65">
        <f t="shared" si="31"/>
        <v>14.25</v>
      </c>
      <c r="L96" s="65">
        <f t="shared" si="31"/>
        <v>14.26</v>
      </c>
      <c r="M96" s="65">
        <f t="shared" si="31"/>
        <v>14.28</v>
      </c>
      <c r="N96" s="65">
        <f t="shared" si="31"/>
        <v>14.28</v>
      </c>
      <c r="O96" s="65">
        <f t="shared" si="31"/>
        <v>14.3</v>
      </c>
      <c r="P96" s="65">
        <f t="shared" si="31"/>
        <v>14.29</v>
      </c>
      <c r="Q96" s="65">
        <f t="shared" si="31"/>
        <v>14.31</v>
      </c>
      <c r="R96" s="65">
        <f t="shared" si="31"/>
        <v>14.31</v>
      </c>
      <c r="S96" s="65">
        <f t="shared" si="31"/>
        <v>12.3</v>
      </c>
      <c r="T96" s="65">
        <f t="shared" si="31"/>
        <v>10.8</v>
      </c>
      <c r="U96" s="65">
        <f t="shared" si="31"/>
        <v>13.23</v>
      </c>
      <c r="V96" s="65">
        <f>V34</f>
        <v>14.3</v>
      </c>
      <c r="W96" s="65">
        <f t="shared" si="31"/>
        <v>14.32</v>
      </c>
      <c r="X96" s="65">
        <f t="shared" si="31"/>
        <v>14.33</v>
      </c>
      <c r="Y96" s="65">
        <f t="shared" si="31"/>
        <v>14.31</v>
      </c>
      <c r="Z96" s="65">
        <f t="shared" si="31"/>
        <v>14.3</v>
      </c>
      <c r="AA96" s="65">
        <f t="shared" si="31"/>
        <v>14.28</v>
      </c>
      <c r="AB96" s="65">
        <f t="shared" si="31"/>
        <v>14.28</v>
      </c>
      <c r="AC96" s="65">
        <f t="shared" si="31"/>
        <v>14.24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0.78</v>
      </c>
      <c r="G97" s="68">
        <v>0.75</v>
      </c>
      <c r="H97" s="68">
        <v>0.73</v>
      </c>
      <c r="I97" s="68">
        <v>0.73</v>
      </c>
      <c r="J97" s="68">
        <v>0.75</v>
      </c>
      <c r="K97" s="68">
        <v>0.75</v>
      </c>
      <c r="L97" s="68">
        <v>0.74</v>
      </c>
      <c r="M97" s="68">
        <v>0.72</v>
      </c>
      <c r="N97" s="68">
        <v>0.72</v>
      </c>
      <c r="O97" s="68">
        <v>0.7</v>
      </c>
      <c r="P97" s="68">
        <v>0.71</v>
      </c>
      <c r="Q97" s="68">
        <v>0.69</v>
      </c>
      <c r="R97" s="68">
        <v>0.69</v>
      </c>
      <c r="S97" s="68">
        <v>0.7</v>
      </c>
      <c r="T97" s="68">
        <v>1.2</v>
      </c>
      <c r="U97" s="68">
        <v>0.77</v>
      </c>
      <c r="V97" s="68">
        <v>0.7</v>
      </c>
      <c r="W97" s="68">
        <v>0.68</v>
      </c>
      <c r="X97" s="68">
        <v>0.67</v>
      </c>
      <c r="Y97" s="68">
        <v>0.69</v>
      </c>
      <c r="Z97" s="68">
        <v>0.7</v>
      </c>
      <c r="AA97" s="68">
        <v>0.72</v>
      </c>
      <c r="AB97" s="68">
        <v>0.72</v>
      </c>
      <c r="AC97" s="68">
        <v>0.76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1.4</v>
      </c>
      <c r="M98" s="64">
        <f t="shared" si="32"/>
        <v>0</v>
      </c>
      <c r="N98" s="64">
        <f t="shared" si="32"/>
        <v>1.5</v>
      </c>
      <c r="O98" s="64">
        <f t="shared" si="32"/>
        <v>2.82</v>
      </c>
      <c r="P98" s="64">
        <f t="shared" si="32"/>
        <v>2.09</v>
      </c>
      <c r="Q98" s="64">
        <f t="shared" si="32"/>
        <v>1.5</v>
      </c>
      <c r="R98" s="64">
        <f t="shared" si="32"/>
        <v>2.94</v>
      </c>
      <c r="S98" s="64">
        <f t="shared" si="32"/>
        <v>0.8</v>
      </c>
      <c r="T98" s="64">
        <f t="shared" si="32"/>
        <v>0.8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1.4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3">F65</f>
        <v>1.08</v>
      </c>
      <c r="G99" s="64">
        <f t="shared" si="33"/>
        <v>1.01</v>
      </c>
      <c r="H99" s="64">
        <f t="shared" si="33"/>
        <v>0.98</v>
      </c>
      <c r="I99" s="64">
        <f t="shared" si="33"/>
        <v>0.96699999999999997</v>
      </c>
      <c r="J99" s="64">
        <f t="shared" si="33"/>
        <v>0.98</v>
      </c>
      <c r="K99" s="64">
        <f t="shared" si="33"/>
        <v>0.98</v>
      </c>
      <c r="L99" s="64">
        <f t="shared" si="33"/>
        <v>1.22</v>
      </c>
      <c r="M99" s="64">
        <f t="shared" si="33"/>
        <v>0.99</v>
      </c>
      <c r="N99" s="64">
        <f t="shared" si="33"/>
        <v>0.99</v>
      </c>
      <c r="O99" s="64">
        <f t="shared" si="33"/>
        <v>1.25</v>
      </c>
      <c r="P99" s="64">
        <f t="shared" si="33"/>
        <v>1.34</v>
      </c>
      <c r="Q99" s="64">
        <f t="shared" si="33"/>
        <v>1.41</v>
      </c>
      <c r="R99" s="64">
        <f t="shared" si="33"/>
        <v>1.4</v>
      </c>
      <c r="S99" s="64">
        <f t="shared" si="33"/>
        <v>1.41</v>
      </c>
      <c r="T99" s="64">
        <f t="shared" si="33"/>
        <v>1.39</v>
      </c>
      <c r="U99" s="64">
        <f t="shared" si="33"/>
        <v>1.38</v>
      </c>
      <c r="V99" s="64">
        <f t="shared" si="33"/>
        <v>1.36</v>
      </c>
      <c r="W99" s="64">
        <f t="shared" si="33"/>
        <v>1.34</v>
      </c>
      <c r="X99" s="64">
        <f t="shared" si="33"/>
        <v>1.18</v>
      </c>
      <c r="Y99" s="64">
        <f t="shared" si="33"/>
        <v>1.42</v>
      </c>
      <c r="Z99" s="64">
        <f t="shared" si="33"/>
        <v>1.5</v>
      </c>
      <c r="AA99" s="64">
        <f t="shared" si="33"/>
        <v>1.4</v>
      </c>
      <c r="AB99" s="64">
        <f t="shared" si="33"/>
        <v>1.24</v>
      </c>
      <c r="AC99" s="64">
        <f t="shared" si="33"/>
        <v>1.05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5">F80</f>
        <v>0.8</v>
      </c>
      <c r="G101" s="64">
        <f t="shared" si="35"/>
        <v>0.75</v>
      </c>
      <c r="H101" s="64">
        <f t="shared" si="35"/>
        <v>0.72</v>
      </c>
      <c r="I101" s="64">
        <f t="shared" si="35"/>
        <v>0.72</v>
      </c>
      <c r="J101" s="64">
        <f t="shared" si="35"/>
        <v>0.7</v>
      </c>
      <c r="K101" s="64">
        <f t="shared" si="35"/>
        <v>0.73</v>
      </c>
      <c r="L101" s="64">
        <f t="shared" si="35"/>
        <v>0.81</v>
      </c>
      <c r="M101" s="64">
        <f t="shared" si="35"/>
        <v>0.71</v>
      </c>
      <c r="N101" s="64">
        <f t="shared" si="35"/>
        <v>0.72</v>
      </c>
      <c r="O101" s="64">
        <f t="shared" si="35"/>
        <v>0.78</v>
      </c>
      <c r="P101" s="64">
        <f t="shared" si="35"/>
        <v>0.77</v>
      </c>
      <c r="Q101" s="64">
        <f t="shared" si="35"/>
        <v>0.75</v>
      </c>
      <c r="R101" s="64">
        <f t="shared" si="35"/>
        <v>0.74</v>
      </c>
      <c r="S101" s="64">
        <f t="shared" si="35"/>
        <v>0.75</v>
      </c>
      <c r="T101" s="64">
        <f t="shared" si="35"/>
        <v>0.78</v>
      </c>
      <c r="U101" s="64">
        <f t="shared" si="35"/>
        <v>0.82</v>
      </c>
      <c r="V101" s="64">
        <f t="shared" si="35"/>
        <v>0.87</v>
      </c>
      <c r="W101" s="64">
        <f t="shared" si="35"/>
        <v>0.89</v>
      </c>
      <c r="X101" s="64">
        <f t="shared" si="35"/>
        <v>0.87</v>
      </c>
      <c r="Y101" s="64">
        <f t="shared" si="35"/>
        <v>0.98</v>
      </c>
      <c r="Z101" s="64">
        <f t="shared" si="35"/>
        <v>1.02</v>
      </c>
      <c r="AA101" s="64">
        <f t="shared" si="35"/>
        <v>0.97</v>
      </c>
      <c r="AB101" s="64">
        <f t="shared" si="35"/>
        <v>0.92</v>
      </c>
      <c r="AC101" s="64">
        <f t="shared" si="35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7">SUM(F89,F91,F93,F96,F98:F102,F81)</f>
        <v>40.999999999999993</v>
      </c>
      <c r="G103" s="61">
        <f t="shared" si="37"/>
        <v>37.51</v>
      </c>
      <c r="H103" s="61">
        <f t="shared" si="37"/>
        <v>35.169999999999995</v>
      </c>
      <c r="I103" s="61">
        <f t="shared" si="37"/>
        <v>34.856999999999999</v>
      </c>
      <c r="J103" s="61">
        <f t="shared" si="37"/>
        <v>35.130000000000003</v>
      </c>
      <c r="K103" s="61">
        <f t="shared" si="37"/>
        <v>37.659999999999997</v>
      </c>
      <c r="L103" s="61">
        <f t="shared" si="37"/>
        <v>42.089999999999996</v>
      </c>
      <c r="M103" s="61">
        <f t="shared" si="37"/>
        <v>38.580000000000005</v>
      </c>
      <c r="N103" s="61">
        <f t="shared" si="37"/>
        <v>44.69</v>
      </c>
      <c r="O103" s="61">
        <f t="shared" si="37"/>
        <v>53.70000000000001</v>
      </c>
      <c r="P103" s="61">
        <f t="shared" si="37"/>
        <v>58.79</v>
      </c>
      <c r="Q103" s="61">
        <f t="shared" si="37"/>
        <v>59.569999999999993</v>
      </c>
      <c r="R103" s="61">
        <f t="shared" si="37"/>
        <v>60.69</v>
      </c>
      <c r="S103" s="61">
        <f t="shared" si="37"/>
        <v>62.859999999999985</v>
      </c>
      <c r="T103" s="61">
        <f t="shared" si="37"/>
        <v>61.069999999999993</v>
      </c>
      <c r="U103" s="61">
        <f t="shared" si="37"/>
        <v>57.03</v>
      </c>
      <c r="V103" s="61">
        <f t="shared" si="37"/>
        <v>57.4</v>
      </c>
      <c r="W103" s="61">
        <f t="shared" si="37"/>
        <v>54.550000000000004</v>
      </c>
      <c r="X103" s="61">
        <f t="shared" si="37"/>
        <v>53.079999999999991</v>
      </c>
      <c r="Y103" s="61">
        <f t="shared" si="37"/>
        <v>59.709999999999994</v>
      </c>
      <c r="Z103" s="61">
        <f t="shared" si="37"/>
        <v>55.419999999999995</v>
      </c>
      <c r="AA103" s="61">
        <f t="shared" si="37"/>
        <v>51.949999999999996</v>
      </c>
      <c r="AB103" s="61">
        <f t="shared" si="37"/>
        <v>48.040000000000006</v>
      </c>
      <c r="AC103" s="61">
        <f t="shared" si="37"/>
        <v>44.730000000000004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</v>
      </c>
      <c r="P107" s="61">
        <f t="shared" si="38"/>
        <v>0</v>
      </c>
      <c r="Q107" s="61">
        <f t="shared" si="38"/>
        <v>0</v>
      </c>
      <c r="R107" s="61">
        <f t="shared" si="38"/>
        <v>0</v>
      </c>
      <c r="S107" s="61">
        <f t="shared" si="38"/>
        <v>0</v>
      </c>
      <c r="T107" s="61">
        <f t="shared" si="38"/>
        <v>0</v>
      </c>
      <c r="U107" s="61">
        <f t="shared" si="38"/>
        <v>0</v>
      </c>
      <c r="V107" s="61">
        <f t="shared" si="38"/>
        <v>0</v>
      </c>
      <c r="W107" s="61">
        <f t="shared" si="38"/>
        <v>0</v>
      </c>
      <c r="X107" s="61">
        <f t="shared" si="38"/>
        <v>0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9">F103+F107</f>
        <v>40.999999999999993</v>
      </c>
      <c r="G108" s="62">
        <f t="shared" si="39"/>
        <v>37.51</v>
      </c>
      <c r="H108" s="62">
        <f t="shared" si="39"/>
        <v>35.169999999999995</v>
      </c>
      <c r="I108" s="62">
        <f t="shared" si="39"/>
        <v>34.856999999999999</v>
      </c>
      <c r="J108" s="62">
        <f t="shared" si="39"/>
        <v>35.130000000000003</v>
      </c>
      <c r="K108" s="62">
        <f t="shared" si="39"/>
        <v>37.659999999999997</v>
      </c>
      <c r="L108" s="62">
        <f t="shared" si="39"/>
        <v>42.089999999999996</v>
      </c>
      <c r="M108" s="62">
        <f t="shared" si="39"/>
        <v>38.580000000000005</v>
      </c>
      <c r="N108" s="62">
        <f t="shared" si="39"/>
        <v>44.69</v>
      </c>
      <c r="O108" s="62">
        <f t="shared" si="39"/>
        <v>53.70000000000001</v>
      </c>
      <c r="P108" s="62">
        <f>P103+P107</f>
        <v>58.79</v>
      </c>
      <c r="Q108" s="62">
        <f t="shared" si="39"/>
        <v>59.569999999999993</v>
      </c>
      <c r="R108" s="62">
        <f t="shared" si="39"/>
        <v>60.69</v>
      </c>
      <c r="S108" s="62">
        <f t="shared" si="39"/>
        <v>62.859999999999985</v>
      </c>
      <c r="T108" s="62">
        <f>T103+T107</f>
        <v>61.069999999999993</v>
      </c>
      <c r="U108" s="62">
        <f t="shared" si="39"/>
        <v>57.03</v>
      </c>
      <c r="V108" s="62">
        <f t="shared" si="39"/>
        <v>57.4</v>
      </c>
      <c r="W108" s="62">
        <f>W103+W107</f>
        <v>54.550000000000004</v>
      </c>
      <c r="X108" s="62">
        <f t="shared" si="39"/>
        <v>53.079999999999991</v>
      </c>
      <c r="Y108" s="62">
        <f t="shared" si="39"/>
        <v>59.709999999999994</v>
      </c>
      <c r="Z108" s="62">
        <f t="shared" si="39"/>
        <v>55.419999999999995</v>
      </c>
      <c r="AA108" s="62">
        <f t="shared" si="39"/>
        <v>51.949999999999996</v>
      </c>
      <c r="AB108" s="62">
        <f t="shared" si="39"/>
        <v>48.040000000000006</v>
      </c>
      <c r="AC108" s="62">
        <f t="shared" si="39"/>
        <v>44.730000000000004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0">(COUNT(F13:F16))*7.2+(COUNT(F27:F28)*4.9)+(COUNT(F19:F21)*4.5)-F91-F93</f>
        <v>1.6000000000000014</v>
      </c>
      <c r="G109" s="63">
        <f t="shared" si="40"/>
        <v>-2.1999999999999993</v>
      </c>
      <c r="H109" s="63">
        <f t="shared" si="40"/>
        <v>0.10000000000000142</v>
      </c>
      <c r="I109" s="63">
        <f t="shared" si="40"/>
        <v>0.40000000000000124</v>
      </c>
      <c r="J109" s="63">
        <f t="shared" si="40"/>
        <v>7.2999999999999989</v>
      </c>
      <c r="K109" s="63">
        <f t="shared" si="40"/>
        <v>9.7000000000000046</v>
      </c>
      <c r="L109" s="63">
        <f t="shared" si="40"/>
        <v>7.0000000000000036</v>
      </c>
      <c r="M109" s="63">
        <f t="shared" si="40"/>
        <v>8.8000000000000025</v>
      </c>
      <c r="N109" s="63">
        <f t="shared" si="40"/>
        <v>11.700000000000006</v>
      </c>
      <c r="O109" s="63">
        <f t="shared" si="40"/>
        <v>12.450000000000003</v>
      </c>
      <c r="P109" s="63">
        <f t="shared" si="40"/>
        <v>9.5000000000000036</v>
      </c>
      <c r="Q109" s="63">
        <f t="shared" si="40"/>
        <v>13.700000000000006</v>
      </c>
      <c r="R109" s="63">
        <f t="shared" si="40"/>
        <v>9.0999999999999979</v>
      </c>
      <c r="S109" s="63">
        <f t="shared" si="40"/>
        <v>3.2000000000000064</v>
      </c>
      <c r="T109" s="63">
        <f t="shared" si="40"/>
        <v>3.5000000000000036</v>
      </c>
      <c r="U109" s="63">
        <f t="shared" si="40"/>
        <v>1.9000000000000004</v>
      </c>
      <c r="V109" s="63">
        <f t="shared" si="40"/>
        <v>3.6299999999999972</v>
      </c>
      <c r="W109" s="63">
        <f t="shared" si="40"/>
        <v>5.5</v>
      </c>
      <c r="X109" s="63">
        <f t="shared" si="40"/>
        <v>7.2000000000000028</v>
      </c>
      <c r="Y109" s="63">
        <f t="shared" si="40"/>
        <v>4.3000000000000007</v>
      </c>
      <c r="Z109" s="63">
        <f t="shared" si="40"/>
        <v>5.7000000000000028</v>
      </c>
      <c r="AA109" s="63">
        <f t="shared" si="40"/>
        <v>6.2000000000000028</v>
      </c>
      <c r="AB109" s="63">
        <f t="shared" si="40"/>
        <v>6.8999999999999986</v>
      </c>
      <c r="AC109" s="63">
        <f t="shared" si="40"/>
        <v>2.3999999999999986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0.20000000000000284</v>
      </c>
      <c r="G110" s="205">
        <f t="shared" si="41"/>
        <v>-3.5999999999999996</v>
      </c>
      <c r="H110" s="205">
        <f t="shared" si="41"/>
        <v>-4.7999999999999989</v>
      </c>
      <c r="I110" s="205">
        <f t="shared" si="41"/>
        <v>-4.4999999999999991</v>
      </c>
      <c r="J110" s="205">
        <f t="shared" si="41"/>
        <v>-4.8000000000000007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-2.3999999999999986</v>
      </c>
      <c r="L110" s="205">
        <f t="shared" si="41"/>
        <v>-5.0999999999999996</v>
      </c>
      <c r="M110" s="205">
        <f t="shared" si="41"/>
        <v>-3.2999999999999989</v>
      </c>
      <c r="N110" s="205">
        <f t="shared" si="41"/>
        <v>-3.4000000000000004</v>
      </c>
      <c r="O110" s="205">
        <f t="shared" si="41"/>
        <v>-5.0000000000000711E-2</v>
      </c>
      <c r="P110" s="205">
        <f t="shared" si="41"/>
        <v>-1.2999999999999998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1.9000000000000039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1.7999999999999989</v>
      </c>
      <c r="S110" s="205">
        <f t="shared" si="42"/>
        <v>-4.4999999999999973</v>
      </c>
      <c r="T110" s="205">
        <f t="shared" si="42"/>
        <v>-4.2</v>
      </c>
      <c r="U110" s="205">
        <f t="shared" si="42"/>
        <v>-2.9999999999999982</v>
      </c>
      <c r="V110" s="205">
        <f t="shared" si="42"/>
        <v>-2.2700000000000014</v>
      </c>
      <c r="W110" s="205">
        <f t="shared" si="42"/>
        <v>0.60000000000000142</v>
      </c>
      <c r="X110" s="205">
        <f t="shared" si="42"/>
        <v>1.9000000000000039</v>
      </c>
      <c r="Y110" s="205">
        <f t="shared" si="42"/>
        <v>-2.9999999999999973</v>
      </c>
      <c r="Z110" s="205">
        <f t="shared" si="42"/>
        <v>0</v>
      </c>
      <c r="AA110" s="205">
        <f t="shared" si="42"/>
        <v>-0.19999999999999574</v>
      </c>
      <c r="AB110" s="205">
        <f t="shared" si="42"/>
        <v>-1</v>
      </c>
      <c r="AC110" s="205">
        <f t="shared" si="42"/>
        <v>-2.5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60.16</v>
      </c>
      <c r="G111" s="456">
        <v>60.06</v>
      </c>
      <c r="H111" s="456">
        <v>60.13</v>
      </c>
      <c r="I111" s="456">
        <v>60.09</v>
      </c>
      <c r="J111" s="456">
        <v>60.09</v>
      </c>
      <c r="K111" s="456">
        <v>60.05</v>
      </c>
      <c r="L111" s="456">
        <v>60</v>
      </c>
      <c r="M111" s="456">
        <v>60.21</v>
      </c>
      <c r="N111" s="456">
        <v>60.14</v>
      </c>
      <c r="O111" s="456">
        <v>60.01</v>
      </c>
      <c r="P111" s="457">
        <v>60.09</v>
      </c>
      <c r="Q111" s="457">
        <v>60.08</v>
      </c>
      <c r="R111" s="457">
        <v>60.15</v>
      </c>
      <c r="S111" s="457">
        <v>60.22</v>
      </c>
      <c r="T111" s="457">
        <v>60.1</v>
      </c>
      <c r="U111" s="456">
        <v>60.18</v>
      </c>
      <c r="V111" s="456">
        <v>60.09</v>
      </c>
      <c r="W111" s="456">
        <v>60.2</v>
      </c>
      <c r="X111" s="456">
        <v>60.22</v>
      </c>
      <c r="Y111" s="456">
        <v>60.07</v>
      </c>
      <c r="Z111" s="456">
        <v>60.13</v>
      </c>
      <c r="AA111" s="456">
        <v>60.16</v>
      </c>
      <c r="AB111" s="456">
        <v>60.17</v>
      </c>
      <c r="AC111" s="456">
        <v>60.16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/>
      <c r="M115" s="520"/>
      <c r="N115" s="520"/>
      <c r="O115" s="520"/>
      <c r="P115" s="520"/>
      <c r="Q115" s="520"/>
      <c r="R115" s="520"/>
      <c r="S115" s="520"/>
      <c r="T115" s="520"/>
      <c r="U115" s="520"/>
      <c r="V115" s="520"/>
      <c r="W115" s="520"/>
      <c r="X115" s="520"/>
      <c r="Y115" s="520"/>
      <c r="Z115" s="520"/>
      <c r="AA115" s="520"/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5752" priority="594" operator="greaterThan">
      <formula>60.3</formula>
    </cfRule>
  </conditionalFormatting>
  <conditionalFormatting sqref="F111">
    <cfRule type="cellIs" dxfId="15751" priority="593" operator="greaterThan">
      <formula>60.3</formula>
    </cfRule>
  </conditionalFormatting>
  <conditionalFormatting sqref="H13:J13 N13:O13 D42:E42 H36:J59 L13 N36:AC39 N57:AC59 O14:O16 L51:M51 L36:L50 L52:L59 P13:AC16 I15:N16 H62:L64 P47:AC56 P40:AC40 N41:AC46 P62:AC64">
    <cfRule type="cellIs" dxfId="15750" priority="585" operator="equal">
      <formula>"PMS"</formula>
    </cfRule>
    <cfRule type="containsText" dxfId="15749" priority="586" operator="containsText" text="CMS">
      <formula>NOT(ISERROR(SEARCH("CMS",D13)))</formula>
    </cfRule>
    <cfRule type="cellIs" dxfId="15748" priority="587" operator="equal">
      <formula>0</formula>
    </cfRule>
    <cfRule type="cellIs" dxfId="15747" priority="588" operator="greaterThan">
      <formula>0</formula>
    </cfRule>
    <cfRule type="cellIs" dxfId="15746" priority="589" operator="equal">
      <formula>"PMS"</formula>
    </cfRule>
    <cfRule type="containsText" dxfId="15745" priority="590" operator="containsText" text="CMS">
      <formula>NOT(ISERROR(SEARCH("CMS",D13)))</formula>
    </cfRule>
    <cfRule type="cellIs" dxfId="15744" priority="591" operator="equal">
      <formula>0</formula>
    </cfRule>
    <cfRule type="cellIs" dxfId="15743" priority="592" operator="greaterThan">
      <formula>0</formula>
    </cfRule>
  </conditionalFormatting>
  <conditionalFormatting sqref="H13:J13 N13:O13 D42:E42 H36:J59 L13 N36:AC39 N57:AC59 O14:O16 L51:M51 L36:L50 L52:L59 P13:AC16 I15:N16 H62:L64 P47:AC56 P40:AC40 N41:AC46 P62:AC64">
    <cfRule type="cellIs" dxfId="15742" priority="581" operator="equal">
      <formula>"PMS"</formula>
    </cfRule>
    <cfRule type="containsText" dxfId="15741" priority="582" operator="containsText" text="CMS">
      <formula>NOT(ISERROR(SEARCH("CMS",D13)))</formula>
    </cfRule>
    <cfRule type="cellIs" dxfId="15740" priority="583" operator="equal">
      <formula>0</formula>
    </cfRule>
    <cfRule type="cellIs" dxfId="15739" priority="584" operator="greaterThan">
      <formula>0</formula>
    </cfRule>
  </conditionalFormatting>
  <conditionalFormatting sqref="G67:AC75">
    <cfRule type="cellIs" dxfId="15738" priority="573" operator="equal">
      <formula>"PMS"</formula>
    </cfRule>
    <cfRule type="containsText" dxfId="15737" priority="574" operator="containsText" text="CMS">
      <formula>NOT(ISERROR(SEARCH("CMS",G67)))</formula>
    </cfRule>
    <cfRule type="cellIs" dxfId="15736" priority="575" operator="equal">
      <formula>0</formula>
    </cfRule>
    <cfRule type="cellIs" dxfId="15735" priority="576" operator="greaterThan">
      <formula>0</formula>
    </cfRule>
    <cfRule type="cellIs" dxfId="15734" priority="577" operator="equal">
      <formula>"PMS"</formula>
    </cfRule>
    <cfRule type="containsText" dxfId="15733" priority="578" operator="containsText" text="CMS">
      <formula>NOT(ISERROR(SEARCH("CMS",G67)))</formula>
    </cfRule>
    <cfRule type="cellIs" dxfId="15732" priority="579" operator="equal">
      <formula>0</formula>
    </cfRule>
    <cfRule type="cellIs" dxfId="15731" priority="580" operator="greaterThan">
      <formula>0</formula>
    </cfRule>
  </conditionalFormatting>
  <conditionalFormatting sqref="G67:AC75">
    <cfRule type="cellIs" dxfId="15730" priority="569" operator="equal">
      <formula>"PMS"</formula>
    </cfRule>
    <cfRule type="containsText" dxfId="15729" priority="570" operator="containsText" text="CMS">
      <formula>NOT(ISERROR(SEARCH("CMS",G67)))</formula>
    </cfRule>
    <cfRule type="cellIs" dxfId="15728" priority="571" operator="equal">
      <formula>0</formula>
    </cfRule>
    <cfRule type="cellIs" dxfId="15727" priority="572" operator="greaterThan">
      <formula>0</formula>
    </cfRule>
  </conditionalFormatting>
  <conditionalFormatting sqref="G82:AC82">
    <cfRule type="cellIs" dxfId="15726" priority="561" operator="equal">
      <formula>"PMS"</formula>
    </cfRule>
    <cfRule type="containsText" dxfId="15725" priority="562" operator="containsText" text="CMS">
      <formula>NOT(ISERROR(SEARCH("CMS",G82)))</formula>
    </cfRule>
    <cfRule type="cellIs" dxfId="15724" priority="563" operator="equal">
      <formula>0</formula>
    </cfRule>
    <cfRule type="cellIs" dxfId="15723" priority="564" operator="greaterThan">
      <formula>0</formula>
    </cfRule>
    <cfRule type="cellIs" dxfId="15722" priority="565" operator="equal">
      <formula>"PMS"</formula>
    </cfRule>
    <cfRule type="containsText" dxfId="15721" priority="566" operator="containsText" text="CMS">
      <formula>NOT(ISERROR(SEARCH("CMS",G82)))</formula>
    </cfRule>
    <cfRule type="cellIs" dxfId="15720" priority="567" operator="equal">
      <formula>0</formula>
    </cfRule>
    <cfRule type="cellIs" dxfId="15719" priority="568" operator="greaterThan">
      <formula>0</formula>
    </cfRule>
  </conditionalFormatting>
  <conditionalFormatting sqref="G82:AC82">
    <cfRule type="cellIs" dxfId="15718" priority="557" operator="equal">
      <formula>"PMS"</formula>
    </cfRule>
    <cfRule type="containsText" dxfId="15717" priority="558" operator="containsText" text="CMS">
      <formula>NOT(ISERROR(SEARCH("CMS",G82)))</formula>
    </cfRule>
    <cfRule type="cellIs" dxfId="15716" priority="559" operator="equal">
      <formula>0</formula>
    </cfRule>
    <cfRule type="cellIs" dxfId="15715" priority="560" operator="greaterThan">
      <formula>0</formula>
    </cfRule>
  </conditionalFormatting>
  <conditionalFormatting sqref="I14 M14:N14">
    <cfRule type="cellIs" dxfId="15714" priority="549" operator="equal">
      <formula>"PMS"</formula>
    </cfRule>
    <cfRule type="containsText" dxfId="15713" priority="550" operator="containsText" text="CMS">
      <formula>NOT(ISERROR(SEARCH("CMS",I14)))</formula>
    </cfRule>
    <cfRule type="cellIs" dxfId="15712" priority="551" operator="equal">
      <formula>0</formula>
    </cfRule>
    <cfRule type="cellIs" dxfId="15711" priority="552" operator="greaterThan">
      <formula>0</formula>
    </cfRule>
    <cfRule type="cellIs" dxfId="15710" priority="553" operator="equal">
      <formula>"PMS"</formula>
    </cfRule>
    <cfRule type="containsText" dxfId="15709" priority="554" operator="containsText" text="CMS">
      <formula>NOT(ISERROR(SEARCH("CMS",I14)))</formula>
    </cfRule>
    <cfRule type="cellIs" dxfId="15708" priority="555" operator="equal">
      <formula>0</formula>
    </cfRule>
    <cfRule type="cellIs" dxfId="15707" priority="556" operator="greaterThan">
      <formula>0</formula>
    </cfRule>
  </conditionalFormatting>
  <conditionalFormatting sqref="I14 M14:N14">
    <cfRule type="cellIs" dxfId="15706" priority="545" operator="equal">
      <formula>"PMS"</formula>
    </cfRule>
    <cfRule type="containsText" dxfId="15705" priority="546" operator="containsText" text="CMS">
      <formula>NOT(ISERROR(SEARCH("CMS",I14)))</formula>
    </cfRule>
    <cfRule type="cellIs" dxfId="15704" priority="547" operator="equal">
      <formula>0</formula>
    </cfRule>
    <cfRule type="cellIs" dxfId="15703" priority="548" operator="greaterThan">
      <formula>0</formula>
    </cfRule>
  </conditionalFormatting>
  <conditionalFormatting sqref="G13">
    <cfRule type="cellIs" dxfId="15702" priority="537" operator="equal">
      <formula>"PMS"</formula>
    </cfRule>
    <cfRule type="containsText" dxfId="15701" priority="538" operator="containsText" text="CMS">
      <formula>NOT(ISERROR(SEARCH("CMS",G13)))</formula>
    </cfRule>
    <cfRule type="cellIs" dxfId="15700" priority="539" operator="equal">
      <formula>0</formula>
    </cfRule>
    <cfRule type="cellIs" dxfId="15699" priority="540" operator="greaterThan">
      <formula>0</formula>
    </cfRule>
    <cfRule type="cellIs" dxfId="15698" priority="541" operator="equal">
      <formula>"PMS"</formula>
    </cfRule>
    <cfRule type="containsText" dxfId="15697" priority="542" operator="containsText" text="CMS">
      <formula>NOT(ISERROR(SEARCH("CMS",G13)))</formula>
    </cfRule>
    <cfRule type="cellIs" dxfId="15696" priority="543" operator="equal">
      <formula>0</formula>
    </cfRule>
    <cfRule type="cellIs" dxfId="15695" priority="544" operator="greaterThan">
      <formula>0</formula>
    </cfRule>
  </conditionalFormatting>
  <conditionalFormatting sqref="G13">
    <cfRule type="cellIs" dxfId="15694" priority="533" operator="equal">
      <formula>"PMS"</formula>
    </cfRule>
    <cfRule type="containsText" dxfId="15693" priority="534" operator="containsText" text="CMS">
      <formula>NOT(ISERROR(SEARCH("CMS",G13)))</formula>
    </cfRule>
    <cfRule type="cellIs" dxfId="15692" priority="535" operator="equal">
      <formula>0</formula>
    </cfRule>
    <cfRule type="cellIs" dxfId="15691" priority="536" operator="greaterThan">
      <formula>0</formula>
    </cfRule>
  </conditionalFormatting>
  <conditionalFormatting sqref="M13">
    <cfRule type="cellIs" dxfId="15690" priority="525" operator="equal">
      <formula>"PMS"</formula>
    </cfRule>
    <cfRule type="containsText" dxfId="15689" priority="526" operator="containsText" text="CMS">
      <formula>NOT(ISERROR(SEARCH("CMS",M13)))</formula>
    </cfRule>
    <cfRule type="cellIs" dxfId="15688" priority="527" operator="equal">
      <formula>0</formula>
    </cfRule>
    <cfRule type="cellIs" dxfId="15687" priority="528" operator="greaterThan">
      <formula>0</formula>
    </cfRule>
    <cfRule type="cellIs" dxfId="15686" priority="529" operator="equal">
      <formula>"PMS"</formula>
    </cfRule>
    <cfRule type="containsText" dxfId="15685" priority="530" operator="containsText" text="CMS">
      <formula>NOT(ISERROR(SEARCH("CMS",M13)))</formula>
    </cfRule>
    <cfRule type="cellIs" dxfId="15684" priority="531" operator="equal">
      <formula>0</formula>
    </cfRule>
    <cfRule type="cellIs" dxfId="15683" priority="532" operator="greaterThan">
      <formula>0</formula>
    </cfRule>
  </conditionalFormatting>
  <conditionalFormatting sqref="M13">
    <cfRule type="cellIs" dxfId="15682" priority="521" operator="equal">
      <formula>"PMS"</formula>
    </cfRule>
    <cfRule type="containsText" dxfId="15681" priority="522" operator="containsText" text="CMS">
      <formula>NOT(ISERROR(SEARCH("CMS",M13)))</formula>
    </cfRule>
    <cfRule type="cellIs" dxfId="15680" priority="523" operator="equal">
      <formula>0</formula>
    </cfRule>
    <cfRule type="cellIs" dxfId="15679" priority="524" operator="greaterThan">
      <formula>0</formula>
    </cfRule>
  </conditionalFormatting>
  <conditionalFormatting sqref="K13">
    <cfRule type="cellIs" dxfId="15678" priority="513" operator="equal">
      <formula>"PMS"</formula>
    </cfRule>
    <cfRule type="containsText" dxfId="15677" priority="514" operator="containsText" text="CMS">
      <formula>NOT(ISERROR(SEARCH("CMS",K13)))</formula>
    </cfRule>
    <cfRule type="cellIs" dxfId="15676" priority="515" operator="equal">
      <formula>0</formula>
    </cfRule>
    <cfRule type="cellIs" dxfId="15675" priority="516" operator="greaterThan">
      <formula>0</formula>
    </cfRule>
    <cfRule type="cellIs" dxfId="15674" priority="517" operator="equal">
      <formula>"PMS"</formula>
    </cfRule>
    <cfRule type="containsText" dxfId="15673" priority="518" operator="containsText" text="CMS">
      <formula>NOT(ISERROR(SEARCH("CMS",K13)))</formula>
    </cfRule>
    <cfRule type="cellIs" dxfId="15672" priority="519" operator="equal">
      <formula>0</formula>
    </cfRule>
    <cfRule type="cellIs" dxfId="15671" priority="520" operator="greaterThan">
      <formula>0</formula>
    </cfRule>
  </conditionalFormatting>
  <conditionalFormatting sqref="K13">
    <cfRule type="cellIs" dxfId="15670" priority="509" operator="equal">
      <formula>"PMS"</formula>
    </cfRule>
    <cfRule type="containsText" dxfId="15669" priority="510" operator="containsText" text="CMS">
      <formula>NOT(ISERROR(SEARCH("CMS",K13)))</formula>
    </cfRule>
    <cfRule type="cellIs" dxfId="15668" priority="511" operator="equal">
      <formula>0</formula>
    </cfRule>
    <cfRule type="cellIs" dxfId="15667" priority="512" operator="greaterThan">
      <formula>0</formula>
    </cfRule>
  </conditionalFormatting>
  <conditionalFormatting sqref="G113:AC113">
    <cfRule type="cellIs" dxfId="15666" priority="508" operator="greaterThan">
      <formula>60.3</formula>
    </cfRule>
  </conditionalFormatting>
  <conditionalFormatting sqref="H112:M112">
    <cfRule type="cellIs" dxfId="15665" priority="507" operator="greaterThan">
      <formula>60.3</formula>
    </cfRule>
  </conditionalFormatting>
  <conditionalFormatting sqref="F112:G112">
    <cfRule type="cellIs" dxfId="15664" priority="506" operator="greaterThan">
      <formula>60.3</formula>
    </cfRule>
  </conditionalFormatting>
  <conditionalFormatting sqref="N112:AC112">
    <cfRule type="cellIs" dxfId="15663" priority="505" operator="greaterThan">
      <formula>60.3</formula>
    </cfRule>
  </conditionalFormatting>
  <conditionalFormatting sqref="G15:G16">
    <cfRule type="cellIs" dxfId="15662" priority="497" operator="equal">
      <formula>"PMS"</formula>
    </cfRule>
    <cfRule type="containsText" dxfId="15661" priority="498" operator="containsText" text="CMS">
      <formula>NOT(ISERROR(SEARCH("CMS",G15)))</formula>
    </cfRule>
    <cfRule type="cellIs" dxfId="15660" priority="499" operator="equal">
      <formula>0</formula>
    </cfRule>
    <cfRule type="cellIs" dxfId="15659" priority="500" operator="greaterThan">
      <formula>0</formula>
    </cfRule>
    <cfRule type="cellIs" dxfId="15658" priority="501" operator="equal">
      <formula>"PMS"</formula>
    </cfRule>
    <cfRule type="containsText" dxfId="15657" priority="502" operator="containsText" text="CMS">
      <formula>NOT(ISERROR(SEARCH("CMS",G15)))</formula>
    </cfRule>
    <cfRule type="cellIs" dxfId="15656" priority="503" operator="equal">
      <formula>0</formula>
    </cfRule>
    <cfRule type="cellIs" dxfId="15655" priority="504" operator="greaterThan">
      <formula>0</formula>
    </cfRule>
  </conditionalFormatting>
  <conditionalFormatting sqref="G15:G16">
    <cfRule type="cellIs" dxfId="15654" priority="493" operator="equal">
      <formula>"PMS"</formula>
    </cfRule>
    <cfRule type="containsText" dxfId="15653" priority="494" operator="containsText" text="CMS">
      <formula>NOT(ISERROR(SEARCH("CMS",G15)))</formula>
    </cfRule>
    <cfRule type="cellIs" dxfId="15652" priority="495" operator="equal">
      <formula>0</formula>
    </cfRule>
    <cfRule type="cellIs" dxfId="15651" priority="496" operator="greaterThan">
      <formula>0</formula>
    </cfRule>
  </conditionalFormatting>
  <conditionalFormatting sqref="H14 H16">
    <cfRule type="cellIs" dxfId="15650" priority="485" operator="equal">
      <formula>"PMS"</formula>
    </cfRule>
    <cfRule type="containsText" dxfId="15649" priority="486" operator="containsText" text="CMS">
      <formula>NOT(ISERROR(SEARCH("CMS",H14)))</formula>
    </cfRule>
    <cfRule type="cellIs" dxfId="15648" priority="487" operator="equal">
      <formula>0</formula>
    </cfRule>
    <cfRule type="cellIs" dxfId="15647" priority="488" operator="greaterThan">
      <formula>0</formula>
    </cfRule>
    <cfRule type="cellIs" dxfId="15646" priority="489" operator="equal">
      <formula>"PMS"</formula>
    </cfRule>
    <cfRule type="containsText" dxfId="15645" priority="490" operator="containsText" text="CMS">
      <formula>NOT(ISERROR(SEARCH("CMS",H14)))</formula>
    </cfRule>
    <cfRule type="cellIs" dxfId="15644" priority="491" operator="equal">
      <formula>0</formula>
    </cfRule>
    <cfRule type="cellIs" dxfId="15643" priority="492" operator="greaterThan">
      <formula>0</formula>
    </cfRule>
  </conditionalFormatting>
  <conditionalFormatting sqref="H14 H16">
    <cfRule type="cellIs" dxfId="15642" priority="481" operator="equal">
      <formula>"PMS"</formula>
    </cfRule>
    <cfRule type="containsText" dxfId="15641" priority="482" operator="containsText" text="CMS">
      <formula>NOT(ISERROR(SEARCH("CMS",H14)))</formula>
    </cfRule>
    <cfRule type="cellIs" dxfId="15640" priority="483" operator="equal">
      <formula>0</formula>
    </cfRule>
    <cfRule type="cellIs" dxfId="15639" priority="484" operator="greaterThan">
      <formula>0</formula>
    </cfRule>
  </conditionalFormatting>
  <conditionalFormatting sqref="G36:G38 G57:G59">
    <cfRule type="cellIs" dxfId="15638" priority="473" operator="equal">
      <formula>"PMS"</formula>
    </cfRule>
    <cfRule type="containsText" dxfId="15637" priority="474" operator="containsText" text="CMS">
      <formula>NOT(ISERROR(SEARCH("CMS",G36)))</formula>
    </cfRule>
    <cfRule type="cellIs" dxfId="15636" priority="475" operator="equal">
      <formula>0</formula>
    </cfRule>
    <cfRule type="cellIs" dxfId="15635" priority="476" operator="greaterThan">
      <formula>0</formula>
    </cfRule>
    <cfRule type="cellIs" dxfId="15634" priority="477" operator="equal">
      <formula>"PMS"</formula>
    </cfRule>
    <cfRule type="containsText" dxfId="15633" priority="478" operator="containsText" text="CMS">
      <formula>NOT(ISERROR(SEARCH("CMS",G36)))</formula>
    </cfRule>
    <cfRule type="cellIs" dxfId="15632" priority="479" operator="equal">
      <formula>0</formula>
    </cfRule>
    <cfRule type="cellIs" dxfId="15631" priority="480" operator="greaterThan">
      <formula>0</formula>
    </cfRule>
  </conditionalFormatting>
  <conditionalFormatting sqref="G36:G38 G57:G59">
    <cfRule type="cellIs" dxfId="15630" priority="469" operator="equal">
      <formula>"PMS"</formula>
    </cfRule>
    <cfRule type="containsText" dxfId="15629" priority="470" operator="containsText" text="CMS">
      <formula>NOT(ISERROR(SEARCH("CMS",G36)))</formula>
    </cfRule>
    <cfRule type="cellIs" dxfId="15628" priority="471" operator="equal">
      <formula>0</formula>
    </cfRule>
    <cfRule type="cellIs" dxfId="15627" priority="472" operator="greaterThan">
      <formula>0</formula>
    </cfRule>
  </conditionalFormatting>
  <conditionalFormatting sqref="M36:M38 M57:M59">
    <cfRule type="cellIs" dxfId="15626" priority="461" operator="equal">
      <formula>"PMS"</formula>
    </cfRule>
    <cfRule type="containsText" dxfId="15625" priority="462" operator="containsText" text="CMS">
      <formula>NOT(ISERROR(SEARCH("CMS",M36)))</formula>
    </cfRule>
    <cfRule type="cellIs" dxfId="15624" priority="463" operator="equal">
      <formula>0</formula>
    </cfRule>
    <cfRule type="cellIs" dxfId="15623" priority="464" operator="greaterThan">
      <formula>0</formula>
    </cfRule>
    <cfRule type="cellIs" dxfId="15622" priority="465" operator="equal">
      <formula>"PMS"</formula>
    </cfRule>
    <cfRule type="containsText" dxfId="15621" priority="466" operator="containsText" text="CMS">
      <formula>NOT(ISERROR(SEARCH("CMS",M36)))</formula>
    </cfRule>
    <cfRule type="cellIs" dxfId="15620" priority="467" operator="equal">
      <formula>0</formula>
    </cfRule>
    <cfRule type="cellIs" dxfId="15619" priority="468" operator="greaterThan">
      <formula>0</formula>
    </cfRule>
  </conditionalFormatting>
  <conditionalFormatting sqref="M36:M38 M57:M59">
    <cfRule type="cellIs" dxfId="15618" priority="457" operator="equal">
      <formula>"PMS"</formula>
    </cfRule>
    <cfRule type="containsText" dxfId="15617" priority="458" operator="containsText" text="CMS">
      <formula>NOT(ISERROR(SEARCH("CMS",M36)))</formula>
    </cfRule>
    <cfRule type="cellIs" dxfId="15616" priority="459" operator="equal">
      <formula>0</formula>
    </cfRule>
    <cfRule type="cellIs" dxfId="15615" priority="460" operator="greaterThan">
      <formula>0</formula>
    </cfRule>
  </conditionalFormatting>
  <conditionalFormatting sqref="K36:K38 K57:K59">
    <cfRule type="cellIs" dxfId="15614" priority="449" operator="equal">
      <formula>"PMS"</formula>
    </cfRule>
    <cfRule type="containsText" dxfId="15613" priority="450" operator="containsText" text="CMS">
      <formula>NOT(ISERROR(SEARCH("CMS",K36)))</formula>
    </cfRule>
    <cfRule type="cellIs" dxfId="15612" priority="451" operator="equal">
      <formula>0</formula>
    </cfRule>
    <cfRule type="cellIs" dxfId="15611" priority="452" operator="greaterThan">
      <formula>0</formula>
    </cfRule>
    <cfRule type="cellIs" dxfId="15610" priority="453" operator="equal">
      <formula>"PMS"</formula>
    </cfRule>
    <cfRule type="containsText" dxfId="15609" priority="454" operator="containsText" text="CMS">
      <formula>NOT(ISERROR(SEARCH("CMS",K36)))</formula>
    </cfRule>
    <cfRule type="cellIs" dxfId="15608" priority="455" operator="equal">
      <formula>0</formula>
    </cfRule>
    <cfRule type="cellIs" dxfId="15607" priority="456" operator="greaterThan">
      <formula>0</formula>
    </cfRule>
  </conditionalFormatting>
  <conditionalFormatting sqref="K36:K38 K57:K59">
    <cfRule type="cellIs" dxfId="15606" priority="445" operator="equal">
      <formula>"PMS"</formula>
    </cfRule>
    <cfRule type="containsText" dxfId="15605" priority="446" operator="containsText" text="CMS">
      <formula>NOT(ISERROR(SEARCH("CMS",K36)))</formula>
    </cfRule>
    <cfRule type="cellIs" dxfId="15604" priority="447" operator="equal">
      <formula>0</formula>
    </cfRule>
    <cfRule type="cellIs" dxfId="15603" priority="448" operator="greaterThan">
      <formula>0</formula>
    </cfRule>
  </conditionalFormatting>
  <conditionalFormatting sqref="K14:L14">
    <cfRule type="cellIs" dxfId="15602" priority="437" operator="equal">
      <formula>"PMS"</formula>
    </cfRule>
    <cfRule type="containsText" dxfId="15601" priority="438" operator="containsText" text="CMS">
      <formula>NOT(ISERROR(SEARCH("CMS",K14)))</formula>
    </cfRule>
    <cfRule type="cellIs" dxfId="15600" priority="439" operator="equal">
      <formula>0</formula>
    </cfRule>
    <cfRule type="cellIs" dxfId="15599" priority="440" operator="greaterThan">
      <formula>0</formula>
    </cfRule>
    <cfRule type="cellIs" dxfId="15598" priority="441" operator="equal">
      <formula>"PMS"</formula>
    </cfRule>
    <cfRule type="containsText" dxfId="15597" priority="442" operator="containsText" text="CMS">
      <formula>NOT(ISERROR(SEARCH("CMS",K14)))</formula>
    </cfRule>
    <cfRule type="cellIs" dxfId="15596" priority="443" operator="equal">
      <formula>0</formula>
    </cfRule>
    <cfRule type="cellIs" dxfId="15595" priority="444" operator="greaterThan">
      <formula>0</formula>
    </cfRule>
  </conditionalFormatting>
  <conditionalFormatting sqref="K14:L14">
    <cfRule type="cellIs" dxfId="15594" priority="433" operator="equal">
      <formula>"PMS"</formula>
    </cfRule>
    <cfRule type="containsText" dxfId="15593" priority="434" operator="containsText" text="CMS">
      <formula>NOT(ISERROR(SEARCH("CMS",K14)))</formula>
    </cfRule>
    <cfRule type="cellIs" dxfId="15592" priority="435" operator="equal">
      <formula>0</formula>
    </cfRule>
    <cfRule type="cellIs" dxfId="15591" priority="436" operator="greaterThan">
      <formula>0</formula>
    </cfRule>
  </conditionalFormatting>
  <conditionalFormatting sqref="G49 G52:G55">
    <cfRule type="cellIs" dxfId="15590" priority="425" operator="equal">
      <formula>"PMS"</formula>
    </cfRule>
    <cfRule type="containsText" dxfId="15589" priority="426" operator="containsText" text="CMS">
      <formula>NOT(ISERROR(SEARCH("CMS",G49)))</formula>
    </cfRule>
    <cfRule type="cellIs" dxfId="15588" priority="427" operator="equal">
      <formula>0</formula>
    </cfRule>
    <cfRule type="cellIs" dxfId="15587" priority="428" operator="greaterThan">
      <formula>0</formula>
    </cfRule>
    <cfRule type="cellIs" dxfId="15586" priority="429" operator="equal">
      <formula>"PMS"</formula>
    </cfRule>
    <cfRule type="containsText" dxfId="15585" priority="430" operator="containsText" text="CMS">
      <formula>NOT(ISERROR(SEARCH("CMS",G49)))</formula>
    </cfRule>
    <cfRule type="cellIs" dxfId="15584" priority="431" operator="equal">
      <formula>0</formula>
    </cfRule>
    <cfRule type="cellIs" dxfId="15583" priority="432" operator="greaterThan">
      <formula>0</formula>
    </cfRule>
  </conditionalFormatting>
  <conditionalFormatting sqref="G49 G52:G55">
    <cfRule type="cellIs" dxfId="15582" priority="421" operator="equal">
      <formula>"PMS"</formula>
    </cfRule>
    <cfRule type="containsText" dxfId="15581" priority="422" operator="containsText" text="CMS">
      <formula>NOT(ISERROR(SEARCH("CMS",G49)))</formula>
    </cfRule>
    <cfRule type="cellIs" dxfId="15580" priority="423" operator="equal">
      <formula>0</formula>
    </cfRule>
    <cfRule type="cellIs" dxfId="15579" priority="424" operator="greaterThan">
      <formula>0</formula>
    </cfRule>
  </conditionalFormatting>
  <conditionalFormatting sqref="M49:N49 M52:M55">
    <cfRule type="cellIs" dxfId="15578" priority="413" operator="equal">
      <formula>"PMS"</formula>
    </cfRule>
    <cfRule type="containsText" dxfId="15577" priority="414" operator="containsText" text="CMS">
      <formula>NOT(ISERROR(SEARCH("CMS",M49)))</formula>
    </cfRule>
    <cfRule type="cellIs" dxfId="15576" priority="415" operator="equal">
      <formula>0</formula>
    </cfRule>
    <cfRule type="cellIs" dxfId="15575" priority="416" operator="greaterThan">
      <formula>0</formula>
    </cfRule>
    <cfRule type="cellIs" dxfId="15574" priority="417" operator="equal">
      <formula>"PMS"</formula>
    </cfRule>
    <cfRule type="containsText" dxfId="15573" priority="418" operator="containsText" text="CMS">
      <formula>NOT(ISERROR(SEARCH("CMS",M49)))</formula>
    </cfRule>
    <cfRule type="cellIs" dxfId="15572" priority="419" operator="equal">
      <formula>0</formula>
    </cfRule>
    <cfRule type="cellIs" dxfId="15571" priority="420" operator="greaterThan">
      <formula>0</formula>
    </cfRule>
  </conditionalFormatting>
  <conditionalFormatting sqref="M49:N49 M52:M55">
    <cfRule type="cellIs" dxfId="15570" priority="409" operator="equal">
      <formula>"PMS"</formula>
    </cfRule>
    <cfRule type="containsText" dxfId="15569" priority="410" operator="containsText" text="CMS">
      <formula>NOT(ISERROR(SEARCH("CMS",M49)))</formula>
    </cfRule>
    <cfRule type="cellIs" dxfId="15568" priority="411" operator="equal">
      <formula>0</formula>
    </cfRule>
    <cfRule type="cellIs" dxfId="15567" priority="412" operator="greaterThan">
      <formula>0</formula>
    </cfRule>
  </conditionalFormatting>
  <conditionalFormatting sqref="K49 K52:K55">
    <cfRule type="cellIs" dxfId="15566" priority="401" operator="equal">
      <formula>"PMS"</formula>
    </cfRule>
    <cfRule type="containsText" dxfId="15565" priority="402" operator="containsText" text="CMS">
      <formula>NOT(ISERROR(SEARCH("CMS",K49)))</formula>
    </cfRule>
    <cfRule type="cellIs" dxfId="15564" priority="403" operator="equal">
      <formula>0</formula>
    </cfRule>
    <cfRule type="cellIs" dxfId="15563" priority="404" operator="greaterThan">
      <formula>0</formula>
    </cfRule>
    <cfRule type="cellIs" dxfId="15562" priority="405" operator="equal">
      <formula>"PMS"</formula>
    </cfRule>
    <cfRule type="containsText" dxfId="15561" priority="406" operator="containsText" text="CMS">
      <formula>NOT(ISERROR(SEARCH("CMS",K49)))</formula>
    </cfRule>
    <cfRule type="cellIs" dxfId="15560" priority="407" operator="equal">
      <formula>0</formula>
    </cfRule>
    <cfRule type="cellIs" dxfId="15559" priority="408" operator="greaterThan">
      <formula>0</formula>
    </cfRule>
  </conditionalFormatting>
  <conditionalFormatting sqref="K49 K52:K55">
    <cfRule type="cellIs" dxfId="15558" priority="397" operator="equal">
      <formula>"PMS"</formula>
    </cfRule>
    <cfRule type="containsText" dxfId="15557" priority="398" operator="containsText" text="CMS">
      <formula>NOT(ISERROR(SEARCH("CMS",K49)))</formula>
    </cfRule>
    <cfRule type="cellIs" dxfId="15556" priority="399" operator="equal">
      <formula>0</formula>
    </cfRule>
    <cfRule type="cellIs" dxfId="15555" priority="400" operator="greaterThan">
      <formula>0</formula>
    </cfRule>
  </conditionalFormatting>
  <conditionalFormatting sqref="H33:J33 L33 L27:L30 H24:J24 H19:J20 L20:L21 V28:AC28 M21 Q28 N28:P29 N33:AC33 P30 Q29:AC30 H27:J30 H21:K21 K19:M19 M30:N30 H79:J79 L24:AC24 L79:N79 O78:AC79 S28:T28 N19:AC21">
    <cfRule type="cellIs" dxfId="15554" priority="389" operator="equal">
      <formula>"PMS"</formula>
    </cfRule>
    <cfRule type="containsText" dxfId="15553" priority="390" operator="containsText" text="CMS">
      <formula>NOT(ISERROR(SEARCH("CMS",H19)))</formula>
    </cfRule>
    <cfRule type="cellIs" dxfId="15552" priority="391" operator="equal">
      <formula>0</formula>
    </cfRule>
    <cfRule type="cellIs" dxfId="15551" priority="392" operator="greaterThan">
      <formula>0</formula>
    </cfRule>
    <cfRule type="cellIs" dxfId="15550" priority="393" operator="equal">
      <formula>"PMS"</formula>
    </cfRule>
    <cfRule type="containsText" dxfId="15549" priority="394" operator="containsText" text="CMS">
      <formula>NOT(ISERROR(SEARCH("CMS",H19)))</formula>
    </cfRule>
    <cfRule type="cellIs" dxfId="15548" priority="395" operator="equal">
      <formula>0</formula>
    </cfRule>
    <cfRule type="cellIs" dxfId="15547" priority="396" operator="greaterThan">
      <formula>0</formula>
    </cfRule>
  </conditionalFormatting>
  <conditionalFormatting sqref="H33:J33 L33 L27:L30 H24:J24 H19:J20 L20:L21 V28:AC28 M21 Q28 N28:P29 N33:AC33 P30 Q29:AC30 H27:J30 H21:K21 K19:M19 M30:N30 H79:J79 L24:AC24 L79:N79 O78:AC79 S28:T28 N19:AC21">
    <cfRule type="cellIs" dxfId="15546" priority="385" operator="equal">
      <formula>"PMS"</formula>
    </cfRule>
    <cfRule type="containsText" dxfId="15545" priority="386" operator="containsText" text="CMS">
      <formula>NOT(ISERROR(SEARCH("CMS",H19)))</formula>
    </cfRule>
    <cfRule type="cellIs" dxfId="15544" priority="387" operator="equal">
      <formula>0</formula>
    </cfRule>
    <cfRule type="cellIs" dxfId="15543" priority="388" operator="greaterThan">
      <formula>0</formula>
    </cfRule>
  </conditionalFormatting>
  <conditionalFormatting sqref="G33 G27:G30 G24 G39:G48 G50:G51 G56 G19:G21 G79">
    <cfRule type="cellIs" dxfId="15542" priority="377" operator="equal">
      <formula>"PMS"</formula>
    </cfRule>
    <cfRule type="containsText" dxfId="15541" priority="378" operator="containsText" text="CMS">
      <formula>NOT(ISERROR(SEARCH("CMS",G19)))</formula>
    </cfRule>
    <cfRule type="cellIs" dxfId="15540" priority="379" operator="equal">
      <formula>0</formula>
    </cfRule>
    <cfRule type="cellIs" dxfId="15539" priority="380" operator="greaterThan">
      <formula>0</formula>
    </cfRule>
    <cfRule type="cellIs" dxfId="15538" priority="381" operator="equal">
      <formula>"PMS"</formula>
    </cfRule>
    <cfRule type="containsText" dxfId="15537" priority="382" operator="containsText" text="CMS">
      <formula>NOT(ISERROR(SEARCH("CMS",G19)))</formula>
    </cfRule>
    <cfRule type="cellIs" dxfId="15536" priority="383" operator="equal">
      <formula>0</formula>
    </cfRule>
    <cfRule type="cellIs" dxfId="15535" priority="384" operator="greaterThan">
      <formula>0</formula>
    </cfRule>
  </conditionalFormatting>
  <conditionalFormatting sqref="G33 G27:G30 G24 G39:G48 G50:G51 G56 G19:G21 G79">
    <cfRule type="cellIs" dxfId="15534" priority="373" operator="equal">
      <formula>"PMS"</formula>
    </cfRule>
    <cfRule type="containsText" dxfId="15533" priority="374" operator="containsText" text="CMS">
      <formula>NOT(ISERROR(SEARCH("CMS",G19)))</formula>
    </cfRule>
    <cfRule type="cellIs" dxfId="15532" priority="375" operator="equal">
      <formula>0</formula>
    </cfRule>
    <cfRule type="cellIs" dxfId="15531" priority="376" operator="greaterThan">
      <formula>0</formula>
    </cfRule>
  </conditionalFormatting>
  <conditionalFormatting sqref="M39:M48 M33 M27:M29 M20 AB27:AC27 N27:Q27 N47 M50 M56 N51:N55 M62:M64 N78 S27:X27">
    <cfRule type="cellIs" dxfId="15530" priority="365" operator="equal">
      <formula>"PMS"</formula>
    </cfRule>
    <cfRule type="containsText" dxfId="15529" priority="366" operator="containsText" text="CMS">
      <formula>NOT(ISERROR(SEARCH("CMS",M20)))</formula>
    </cfRule>
    <cfRule type="cellIs" dxfId="15528" priority="367" operator="equal">
      <formula>0</formula>
    </cfRule>
    <cfRule type="cellIs" dxfId="15527" priority="368" operator="greaterThan">
      <formula>0</formula>
    </cfRule>
    <cfRule type="cellIs" dxfId="15526" priority="369" operator="equal">
      <formula>"PMS"</formula>
    </cfRule>
    <cfRule type="containsText" dxfId="15525" priority="370" operator="containsText" text="CMS">
      <formula>NOT(ISERROR(SEARCH("CMS",M20)))</formula>
    </cfRule>
    <cfRule type="cellIs" dxfId="15524" priority="371" operator="equal">
      <formula>0</formula>
    </cfRule>
    <cfRule type="cellIs" dxfId="15523" priority="372" operator="greaterThan">
      <formula>0</formula>
    </cfRule>
  </conditionalFormatting>
  <conditionalFormatting sqref="M39:M48 M33 M27:M29 M20 AB27:AC27 N27:Q27 N47 M50 M56 N51:N55 M62:M64 N78 S27:X27">
    <cfRule type="cellIs" dxfId="15522" priority="361" operator="equal">
      <formula>"PMS"</formula>
    </cfRule>
    <cfRule type="containsText" dxfId="15521" priority="362" operator="containsText" text="CMS">
      <formula>NOT(ISERROR(SEARCH("CMS",M20)))</formula>
    </cfRule>
    <cfRule type="cellIs" dxfId="15520" priority="363" operator="equal">
      <formula>0</formula>
    </cfRule>
    <cfRule type="cellIs" dxfId="15519" priority="364" operator="greaterThan">
      <formula>0</formula>
    </cfRule>
  </conditionalFormatting>
  <conditionalFormatting sqref="K56 K50:K51 K39:K48 K33 K27 K24 K20 K29:K30 K79">
    <cfRule type="cellIs" dxfId="15518" priority="353" operator="equal">
      <formula>"PMS"</formula>
    </cfRule>
    <cfRule type="containsText" dxfId="15517" priority="354" operator="containsText" text="CMS">
      <formula>NOT(ISERROR(SEARCH("CMS",K20)))</formula>
    </cfRule>
    <cfRule type="cellIs" dxfId="15516" priority="355" operator="equal">
      <formula>0</formula>
    </cfRule>
    <cfRule type="cellIs" dxfId="15515" priority="356" operator="greaterThan">
      <formula>0</formula>
    </cfRule>
    <cfRule type="cellIs" dxfId="15514" priority="357" operator="equal">
      <formula>"PMS"</formula>
    </cfRule>
    <cfRule type="containsText" dxfId="15513" priority="358" operator="containsText" text="CMS">
      <formula>NOT(ISERROR(SEARCH("CMS",K20)))</formula>
    </cfRule>
    <cfRule type="cellIs" dxfId="15512" priority="359" operator="equal">
      <formula>0</formula>
    </cfRule>
    <cfRule type="cellIs" dxfId="15511" priority="360" operator="greaterThan">
      <formula>0</formula>
    </cfRule>
  </conditionalFormatting>
  <conditionalFormatting sqref="K56 K50:K51 K39:K48 K33 K27 K24 K20 K29:K30 K79">
    <cfRule type="cellIs" dxfId="15510" priority="349" operator="equal">
      <formula>"PMS"</formula>
    </cfRule>
    <cfRule type="containsText" dxfId="15509" priority="350" operator="containsText" text="CMS">
      <formula>NOT(ISERROR(SEARCH("CMS",K20)))</formula>
    </cfRule>
    <cfRule type="cellIs" dxfId="15508" priority="351" operator="equal">
      <formula>0</formula>
    </cfRule>
    <cfRule type="cellIs" dxfId="15507" priority="352" operator="greaterThan">
      <formula>0</formula>
    </cfRule>
  </conditionalFormatting>
  <conditionalFormatting sqref="K28">
    <cfRule type="cellIs" dxfId="15506" priority="341" operator="equal">
      <formula>"PMS"</formula>
    </cfRule>
    <cfRule type="containsText" dxfId="15505" priority="342" operator="containsText" text="CMS">
      <formula>NOT(ISERROR(SEARCH("CMS",K28)))</formula>
    </cfRule>
    <cfRule type="cellIs" dxfId="15504" priority="343" operator="equal">
      <formula>0</formula>
    </cfRule>
    <cfRule type="cellIs" dxfId="15503" priority="344" operator="greaterThan">
      <formula>0</formula>
    </cfRule>
    <cfRule type="cellIs" dxfId="15502" priority="345" operator="equal">
      <formula>"PMS"</formula>
    </cfRule>
    <cfRule type="containsText" dxfId="15501" priority="346" operator="containsText" text="CMS">
      <formula>NOT(ISERROR(SEARCH("CMS",K28)))</formula>
    </cfRule>
    <cfRule type="cellIs" dxfId="15500" priority="347" operator="equal">
      <formula>0</formula>
    </cfRule>
    <cfRule type="cellIs" dxfId="15499" priority="348" operator="greaterThan">
      <formula>0</formula>
    </cfRule>
  </conditionalFormatting>
  <conditionalFormatting sqref="K28">
    <cfRule type="cellIs" dxfId="15498" priority="337" operator="equal">
      <formula>"PMS"</formula>
    </cfRule>
    <cfRule type="containsText" dxfId="15497" priority="338" operator="containsText" text="CMS">
      <formula>NOT(ISERROR(SEARCH("CMS",K28)))</formula>
    </cfRule>
    <cfRule type="cellIs" dxfId="15496" priority="339" operator="equal">
      <formula>0</formula>
    </cfRule>
    <cfRule type="cellIs" dxfId="15495" priority="340" operator="greaterThan">
      <formula>0</formula>
    </cfRule>
  </conditionalFormatting>
  <conditionalFormatting sqref="N62:O62 O63:O64">
    <cfRule type="cellIs" dxfId="15494" priority="329" operator="equal">
      <formula>"PMS"</formula>
    </cfRule>
    <cfRule type="containsText" dxfId="15493" priority="330" operator="containsText" text="CMS">
      <formula>NOT(ISERROR(SEARCH("CMS",N62)))</formula>
    </cfRule>
    <cfRule type="cellIs" dxfId="15492" priority="331" operator="equal">
      <formula>0</formula>
    </cfRule>
    <cfRule type="cellIs" dxfId="15491" priority="332" operator="greaterThan">
      <formula>0</formula>
    </cfRule>
    <cfRule type="cellIs" dxfId="15490" priority="333" operator="equal">
      <formula>"PMS"</formula>
    </cfRule>
    <cfRule type="containsText" dxfId="15489" priority="334" operator="containsText" text="CMS">
      <formula>NOT(ISERROR(SEARCH("CMS",N62)))</formula>
    </cfRule>
    <cfRule type="cellIs" dxfId="15488" priority="335" operator="equal">
      <formula>0</formula>
    </cfRule>
    <cfRule type="cellIs" dxfId="15487" priority="336" operator="greaterThan">
      <formula>0</formula>
    </cfRule>
  </conditionalFormatting>
  <conditionalFormatting sqref="N62:O62 O63:O64">
    <cfRule type="cellIs" dxfId="15486" priority="325" operator="equal">
      <formula>"PMS"</formula>
    </cfRule>
    <cfRule type="containsText" dxfId="15485" priority="326" operator="containsText" text="CMS">
      <formula>NOT(ISERROR(SEARCH("CMS",N62)))</formula>
    </cfRule>
    <cfRule type="cellIs" dxfId="15484" priority="327" operator="equal">
      <formula>0</formula>
    </cfRule>
    <cfRule type="cellIs" dxfId="15483" priority="328" operator="greaterThan">
      <formula>0</formula>
    </cfRule>
  </conditionalFormatting>
  <conditionalFormatting sqref="J14">
    <cfRule type="cellIs" dxfId="15482" priority="317" operator="equal">
      <formula>"PMS"</formula>
    </cfRule>
    <cfRule type="containsText" dxfId="15481" priority="318" operator="containsText" text="CMS">
      <formula>NOT(ISERROR(SEARCH("CMS",J14)))</formula>
    </cfRule>
    <cfRule type="cellIs" dxfId="15480" priority="319" operator="equal">
      <formula>0</formula>
    </cfRule>
    <cfRule type="cellIs" dxfId="15479" priority="320" operator="greaterThan">
      <formula>0</formula>
    </cfRule>
    <cfRule type="cellIs" dxfId="15478" priority="321" operator="equal">
      <formula>"PMS"</formula>
    </cfRule>
    <cfRule type="containsText" dxfId="15477" priority="322" operator="containsText" text="CMS">
      <formula>NOT(ISERROR(SEARCH("CMS",J14)))</formula>
    </cfRule>
    <cfRule type="cellIs" dxfId="15476" priority="323" operator="equal">
      <formula>0</formula>
    </cfRule>
    <cfRule type="cellIs" dxfId="15475" priority="324" operator="greaterThan">
      <formula>0</formula>
    </cfRule>
  </conditionalFormatting>
  <conditionalFormatting sqref="J14">
    <cfRule type="cellIs" dxfId="15474" priority="313" operator="equal">
      <formula>"PMS"</formula>
    </cfRule>
    <cfRule type="containsText" dxfId="15473" priority="314" operator="containsText" text="CMS">
      <formula>NOT(ISERROR(SEARCH("CMS",J14)))</formula>
    </cfRule>
    <cfRule type="cellIs" dxfId="15472" priority="315" operator="equal">
      <formula>0</formula>
    </cfRule>
    <cfRule type="cellIs" dxfId="15471" priority="316" operator="greaterThan">
      <formula>0</formula>
    </cfRule>
  </conditionalFormatting>
  <conditionalFormatting sqref="U28">
    <cfRule type="cellIs" dxfId="15470" priority="305" operator="equal">
      <formula>"PMS"</formula>
    </cfRule>
    <cfRule type="containsText" dxfId="15469" priority="306" operator="containsText" text="CMS">
      <formula>NOT(ISERROR(SEARCH("CMS",U28)))</formula>
    </cfRule>
    <cfRule type="cellIs" dxfId="15468" priority="307" operator="equal">
      <formula>0</formula>
    </cfRule>
    <cfRule type="cellIs" dxfId="15467" priority="308" operator="greaterThan">
      <formula>0</formula>
    </cfRule>
    <cfRule type="cellIs" dxfId="15466" priority="309" operator="equal">
      <formula>"PMS"</formula>
    </cfRule>
    <cfRule type="containsText" dxfId="15465" priority="310" operator="containsText" text="CMS">
      <formula>NOT(ISERROR(SEARCH("CMS",U28)))</formula>
    </cfRule>
    <cfRule type="cellIs" dxfId="15464" priority="311" operator="equal">
      <formula>0</formula>
    </cfRule>
    <cfRule type="cellIs" dxfId="15463" priority="312" operator="greaterThan">
      <formula>0</formula>
    </cfRule>
  </conditionalFormatting>
  <conditionalFormatting sqref="U28">
    <cfRule type="cellIs" dxfId="15462" priority="301" operator="equal">
      <formula>"PMS"</formula>
    </cfRule>
    <cfRule type="containsText" dxfId="15461" priority="302" operator="containsText" text="CMS">
      <formula>NOT(ISERROR(SEARCH("CMS",U28)))</formula>
    </cfRule>
    <cfRule type="cellIs" dxfId="15460" priority="303" operator="equal">
      <formula>0</formula>
    </cfRule>
    <cfRule type="cellIs" dxfId="15459" priority="304" operator="greaterThan">
      <formula>0</formula>
    </cfRule>
  </conditionalFormatting>
  <conditionalFormatting sqref="Y27:AA27">
    <cfRule type="cellIs" dxfId="15458" priority="293" operator="equal">
      <formula>"PMS"</formula>
    </cfRule>
    <cfRule type="containsText" dxfId="15457" priority="294" operator="containsText" text="CMS">
      <formula>NOT(ISERROR(SEARCH("CMS",Y27)))</formula>
    </cfRule>
    <cfRule type="cellIs" dxfId="15456" priority="295" operator="equal">
      <formula>0</formula>
    </cfRule>
    <cfRule type="cellIs" dxfId="15455" priority="296" operator="greaterThan">
      <formula>0</formula>
    </cfRule>
    <cfRule type="cellIs" dxfId="15454" priority="297" operator="equal">
      <formula>"PMS"</formula>
    </cfRule>
    <cfRule type="containsText" dxfId="15453" priority="298" operator="containsText" text="CMS">
      <formula>NOT(ISERROR(SEARCH("CMS",Y27)))</formula>
    </cfRule>
    <cfRule type="cellIs" dxfId="15452" priority="299" operator="equal">
      <formula>0</formula>
    </cfRule>
    <cfRule type="cellIs" dxfId="15451" priority="300" operator="greaterThan">
      <formula>0</formula>
    </cfRule>
  </conditionalFormatting>
  <conditionalFormatting sqref="Y27:AA27">
    <cfRule type="cellIs" dxfId="15450" priority="289" operator="equal">
      <formula>"PMS"</formula>
    </cfRule>
    <cfRule type="containsText" dxfId="15449" priority="290" operator="containsText" text="CMS">
      <formula>NOT(ISERROR(SEARCH("CMS",Y27)))</formula>
    </cfRule>
    <cfRule type="cellIs" dxfId="15448" priority="291" operator="equal">
      <formula>0</formula>
    </cfRule>
    <cfRule type="cellIs" dxfId="15447" priority="292" operator="greaterThan">
      <formula>0</formula>
    </cfRule>
  </conditionalFormatting>
  <conditionalFormatting sqref="G62:G64">
    <cfRule type="cellIs" dxfId="15446" priority="281" operator="equal">
      <formula>"PMS"</formula>
    </cfRule>
    <cfRule type="containsText" dxfId="15445" priority="282" operator="containsText" text="CMS">
      <formula>NOT(ISERROR(SEARCH("CMS",G62)))</formula>
    </cfRule>
    <cfRule type="cellIs" dxfId="15444" priority="283" operator="equal">
      <formula>0</formula>
    </cfRule>
    <cfRule type="cellIs" dxfId="15443" priority="284" operator="greaterThan">
      <formula>0</formula>
    </cfRule>
    <cfRule type="cellIs" dxfId="15442" priority="285" operator="equal">
      <formula>"PMS"</formula>
    </cfRule>
    <cfRule type="containsText" dxfId="15441" priority="286" operator="containsText" text="CMS">
      <formula>NOT(ISERROR(SEARCH("CMS",G62)))</formula>
    </cfRule>
    <cfRule type="cellIs" dxfId="15440" priority="287" operator="equal">
      <formula>0</formula>
    </cfRule>
    <cfRule type="cellIs" dxfId="15439" priority="288" operator="greaterThan">
      <formula>0</formula>
    </cfRule>
  </conditionalFormatting>
  <conditionalFormatting sqref="G62:G64">
    <cfRule type="cellIs" dxfId="15438" priority="277" operator="equal">
      <formula>"PMS"</formula>
    </cfRule>
    <cfRule type="containsText" dxfId="15437" priority="278" operator="containsText" text="CMS">
      <formula>NOT(ISERROR(SEARCH("CMS",G62)))</formula>
    </cfRule>
    <cfRule type="cellIs" dxfId="15436" priority="279" operator="equal">
      <formula>0</formula>
    </cfRule>
    <cfRule type="cellIs" dxfId="15435" priority="280" operator="greaterThan">
      <formula>0</formula>
    </cfRule>
  </conditionalFormatting>
  <conditionalFormatting sqref="N40">
    <cfRule type="cellIs" dxfId="15434" priority="269" operator="equal">
      <formula>"PMS"</formula>
    </cfRule>
    <cfRule type="containsText" dxfId="15433" priority="270" operator="containsText" text="CMS">
      <formula>NOT(ISERROR(SEARCH("CMS",N40)))</formula>
    </cfRule>
    <cfRule type="cellIs" dxfId="15432" priority="271" operator="equal">
      <formula>0</formula>
    </cfRule>
    <cfRule type="cellIs" dxfId="15431" priority="272" operator="greaterThan">
      <formula>0</formula>
    </cfRule>
    <cfRule type="cellIs" dxfId="15430" priority="273" operator="equal">
      <formula>"PMS"</formula>
    </cfRule>
    <cfRule type="containsText" dxfId="15429" priority="274" operator="containsText" text="CMS">
      <formula>NOT(ISERROR(SEARCH("CMS",N40)))</formula>
    </cfRule>
    <cfRule type="cellIs" dxfId="15428" priority="275" operator="equal">
      <formula>0</formula>
    </cfRule>
    <cfRule type="cellIs" dxfId="15427" priority="276" operator="greaterThan">
      <formula>0</formula>
    </cfRule>
  </conditionalFormatting>
  <conditionalFormatting sqref="N40">
    <cfRule type="cellIs" dxfId="15426" priority="265" operator="equal">
      <formula>"PMS"</formula>
    </cfRule>
    <cfRule type="containsText" dxfId="15425" priority="266" operator="containsText" text="CMS">
      <formula>NOT(ISERROR(SEARCH("CMS",N40)))</formula>
    </cfRule>
    <cfRule type="cellIs" dxfId="15424" priority="267" operator="equal">
      <formula>0</formula>
    </cfRule>
    <cfRule type="cellIs" dxfId="15423" priority="268" operator="greaterThan">
      <formula>0</formula>
    </cfRule>
  </conditionalFormatting>
  <conditionalFormatting sqref="O30">
    <cfRule type="cellIs" dxfId="15422" priority="257" operator="equal">
      <formula>"PMS"</formula>
    </cfRule>
    <cfRule type="containsText" dxfId="15421" priority="258" operator="containsText" text="CMS">
      <formula>NOT(ISERROR(SEARCH("CMS",O30)))</formula>
    </cfRule>
    <cfRule type="cellIs" dxfId="15420" priority="259" operator="equal">
      <formula>0</formula>
    </cfRule>
    <cfRule type="cellIs" dxfId="15419" priority="260" operator="greaterThan">
      <formula>0</formula>
    </cfRule>
    <cfRule type="cellIs" dxfId="15418" priority="261" operator="equal">
      <formula>"PMS"</formula>
    </cfRule>
    <cfRule type="containsText" dxfId="15417" priority="262" operator="containsText" text="CMS">
      <formula>NOT(ISERROR(SEARCH("CMS",O30)))</formula>
    </cfRule>
    <cfRule type="cellIs" dxfId="15416" priority="263" operator="equal">
      <formula>0</formula>
    </cfRule>
    <cfRule type="cellIs" dxfId="15415" priority="264" operator="greaterThan">
      <formula>0</formula>
    </cfRule>
  </conditionalFormatting>
  <conditionalFormatting sqref="O30">
    <cfRule type="cellIs" dxfId="15414" priority="253" operator="equal">
      <formula>"PMS"</formula>
    </cfRule>
    <cfRule type="containsText" dxfId="15413" priority="254" operator="containsText" text="CMS">
      <formula>NOT(ISERROR(SEARCH("CMS",O30)))</formula>
    </cfRule>
    <cfRule type="cellIs" dxfId="15412" priority="255" operator="equal">
      <formula>0</formula>
    </cfRule>
    <cfRule type="cellIs" dxfId="15411" priority="256" operator="greaterThan">
      <formula>0</formula>
    </cfRule>
  </conditionalFormatting>
  <conditionalFormatting sqref="O47:O56">
    <cfRule type="cellIs" dxfId="15410" priority="245" operator="equal">
      <formula>"PMS"</formula>
    </cfRule>
    <cfRule type="containsText" dxfId="15409" priority="246" operator="containsText" text="CMS">
      <formula>NOT(ISERROR(SEARCH("CMS",O47)))</formula>
    </cfRule>
    <cfRule type="cellIs" dxfId="15408" priority="247" operator="equal">
      <formula>0</formula>
    </cfRule>
    <cfRule type="cellIs" dxfId="15407" priority="248" operator="greaterThan">
      <formula>0</formula>
    </cfRule>
    <cfRule type="cellIs" dxfId="15406" priority="249" operator="equal">
      <formula>"PMS"</formula>
    </cfRule>
    <cfRule type="containsText" dxfId="15405" priority="250" operator="containsText" text="CMS">
      <formula>NOT(ISERROR(SEARCH("CMS",O47)))</formula>
    </cfRule>
    <cfRule type="cellIs" dxfId="15404" priority="251" operator="equal">
      <formula>0</formula>
    </cfRule>
    <cfRule type="cellIs" dxfId="15403" priority="252" operator="greaterThan">
      <formula>0</formula>
    </cfRule>
  </conditionalFormatting>
  <conditionalFormatting sqref="O47:O56">
    <cfRule type="cellIs" dxfId="15402" priority="241" operator="equal">
      <formula>"PMS"</formula>
    </cfRule>
    <cfRule type="containsText" dxfId="15401" priority="242" operator="containsText" text="CMS">
      <formula>NOT(ISERROR(SEARCH("CMS",O47)))</formula>
    </cfRule>
    <cfRule type="cellIs" dxfId="15400" priority="243" operator="equal">
      <formula>0</formula>
    </cfRule>
    <cfRule type="cellIs" dxfId="15399" priority="244" operator="greaterThan">
      <formula>0</formula>
    </cfRule>
  </conditionalFormatting>
  <conditionalFormatting sqref="F82">
    <cfRule type="cellIs" dxfId="15398" priority="233" operator="equal">
      <formula>"PMS"</formula>
    </cfRule>
    <cfRule type="containsText" dxfId="15397" priority="234" operator="containsText" text="CMS">
      <formula>NOT(ISERROR(SEARCH("CMS",F82)))</formula>
    </cfRule>
    <cfRule type="cellIs" dxfId="15396" priority="235" operator="equal">
      <formula>0</formula>
    </cfRule>
    <cfRule type="cellIs" dxfId="15395" priority="236" operator="greaterThan">
      <formula>0</formula>
    </cfRule>
    <cfRule type="cellIs" dxfId="15394" priority="237" operator="equal">
      <formula>"PMS"</formula>
    </cfRule>
    <cfRule type="containsText" dxfId="15393" priority="238" operator="containsText" text="CMS">
      <formula>NOT(ISERROR(SEARCH("CMS",F82)))</formula>
    </cfRule>
    <cfRule type="cellIs" dxfId="15392" priority="239" operator="equal">
      <formula>0</formula>
    </cfRule>
    <cfRule type="cellIs" dxfId="15391" priority="240" operator="greaterThan">
      <formula>0</formula>
    </cfRule>
  </conditionalFormatting>
  <conditionalFormatting sqref="F82">
    <cfRule type="cellIs" dxfId="15390" priority="229" operator="equal">
      <formula>"PMS"</formula>
    </cfRule>
    <cfRule type="containsText" dxfId="15389" priority="230" operator="containsText" text="CMS">
      <formula>NOT(ISERROR(SEARCH("CMS",F82)))</formula>
    </cfRule>
    <cfRule type="cellIs" dxfId="15388" priority="231" operator="equal">
      <formula>0</formula>
    </cfRule>
    <cfRule type="cellIs" dxfId="15387" priority="232" operator="greaterThan">
      <formula>0</formula>
    </cfRule>
  </conditionalFormatting>
  <conditionalFormatting sqref="H15">
    <cfRule type="cellIs" dxfId="15386" priority="221" operator="equal">
      <formula>"PMS"</formula>
    </cfRule>
    <cfRule type="containsText" dxfId="15385" priority="222" operator="containsText" text="CMS">
      <formula>NOT(ISERROR(SEARCH("CMS",H15)))</formula>
    </cfRule>
    <cfRule type="cellIs" dxfId="15384" priority="223" operator="equal">
      <formula>0</formula>
    </cfRule>
    <cfRule type="cellIs" dxfId="15383" priority="224" operator="greaterThan">
      <formula>0</formula>
    </cfRule>
    <cfRule type="cellIs" dxfId="15382" priority="225" operator="equal">
      <formula>"PMS"</formula>
    </cfRule>
    <cfRule type="containsText" dxfId="15381" priority="226" operator="containsText" text="CMS">
      <formula>NOT(ISERROR(SEARCH("CMS",H15)))</formula>
    </cfRule>
    <cfRule type="cellIs" dxfId="15380" priority="227" operator="equal">
      <formula>0</formula>
    </cfRule>
    <cfRule type="cellIs" dxfId="15379" priority="228" operator="greaterThan">
      <formula>0</formula>
    </cfRule>
  </conditionalFormatting>
  <conditionalFormatting sqref="H15">
    <cfRule type="cellIs" dxfId="15378" priority="217" operator="equal">
      <formula>"PMS"</formula>
    </cfRule>
    <cfRule type="containsText" dxfId="15377" priority="218" operator="containsText" text="CMS">
      <formula>NOT(ISERROR(SEARCH("CMS",H15)))</formula>
    </cfRule>
    <cfRule type="cellIs" dxfId="15376" priority="219" operator="equal">
      <formula>0</formula>
    </cfRule>
    <cfRule type="cellIs" dxfId="15375" priority="220" operator="greaterThan">
      <formula>0</formula>
    </cfRule>
  </conditionalFormatting>
  <conditionalFormatting sqref="G14">
    <cfRule type="cellIs" dxfId="15374" priority="209" operator="equal">
      <formula>"PMS"</formula>
    </cfRule>
    <cfRule type="containsText" dxfId="15373" priority="210" operator="containsText" text="CMS">
      <formula>NOT(ISERROR(SEARCH("CMS",G14)))</formula>
    </cfRule>
    <cfRule type="cellIs" dxfId="15372" priority="211" operator="equal">
      <formula>0</formula>
    </cfRule>
    <cfRule type="cellIs" dxfId="15371" priority="212" operator="greaterThan">
      <formula>0</formula>
    </cfRule>
    <cfRule type="cellIs" dxfId="15370" priority="213" operator="equal">
      <formula>"PMS"</formula>
    </cfRule>
    <cfRule type="containsText" dxfId="15369" priority="214" operator="containsText" text="CMS">
      <formula>NOT(ISERROR(SEARCH("CMS",G14)))</formula>
    </cfRule>
    <cfRule type="cellIs" dxfId="15368" priority="215" operator="equal">
      <formula>0</formula>
    </cfRule>
    <cfRule type="cellIs" dxfId="15367" priority="216" operator="greaterThan">
      <formula>0</formula>
    </cfRule>
  </conditionalFormatting>
  <conditionalFormatting sqref="G14">
    <cfRule type="cellIs" dxfId="15366" priority="205" operator="equal">
      <formula>"PMS"</formula>
    </cfRule>
    <cfRule type="containsText" dxfId="15365" priority="206" operator="containsText" text="CMS">
      <formula>NOT(ISERROR(SEARCH("CMS",G14)))</formula>
    </cfRule>
    <cfRule type="cellIs" dxfId="15364" priority="207" operator="equal">
      <formula>0</formula>
    </cfRule>
    <cfRule type="cellIs" dxfId="15363" priority="208" operator="greaterThan">
      <formula>0</formula>
    </cfRule>
  </conditionalFormatting>
  <conditionalFormatting sqref="N48">
    <cfRule type="cellIs" dxfId="15362" priority="197" operator="equal">
      <formula>"PMS"</formula>
    </cfRule>
    <cfRule type="containsText" dxfId="15361" priority="198" operator="containsText" text="CMS">
      <formula>NOT(ISERROR(SEARCH("CMS",N48)))</formula>
    </cfRule>
    <cfRule type="cellIs" dxfId="15360" priority="199" operator="equal">
      <formula>0</formula>
    </cfRule>
    <cfRule type="cellIs" dxfId="15359" priority="200" operator="greaterThan">
      <formula>0</formula>
    </cfRule>
    <cfRule type="cellIs" dxfId="15358" priority="201" operator="equal">
      <formula>"PMS"</formula>
    </cfRule>
    <cfRule type="containsText" dxfId="15357" priority="202" operator="containsText" text="CMS">
      <formula>NOT(ISERROR(SEARCH("CMS",N48)))</formula>
    </cfRule>
    <cfRule type="cellIs" dxfId="15356" priority="203" operator="equal">
      <formula>0</formula>
    </cfRule>
    <cfRule type="cellIs" dxfId="15355" priority="204" operator="greaterThan">
      <formula>0</formula>
    </cfRule>
  </conditionalFormatting>
  <conditionalFormatting sqref="N48">
    <cfRule type="cellIs" dxfId="15354" priority="193" operator="equal">
      <formula>"PMS"</formula>
    </cfRule>
    <cfRule type="containsText" dxfId="15353" priority="194" operator="containsText" text="CMS">
      <formula>NOT(ISERROR(SEARCH("CMS",N48)))</formula>
    </cfRule>
    <cfRule type="cellIs" dxfId="15352" priority="195" operator="equal">
      <formula>0</formula>
    </cfRule>
    <cfRule type="cellIs" dxfId="15351" priority="196" operator="greaterThan">
      <formula>0</formula>
    </cfRule>
  </conditionalFormatting>
  <conditionalFormatting sqref="N50">
    <cfRule type="cellIs" dxfId="15350" priority="185" operator="equal">
      <formula>"PMS"</formula>
    </cfRule>
    <cfRule type="containsText" dxfId="15349" priority="186" operator="containsText" text="CMS">
      <formula>NOT(ISERROR(SEARCH("CMS",N50)))</formula>
    </cfRule>
    <cfRule type="cellIs" dxfId="15348" priority="187" operator="equal">
      <formula>0</formula>
    </cfRule>
    <cfRule type="cellIs" dxfId="15347" priority="188" operator="greaterThan">
      <formula>0</formula>
    </cfRule>
    <cfRule type="cellIs" dxfId="15346" priority="189" operator="equal">
      <formula>"PMS"</formula>
    </cfRule>
    <cfRule type="containsText" dxfId="15345" priority="190" operator="containsText" text="CMS">
      <formula>NOT(ISERROR(SEARCH("CMS",N50)))</formula>
    </cfRule>
    <cfRule type="cellIs" dxfId="15344" priority="191" operator="equal">
      <formula>0</formula>
    </cfRule>
    <cfRule type="cellIs" dxfId="15343" priority="192" operator="greaterThan">
      <formula>0</formula>
    </cfRule>
  </conditionalFormatting>
  <conditionalFormatting sqref="N50">
    <cfRule type="cellIs" dxfId="15342" priority="181" operator="equal">
      <formula>"PMS"</formula>
    </cfRule>
    <cfRule type="containsText" dxfId="15341" priority="182" operator="containsText" text="CMS">
      <formula>NOT(ISERROR(SEARCH("CMS",N50)))</formula>
    </cfRule>
    <cfRule type="cellIs" dxfId="15340" priority="183" operator="equal">
      <formula>0</formula>
    </cfRule>
    <cfRule type="cellIs" dxfId="15339" priority="184" operator="greaterThan">
      <formula>0</formula>
    </cfRule>
  </conditionalFormatting>
  <conditionalFormatting sqref="N56">
    <cfRule type="cellIs" dxfId="15338" priority="173" operator="equal">
      <formula>"PMS"</formula>
    </cfRule>
    <cfRule type="containsText" dxfId="15337" priority="174" operator="containsText" text="CMS">
      <formula>NOT(ISERROR(SEARCH("CMS",N56)))</formula>
    </cfRule>
    <cfRule type="cellIs" dxfId="15336" priority="175" operator="equal">
      <formula>0</formula>
    </cfRule>
    <cfRule type="cellIs" dxfId="15335" priority="176" operator="greaterThan">
      <formula>0</formula>
    </cfRule>
    <cfRule type="cellIs" dxfId="15334" priority="177" operator="equal">
      <formula>"PMS"</formula>
    </cfRule>
    <cfRule type="containsText" dxfId="15333" priority="178" operator="containsText" text="CMS">
      <formula>NOT(ISERROR(SEARCH("CMS",N56)))</formula>
    </cfRule>
    <cfRule type="cellIs" dxfId="15332" priority="179" operator="equal">
      <formula>0</formula>
    </cfRule>
    <cfRule type="cellIs" dxfId="15331" priority="180" operator="greaterThan">
      <formula>0</formula>
    </cfRule>
  </conditionalFormatting>
  <conditionalFormatting sqref="N56">
    <cfRule type="cellIs" dxfId="15330" priority="169" operator="equal">
      <formula>"PMS"</formula>
    </cfRule>
    <cfRule type="containsText" dxfId="15329" priority="170" operator="containsText" text="CMS">
      <formula>NOT(ISERROR(SEARCH("CMS",N56)))</formula>
    </cfRule>
    <cfRule type="cellIs" dxfId="15328" priority="171" operator="equal">
      <formula>0</formula>
    </cfRule>
    <cfRule type="cellIs" dxfId="15327" priority="172" operator="greaterThan">
      <formula>0</formula>
    </cfRule>
  </conditionalFormatting>
  <conditionalFormatting sqref="N63:N64">
    <cfRule type="cellIs" dxfId="15326" priority="161" operator="equal">
      <formula>"PMS"</formula>
    </cfRule>
    <cfRule type="containsText" dxfId="15325" priority="162" operator="containsText" text="CMS">
      <formula>NOT(ISERROR(SEARCH("CMS",N63)))</formula>
    </cfRule>
    <cfRule type="cellIs" dxfId="15324" priority="163" operator="equal">
      <formula>0</formula>
    </cfRule>
    <cfRule type="cellIs" dxfId="15323" priority="164" operator="greaterThan">
      <formula>0</formula>
    </cfRule>
    <cfRule type="cellIs" dxfId="15322" priority="165" operator="equal">
      <formula>"PMS"</formula>
    </cfRule>
    <cfRule type="containsText" dxfId="15321" priority="166" operator="containsText" text="CMS">
      <formula>NOT(ISERROR(SEARCH("CMS",N63)))</formula>
    </cfRule>
    <cfRule type="cellIs" dxfId="15320" priority="167" operator="equal">
      <formula>0</formula>
    </cfRule>
    <cfRule type="cellIs" dxfId="15319" priority="168" operator="greaterThan">
      <formula>0</formula>
    </cfRule>
  </conditionalFormatting>
  <conditionalFormatting sqref="N63:N64">
    <cfRule type="cellIs" dxfId="15318" priority="157" operator="equal">
      <formula>"PMS"</formula>
    </cfRule>
    <cfRule type="containsText" dxfId="15317" priority="158" operator="containsText" text="CMS">
      <formula>NOT(ISERROR(SEARCH("CMS",N63)))</formula>
    </cfRule>
    <cfRule type="cellIs" dxfId="15316" priority="159" operator="equal">
      <formula>0</formula>
    </cfRule>
    <cfRule type="cellIs" dxfId="15315" priority="160" operator="greaterThan">
      <formula>0</formula>
    </cfRule>
  </conditionalFormatting>
  <conditionalFormatting sqref="G78:K78">
    <cfRule type="cellIs" dxfId="15314" priority="149" operator="equal">
      <formula>"PMS"</formula>
    </cfRule>
    <cfRule type="containsText" dxfId="15313" priority="150" operator="containsText" text="CMS">
      <formula>NOT(ISERROR(SEARCH("CMS",G78)))</formula>
    </cfRule>
    <cfRule type="cellIs" dxfId="15312" priority="151" operator="equal">
      <formula>0</formula>
    </cfRule>
    <cfRule type="cellIs" dxfId="15311" priority="152" operator="greaterThan">
      <formula>0</formula>
    </cfRule>
    <cfRule type="cellIs" dxfId="15310" priority="153" operator="equal">
      <formula>"PMS"</formula>
    </cfRule>
    <cfRule type="containsText" dxfId="15309" priority="154" operator="containsText" text="CMS">
      <formula>NOT(ISERROR(SEARCH("CMS",G78)))</formula>
    </cfRule>
    <cfRule type="cellIs" dxfId="15308" priority="155" operator="equal">
      <formula>0</formula>
    </cfRule>
    <cfRule type="cellIs" dxfId="15307" priority="156" operator="greaterThan">
      <formula>0</formula>
    </cfRule>
  </conditionalFormatting>
  <conditionalFormatting sqref="G78:K78">
    <cfRule type="cellIs" dxfId="15306" priority="145" operator="equal">
      <formula>"PMS"</formula>
    </cfRule>
    <cfRule type="containsText" dxfId="15305" priority="146" operator="containsText" text="CMS">
      <formula>NOT(ISERROR(SEARCH("CMS",G78)))</formula>
    </cfRule>
    <cfRule type="cellIs" dxfId="15304" priority="147" operator="equal">
      <formula>0</formula>
    </cfRule>
    <cfRule type="cellIs" dxfId="15303" priority="148" operator="greaterThan">
      <formula>0</formula>
    </cfRule>
  </conditionalFormatting>
  <conditionalFormatting sqref="O40">
    <cfRule type="cellIs" dxfId="15302" priority="137" operator="equal">
      <formula>"PMS"</formula>
    </cfRule>
    <cfRule type="containsText" dxfId="15301" priority="138" operator="containsText" text="CMS">
      <formula>NOT(ISERROR(SEARCH("CMS",O40)))</formula>
    </cfRule>
    <cfRule type="cellIs" dxfId="15300" priority="139" operator="equal">
      <formula>0</formula>
    </cfRule>
    <cfRule type="cellIs" dxfId="15299" priority="140" operator="greaterThan">
      <formula>0</formula>
    </cfRule>
    <cfRule type="cellIs" dxfId="15298" priority="141" operator="equal">
      <formula>"PMS"</formula>
    </cfRule>
    <cfRule type="containsText" dxfId="15297" priority="142" operator="containsText" text="CMS">
      <formula>NOT(ISERROR(SEARCH("CMS",O40)))</formula>
    </cfRule>
    <cfRule type="cellIs" dxfId="15296" priority="143" operator="equal">
      <formula>0</formula>
    </cfRule>
    <cfRule type="cellIs" dxfId="15295" priority="144" operator="greaterThan">
      <formula>0</formula>
    </cfRule>
  </conditionalFormatting>
  <conditionalFormatting sqref="O40">
    <cfRule type="cellIs" dxfId="15294" priority="133" operator="equal">
      <formula>"PMS"</formula>
    </cfRule>
    <cfRule type="containsText" dxfId="15293" priority="134" operator="containsText" text="CMS">
      <formula>NOT(ISERROR(SEARCH("CMS",O40)))</formula>
    </cfRule>
    <cfRule type="cellIs" dxfId="15292" priority="135" operator="equal">
      <formula>0</formula>
    </cfRule>
    <cfRule type="cellIs" dxfId="15291" priority="136" operator="greaterThan">
      <formula>0</formula>
    </cfRule>
  </conditionalFormatting>
  <conditionalFormatting sqref="L78">
    <cfRule type="cellIs" dxfId="15290" priority="125" operator="equal">
      <formula>"PMS"</formula>
    </cfRule>
    <cfRule type="containsText" dxfId="15289" priority="126" operator="containsText" text="CMS">
      <formula>NOT(ISERROR(SEARCH("CMS",L78)))</formula>
    </cfRule>
    <cfRule type="cellIs" dxfId="15288" priority="127" operator="equal">
      <formula>0</formula>
    </cfRule>
    <cfRule type="cellIs" dxfId="15287" priority="128" operator="greaterThan">
      <formula>0</formula>
    </cfRule>
    <cfRule type="cellIs" dxfId="15286" priority="129" operator="equal">
      <formula>"PMS"</formula>
    </cfRule>
    <cfRule type="containsText" dxfId="15285" priority="130" operator="containsText" text="CMS">
      <formula>NOT(ISERROR(SEARCH("CMS",L78)))</formula>
    </cfRule>
    <cfRule type="cellIs" dxfId="15284" priority="131" operator="equal">
      <formula>0</formula>
    </cfRule>
    <cfRule type="cellIs" dxfId="15283" priority="132" operator="greaterThan">
      <formula>0</formula>
    </cfRule>
  </conditionalFormatting>
  <conditionalFormatting sqref="L78">
    <cfRule type="cellIs" dxfId="15282" priority="121" operator="equal">
      <formula>"PMS"</formula>
    </cfRule>
    <cfRule type="containsText" dxfId="15281" priority="122" operator="containsText" text="CMS">
      <formula>NOT(ISERROR(SEARCH("CMS",L78)))</formula>
    </cfRule>
    <cfRule type="cellIs" dxfId="15280" priority="123" operator="equal">
      <formula>0</formula>
    </cfRule>
    <cfRule type="cellIs" dxfId="15279" priority="124" operator="greaterThan">
      <formula>0</formula>
    </cfRule>
  </conditionalFormatting>
  <conditionalFormatting sqref="M78">
    <cfRule type="cellIs" dxfId="15278" priority="65" operator="equal">
      <formula>"PMS"</formula>
    </cfRule>
    <cfRule type="containsText" dxfId="15277" priority="66" operator="containsText" text="CMS">
      <formula>NOT(ISERROR(SEARCH("CMS",M78)))</formula>
    </cfRule>
    <cfRule type="cellIs" dxfId="15276" priority="67" operator="equal">
      <formula>0</formula>
    </cfRule>
    <cfRule type="cellIs" dxfId="15275" priority="68" operator="greaterThan">
      <formula>0</formula>
    </cfRule>
    <cfRule type="cellIs" dxfId="15274" priority="69" operator="equal">
      <formula>"PMS"</formula>
    </cfRule>
    <cfRule type="containsText" dxfId="15273" priority="70" operator="containsText" text="CMS">
      <formula>NOT(ISERROR(SEARCH("CMS",M78)))</formula>
    </cfRule>
    <cfRule type="cellIs" dxfId="15272" priority="71" operator="equal">
      <formula>0</formula>
    </cfRule>
    <cfRule type="cellIs" dxfId="15271" priority="72" operator="greaterThan">
      <formula>0</formula>
    </cfRule>
  </conditionalFormatting>
  <conditionalFormatting sqref="M78">
    <cfRule type="cellIs" dxfId="15270" priority="61" operator="equal">
      <formula>"PMS"</formula>
    </cfRule>
    <cfRule type="containsText" dxfId="15269" priority="62" operator="containsText" text="CMS">
      <formula>NOT(ISERROR(SEARCH("CMS",M78)))</formula>
    </cfRule>
    <cfRule type="cellIs" dxfId="15268" priority="63" operator="equal">
      <formula>0</formula>
    </cfRule>
    <cfRule type="cellIs" dxfId="15267" priority="64" operator="greaterThan">
      <formula>0</formula>
    </cfRule>
  </conditionalFormatting>
  <conditionalFormatting sqref="R27:R28">
    <cfRule type="cellIs" dxfId="15266" priority="53" operator="equal">
      <formula>"PMS"</formula>
    </cfRule>
    <cfRule type="containsText" dxfId="15265" priority="54" operator="containsText" text="CMS">
      <formula>NOT(ISERROR(SEARCH("CMS",R27)))</formula>
    </cfRule>
    <cfRule type="cellIs" dxfId="15264" priority="55" operator="equal">
      <formula>0</formula>
    </cfRule>
    <cfRule type="cellIs" dxfId="15263" priority="56" operator="greaterThan">
      <formula>0</formula>
    </cfRule>
    <cfRule type="cellIs" dxfId="15262" priority="57" operator="equal">
      <formula>"PMS"</formula>
    </cfRule>
    <cfRule type="containsText" dxfId="15261" priority="58" operator="containsText" text="CMS">
      <formula>NOT(ISERROR(SEARCH("CMS",R27)))</formula>
    </cfRule>
    <cfRule type="cellIs" dxfId="15260" priority="59" operator="equal">
      <formula>0</formula>
    </cfRule>
    <cfRule type="cellIs" dxfId="15259" priority="60" operator="greaterThan">
      <formula>0</formula>
    </cfRule>
  </conditionalFormatting>
  <conditionalFormatting sqref="R27:R28">
    <cfRule type="cellIs" dxfId="15258" priority="49" operator="equal">
      <formula>"PMS"</formula>
    </cfRule>
    <cfRule type="containsText" dxfId="15257" priority="50" operator="containsText" text="CMS">
      <formula>NOT(ISERROR(SEARCH("CMS",R27)))</formula>
    </cfRule>
    <cfRule type="cellIs" dxfId="15256" priority="51" operator="equal">
      <formula>0</formula>
    </cfRule>
    <cfRule type="cellIs" dxfId="15255" priority="52" operator="greaterThan">
      <formula>0</formula>
    </cfRule>
  </conditionalFormatting>
  <conditionalFormatting sqref="F13:F16 F36:F59 F62:F64">
    <cfRule type="cellIs" dxfId="15254" priority="41" operator="equal">
      <formula>"PMS"</formula>
    </cfRule>
    <cfRule type="containsText" dxfId="15253" priority="42" operator="containsText" text="CMS">
      <formula>NOT(ISERROR(SEARCH("CMS",F13)))</formula>
    </cfRule>
    <cfRule type="cellIs" dxfId="15252" priority="43" operator="equal">
      <formula>0</formula>
    </cfRule>
    <cfRule type="cellIs" dxfId="15251" priority="44" operator="greaterThan">
      <formula>0</formula>
    </cfRule>
    <cfRule type="cellIs" dxfId="15250" priority="45" operator="equal">
      <formula>"PMS"</formula>
    </cfRule>
    <cfRule type="containsText" dxfId="15249" priority="46" operator="containsText" text="CMS">
      <formula>NOT(ISERROR(SEARCH("CMS",F13)))</formula>
    </cfRule>
    <cfRule type="cellIs" dxfId="15248" priority="47" operator="equal">
      <formula>0</formula>
    </cfRule>
    <cfRule type="cellIs" dxfId="15247" priority="48" operator="greaterThan">
      <formula>0</formula>
    </cfRule>
  </conditionalFormatting>
  <conditionalFormatting sqref="F13:F16 F36:F59 F62:F64">
    <cfRule type="cellIs" dxfId="15246" priority="37" operator="equal">
      <formula>"PMS"</formula>
    </cfRule>
    <cfRule type="containsText" dxfId="15245" priority="38" operator="containsText" text="CMS">
      <formula>NOT(ISERROR(SEARCH("CMS",F13)))</formula>
    </cfRule>
    <cfRule type="cellIs" dxfId="15244" priority="39" operator="equal">
      <formula>0</formula>
    </cfRule>
    <cfRule type="cellIs" dxfId="15243" priority="40" operator="greaterThan">
      <formula>0</formula>
    </cfRule>
  </conditionalFormatting>
  <conditionalFormatting sqref="F67:F75">
    <cfRule type="cellIs" dxfId="15242" priority="29" operator="equal">
      <formula>"PMS"</formula>
    </cfRule>
    <cfRule type="containsText" dxfId="15241" priority="30" operator="containsText" text="CMS">
      <formula>NOT(ISERROR(SEARCH("CMS",F67)))</formula>
    </cfRule>
    <cfRule type="cellIs" dxfId="15240" priority="31" operator="equal">
      <formula>0</formula>
    </cfRule>
    <cfRule type="cellIs" dxfId="15239" priority="32" operator="greaterThan">
      <formula>0</formula>
    </cfRule>
    <cfRule type="cellIs" dxfId="15238" priority="33" operator="equal">
      <formula>"PMS"</formula>
    </cfRule>
    <cfRule type="containsText" dxfId="15237" priority="34" operator="containsText" text="CMS">
      <formula>NOT(ISERROR(SEARCH("CMS",F67)))</formula>
    </cfRule>
    <cfRule type="cellIs" dxfId="15236" priority="35" operator="equal">
      <formula>0</formula>
    </cfRule>
    <cfRule type="cellIs" dxfId="15235" priority="36" operator="greaterThan">
      <formula>0</formula>
    </cfRule>
  </conditionalFormatting>
  <conditionalFormatting sqref="F67:F75">
    <cfRule type="cellIs" dxfId="15234" priority="25" operator="equal">
      <formula>"PMS"</formula>
    </cfRule>
    <cfRule type="containsText" dxfId="15233" priority="26" operator="containsText" text="CMS">
      <formula>NOT(ISERROR(SEARCH("CMS",F67)))</formula>
    </cfRule>
    <cfRule type="cellIs" dxfId="15232" priority="27" operator="equal">
      <formula>0</formula>
    </cfRule>
    <cfRule type="cellIs" dxfId="15231" priority="28" operator="greaterThan">
      <formula>0</formula>
    </cfRule>
  </conditionalFormatting>
  <conditionalFormatting sqref="F33 F28:F30 F78:F79 F24 F19:F21">
    <cfRule type="cellIs" dxfId="15230" priority="17" operator="equal">
      <formula>"PMS"</formula>
    </cfRule>
    <cfRule type="containsText" dxfId="15229" priority="18" operator="containsText" text="CMS">
      <formula>NOT(ISERROR(SEARCH("CMS",F19)))</formula>
    </cfRule>
    <cfRule type="cellIs" dxfId="15228" priority="19" operator="equal">
      <formula>0</formula>
    </cfRule>
    <cfRule type="cellIs" dxfId="15227" priority="20" operator="greaterThan">
      <formula>0</formula>
    </cfRule>
    <cfRule type="cellIs" dxfId="15226" priority="21" operator="equal">
      <formula>"PMS"</formula>
    </cfRule>
    <cfRule type="containsText" dxfId="15225" priority="22" operator="containsText" text="CMS">
      <formula>NOT(ISERROR(SEARCH("CMS",F19)))</formula>
    </cfRule>
    <cfRule type="cellIs" dxfId="15224" priority="23" operator="equal">
      <formula>0</formula>
    </cfRule>
    <cfRule type="cellIs" dxfId="15223" priority="24" operator="greaterThan">
      <formula>0</formula>
    </cfRule>
  </conditionalFormatting>
  <conditionalFormatting sqref="F33 F28:F30 F78:F79 F24 F19:F21">
    <cfRule type="cellIs" dxfId="15222" priority="13" operator="equal">
      <formula>"PMS"</formula>
    </cfRule>
    <cfRule type="containsText" dxfId="15221" priority="14" operator="containsText" text="CMS">
      <formula>NOT(ISERROR(SEARCH("CMS",F19)))</formula>
    </cfRule>
    <cfRule type="cellIs" dxfId="15220" priority="15" operator="equal">
      <formula>0</formula>
    </cfRule>
    <cfRule type="cellIs" dxfId="15219" priority="16" operator="greaterThan">
      <formula>0</formula>
    </cfRule>
  </conditionalFormatting>
  <conditionalFormatting sqref="F27">
    <cfRule type="cellIs" dxfId="15218" priority="5" operator="equal">
      <formula>"PMS"</formula>
    </cfRule>
    <cfRule type="containsText" dxfId="15217" priority="6" operator="containsText" text="CMS">
      <formula>NOT(ISERROR(SEARCH("CMS",F27)))</formula>
    </cfRule>
    <cfRule type="cellIs" dxfId="15216" priority="7" operator="equal">
      <formula>0</formula>
    </cfRule>
    <cfRule type="cellIs" dxfId="15215" priority="8" operator="greaterThan">
      <formula>0</formula>
    </cfRule>
    <cfRule type="cellIs" dxfId="15214" priority="9" operator="equal">
      <formula>"PMS"</formula>
    </cfRule>
    <cfRule type="containsText" dxfId="15213" priority="10" operator="containsText" text="CMS">
      <formula>NOT(ISERROR(SEARCH("CMS",F27)))</formula>
    </cfRule>
    <cfRule type="cellIs" dxfId="15212" priority="11" operator="equal">
      <formula>0</formula>
    </cfRule>
    <cfRule type="cellIs" dxfId="15211" priority="12" operator="greaterThan">
      <formula>0</formula>
    </cfRule>
  </conditionalFormatting>
  <conditionalFormatting sqref="F27">
    <cfRule type="cellIs" dxfId="15210" priority="1" operator="equal">
      <formula>"PMS"</formula>
    </cfRule>
    <cfRule type="containsText" dxfId="15209" priority="2" operator="containsText" text="CMS">
      <formula>NOT(ISERROR(SEARCH("CMS",F27)))</formula>
    </cfRule>
    <cfRule type="cellIs" dxfId="15208" priority="3" operator="equal">
      <formula>0</formula>
    </cfRule>
    <cfRule type="cellIs" dxfId="1520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87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9073-04DD-4CDD-8359-ACAA59A1BEF6}">
  <sheetPr codeName="Sheet230"/>
  <dimension ref="A2:DT141"/>
  <sheetViews>
    <sheetView zoomScale="70" zoomScaleNormal="70" workbookViewId="0">
      <pane xSplit="5" ySplit="11" topLeftCell="F12" activePane="bottomRight" state="frozen"/>
      <selection pane="bottomRight" activeCell="R108" sqref="Q108:R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420.59999999999997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6.7</v>
      </c>
      <c r="H14" s="359">
        <v>6.8</v>
      </c>
      <c r="I14" s="357">
        <v>6.7</v>
      </c>
      <c r="J14" s="357">
        <v>6.6</v>
      </c>
      <c r="K14" s="359">
        <v>6.9</v>
      </c>
      <c r="L14" s="359">
        <v>0</v>
      </c>
      <c r="M14" s="357">
        <v>0</v>
      </c>
      <c r="N14" s="359">
        <v>1.5</v>
      </c>
      <c r="O14" s="357">
        <v>6.8</v>
      </c>
      <c r="P14" s="357">
        <v>6.9</v>
      </c>
      <c r="Q14" s="357">
        <v>6.7</v>
      </c>
      <c r="R14" s="357">
        <v>6.6</v>
      </c>
      <c r="S14" s="462">
        <v>6.9</v>
      </c>
      <c r="T14" s="462">
        <v>6.5</v>
      </c>
      <c r="U14" s="357">
        <v>6.6</v>
      </c>
      <c r="V14" s="357">
        <v>6.6</v>
      </c>
      <c r="W14" s="357">
        <v>6.7</v>
      </c>
      <c r="X14" s="357">
        <v>6.4</v>
      </c>
      <c r="Y14" s="357">
        <v>6.4</v>
      </c>
      <c r="Z14" s="462">
        <v>6.8</v>
      </c>
      <c r="AA14" s="462">
        <v>6.5</v>
      </c>
      <c r="AB14" s="357">
        <v>6.4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/>
      <c r="H15" s="357"/>
      <c r="I15" s="357"/>
      <c r="J15" s="357">
        <v>6.5</v>
      </c>
      <c r="K15" s="359">
        <v>6.8</v>
      </c>
      <c r="L15" s="359">
        <v>6.7</v>
      </c>
      <c r="M15" s="359">
        <v>6.6</v>
      </c>
      <c r="N15" s="359">
        <v>6.7</v>
      </c>
      <c r="O15" s="357">
        <v>6.8</v>
      </c>
      <c r="P15" s="357">
        <v>6.9</v>
      </c>
      <c r="Q15" s="357">
        <v>6.7</v>
      </c>
      <c r="R15" s="357">
        <v>6.6</v>
      </c>
      <c r="S15" s="462">
        <v>6.9</v>
      </c>
      <c r="T15" s="462">
        <v>6.5</v>
      </c>
      <c r="U15" s="357">
        <v>6.6</v>
      </c>
      <c r="V15" s="462">
        <v>6.6</v>
      </c>
      <c r="W15" s="357">
        <v>6.7</v>
      </c>
      <c r="X15" s="357">
        <v>6.4</v>
      </c>
      <c r="Y15" s="357">
        <v>6.4</v>
      </c>
      <c r="Z15" s="462">
        <v>6.8</v>
      </c>
      <c r="AA15" s="462">
        <v>6.5</v>
      </c>
      <c r="AB15" s="462">
        <v>7</v>
      </c>
      <c r="AC15" s="462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6.8</v>
      </c>
      <c r="I16" s="357">
        <v>6.7</v>
      </c>
      <c r="J16" s="357">
        <v>0</v>
      </c>
      <c r="K16" s="359">
        <v>0</v>
      </c>
      <c r="L16" s="359">
        <v>6.7</v>
      </c>
      <c r="M16" s="359">
        <v>6.6</v>
      </c>
      <c r="N16" s="359">
        <v>6.7</v>
      </c>
      <c r="O16" s="357">
        <v>6.8</v>
      </c>
      <c r="P16" s="357">
        <v>6.9</v>
      </c>
      <c r="Q16" s="357">
        <v>6.7</v>
      </c>
      <c r="R16" s="357">
        <v>6.6</v>
      </c>
      <c r="S16" s="462">
        <v>6.9</v>
      </c>
      <c r="T16" s="462">
        <v>6.5</v>
      </c>
      <c r="U16" s="357">
        <v>6.6</v>
      </c>
      <c r="V16" s="462">
        <v>6.6</v>
      </c>
      <c r="W16" s="357">
        <v>6.7</v>
      </c>
      <c r="X16" s="357">
        <v>6.4</v>
      </c>
      <c r="Y16" s="357">
        <v>6.4</v>
      </c>
      <c r="Z16" s="462">
        <v>6.8</v>
      </c>
      <c r="AA16" s="462">
        <v>6.5</v>
      </c>
      <c r="AB16" s="462">
        <v>6.3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13.4</v>
      </c>
      <c r="H17" s="19">
        <f t="shared" si="1"/>
        <v>13.6</v>
      </c>
      <c r="I17" s="19">
        <f t="shared" si="1"/>
        <v>13.4</v>
      </c>
      <c r="J17" s="19">
        <f t="shared" si="1"/>
        <v>13.1</v>
      </c>
      <c r="K17" s="19">
        <f t="shared" si="1"/>
        <v>13.7</v>
      </c>
      <c r="L17" s="19">
        <f t="shared" si="1"/>
        <v>13.4</v>
      </c>
      <c r="M17" s="19">
        <f t="shared" si="1"/>
        <v>13.2</v>
      </c>
      <c r="N17" s="19">
        <f t="shared" si="1"/>
        <v>14.899999999999999</v>
      </c>
      <c r="O17" s="19">
        <f t="shared" si="1"/>
        <v>20.399999999999999</v>
      </c>
      <c r="P17" s="19">
        <f t="shared" si="1"/>
        <v>20.700000000000003</v>
      </c>
      <c r="Q17" s="19">
        <f t="shared" si="1"/>
        <v>20.100000000000001</v>
      </c>
      <c r="R17" s="19">
        <f t="shared" si="1"/>
        <v>19.799999999999997</v>
      </c>
      <c r="S17" s="463">
        <f t="shared" si="1"/>
        <v>20.700000000000003</v>
      </c>
      <c r="T17" s="463">
        <f t="shared" si="1"/>
        <v>19.5</v>
      </c>
      <c r="U17" s="19">
        <f t="shared" si="1"/>
        <v>19.799999999999997</v>
      </c>
      <c r="V17" s="19">
        <f t="shared" si="1"/>
        <v>19.799999999999997</v>
      </c>
      <c r="W17" s="19">
        <f t="shared" si="1"/>
        <v>20.100000000000001</v>
      </c>
      <c r="X17" s="19">
        <f t="shared" si="1"/>
        <v>19.200000000000003</v>
      </c>
      <c r="Y17" s="19">
        <f t="shared" si="1"/>
        <v>19.200000000000003</v>
      </c>
      <c r="Z17" s="463">
        <f t="shared" si="1"/>
        <v>20.399999999999999</v>
      </c>
      <c r="AA17" s="463">
        <f t="shared" si="1"/>
        <v>19.5</v>
      </c>
      <c r="AB17" s="463">
        <f>SUM(AB13:AB16)</f>
        <v>19.7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91.59999999999998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0</v>
      </c>
      <c r="G19" s="357">
        <v>0</v>
      </c>
      <c r="H19" s="357">
        <v>0</v>
      </c>
      <c r="I19" s="357">
        <v>0</v>
      </c>
      <c r="J19" s="357">
        <v>0</v>
      </c>
      <c r="K19" s="357">
        <v>0</v>
      </c>
      <c r="L19" s="359">
        <v>2.8</v>
      </c>
      <c r="M19" s="359">
        <v>2</v>
      </c>
      <c r="N19" s="357">
        <v>2.8</v>
      </c>
      <c r="O19" s="357" t="s">
        <v>9</v>
      </c>
      <c r="P19" s="357" t="s">
        <v>9</v>
      </c>
      <c r="Q19" s="357" t="s">
        <v>9</v>
      </c>
      <c r="R19" s="357">
        <v>2.8</v>
      </c>
      <c r="S19" s="462">
        <v>2.8</v>
      </c>
      <c r="T19" s="462">
        <v>2.8</v>
      </c>
      <c r="U19" s="357">
        <v>2.8</v>
      </c>
      <c r="V19" s="357">
        <v>2.8</v>
      </c>
      <c r="W19" s="357">
        <v>2.8</v>
      </c>
      <c r="X19" s="357">
        <v>1.5</v>
      </c>
      <c r="Y19" s="357">
        <v>1.5</v>
      </c>
      <c r="Z19" s="357">
        <v>1.5</v>
      </c>
      <c r="AA19" s="357">
        <v>2</v>
      </c>
      <c r="AB19" s="357">
        <v>2</v>
      </c>
      <c r="AC19" s="357">
        <v>2.2999999999999998</v>
      </c>
      <c r="AD19" s="41"/>
      <c r="AE19" s="41"/>
      <c r="AF19" s="11">
        <f>COUNTIF(F19:AC19,$AJ$8)</f>
        <v>3</v>
      </c>
      <c r="AG19" s="11">
        <f>COUNTIF(G19:AD19,$AJ$7)</f>
        <v>0</v>
      </c>
      <c r="AH19" s="11">
        <f>COUNT(F19:AC19)</f>
        <v>21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357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>
        <v>1.5</v>
      </c>
      <c r="Y20" s="357">
        <v>2.5</v>
      </c>
      <c r="Z20" s="357">
        <v>2.8</v>
      </c>
      <c r="AA20" s="357"/>
      <c r="AB20" s="357"/>
      <c r="AC20" s="357"/>
      <c r="AD20" s="41"/>
      <c r="AE20" s="41"/>
      <c r="AF20" s="11">
        <f>COUNTIF(F20:AC20,$AJ$8)</f>
        <v>18</v>
      </c>
      <c r="AG20" s="11">
        <f>COUNTIF(G20:AD20,$AJ$7)</f>
        <v>0</v>
      </c>
      <c r="AH20" s="11">
        <f>COUNT(F20:AC20)</f>
        <v>3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>
        <v>3.8</v>
      </c>
      <c r="P21" s="357">
        <v>3.8</v>
      </c>
      <c r="Q21" s="357">
        <v>3.8</v>
      </c>
      <c r="R21" s="357">
        <v>3.8</v>
      </c>
      <c r="S21" s="462">
        <v>3.8</v>
      </c>
      <c r="T21" s="462">
        <v>3.8</v>
      </c>
      <c r="U21" s="357">
        <v>3.8</v>
      </c>
      <c r="V21" s="357">
        <v>3.8</v>
      </c>
      <c r="W21" s="357">
        <v>3.8</v>
      </c>
      <c r="X21" s="357">
        <v>2</v>
      </c>
      <c r="Y21" s="357">
        <v>2</v>
      </c>
      <c r="Z21" s="357">
        <v>2</v>
      </c>
      <c r="AA21" s="357">
        <v>3</v>
      </c>
      <c r="AB21" s="357">
        <v>3</v>
      </c>
      <c r="AC21" s="357">
        <v>3.4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2.8</v>
      </c>
      <c r="M22" s="19">
        <f t="shared" si="3"/>
        <v>2</v>
      </c>
      <c r="N22" s="19">
        <f t="shared" si="3"/>
        <v>2.8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6.6</v>
      </c>
      <c r="S22" s="463">
        <f>SUM(S19:S21)</f>
        <v>6.6</v>
      </c>
      <c r="T22" s="463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6.6</v>
      </c>
      <c r="X22" s="19">
        <f t="shared" si="3"/>
        <v>5</v>
      </c>
      <c r="Y22" s="19">
        <f t="shared" si="3"/>
        <v>6</v>
      </c>
      <c r="Z22" s="463">
        <f>SUM(Z19:Z21)</f>
        <v>6.3</v>
      </c>
      <c r="AA22" s="463">
        <f t="shared" si="3"/>
        <v>5</v>
      </c>
      <c r="AB22" s="463">
        <f>SUM(AB19:AB21)</f>
        <v>5</v>
      </c>
      <c r="AC22" s="19">
        <f t="shared" si="3"/>
        <v>5.6999999999999993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50.4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0</v>
      </c>
      <c r="G24" s="357">
        <v>0</v>
      </c>
      <c r="H24" s="357">
        <v>0</v>
      </c>
      <c r="I24" s="357">
        <v>0</v>
      </c>
      <c r="J24" s="357">
        <v>0</v>
      </c>
      <c r="K24" s="357">
        <v>0</v>
      </c>
      <c r="L24" s="359">
        <v>0</v>
      </c>
      <c r="M24" s="359">
        <v>0</v>
      </c>
      <c r="N24" s="359">
        <v>0</v>
      </c>
      <c r="O24" s="357">
        <v>3.2</v>
      </c>
      <c r="P24" s="357">
        <v>3.8</v>
      </c>
      <c r="Q24" s="357">
        <v>3.8</v>
      </c>
      <c r="R24" s="357">
        <v>3.8</v>
      </c>
      <c r="S24" s="462">
        <v>3.8</v>
      </c>
      <c r="T24" s="462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2</v>
      </c>
      <c r="Z24" s="357">
        <v>2</v>
      </c>
      <c r="AA24" s="357">
        <v>3</v>
      </c>
      <c r="AB24" s="357">
        <v>3</v>
      </c>
      <c r="AC24" s="357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3.2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2</v>
      </c>
      <c r="Z25" s="463">
        <f t="shared" si="6"/>
        <v>2</v>
      </c>
      <c r="AA25" s="463">
        <f t="shared" si="6"/>
        <v>3</v>
      </c>
      <c r="AB25" s="463">
        <f t="shared" si="6"/>
        <v>3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75.199999999999989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1.5</v>
      </c>
      <c r="N27" s="357">
        <v>3.5</v>
      </c>
      <c r="O27" s="357">
        <v>3.9</v>
      </c>
      <c r="P27" s="357">
        <v>4</v>
      </c>
      <c r="Q27" s="357">
        <v>3.8</v>
      </c>
      <c r="R27" s="357">
        <v>3.8</v>
      </c>
      <c r="S27" s="462"/>
      <c r="T27" s="462"/>
      <c r="U27" s="357"/>
      <c r="V27" s="359"/>
      <c r="W27" s="357"/>
      <c r="X27" s="357"/>
      <c r="Y27" s="357"/>
      <c r="Z27" s="357"/>
      <c r="AA27" s="357"/>
      <c r="AB27" s="357"/>
      <c r="AC27" s="357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2.5</v>
      </c>
      <c r="H28" s="357">
        <v>1.5</v>
      </c>
      <c r="I28" s="357">
        <v>1.5</v>
      </c>
      <c r="J28" s="359">
        <v>1.7</v>
      </c>
      <c r="K28" s="357">
        <v>2.8</v>
      </c>
      <c r="L28" s="359">
        <v>3.8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2">
        <v>3.8</v>
      </c>
      <c r="T28" s="359">
        <v>3.7</v>
      </c>
      <c r="U28" s="359">
        <v>3.8</v>
      </c>
      <c r="V28" s="359">
        <v>3.8</v>
      </c>
      <c r="W28" s="357">
        <v>3.8</v>
      </c>
      <c r="X28" s="357">
        <v>1.5</v>
      </c>
      <c r="Y28" s="357">
        <v>3.8</v>
      </c>
      <c r="Z28" s="357">
        <v>2.5</v>
      </c>
      <c r="AA28" s="357">
        <v>2.7</v>
      </c>
      <c r="AB28" s="357">
        <v>2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182.86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>
        <v>3.05</v>
      </c>
      <c r="R29" s="357">
        <v>3.55</v>
      </c>
      <c r="S29" s="462">
        <v>4.3899999999999997</v>
      </c>
      <c r="T29" s="359">
        <v>6.44</v>
      </c>
      <c r="U29" s="357">
        <v>3.3</v>
      </c>
      <c r="V29" s="357">
        <v>3.68</v>
      </c>
      <c r="W29" s="359">
        <v>2.76</v>
      </c>
      <c r="X29" s="357">
        <v>2.65</v>
      </c>
      <c r="Y29" s="359">
        <v>2.7</v>
      </c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3.5</v>
      </c>
      <c r="G30" s="359">
        <v>7</v>
      </c>
      <c r="H30" s="357">
        <v>6.5</v>
      </c>
      <c r="I30" s="357">
        <v>5.6</v>
      </c>
      <c r="J30" s="357">
        <v>5.5</v>
      </c>
      <c r="K30" s="357">
        <v>5.9</v>
      </c>
      <c r="L30" s="359">
        <v>7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6.84</v>
      </c>
      <c r="Y30" s="359">
        <v>7</v>
      </c>
      <c r="Z30" s="357">
        <v>7</v>
      </c>
      <c r="AA30" s="357">
        <v>7</v>
      </c>
      <c r="AB30" s="359">
        <v>4.5</v>
      </c>
      <c r="AC30" s="359" t="s">
        <v>9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5</v>
      </c>
      <c r="G31" s="19">
        <f>SUM(G27:G30)</f>
        <v>9.5</v>
      </c>
      <c r="H31" s="19">
        <v>6</v>
      </c>
      <c r="I31" s="19">
        <f t="shared" ref="I31:X31" si="8">SUM(I27:I30)</f>
        <v>7.1</v>
      </c>
      <c r="J31" s="19">
        <f t="shared" si="8"/>
        <v>7.2</v>
      </c>
      <c r="K31" s="19">
        <f t="shared" si="8"/>
        <v>8.6999999999999993</v>
      </c>
      <c r="L31" s="19">
        <f t="shared" si="8"/>
        <v>10.8</v>
      </c>
      <c r="M31" s="19">
        <f t="shared" si="8"/>
        <v>8.5</v>
      </c>
      <c r="N31" s="19">
        <f t="shared" si="8"/>
        <v>10.5</v>
      </c>
      <c r="O31" s="19">
        <f t="shared" si="8"/>
        <v>10.9</v>
      </c>
      <c r="P31" s="19">
        <f t="shared" si="8"/>
        <v>11</v>
      </c>
      <c r="Q31" s="19">
        <f t="shared" si="8"/>
        <v>13.85</v>
      </c>
      <c r="R31" s="19">
        <f t="shared" si="8"/>
        <v>14.35</v>
      </c>
      <c r="S31" s="463">
        <f t="shared" si="8"/>
        <v>15.19</v>
      </c>
      <c r="T31" s="463">
        <f t="shared" si="8"/>
        <v>17.14</v>
      </c>
      <c r="U31" s="19">
        <f t="shared" si="8"/>
        <v>14.1</v>
      </c>
      <c r="V31" s="19">
        <f t="shared" si="8"/>
        <v>14.48</v>
      </c>
      <c r="W31" s="19">
        <f t="shared" si="8"/>
        <v>13.559999999999999</v>
      </c>
      <c r="X31" s="19">
        <f t="shared" si="8"/>
        <v>10.99</v>
      </c>
      <c r="Y31" s="19">
        <f>SUM(Y27:Y30)</f>
        <v>13.5</v>
      </c>
      <c r="Z31" s="19">
        <f t="shared" ref="Z31:AC31" si="9">SUM(Z27:Z30)</f>
        <v>9.5</v>
      </c>
      <c r="AA31" s="19">
        <f t="shared" si="9"/>
        <v>9.6999999999999993</v>
      </c>
      <c r="AB31" s="19">
        <f t="shared" si="9"/>
        <v>6.5</v>
      </c>
      <c r="AC31" s="19">
        <f t="shared" si="9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342.63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14.3</v>
      </c>
      <c r="H33" s="357">
        <v>14.27</v>
      </c>
      <c r="I33" s="359">
        <v>14.29</v>
      </c>
      <c r="J33" s="357">
        <v>14.28</v>
      </c>
      <c r="K33" s="357">
        <v>14.24</v>
      </c>
      <c r="L33" s="359">
        <v>14.25</v>
      </c>
      <c r="M33" s="357">
        <v>14.27</v>
      </c>
      <c r="N33" s="357">
        <v>14.26</v>
      </c>
      <c r="O33" s="357">
        <v>14.28</v>
      </c>
      <c r="P33" s="357">
        <v>14.26</v>
      </c>
      <c r="Q33" s="359">
        <v>14.24</v>
      </c>
      <c r="R33" s="357">
        <v>14.21</v>
      </c>
      <c r="S33" s="462">
        <v>14.31</v>
      </c>
      <c r="T33" s="462">
        <v>14.32</v>
      </c>
      <c r="U33" s="357">
        <v>14.31</v>
      </c>
      <c r="V33" s="359">
        <v>14.21</v>
      </c>
      <c r="W33" s="357">
        <v>14.3</v>
      </c>
      <c r="X33" s="357">
        <v>14.32</v>
      </c>
      <c r="Y33" s="357">
        <v>14.31</v>
      </c>
      <c r="Z33" s="357">
        <v>14.31</v>
      </c>
      <c r="AA33" s="357">
        <v>14.31</v>
      </c>
      <c r="AB33" s="357">
        <v>14.26</v>
      </c>
      <c r="AC33" s="357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14.27</v>
      </c>
      <c r="G34" s="19">
        <f t="shared" ref="G34:AC34" si="11">SUM(G33)</f>
        <v>14.3</v>
      </c>
      <c r="H34" s="19">
        <f t="shared" si="11"/>
        <v>14.27</v>
      </c>
      <c r="I34" s="19">
        <f t="shared" si="11"/>
        <v>14.29</v>
      </c>
      <c r="J34" s="19">
        <f t="shared" si="11"/>
        <v>14.28</v>
      </c>
      <c r="K34" s="19">
        <f t="shared" si="11"/>
        <v>14.24</v>
      </c>
      <c r="L34" s="19">
        <f t="shared" si="11"/>
        <v>14.25</v>
      </c>
      <c r="M34" s="19">
        <f t="shared" si="11"/>
        <v>14.27</v>
      </c>
      <c r="N34" s="19">
        <f t="shared" si="11"/>
        <v>14.26</v>
      </c>
      <c r="O34" s="19">
        <f t="shared" si="11"/>
        <v>14.28</v>
      </c>
      <c r="P34" s="19">
        <f t="shared" si="11"/>
        <v>14.26</v>
      </c>
      <c r="Q34" s="19">
        <f t="shared" si="11"/>
        <v>14.24</v>
      </c>
      <c r="R34" s="19">
        <f t="shared" si="11"/>
        <v>14.21</v>
      </c>
      <c r="S34" s="19">
        <f t="shared" si="11"/>
        <v>14.31</v>
      </c>
      <c r="T34" s="463">
        <f t="shared" si="11"/>
        <v>14.32</v>
      </c>
      <c r="U34" s="19">
        <f t="shared" si="11"/>
        <v>14.31</v>
      </c>
      <c r="V34" s="19">
        <f t="shared" si="11"/>
        <v>14.21</v>
      </c>
      <c r="W34" s="19">
        <f t="shared" si="11"/>
        <v>14.3</v>
      </c>
      <c r="X34" s="19">
        <f t="shared" si="11"/>
        <v>14.32</v>
      </c>
      <c r="Y34" s="19">
        <f t="shared" si="11"/>
        <v>14.31</v>
      </c>
      <c r="Z34" s="19">
        <f t="shared" si="11"/>
        <v>14.31</v>
      </c>
      <c r="AA34" s="19">
        <f t="shared" si="11"/>
        <v>14.31</v>
      </c>
      <c r="AB34" s="19">
        <f t="shared" si="11"/>
        <v>14.26</v>
      </c>
      <c r="AC34" s="19">
        <f t="shared" si="11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20.525000000000002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>
        <v>0.76</v>
      </c>
      <c r="Q40" s="357">
        <v>0.76</v>
      </c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0.7</v>
      </c>
      <c r="O47" s="357"/>
      <c r="P47" s="359">
        <v>0.76</v>
      </c>
      <c r="Q47" s="357">
        <v>0.76</v>
      </c>
      <c r="R47" s="357"/>
      <c r="S47" s="462"/>
      <c r="T47" s="462">
        <f>2.2/3</f>
        <v>0.73333333333333339</v>
      </c>
      <c r="U47" s="462">
        <f>3.1/4</f>
        <v>0.77500000000000002</v>
      </c>
      <c r="V47" s="462">
        <f>3.1/4</f>
        <v>0.77500000000000002</v>
      </c>
      <c r="W47" s="357">
        <v>0</v>
      </c>
      <c r="X47" s="357">
        <v>0</v>
      </c>
      <c r="Y47" s="357">
        <v>0</v>
      </c>
      <c r="Z47" s="357">
        <v>0</v>
      </c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21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>
        <v>0</v>
      </c>
      <c r="O48" s="357"/>
      <c r="P48" s="359">
        <v>0.76</v>
      </c>
      <c r="Q48" s="357">
        <v>0.76</v>
      </c>
      <c r="R48" s="357"/>
      <c r="S48" s="462"/>
      <c r="T48" s="462">
        <f>2.2/3</f>
        <v>0.73333333333333339</v>
      </c>
      <c r="U48" s="462">
        <f>3.1/4</f>
        <v>0.77500000000000002</v>
      </c>
      <c r="V48" s="462">
        <f>3.1/4</f>
        <v>0.77500000000000002</v>
      </c>
      <c r="W48" s="357">
        <v>0</v>
      </c>
      <c r="X48" s="357">
        <v>0</v>
      </c>
      <c r="Y48" s="357">
        <v>0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13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>
        <v>0</v>
      </c>
      <c r="G50" s="357">
        <v>0</v>
      </c>
      <c r="H50" s="357">
        <v>0</v>
      </c>
      <c r="I50" s="357">
        <v>0</v>
      </c>
      <c r="J50" s="357">
        <v>0</v>
      </c>
      <c r="K50" s="357">
        <v>0</v>
      </c>
      <c r="L50" s="359" t="s">
        <v>9</v>
      </c>
      <c r="M50" s="359" t="s">
        <v>9</v>
      </c>
      <c r="N50" s="359" t="s">
        <v>9</v>
      </c>
      <c r="O50" s="359" t="s">
        <v>9</v>
      </c>
      <c r="P50" s="359" t="s">
        <v>9</v>
      </c>
      <c r="Q50" s="357" t="s">
        <v>9</v>
      </c>
      <c r="R50" s="357" t="s">
        <v>9</v>
      </c>
      <c r="S50" s="462" t="s">
        <v>9</v>
      </c>
      <c r="T50" s="357" t="s">
        <v>9</v>
      </c>
      <c r="U50" s="462" t="s">
        <v>9</v>
      </c>
      <c r="V50" s="462" t="s">
        <v>9</v>
      </c>
      <c r="W50" s="357" t="s">
        <v>9</v>
      </c>
      <c r="X50" s="357" t="s">
        <v>9</v>
      </c>
      <c r="Y50" s="357" t="s">
        <v>9</v>
      </c>
      <c r="Z50" s="357" t="s">
        <v>9</v>
      </c>
      <c r="AA50" s="357" t="s">
        <v>9</v>
      </c>
      <c r="AB50" s="357" t="s">
        <v>9</v>
      </c>
      <c r="AC50" s="357" t="s">
        <v>9</v>
      </c>
      <c r="AD50" s="41"/>
      <c r="AE50" s="41"/>
      <c r="AF50" s="11">
        <f t="shared" si="12"/>
        <v>18</v>
      </c>
      <c r="AG50" s="11">
        <f t="shared" si="13"/>
        <v>0</v>
      </c>
      <c r="AH50" s="11">
        <f t="shared" si="14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>
        <v>0</v>
      </c>
      <c r="O51" s="357"/>
      <c r="P51" s="359">
        <v>0.76</v>
      </c>
      <c r="Q51" s="357">
        <v>0.76</v>
      </c>
      <c r="R51" s="357"/>
      <c r="S51" s="462"/>
      <c r="T51" s="357"/>
      <c r="U51" s="462">
        <f t="shared" ref="U51:U56" si="15">3.1/4</f>
        <v>0.77500000000000002</v>
      </c>
      <c r="V51" s="462">
        <f>3.1/4</f>
        <v>0.77500000000000002</v>
      </c>
      <c r="W51" s="357">
        <v>0.7</v>
      </c>
      <c r="X51" s="357">
        <v>0</v>
      </c>
      <c r="Y51" s="357">
        <v>0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12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>
        <f t="shared" si="15"/>
        <v>0.77500000000000002</v>
      </c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>
        <f t="shared" si="15"/>
        <v>0.77500000000000002</v>
      </c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>
        <f t="shared" si="15"/>
        <v>0.77500000000000002</v>
      </c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</v>
      </c>
      <c r="M56" s="357">
        <v>0</v>
      </c>
      <c r="N56" s="359">
        <v>0.8</v>
      </c>
      <c r="O56" s="357"/>
      <c r="P56" s="359">
        <v>0.76</v>
      </c>
      <c r="Q56" s="357">
        <v>0.76</v>
      </c>
      <c r="R56" s="357"/>
      <c r="S56" s="462"/>
      <c r="T56" s="462">
        <f>2.2/3</f>
        <v>0.73333333333333339</v>
      </c>
      <c r="U56" s="462">
        <f t="shared" si="15"/>
        <v>0.77500000000000002</v>
      </c>
      <c r="V56" s="462">
        <f>3.1/4</f>
        <v>0.77500000000000002</v>
      </c>
      <c r="W56" s="357">
        <v>0</v>
      </c>
      <c r="X56" s="357">
        <v>0</v>
      </c>
      <c r="Y56" s="357">
        <v>0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15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T60" si="16">SUM(F36:F59)</f>
        <v>0</v>
      </c>
      <c r="G60" s="19">
        <f t="shared" si="16"/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1.5</v>
      </c>
      <c r="O60" s="19">
        <f t="shared" si="16"/>
        <v>0</v>
      </c>
      <c r="P60" s="19">
        <f t="shared" si="16"/>
        <v>3.8</v>
      </c>
      <c r="Q60" s="19">
        <f t="shared" si="16"/>
        <v>3.8</v>
      </c>
      <c r="R60" s="19">
        <f t="shared" si="16"/>
        <v>0</v>
      </c>
      <c r="S60" s="463">
        <f t="shared" si="16"/>
        <v>0</v>
      </c>
      <c r="T60" s="463">
        <f t="shared" si="16"/>
        <v>2.2000000000000002</v>
      </c>
      <c r="U60" s="19">
        <f>SUM(U47,U48,U51,U56)</f>
        <v>3.1</v>
      </c>
      <c r="V60" s="19">
        <f t="shared" ref="V60:AC60" si="17">SUM(V36:V59)</f>
        <v>3.1</v>
      </c>
      <c r="W60" s="19">
        <f t="shared" si="17"/>
        <v>0.7</v>
      </c>
      <c r="X60" s="19">
        <f t="shared" si="17"/>
        <v>0</v>
      </c>
      <c r="Y60" s="19">
        <f t="shared" si="17"/>
        <v>0</v>
      </c>
      <c r="Z60" s="19">
        <f t="shared" si="17"/>
        <v>0</v>
      </c>
      <c r="AA60" s="19">
        <f t="shared" si="17"/>
        <v>0</v>
      </c>
      <c r="AB60" s="19">
        <f t="shared" si="17"/>
        <v>0</v>
      </c>
      <c r="AC60" s="19">
        <f t="shared" si="17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28.58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0.47499999999999998</v>
      </c>
      <c r="G62" s="357">
        <v>0.45</v>
      </c>
      <c r="H62" s="357">
        <v>0.42499999999999999</v>
      </c>
      <c r="I62" s="359">
        <v>0.4</v>
      </c>
      <c r="J62" s="357">
        <v>0.39</v>
      </c>
      <c r="K62" s="357">
        <v>0</v>
      </c>
      <c r="L62" s="357">
        <v>0</v>
      </c>
      <c r="M62" s="357">
        <v>0</v>
      </c>
      <c r="N62" s="357">
        <v>0</v>
      </c>
      <c r="O62" s="357">
        <v>0</v>
      </c>
      <c r="P62" s="357">
        <v>0</v>
      </c>
      <c r="Q62" s="357">
        <f>1.37/2</f>
        <v>0.68500000000000005</v>
      </c>
      <c r="R62" s="357">
        <f>1.38/2</f>
        <v>0.69</v>
      </c>
      <c r="S62" s="462">
        <f>1.37/2</f>
        <v>0.68500000000000005</v>
      </c>
      <c r="T62" s="357">
        <f>1.41/2</f>
        <v>0.70499999999999996</v>
      </c>
      <c r="U62" s="357">
        <f>1.41/2</f>
        <v>0.70499999999999996</v>
      </c>
      <c r="V62" s="462">
        <f>1.42/2</f>
        <v>0.71</v>
      </c>
      <c r="W62" s="357">
        <f>1.33/2</f>
        <v>0.66500000000000004</v>
      </c>
      <c r="X62" s="357">
        <f>1.19/2</f>
        <v>0.59499999999999997</v>
      </c>
      <c r="Y62" s="357">
        <f>1.46/2</f>
        <v>0.73</v>
      </c>
      <c r="Z62" s="357">
        <f>1.53/3</f>
        <v>0.51</v>
      </c>
      <c r="AA62" s="357">
        <f>1.42/2</f>
        <v>0.71</v>
      </c>
      <c r="AB62" s="357">
        <v>0.62</v>
      </c>
      <c r="AC62" s="357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0.47499999999999998</v>
      </c>
      <c r="G63" s="357">
        <v>0.45</v>
      </c>
      <c r="H63" s="357">
        <v>0.42499999999999999</v>
      </c>
      <c r="I63" s="359">
        <v>0.4</v>
      </c>
      <c r="J63" s="357">
        <v>0.39</v>
      </c>
      <c r="K63" s="357">
        <v>0.44500000000000001</v>
      </c>
      <c r="L63" s="357">
        <f>1.16/2</f>
        <v>0.57999999999999996</v>
      </c>
      <c r="M63" s="357">
        <f>1.04/2</f>
        <v>0.52</v>
      </c>
      <c r="N63" s="357">
        <f>1.09/2</f>
        <v>0.54500000000000004</v>
      </c>
      <c r="O63" s="357">
        <v>0.56000000000000005</v>
      </c>
      <c r="P63" s="357">
        <v>0.66500000000000004</v>
      </c>
      <c r="Q63" s="357"/>
      <c r="R63" s="357"/>
      <c r="S63" s="462"/>
      <c r="T63" s="357"/>
      <c r="U63" s="357"/>
      <c r="V63" s="462"/>
      <c r="W63" s="357"/>
      <c r="X63" s="357"/>
      <c r="Y63" s="357">
        <f>1.46/2</f>
        <v>0.73</v>
      </c>
      <c r="Z63" s="357">
        <f>1.53/3</f>
        <v>0.51</v>
      </c>
      <c r="AA63" s="357">
        <f>1.42/2</f>
        <v>0.71</v>
      </c>
      <c r="AB63" s="357">
        <v>0.62</v>
      </c>
      <c r="AC63" s="357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</v>
      </c>
      <c r="G64" s="357">
        <v>0</v>
      </c>
      <c r="H64" s="357">
        <v>0</v>
      </c>
      <c r="I64" s="359">
        <v>0</v>
      </c>
      <c r="J64" s="357">
        <v>0</v>
      </c>
      <c r="K64" s="357">
        <v>0.44500000000000001</v>
      </c>
      <c r="L64" s="357">
        <f>L63</f>
        <v>0.57999999999999996</v>
      </c>
      <c r="M64" s="357">
        <f>M63</f>
        <v>0.52</v>
      </c>
      <c r="N64" s="357">
        <f>N63</f>
        <v>0.54500000000000004</v>
      </c>
      <c r="O64" s="357">
        <v>0.56000000000000005</v>
      </c>
      <c r="P64" s="357">
        <v>0.66500000000000004</v>
      </c>
      <c r="Q64" s="357">
        <f>1.37/2</f>
        <v>0.68500000000000005</v>
      </c>
      <c r="R64" s="357">
        <f>1.38/2</f>
        <v>0.69</v>
      </c>
      <c r="S64" s="462">
        <f>1.37/2</f>
        <v>0.68500000000000005</v>
      </c>
      <c r="T64" s="357">
        <f>1.41/2</f>
        <v>0.70499999999999996</v>
      </c>
      <c r="U64" s="357">
        <f>1.41/2</f>
        <v>0.70499999999999996</v>
      </c>
      <c r="V64" s="462">
        <f>1.42/2</f>
        <v>0.71</v>
      </c>
      <c r="W64" s="357">
        <f>1.33/2</f>
        <v>0.66500000000000004</v>
      </c>
      <c r="X64" s="357">
        <f>1.19/2</f>
        <v>0.59499999999999997</v>
      </c>
      <c r="Y64" s="357"/>
      <c r="Z64" s="357">
        <f>1.53/3</f>
        <v>0.51</v>
      </c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0.95</v>
      </c>
      <c r="G65" s="19">
        <f t="shared" ref="G65:AB65" si="18">SUM(G62:G64)</f>
        <v>0.9</v>
      </c>
      <c r="H65" s="19">
        <f t="shared" si="18"/>
        <v>0.85</v>
      </c>
      <c r="I65" s="19">
        <f t="shared" si="18"/>
        <v>0.8</v>
      </c>
      <c r="J65" s="19">
        <f t="shared" si="18"/>
        <v>0.78</v>
      </c>
      <c r="K65" s="19">
        <f t="shared" si="18"/>
        <v>0.89</v>
      </c>
      <c r="L65" s="19">
        <f t="shared" si="18"/>
        <v>1.1599999999999999</v>
      </c>
      <c r="M65" s="19">
        <f t="shared" si="18"/>
        <v>1.04</v>
      </c>
      <c r="N65" s="19">
        <f t="shared" si="18"/>
        <v>1.0900000000000001</v>
      </c>
      <c r="O65" s="19">
        <f t="shared" si="18"/>
        <v>1.1200000000000001</v>
      </c>
      <c r="P65" s="19">
        <f t="shared" si="18"/>
        <v>1.33</v>
      </c>
      <c r="Q65" s="19">
        <f t="shared" si="18"/>
        <v>1.37</v>
      </c>
      <c r="R65" s="19">
        <f t="shared" si="18"/>
        <v>1.38</v>
      </c>
      <c r="S65" s="463">
        <f t="shared" si="18"/>
        <v>1.37</v>
      </c>
      <c r="T65" s="463">
        <f t="shared" si="18"/>
        <v>1.41</v>
      </c>
      <c r="U65" s="463">
        <f t="shared" si="18"/>
        <v>1.41</v>
      </c>
      <c r="V65" s="19">
        <f>SUM(V62:V64)</f>
        <v>1.42</v>
      </c>
      <c r="W65" s="19">
        <f t="shared" si="18"/>
        <v>1.33</v>
      </c>
      <c r="X65" s="19">
        <f t="shared" si="18"/>
        <v>1.19</v>
      </c>
      <c r="Y65" s="19">
        <f>SUM(Y62:Y64)</f>
        <v>1.46</v>
      </c>
      <c r="Z65" s="19">
        <f>SUM(Z62:Z64)</f>
        <v>1.53</v>
      </c>
      <c r="AA65" s="19">
        <f t="shared" si="18"/>
        <v>1.42</v>
      </c>
      <c r="AB65" s="19">
        <f t="shared" si="18"/>
        <v>1.24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19.87</v>
      </c>
    </row>
    <row r="78" spans="1:124">
      <c r="A78" s="14" t="s">
        <v>67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9">
        <v>0.71</v>
      </c>
      <c r="N78" s="357">
        <v>0.73</v>
      </c>
      <c r="O78" s="357">
        <v>0.77</v>
      </c>
      <c r="P78" s="357">
        <v>0.83</v>
      </c>
      <c r="Q78" s="357">
        <v>0.85</v>
      </c>
      <c r="R78" s="357">
        <v>0.86</v>
      </c>
      <c r="S78" s="357">
        <v>0.85</v>
      </c>
      <c r="T78" s="357">
        <v>0.85</v>
      </c>
      <c r="U78" s="357">
        <v>0.87</v>
      </c>
      <c r="V78" s="357">
        <v>0.89</v>
      </c>
      <c r="W78" s="357">
        <v>0.86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</v>
      </c>
      <c r="G79" s="357">
        <v>0.76</v>
      </c>
      <c r="H79" s="357">
        <v>0.73</v>
      </c>
      <c r="I79" s="357">
        <v>0.71</v>
      </c>
      <c r="J79" s="357">
        <v>0.71</v>
      </c>
      <c r="K79" s="357">
        <v>0.74</v>
      </c>
      <c r="L79" s="359">
        <v>0.85</v>
      </c>
      <c r="M79" s="359">
        <v>0</v>
      </c>
      <c r="N79" s="359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0.96</v>
      </c>
      <c r="Z79" s="357">
        <v>0.98</v>
      </c>
      <c r="AA79" s="357">
        <v>0.96</v>
      </c>
      <c r="AB79" s="357">
        <v>0.9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</v>
      </c>
      <c r="G80" s="19">
        <f t="shared" si="24"/>
        <v>0.76</v>
      </c>
      <c r="H80" s="19">
        <f>SUM(H78:H79)</f>
        <v>0.73</v>
      </c>
      <c r="I80" s="19">
        <f>SUM(I78:I79)</f>
        <v>0.71</v>
      </c>
      <c r="J80" s="19">
        <f t="shared" ref="J80:AC80" si="25">SUM(J78:J79)</f>
        <v>0.71</v>
      </c>
      <c r="K80" s="19">
        <f t="shared" si="25"/>
        <v>0.74</v>
      </c>
      <c r="L80" s="19">
        <f>SUM(L78:L79)</f>
        <v>0.85</v>
      </c>
      <c r="M80" s="19">
        <f t="shared" si="25"/>
        <v>0.71</v>
      </c>
      <c r="N80" s="19">
        <f t="shared" si="25"/>
        <v>0.73</v>
      </c>
      <c r="O80" s="19">
        <f>SUM(O78:O79)</f>
        <v>0.77</v>
      </c>
      <c r="P80" s="19">
        <f>SUM(P78:P79)</f>
        <v>0.83</v>
      </c>
      <c r="Q80" s="19">
        <f t="shared" si="25"/>
        <v>0.85</v>
      </c>
      <c r="R80" s="19">
        <f t="shared" si="25"/>
        <v>0.86</v>
      </c>
      <c r="S80" s="463">
        <f t="shared" si="25"/>
        <v>0.85</v>
      </c>
      <c r="T80" s="463">
        <f t="shared" si="25"/>
        <v>0.85</v>
      </c>
      <c r="U80" s="19">
        <f t="shared" si="25"/>
        <v>0.87</v>
      </c>
      <c r="V80" s="19">
        <f t="shared" si="25"/>
        <v>0.89</v>
      </c>
      <c r="W80" s="19">
        <f t="shared" si="25"/>
        <v>0.86</v>
      </c>
      <c r="X80" s="19">
        <f t="shared" si="25"/>
        <v>0.85</v>
      </c>
      <c r="Y80" s="19">
        <f t="shared" si="25"/>
        <v>0.96</v>
      </c>
      <c r="Z80" s="19">
        <f t="shared" si="25"/>
        <v>0.98</v>
      </c>
      <c r="AA80" s="19">
        <f t="shared" si="25"/>
        <v>0.96</v>
      </c>
      <c r="AB80" s="19">
        <f t="shared" si="25"/>
        <v>0.9</v>
      </c>
      <c r="AC80" s="19">
        <f t="shared" si="25"/>
        <v>0.85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6">SUM(F17,F22,F25,F31,F34,F60,F65,F76,F80,F82)</f>
        <v>40.819999999999993</v>
      </c>
      <c r="G83" s="28">
        <f t="shared" si="26"/>
        <v>38.86</v>
      </c>
      <c r="H83" s="28">
        <f t="shared" si="26"/>
        <v>35.450000000000003</v>
      </c>
      <c r="I83" s="28">
        <f t="shared" si="26"/>
        <v>36.299999999999997</v>
      </c>
      <c r="J83" s="28">
        <f t="shared" si="26"/>
        <v>36.07</v>
      </c>
      <c r="K83" s="28">
        <f t="shared" si="26"/>
        <v>38.270000000000003</v>
      </c>
      <c r="L83" s="28">
        <f t="shared" si="26"/>
        <v>43.26</v>
      </c>
      <c r="M83" s="28">
        <f t="shared" si="26"/>
        <v>39.72</v>
      </c>
      <c r="N83" s="28">
        <f t="shared" si="26"/>
        <v>45.78</v>
      </c>
      <c r="O83" s="28">
        <f t="shared" si="26"/>
        <v>54.47</v>
      </c>
      <c r="P83" s="28">
        <f t="shared" si="26"/>
        <v>59.519999999999996</v>
      </c>
      <c r="Q83" s="28">
        <f t="shared" si="26"/>
        <v>61.81</v>
      </c>
      <c r="R83" s="28">
        <f t="shared" si="26"/>
        <v>61</v>
      </c>
      <c r="S83" s="518">
        <f t="shared" si="26"/>
        <v>62.820000000000007</v>
      </c>
      <c r="T83" s="518">
        <f t="shared" si="26"/>
        <v>65.820000000000007</v>
      </c>
      <c r="U83" s="518">
        <f t="shared" si="26"/>
        <v>63.989999999999995</v>
      </c>
      <c r="V83" s="28">
        <f t="shared" si="26"/>
        <v>64.3</v>
      </c>
      <c r="W83" s="28">
        <f t="shared" si="26"/>
        <v>61.25</v>
      </c>
      <c r="X83" s="28">
        <f t="shared" si="26"/>
        <v>54.550000000000004</v>
      </c>
      <c r="Y83" s="28">
        <f t="shared" si="26"/>
        <v>57.430000000000007</v>
      </c>
      <c r="Z83" s="28">
        <f t="shared" si="26"/>
        <v>55.02</v>
      </c>
      <c r="AA83" s="28">
        <f t="shared" si="26"/>
        <v>53.890000000000008</v>
      </c>
      <c r="AB83" s="28">
        <f t="shared" si="26"/>
        <v>50.6</v>
      </c>
      <c r="AC83" s="28">
        <f t="shared" si="26"/>
        <v>46.940000000000005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2.8800000000000026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2.8</v>
      </c>
      <c r="M89" s="64">
        <f t="shared" si="27"/>
        <v>2</v>
      </c>
      <c r="N89" s="64">
        <f t="shared" si="27"/>
        <v>2.8</v>
      </c>
      <c r="O89" s="64">
        <f t="shared" si="27"/>
        <v>7</v>
      </c>
      <c r="P89" s="64">
        <f t="shared" si="27"/>
        <v>7.6</v>
      </c>
      <c r="Q89" s="64">
        <f t="shared" si="27"/>
        <v>7.6</v>
      </c>
      <c r="R89" s="64">
        <f t="shared" si="27"/>
        <v>10.399999999999999</v>
      </c>
      <c r="S89" s="64">
        <f t="shared" si="27"/>
        <v>10.399999999999999</v>
      </c>
      <c r="T89" s="64">
        <f t="shared" si="27"/>
        <v>10.399999999999999</v>
      </c>
      <c r="U89" s="64">
        <f t="shared" si="27"/>
        <v>10.399999999999999</v>
      </c>
      <c r="V89" s="64">
        <f t="shared" si="27"/>
        <v>10.399999999999999</v>
      </c>
      <c r="W89" s="64">
        <f t="shared" si="27"/>
        <v>10.399999999999999</v>
      </c>
      <c r="X89" s="64">
        <f t="shared" si="27"/>
        <v>8</v>
      </c>
      <c r="Y89" s="64">
        <f t="shared" si="27"/>
        <v>8</v>
      </c>
      <c r="Z89" s="64">
        <f t="shared" si="27"/>
        <v>8.3000000000000007</v>
      </c>
      <c r="AA89" s="64">
        <f t="shared" si="27"/>
        <v>8</v>
      </c>
      <c r="AB89" s="64">
        <f t="shared" si="27"/>
        <v>8</v>
      </c>
      <c r="AC89" s="64">
        <f t="shared" si="27"/>
        <v>9.5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0.222</v>
      </c>
      <c r="R90" s="68">
        <v>0.222</v>
      </c>
      <c r="S90" s="68">
        <v>0.23400000000000001</v>
      </c>
      <c r="T90" s="68">
        <v>0.20300000000000001</v>
      </c>
      <c r="U90" s="68">
        <v>0.191</v>
      </c>
      <c r="V90" s="68">
        <v>0.214</v>
      </c>
      <c r="W90" s="68">
        <v>0.14699999999999999</v>
      </c>
      <c r="X90" s="68">
        <v>0.184</v>
      </c>
      <c r="Y90" s="68">
        <v>0.192</v>
      </c>
      <c r="Z90" s="68">
        <v>0.22800000000000001</v>
      </c>
      <c r="AA90" s="68">
        <v>0.23799999999999999</v>
      </c>
      <c r="AB90" s="68">
        <v>0.27800000000000002</v>
      </c>
      <c r="AC90" s="68">
        <v>0.22500000000000001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8">F17</f>
        <v>19.799999999999997</v>
      </c>
      <c r="G91" s="64">
        <f t="shared" si="28"/>
        <v>13.4</v>
      </c>
      <c r="H91" s="64">
        <f t="shared" si="28"/>
        <v>13.6</v>
      </c>
      <c r="I91" s="64">
        <f t="shared" si="28"/>
        <v>13.4</v>
      </c>
      <c r="J91" s="64">
        <f t="shared" si="28"/>
        <v>13.1</v>
      </c>
      <c r="K91" s="64">
        <f t="shared" si="28"/>
        <v>13.7</v>
      </c>
      <c r="L91" s="64">
        <f t="shared" si="28"/>
        <v>13.4</v>
      </c>
      <c r="M91" s="64">
        <f t="shared" si="28"/>
        <v>13.2</v>
      </c>
      <c r="N91" s="64">
        <f t="shared" si="28"/>
        <v>14.899999999999999</v>
      </c>
      <c r="O91" s="64">
        <f t="shared" si="28"/>
        <v>20.399999999999999</v>
      </c>
      <c r="P91" s="64">
        <f t="shared" si="28"/>
        <v>20.700000000000003</v>
      </c>
      <c r="Q91" s="64">
        <f t="shared" si="28"/>
        <v>20.100000000000001</v>
      </c>
      <c r="R91" s="64">
        <f t="shared" si="28"/>
        <v>19.799999999999997</v>
      </c>
      <c r="S91" s="64">
        <f t="shared" si="28"/>
        <v>20.700000000000003</v>
      </c>
      <c r="T91" s="64">
        <f t="shared" si="28"/>
        <v>19.5</v>
      </c>
      <c r="U91" s="64">
        <f t="shared" si="28"/>
        <v>19.799999999999997</v>
      </c>
      <c r="V91" s="64">
        <f t="shared" si="28"/>
        <v>19.799999999999997</v>
      </c>
      <c r="W91" s="64">
        <f t="shared" si="28"/>
        <v>20.100000000000001</v>
      </c>
      <c r="X91" s="64">
        <f t="shared" si="28"/>
        <v>19.200000000000003</v>
      </c>
      <c r="Y91" s="64">
        <f t="shared" si="28"/>
        <v>19.200000000000003</v>
      </c>
      <c r="Z91" s="64">
        <f t="shared" si="28"/>
        <v>20.399999999999999</v>
      </c>
      <c r="AA91" s="64">
        <f t="shared" si="28"/>
        <v>19.5</v>
      </c>
      <c r="AB91" s="64">
        <f t="shared" si="28"/>
        <v>19.7</v>
      </c>
      <c r="AC91" s="64">
        <f t="shared" si="28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0.57099999999999995</v>
      </c>
      <c r="G92" s="68">
        <v>0.495</v>
      </c>
      <c r="H92" s="68">
        <v>0.65400000000000003</v>
      </c>
      <c r="I92" s="68">
        <v>0.7</v>
      </c>
      <c r="J92" s="68">
        <v>0.58499999999999996</v>
      </c>
      <c r="K92" s="68">
        <v>0.498</v>
      </c>
      <c r="L92" s="68">
        <v>0.57299999999999995</v>
      </c>
      <c r="M92" s="68">
        <v>0.747</v>
      </c>
      <c r="N92" s="68">
        <v>0.80100000000000005</v>
      </c>
      <c r="O92" s="68">
        <v>0.79700000000000004</v>
      </c>
      <c r="P92" s="68">
        <v>0.82299999999999995</v>
      </c>
      <c r="Q92" s="68">
        <v>0.62</v>
      </c>
      <c r="R92" s="68">
        <v>0.58799999999999997</v>
      </c>
      <c r="S92" s="68">
        <v>0.67500000000000004</v>
      </c>
      <c r="T92" s="68">
        <v>0.82399999999999995</v>
      </c>
      <c r="U92" s="68">
        <v>0.81599999999999995</v>
      </c>
      <c r="V92" s="68">
        <v>0.81200000000000006</v>
      </c>
      <c r="W92" s="68">
        <v>0.74</v>
      </c>
      <c r="X92" s="68">
        <v>0.57599999999999996</v>
      </c>
      <c r="Y92" s="68">
        <v>0.55100000000000005</v>
      </c>
      <c r="Z92" s="68">
        <v>0.73</v>
      </c>
      <c r="AA92" s="68">
        <v>0.71299999999999997</v>
      </c>
      <c r="AB92" s="68">
        <v>0.78100000000000003</v>
      </c>
      <c r="AC92" s="68">
        <v>0.51400000000000001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9">F31</f>
        <v>5</v>
      </c>
      <c r="G93" s="65">
        <f t="shared" si="29"/>
        <v>9.5</v>
      </c>
      <c r="H93" s="65">
        <f t="shared" si="29"/>
        <v>6</v>
      </c>
      <c r="I93" s="65">
        <f t="shared" si="29"/>
        <v>7.1</v>
      </c>
      <c r="J93" s="65">
        <f t="shared" si="29"/>
        <v>7.2</v>
      </c>
      <c r="K93" s="65">
        <f t="shared" si="29"/>
        <v>8.6999999999999993</v>
      </c>
      <c r="L93" s="65">
        <f t="shared" si="29"/>
        <v>10.8</v>
      </c>
      <c r="M93" s="65">
        <f t="shared" si="29"/>
        <v>8.5</v>
      </c>
      <c r="N93" s="65">
        <f t="shared" si="29"/>
        <v>10.5</v>
      </c>
      <c r="O93" s="65">
        <f t="shared" si="29"/>
        <v>10.9</v>
      </c>
      <c r="P93" s="65">
        <f t="shared" si="29"/>
        <v>11</v>
      </c>
      <c r="Q93" s="65">
        <f t="shared" si="29"/>
        <v>13.85</v>
      </c>
      <c r="R93" s="65">
        <f t="shared" si="29"/>
        <v>14.35</v>
      </c>
      <c r="S93" s="65">
        <f t="shared" si="29"/>
        <v>15.19</v>
      </c>
      <c r="T93" s="65">
        <f t="shared" si="29"/>
        <v>17.14</v>
      </c>
      <c r="U93" s="65">
        <f t="shared" si="29"/>
        <v>14.1</v>
      </c>
      <c r="V93" s="65">
        <f t="shared" si="29"/>
        <v>14.48</v>
      </c>
      <c r="W93" s="65">
        <f t="shared" si="29"/>
        <v>13.559999999999999</v>
      </c>
      <c r="X93" s="65">
        <f t="shared" si="29"/>
        <v>10.99</v>
      </c>
      <c r="Y93" s="65">
        <f t="shared" si="29"/>
        <v>13.5</v>
      </c>
      <c r="Z93" s="65">
        <f t="shared" si="29"/>
        <v>9.5</v>
      </c>
      <c r="AA93" s="65">
        <f t="shared" si="29"/>
        <v>9.6999999999999993</v>
      </c>
      <c r="AB93" s="65">
        <f t="shared" si="29"/>
        <v>6.5</v>
      </c>
      <c r="AC93" s="65">
        <f t="shared" si="29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0.19900000000000001</v>
      </c>
      <c r="G94" s="68">
        <v>0.17499999999999999</v>
      </c>
      <c r="H94" s="68">
        <v>0.183</v>
      </c>
      <c r="I94" s="68">
        <v>0.17499999999999999</v>
      </c>
      <c r="J94" s="68">
        <v>0.18099999999999999</v>
      </c>
      <c r="K94" s="68">
        <v>0.189</v>
      </c>
      <c r="L94" s="68">
        <v>0.19500000000000001</v>
      </c>
      <c r="M94" s="68">
        <v>0.19500000000000001</v>
      </c>
      <c r="N94" s="68">
        <v>0.21</v>
      </c>
      <c r="O94" s="68">
        <v>0.2</v>
      </c>
      <c r="P94" s="68">
        <v>0.22900000000000001</v>
      </c>
      <c r="Q94" s="68">
        <v>0.22500000000000001</v>
      </c>
      <c r="R94" s="68">
        <v>0.19400000000000001</v>
      </c>
      <c r="S94" s="68">
        <v>0.2</v>
      </c>
      <c r="T94" s="68">
        <v>0.16800000000000001</v>
      </c>
      <c r="U94" s="68">
        <v>0.17299999999999999</v>
      </c>
      <c r="V94" s="68">
        <v>0.19</v>
      </c>
      <c r="W94" s="68">
        <v>0.2</v>
      </c>
      <c r="X94" s="68">
        <v>0.21299999999999999</v>
      </c>
      <c r="Y94" s="68">
        <v>0.21</v>
      </c>
      <c r="Z94" s="68">
        <v>0.19</v>
      </c>
      <c r="AA94" s="68">
        <v>0.187</v>
      </c>
      <c r="AB94" s="68">
        <v>0.19700000000000001</v>
      </c>
      <c r="AC94" s="68">
        <v>0.25700000000000001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0.2228</v>
      </c>
      <c r="G95" s="68">
        <v>0.21</v>
      </c>
      <c r="H95" s="68">
        <v>0.20499999999999999</v>
      </c>
      <c r="I95" s="68">
        <v>0.20100000000000001</v>
      </c>
      <c r="J95" s="68">
        <v>0.19980000000000001</v>
      </c>
      <c r="K95" s="68">
        <v>0.20200000000000001</v>
      </c>
      <c r="L95" s="68">
        <v>0.27579999999999999</v>
      </c>
      <c r="M95" s="68">
        <v>0.28000000000000003</v>
      </c>
      <c r="N95" s="68">
        <v>0.27500000000000002</v>
      </c>
      <c r="O95" s="68">
        <v>0.19689999999999999</v>
      </c>
      <c r="P95" s="68">
        <v>0.24030000000000001</v>
      </c>
      <c r="Q95" s="68">
        <v>0.3468</v>
      </c>
      <c r="R95" s="68">
        <v>0.38</v>
      </c>
      <c r="S95" s="68">
        <v>0.37840000000000001</v>
      </c>
      <c r="T95" s="68">
        <v>0.38200000000000001</v>
      </c>
      <c r="U95" s="68">
        <v>0.38900000000000001</v>
      </c>
      <c r="V95" s="68">
        <v>0.377</v>
      </c>
      <c r="W95" s="68">
        <v>0.38900000000000001</v>
      </c>
      <c r="X95" s="68">
        <v>0.37109999999999999</v>
      </c>
      <c r="Y95" s="68">
        <v>0.37809999999999999</v>
      </c>
      <c r="Z95" s="68">
        <v>0.25869999999999999</v>
      </c>
      <c r="AA95" s="68">
        <v>0.20399999999999999</v>
      </c>
      <c r="AB95" s="68">
        <v>0.218</v>
      </c>
      <c r="AC95" s="68" t="s">
        <v>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0">F34</f>
        <v>14.27</v>
      </c>
      <c r="G96" s="65">
        <f t="shared" si="30"/>
        <v>14.3</v>
      </c>
      <c r="H96" s="65">
        <f t="shared" si="30"/>
        <v>14.27</v>
      </c>
      <c r="I96" s="65">
        <f t="shared" si="30"/>
        <v>14.29</v>
      </c>
      <c r="J96" s="65">
        <f t="shared" si="30"/>
        <v>14.28</v>
      </c>
      <c r="K96" s="65">
        <f t="shared" si="30"/>
        <v>14.24</v>
      </c>
      <c r="L96" s="65">
        <f t="shared" si="30"/>
        <v>14.25</v>
      </c>
      <c r="M96" s="65">
        <f t="shared" si="30"/>
        <v>14.27</v>
      </c>
      <c r="N96" s="65">
        <f t="shared" si="30"/>
        <v>14.26</v>
      </c>
      <c r="O96" s="65">
        <f t="shared" si="30"/>
        <v>14.28</v>
      </c>
      <c r="P96" s="65">
        <f t="shared" si="30"/>
        <v>14.26</v>
      </c>
      <c r="Q96" s="65">
        <f t="shared" si="30"/>
        <v>14.24</v>
      </c>
      <c r="R96" s="65">
        <f t="shared" si="30"/>
        <v>14.21</v>
      </c>
      <c r="S96" s="65">
        <f t="shared" si="30"/>
        <v>14.31</v>
      </c>
      <c r="T96" s="65">
        <f t="shared" si="30"/>
        <v>14.32</v>
      </c>
      <c r="U96" s="65">
        <f t="shared" si="30"/>
        <v>14.31</v>
      </c>
      <c r="V96" s="65">
        <f t="shared" si="30"/>
        <v>14.21</v>
      </c>
      <c r="W96" s="65">
        <f t="shared" si="30"/>
        <v>14.3</v>
      </c>
      <c r="X96" s="65">
        <f t="shared" si="30"/>
        <v>14.32</v>
      </c>
      <c r="Y96" s="65">
        <f t="shared" si="30"/>
        <v>14.31</v>
      </c>
      <c r="Z96" s="65">
        <f t="shared" si="30"/>
        <v>14.31</v>
      </c>
      <c r="AA96" s="65">
        <f t="shared" si="30"/>
        <v>14.31</v>
      </c>
      <c r="AB96" s="65">
        <f t="shared" si="30"/>
        <v>14.26</v>
      </c>
      <c r="AC96" s="65">
        <f t="shared" si="30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0.73</v>
      </c>
      <c r="G97" s="68">
        <v>0.7</v>
      </c>
      <c r="H97" s="68">
        <v>0.73</v>
      </c>
      <c r="I97" s="68">
        <v>0.71</v>
      </c>
      <c r="J97" s="68">
        <v>0.72</v>
      </c>
      <c r="K97" s="68">
        <v>0.76</v>
      </c>
      <c r="L97" s="68">
        <v>0.75</v>
      </c>
      <c r="M97" s="68">
        <v>0.73</v>
      </c>
      <c r="N97" s="68">
        <v>0.74</v>
      </c>
      <c r="O97" s="68">
        <v>0.72</v>
      </c>
      <c r="P97" s="68">
        <v>0.74</v>
      </c>
      <c r="Q97" s="68">
        <v>0.76</v>
      </c>
      <c r="R97" s="68">
        <v>0.79</v>
      </c>
      <c r="S97" s="68">
        <v>0.69</v>
      </c>
      <c r="T97" s="68">
        <v>0.68</v>
      </c>
      <c r="U97" s="68">
        <v>0.69</v>
      </c>
      <c r="V97" s="68">
        <v>0.69</v>
      </c>
      <c r="W97" s="68">
        <v>0.7</v>
      </c>
      <c r="X97" s="68">
        <v>0.68</v>
      </c>
      <c r="Y97" s="68">
        <v>0.69</v>
      </c>
      <c r="Z97" s="68">
        <v>0.69</v>
      </c>
      <c r="AA97" s="68">
        <v>0.78</v>
      </c>
      <c r="AB97" s="68">
        <v>0.74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1.5</v>
      </c>
      <c r="O98" s="64">
        <f t="shared" si="31"/>
        <v>0</v>
      </c>
      <c r="P98" s="64">
        <f t="shared" si="31"/>
        <v>3.8</v>
      </c>
      <c r="Q98" s="64">
        <f t="shared" si="31"/>
        <v>3.8</v>
      </c>
      <c r="R98" s="64">
        <f t="shared" si="31"/>
        <v>0</v>
      </c>
      <c r="S98" s="64">
        <f t="shared" si="31"/>
        <v>0</v>
      </c>
      <c r="T98" s="64">
        <f t="shared" si="31"/>
        <v>2.2000000000000002</v>
      </c>
      <c r="U98" s="64">
        <f t="shared" si="31"/>
        <v>3.1</v>
      </c>
      <c r="V98" s="64">
        <f t="shared" si="31"/>
        <v>3.1</v>
      </c>
      <c r="W98" s="64">
        <f t="shared" si="31"/>
        <v>0.7</v>
      </c>
      <c r="X98" s="64">
        <f t="shared" si="31"/>
        <v>0</v>
      </c>
      <c r="Y98" s="64">
        <f t="shared" si="31"/>
        <v>0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2">F65</f>
        <v>0.95</v>
      </c>
      <c r="G99" s="64">
        <f t="shared" si="32"/>
        <v>0.9</v>
      </c>
      <c r="H99" s="64">
        <f t="shared" si="32"/>
        <v>0.85</v>
      </c>
      <c r="I99" s="64">
        <f t="shared" si="32"/>
        <v>0.8</v>
      </c>
      <c r="J99" s="64">
        <f t="shared" si="32"/>
        <v>0.78</v>
      </c>
      <c r="K99" s="64">
        <f t="shared" si="32"/>
        <v>0.89</v>
      </c>
      <c r="L99" s="64">
        <f t="shared" si="32"/>
        <v>1.1599999999999999</v>
      </c>
      <c r="M99" s="64">
        <f t="shared" si="32"/>
        <v>1.04</v>
      </c>
      <c r="N99" s="64">
        <f t="shared" si="32"/>
        <v>1.0900000000000001</v>
      </c>
      <c r="O99" s="64">
        <f t="shared" si="32"/>
        <v>1.1200000000000001</v>
      </c>
      <c r="P99" s="64">
        <f t="shared" si="32"/>
        <v>1.33</v>
      </c>
      <c r="Q99" s="64">
        <f t="shared" si="32"/>
        <v>1.37</v>
      </c>
      <c r="R99" s="64">
        <f t="shared" si="32"/>
        <v>1.38</v>
      </c>
      <c r="S99" s="64">
        <f t="shared" si="32"/>
        <v>1.37</v>
      </c>
      <c r="T99" s="64">
        <f t="shared" si="32"/>
        <v>1.41</v>
      </c>
      <c r="U99" s="64">
        <f t="shared" si="32"/>
        <v>1.41</v>
      </c>
      <c r="V99" s="64">
        <f t="shared" si="32"/>
        <v>1.42</v>
      </c>
      <c r="W99" s="64">
        <f t="shared" si="32"/>
        <v>1.33</v>
      </c>
      <c r="X99" s="64">
        <f t="shared" si="32"/>
        <v>1.19</v>
      </c>
      <c r="Y99" s="64">
        <f t="shared" si="32"/>
        <v>1.46</v>
      </c>
      <c r="Z99" s="64">
        <f t="shared" si="32"/>
        <v>1.53</v>
      </c>
      <c r="AA99" s="64">
        <f t="shared" si="32"/>
        <v>1.42</v>
      </c>
      <c r="AB99" s="64">
        <f t="shared" si="32"/>
        <v>1.24</v>
      </c>
      <c r="AC99" s="64">
        <f t="shared" si="32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4">F80</f>
        <v>0.8</v>
      </c>
      <c r="G101" s="64">
        <f t="shared" si="34"/>
        <v>0.76</v>
      </c>
      <c r="H101" s="64">
        <f t="shared" si="34"/>
        <v>0.73</v>
      </c>
      <c r="I101" s="64">
        <f t="shared" si="34"/>
        <v>0.71</v>
      </c>
      <c r="J101" s="64">
        <f t="shared" si="34"/>
        <v>0.71</v>
      </c>
      <c r="K101" s="64">
        <f t="shared" si="34"/>
        <v>0.74</v>
      </c>
      <c r="L101" s="64">
        <f t="shared" si="34"/>
        <v>0.85</v>
      </c>
      <c r="M101" s="64">
        <f t="shared" si="34"/>
        <v>0.71</v>
      </c>
      <c r="N101" s="64">
        <f t="shared" si="34"/>
        <v>0.73</v>
      </c>
      <c r="O101" s="64">
        <f t="shared" si="34"/>
        <v>0.77</v>
      </c>
      <c r="P101" s="64">
        <f t="shared" si="34"/>
        <v>0.83</v>
      </c>
      <c r="Q101" s="64">
        <f t="shared" si="34"/>
        <v>0.85</v>
      </c>
      <c r="R101" s="64">
        <f t="shared" si="34"/>
        <v>0.86</v>
      </c>
      <c r="S101" s="64">
        <f t="shared" si="34"/>
        <v>0.85</v>
      </c>
      <c r="T101" s="64">
        <f t="shared" si="34"/>
        <v>0.85</v>
      </c>
      <c r="U101" s="64">
        <f t="shared" si="34"/>
        <v>0.87</v>
      </c>
      <c r="V101" s="64">
        <f t="shared" si="34"/>
        <v>0.89</v>
      </c>
      <c r="W101" s="64">
        <f t="shared" si="34"/>
        <v>0.86</v>
      </c>
      <c r="X101" s="64">
        <f t="shared" si="34"/>
        <v>0.85</v>
      </c>
      <c r="Y101" s="64">
        <f t="shared" si="34"/>
        <v>0.96</v>
      </c>
      <c r="Z101" s="64">
        <f t="shared" si="34"/>
        <v>0.98</v>
      </c>
      <c r="AA101" s="64">
        <f t="shared" si="34"/>
        <v>0.96</v>
      </c>
      <c r="AB101" s="64">
        <f t="shared" si="34"/>
        <v>0.9</v>
      </c>
      <c r="AC101" s="64">
        <f t="shared" si="34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6">SUM(F89,F91,F93,F96,F98:F102,F81)</f>
        <v>40.819999999999993</v>
      </c>
      <c r="G103" s="61">
        <f t="shared" si="36"/>
        <v>38.86</v>
      </c>
      <c r="H103" s="61">
        <f t="shared" si="36"/>
        <v>35.450000000000003</v>
      </c>
      <c r="I103" s="61">
        <f t="shared" si="36"/>
        <v>36.299999999999997</v>
      </c>
      <c r="J103" s="61">
        <f t="shared" si="36"/>
        <v>36.07</v>
      </c>
      <c r="K103" s="61">
        <f t="shared" si="36"/>
        <v>38.270000000000003</v>
      </c>
      <c r="L103" s="61">
        <f t="shared" si="36"/>
        <v>43.26</v>
      </c>
      <c r="M103" s="61">
        <f t="shared" si="36"/>
        <v>39.72</v>
      </c>
      <c r="N103" s="61">
        <f t="shared" si="36"/>
        <v>45.78</v>
      </c>
      <c r="O103" s="61">
        <f t="shared" si="36"/>
        <v>54.47</v>
      </c>
      <c r="P103" s="61">
        <f t="shared" si="36"/>
        <v>59.519999999999996</v>
      </c>
      <c r="Q103" s="61">
        <f t="shared" si="36"/>
        <v>61.81</v>
      </c>
      <c r="R103" s="61">
        <f t="shared" si="36"/>
        <v>61</v>
      </c>
      <c r="S103" s="61">
        <f t="shared" si="36"/>
        <v>62.82</v>
      </c>
      <c r="T103" s="61">
        <f t="shared" si="36"/>
        <v>65.819999999999993</v>
      </c>
      <c r="U103" s="61">
        <f t="shared" si="36"/>
        <v>63.989999999999995</v>
      </c>
      <c r="V103" s="61">
        <f t="shared" si="36"/>
        <v>64.3</v>
      </c>
      <c r="W103" s="61">
        <f t="shared" si="36"/>
        <v>61.25</v>
      </c>
      <c r="X103" s="61">
        <f t="shared" si="36"/>
        <v>54.550000000000004</v>
      </c>
      <c r="Y103" s="61">
        <f t="shared" si="36"/>
        <v>57.430000000000007</v>
      </c>
      <c r="Z103" s="61">
        <f t="shared" si="36"/>
        <v>55.02</v>
      </c>
      <c r="AA103" s="61">
        <f t="shared" si="36"/>
        <v>53.890000000000008</v>
      </c>
      <c r="AB103" s="61">
        <f t="shared" si="36"/>
        <v>50.6</v>
      </c>
      <c r="AC103" s="61">
        <f t="shared" si="36"/>
        <v>46.940000000000005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0.98</v>
      </c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0.98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8">F103+F107</f>
        <v>40.819999999999993</v>
      </c>
      <c r="G108" s="62">
        <f t="shared" si="38"/>
        <v>38.86</v>
      </c>
      <c r="H108" s="62">
        <f t="shared" si="38"/>
        <v>35.450000000000003</v>
      </c>
      <c r="I108" s="62">
        <f t="shared" si="38"/>
        <v>36.299999999999997</v>
      </c>
      <c r="J108" s="62">
        <f t="shared" si="38"/>
        <v>36.07</v>
      </c>
      <c r="K108" s="62">
        <f t="shared" si="38"/>
        <v>38.270000000000003</v>
      </c>
      <c r="L108" s="62">
        <f t="shared" si="38"/>
        <v>43.26</v>
      </c>
      <c r="M108" s="62">
        <f t="shared" si="38"/>
        <v>39.72</v>
      </c>
      <c r="N108" s="62">
        <f t="shared" si="38"/>
        <v>45.78</v>
      </c>
      <c r="O108" s="62">
        <f t="shared" si="38"/>
        <v>54.47</v>
      </c>
      <c r="P108" s="62">
        <f>P103+P107</f>
        <v>59.519999999999996</v>
      </c>
      <c r="Q108" s="62">
        <f t="shared" si="38"/>
        <v>61.81</v>
      </c>
      <c r="R108" s="62">
        <f t="shared" si="38"/>
        <v>61</v>
      </c>
      <c r="S108" s="62">
        <f t="shared" si="38"/>
        <v>62.82</v>
      </c>
      <c r="T108" s="62">
        <f>T103+T107</f>
        <v>65.819999999999993</v>
      </c>
      <c r="U108" s="62">
        <f t="shared" si="38"/>
        <v>64.97</v>
      </c>
      <c r="V108" s="62">
        <f t="shared" si="38"/>
        <v>64.3</v>
      </c>
      <c r="W108" s="62">
        <f>W103+W107</f>
        <v>61.25</v>
      </c>
      <c r="X108" s="62">
        <f t="shared" si="38"/>
        <v>54.550000000000004</v>
      </c>
      <c r="Y108" s="62">
        <f t="shared" si="38"/>
        <v>57.430000000000007</v>
      </c>
      <c r="Z108" s="62">
        <f t="shared" si="38"/>
        <v>55.02</v>
      </c>
      <c r="AA108" s="62">
        <f t="shared" si="38"/>
        <v>53.890000000000008</v>
      </c>
      <c r="AB108" s="62">
        <f t="shared" si="38"/>
        <v>50.6</v>
      </c>
      <c r="AC108" s="62">
        <f t="shared" si="38"/>
        <v>46.940000000000005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9">(COUNT(F13:F16))*7.2+(COUNT(F27:F28)*4.9)+(COUNT(F19:F21)*4.5)-F91-F93</f>
        <v>6.2000000000000028</v>
      </c>
      <c r="G109" s="63">
        <f t="shared" si="39"/>
        <v>0.90000000000000036</v>
      </c>
      <c r="H109" s="63">
        <f t="shared" si="39"/>
        <v>4.2000000000000011</v>
      </c>
      <c r="I109" s="63">
        <f t="shared" si="39"/>
        <v>3.3000000000000007</v>
      </c>
      <c r="J109" s="63">
        <f t="shared" si="39"/>
        <v>10.7</v>
      </c>
      <c r="K109" s="63">
        <f t="shared" si="39"/>
        <v>8.6000000000000014</v>
      </c>
      <c r="L109" s="63">
        <f t="shared" si="39"/>
        <v>6.8000000000000007</v>
      </c>
      <c r="M109" s="63">
        <f t="shared" si="39"/>
        <v>14.200000000000006</v>
      </c>
      <c r="N109" s="63">
        <f t="shared" si="39"/>
        <v>10.500000000000007</v>
      </c>
      <c r="O109" s="63">
        <f t="shared" si="39"/>
        <v>4.6000000000000068</v>
      </c>
      <c r="P109" s="63">
        <f t="shared" si="39"/>
        <v>4.2000000000000028</v>
      </c>
      <c r="Q109" s="63">
        <f t="shared" si="39"/>
        <v>1.9500000000000046</v>
      </c>
      <c r="R109" s="63">
        <f t="shared" si="39"/>
        <v>6.2500000000000089</v>
      </c>
      <c r="S109" s="63">
        <f t="shared" si="39"/>
        <v>-0.39000000000000234</v>
      </c>
      <c r="T109" s="63">
        <f t="shared" si="39"/>
        <v>-1.1400000000000006</v>
      </c>
      <c r="U109" s="63">
        <f t="shared" si="39"/>
        <v>1.6000000000000032</v>
      </c>
      <c r="V109" s="63">
        <f t="shared" si="39"/>
        <v>1.2200000000000024</v>
      </c>
      <c r="W109" s="63">
        <f t="shared" si="39"/>
        <v>1.8399999999999999</v>
      </c>
      <c r="X109" s="63">
        <f t="shared" si="39"/>
        <v>9.8099999999999969</v>
      </c>
      <c r="Y109" s="63">
        <f t="shared" si="39"/>
        <v>7.2999999999999972</v>
      </c>
      <c r="Z109" s="63">
        <f t="shared" si="39"/>
        <v>10.100000000000001</v>
      </c>
      <c r="AA109" s="63">
        <f t="shared" si="39"/>
        <v>6.3000000000000007</v>
      </c>
      <c r="AB109" s="63">
        <f t="shared" si="39"/>
        <v>9.3000000000000007</v>
      </c>
      <c r="AC109" s="63">
        <f t="shared" si="39"/>
        <v>12.000000000000004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0.30000000000000426</v>
      </c>
      <c r="G110" s="205">
        <f t="shared" si="40"/>
        <v>-5</v>
      </c>
      <c r="H110" s="205">
        <f t="shared" si="40"/>
        <v>-1.6999999999999993</v>
      </c>
      <c r="I110" s="205">
        <f t="shared" si="40"/>
        <v>-2.5999999999999996</v>
      </c>
      <c r="J110" s="205">
        <f t="shared" si="40"/>
        <v>-2.3999999999999995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-4.4999999999999982</v>
      </c>
      <c r="L110" s="205">
        <f t="shared" si="40"/>
        <v>-5.6000000000000005</v>
      </c>
      <c r="M110" s="205">
        <f t="shared" si="40"/>
        <v>-0.89999999999999858</v>
      </c>
      <c r="N110" s="205">
        <f t="shared" si="40"/>
        <v>1.8000000000000034</v>
      </c>
      <c r="O110" s="205">
        <f t="shared" si="40"/>
        <v>-2.7999999999999972</v>
      </c>
      <c r="P110" s="205">
        <f t="shared" si="40"/>
        <v>-3.8000000000000007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-6.0499999999999989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-5.9499999999999948</v>
      </c>
      <c r="S110" s="205">
        <f t="shared" si="41"/>
        <v>-7.6899999999999995</v>
      </c>
      <c r="T110" s="205">
        <f t="shared" si="41"/>
        <v>-8.44</v>
      </c>
      <c r="U110" s="205">
        <f t="shared" si="41"/>
        <v>-5.6999999999999948</v>
      </c>
      <c r="V110" s="205">
        <f t="shared" si="41"/>
        <v>-6.0799999999999956</v>
      </c>
      <c r="W110" s="205">
        <f t="shared" si="41"/>
        <v>-5.4599999999999982</v>
      </c>
      <c r="X110" s="205">
        <f t="shared" si="41"/>
        <v>4.9099999999999984</v>
      </c>
      <c r="Y110" s="205">
        <f t="shared" si="41"/>
        <v>2.3999999999999986</v>
      </c>
      <c r="Z110" s="205">
        <f t="shared" si="41"/>
        <v>4.900000000000003</v>
      </c>
      <c r="AA110" s="205">
        <f t="shared" si="41"/>
        <v>1.4000000000000021</v>
      </c>
      <c r="AB110" s="205">
        <f t="shared" si="41"/>
        <v>4.4000000000000021</v>
      </c>
      <c r="AC110" s="205">
        <f t="shared" si="41"/>
        <v>5.2000000000000028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60.19</v>
      </c>
      <c r="G111" s="456">
        <v>60.12</v>
      </c>
      <c r="H111" s="456">
        <v>60.09</v>
      </c>
      <c r="I111" s="456">
        <v>60.09</v>
      </c>
      <c r="J111" s="456">
        <v>60.1</v>
      </c>
      <c r="K111" s="456">
        <v>60.03</v>
      </c>
      <c r="L111" s="456">
        <v>60.04</v>
      </c>
      <c r="M111" s="456">
        <v>60.2</v>
      </c>
      <c r="N111" s="456">
        <v>60.14</v>
      </c>
      <c r="O111" s="456">
        <v>60.07</v>
      </c>
      <c r="P111" s="457">
        <v>60.04</v>
      </c>
      <c r="Q111" s="457">
        <v>60.18</v>
      </c>
      <c r="R111" s="457">
        <v>60.16</v>
      </c>
      <c r="S111" s="457">
        <v>60.01</v>
      </c>
      <c r="T111" s="457">
        <v>60.19</v>
      </c>
      <c r="U111" s="456">
        <v>60.14</v>
      </c>
      <c r="V111" s="456">
        <v>60.16</v>
      </c>
      <c r="W111" s="456">
        <v>60.12</v>
      </c>
      <c r="X111" s="456">
        <v>60.23</v>
      </c>
      <c r="Y111" s="456">
        <v>60.24</v>
      </c>
      <c r="Z111" s="456">
        <v>60.1</v>
      </c>
      <c r="AA111" s="456">
        <v>60.22</v>
      </c>
      <c r="AB111" s="456">
        <v>60.25</v>
      </c>
      <c r="AC111" s="456">
        <v>60.19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/>
      <c r="M115" s="520"/>
      <c r="N115" s="520"/>
      <c r="O115" s="520"/>
      <c r="P115" s="520"/>
      <c r="Q115" s="520"/>
      <c r="R115" s="520"/>
      <c r="S115" s="520"/>
      <c r="T115" s="520"/>
      <c r="U115" s="520"/>
      <c r="V115" s="520"/>
      <c r="W115" s="520"/>
      <c r="X115" s="520"/>
      <c r="Y115" s="520"/>
      <c r="Z115" s="520"/>
      <c r="AA115" s="520"/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5206" priority="618" operator="greaterThan">
      <formula>60.3</formula>
    </cfRule>
  </conditionalFormatting>
  <conditionalFormatting sqref="F111">
    <cfRule type="cellIs" dxfId="15205" priority="617" operator="greaterThan">
      <formula>60.3</formula>
    </cfRule>
  </conditionalFormatting>
  <conditionalFormatting sqref="H13:J13 N13:O13 D42:E42 L13 N36:AC39 N57:AC59 O14:O16 L51:M55 L36:L50 P13:AC16 I15:N16 P40:AC40 N41:AC46 H62:L64 M50:AC50 H36:J59 L56:L59 F36:F59 P47:AC49 O51:AC56 P62:AC64">
    <cfRule type="cellIs" dxfId="15204" priority="609" operator="equal">
      <formula>"PMS"</formula>
    </cfRule>
    <cfRule type="containsText" dxfId="15203" priority="610" operator="containsText" text="CMS">
      <formula>NOT(ISERROR(SEARCH("CMS",D13)))</formula>
    </cfRule>
    <cfRule type="cellIs" dxfId="15202" priority="611" operator="equal">
      <formula>0</formula>
    </cfRule>
    <cfRule type="cellIs" dxfId="15201" priority="612" operator="greaterThan">
      <formula>0</formula>
    </cfRule>
    <cfRule type="cellIs" dxfId="15200" priority="613" operator="equal">
      <formula>"PMS"</formula>
    </cfRule>
    <cfRule type="containsText" dxfId="15199" priority="614" operator="containsText" text="CMS">
      <formula>NOT(ISERROR(SEARCH("CMS",D13)))</formula>
    </cfRule>
    <cfRule type="cellIs" dxfId="15198" priority="615" operator="equal">
      <formula>0</formula>
    </cfRule>
    <cfRule type="cellIs" dxfId="15197" priority="616" operator="greaterThan">
      <formula>0</formula>
    </cfRule>
  </conditionalFormatting>
  <conditionalFormatting sqref="H13:J13 N13:O13 D42:E42 L13 N36:AC39 N57:AC59 O14:O16 L51:M55 L36:L50 P13:AC16 I15:N16 P40:AC40 N41:AC46 H62:L64 M50:AC50 H36:J59 L56:L59 F36:F59 P47:AC49 O51:AC56 P62:AC64">
    <cfRule type="cellIs" dxfId="15196" priority="605" operator="equal">
      <formula>"PMS"</formula>
    </cfRule>
    <cfRule type="containsText" dxfId="15195" priority="606" operator="containsText" text="CMS">
      <formula>NOT(ISERROR(SEARCH("CMS",D13)))</formula>
    </cfRule>
    <cfRule type="cellIs" dxfId="15194" priority="607" operator="equal">
      <formula>0</formula>
    </cfRule>
    <cfRule type="cellIs" dxfId="15193" priority="608" operator="greaterThan">
      <formula>0</formula>
    </cfRule>
  </conditionalFormatting>
  <conditionalFormatting sqref="G67:AC75">
    <cfRule type="cellIs" dxfId="15192" priority="597" operator="equal">
      <formula>"PMS"</formula>
    </cfRule>
    <cfRule type="containsText" dxfId="15191" priority="598" operator="containsText" text="CMS">
      <formula>NOT(ISERROR(SEARCH("CMS",G67)))</formula>
    </cfRule>
    <cfRule type="cellIs" dxfId="15190" priority="599" operator="equal">
      <formula>0</formula>
    </cfRule>
    <cfRule type="cellIs" dxfId="15189" priority="600" operator="greaterThan">
      <formula>0</formula>
    </cfRule>
    <cfRule type="cellIs" dxfId="15188" priority="601" operator="equal">
      <formula>"PMS"</formula>
    </cfRule>
    <cfRule type="containsText" dxfId="15187" priority="602" operator="containsText" text="CMS">
      <formula>NOT(ISERROR(SEARCH("CMS",G67)))</formula>
    </cfRule>
    <cfRule type="cellIs" dxfId="15186" priority="603" operator="equal">
      <formula>0</formula>
    </cfRule>
    <cfRule type="cellIs" dxfId="15185" priority="604" operator="greaterThan">
      <formula>0</formula>
    </cfRule>
  </conditionalFormatting>
  <conditionalFormatting sqref="G67:AC75">
    <cfRule type="cellIs" dxfId="15184" priority="593" operator="equal">
      <formula>"PMS"</formula>
    </cfRule>
    <cfRule type="containsText" dxfId="15183" priority="594" operator="containsText" text="CMS">
      <formula>NOT(ISERROR(SEARCH("CMS",G67)))</formula>
    </cfRule>
    <cfRule type="cellIs" dxfId="15182" priority="595" operator="equal">
      <formula>0</formula>
    </cfRule>
    <cfRule type="cellIs" dxfId="15181" priority="596" operator="greaterThan">
      <formula>0</formula>
    </cfRule>
  </conditionalFormatting>
  <conditionalFormatting sqref="G82:AC82">
    <cfRule type="cellIs" dxfId="15180" priority="585" operator="equal">
      <formula>"PMS"</formula>
    </cfRule>
    <cfRule type="containsText" dxfId="15179" priority="586" operator="containsText" text="CMS">
      <formula>NOT(ISERROR(SEARCH("CMS",G82)))</formula>
    </cfRule>
    <cfRule type="cellIs" dxfId="15178" priority="587" operator="equal">
      <formula>0</formula>
    </cfRule>
    <cfRule type="cellIs" dxfId="15177" priority="588" operator="greaterThan">
      <formula>0</formula>
    </cfRule>
    <cfRule type="cellIs" dxfId="15176" priority="589" operator="equal">
      <formula>"PMS"</formula>
    </cfRule>
    <cfRule type="containsText" dxfId="15175" priority="590" operator="containsText" text="CMS">
      <formula>NOT(ISERROR(SEARCH("CMS",G82)))</formula>
    </cfRule>
    <cfRule type="cellIs" dxfId="15174" priority="591" operator="equal">
      <formula>0</formula>
    </cfRule>
    <cfRule type="cellIs" dxfId="15173" priority="592" operator="greaterThan">
      <formula>0</formula>
    </cfRule>
  </conditionalFormatting>
  <conditionalFormatting sqref="G82:AC82">
    <cfRule type="cellIs" dxfId="15172" priority="581" operator="equal">
      <formula>"PMS"</formula>
    </cfRule>
    <cfRule type="containsText" dxfId="15171" priority="582" operator="containsText" text="CMS">
      <formula>NOT(ISERROR(SEARCH("CMS",G82)))</formula>
    </cfRule>
    <cfRule type="cellIs" dxfId="15170" priority="583" operator="equal">
      <formula>0</formula>
    </cfRule>
    <cfRule type="cellIs" dxfId="15169" priority="584" operator="greaterThan">
      <formula>0</formula>
    </cfRule>
  </conditionalFormatting>
  <conditionalFormatting sqref="I14 M14:N14">
    <cfRule type="cellIs" dxfId="15168" priority="573" operator="equal">
      <formula>"PMS"</formula>
    </cfRule>
    <cfRule type="containsText" dxfId="15167" priority="574" operator="containsText" text="CMS">
      <formula>NOT(ISERROR(SEARCH("CMS",I14)))</formula>
    </cfRule>
    <cfRule type="cellIs" dxfId="15166" priority="575" operator="equal">
      <formula>0</formula>
    </cfRule>
    <cfRule type="cellIs" dxfId="15165" priority="576" operator="greaterThan">
      <formula>0</formula>
    </cfRule>
    <cfRule type="cellIs" dxfId="15164" priority="577" operator="equal">
      <formula>"PMS"</formula>
    </cfRule>
    <cfRule type="containsText" dxfId="15163" priority="578" operator="containsText" text="CMS">
      <formula>NOT(ISERROR(SEARCH("CMS",I14)))</formula>
    </cfRule>
    <cfRule type="cellIs" dxfId="15162" priority="579" operator="equal">
      <formula>0</formula>
    </cfRule>
    <cfRule type="cellIs" dxfId="15161" priority="580" operator="greaterThan">
      <formula>0</formula>
    </cfRule>
  </conditionalFormatting>
  <conditionalFormatting sqref="I14 M14:N14">
    <cfRule type="cellIs" dxfId="15160" priority="569" operator="equal">
      <formula>"PMS"</formula>
    </cfRule>
    <cfRule type="containsText" dxfId="15159" priority="570" operator="containsText" text="CMS">
      <formula>NOT(ISERROR(SEARCH("CMS",I14)))</formula>
    </cfRule>
    <cfRule type="cellIs" dxfId="15158" priority="571" operator="equal">
      <formula>0</formula>
    </cfRule>
    <cfRule type="cellIs" dxfId="15157" priority="572" operator="greaterThan">
      <formula>0</formula>
    </cfRule>
  </conditionalFormatting>
  <conditionalFormatting sqref="G13">
    <cfRule type="cellIs" dxfId="15156" priority="561" operator="equal">
      <formula>"PMS"</formula>
    </cfRule>
    <cfRule type="containsText" dxfId="15155" priority="562" operator="containsText" text="CMS">
      <formula>NOT(ISERROR(SEARCH("CMS",G13)))</formula>
    </cfRule>
    <cfRule type="cellIs" dxfId="15154" priority="563" operator="equal">
      <formula>0</formula>
    </cfRule>
    <cfRule type="cellIs" dxfId="15153" priority="564" operator="greaterThan">
      <formula>0</formula>
    </cfRule>
    <cfRule type="cellIs" dxfId="15152" priority="565" operator="equal">
      <formula>"PMS"</formula>
    </cfRule>
    <cfRule type="containsText" dxfId="15151" priority="566" operator="containsText" text="CMS">
      <formula>NOT(ISERROR(SEARCH("CMS",G13)))</formula>
    </cfRule>
    <cfRule type="cellIs" dxfId="15150" priority="567" operator="equal">
      <formula>0</formula>
    </cfRule>
    <cfRule type="cellIs" dxfId="15149" priority="568" operator="greaterThan">
      <formula>0</formula>
    </cfRule>
  </conditionalFormatting>
  <conditionalFormatting sqref="G13">
    <cfRule type="cellIs" dxfId="15148" priority="557" operator="equal">
      <formula>"PMS"</formula>
    </cfRule>
    <cfRule type="containsText" dxfId="15147" priority="558" operator="containsText" text="CMS">
      <formula>NOT(ISERROR(SEARCH("CMS",G13)))</formula>
    </cfRule>
    <cfRule type="cellIs" dxfId="15146" priority="559" operator="equal">
      <formula>0</formula>
    </cfRule>
    <cfRule type="cellIs" dxfId="15145" priority="560" operator="greaterThan">
      <formula>0</formula>
    </cfRule>
  </conditionalFormatting>
  <conditionalFormatting sqref="M13">
    <cfRule type="cellIs" dxfId="15144" priority="549" operator="equal">
      <formula>"PMS"</formula>
    </cfRule>
    <cfRule type="containsText" dxfId="15143" priority="550" operator="containsText" text="CMS">
      <formula>NOT(ISERROR(SEARCH("CMS",M13)))</formula>
    </cfRule>
    <cfRule type="cellIs" dxfId="15142" priority="551" operator="equal">
      <formula>0</formula>
    </cfRule>
    <cfRule type="cellIs" dxfId="15141" priority="552" operator="greaterThan">
      <formula>0</formula>
    </cfRule>
    <cfRule type="cellIs" dxfId="15140" priority="553" operator="equal">
      <formula>"PMS"</formula>
    </cfRule>
    <cfRule type="containsText" dxfId="15139" priority="554" operator="containsText" text="CMS">
      <formula>NOT(ISERROR(SEARCH("CMS",M13)))</formula>
    </cfRule>
    <cfRule type="cellIs" dxfId="15138" priority="555" operator="equal">
      <formula>0</formula>
    </cfRule>
    <cfRule type="cellIs" dxfId="15137" priority="556" operator="greaterThan">
      <formula>0</formula>
    </cfRule>
  </conditionalFormatting>
  <conditionalFormatting sqref="M13">
    <cfRule type="cellIs" dxfId="15136" priority="545" operator="equal">
      <formula>"PMS"</formula>
    </cfRule>
    <cfRule type="containsText" dxfId="15135" priority="546" operator="containsText" text="CMS">
      <formula>NOT(ISERROR(SEARCH("CMS",M13)))</formula>
    </cfRule>
    <cfRule type="cellIs" dxfId="15134" priority="547" operator="equal">
      <formula>0</formula>
    </cfRule>
    <cfRule type="cellIs" dxfId="15133" priority="548" operator="greaterThan">
      <formula>0</formula>
    </cfRule>
  </conditionalFormatting>
  <conditionalFormatting sqref="K13">
    <cfRule type="cellIs" dxfId="15132" priority="537" operator="equal">
      <formula>"PMS"</formula>
    </cfRule>
    <cfRule type="containsText" dxfId="15131" priority="538" operator="containsText" text="CMS">
      <formula>NOT(ISERROR(SEARCH("CMS",K13)))</formula>
    </cfRule>
    <cfRule type="cellIs" dxfId="15130" priority="539" operator="equal">
      <formula>0</formula>
    </cfRule>
    <cfRule type="cellIs" dxfId="15129" priority="540" operator="greaterThan">
      <formula>0</formula>
    </cfRule>
    <cfRule type="cellIs" dxfId="15128" priority="541" operator="equal">
      <formula>"PMS"</formula>
    </cfRule>
    <cfRule type="containsText" dxfId="15127" priority="542" operator="containsText" text="CMS">
      <formula>NOT(ISERROR(SEARCH("CMS",K13)))</formula>
    </cfRule>
    <cfRule type="cellIs" dxfId="15126" priority="543" operator="equal">
      <formula>0</formula>
    </cfRule>
    <cfRule type="cellIs" dxfId="15125" priority="544" operator="greaterThan">
      <formula>0</formula>
    </cfRule>
  </conditionalFormatting>
  <conditionalFormatting sqref="K13">
    <cfRule type="cellIs" dxfId="15124" priority="533" operator="equal">
      <formula>"PMS"</formula>
    </cfRule>
    <cfRule type="containsText" dxfId="15123" priority="534" operator="containsText" text="CMS">
      <formula>NOT(ISERROR(SEARCH("CMS",K13)))</formula>
    </cfRule>
    <cfRule type="cellIs" dxfId="15122" priority="535" operator="equal">
      <formula>0</formula>
    </cfRule>
    <cfRule type="cellIs" dxfId="15121" priority="536" operator="greaterThan">
      <formula>0</formula>
    </cfRule>
  </conditionalFormatting>
  <conditionalFormatting sqref="G113:AC113">
    <cfRule type="cellIs" dxfId="15120" priority="532" operator="greaterThan">
      <formula>60.3</formula>
    </cfRule>
  </conditionalFormatting>
  <conditionalFormatting sqref="H112:M112">
    <cfRule type="cellIs" dxfId="15119" priority="531" operator="greaterThan">
      <formula>60.3</formula>
    </cfRule>
  </conditionalFormatting>
  <conditionalFormatting sqref="F112:G112">
    <cfRule type="cellIs" dxfId="15118" priority="530" operator="greaterThan">
      <formula>60.3</formula>
    </cfRule>
  </conditionalFormatting>
  <conditionalFormatting sqref="N112:AC112">
    <cfRule type="cellIs" dxfId="15117" priority="529" operator="greaterThan">
      <formula>60.3</formula>
    </cfRule>
  </conditionalFormatting>
  <conditionalFormatting sqref="G15:G16">
    <cfRule type="cellIs" dxfId="15116" priority="521" operator="equal">
      <formula>"PMS"</formula>
    </cfRule>
    <cfRule type="containsText" dxfId="15115" priority="522" operator="containsText" text="CMS">
      <formula>NOT(ISERROR(SEARCH("CMS",G15)))</formula>
    </cfRule>
    <cfRule type="cellIs" dxfId="15114" priority="523" operator="equal">
      <formula>0</formula>
    </cfRule>
    <cfRule type="cellIs" dxfId="15113" priority="524" operator="greaterThan">
      <formula>0</formula>
    </cfRule>
    <cfRule type="cellIs" dxfId="15112" priority="525" operator="equal">
      <formula>"PMS"</formula>
    </cfRule>
    <cfRule type="containsText" dxfId="15111" priority="526" operator="containsText" text="CMS">
      <formula>NOT(ISERROR(SEARCH("CMS",G15)))</formula>
    </cfRule>
    <cfRule type="cellIs" dxfId="15110" priority="527" operator="equal">
      <formula>0</formula>
    </cfRule>
    <cfRule type="cellIs" dxfId="15109" priority="528" operator="greaterThan">
      <formula>0</formula>
    </cfRule>
  </conditionalFormatting>
  <conditionalFormatting sqref="G15:G16">
    <cfRule type="cellIs" dxfId="15108" priority="517" operator="equal">
      <formula>"PMS"</formula>
    </cfRule>
    <cfRule type="containsText" dxfId="15107" priority="518" operator="containsText" text="CMS">
      <formula>NOT(ISERROR(SEARCH("CMS",G15)))</formula>
    </cfRule>
    <cfRule type="cellIs" dxfId="15106" priority="519" operator="equal">
      <formula>0</formula>
    </cfRule>
    <cfRule type="cellIs" dxfId="15105" priority="520" operator="greaterThan">
      <formula>0</formula>
    </cfRule>
  </conditionalFormatting>
  <conditionalFormatting sqref="H14 H16">
    <cfRule type="cellIs" dxfId="15104" priority="509" operator="equal">
      <formula>"PMS"</formula>
    </cfRule>
    <cfRule type="containsText" dxfId="15103" priority="510" operator="containsText" text="CMS">
      <formula>NOT(ISERROR(SEARCH("CMS",H14)))</formula>
    </cfRule>
    <cfRule type="cellIs" dxfId="15102" priority="511" operator="equal">
      <formula>0</formula>
    </cfRule>
    <cfRule type="cellIs" dxfId="15101" priority="512" operator="greaterThan">
      <formula>0</formula>
    </cfRule>
    <cfRule type="cellIs" dxfId="15100" priority="513" operator="equal">
      <formula>"PMS"</formula>
    </cfRule>
    <cfRule type="containsText" dxfId="15099" priority="514" operator="containsText" text="CMS">
      <formula>NOT(ISERROR(SEARCH("CMS",H14)))</formula>
    </cfRule>
    <cfRule type="cellIs" dxfId="15098" priority="515" operator="equal">
      <formula>0</formula>
    </cfRule>
    <cfRule type="cellIs" dxfId="15097" priority="516" operator="greaterThan">
      <formula>0</formula>
    </cfRule>
  </conditionalFormatting>
  <conditionalFormatting sqref="H14 H16">
    <cfRule type="cellIs" dxfId="15096" priority="505" operator="equal">
      <formula>"PMS"</formula>
    </cfRule>
    <cfRule type="containsText" dxfId="15095" priority="506" operator="containsText" text="CMS">
      <formula>NOT(ISERROR(SEARCH("CMS",H14)))</formula>
    </cfRule>
    <cfRule type="cellIs" dxfId="15094" priority="507" operator="equal">
      <formula>0</formula>
    </cfRule>
    <cfRule type="cellIs" dxfId="15093" priority="508" operator="greaterThan">
      <formula>0</formula>
    </cfRule>
  </conditionalFormatting>
  <conditionalFormatting sqref="G36:G38 G57:G59">
    <cfRule type="cellIs" dxfId="15092" priority="497" operator="equal">
      <formula>"PMS"</formula>
    </cfRule>
    <cfRule type="containsText" dxfId="15091" priority="498" operator="containsText" text="CMS">
      <formula>NOT(ISERROR(SEARCH("CMS",G36)))</formula>
    </cfRule>
    <cfRule type="cellIs" dxfId="15090" priority="499" operator="equal">
      <formula>0</formula>
    </cfRule>
    <cfRule type="cellIs" dxfId="15089" priority="500" operator="greaterThan">
      <formula>0</formula>
    </cfRule>
    <cfRule type="cellIs" dxfId="15088" priority="501" operator="equal">
      <formula>"PMS"</formula>
    </cfRule>
    <cfRule type="containsText" dxfId="15087" priority="502" operator="containsText" text="CMS">
      <formula>NOT(ISERROR(SEARCH("CMS",G36)))</formula>
    </cfRule>
    <cfRule type="cellIs" dxfId="15086" priority="503" operator="equal">
      <formula>0</formula>
    </cfRule>
    <cfRule type="cellIs" dxfId="15085" priority="504" operator="greaterThan">
      <formula>0</formula>
    </cfRule>
  </conditionalFormatting>
  <conditionalFormatting sqref="G36:G38 G57:G59">
    <cfRule type="cellIs" dxfId="15084" priority="493" operator="equal">
      <formula>"PMS"</formula>
    </cfRule>
    <cfRule type="containsText" dxfId="15083" priority="494" operator="containsText" text="CMS">
      <formula>NOT(ISERROR(SEARCH("CMS",G36)))</formula>
    </cfRule>
    <cfRule type="cellIs" dxfId="15082" priority="495" operator="equal">
      <formula>0</formula>
    </cfRule>
    <cfRule type="cellIs" dxfId="15081" priority="496" operator="greaterThan">
      <formula>0</formula>
    </cfRule>
  </conditionalFormatting>
  <conditionalFormatting sqref="M36:M38 M57:M59">
    <cfRule type="cellIs" dxfId="15080" priority="485" operator="equal">
      <formula>"PMS"</formula>
    </cfRule>
    <cfRule type="containsText" dxfId="15079" priority="486" operator="containsText" text="CMS">
      <formula>NOT(ISERROR(SEARCH("CMS",M36)))</formula>
    </cfRule>
    <cfRule type="cellIs" dxfId="15078" priority="487" operator="equal">
      <formula>0</formula>
    </cfRule>
    <cfRule type="cellIs" dxfId="15077" priority="488" operator="greaterThan">
      <formula>0</formula>
    </cfRule>
    <cfRule type="cellIs" dxfId="15076" priority="489" operator="equal">
      <formula>"PMS"</formula>
    </cfRule>
    <cfRule type="containsText" dxfId="15075" priority="490" operator="containsText" text="CMS">
      <formula>NOT(ISERROR(SEARCH("CMS",M36)))</formula>
    </cfRule>
    <cfRule type="cellIs" dxfId="15074" priority="491" operator="equal">
      <formula>0</formula>
    </cfRule>
    <cfRule type="cellIs" dxfId="15073" priority="492" operator="greaterThan">
      <formula>0</formula>
    </cfRule>
  </conditionalFormatting>
  <conditionalFormatting sqref="M36:M38 M57:M59">
    <cfRule type="cellIs" dxfId="15072" priority="481" operator="equal">
      <formula>"PMS"</formula>
    </cfRule>
    <cfRule type="containsText" dxfId="15071" priority="482" operator="containsText" text="CMS">
      <formula>NOT(ISERROR(SEARCH("CMS",M36)))</formula>
    </cfRule>
    <cfRule type="cellIs" dxfId="15070" priority="483" operator="equal">
      <formula>0</formula>
    </cfRule>
    <cfRule type="cellIs" dxfId="15069" priority="484" operator="greaterThan">
      <formula>0</formula>
    </cfRule>
  </conditionalFormatting>
  <conditionalFormatting sqref="K36:K38 K57:K59">
    <cfRule type="cellIs" dxfId="15068" priority="473" operator="equal">
      <formula>"PMS"</formula>
    </cfRule>
    <cfRule type="containsText" dxfId="15067" priority="474" operator="containsText" text="CMS">
      <formula>NOT(ISERROR(SEARCH("CMS",K36)))</formula>
    </cfRule>
    <cfRule type="cellIs" dxfId="15066" priority="475" operator="equal">
      <formula>0</formula>
    </cfRule>
    <cfRule type="cellIs" dxfId="15065" priority="476" operator="greaterThan">
      <formula>0</formula>
    </cfRule>
    <cfRule type="cellIs" dxfId="15064" priority="477" operator="equal">
      <formula>"PMS"</formula>
    </cfRule>
    <cfRule type="containsText" dxfId="15063" priority="478" operator="containsText" text="CMS">
      <formula>NOT(ISERROR(SEARCH("CMS",K36)))</formula>
    </cfRule>
    <cfRule type="cellIs" dxfId="15062" priority="479" operator="equal">
      <formula>0</formula>
    </cfRule>
    <cfRule type="cellIs" dxfId="15061" priority="480" operator="greaterThan">
      <formula>0</formula>
    </cfRule>
  </conditionalFormatting>
  <conditionalFormatting sqref="K36:K38 K57:K59">
    <cfRule type="cellIs" dxfId="15060" priority="469" operator="equal">
      <formula>"PMS"</formula>
    </cfRule>
    <cfRule type="containsText" dxfId="15059" priority="470" operator="containsText" text="CMS">
      <formula>NOT(ISERROR(SEARCH("CMS",K36)))</formula>
    </cfRule>
    <cfRule type="cellIs" dxfId="15058" priority="471" operator="equal">
      <formula>0</formula>
    </cfRule>
    <cfRule type="cellIs" dxfId="15057" priority="472" operator="greaterThan">
      <formula>0</formula>
    </cfRule>
  </conditionalFormatting>
  <conditionalFormatting sqref="K14:L14">
    <cfRule type="cellIs" dxfId="15056" priority="461" operator="equal">
      <formula>"PMS"</formula>
    </cfRule>
    <cfRule type="containsText" dxfId="15055" priority="462" operator="containsText" text="CMS">
      <formula>NOT(ISERROR(SEARCH("CMS",K14)))</formula>
    </cfRule>
    <cfRule type="cellIs" dxfId="15054" priority="463" operator="equal">
      <formula>0</formula>
    </cfRule>
    <cfRule type="cellIs" dxfId="15053" priority="464" operator="greaterThan">
      <formula>0</formula>
    </cfRule>
    <cfRule type="cellIs" dxfId="15052" priority="465" operator="equal">
      <formula>"PMS"</formula>
    </cfRule>
    <cfRule type="containsText" dxfId="15051" priority="466" operator="containsText" text="CMS">
      <formula>NOT(ISERROR(SEARCH("CMS",K14)))</formula>
    </cfRule>
    <cfRule type="cellIs" dxfId="15050" priority="467" operator="equal">
      <formula>0</formula>
    </cfRule>
    <cfRule type="cellIs" dxfId="15049" priority="468" operator="greaterThan">
      <formula>0</formula>
    </cfRule>
  </conditionalFormatting>
  <conditionalFormatting sqref="K14:L14">
    <cfRule type="cellIs" dxfId="15048" priority="457" operator="equal">
      <formula>"PMS"</formula>
    </cfRule>
    <cfRule type="containsText" dxfId="15047" priority="458" operator="containsText" text="CMS">
      <formula>NOT(ISERROR(SEARCH("CMS",K14)))</formula>
    </cfRule>
    <cfRule type="cellIs" dxfId="15046" priority="459" operator="equal">
      <formula>0</formula>
    </cfRule>
    <cfRule type="cellIs" dxfId="15045" priority="460" operator="greaterThan">
      <formula>0</formula>
    </cfRule>
  </conditionalFormatting>
  <conditionalFormatting sqref="G49">
    <cfRule type="cellIs" dxfId="15044" priority="449" operator="equal">
      <formula>"PMS"</formula>
    </cfRule>
    <cfRule type="containsText" dxfId="15043" priority="450" operator="containsText" text="CMS">
      <formula>NOT(ISERROR(SEARCH("CMS",G49)))</formula>
    </cfRule>
    <cfRule type="cellIs" dxfId="15042" priority="451" operator="equal">
      <formula>0</formula>
    </cfRule>
    <cfRule type="cellIs" dxfId="15041" priority="452" operator="greaterThan">
      <formula>0</formula>
    </cfRule>
    <cfRule type="cellIs" dxfId="15040" priority="453" operator="equal">
      <formula>"PMS"</formula>
    </cfRule>
    <cfRule type="containsText" dxfId="15039" priority="454" operator="containsText" text="CMS">
      <formula>NOT(ISERROR(SEARCH("CMS",G49)))</formula>
    </cfRule>
    <cfRule type="cellIs" dxfId="15038" priority="455" operator="equal">
      <formula>0</formula>
    </cfRule>
    <cfRule type="cellIs" dxfId="15037" priority="456" operator="greaterThan">
      <formula>0</formula>
    </cfRule>
  </conditionalFormatting>
  <conditionalFormatting sqref="G49">
    <cfRule type="cellIs" dxfId="15036" priority="445" operator="equal">
      <formula>"PMS"</formula>
    </cfRule>
    <cfRule type="containsText" dxfId="15035" priority="446" operator="containsText" text="CMS">
      <formula>NOT(ISERROR(SEARCH("CMS",G49)))</formula>
    </cfRule>
    <cfRule type="cellIs" dxfId="15034" priority="447" operator="equal">
      <formula>0</formula>
    </cfRule>
    <cfRule type="cellIs" dxfId="15033" priority="448" operator="greaterThan">
      <formula>0</formula>
    </cfRule>
  </conditionalFormatting>
  <conditionalFormatting sqref="M49:N49">
    <cfRule type="cellIs" dxfId="15032" priority="437" operator="equal">
      <formula>"PMS"</formula>
    </cfRule>
    <cfRule type="containsText" dxfId="15031" priority="438" operator="containsText" text="CMS">
      <formula>NOT(ISERROR(SEARCH("CMS",M49)))</formula>
    </cfRule>
    <cfRule type="cellIs" dxfId="15030" priority="439" operator="equal">
      <formula>0</formula>
    </cfRule>
    <cfRule type="cellIs" dxfId="15029" priority="440" operator="greaterThan">
      <formula>0</formula>
    </cfRule>
    <cfRule type="cellIs" dxfId="15028" priority="441" operator="equal">
      <formula>"PMS"</formula>
    </cfRule>
    <cfRule type="containsText" dxfId="15027" priority="442" operator="containsText" text="CMS">
      <formula>NOT(ISERROR(SEARCH("CMS",M49)))</formula>
    </cfRule>
    <cfRule type="cellIs" dxfId="15026" priority="443" operator="equal">
      <formula>0</formula>
    </cfRule>
    <cfRule type="cellIs" dxfId="15025" priority="444" operator="greaterThan">
      <formula>0</formula>
    </cfRule>
  </conditionalFormatting>
  <conditionalFormatting sqref="M49:N49">
    <cfRule type="cellIs" dxfId="15024" priority="433" operator="equal">
      <formula>"PMS"</formula>
    </cfRule>
    <cfRule type="containsText" dxfId="15023" priority="434" operator="containsText" text="CMS">
      <formula>NOT(ISERROR(SEARCH("CMS",M49)))</formula>
    </cfRule>
    <cfRule type="cellIs" dxfId="15022" priority="435" operator="equal">
      <formula>0</formula>
    </cfRule>
    <cfRule type="cellIs" dxfId="15021" priority="436" operator="greaterThan">
      <formula>0</formula>
    </cfRule>
  </conditionalFormatting>
  <conditionalFormatting sqref="K49">
    <cfRule type="cellIs" dxfId="15020" priority="425" operator="equal">
      <formula>"PMS"</formula>
    </cfRule>
    <cfRule type="containsText" dxfId="15019" priority="426" operator="containsText" text="CMS">
      <formula>NOT(ISERROR(SEARCH("CMS",K49)))</formula>
    </cfRule>
    <cfRule type="cellIs" dxfId="15018" priority="427" operator="equal">
      <formula>0</formula>
    </cfRule>
    <cfRule type="cellIs" dxfId="15017" priority="428" operator="greaterThan">
      <formula>0</formula>
    </cfRule>
    <cfRule type="cellIs" dxfId="15016" priority="429" operator="equal">
      <formula>"PMS"</formula>
    </cfRule>
    <cfRule type="containsText" dxfId="15015" priority="430" operator="containsText" text="CMS">
      <formula>NOT(ISERROR(SEARCH("CMS",K49)))</formula>
    </cfRule>
    <cfRule type="cellIs" dxfId="15014" priority="431" operator="equal">
      <formula>0</formula>
    </cfRule>
    <cfRule type="cellIs" dxfId="15013" priority="432" operator="greaterThan">
      <formula>0</formula>
    </cfRule>
  </conditionalFormatting>
  <conditionalFormatting sqref="K49">
    <cfRule type="cellIs" dxfId="15012" priority="421" operator="equal">
      <formula>"PMS"</formula>
    </cfRule>
    <cfRule type="containsText" dxfId="15011" priority="422" operator="containsText" text="CMS">
      <formula>NOT(ISERROR(SEARCH("CMS",K49)))</formula>
    </cfRule>
    <cfRule type="cellIs" dxfId="15010" priority="423" operator="equal">
      <formula>0</formula>
    </cfRule>
    <cfRule type="cellIs" dxfId="15009" priority="424" operator="greaterThan">
      <formula>0</formula>
    </cfRule>
  </conditionalFormatting>
  <conditionalFormatting sqref="H33:J33 L33 L27:L30 H24:J24 H19:J20 L20:L21 V28:AC28 M21 Q28 N28:P29 N33:AC33 P30 Q29:AC30 H27:J30 H21:K21 K19:M19 M30:N30 H79:J79 L24:AC24 L79:AC79 S28:T28 N19:AC21 O78:V78 X78:AC78">
    <cfRule type="cellIs" dxfId="15008" priority="413" operator="equal">
      <formula>"PMS"</formula>
    </cfRule>
    <cfRule type="containsText" dxfId="15007" priority="414" operator="containsText" text="CMS">
      <formula>NOT(ISERROR(SEARCH("CMS",H19)))</formula>
    </cfRule>
    <cfRule type="cellIs" dxfId="15006" priority="415" operator="equal">
      <formula>0</formula>
    </cfRule>
    <cfRule type="cellIs" dxfId="15005" priority="416" operator="greaterThan">
      <formula>0</formula>
    </cfRule>
    <cfRule type="cellIs" dxfId="15004" priority="417" operator="equal">
      <formula>"PMS"</formula>
    </cfRule>
    <cfRule type="containsText" dxfId="15003" priority="418" operator="containsText" text="CMS">
      <formula>NOT(ISERROR(SEARCH("CMS",H19)))</formula>
    </cfRule>
    <cfRule type="cellIs" dxfId="15002" priority="419" operator="equal">
      <formula>0</formula>
    </cfRule>
    <cfRule type="cellIs" dxfId="15001" priority="420" operator="greaterThan">
      <formula>0</formula>
    </cfRule>
  </conditionalFormatting>
  <conditionalFormatting sqref="H33:J33 L33 L27:L30 H24:J24 H19:J20 L20:L21 V28:AC28 M21 Q28 N28:P29 N33:AC33 P30 Q29:AC30 H27:J30 H21:K21 K19:M19 M30:N30 H79:J79 L24:AC24 L79:AC79 S28:T28 N19:AC21 O78:V78 X78:AC78">
    <cfRule type="cellIs" dxfId="15000" priority="409" operator="equal">
      <formula>"PMS"</formula>
    </cfRule>
    <cfRule type="containsText" dxfId="14999" priority="410" operator="containsText" text="CMS">
      <formula>NOT(ISERROR(SEARCH("CMS",H19)))</formula>
    </cfRule>
    <cfRule type="cellIs" dxfId="14998" priority="411" operator="equal">
      <formula>0</formula>
    </cfRule>
    <cfRule type="cellIs" dxfId="14997" priority="412" operator="greaterThan">
      <formula>0</formula>
    </cfRule>
  </conditionalFormatting>
  <conditionalFormatting sqref="G33 G27:G30 G24 G39:G48 G50:G56 G19:G21 G79">
    <cfRule type="cellIs" dxfId="14996" priority="401" operator="equal">
      <formula>"PMS"</formula>
    </cfRule>
    <cfRule type="containsText" dxfId="14995" priority="402" operator="containsText" text="CMS">
      <formula>NOT(ISERROR(SEARCH("CMS",G19)))</formula>
    </cfRule>
    <cfRule type="cellIs" dxfId="14994" priority="403" operator="equal">
      <formula>0</formula>
    </cfRule>
    <cfRule type="cellIs" dxfId="14993" priority="404" operator="greaterThan">
      <formula>0</formula>
    </cfRule>
    <cfRule type="cellIs" dxfId="14992" priority="405" operator="equal">
      <formula>"PMS"</formula>
    </cfRule>
    <cfRule type="containsText" dxfId="14991" priority="406" operator="containsText" text="CMS">
      <formula>NOT(ISERROR(SEARCH("CMS",G19)))</formula>
    </cfRule>
    <cfRule type="cellIs" dxfId="14990" priority="407" operator="equal">
      <formula>0</formula>
    </cfRule>
    <cfRule type="cellIs" dxfId="14989" priority="408" operator="greaterThan">
      <formula>0</formula>
    </cfRule>
  </conditionalFormatting>
  <conditionalFormatting sqref="G33 G27:G30 G24 G39:G48 G50:G56 G19:G21 G79">
    <cfRule type="cellIs" dxfId="14988" priority="397" operator="equal">
      <formula>"PMS"</formula>
    </cfRule>
    <cfRule type="containsText" dxfId="14987" priority="398" operator="containsText" text="CMS">
      <formula>NOT(ISERROR(SEARCH("CMS",G19)))</formula>
    </cfRule>
    <cfRule type="cellIs" dxfId="14986" priority="399" operator="equal">
      <formula>0</formula>
    </cfRule>
    <cfRule type="cellIs" dxfId="14985" priority="400" operator="greaterThan">
      <formula>0</formula>
    </cfRule>
  </conditionalFormatting>
  <conditionalFormatting sqref="M39:M48 M33 M27:M29 M20 AB27:AC27 N27:Q27 N47 M56 N51:N55 M62:M64 N78 S27:X27">
    <cfRule type="cellIs" dxfId="14984" priority="389" operator="equal">
      <formula>"PMS"</formula>
    </cfRule>
    <cfRule type="containsText" dxfId="14983" priority="390" operator="containsText" text="CMS">
      <formula>NOT(ISERROR(SEARCH("CMS",M20)))</formula>
    </cfRule>
    <cfRule type="cellIs" dxfId="14982" priority="391" operator="equal">
      <formula>0</formula>
    </cfRule>
    <cfRule type="cellIs" dxfId="14981" priority="392" operator="greaterThan">
      <formula>0</formula>
    </cfRule>
    <cfRule type="cellIs" dxfId="14980" priority="393" operator="equal">
      <formula>"PMS"</formula>
    </cfRule>
    <cfRule type="containsText" dxfId="14979" priority="394" operator="containsText" text="CMS">
      <formula>NOT(ISERROR(SEARCH("CMS",M20)))</formula>
    </cfRule>
    <cfRule type="cellIs" dxfId="14978" priority="395" operator="equal">
      <formula>0</formula>
    </cfRule>
    <cfRule type="cellIs" dxfId="14977" priority="396" operator="greaterThan">
      <formula>0</formula>
    </cfRule>
  </conditionalFormatting>
  <conditionalFormatting sqref="M39:M48 M33 M27:M29 M20 AB27:AC27 N27:Q27 N47 M56 N51:N55 M62:M64 N78 S27:X27">
    <cfRule type="cellIs" dxfId="14976" priority="385" operator="equal">
      <formula>"PMS"</formula>
    </cfRule>
    <cfRule type="containsText" dxfId="14975" priority="386" operator="containsText" text="CMS">
      <formula>NOT(ISERROR(SEARCH("CMS",M20)))</formula>
    </cfRule>
    <cfRule type="cellIs" dxfId="14974" priority="387" operator="equal">
      <formula>0</formula>
    </cfRule>
    <cfRule type="cellIs" dxfId="14973" priority="388" operator="greaterThan">
      <formula>0</formula>
    </cfRule>
  </conditionalFormatting>
  <conditionalFormatting sqref="K50:K56 K39:K48 K33 K27 K24 K20 K29:K30 K79">
    <cfRule type="cellIs" dxfId="14972" priority="377" operator="equal">
      <formula>"PMS"</formula>
    </cfRule>
    <cfRule type="containsText" dxfId="14971" priority="378" operator="containsText" text="CMS">
      <formula>NOT(ISERROR(SEARCH("CMS",K20)))</formula>
    </cfRule>
    <cfRule type="cellIs" dxfId="14970" priority="379" operator="equal">
      <formula>0</formula>
    </cfRule>
    <cfRule type="cellIs" dxfId="14969" priority="380" operator="greaterThan">
      <formula>0</formula>
    </cfRule>
    <cfRule type="cellIs" dxfId="14968" priority="381" operator="equal">
      <formula>"PMS"</formula>
    </cfRule>
    <cfRule type="containsText" dxfId="14967" priority="382" operator="containsText" text="CMS">
      <formula>NOT(ISERROR(SEARCH("CMS",K20)))</formula>
    </cfRule>
    <cfRule type="cellIs" dxfId="14966" priority="383" operator="equal">
      <formula>0</formula>
    </cfRule>
    <cfRule type="cellIs" dxfId="14965" priority="384" operator="greaterThan">
      <formula>0</formula>
    </cfRule>
  </conditionalFormatting>
  <conditionalFormatting sqref="K50:K56 K39:K48 K33 K27 K24 K20 K29:K30 K79">
    <cfRule type="cellIs" dxfId="14964" priority="373" operator="equal">
      <formula>"PMS"</formula>
    </cfRule>
    <cfRule type="containsText" dxfId="14963" priority="374" operator="containsText" text="CMS">
      <formula>NOT(ISERROR(SEARCH("CMS",K20)))</formula>
    </cfRule>
    <cfRule type="cellIs" dxfId="14962" priority="375" operator="equal">
      <formula>0</formula>
    </cfRule>
    <cfRule type="cellIs" dxfId="14961" priority="376" operator="greaterThan">
      <formula>0</formula>
    </cfRule>
  </conditionalFormatting>
  <conditionalFormatting sqref="K28">
    <cfRule type="cellIs" dxfId="14960" priority="365" operator="equal">
      <formula>"PMS"</formula>
    </cfRule>
    <cfRule type="containsText" dxfId="14959" priority="366" operator="containsText" text="CMS">
      <formula>NOT(ISERROR(SEARCH("CMS",K28)))</formula>
    </cfRule>
    <cfRule type="cellIs" dxfId="14958" priority="367" operator="equal">
      <formula>0</formula>
    </cfRule>
    <cfRule type="cellIs" dxfId="14957" priority="368" operator="greaterThan">
      <formula>0</formula>
    </cfRule>
    <cfRule type="cellIs" dxfId="14956" priority="369" operator="equal">
      <formula>"PMS"</formula>
    </cfRule>
    <cfRule type="containsText" dxfId="14955" priority="370" operator="containsText" text="CMS">
      <formula>NOT(ISERROR(SEARCH("CMS",K28)))</formula>
    </cfRule>
    <cfRule type="cellIs" dxfId="14954" priority="371" operator="equal">
      <formula>0</formula>
    </cfRule>
    <cfRule type="cellIs" dxfId="14953" priority="372" operator="greaterThan">
      <formula>0</formula>
    </cfRule>
  </conditionalFormatting>
  <conditionalFormatting sqref="K28">
    <cfRule type="cellIs" dxfId="14952" priority="361" operator="equal">
      <formula>"PMS"</formula>
    </cfRule>
    <cfRule type="containsText" dxfId="14951" priority="362" operator="containsText" text="CMS">
      <formula>NOT(ISERROR(SEARCH("CMS",K28)))</formula>
    </cfRule>
    <cfRule type="cellIs" dxfId="14950" priority="363" operator="equal">
      <formula>0</formula>
    </cfRule>
    <cfRule type="cellIs" dxfId="14949" priority="364" operator="greaterThan">
      <formula>0</formula>
    </cfRule>
  </conditionalFormatting>
  <conditionalFormatting sqref="N62:O62 O63:O64">
    <cfRule type="cellIs" dxfId="14948" priority="353" operator="equal">
      <formula>"PMS"</formula>
    </cfRule>
    <cfRule type="containsText" dxfId="14947" priority="354" operator="containsText" text="CMS">
      <formula>NOT(ISERROR(SEARCH("CMS",N62)))</formula>
    </cfRule>
    <cfRule type="cellIs" dxfId="14946" priority="355" operator="equal">
      <formula>0</formula>
    </cfRule>
    <cfRule type="cellIs" dxfId="14945" priority="356" operator="greaterThan">
      <formula>0</formula>
    </cfRule>
    <cfRule type="cellIs" dxfId="14944" priority="357" operator="equal">
      <formula>"PMS"</formula>
    </cfRule>
    <cfRule type="containsText" dxfId="14943" priority="358" operator="containsText" text="CMS">
      <formula>NOT(ISERROR(SEARCH("CMS",N62)))</formula>
    </cfRule>
    <cfRule type="cellIs" dxfId="14942" priority="359" operator="equal">
      <formula>0</formula>
    </cfRule>
    <cfRule type="cellIs" dxfId="14941" priority="360" operator="greaterThan">
      <formula>0</formula>
    </cfRule>
  </conditionalFormatting>
  <conditionalFormatting sqref="N62:O62 O63:O64">
    <cfRule type="cellIs" dxfId="14940" priority="349" operator="equal">
      <formula>"PMS"</formula>
    </cfRule>
    <cfRule type="containsText" dxfId="14939" priority="350" operator="containsText" text="CMS">
      <formula>NOT(ISERROR(SEARCH("CMS",N62)))</formula>
    </cfRule>
    <cfRule type="cellIs" dxfId="14938" priority="351" operator="equal">
      <formula>0</formula>
    </cfRule>
    <cfRule type="cellIs" dxfId="14937" priority="352" operator="greaterThan">
      <formula>0</formula>
    </cfRule>
  </conditionalFormatting>
  <conditionalFormatting sqref="J14">
    <cfRule type="cellIs" dxfId="14936" priority="341" operator="equal">
      <formula>"PMS"</formula>
    </cfRule>
    <cfRule type="containsText" dxfId="14935" priority="342" operator="containsText" text="CMS">
      <formula>NOT(ISERROR(SEARCH("CMS",J14)))</formula>
    </cfRule>
    <cfRule type="cellIs" dxfId="14934" priority="343" operator="equal">
      <formula>0</formula>
    </cfRule>
    <cfRule type="cellIs" dxfId="14933" priority="344" operator="greaterThan">
      <formula>0</formula>
    </cfRule>
    <cfRule type="cellIs" dxfId="14932" priority="345" operator="equal">
      <formula>"PMS"</formula>
    </cfRule>
    <cfRule type="containsText" dxfId="14931" priority="346" operator="containsText" text="CMS">
      <formula>NOT(ISERROR(SEARCH("CMS",J14)))</formula>
    </cfRule>
    <cfRule type="cellIs" dxfId="14930" priority="347" operator="equal">
      <formula>0</formula>
    </cfRule>
    <cfRule type="cellIs" dxfId="14929" priority="348" operator="greaterThan">
      <formula>0</formula>
    </cfRule>
  </conditionalFormatting>
  <conditionalFormatting sqref="J14">
    <cfRule type="cellIs" dxfId="14928" priority="337" operator="equal">
      <formula>"PMS"</formula>
    </cfRule>
    <cfRule type="containsText" dxfId="14927" priority="338" operator="containsText" text="CMS">
      <formula>NOT(ISERROR(SEARCH("CMS",J14)))</formula>
    </cfRule>
    <cfRule type="cellIs" dxfId="14926" priority="339" operator="equal">
      <formula>0</formula>
    </cfRule>
    <cfRule type="cellIs" dxfId="14925" priority="340" operator="greaterThan">
      <formula>0</formula>
    </cfRule>
  </conditionalFormatting>
  <conditionalFormatting sqref="U28">
    <cfRule type="cellIs" dxfId="14924" priority="329" operator="equal">
      <formula>"PMS"</formula>
    </cfRule>
    <cfRule type="containsText" dxfId="14923" priority="330" operator="containsText" text="CMS">
      <formula>NOT(ISERROR(SEARCH("CMS",U28)))</formula>
    </cfRule>
    <cfRule type="cellIs" dxfId="14922" priority="331" operator="equal">
      <formula>0</formula>
    </cfRule>
    <cfRule type="cellIs" dxfId="14921" priority="332" operator="greaterThan">
      <formula>0</formula>
    </cfRule>
    <cfRule type="cellIs" dxfId="14920" priority="333" operator="equal">
      <formula>"PMS"</formula>
    </cfRule>
    <cfRule type="containsText" dxfId="14919" priority="334" operator="containsText" text="CMS">
      <formula>NOT(ISERROR(SEARCH("CMS",U28)))</formula>
    </cfRule>
    <cfRule type="cellIs" dxfId="14918" priority="335" operator="equal">
      <formula>0</formula>
    </cfRule>
    <cfRule type="cellIs" dxfId="14917" priority="336" operator="greaterThan">
      <formula>0</formula>
    </cfRule>
  </conditionalFormatting>
  <conditionalFormatting sqref="U28">
    <cfRule type="cellIs" dxfId="14916" priority="325" operator="equal">
      <formula>"PMS"</formula>
    </cfRule>
    <cfRule type="containsText" dxfId="14915" priority="326" operator="containsText" text="CMS">
      <formula>NOT(ISERROR(SEARCH("CMS",U28)))</formula>
    </cfRule>
    <cfRule type="cellIs" dxfId="14914" priority="327" operator="equal">
      <formula>0</formula>
    </cfRule>
    <cfRule type="cellIs" dxfId="14913" priority="328" operator="greaterThan">
      <formula>0</formula>
    </cfRule>
  </conditionalFormatting>
  <conditionalFormatting sqref="Y27:AA27">
    <cfRule type="cellIs" dxfId="14912" priority="317" operator="equal">
      <formula>"PMS"</formula>
    </cfRule>
    <cfRule type="containsText" dxfId="14911" priority="318" operator="containsText" text="CMS">
      <formula>NOT(ISERROR(SEARCH("CMS",Y27)))</formula>
    </cfRule>
    <cfRule type="cellIs" dxfId="14910" priority="319" operator="equal">
      <formula>0</formula>
    </cfRule>
    <cfRule type="cellIs" dxfId="14909" priority="320" operator="greaterThan">
      <formula>0</formula>
    </cfRule>
    <cfRule type="cellIs" dxfId="14908" priority="321" operator="equal">
      <formula>"PMS"</formula>
    </cfRule>
    <cfRule type="containsText" dxfId="14907" priority="322" operator="containsText" text="CMS">
      <formula>NOT(ISERROR(SEARCH("CMS",Y27)))</formula>
    </cfRule>
    <cfRule type="cellIs" dxfId="14906" priority="323" operator="equal">
      <formula>0</formula>
    </cfRule>
    <cfRule type="cellIs" dxfId="14905" priority="324" operator="greaterThan">
      <formula>0</formula>
    </cfRule>
  </conditionalFormatting>
  <conditionalFormatting sqref="Y27:AA27">
    <cfRule type="cellIs" dxfId="14904" priority="313" operator="equal">
      <formula>"PMS"</formula>
    </cfRule>
    <cfRule type="containsText" dxfId="14903" priority="314" operator="containsText" text="CMS">
      <formula>NOT(ISERROR(SEARCH("CMS",Y27)))</formula>
    </cfRule>
    <cfRule type="cellIs" dxfId="14902" priority="315" operator="equal">
      <formula>0</formula>
    </cfRule>
    <cfRule type="cellIs" dxfId="14901" priority="316" operator="greaterThan">
      <formula>0</formula>
    </cfRule>
  </conditionalFormatting>
  <conditionalFormatting sqref="G62:G64">
    <cfRule type="cellIs" dxfId="14900" priority="305" operator="equal">
      <formula>"PMS"</formula>
    </cfRule>
    <cfRule type="containsText" dxfId="14899" priority="306" operator="containsText" text="CMS">
      <formula>NOT(ISERROR(SEARCH("CMS",G62)))</formula>
    </cfRule>
    <cfRule type="cellIs" dxfId="14898" priority="307" operator="equal">
      <formula>0</formula>
    </cfRule>
    <cfRule type="cellIs" dxfId="14897" priority="308" operator="greaterThan">
      <formula>0</formula>
    </cfRule>
    <cfRule type="cellIs" dxfId="14896" priority="309" operator="equal">
      <formula>"PMS"</formula>
    </cfRule>
    <cfRule type="containsText" dxfId="14895" priority="310" operator="containsText" text="CMS">
      <formula>NOT(ISERROR(SEARCH("CMS",G62)))</formula>
    </cfRule>
    <cfRule type="cellIs" dxfId="14894" priority="311" operator="equal">
      <formula>0</formula>
    </cfRule>
    <cfRule type="cellIs" dxfId="14893" priority="312" operator="greaterThan">
      <formula>0</formula>
    </cfRule>
  </conditionalFormatting>
  <conditionalFormatting sqref="G62:G64">
    <cfRule type="cellIs" dxfId="14892" priority="301" operator="equal">
      <formula>"PMS"</formula>
    </cfRule>
    <cfRule type="containsText" dxfId="14891" priority="302" operator="containsText" text="CMS">
      <formula>NOT(ISERROR(SEARCH("CMS",G62)))</formula>
    </cfRule>
    <cfRule type="cellIs" dxfId="14890" priority="303" operator="equal">
      <formula>0</formula>
    </cfRule>
    <cfRule type="cellIs" dxfId="14889" priority="304" operator="greaterThan">
      <formula>0</formula>
    </cfRule>
  </conditionalFormatting>
  <conditionalFormatting sqref="N40">
    <cfRule type="cellIs" dxfId="14888" priority="293" operator="equal">
      <formula>"PMS"</formula>
    </cfRule>
    <cfRule type="containsText" dxfId="14887" priority="294" operator="containsText" text="CMS">
      <formula>NOT(ISERROR(SEARCH("CMS",N40)))</formula>
    </cfRule>
    <cfRule type="cellIs" dxfId="14886" priority="295" operator="equal">
      <formula>0</formula>
    </cfRule>
    <cfRule type="cellIs" dxfId="14885" priority="296" operator="greaterThan">
      <formula>0</formula>
    </cfRule>
    <cfRule type="cellIs" dxfId="14884" priority="297" operator="equal">
      <formula>"PMS"</formula>
    </cfRule>
    <cfRule type="containsText" dxfId="14883" priority="298" operator="containsText" text="CMS">
      <formula>NOT(ISERROR(SEARCH("CMS",N40)))</formula>
    </cfRule>
    <cfRule type="cellIs" dxfId="14882" priority="299" operator="equal">
      <formula>0</formula>
    </cfRule>
    <cfRule type="cellIs" dxfId="14881" priority="300" operator="greaterThan">
      <formula>0</formula>
    </cfRule>
  </conditionalFormatting>
  <conditionalFormatting sqref="N40">
    <cfRule type="cellIs" dxfId="14880" priority="289" operator="equal">
      <formula>"PMS"</formula>
    </cfRule>
    <cfRule type="containsText" dxfId="14879" priority="290" operator="containsText" text="CMS">
      <formula>NOT(ISERROR(SEARCH("CMS",N40)))</formula>
    </cfRule>
    <cfRule type="cellIs" dxfId="14878" priority="291" operator="equal">
      <formula>0</formula>
    </cfRule>
    <cfRule type="cellIs" dxfId="14877" priority="292" operator="greaterThan">
      <formula>0</formula>
    </cfRule>
  </conditionalFormatting>
  <conditionalFormatting sqref="O30">
    <cfRule type="cellIs" dxfId="14876" priority="281" operator="equal">
      <formula>"PMS"</formula>
    </cfRule>
    <cfRule type="containsText" dxfId="14875" priority="282" operator="containsText" text="CMS">
      <formula>NOT(ISERROR(SEARCH("CMS",O30)))</formula>
    </cfRule>
    <cfRule type="cellIs" dxfId="14874" priority="283" operator="equal">
      <formula>0</formula>
    </cfRule>
    <cfRule type="cellIs" dxfId="14873" priority="284" operator="greaterThan">
      <formula>0</formula>
    </cfRule>
    <cfRule type="cellIs" dxfId="14872" priority="285" operator="equal">
      <formula>"PMS"</formula>
    </cfRule>
    <cfRule type="containsText" dxfId="14871" priority="286" operator="containsText" text="CMS">
      <formula>NOT(ISERROR(SEARCH("CMS",O30)))</formula>
    </cfRule>
    <cfRule type="cellIs" dxfId="14870" priority="287" operator="equal">
      <formula>0</formula>
    </cfRule>
    <cfRule type="cellIs" dxfId="14869" priority="288" operator="greaterThan">
      <formula>0</formula>
    </cfRule>
  </conditionalFormatting>
  <conditionalFormatting sqref="O30">
    <cfRule type="cellIs" dxfId="14868" priority="277" operator="equal">
      <formula>"PMS"</formula>
    </cfRule>
    <cfRule type="containsText" dxfId="14867" priority="278" operator="containsText" text="CMS">
      <formula>NOT(ISERROR(SEARCH("CMS",O30)))</formula>
    </cfRule>
    <cfRule type="cellIs" dxfId="14866" priority="279" operator="equal">
      <formula>0</formula>
    </cfRule>
    <cfRule type="cellIs" dxfId="14865" priority="280" operator="greaterThan">
      <formula>0</formula>
    </cfRule>
  </conditionalFormatting>
  <conditionalFormatting sqref="O47:O49">
    <cfRule type="cellIs" dxfId="14864" priority="269" operator="equal">
      <formula>"PMS"</formula>
    </cfRule>
    <cfRule type="containsText" dxfId="14863" priority="270" operator="containsText" text="CMS">
      <formula>NOT(ISERROR(SEARCH("CMS",O47)))</formula>
    </cfRule>
    <cfRule type="cellIs" dxfId="14862" priority="271" operator="equal">
      <formula>0</formula>
    </cfRule>
    <cfRule type="cellIs" dxfId="14861" priority="272" operator="greaterThan">
      <formula>0</formula>
    </cfRule>
    <cfRule type="cellIs" dxfId="14860" priority="273" operator="equal">
      <formula>"PMS"</formula>
    </cfRule>
    <cfRule type="containsText" dxfId="14859" priority="274" operator="containsText" text="CMS">
      <formula>NOT(ISERROR(SEARCH("CMS",O47)))</formula>
    </cfRule>
    <cfRule type="cellIs" dxfId="14858" priority="275" operator="equal">
      <formula>0</formula>
    </cfRule>
    <cfRule type="cellIs" dxfId="14857" priority="276" operator="greaterThan">
      <formula>0</formula>
    </cfRule>
  </conditionalFormatting>
  <conditionalFormatting sqref="O47:O49">
    <cfRule type="cellIs" dxfId="14856" priority="265" operator="equal">
      <formula>"PMS"</formula>
    </cfRule>
    <cfRule type="containsText" dxfId="14855" priority="266" operator="containsText" text="CMS">
      <formula>NOT(ISERROR(SEARCH("CMS",O47)))</formula>
    </cfRule>
    <cfRule type="cellIs" dxfId="14854" priority="267" operator="equal">
      <formula>0</formula>
    </cfRule>
    <cfRule type="cellIs" dxfId="14853" priority="268" operator="greaterThan">
      <formula>0</formula>
    </cfRule>
  </conditionalFormatting>
  <conditionalFormatting sqref="F82">
    <cfRule type="cellIs" dxfId="14852" priority="257" operator="equal">
      <formula>"PMS"</formula>
    </cfRule>
    <cfRule type="containsText" dxfId="14851" priority="258" operator="containsText" text="CMS">
      <formula>NOT(ISERROR(SEARCH("CMS",F82)))</formula>
    </cfRule>
    <cfRule type="cellIs" dxfId="14850" priority="259" operator="equal">
      <formula>0</formula>
    </cfRule>
    <cfRule type="cellIs" dxfId="14849" priority="260" operator="greaterThan">
      <formula>0</formula>
    </cfRule>
    <cfRule type="cellIs" dxfId="14848" priority="261" operator="equal">
      <formula>"PMS"</formula>
    </cfRule>
    <cfRule type="containsText" dxfId="14847" priority="262" operator="containsText" text="CMS">
      <formula>NOT(ISERROR(SEARCH("CMS",F82)))</formula>
    </cfRule>
    <cfRule type="cellIs" dxfId="14846" priority="263" operator="equal">
      <formula>0</formula>
    </cfRule>
    <cfRule type="cellIs" dxfId="14845" priority="264" operator="greaterThan">
      <formula>0</formula>
    </cfRule>
  </conditionalFormatting>
  <conditionalFormatting sqref="F82">
    <cfRule type="cellIs" dxfId="14844" priority="253" operator="equal">
      <formula>"PMS"</formula>
    </cfRule>
    <cfRule type="containsText" dxfId="14843" priority="254" operator="containsText" text="CMS">
      <formula>NOT(ISERROR(SEARCH("CMS",F82)))</formula>
    </cfRule>
    <cfRule type="cellIs" dxfId="14842" priority="255" operator="equal">
      <formula>0</formula>
    </cfRule>
    <cfRule type="cellIs" dxfId="14841" priority="256" operator="greaterThan">
      <formula>0</formula>
    </cfRule>
  </conditionalFormatting>
  <conditionalFormatting sqref="H15">
    <cfRule type="cellIs" dxfId="14840" priority="245" operator="equal">
      <formula>"PMS"</formula>
    </cfRule>
    <cfRule type="containsText" dxfId="14839" priority="246" operator="containsText" text="CMS">
      <formula>NOT(ISERROR(SEARCH("CMS",H15)))</formula>
    </cfRule>
    <cfRule type="cellIs" dxfId="14838" priority="247" operator="equal">
      <formula>0</formula>
    </cfRule>
    <cfRule type="cellIs" dxfId="14837" priority="248" operator="greaterThan">
      <formula>0</formula>
    </cfRule>
    <cfRule type="cellIs" dxfId="14836" priority="249" operator="equal">
      <formula>"PMS"</formula>
    </cfRule>
    <cfRule type="containsText" dxfId="14835" priority="250" operator="containsText" text="CMS">
      <formula>NOT(ISERROR(SEARCH("CMS",H15)))</formula>
    </cfRule>
    <cfRule type="cellIs" dxfId="14834" priority="251" operator="equal">
      <formula>0</formula>
    </cfRule>
    <cfRule type="cellIs" dxfId="14833" priority="252" operator="greaterThan">
      <formula>0</formula>
    </cfRule>
  </conditionalFormatting>
  <conditionalFormatting sqref="H15">
    <cfRule type="cellIs" dxfId="14832" priority="241" operator="equal">
      <formula>"PMS"</formula>
    </cfRule>
    <cfRule type="containsText" dxfId="14831" priority="242" operator="containsText" text="CMS">
      <formula>NOT(ISERROR(SEARCH("CMS",H15)))</formula>
    </cfRule>
    <cfRule type="cellIs" dxfId="14830" priority="243" operator="equal">
      <formula>0</formula>
    </cfRule>
    <cfRule type="cellIs" dxfId="14829" priority="244" operator="greaterThan">
      <formula>0</formula>
    </cfRule>
  </conditionalFormatting>
  <conditionalFormatting sqref="G14">
    <cfRule type="cellIs" dxfId="14828" priority="233" operator="equal">
      <formula>"PMS"</formula>
    </cfRule>
    <cfRule type="containsText" dxfId="14827" priority="234" operator="containsText" text="CMS">
      <formula>NOT(ISERROR(SEARCH("CMS",G14)))</formula>
    </cfRule>
    <cfRule type="cellIs" dxfId="14826" priority="235" operator="equal">
      <formula>0</formula>
    </cfRule>
    <cfRule type="cellIs" dxfId="14825" priority="236" operator="greaterThan">
      <formula>0</formula>
    </cfRule>
    <cfRule type="cellIs" dxfId="14824" priority="237" operator="equal">
      <formula>"PMS"</formula>
    </cfRule>
    <cfRule type="containsText" dxfId="14823" priority="238" operator="containsText" text="CMS">
      <formula>NOT(ISERROR(SEARCH("CMS",G14)))</formula>
    </cfRule>
    <cfRule type="cellIs" dxfId="14822" priority="239" operator="equal">
      <formula>0</formula>
    </cfRule>
    <cfRule type="cellIs" dxfId="14821" priority="240" operator="greaterThan">
      <formula>0</formula>
    </cfRule>
  </conditionalFormatting>
  <conditionalFormatting sqref="G14">
    <cfRule type="cellIs" dxfId="14820" priority="229" operator="equal">
      <formula>"PMS"</formula>
    </cfRule>
    <cfRule type="containsText" dxfId="14819" priority="230" operator="containsText" text="CMS">
      <formula>NOT(ISERROR(SEARCH("CMS",G14)))</formula>
    </cfRule>
    <cfRule type="cellIs" dxfId="14818" priority="231" operator="equal">
      <formula>0</formula>
    </cfRule>
    <cfRule type="cellIs" dxfId="14817" priority="232" operator="greaterThan">
      <formula>0</formula>
    </cfRule>
  </conditionalFormatting>
  <conditionalFormatting sqref="N48">
    <cfRule type="cellIs" dxfId="14816" priority="221" operator="equal">
      <formula>"PMS"</formula>
    </cfRule>
    <cfRule type="containsText" dxfId="14815" priority="222" operator="containsText" text="CMS">
      <formula>NOT(ISERROR(SEARCH("CMS",N48)))</formula>
    </cfRule>
    <cfRule type="cellIs" dxfId="14814" priority="223" operator="equal">
      <formula>0</formula>
    </cfRule>
    <cfRule type="cellIs" dxfId="14813" priority="224" operator="greaterThan">
      <formula>0</formula>
    </cfRule>
    <cfRule type="cellIs" dxfId="14812" priority="225" operator="equal">
      <formula>"PMS"</formula>
    </cfRule>
    <cfRule type="containsText" dxfId="14811" priority="226" operator="containsText" text="CMS">
      <formula>NOT(ISERROR(SEARCH("CMS",N48)))</formula>
    </cfRule>
    <cfRule type="cellIs" dxfId="14810" priority="227" operator="equal">
      <formula>0</formula>
    </cfRule>
    <cfRule type="cellIs" dxfId="14809" priority="228" operator="greaterThan">
      <formula>0</formula>
    </cfRule>
  </conditionalFormatting>
  <conditionalFormatting sqref="N48">
    <cfRule type="cellIs" dxfId="14808" priority="217" operator="equal">
      <formula>"PMS"</formula>
    </cfRule>
    <cfRule type="containsText" dxfId="14807" priority="218" operator="containsText" text="CMS">
      <formula>NOT(ISERROR(SEARCH("CMS",N48)))</formula>
    </cfRule>
    <cfRule type="cellIs" dxfId="14806" priority="219" operator="equal">
      <formula>0</formula>
    </cfRule>
    <cfRule type="cellIs" dxfId="14805" priority="220" operator="greaterThan">
      <formula>0</formula>
    </cfRule>
  </conditionalFormatting>
  <conditionalFormatting sqref="N56">
    <cfRule type="cellIs" dxfId="14804" priority="197" operator="equal">
      <formula>"PMS"</formula>
    </cfRule>
    <cfRule type="containsText" dxfId="14803" priority="198" operator="containsText" text="CMS">
      <formula>NOT(ISERROR(SEARCH("CMS",N56)))</formula>
    </cfRule>
    <cfRule type="cellIs" dxfId="14802" priority="199" operator="equal">
      <formula>0</formula>
    </cfRule>
    <cfRule type="cellIs" dxfId="14801" priority="200" operator="greaterThan">
      <formula>0</formula>
    </cfRule>
    <cfRule type="cellIs" dxfId="14800" priority="201" operator="equal">
      <formula>"PMS"</formula>
    </cfRule>
    <cfRule type="containsText" dxfId="14799" priority="202" operator="containsText" text="CMS">
      <formula>NOT(ISERROR(SEARCH("CMS",N56)))</formula>
    </cfRule>
    <cfRule type="cellIs" dxfId="14798" priority="203" operator="equal">
      <formula>0</formula>
    </cfRule>
    <cfRule type="cellIs" dxfId="14797" priority="204" operator="greaterThan">
      <formula>0</formula>
    </cfRule>
  </conditionalFormatting>
  <conditionalFormatting sqref="N56">
    <cfRule type="cellIs" dxfId="14796" priority="193" operator="equal">
      <formula>"PMS"</formula>
    </cfRule>
    <cfRule type="containsText" dxfId="14795" priority="194" operator="containsText" text="CMS">
      <formula>NOT(ISERROR(SEARCH("CMS",N56)))</formula>
    </cfRule>
    <cfRule type="cellIs" dxfId="14794" priority="195" operator="equal">
      <formula>0</formula>
    </cfRule>
    <cfRule type="cellIs" dxfId="14793" priority="196" operator="greaterThan">
      <formula>0</formula>
    </cfRule>
  </conditionalFormatting>
  <conditionalFormatting sqref="N63:N64">
    <cfRule type="cellIs" dxfId="14792" priority="185" operator="equal">
      <formula>"PMS"</formula>
    </cfRule>
    <cfRule type="containsText" dxfId="14791" priority="186" operator="containsText" text="CMS">
      <formula>NOT(ISERROR(SEARCH("CMS",N63)))</formula>
    </cfRule>
    <cfRule type="cellIs" dxfId="14790" priority="187" operator="equal">
      <formula>0</formula>
    </cfRule>
    <cfRule type="cellIs" dxfId="14789" priority="188" operator="greaterThan">
      <formula>0</formula>
    </cfRule>
    <cfRule type="cellIs" dxfId="14788" priority="189" operator="equal">
      <formula>"PMS"</formula>
    </cfRule>
    <cfRule type="containsText" dxfId="14787" priority="190" operator="containsText" text="CMS">
      <formula>NOT(ISERROR(SEARCH("CMS",N63)))</formula>
    </cfRule>
    <cfRule type="cellIs" dxfId="14786" priority="191" operator="equal">
      <formula>0</formula>
    </cfRule>
    <cfRule type="cellIs" dxfId="14785" priority="192" operator="greaterThan">
      <formula>0</formula>
    </cfRule>
  </conditionalFormatting>
  <conditionalFormatting sqref="N63:N64">
    <cfRule type="cellIs" dxfId="14784" priority="181" operator="equal">
      <formula>"PMS"</formula>
    </cfRule>
    <cfRule type="containsText" dxfId="14783" priority="182" operator="containsText" text="CMS">
      <formula>NOT(ISERROR(SEARCH("CMS",N63)))</formula>
    </cfRule>
    <cfRule type="cellIs" dxfId="14782" priority="183" operator="equal">
      <formula>0</formula>
    </cfRule>
    <cfRule type="cellIs" dxfId="14781" priority="184" operator="greaterThan">
      <formula>0</formula>
    </cfRule>
  </conditionalFormatting>
  <conditionalFormatting sqref="G78:K78">
    <cfRule type="cellIs" dxfId="14780" priority="173" operator="equal">
      <formula>"PMS"</formula>
    </cfRule>
    <cfRule type="containsText" dxfId="14779" priority="174" operator="containsText" text="CMS">
      <formula>NOT(ISERROR(SEARCH("CMS",G78)))</formula>
    </cfRule>
    <cfRule type="cellIs" dxfId="14778" priority="175" operator="equal">
      <formula>0</formula>
    </cfRule>
    <cfRule type="cellIs" dxfId="14777" priority="176" operator="greaterThan">
      <formula>0</formula>
    </cfRule>
    <cfRule type="cellIs" dxfId="14776" priority="177" operator="equal">
      <formula>"PMS"</formula>
    </cfRule>
    <cfRule type="containsText" dxfId="14775" priority="178" operator="containsText" text="CMS">
      <formula>NOT(ISERROR(SEARCH("CMS",G78)))</formula>
    </cfRule>
    <cfRule type="cellIs" dxfId="14774" priority="179" operator="equal">
      <formula>0</formula>
    </cfRule>
    <cfRule type="cellIs" dxfId="14773" priority="180" operator="greaterThan">
      <formula>0</formula>
    </cfRule>
  </conditionalFormatting>
  <conditionalFormatting sqref="G78:K78">
    <cfRule type="cellIs" dxfId="14772" priority="169" operator="equal">
      <formula>"PMS"</formula>
    </cfRule>
    <cfRule type="containsText" dxfId="14771" priority="170" operator="containsText" text="CMS">
      <formula>NOT(ISERROR(SEARCH("CMS",G78)))</formula>
    </cfRule>
    <cfRule type="cellIs" dxfId="14770" priority="171" operator="equal">
      <formula>0</formula>
    </cfRule>
    <cfRule type="cellIs" dxfId="14769" priority="172" operator="greaterThan">
      <formula>0</formula>
    </cfRule>
  </conditionalFormatting>
  <conditionalFormatting sqref="O40">
    <cfRule type="cellIs" dxfId="14768" priority="161" operator="equal">
      <formula>"PMS"</formula>
    </cfRule>
    <cfRule type="containsText" dxfId="14767" priority="162" operator="containsText" text="CMS">
      <formula>NOT(ISERROR(SEARCH("CMS",O40)))</formula>
    </cfRule>
    <cfRule type="cellIs" dxfId="14766" priority="163" operator="equal">
      <formula>0</formula>
    </cfRule>
    <cfRule type="cellIs" dxfId="14765" priority="164" operator="greaterThan">
      <formula>0</formula>
    </cfRule>
    <cfRule type="cellIs" dxfId="14764" priority="165" operator="equal">
      <formula>"PMS"</formula>
    </cfRule>
    <cfRule type="containsText" dxfId="14763" priority="166" operator="containsText" text="CMS">
      <formula>NOT(ISERROR(SEARCH("CMS",O40)))</formula>
    </cfRule>
    <cfRule type="cellIs" dxfId="14762" priority="167" operator="equal">
      <formula>0</formula>
    </cfRule>
    <cfRule type="cellIs" dxfId="14761" priority="168" operator="greaterThan">
      <formula>0</formula>
    </cfRule>
  </conditionalFormatting>
  <conditionalFormatting sqref="O40">
    <cfRule type="cellIs" dxfId="14760" priority="157" operator="equal">
      <formula>"PMS"</formula>
    </cfRule>
    <cfRule type="containsText" dxfId="14759" priority="158" operator="containsText" text="CMS">
      <formula>NOT(ISERROR(SEARCH("CMS",O40)))</formula>
    </cfRule>
    <cfRule type="cellIs" dxfId="14758" priority="159" operator="equal">
      <formula>0</formula>
    </cfRule>
    <cfRule type="cellIs" dxfId="14757" priority="160" operator="greaterThan">
      <formula>0</formula>
    </cfRule>
  </conditionalFormatting>
  <conditionalFormatting sqref="L78">
    <cfRule type="cellIs" dxfId="14756" priority="149" operator="equal">
      <formula>"PMS"</formula>
    </cfRule>
    <cfRule type="containsText" dxfId="14755" priority="150" operator="containsText" text="CMS">
      <formula>NOT(ISERROR(SEARCH("CMS",L78)))</formula>
    </cfRule>
    <cfRule type="cellIs" dxfId="14754" priority="151" operator="equal">
      <formula>0</formula>
    </cfRule>
    <cfRule type="cellIs" dxfId="14753" priority="152" operator="greaterThan">
      <formula>0</formula>
    </cfRule>
    <cfRule type="cellIs" dxfId="14752" priority="153" operator="equal">
      <formula>"PMS"</formula>
    </cfRule>
    <cfRule type="containsText" dxfId="14751" priority="154" operator="containsText" text="CMS">
      <formula>NOT(ISERROR(SEARCH("CMS",L78)))</formula>
    </cfRule>
    <cfRule type="cellIs" dxfId="14750" priority="155" operator="equal">
      <formula>0</formula>
    </cfRule>
    <cfRule type="cellIs" dxfId="14749" priority="156" operator="greaterThan">
      <formula>0</formula>
    </cfRule>
  </conditionalFormatting>
  <conditionalFormatting sqref="L78">
    <cfRule type="cellIs" dxfId="14748" priority="145" operator="equal">
      <formula>"PMS"</formula>
    </cfRule>
    <cfRule type="containsText" dxfId="14747" priority="146" operator="containsText" text="CMS">
      <formula>NOT(ISERROR(SEARCH("CMS",L78)))</formula>
    </cfRule>
    <cfRule type="cellIs" dxfId="14746" priority="147" operator="equal">
      <formula>0</formula>
    </cfRule>
    <cfRule type="cellIs" dxfId="14745" priority="148" operator="greaterThan">
      <formula>0</formula>
    </cfRule>
  </conditionalFormatting>
  <conditionalFormatting sqref="R27:R28">
    <cfRule type="cellIs" dxfId="14744" priority="125" operator="equal">
      <formula>"PMS"</formula>
    </cfRule>
    <cfRule type="containsText" dxfId="14743" priority="126" operator="containsText" text="CMS">
      <formula>NOT(ISERROR(SEARCH("CMS",R27)))</formula>
    </cfRule>
    <cfRule type="cellIs" dxfId="14742" priority="127" operator="equal">
      <formula>0</formula>
    </cfRule>
    <cfRule type="cellIs" dxfId="14741" priority="128" operator="greaterThan">
      <formula>0</formula>
    </cfRule>
    <cfRule type="cellIs" dxfId="14740" priority="129" operator="equal">
      <formula>"PMS"</formula>
    </cfRule>
    <cfRule type="containsText" dxfId="14739" priority="130" operator="containsText" text="CMS">
      <formula>NOT(ISERROR(SEARCH("CMS",R27)))</formula>
    </cfRule>
    <cfRule type="cellIs" dxfId="14738" priority="131" operator="equal">
      <formula>0</formula>
    </cfRule>
    <cfRule type="cellIs" dxfId="14737" priority="132" operator="greaterThan">
      <formula>0</formula>
    </cfRule>
  </conditionalFormatting>
  <conditionalFormatting sqref="R27:R28">
    <cfRule type="cellIs" dxfId="14736" priority="121" operator="equal">
      <formula>"PMS"</formula>
    </cfRule>
    <cfRule type="containsText" dxfId="14735" priority="122" operator="containsText" text="CMS">
      <formula>NOT(ISERROR(SEARCH("CMS",R27)))</formula>
    </cfRule>
    <cfRule type="cellIs" dxfId="14734" priority="123" operator="equal">
      <formula>0</formula>
    </cfRule>
    <cfRule type="cellIs" dxfId="14733" priority="124" operator="greaterThan">
      <formula>0</formula>
    </cfRule>
  </conditionalFormatting>
  <conditionalFormatting sqref="F13:F16 F62:F64">
    <cfRule type="cellIs" dxfId="14732" priority="65" operator="equal">
      <formula>"PMS"</formula>
    </cfRule>
    <cfRule type="containsText" dxfId="14731" priority="66" operator="containsText" text="CMS">
      <formula>NOT(ISERROR(SEARCH("CMS",F13)))</formula>
    </cfRule>
    <cfRule type="cellIs" dxfId="14730" priority="67" operator="equal">
      <formula>0</formula>
    </cfRule>
    <cfRule type="cellIs" dxfId="14729" priority="68" operator="greaterThan">
      <formula>0</formula>
    </cfRule>
    <cfRule type="cellIs" dxfId="14728" priority="69" operator="equal">
      <formula>"PMS"</formula>
    </cfRule>
    <cfRule type="containsText" dxfId="14727" priority="70" operator="containsText" text="CMS">
      <formula>NOT(ISERROR(SEARCH("CMS",F13)))</formula>
    </cfRule>
    <cfRule type="cellIs" dxfId="14726" priority="71" operator="equal">
      <formula>0</formula>
    </cfRule>
    <cfRule type="cellIs" dxfId="14725" priority="72" operator="greaterThan">
      <formula>0</formula>
    </cfRule>
  </conditionalFormatting>
  <conditionalFormatting sqref="F13:F16 F62:F64">
    <cfRule type="cellIs" dxfId="14724" priority="61" operator="equal">
      <formula>"PMS"</formula>
    </cfRule>
    <cfRule type="containsText" dxfId="14723" priority="62" operator="containsText" text="CMS">
      <formula>NOT(ISERROR(SEARCH("CMS",F13)))</formula>
    </cfRule>
    <cfRule type="cellIs" dxfId="14722" priority="63" operator="equal">
      <formula>0</formula>
    </cfRule>
    <cfRule type="cellIs" dxfId="14721" priority="64" operator="greaterThan">
      <formula>0</formula>
    </cfRule>
  </conditionalFormatting>
  <conditionalFormatting sqref="F67:F75">
    <cfRule type="cellIs" dxfId="14720" priority="53" operator="equal">
      <formula>"PMS"</formula>
    </cfRule>
    <cfRule type="containsText" dxfId="14719" priority="54" operator="containsText" text="CMS">
      <formula>NOT(ISERROR(SEARCH("CMS",F67)))</formula>
    </cfRule>
    <cfRule type="cellIs" dxfId="14718" priority="55" operator="equal">
      <formula>0</formula>
    </cfRule>
    <cfRule type="cellIs" dxfId="14717" priority="56" operator="greaterThan">
      <formula>0</formula>
    </cfRule>
    <cfRule type="cellIs" dxfId="14716" priority="57" operator="equal">
      <formula>"PMS"</formula>
    </cfRule>
    <cfRule type="containsText" dxfId="14715" priority="58" operator="containsText" text="CMS">
      <formula>NOT(ISERROR(SEARCH("CMS",F67)))</formula>
    </cfRule>
    <cfRule type="cellIs" dxfId="14714" priority="59" operator="equal">
      <formula>0</formula>
    </cfRule>
    <cfRule type="cellIs" dxfId="14713" priority="60" operator="greaterThan">
      <formula>0</formula>
    </cfRule>
  </conditionalFormatting>
  <conditionalFormatting sqref="F67:F75">
    <cfRule type="cellIs" dxfId="14712" priority="49" operator="equal">
      <formula>"PMS"</formula>
    </cfRule>
    <cfRule type="containsText" dxfId="14711" priority="50" operator="containsText" text="CMS">
      <formula>NOT(ISERROR(SEARCH("CMS",F67)))</formula>
    </cfRule>
    <cfRule type="cellIs" dxfId="14710" priority="51" operator="equal">
      <formula>0</formula>
    </cfRule>
    <cfRule type="cellIs" dxfId="14709" priority="52" operator="greaterThan">
      <formula>0</formula>
    </cfRule>
  </conditionalFormatting>
  <conditionalFormatting sqref="F33 F28:F30 F24 F78:F79 F19:F21">
    <cfRule type="cellIs" dxfId="14708" priority="41" operator="equal">
      <formula>"PMS"</formula>
    </cfRule>
    <cfRule type="containsText" dxfId="14707" priority="42" operator="containsText" text="CMS">
      <formula>NOT(ISERROR(SEARCH("CMS",F19)))</formula>
    </cfRule>
    <cfRule type="cellIs" dxfId="14706" priority="43" operator="equal">
      <formula>0</formula>
    </cfRule>
    <cfRule type="cellIs" dxfId="14705" priority="44" operator="greaterThan">
      <formula>0</formula>
    </cfRule>
    <cfRule type="cellIs" dxfId="14704" priority="45" operator="equal">
      <formula>"PMS"</formula>
    </cfRule>
    <cfRule type="containsText" dxfId="14703" priority="46" operator="containsText" text="CMS">
      <formula>NOT(ISERROR(SEARCH("CMS",F19)))</formula>
    </cfRule>
    <cfRule type="cellIs" dxfId="14702" priority="47" operator="equal">
      <formula>0</formula>
    </cfRule>
    <cfRule type="cellIs" dxfId="14701" priority="48" operator="greaterThan">
      <formula>0</formula>
    </cfRule>
  </conditionalFormatting>
  <conditionalFormatting sqref="F33 F28:F30 F24 F78:F79 F19:F21">
    <cfRule type="cellIs" dxfId="14700" priority="37" operator="equal">
      <formula>"PMS"</formula>
    </cfRule>
    <cfRule type="containsText" dxfId="14699" priority="38" operator="containsText" text="CMS">
      <formula>NOT(ISERROR(SEARCH("CMS",F19)))</formula>
    </cfRule>
    <cfRule type="cellIs" dxfId="14698" priority="39" operator="equal">
      <formula>0</formula>
    </cfRule>
    <cfRule type="cellIs" dxfId="14697" priority="40" operator="greaterThan">
      <formula>0</formula>
    </cfRule>
  </conditionalFormatting>
  <conditionalFormatting sqref="F27">
    <cfRule type="cellIs" dxfId="14696" priority="29" operator="equal">
      <formula>"PMS"</formula>
    </cfRule>
    <cfRule type="containsText" dxfId="14695" priority="30" operator="containsText" text="CMS">
      <formula>NOT(ISERROR(SEARCH("CMS",F27)))</formula>
    </cfRule>
    <cfRule type="cellIs" dxfId="14694" priority="31" operator="equal">
      <formula>0</formula>
    </cfRule>
    <cfRule type="cellIs" dxfId="14693" priority="32" operator="greaterThan">
      <formula>0</formula>
    </cfRule>
    <cfRule type="cellIs" dxfId="14692" priority="33" operator="equal">
      <formula>"PMS"</formula>
    </cfRule>
    <cfRule type="containsText" dxfId="14691" priority="34" operator="containsText" text="CMS">
      <formula>NOT(ISERROR(SEARCH("CMS",F27)))</formula>
    </cfRule>
    <cfRule type="cellIs" dxfId="14690" priority="35" operator="equal">
      <formula>0</formula>
    </cfRule>
    <cfRule type="cellIs" dxfId="14689" priority="36" operator="greaterThan">
      <formula>0</formula>
    </cfRule>
  </conditionalFormatting>
  <conditionalFormatting sqref="F27">
    <cfRule type="cellIs" dxfId="14688" priority="25" operator="equal">
      <formula>"PMS"</formula>
    </cfRule>
    <cfRule type="containsText" dxfId="14687" priority="26" operator="containsText" text="CMS">
      <formula>NOT(ISERROR(SEARCH("CMS",F27)))</formula>
    </cfRule>
    <cfRule type="cellIs" dxfId="14686" priority="27" operator="equal">
      <formula>0</formula>
    </cfRule>
    <cfRule type="cellIs" dxfId="14685" priority="28" operator="greaterThan">
      <formula>0</formula>
    </cfRule>
  </conditionalFormatting>
  <conditionalFormatting sqref="M78">
    <cfRule type="cellIs" dxfId="14684" priority="17" operator="equal">
      <formula>"PMS"</formula>
    </cfRule>
    <cfRule type="containsText" dxfId="14683" priority="18" operator="containsText" text="CMS">
      <formula>NOT(ISERROR(SEARCH("CMS",M78)))</formula>
    </cfRule>
    <cfRule type="cellIs" dxfId="14682" priority="19" operator="equal">
      <formula>0</formula>
    </cfRule>
    <cfRule type="cellIs" dxfId="14681" priority="20" operator="greaterThan">
      <formula>0</formula>
    </cfRule>
    <cfRule type="cellIs" dxfId="14680" priority="21" operator="equal">
      <formula>"PMS"</formula>
    </cfRule>
    <cfRule type="containsText" dxfId="14679" priority="22" operator="containsText" text="CMS">
      <formula>NOT(ISERROR(SEARCH("CMS",M78)))</formula>
    </cfRule>
    <cfRule type="cellIs" dxfId="14678" priority="23" operator="equal">
      <formula>0</formula>
    </cfRule>
    <cfRule type="cellIs" dxfId="14677" priority="24" operator="greaterThan">
      <formula>0</formula>
    </cfRule>
  </conditionalFormatting>
  <conditionalFormatting sqref="M78">
    <cfRule type="cellIs" dxfId="14676" priority="13" operator="equal">
      <formula>"PMS"</formula>
    </cfRule>
    <cfRule type="containsText" dxfId="14675" priority="14" operator="containsText" text="CMS">
      <formula>NOT(ISERROR(SEARCH("CMS",M78)))</formula>
    </cfRule>
    <cfRule type="cellIs" dxfId="14674" priority="15" operator="equal">
      <formula>0</formula>
    </cfRule>
    <cfRule type="cellIs" dxfId="14673" priority="16" operator="greaterThan">
      <formula>0</formula>
    </cfRule>
  </conditionalFormatting>
  <conditionalFormatting sqref="W78">
    <cfRule type="cellIs" dxfId="14672" priority="5" operator="equal">
      <formula>"PMS"</formula>
    </cfRule>
    <cfRule type="containsText" dxfId="14671" priority="6" operator="containsText" text="CMS">
      <formula>NOT(ISERROR(SEARCH("CMS",W78)))</formula>
    </cfRule>
    <cfRule type="cellIs" dxfId="14670" priority="7" operator="equal">
      <formula>0</formula>
    </cfRule>
    <cfRule type="cellIs" dxfId="14669" priority="8" operator="greaterThan">
      <formula>0</formula>
    </cfRule>
    <cfRule type="cellIs" dxfId="14668" priority="9" operator="equal">
      <formula>"PMS"</formula>
    </cfRule>
    <cfRule type="containsText" dxfId="14667" priority="10" operator="containsText" text="CMS">
      <formula>NOT(ISERROR(SEARCH("CMS",W78)))</formula>
    </cfRule>
    <cfRule type="cellIs" dxfId="14666" priority="11" operator="equal">
      <formula>0</formula>
    </cfRule>
    <cfRule type="cellIs" dxfId="14665" priority="12" operator="greaterThan">
      <formula>0</formula>
    </cfRule>
  </conditionalFormatting>
  <conditionalFormatting sqref="W78">
    <cfRule type="cellIs" dxfId="14664" priority="1" operator="equal">
      <formula>"PMS"</formula>
    </cfRule>
    <cfRule type="containsText" dxfId="14663" priority="2" operator="containsText" text="CMS">
      <formula>NOT(ISERROR(SEARCH("CMS",W78)))</formula>
    </cfRule>
    <cfRule type="cellIs" dxfId="14662" priority="3" operator="equal">
      <formula>0</formula>
    </cfRule>
    <cfRule type="cellIs" dxfId="1466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72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21FEF-588D-4447-9E02-0575E30D9FE6}">
  <sheetPr codeName="Sheet231"/>
  <dimension ref="A2:DT141"/>
  <sheetViews>
    <sheetView zoomScale="70" zoomScaleNormal="70" workbookViewId="0">
      <pane xSplit="5" ySplit="11" topLeftCell="F13" activePane="bottomRight" state="frozen"/>
      <selection pane="bottomRight" activeCell="J108" sqref="J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425.60000000000014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6.6</v>
      </c>
      <c r="H14" s="359">
        <v>6.7</v>
      </c>
      <c r="I14" s="357">
        <v>6.5</v>
      </c>
      <c r="J14" s="357">
        <v>6.9</v>
      </c>
      <c r="K14" s="359">
        <v>6.8</v>
      </c>
      <c r="L14" s="359">
        <v>6.5</v>
      </c>
      <c r="M14" s="357">
        <v>6.7</v>
      </c>
      <c r="N14" s="359">
        <v>6.9</v>
      </c>
      <c r="O14" s="357">
        <v>6.9</v>
      </c>
      <c r="P14" s="357">
        <v>6.8</v>
      </c>
      <c r="Q14" s="357">
        <v>6.8</v>
      </c>
      <c r="R14" s="357">
        <v>6.8</v>
      </c>
      <c r="S14" s="462">
        <v>6.7</v>
      </c>
      <c r="T14" s="462">
        <v>6.6</v>
      </c>
      <c r="U14" s="357">
        <v>6.7</v>
      </c>
      <c r="V14" s="357">
        <v>6.7</v>
      </c>
      <c r="W14" s="357">
        <v>6.6</v>
      </c>
      <c r="X14" s="357">
        <v>6.5</v>
      </c>
      <c r="Y14" s="357">
        <v>6.8</v>
      </c>
      <c r="Z14" s="462">
        <v>6.6</v>
      </c>
      <c r="AA14" s="462">
        <v>6.6</v>
      </c>
      <c r="AB14" s="357">
        <v>6.6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/>
      <c r="G15" s="357"/>
      <c r="H15" s="357"/>
      <c r="I15" s="357">
        <v>2</v>
      </c>
      <c r="J15" s="357">
        <v>6.9</v>
      </c>
      <c r="K15" s="359">
        <v>6.8</v>
      </c>
      <c r="L15" s="359">
        <v>5.4</v>
      </c>
      <c r="M15" s="359"/>
      <c r="N15" s="359">
        <v>2.4</v>
      </c>
      <c r="O15" s="357">
        <v>6.9</v>
      </c>
      <c r="P15" s="357">
        <v>6.8</v>
      </c>
      <c r="Q15" s="357">
        <v>6.8</v>
      </c>
      <c r="R15" s="357">
        <v>6.8</v>
      </c>
      <c r="S15" s="462">
        <v>6.7</v>
      </c>
      <c r="T15" s="462">
        <v>6.6</v>
      </c>
      <c r="U15" s="357">
        <v>6.7</v>
      </c>
      <c r="V15" s="462">
        <v>6.7</v>
      </c>
      <c r="W15" s="357">
        <v>6.6</v>
      </c>
      <c r="X15" s="357">
        <v>6.7</v>
      </c>
      <c r="Y15" s="357">
        <v>6.8</v>
      </c>
      <c r="Z15" s="462">
        <v>6.6</v>
      </c>
      <c r="AA15" s="462">
        <v>6.6</v>
      </c>
      <c r="AB15" s="462">
        <v>6.6</v>
      </c>
      <c r="AC15" s="46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6.7</v>
      </c>
      <c r="I16" s="357">
        <v>4.8</v>
      </c>
      <c r="J16" s="357">
        <v>0</v>
      </c>
      <c r="K16" s="359">
        <v>0</v>
      </c>
      <c r="L16" s="359">
        <v>2</v>
      </c>
      <c r="M16" s="359">
        <v>6.7</v>
      </c>
      <c r="N16" s="359">
        <v>6.9</v>
      </c>
      <c r="O16" s="357">
        <v>6.9</v>
      </c>
      <c r="P16" s="357">
        <v>6.8</v>
      </c>
      <c r="Q16" s="357">
        <v>6.8</v>
      </c>
      <c r="R16" s="357">
        <v>6.8</v>
      </c>
      <c r="S16" s="462">
        <v>6.7</v>
      </c>
      <c r="T16" s="462">
        <v>6.6</v>
      </c>
      <c r="U16" s="357">
        <v>6.7</v>
      </c>
      <c r="V16" s="462">
        <v>6.7</v>
      </c>
      <c r="W16" s="357">
        <v>6.6</v>
      </c>
      <c r="X16" s="357">
        <v>6.7</v>
      </c>
      <c r="Y16" s="357">
        <v>6.8</v>
      </c>
      <c r="Z16" s="462">
        <v>6.6</v>
      </c>
      <c r="AA16" s="462">
        <v>6.6</v>
      </c>
      <c r="AB16" s="462">
        <v>6.6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13.4</v>
      </c>
      <c r="I17" s="19">
        <f t="shared" si="1"/>
        <v>13.3</v>
      </c>
      <c r="J17" s="19">
        <f t="shared" si="1"/>
        <v>13.8</v>
      </c>
      <c r="K17" s="19">
        <f t="shared" si="1"/>
        <v>13.6</v>
      </c>
      <c r="L17" s="19">
        <f t="shared" si="1"/>
        <v>13.9</v>
      </c>
      <c r="M17" s="19">
        <f t="shared" si="1"/>
        <v>13.4</v>
      </c>
      <c r="N17" s="19">
        <f t="shared" si="1"/>
        <v>16.200000000000003</v>
      </c>
      <c r="O17" s="19">
        <f t="shared" si="1"/>
        <v>20.700000000000003</v>
      </c>
      <c r="P17" s="19">
        <f t="shared" si="1"/>
        <v>20.399999999999999</v>
      </c>
      <c r="Q17" s="19">
        <f t="shared" si="1"/>
        <v>20.399999999999999</v>
      </c>
      <c r="R17" s="19">
        <f t="shared" si="1"/>
        <v>20.399999999999999</v>
      </c>
      <c r="S17" s="463">
        <f t="shared" si="1"/>
        <v>20.100000000000001</v>
      </c>
      <c r="T17" s="463">
        <f t="shared" si="1"/>
        <v>19.799999999999997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19.899999999999999</v>
      </c>
      <c r="Y17" s="19">
        <f t="shared" si="1"/>
        <v>20.399999999999999</v>
      </c>
      <c r="Z17" s="463">
        <f t="shared" si="1"/>
        <v>19.799999999999997</v>
      </c>
      <c r="AA17" s="463">
        <f t="shared" si="1"/>
        <v>19.799999999999997</v>
      </c>
      <c r="AB17" s="463">
        <f>SUM(AB13:AB16)</f>
        <v>19.799999999999997</v>
      </c>
      <c r="AC17" s="19">
        <f t="shared" si="1"/>
        <v>19.899999999999999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109.69999999999996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2.6</v>
      </c>
      <c r="G19" s="357">
        <v>1.6</v>
      </c>
      <c r="H19" s="357"/>
      <c r="I19" s="357"/>
      <c r="J19" s="357"/>
      <c r="K19" s="357"/>
      <c r="L19" s="359" t="s">
        <v>9</v>
      </c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18</v>
      </c>
      <c r="AG19" s="11">
        <f>COUNTIF(G19:AD19,$AJ$7)</f>
        <v>0</v>
      </c>
      <c r="AH19" s="11">
        <f>COUNT(F19:AC19)</f>
        <v>2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>
        <v>3.4</v>
      </c>
      <c r="Q20" s="357">
        <v>3.4</v>
      </c>
      <c r="R20" s="357">
        <v>3.4</v>
      </c>
      <c r="S20" s="357">
        <v>3.4</v>
      </c>
      <c r="T20" s="357">
        <v>3</v>
      </c>
      <c r="U20" s="357">
        <v>3</v>
      </c>
      <c r="V20" s="357">
        <v>3.3</v>
      </c>
      <c r="W20" s="357">
        <v>3.2</v>
      </c>
      <c r="X20" s="357">
        <v>3</v>
      </c>
      <c r="Y20" s="357">
        <v>3.3</v>
      </c>
      <c r="Z20" s="357">
        <v>3.3</v>
      </c>
      <c r="AA20" s="357">
        <v>3.3</v>
      </c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12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3.6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>
        <v>0</v>
      </c>
      <c r="L21" s="359">
        <v>3.8</v>
      </c>
      <c r="M21" s="359">
        <v>3</v>
      </c>
      <c r="N21" s="357">
        <v>3.8</v>
      </c>
      <c r="O21" s="357">
        <v>3.8</v>
      </c>
      <c r="P21" s="357">
        <v>3.4</v>
      </c>
      <c r="Q21" s="357">
        <v>3.8</v>
      </c>
      <c r="R21" s="357">
        <v>3.7</v>
      </c>
      <c r="S21" s="462">
        <v>3.6</v>
      </c>
      <c r="T21" s="462">
        <v>3</v>
      </c>
      <c r="U21" s="357">
        <v>3</v>
      </c>
      <c r="V21" s="357">
        <v>3.6</v>
      </c>
      <c r="W21" s="357">
        <v>3.5</v>
      </c>
      <c r="X21" s="357">
        <v>3</v>
      </c>
      <c r="Y21" s="357">
        <v>3.8</v>
      </c>
      <c r="Z21" s="357">
        <v>3.8</v>
      </c>
      <c r="AA21" s="357">
        <v>3.8</v>
      </c>
      <c r="AB21" s="357">
        <v>3.6</v>
      </c>
      <c r="AC21" s="357">
        <v>2.9</v>
      </c>
      <c r="AD21" s="41"/>
      <c r="AE21" s="41"/>
      <c r="AF21" s="11">
        <f>COUNTIF(F21:AC21,$AJ$8)</f>
        <v>4</v>
      </c>
      <c r="AG21" s="11">
        <f>COUNTIF(G21:AD21,$AJ$7)</f>
        <v>0</v>
      </c>
      <c r="AH21" s="11">
        <f>COUNT(F21:AC21)</f>
        <v>20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6.2</v>
      </c>
      <c r="G22" s="19">
        <f t="shared" ref="G22:AC22" si="3">SUM(G19:G21)</f>
        <v>1.6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3.8</v>
      </c>
      <c r="M22" s="19">
        <f t="shared" si="3"/>
        <v>3</v>
      </c>
      <c r="N22" s="19">
        <f t="shared" si="3"/>
        <v>3.8</v>
      </c>
      <c r="O22" s="19">
        <f t="shared" si="3"/>
        <v>3.8</v>
      </c>
      <c r="P22" s="19">
        <f t="shared" si="3"/>
        <v>6.8</v>
      </c>
      <c r="Q22" s="19">
        <f t="shared" si="3"/>
        <v>7.1999999999999993</v>
      </c>
      <c r="R22" s="19">
        <f t="shared" si="3"/>
        <v>7.1</v>
      </c>
      <c r="S22" s="463">
        <f>SUM(S19:S21)</f>
        <v>7</v>
      </c>
      <c r="T22" s="463">
        <f t="shared" ref="T22" si="4">SUM(T19:T21)</f>
        <v>6</v>
      </c>
      <c r="U22" s="19">
        <f t="shared" si="3"/>
        <v>6</v>
      </c>
      <c r="V22" s="19">
        <f t="shared" si="3"/>
        <v>6.9</v>
      </c>
      <c r="W22" s="19">
        <f t="shared" si="3"/>
        <v>6.7</v>
      </c>
      <c r="X22" s="19">
        <f t="shared" si="3"/>
        <v>6</v>
      </c>
      <c r="Y22" s="19">
        <f t="shared" si="3"/>
        <v>7.1</v>
      </c>
      <c r="Z22" s="463">
        <f>SUM(Z19:Z21)</f>
        <v>7.1</v>
      </c>
      <c r="AA22" s="463">
        <f t="shared" si="3"/>
        <v>7.1</v>
      </c>
      <c r="AB22" s="463">
        <f>SUM(AB19:AB21)</f>
        <v>3.6</v>
      </c>
      <c r="AC22" s="19">
        <f t="shared" si="3"/>
        <v>2.9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31.8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/>
      <c r="Q24" s="357"/>
      <c r="R24" s="357">
        <v>3.3</v>
      </c>
      <c r="S24" s="357">
        <v>3.5</v>
      </c>
      <c r="T24" s="357">
        <v>3.8</v>
      </c>
      <c r="U24" s="357">
        <v>3</v>
      </c>
      <c r="V24" s="357">
        <v>3.8</v>
      </c>
      <c r="W24" s="357">
        <v>3.8</v>
      </c>
      <c r="X24" s="357">
        <v>3</v>
      </c>
      <c r="Y24" s="357">
        <v>3.8</v>
      </c>
      <c r="Z24" s="357">
        <v>3.8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9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3.3</v>
      </c>
      <c r="S25" s="463">
        <f t="shared" si="6"/>
        <v>3.5</v>
      </c>
      <c r="T25" s="463">
        <f t="shared" si="6"/>
        <v>3.8</v>
      </c>
      <c r="U25" s="19">
        <f t="shared" si="6"/>
        <v>3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3">
        <f t="shared" si="6"/>
        <v>3.8</v>
      </c>
      <c r="AA25" s="463">
        <f t="shared" si="6"/>
        <v>0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79.699999999999989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3.9</v>
      </c>
      <c r="G27" s="357"/>
      <c r="H27" s="357"/>
      <c r="I27" s="357"/>
      <c r="J27" s="357"/>
      <c r="K27" s="357"/>
      <c r="L27" s="359"/>
      <c r="M27" s="357"/>
      <c r="N27" s="357"/>
      <c r="O27" s="357"/>
      <c r="P27" s="357"/>
      <c r="Q27" s="357"/>
      <c r="R27" s="357"/>
      <c r="S27" s="462"/>
      <c r="T27" s="462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3.9</v>
      </c>
      <c r="G28" s="357">
        <v>3.9</v>
      </c>
      <c r="H28" s="357">
        <v>2</v>
      </c>
      <c r="I28" s="357">
        <v>1.5</v>
      </c>
      <c r="J28" s="359">
        <v>1.7</v>
      </c>
      <c r="K28" s="357">
        <v>3</v>
      </c>
      <c r="L28" s="359">
        <v>3.9</v>
      </c>
      <c r="M28" s="357">
        <v>1.5</v>
      </c>
      <c r="N28" s="357">
        <v>3.8</v>
      </c>
      <c r="O28" s="357">
        <v>4</v>
      </c>
      <c r="P28" s="357">
        <v>3.8</v>
      </c>
      <c r="Q28" s="357">
        <v>3.8</v>
      </c>
      <c r="R28" s="357">
        <v>3.8</v>
      </c>
      <c r="S28" s="462">
        <v>3.7</v>
      </c>
      <c r="T28" s="359">
        <v>3.5</v>
      </c>
      <c r="U28" s="359">
        <v>3.3</v>
      </c>
      <c r="V28" s="359">
        <v>3.8</v>
      </c>
      <c r="W28" s="357">
        <v>3.7</v>
      </c>
      <c r="X28" s="357">
        <v>1.5</v>
      </c>
      <c r="Y28" s="357">
        <v>3.8</v>
      </c>
      <c r="Z28" s="357">
        <v>3.8</v>
      </c>
      <c r="AA28" s="357">
        <v>4.2</v>
      </c>
      <c r="AB28" s="357">
        <v>2.4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154.19999999999999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 t="s">
        <v>9</v>
      </c>
      <c r="G30" s="359">
        <v>6.4</v>
      </c>
      <c r="H30" s="357">
        <v>7</v>
      </c>
      <c r="I30" s="357">
        <v>6.9</v>
      </c>
      <c r="J30" s="357">
        <v>6</v>
      </c>
      <c r="K30" s="357">
        <v>7</v>
      </c>
      <c r="L30" s="359">
        <v>6.7</v>
      </c>
      <c r="M30" s="357">
        <v>3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6.4</v>
      </c>
      <c r="U30" s="359">
        <v>7</v>
      </c>
      <c r="V30" s="357">
        <v>7</v>
      </c>
      <c r="W30" s="359">
        <v>6.8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7.8</v>
      </c>
      <c r="G31" s="19">
        <f>SUM(G27:G30)</f>
        <v>10.3</v>
      </c>
      <c r="H31" s="19">
        <v>6</v>
      </c>
      <c r="I31" s="19">
        <f t="shared" ref="I31:X31" si="8">SUM(I27:I30)</f>
        <v>8.4</v>
      </c>
      <c r="J31" s="19">
        <f t="shared" si="8"/>
        <v>7.7</v>
      </c>
      <c r="K31" s="19">
        <f t="shared" si="8"/>
        <v>10</v>
      </c>
      <c r="L31" s="19">
        <f t="shared" si="8"/>
        <v>10.6</v>
      </c>
      <c r="M31" s="19">
        <f t="shared" si="8"/>
        <v>4.5</v>
      </c>
      <c r="N31" s="19">
        <f t="shared" si="8"/>
        <v>10.8</v>
      </c>
      <c r="O31" s="19">
        <f t="shared" si="8"/>
        <v>11</v>
      </c>
      <c r="P31" s="19">
        <f t="shared" si="8"/>
        <v>10.8</v>
      </c>
      <c r="Q31" s="19">
        <f t="shared" si="8"/>
        <v>10.8</v>
      </c>
      <c r="R31" s="19">
        <f t="shared" si="8"/>
        <v>10.8</v>
      </c>
      <c r="S31" s="463">
        <f t="shared" si="8"/>
        <v>10.7</v>
      </c>
      <c r="T31" s="463">
        <f t="shared" si="8"/>
        <v>9.9</v>
      </c>
      <c r="U31" s="19">
        <f t="shared" si="8"/>
        <v>10.3</v>
      </c>
      <c r="V31" s="19">
        <f t="shared" si="8"/>
        <v>10.8</v>
      </c>
      <c r="W31" s="19">
        <f t="shared" si="8"/>
        <v>10.5</v>
      </c>
      <c r="X31" s="19">
        <f t="shared" si="8"/>
        <v>8.5</v>
      </c>
      <c r="Y31" s="19">
        <f>SUM(Y27:Y30)</f>
        <v>10.8</v>
      </c>
      <c r="Z31" s="19">
        <f t="shared" ref="Z31:AC31" si="9">SUM(Z27:Z30)</f>
        <v>10.8</v>
      </c>
      <c r="AA31" s="19">
        <f t="shared" si="9"/>
        <v>11.2</v>
      </c>
      <c r="AB31" s="19">
        <f t="shared" si="9"/>
        <v>9.4</v>
      </c>
      <c r="AC31" s="19">
        <f t="shared" si="9"/>
        <v>8.5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340.75999999999993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14.22</v>
      </c>
      <c r="G33" s="357">
        <v>14.24</v>
      </c>
      <c r="H33" s="357">
        <v>14.28</v>
      </c>
      <c r="I33" s="359">
        <v>14.26</v>
      </c>
      <c r="J33" s="357">
        <v>14.28</v>
      </c>
      <c r="K33" s="357">
        <v>14.27</v>
      </c>
      <c r="L33" s="359">
        <v>14.26</v>
      </c>
      <c r="M33" s="357">
        <v>13.28</v>
      </c>
      <c r="N33" s="357">
        <v>14.25</v>
      </c>
      <c r="O33" s="357">
        <v>14.35</v>
      </c>
      <c r="P33" s="357">
        <v>14.17</v>
      </c>
      <c r="Q33" s="359">
        <v>14.13</v>
      </c>
      <c r="R33" s="357">
        <v>14.22</v>
      </c>
      <c r="S33" s="462">
        <v>14.27</v>
      </c>
      <c r="T33" s="462">
        <v>14.17</v>
      </c>
      <c r="U33" s="357">
        <v>14.33</v>
      </c>
      <c r="V33" s="359">
        <v>14.22</v>
      </c>
      <c r="W33" s="357">
        <v>14.31</v>
      </c>
      <c r="X33" s="357">
        <v>14.15</v>
      </c>
      <c r="Y33" s="357">
        <v>14.13</v>
      </c>
      <c r="Z33" s="357">
        <v>14.15</v>
      </c>
      <c r="AA33" s="357">
        <v>14.27</v>
      </c>
      <c r="AB33" s="357">
        <v>14.29</v>
      </c>
      <c r="AC33" s="357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14.22</v>
      </c>
      <c r="G34" s="19">
        <f t="shared" ref="G34:AC34" si="11">SUM(G33)</f>
        <v>14.24</v>
      </c>
      <c r="H34" s="19">
        <f t="shared" si="11"/>
        <v>14.28</v>
      </c>
      <c r="I34" s="19">
        <f t="shared" si="11"/>
        <v>14.26</v>
      </c>
      <c r="J34" s="19">
        <f t="shared" si="11"/>
        <v>14.28</v>
      </c>
      <c r="K34" s="19">
        <f t="shared" si="11"/>
        <v>14.27</v>
      </c>
      <c r="L34" s="19">
        <f t="shared" si="11"/>
        <v>14.26</v>
      </c>
      <c r="M34" s="19">
        <f t="shared" si="11"/>
        <v>13.28</v>
      </c>
      <c r="N34" s="19">
        <f t="shared" si="11"/>
        <v>14.25</v>
      </c>
      <c r="O34" s="19">
        <f t="shared" si="11"/>
        <v>14.35</v>
      </c>
      <c r="P34" s="19">
        <f t="shared" si="11"/>
        <v>14.17</v>
      </c>
      <c r="Q34" s="19">
        <f t="shared" si="11"/>
        <v>14.13</v>
      </c>
      <c r="R34" s="19">
        <f t="shared" si="11"/>
        <v>14.22</v>
      </c>
      <c r="S34" s="19">
        <f t="shared" si="11"/>
        <v>14.27</v>
      </c>
      <c r="T34" s="463">
        <f t="shared" si="11"/>
        <v>14.17</v>
      </c>
      <c r="U34" s="19">
        <f t="shared" si="11"/>
        <v>14.33</v>
      </c>
      <c r="V34" s="19">
        <f t="shared" si="11"/>
        <v>14.22</v>
      </c>
      <c r="W34" s="19">
        <f t="shared" si="11"/>
        <v>14.31</v>
      </c>
      <c r="X34" s="19">
        <f t="shared" si="11"/>
        <v>14.15</v>
      </c>
      <c r="Y34" s="19">
        <f t="shared" si="11"/>
        <v>14.13</v>
      </c>
      <c r="Z34" s="19">
        <f t="shared" si="11"/>
        <v>14.15</v>
      </c>
      <c r="AA34" s="19">
        <f t="shared" si="11"/>
        <v>14.27</v>
      </c>
      <c r="AB34" s="19">
        <f t="shared" si="11"/>
        <v>14.29</v>
      </c>
      <c r="AC34" s="19">
        <f t="shared" si="11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12.000000000000002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0.8</v>
      </c>
      <c r="G47" s="357"/>
      <c r="H47" s="357"/>
      <c r="I47" s="357"/>
      <c r="J47" s="357"/>
      <c r="K47" s="357"/>
      <c r="L47" s="359"/>
      <c r="M47" s="357"/>
      <c r="N47" s="357"/>
      <c r="O47" s="357"/>
      <c r="P47" s="359"/>
      <c r="Q47" s="357">
        <f>2.2/3</f>
        <v>0.73333333333333339</v>
      </c>
      <c r="R47" s="357"/>
      <c r="S47" s="462"/>
      <c r="T47" s="462">
        <v>0.73333333333333339</v>
      </c>
      <c r="U47" s="462"/>
      <c r="V47" s="462"/>
      <c r="W47" s="357"/>
      <c r="X47" s="357"/>
      <c r="Y47" s="357">
        <f>2.9/4</f>
        <v>0.72499999999999998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4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>
        <v>0</v>
      </c>
      <c r="I48" s="357">
        <v>0</v>
      </c>
      <c r="J48" s="357">
        <v>0</v>
      </c>
      <c r="K48" s="357">
        <v>0</v>
      </c>
      <c r="L48" s="359">
        <v>0</v>
      </c>
      <c r="M48" s="357">
        <v>0</v>
      </c>
      <c r="N48" s="359">
        <v>0</v>
      </c>
      <c r="O48" s="357">
        <v>0.8</v>
      </c>
      <c r="P48" s="359"/>
      <c r="Q48" s="357" t="s">
        <v>9</v>
      </c>
      <c r="R48" s="357" t="s">
        <v>9</v>
      </c>
      <c r="S48" s="462" t="s">
        <v>9</v>
      </c>
      <c r="T48" s="462">
        <v>0.73333333333333339</v>
      </c>
      <c r="U48" s="462"/>
      <c r="V48" s="462"/>
      <c r="W48" s="357"/>
      <c r="X48" s="357"/>
      <c r="Y48" s="357">
        <f>2.9/4</f>
        <v>0.72499999999999998</v>
      </c>
      <c r="Z48" s="357"/>
      <c r="AA48" s="357"/>
      <c r="AB48" s="357"/>
      <c r="AC48" s="357"/>
      <c r="AD48" s="41"/>
      <c r="AE48" s="41"/>
      <c r="AF48" s="11">
        <f t="shared" si="12"/>
        <v>3</v>
      </c>
      <c r="AG48" s="11">
        <f t="shared" si="13"/>
        <v>0</v>
      </c>
      <c r="AH48" s="11">
        <f t="shared" si="14"/>
        <v>12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 t="s">
        <v>9</v>
      </c>
      <c r="G50" s="357" t="s">
        <v>9</v>
      </c>
      <c r="H50" s="357" t="s">
        <v>9</v>
      </c>
      <c r="I50" s="357" t="s">
        <v>9</v>
      </c>
      <c r="J50" s="357" t="s">
        <v>9</v>
      </c>
      <c r="K50" s="357" t="s">
        <v>9</v>
      </c>
      <c r="L50" s="359" t="s">
        <v>9</v>
      </c>
      <c r="M50" s="359" t="s">
        <v>9</v>
      </c>
      <c r="N50" s="359" t="s">
        <v>9</v>
      </c>
      <c r="O50" s="359" t="s">
        <v>9</v>
      </c>
      <c r="P50" s="359" t="s">
        <v>9</v>
      </c>
      <c r="Q50" s="357" t="s">
        <v>9</v>
      </c>
      <c r="R50" s="357" t="s">
        <v>9</v>
      </c>
      <c r="S50" s="462" t="s">
        <v>9</v>
      </c>
      <c r="T50" s="357" t="s">
        <v>9</v>
      </c>
      <c r="U50" s="462" t="s">
        <v>9</v>
      </c>
      <c r="V50" s="462" t="s">
        <v>9</v>
      </c>
      <c r="W50" s="357" t="s">
        <v>9</v>
      </c>
      <c r="X50" s="357" t="s">
        <v>9</v>
      </c>
      <c r="Y50" s="357" t="s">
        <v>9</v>
      </c>
      <c r="Z50" s="357" t="s">
        <v>9</v>
      </c>
      <c r="AA50" s="357" t="s">
        <v>9</v>
      </c>
      <c r="AB50" s="357" t="s">
        <v>9</v>
      </c>
      <c r="AC50" s="357" t="s">
        <v>9</v>
      </c>
      <c r="AD50" s="41"/>
      <c r="AE50" s="41"/>
      <c r="AF50" s="11">
        <f t="shared" si="12"/>
        <v>24</v>
      </c>
      <c r="AG50" s="11">
        <f t="shared" si="13"/>
        <v>0</v>
      </c>
      <c r="AH50" s="11">
        <f t="shared" si="14"/>
        <v>0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>
        <v>0</v>
      </c>
      <c r="K51" s="357">
        <v>0</v>
      </c>
      <c r="L51" s="359">
        <v>0</v>
      </c>
      <c r="M51" s="359">
        <v>0</v>
      </c>
      <c r="N51" s="357">
        <v>0</v>
      </c>
      <c r="O51" s="357">
        <v>0</v>
      </c>
      <c r="P51" s="359"/>
      <c r="Q51" s="357">
        <f>2.2/3</f>
        <v>0.73333333333333339</v>
      </c>
      <c r="R51" s="357"/>
      <c r="S51" s="462"/>
      <c r="T51" s="357">
        <v>0.73333333333333339</v>
      </c>
      <c r="U51" s="462"/>
      <c r="V51" s="462"/>
      <c r="W51" s="357"/>
      <c r="X51" s="357"/>
      <c r="Y51" s="357">
        <f>2.9/4</f>
        <v>0.72499999999999998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13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>
        <v>0.8</v>
      </c>
      <c r="M56" s="357"/>
      <c r="N56" s="359"/>
      <c r="O56" s="357"/>
      <c r="P56" s="359"/>
      <c r="Q56" s="357">
        <f>2.2/3</f>
        <v>0.73333333333333339</v>
      </c>
      <c r="R56" s="357"/>
      <c r="S56" s="462"/>
      <c r="T56" s="462"/>
      <c r="U56" s="462"/>
      <c r="V56" s="462">
        <v>0.8</v>
      </c>
      <c r="W56" s="357">
        <v>0.7</v>
      </c>
      <c r="X56" s="357"/>
      <c r="Y56" s="357">
        <f>2.9/4</f>
        <v>0.72499999999999998</v>
      </c>
      <c r="Z56" s="357">
        <v>0.8</v>
      </c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12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T60" si="15">SUM(F36:F59)</f>
        <v>0.8</v>
      </c>
      <c r="G60" s="19">
        <f t="shared" si="15"/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0.8</v>
      </c>
      <c r="M60" s="19">
        <f t="shared" si="15"/>
        <v>0</v>
      </c>
      <c r="N60" s="19">
        <f t="shared" si="15"/>
        <v>0</v>
      </c>
      <c r="O60" s="19">
        <f t="shared" si="15"/>
        <v>0.8</v>
      </c>
      <c r="P60" s="19">
        <f t="shared" si="15"/>
        <v>0</v>
      </c>
      <c r="Q60" s="19">
        <f t="shared" si="15"/>
        <v>2.2000000000000002</v>
      </c>
      <c r="R60" s="19">
        <f t="shared" si="15"/>
        <v>0</v>
      </c>
      <c r="S60" s="463">
        <f t="shared" si="15"/>
        <v>0</v>
      </c>
      <c r="T60" s="463">
        <f t="shared" si="15"/>
        <v>2.2000000000000002</v>
      </c>
      <c r="U60" s="19">
        <f>SUM(U47,U48,U51,U56)</f>
        <v>0</v>
      </c>
      <c r="V60" s="19">
        <f t="shared" ref="V60:AC60" si="16">SUM(V36:V59)</f>
        <v>0.8</v>
      </c>
      <c r="W60" s="19">
        <f t="shared" si="16"/>
        <v>0.7</v>
      </c>
      <c r="X60" s="19">
        <f t="shared" si="16"/>
        <v>0</v>
      </c>
      <c r="Y60" s="19">
        <f t="shared" si="16"/>
        <v>2.9</v>
      </c>
      <c r="Z60" s="19">
        <f t="shared" si="16"/>
        <v>0.8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29.820000000000004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0.5</v>
      </c>
      <c r="G62" s="357">
        <v>0.48499999999999999</v>
      </c>
      <c r="H62" s="357"/>
      <c r="I62" s="359"/>
      <c r="J62" s="357"/>
      <c r="K62" s="357"/>
      <c r="L62" s="357"/>
      <c r="M62" s="357">
        <v>0.57999999999999996</v>
      </c>
      <c r="N62" s="357">
        <v>0.58499999999999996</v>
      </c>
      <c r="O62" s="357">
        <v>0.67500000000000004</v>
      </c>
      <c r="P62" s="357">
        <f>1.43/2</f>
        <v>0.71499999999999997</v>
      </c>
      <c r="Q62" s="357">
        <f>1.49/2</f>
        <v>0.745</v>
      </c>
      <c r="R62" s="357">
        <f>1.49/2</f>
        <v>0.745</v>
      </c>
      <c r="S62" s="462">
        <f>1.39/2</f>
        <v>0.69499999999999995</v>
      </c>
      <c r="T62" s="357">
        <v>0.69</v>
      </c>
      <c r="U62" s="357">
        <v>0.7</v>
      </c>
      <c r="V62" s="462">
        <v>0.7</v>
      </c>
      <c r="W62" s="357">
        <v>0.65500000000000003</v>
      </c>
      <c r="X62" s="357">
        <f>1.24/2</f>
        <v>0.62</v>
      </c>
      <c r="Y62" s="357">
        <f>1.46/2</f>
        <v>0.73</v>
      </c>
      <c r="Z62" s="357">
        <f>1.57/3</f>
        <v>0.52333333333333332</v>
      </c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0.5</v>
      </c>
      <c r="G63" s="357">
        <v>0.48499999999999999</v>
      </c>
      <c r="H63" s="357">
        <v>0.48</v>
      </c>
      <c r="I63" s="359">
        <v>0.47</v>
      </c>
      <c r="J63" s="357">
        <v>0.45</v>
      </c>
      <c r="K63" s="357">
        <v>0.48</v>
      </c>
      <c r="L63" s="357">
        <v>0.6</v>
      </c>
      <c r="M63" s="357"/>
      <c r="N63" s="357"/>
      <c r="O63" s="357"/>
      <c r="P63" s="357"/>
      <c r="Q63" s="357"/>
      <c r="R63" s="357"/>
      <c r="S63" s="462">
        <f>1.39/2</f>
        <v>0.69499999999999995</v>
      </c>
      <c r="T63" s="357">
        <v>0.69</v>
      </c>
      <c r="U63" s="357">
        <v>0.7</v>
      </c>
      <c r="V63" s="462">
        <v>0.7</v>
      </c>
      <c r="W63" s="357">
        <v>0.65500000000000003</v>
      </c>
      <c r="X63" s="357">
        <f>1.24/2</f>
        <v>0.62</v>
      </c>
      <c r="Y63" s="357">
        <f>1.46/2</f>
        <v>0.73</v>
      </c>
      <c r="Z63" s="357">
        <f t="shared" ref="Z63:Z64" si="17">1.57/3</f>
        <v>0.52333333333333332</v>
      </c>
      <c r="AA63" s="357">
        <f>1.39/2</f>
        <v>0.69499999999999995</v>
      </c>
      <c r="AB63" s="357">
        <f>1.26/2</f>
        <v>0.63</v>
      </c>
      <c r="AC63" s="357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>
        <v>0.48</v>
      </c>
      <c r="I64" s="359">
        <v>0.47</v>
      </c>
      <c r="J64" s="357">
        <v>0.45</v>
      </c>
      <c r="K64" s="357">
        <v>0.48</v>
      </c>
      <c r="L64" s="357">
        <v>0.6</v>
      </c>
      <c r="M64" s="357">
        <v>0.57999999999999996</v>
      </c>
      <c r="N64" s="357">
        <v>0.58499999999999996</v>
      </c>
      <c r="O64" s="357">
        <v>0.67500000000000004</v>
      </c>
      <c r="P64" s="357">
        <f>1.43/2</f>
        <v>0.71499999999999997</v>
      </c>
      <c r="Q64" s="357">
        <f>1.49/2</f>
        <v>0.745</v>
      </c>
      <c r="R64" s="357">
        <f>1.49/2</f>
        <v>0.745</v>
      </c>
      <c r="S64" s="462"/>
      <c r="T64" s="357"/>
      <c r="U64" s="357"/>
      <c r="V64" s="462"/>
      <c r="W64" s="357"/>
      <c r="X64" s="357"/>
      <c r="Y64" s="357"/>
      <c r="Z64" s="357">
        <f t="shared" si="17"/>
        <v>0.52333333333333332</v>
      </c>
      <c r="AA64" s="357">
        <f>1.39/2</f>
        <v>0.69499999999999995</v>
      </c>
      <c r="AB64" s="357">
        <f>1.26/2</f>
        <v>0.63</v>
      </c>
      <c r="AC64" s="357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</v>
      </c>
      <c r="G65" s="19">
        <f t="shared" ref="G65:AB65" si="18">SUM(G62:G64)</f>
        <v>0.97</v>
      </c>
      <c r="H65" s="19">
        <f t="shared" si="18"/>
        <v>0.96</v>
      </c>
      <c r="I65" s="19">
        <f t="shared" si="18"/>
        <v>0.94</v>
      </c>
      <c r="J65" s="19">
        <f t="shared" si="18"/>
        <v>0.9</v>
      </c>
      <c r="K65" s="19">
        <f t="shared" si="18"/>
        <v>0.96</v>
      </c>
      <c r="L65" s="19">
        <f t="shared" si="18"/>
        <v>1.2</v>
      </c>
      <c r="M65" s="19">
        <f t="shared" si="18"/>
        <v>1.1599999999999999</v>
      </c>
      <c r="N65" s="19">
        <f t="shared" si="18"/>
        <v>1.17</v>
      </c>
      <c r="O65" s="19">
        <f t="shared" si="18"/>
        <v>1.35</v>
      </c>
      <c r="P65" s="19">
        <f t="shared" si="18"/>
        <v>1.43</v>
      </c>
      <c r="Q65" s="19">
        <f t="shared" si="18"/>
        <v>1.49</v>
      </c>
      <c r="R65" s="19">
        <f t="shared" si="18"/>
        <v>1.49</v>
      </c>
      <c r="S65" s="463">
        <f t="shared" si="18"/>
        <v>1.39</v>
      </c>
      <c r="T65" s="463">
        <f t="shared" si="18"/>
        <v>1.38</v>
      </c>
      <c r="U65" s="463">
        <f t="shared" si="18"/>
        <v>1.4</v>
      </c>
      <c r="V65" s="19">
        <f>SUM(V62:V64)</f>
        <v>1.4</v>
      </c>
      <c r="W65" s="19">
        <f t="shared" si="18"/>
        <v>1.31</v>
      </c>
      <c r="X65" s="19">
        <f t="shared" si="18"/>
        <v>1.24</v>
      </c>
      <c r="Y65" s="19">
        <f>SUM(Y62:Y64)</f>
        <v>1.46</v>
      </c>
      <c r="Z65" s="19">
        <f>SUM(Z62:Z64)</f>
        <v>1.5699999999999998</v>
      </c>
      <c r="AA65" s="19">
        <f t="shared" si="18"/>
        <v>1.39</v>
      </c>
      <c r="AB65" s="19">
        <f t="shared" si="18"/>
        <v>1.26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9">COUNTIF(F67:AC67,$AF$11)</f>
        <v>0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463">
        <f t="shared" si="23"/>
        <v>0</v>
      </c>
      <c r="T76" s="463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20.029999999999998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0.79</v>
      </c>
      <c r="N78" s="357">
        <v>0.75</v>
      </c>
      <c r="O78" s="357">
        <v>0.82</v>
      </c>
      <c r="P78" s="357">
        <v>0.84</v>
      </c>
      <c r="Q78" s="357">
        <v>0.85</v>
      </c>
      <c r="R78" s="357">
        <v>0.87</v>
      </c>
      <c r="S78" s="357">
        <v>0.88</v>
      </c>
      <c r="T78" s="357">
        <v>0.87</v>
      </c>
      <c r="U78" s="357">
        <v>0.86</v>
      </c>
      <c r="V78" s="357">
        <v>0.85</v>
      </c>
      <c r="W78" s="357">
        <v>0.86</v>
      </c>
      <c r="X78" s="357">
        <v>0.86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0.81</v>
      </c>
      <c r="G79" s="357">
        <v>0.78</v>
      </c>
      <c r="H79" s="357">
        <v>0.74</v>
      </c>
      <c r="I79" s="357">
        <v>0.72</v>
      </c>
      <c r="J79" s="357">
        <v>0.7</v>
      </c>
      <c r="K79" s="357">
        <v>0.77</v>
      </c>
      <c r="L79" s="359">
        <v>0.85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1.02</v>
      </c>
      <c r="Z79" s="357">
        <v>0.95</v>
      </c>
      <c r="AA79" s="357">
        <v>0.91</v>
      </c>
      <c r="AB79" s="357">
        <v>0.86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4">SUM(F78:F79)</f>
        <v>0.81</v>
      </c>
      <c r="G80" s="19">
        <f t="shared" si="24"/>
        <v>0.78</v>
      </c>
      <c r="H80" s="19">
        <f>SUM(H78:H79)</f>
        <v>0.74</v>
      </c>
      <c r="I80" s="19">
        <f>SUM(I78:I79)</f>
        <v>0.72</v>
      </c>
      <c r="J80" s="19">
        <f t="shared" ref="J80:AC80" si="25">SUM(J78:J79)</f>
        <v>0.7</v>
      </c>
      <c r="K80" s="19">
        <f t="shared" si="25"/>
        <v>0.77</v>
      </c>
      <c r="L80" s="19">
        <f>SUM(L78:L79)</f>
        <v>0.85</v>
      </c>
      <c r="M80" s="19">
        <f t="shared" si="25"/>
        <v>0.79</v>
      </c>
      <c r="N80" s="19">
        <f t="shared" si="25"/>
        <v>0.75</v>
      </c>
      <c r="O80" s="19">
        <f>SUM(O78:O79)</f>
        <v>0.82</v>
      </c>
      <c r="P80" s="19">
        <f>SUM(P78:P79)</f>
        <v>0.84</v>
      </c>
      <c r="Q80" s="19">
        <f t="shared" si="25"/>
        <v>0.85</v>
      </c>
      <c r="R80" s="19">
        <f t="shared" si="25"/>
        <v>0.87</v>
      </c>
      <c r="S80" s="463">
        <f t="shared" si="25"/>
        <v>0.88</v>
      </c>
      <c r="T80" s="463">
        <f t="shared" si="25"/>
        <v>0.87</v>
      </c>
      <c r="U80" s="19">
        <f t="shared" si="25"/>
        <v>0.86</v>
      </c>
      <c r="V80" s="19">
        <f t="shared" si="25"/>
        <v>0.85</v>
      </c>
      <c r="W80" s="19">
        <f t="shared" si="25"/>
        <v>0.86</v>
      </c>
      <c r="X80" s="19">
        <f t="shared" si="25"/>
        <v>0.86</v>
      </c>
      <c r="Y80" s="19">
        <f t="shared" si="25"/>
        <v>1.02</v>
      </c>
      <c r="Z80" s="19">
        <f t="shared" si="25"/>
        <v>0.95</v>
      </c>
      <c r="AA80" s="19">
        <f t="shared" si="25"/>
        <v>0.91</v>
      </c>
      <c r="AB80" s="19">
        <f t="shared" si="25"/>
        <v>0.86</v>
      </c>
      <c r="AC80" s="19">
        <f t="shared" si="25"/>
        <v>0.82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6">SUM(F17,F22,F25,F31,F34,F60,F65,F76,F80,F82)</f>
        <v>44.230000000000004</v>
      </c>
      <c r="G83" s="28">
        <f t="shared" si="26"/>
        <v>41.09</v>
      </c>
      <c r="H83" s="28">
        <f t="shared" si="26"/>
        <v>35.380000000000003</v>
      </c>
      <c r="I83" s="28">
        <f t="shared" si="26"/>
        <v>37.619999999999997</v>
      </c>
      <c r="J83" s="28">
        <f t="shared" si="26"/>
        <v>37.380000000000003</v>
      </c>
      <c r="K83" s="28">
        <f t="shared" si="26"/>
        <v>39.600000000000009</v>
      </c>
      <c r="L83" s="28">
        <f t="shared" si="26"/>
        <v>45.41</v>
      </c>
      <c r="M83" s="28">
        <f t="shared" si="26"/>
        <v>36.129999999999995</v>
      </c>
      <c r="N83" s="28">
        <f t="shared" si="26"/>
        <v>46.970000000000006</v>
      </c>
      <c r="O83" s="28">
        <f t="shared" si="26"/>
        <v>52.82</v>
      </c>
      <c r="P83" s="28">
        <f t="shared" si="26"/>
        <v>54.440000000000005</v>
      </c>
      <c r="Q83" s="28">
        <f t="shared" si="26"/>
        <v>57.070000000000007</v>
      </c>
      <c r="R83" s="28">
        <f t="shared" si="26"/>
        <v>58.18</v>
      </c>
      <c r="S83" s="518">
        <f t="shared" si="26"/>
        <v>57.839999999999996</v>
      </c>
      <c r="T83" s="518">
        <f t="shared" si="26"/>
        <v>58.120000000000005</v>
      </c>
      <c r="U83" s="518">
        <f t="shared" si="26"/>
        <v>55.99</v>
      </c>
      <c r="V83" s="28">
        <f t="shared" si="26"/>
        <v>58.87</v>
      </c>
      <c r="W83" s="28">
        <f t="shared" si="26"/>
        <v>57.980000000000004</v>
      </c>
      <c r="X83" s="28">
        <f t="shared" si="26"/>
        <v>53.65</v>
      </c>
      <c r="Y83" s="28">
        <f t="shared" si="26"/>
        <v>61.610000000000007</v>
      </c>
      <c r="Z83" s="28">
        <f t="shared" si="26"/>
        <v>58.97</v>
      </c>
      <c r="AA83" s="28">
        <f t="shared" si="26"/>
        <v>54.669999999999987</v>
      </c>
      <c r="AB83" s="28">
        <f t="shared" si="26"/>
        <v>49.209999999999994</v>
      </c>
      <c r="AC83" s="28">
        <f t="shared" si="26"/>
        <v>47.379999999999995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7.960000000000008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7">SUM(F22,F25)</f>
        <v>6.2</v>
      </c>
      <c r="G89" s="64">
        <f t="shared" si="27"/>
        <v>1.6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3.8</v>
      </c>
      <c r="M89" s="64">
        <f t="shared" si="27"/>
        <v>3</v>
      </c>
      <c r="N89" s="64">
        <f t="shared" si="27"/>
        <v>3.8</v>
      </c>
      <c r="O89" s="64">
        <f t="shared" si="27"/>
        <v>3.8</v>
      </c>
      <c r="P89" s="64">
        <f t="shared" si="27"/>
        <v>6.8</v>
      </c>
      <c r="Q89" s="64">
        <f t="shared" si="27"/>
        <v>7.1999999999999993</v>
      </c>
      <c r="R89" s="64">
        <f t="shared" si="27"/>
        <v>10.399999999999999</v>
      </c>
      <c r="S89" s="64">
        <f t="shared" si="27"/>
        <v>10.5</v>
      </c>
      <c r="T89" s="64">
        <f t="shared" si="27"/>
        <v>9.8000000000000007</v>
      </c>
      <c r="U89" s="64">
        <f t="shared" si="27"/>
        <v>9</v>
      </c>
      <c r="V89" s="64">
        <f t="shared" si="27"/>
        <v>10.7</v>
      </c>
      <c r="W89" s="64">
        <f t="shared" si="27"/>
        <v>10.5</v>
      </c>
      <c r="X89" s="64">
        <f t="shared" si="27"/>
        <v>9</v>
      </c>
      <c r="Y89" s="64">
        <f t="shared" si="27"/>
        <v>10.899999999999999</v>
      </c>
      <c r="Z89" s="64">
        <f t="shared" si="27"/>
        <v>10.899999999999999</v>
      </c>
      <c r="AA89" s="64">
        <f t="shared" si="27"/>
        <v>7.1</v>
      </c>
      <c r="AB89" s="64">
        <f t="shared" si="27"/>
        <v>3.6</v>
      </c>
      <c r="AC89" s="64">
        <f t="shared" si="27"/>
        <v>2.9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>
        <v>0.224</v>
      </c>
      <c r="S90" s="68">
        <v>0.185</v>
      </c>
      <c r="T90" s="68">
        <v>0.21</v>
      </c>
      <c r="U90" s="68">
        <v>0.249</v>
      </c>
      <c r="V90" s="68">
        <v>0.22500000000000001</v>
      </c>
      <c r="W90" s="68">
        <v>0.191</v>
      </c>
      <c r="X90" s="68">
        <v>0.22</v>
      </c>
      <c r="Y90" s="68">
        <v>0.19800000000000001</v>
      </c>
      <c r="Z90" s="68">
        <v>0.19500000000000001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8">F17</f>
        <v>13.4</v>
      </c>
      <c r="G91" s="64">
        <f t="shared" si="28"/>
        <v>13.2</v>
      </c>
      <c r="H91" s="64">
        <f t="shared" si="28"/>
        <v>13.4</v>
      </c>
      <c r="I91" s="64">
        <f t="shared" si="28"/>
        <v>13.3</v>
      </c>
      <c r="J91" s="64">
        <f t="shared" si="28"/>
        <v>13.8</v>
      </c>
      <c r="K91" s="64">
        <f t="shared" si="28"/>
        <v>13.6</v>
      </c>
      <c r="L91" s="64">
        <f t="shared" si="28"/>
        <v>13.9</v>
      </c>
      <c r="M91" s="64">
        <f t="shared" si="28"/>
        <v>13.4</v>
      </c>
      <c r="N91" s="64">
        <f t="shared" si="28"/>
        <v>16.200000000000003</v>
      </c>
      <c r="O91" s="64">
        <f t="shared" si="28"/>
        <v>20.700000000000003</v>
      </c>
      <c r="P91" s="64">
        <f t="shared" si="28"/>
        <v>20.399999999999999</v>
      </c>
      <c r="Q91" s="64">
        <f t="shared" si="28"/>
        <v>20.399999999999999</v>
      </c>
      <c r="R91" s="64">
        <f t="shared" si="28"/>
        <v>20.399999999999999</v>
      </c>
      <c r="S91" s="64">
        <f t="shared" si="28"/>
        <v>20.100000000000001</v>
      </c>
      <c r="T91" s="64">
        <f t="shared" si="28"/>
        <v>19.799999999999997</v>
      </c>
      <c r="U91" s="64">
        <f t="shared" si="28"/>
        <v>20.100000000000001</v>
      </c>
      <c r="V91" s="64">
        <f t="shared" si="28"/>
        <v>20.100000000000001</v>
      </c>
      <c r="W91" s="64">
        <f t="shared" si="28"/>
        <v>19.799999999999997</v>
      </c>
      <c r="X91" s="64">
        <f t="shared" si="28"/>
        <v>19.899999999999999</v>
      </c>
      <c r="Y91" s="64">
        <f t="shared" si="28"/>
        <v>20.399999999999999</v>
      </c>
      <c r="Z91" s="64">
        <f t="shared" si="28"/>
        <v>19.799999999999997</v>
      </c>
      <c r="AA91" s="64">
        <f t="shared" si="28"/>
        <v>19.799999999999997</v>
      </c>
      <c r="AB91" s="64">
        <f t="shared" si="28"/>
        <v>19.799999999999997</v>
      </c>
      <c r="AC91" s="64">
        <f t="shared" si="28"/>
        <v>19.899999999999999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0.46400000000000002</v>
      </c>
      <c r="G92" s="68">
        <v>0.437</v>
      </c>
      <c r="H92" s="68">
        <v>0.46500000000000002</v>
      </c>
      <c r="I92" s="68">
        <v>0.72799999999999998</v>
      </c>
      <c r="J92" s="68">
        <v>0.63400000000000001</v>
      </c>
      <c r="K92" s="68">
        <v>0.66400000000000003</v>
      </c>
      <c r="L92" s="68">
        <v>0.81299999999999994</v>
      </c>
      <c r="M92" s="68">
        <v>0.65300000000000002</v>
      </c>
      <c r="N92" s="68">
        <v>0.64400000000000002</v>
      </c>
      <c r="O92" s="68">
        <v>0.56100000000000005</v>
      </c>
      <c r="P92" s="68">
        <v>0.67300000000000004</v>
      </c>
      <c r="Q92" s="68">
        <v>0.68700000000000006</v>
      </c>
      <c r="R92" s="68">
        <v>0.60799999999999998</v>
      </c>
      <c r="S92" s="68">
        <v>0.625</v>
      </c>
      <c r="T92" s="68">
        <v>0.68200000000000005</v>
      </c>
      <c r="U92" s="68">
        <v>0.57599999999999996</v>
      </c>
      <c r="V92" s="68">
        <v>0.71799999999999997</v>
      </c>
      <c r="W92" s="68">
        <v>0.84199999999999997</v>
      </c>
      <c r="X92" s="68">
        <v>0.85</v>
      </c>
      <c r="Y92" s="68">
        <v>0.71499999999999997</v>
      </c>
      <c r="Z92" s="68">
        <v>0.58599999999999997</v>
      </c>
      <c r="AA92" s="68">
        <v>0.57699999999999996</v>
      </c>
      <c r="AB92" s="68">
        <v>0.77400000000000002</v>
      </c>
      <c r="AC92" s="68">
        <v>0.79400000000000004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9">F31</f>
        <v>7.8</v>
      </c>
      <c r="G93" s="65">
        <f t="shared" si="29"/>
        <v>10.3</v>
      </c>
      <c r="H93" s="65">
        <f t="shared" si="29"/>
        <v>6</v>
      </c>
      <c r="I93" s="65">
        <f t="shared" si="29"/>
        <v>8.4</v>
      </c>
      <c r="J93" s="65">
        <f t="shared" si="29"/>
        <v>7.7</v>
      </c>
      <c r="K93" s="65">
        <f t="shared" si="29"/>
        <v>10</v>
      </c>
      <c r="L93" s="65">
        <f t="shared" si="29"/>
        <v>10.6</v>
      </c>
      <c r="M93" s="65">
        <f t="shared" si="29"/>
        <v>4.5</v>
      </c>
      <c r="N93" s="65">
        <f t="shared" si="29"/>
        <v>10.8</v>
      </c>
      <c r="O93" s="65">
        <f t="shared" si="29"/>
        <v>11</v>
      </c>
      <c r="P93" s="65">
        <f t="shared" si="29"/>
        <v>10.8</v>
      </c>
      <c r="Q93" s="65">
        <f t="shared" si="29"/>
        <v>10.8</v>
      </c>
      <c r="R93" s="65">
        <f t="shared" si="29"/>
        <v>10.8</v>
      </c>
      <c r="S93" s="65">
        <f t="shared" si="29"/>
        <v>10.7</v>
      </c>
      <c r="T93" s="65">
        <f t="shared" si="29"/>
        <v>9.9</v>
      </c>
      <c r="U93" s="65">
        <f t="shared" si="29"/>
        <v>10.3</v>
      </c>
      <c r="V93" s="65">
        <f t="shared" si="29"/>
        <v>10.8</v>
      </c>
      <c r="W93" s="65">
        <f t="shared" si="29"/>
        <v>10.5</v>
      </c>
      <c r="X93" s="65">
        <f t="shared" si="29"/>
        <v>8.5</v>
      </c>
      <c r="Y93" s="65">
        <f t="shared" si="29"/>
        <v>10.8</v>
      </c>
      <c r="Z93" s="65">
        <f t="shared" si="29"/>
        <v>10.8</v>
      </c>
      <c r="AA93" s="65">
        <f t="shared" si="29"/>
        <v>11.2</v>
      </c>
      <c r="AB93" s="65">
        <f t="shared" si="29"/>
        <v>9.4</v>
      </c>
      <c r="AC93" s="65">
        <f t="shared" si="29"/>
        <v>8.5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0.248</v>
      </c>
      <c r="G94" s="68">
        <v>0.18</v>
      </c>
      <c r="H94" s="68">
        <v>0.187</v>
      </c>
      <c r="I94" s="68">
        <v>0.17699999999999999</v>
      </c>
      <c r="J94" s="68">
        <v>0.192</v>
      </c>
      <c r="K94" s="68">
        <v>0.18</v>
      </c>
      <c r="L94" s="68">
        <v>0.17799999999999999</v>
      </c>
      <c r="M94" s="68">
        <v>0.21299999999999999</v>
      </c>
      <c r="N94" s="68">
        <v>0.21099999999999999</v>
      </c>
      <c r="O94" s="68">
        <v>0.20499999999999999</v>
      </c>
      <c r="P94" s="68">
        <v>0.22500000000000001</v>
      </c>
      <c r="Q94" s="68">
        <v>0.22500000000000001</v>
      </c>
      <c r="R94" s="68">
        <v>0.188</v>
      </c>
      <c r="S94" s="68">
        <v>0.21</v>
      </c>
      <c r="T94" s="68">
        <v>0.19700000000000001</v>
      </c>
      <c r="U94" s="68">
        <v>0.193</v>
      </c>
      <c r="V94" s="68">
        <v>0.20399999999999999</v>
      </c>
      <c r="W94" s="68">
        <v>0.20399999999999999</v>
      </c>
      <c r="X94" s="68">
        <v>0.20499999999999999</v>
      </c>
      <c r="Y94" s="68">
        <v>0.19800000000000001</v>
      </c>
      <c r="Z94" s="68">
        <v>0.20200000000000001</v>
      </c>
      <c r="AA94" s="68">
        <v>0.20899999999999999</v>
      </c>
      <c r="AB94" s="68">
        <v>0.20899999999999999</v>
      </c>
      <c r="AC94" s="68">
        <v>0.20100000000000001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 t="s">
        <v>1</v>
      </c>
      <c r="G95" s="68">
        <v>0.2036</v>
      </c>
      <c r="H95" s="68">
        <v>0.19980000000000001</v>
      </c>
      <c r="I95" s="68">
        <v>0.19589999999999999</v>
      </c>
      <c r="J95" s="68">
        <v>0.19869999999999999</v>
      </c>
      <c r="K95" s="68">
        <v>0.20499999999999999</v>
      </c>
      <c r="L95" s="68">
        <v>0.221</v>
      </c>
      <c r="M95" s="68">
        <v>0.218</v>
      </c>
      <c r="N95" s="68">
        <v>0.19800000000000001</v>
      </c>
      <c r="O95" s="68">
        <v>0.20119999999999999</v>
      </c>
      <c r="P95" s="68">
        <v>0.27550000000000002</v>
      </c>
      <c r="Q95" s="68">
        <v>0.21829999999999999</v>
      </c>
      <c r="R95" s="68">
        <v>0.22059999999999999</v>
      </c>
      <c r="S95" s="68">
        <v>0.21579999999999999</v>
      </c>
      <c r="T95" s="68">
        <v>0.25679999999999997</v>
      </c>
      <c r="U95" s="68">
        <v>0.221</v>
      </c>
      <c r="V95" s="68">
        <v>0.20860000000000001</v>
      </c>
      <c r="W95" s="68">
        <v>0.2109</v>
      </c>
      <c r="X95" s="68">
        <v>0.2114</v>
      </c>
      <c r="Y95" s="68">
        <v>0.20760000000000001</v>
      </c>
      <c r="Z95" s="68">
        <v>0.21110000000000001</v>
      </c>
      <c r="AA95" s="68">
        <v>0.21099999999999999</v>
      </c>
      <c r="AB95" s="68">
        <v>0.21</v>
      </c>
      <c r="AC95" s="68"/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0">F34</f>
        <v>14.22</v>
      </c>
      <c r="G96" s="65">
        <f t="shared" si="30"/>
        <v>14.24</v>
      </c>
      <c r="H96" s="65">
        <f t="shared" si="30"/>
        <v>14.28</v>
      </c>
      <c r="I96" s="65">
        <f t="shared" si="30"/>
        <v>14.26</v>
      </c>
      <c r="J96" s="65">
        <f t="shared" si="30"/>
        <v>14.28</v>
      </c>
      <c r="K96" s="65">
        <f t="shared" si="30"/>
        <v>14.27</v>
      </c>
      <c r="L96" s="65">
        <f t="shared" si="30"/>
        <v>14.26</v>
      </c>
      <c r="M96" s="65">
        <f t="shared" si="30"/>
        <v>13.28</v>
      </c>
      <c r="N96" s="65">
        <f t="shared" si="30"/>
        <v>14.25</v>
      </c>
      <c r="O96" s="65">
        <f t="shared" si="30"/>
        <v>14.35</v>
      </c>
      <c r="P96" s="65">
        <f t="shared" si="30"/>
        <v>14.17</v>
      </c>
      <c r="Q96" s="65">
        <f t="shared" si="30"/>
        <v>14.13</v>
      </c>
      <c r="R96" s="65">
        <f t="shared" si="30"/>
        <v>14.22</v>
      </c>
      <c r="S96" s="65">
        <f t="shared" si="30"/>
        <v>14.27</v>
      </c>
      <c r="T96" s="65">
        <f t="shared" si="30"/>
        <v>14.17</v>
      </c>
      <c r="U96" s="65">
        <f t="shared" si="30"/>
        <v>14.33</v>
      </c>
      <c r="V96" s="65">
        <f t="shared" si="30"/>
        <v>14.22</v>
      </c>
      <c r="W96" s="65">
        <f t="shared" si="30"/>
        <v>14.31</v>
      </c>
      <c r="X96" s="65">
        <f t="shared" si="30"/>
        <v>14.15</v>
      </c>
      <c r="Y96" s="65">
        <f t="shared" si="30"/>
        <v>14.13</v>
      </c>
      <c r="Z96" s="65">
        <f t="shared" si="30"/>
        <v>14.15</v>
      </c>
      <c r="AA96" s="65">
        <f t="shared" si="30"/>
        <v>14.27</v>
      </c>
      <c r="AB96" s="65">
        <f t="shared" si="30"/>
        <v>14.29</v>
      </c>
      <c r="AC96" s="65">
        <f t="shared" si="30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0.78</v>
      </c>
      <c r="G97" s="68">
        <v>0.76</v>
      </c>
      <c r="H97" s="68">
        <v>0.72</v>
      </c>
      <c r="I97" s="68">
        <v>0.74</v>
      </c>
      <c r="J97" s="68">
        <v>0.72</v>
      </c>
      <c r="K97" s="68">
        <v>0.73</v>
      </c>
      <c r="L97" s="68">
        <v>0.74</v>
      </c>
      <c r="M97" s="68">
        <v>0.72</v>
      </c>
      <c r="N97" s="68">
        <v>0.75</v>
      </c>
      <c r="O97" s="68">
        <v>0.65</v>
      </c>
      <c r="P97" s="68">
        <v>0.83</v>
      </c>
      <c r="Q97" s="68">
        <v>0.87</v>
      </c>
      <c r="R97" s="68">
        <v>0.78</v>
      </c>
      <c r="S97" s="68">
        <v>0.73</v>
      </c>
      <c r="T97" s="68">
        <v>0.83</v>
      </c>
      <c r="U97" s="68">
        <v>0.67</v>
      </c>
      <c r="V97" s="68">
        <v>0.78</v>
      </c>
      <c r="W97" s="68">
        <v>0.69</v>
      </c>
      <c r="X97" s="68">
        <v>0.85</v>
      </c>
      <c r="Y97" s="68">
        <v>0.87</v>
      </c>
      <c r="Z97" s="68">
        <v>0.85</v>
      </c>
      <c r="AA97" s="68">
        <v>0.73</v>
      </c>
      <c r="AB97" s="68">
        <v>0.71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1">F60</f>
        <v>0.8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0.8</v>
      </c>
      <c r="M98" s="64">
        <f t="shared" si="31"/>
        <v>0</v>
      </c>
      <c r="N98" s="64">
        <f t="shared" si="31"/>
        <v>0</v>
      </c>
      <c r="O98" s="64">
        <f t="shared" si="31"/>
        <v>0.8</v>
      </c>
      <c r="P98" s="64">
        <f t="shared" si="31"/>
        <v>0</v>
      </c>
      <c r="Q98" s="64">
        <f t="shared" si="31"/>
        <v>2.2000000000000002</v>
      </c>
      <c r="R98" s="64">
        <f t="shared" si="31"/>
        <v>0</v>
      </c>
      <c r="S98" s="64">
        <f t="shared" si="31"/>
        <v>0</v>
      </c>
      <c r="T98" s="64">
        <f t="shared" si="31"/>
        <v>2.2000000000000002</v>
      </c>
      <c r="U98" s="64">
        <f t="shared" si="31"/>
        <v>0</v>
      </c>
      <c r="V98" s="64">
        <f t="shared" si="31"/>
        <v>0.8</v>
      </c>
      <c r="W98" s="64">
        <f t="shared" si="31"/>
        <v>0.7</v>
      </c>
      <c r="X98" s="64">
        <f t="shared" si="31"/>
        <v>0</v>
      </c>
      <c r="Y98" s="64">
        <f t="shared" si="31"/>
        <v>2.9</v>
      </c>
      <c r="Z98" s="64">
        <f t="shared" si="31"/>
        <v>0.8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2">F65</f>
        <v>1</v>
      </c>
      <c r="G99" s="64">
        <f t="shared" si="32"/>
        <v>0.97</v>
      </c>
      <c r="H99" s="64">
        <f t="shared" si="32"/>
        <v>0.96</v>
      </c>
      <c r="I99" s="64">
        <f t="shared" si="32"/>
        <v>0.94</v>
      </c>
      <c r="J99" s="64">
        <f t="shared" si="32"/>
        <v>0.9</v>
      </c>
      <c r="K99" s="64">
        <f t="shared" si="32"/>
        <v>0.96</v>
      </c>
      <c r="L99" s="64">
        <f t="shared" si="32"/>
        <v>1.2</v>
      </c>
      <c r="M99" s="64">
        <f t="shared" si="32"/>
        <v>1.1599999999999999</v>
      </c>
      <c r="N99" s="64">
        <f t="shared" si="32"/>
        <v>1.17</v>
      </c>
      <c r="O99" s="64">
        <f t="shared" si="32"/>
        <v>1.35</v>
      </c>
      <c r="P99" s="64">
        <f t="shared" si="32"/>
        <v>1.43</v>
      </c>
      <c r="Q99" s="64">
        <f t="shared" si="32"/>
        <v>1.49</v>
      </c>
      <c r="R99" s="64">
        <f t="shared" si="32"/>
        <v>1.49</v>
      </c>
      <c r="S99" s="64">
        <f t="shared" si="32"/>
        <v>1.39</v>
      </c>
      <c r="T99" s="64">
        <f t="shared" si="32"/>
        <v>1.38</v>
      </c>
      <c r="U99" s="64">
        <f t="shared" si="32"/>
        <v>1.4</v>
      </c>
      <c r="V99" s="64">
        <f t="shared" si="32"/>
        <v>1.4</v>
      </c>
      <c r="W99" s="64">
        <f t="shared" si="32"/>
        <v>1.31</v>
      </c>
      <c r="X99" s="64">
        <f t="shared" si="32"/>
        <v>1.24</v>
      </c>
      <c r="Y99" s="64">
        <f t="shared" si="32"/>
        <v>1.46</v>
      </c>
      <c r="Z99" s="64">
        <f t="shared" si="32"/>
        <v>1.5699999999999998</v>
      </c>
      <c r="AA99" s="64">
        <f t="shared" si="32"/>
        <v>1.39</v>
      </c>
      <c r="AB99" s="64">
        <f t="shared" si="32"/>
        <v>1.26</v>
      </c>
      <c r="AC99" s="64">
        <f t="shared" si="32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4">F80</f>
        <v>0.81</v>
      </c>
      <c r="G101" s="64">
        <f t="shared" si="34"/>
        <v>0.78</v>
      </c>
      <c r="H101" s="64">
        <f t="shared" si="34"/>
        <v>0.74</v>
      </c>
      <c r="I101" s="64">
        <f t="shared" si="34"/>
        <v>0.72</v>
      </c>
      <c r="J101" s="64">
        <f t="shared" si="34"/>
        <v>0.7</v>
      </c>
      <c r="K101" s="64">
        <f t="shared" si="34"/>
        <v>0.77</v>
      </c>
      <c r="L101" s="64">
        <f t="shared" si="34"/>
        <v>0.85</v>
      </c>
      <c r="M101" s="64">
        <f t="shared" si="34"/>
        <v>0.79</v>
      </c>
      <c r="N101" s="64">
        <f t="shared" si="34"/>
        <v>0.75</v>
      </c>
      <c r="O101" s="64">
        <f t="shared" si="34"/>
        <v>0.82</v>
      </c>
      <c r="P101" s="64">
        <f t="shared" si="34"/>
        <v>0.84</v>
      </c>
      <c r="Q101" s="64">
        <f t="shared" si="34"/>
        <v>0.85</v>
      </c>
      <c r="R101" s="64">
        <f t="shared" si="34"/>
        <v>0.87</v>
      </c>
      <c r="S101" s="64">
        <f t="shared" si="34"/>
        <v>0.88</v>
      </c>
      <c r="T101" s="64">
        <f t="shared" si="34"/>
        <v>0.87</v>
      </c>
      <c r="U101" s="64">
        <f t="shared" si="34"/>
        <v>0.86</v>
      </c>
      <c r="V101" s="64">
        <f t="shared" si="34"/>
        <v>0.85</v>
      </c>
      <c r="W101" s="64">
        <f t="shared" si="34"/>
        <v>0.86</v>
      </c>
      <c r="X101" s="64">
        <f t="shared" si="34"/>
        <v>0.86</v>
      </c>
      <c r="Y101" s="64">
        <f t="shared" si="34"/>
        <v>1.02</v>
      </c>
      <c r="Z101" s="64">
        <f t="shared" si="34"/>
        <v>0.95</v>
      </c>
      <c r="AA101" s="64">
        <f t="shared" si="34"/>
        <v>0.91</v>
      </c>
      <c r="AB101" s="64">
        <f t="shared" si="34"/>
        <v>0.86</v>
      </c>
      <c r="AC101" s="64">
        <f t="shared" si="34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6">SUM(F89,F91,F93,F96,F98:F102,F81)</f>
        <v>44.230000000000004</v>
      </c>
      <c r="G103" s="61">
        <f t="shared" si="36"/>
        <v>41.09</v>
      </c>
      <c r="H103" s="61">
        <f t="shared" si="36"/>
        <v>35.380000000000003</v>
      </c>
      <c r="I103" s="61">
        <f t="shared" si="36"/>
        <v>37.619999999999997</v>
      </c>
      <c r="J103" s="61">
        <f t="shared" si="36"/>
        <v>37.380000000000003</v>
      </c>
      <c r="K103" s="61">
        <f t="shared" si="36"/>
        <v>39.600000000000009</v>
      </c>
      <c r="L103" s="61">
        <f t="shared" si="36"/>
        <v>45.41</v>
      </c>
      <c r="M103" s="61">
        <f t="shared" si="36"/>
        <v>36.129999999999995</v>
      </c>
      <c r="N103" s="61">
        <f t="shared" si="36"/>
        <v>46.970000000000006</v>
      </c>
      <c r="O103" s="61">
        <f t="shared" si="36"/>
        <v>52.82</v>
      </c>
      <c r="P103" s="61">
        <f t="shared" si="36"/>
        <v>54.440000000000005</v>
      </c>
      <c r="Q103" s="61">
        <f t="shared" si="36"/>
        <v>57.070000000000007</v>
      </c>
      <c r="R103" s="61">
        <f t="shared" si="36"/>
        <v>58.179999999999993</v>
      </c>
      <c r="S103" s="61">
        <f t="shared" si="36"/>
        <v>57.839999999999996</v>
      </c>
      <c r="T103" s="61">
        <f t="shared" si="36"/>
        <v>58.120000000000005</v>
      </c>
      <c r="U103" s="61">
        <f t="shared" si="36"/>
        <v>55.99</v>
      </c>
      <c r="V103" s="61">
        <f t="shared" si="36"/>
        <v>58.87</v>
      </c>
      <c r="W103" s="61">
        <f t="shared" si="36"/>
        <v>57.980000000000004</v>
      </c>
      <c r="X103" s="61">
        <f t="shared" si="36"/>
        <v>53.65</v>
      </c>
      <c r="Y103" s="61">
        <f t="shared" si="36"/>
        <v>61.61</v>
      </c>
      <c r="Z103" s="61">
        <f t="shared" si="36"/>
        <v>58.97</v>
      </c>
      <c r="AA103" s="61">
        <f t="shared" si="36"/>
        <v>54.669999999999987</v>
      </c>
      <c r="AB103" s="61">
        <f t="shared" si="36"/>
        <v>49.209999999999994</v>
      </c>
      <c r="AC103" s="61">
        <f t="shared" si="36"/>
        <v>47.379999999999995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f>1.35+0.85</f>
        <v>2.2000000000000002</v>
      </c>
      <c r="Q105" s="76">
        <v>2.36</v>
      </c>
      <c r="R105" s="76">
        <v>2.2999999999999998</v>
      </c>
      <c r="S105" s="76">
        <v>2.31</v>
      </c>
      <c r="T105" s="76">
        <v>2.36</v>
      </c>
      <c r="U105" s="76">
        <v>2.35</v>
      </c>
      <c r="V105" s="76">
        <v>2.35</v>
      </c>
      <c r="W105" s="76">
        <v>1.25</v>
      </c>
      <c r="X105" s="76">
        <v>1.1200000000000001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v>4.4000000000000004</v>
      </c>
      <c r="N106" s="76"/>
      <c r="O106" s="76"/>
      <c r="P106" s="76"/>
      <c r="Q106" s="76"/>
      <c r="R106" s="76"/>
      <c r="S106" s="76"/>
      <c r="T106" s="76">
        <v>2.11</v>
      </c>
      <c r="U106" s="76">
        <v>2.11</v>
      </c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4.4000000000000004</v>
      </c>
      <c r="N107" s="61">
        <f t="shared" si="37"/>
        <v>0</v>
      </c>
      <c r="O107" s="61">
        <f t="shared" si="37"/>
        <v>0</v>
      </c>
      <c r="P107" s="61">
        <f t="shared" si="37"/>
        <v>2.2000000000000002</v>
      </c>
      <c r="Q107" s="61">
        <f t="shared" si="37"/>
        <v>2.36</v>
      </c>
      <c r="R107" s="61">
        <f t="shared" si="37"/>
        <v>2.2999999999999998</v>
      </c>
      <c r="S107" s="61">
        <f t="shared" si="37"/>
        <v>2.31</v>
      </c>
      <c r="T107" s="61">
        <f t="shared" si="37"/>
        <v>4.47</v>
      </c>
      <c r="U107" s="61">
        <f t="shared" si="37"/>
        <v>4.46</v>
      </c>
      <c r="V107" s="61">
        <f t="shared" si="37"/>
        <v>2.35</v>
      </c>
      <c r="W107" s="61">
        <f t="shared" si="37"/>
        <v>1.25</v>
      </c>
      <c r="X107" s="61">
        <f t="shared" si="37"/>
        <v>1.1200000000000001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8">F103+F107</f>
        <v>44.230000000000004</v>
      </c>
      <c r="G108" s="62">
        <f t="shared" si="38"/>
        <v>41.09</v>
      </c>
      <c r="H108" s="62">
        <f t="shared" si="38"/>
        <v>35.380000000000003</v>
      </c>
      <c r="I108" s="62">
        <f t="shared" si="38"/>
        <v>37.619999999999997</v>
      </c>
      <c r="J108" s="62">
        <f t="shared" si="38"/>
        <v>37.380000000000003</v>
      </c>
      <c r="K108" s="62">
        <f t="shared" si="38"/>
        <v>39.600000000000009</v>
      </c>
      <c r="L108" s="62">
        <f t="shared" si="38"/>
        <v>45.41</v>
      </c>
      <c r="M108" s="62">
        <f t="shared" si="38"/>
        <v>40.529999999999994</v>
      </c>
      <c r="N108" s="62">
        <f t="shared" si="38"/>
        <v>46.970000000000006</v>
      </c>
      <c r="O108" s="62">
        <f t="shared" si="38"/>
        <v>52.82</v>
      </c>
      <c r="P108" s="62">
        <f>P103+P107</f>
        <v>56.640000000000008</v>
      </c>
      <c r="Q108" s="62">
        <f t="shared" si="38"/>
        <v>59.430000000000007</v>
      </c>
      <c r="R108" s="62">
        <f t="shared" si="38"/>
        <v>60.47999999999999</v>
      </c>
      <c r="S108" s="62">
        <f t="shared" si="38"/>
        <v>60.15</v>
      </c>
      <c r="T108" s="62">
        <f>T103+T107</f>
        <v>62.59</v>
      </c>
      <c r="U108" s="62">
        <f t="shared" si="38"/>
        <v>60.45</v>
      </c>
      <c r="V108" s="62">
        <f t="shared" si="38"/>
        <v>61.22</v>
      </c>
      <c r="W108" s="62">
        <f>W103+W107</f>
        <v>59.230000000000004</v>
      </c>
      <c r="X108" s="62">
        <f t="shared" si="38"/>
        <v>54.769999999999996</v>
      </c>
      <c r="Y108" s="62">
        <f t="shared" si="38"/>
        <v>61.61</v>
      </c>
      <c r="Z108" s="62">
        <f t="shared" si="38"/>
        <v>58.97</v>
      </c>
      <c r="AA108" s="62">
        <f t="shared" si="38"/>
        <v>54.669999999999987</v>
      </c>
      <c r="AB108" s="62">
        <f t="shared" si="38"/>
        <v>49.209999999999994</v>
      </c>
      <c r="AC108" s="62">
        <f t="shared" si="38"/>
        <v>47.379999999999995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9">(COUNT(F13:F16))*7.2+(COUNT(F27:F28)*4.9)+(COUNT(F19:F21)*4.5)-F91-F93</f>
        <v>12.000000000000004</v>
      </c>
      <c r="G109" s="63">
        <f t="shared" si="39"/>
        <v>0.30000000000000071</v>
      </c>
      <c r="H109" s="63">
        <f t="shared" si="39"/>
        <v>-9.9999999999999645E-2</v>
      </c>
      <c r="I109" s="63">
        <f t="shared" si="39"/>
        <v>4.7999999999999989</v>
      </c>
      <c r="J109" s="63">
        <f t="shared" si="39"/>
        <v>4.9999999999999991</v>
      </c>
      <c r="K109" s="63">
        <f t="shared" si="39"/>
        <v>7.3999999999999986</v>
      </c>
      <c r="L109" s="63">
        <f t="shared" si="39"/>
        <v>6.5000000000000018</v>
      </c>
      <c r="M109" s="63">
        <f t="shared" si="39"/>
        <v>5.9</v>
      </c>
      <c r="N109" s="63">
        <f t="shared" si="39"/>
        <v>3.9999999999999964</v>
      </c>
      <c r="O109" s="63">
        <f t="shared" si="39"/>
        <v>-0.70000000000000284</v>
      </c>
      <c r="P109" s="63">
        <f t="shared" si="39"/>
        <v>4.3000000000000007</v>
      </c>
      <c r="Q109" s="63">
        <f t="shared" si="39"/>
        <v>4.3000000000000007</v>
      </c>
      <c r="R109" s="63">
        <f t="shared" si="39"/>
        <v>4.3000000000000007</v>
      </c>
      <c r="S109" s="63">
        <f t="shared" si="39"/>
        <v>4.6999999999999993</v>
      </c>
      <c r="T109" s="63">
        <f t="shared" si="39"/>
        <v>5.8000000000000025</v>
      </c>
      <c r="U109" s="63">
        <f t="shared" si="39"/>
        <v>5.0999999999999979</v>
      </c>
      <c r="V109" s="63">
        <f t="shared" si="39"/>
        <v>4.5999999999999979</v>
      </c>
      <c r="W109" s="63">
        <f t="shared" si="39"/>
        <v>5.2000000000000028</v>
      </c>
      <c r="X109" s="63">
        <f t="shared" si="39"/>
        <v>7.1000000000000014</v>
      </c>
      <c r="Y109" s="63">
        <f t="shared" si="39"/>
        <v>4.3000000000000007</v>
      </c>
      <c r="Z109" s="63">
        <f t="shared" si="39"/>
        <v>4.9000000000000021</v>
      </c>
      <c r="AA109" s="63">
        <f t="shared" si="39"/>
        <v>4.5000000000000036</v>
      </c>
      <c r="AB109" s="63">
        <f t="shared" si="39"/>
        <v>1.8000000000000025</v>
      </c>
      <c r="AC109" s="63">
        <f t="shared" si="39"/>
        <v>2.6000000000000014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10" s="205">
        <f t="shared" si="40"/>
        <v>-3.6999999999999997</v>
      </c>
      <c r="H110" s="205">
        <f t="shared" si="40"/>
        <v>-1.5</v>
      </c>
      <c r="I110" s="205">
        <f t="shared" si="40"/>
        <v>3.4000000000000004</v>
      </c>
      <c r="J110" s="205">
        <f t="shared" si="40"/>
        <v>-3.6000000000000005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-5.6999999999999993</v>
      </c>
      <c r="L110" s="205">
        <f t="shared" si="40"/>
        <v>1.3000000000000016</v>
      </c>
      <c r="M110" s="205">
        <f t="shared" si="40"/>
        <v>1.5</v>
      </c>
      <c r="N110" s="205">
        <f t="shared" si="40"/>
        <v>-1.200000000000002</v>
      </c>
      <c r="O110" s="205">
        <f t="shared" si="40"/>
        <v>-5.9000000000000012</v>
      </c>
      <c r="P110" s="205">
        <f t="shared" si="40"/>
        <v>-3.8999999999999977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-2.8999999999999968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-1.9999999999999973</v>
      </c>
      <c r="S110" s="205">
        <f t="shared" si="41"/>
        <v>-1.6999999999999993</v>
      </c>
      <c r="T110" s="205">
        <f t="shared" si="41"/>
        <v>0.10000000000000409</v>
      </c>
      <c r="U110" s="205">
        <f t="shared" si="41"/>
        <v>0.19999999999999929</v>
      </c>
      <c r="V110" s="205">
        <f t="shared" si="41"/>
        <v>-2.0000000000000009</v>
      </c>
      <c r="W110" s="205">
        <f t="shared" si="41"/>
        <v>-1.1999999999999957</v>
      </c>
      <c r="X110" s="205">
        <f t="shared" si="41"/>
        <v>2.2000000000000028</v>
      </c>
      <c r="Y110" s="205">
        <f t="shared" si="41"/>
        <v>-2.4999999999999973</v>
      </c>
      <c r="Z110" s="205">
        <f t="shared" si="41"/>
        <v>-1.8999999999999959</v>
      </c>
      <c r="AA110" s="205">
        <f t="shared" si="41"/>
        <v>-2.9999999999999947</v>
      </c>
      <c r="AB110" s="205">
        <f t="shared" si="41"/>
        <v>-2.1999999999999962</v>
      </c>
      <c r="AC110" s="205">
        <f t="shared" si="41"/>
        <v>-0.69999999999999707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60.13</v>
      </c>
      <c r="G111" s="456">
        <v>60.15</v>
      </c>
      <c r="H111" s="456">
        <v>60.06</v>
      </c>
      <c r="I111" s="456">
        <v>60.15</v>
      </c>
      <c r="J111" s="456">
        <v>60.05</v>
      </c>
      <c r="K111" s="456">
        <v>60</v>
      </c>
      <c r="L111" s="456">
        <v>60.14</v>
      </c>
      <c r="M111" s="456">
        <v>60.12</v>
      </c>
      <c r="N111" s="456">
        <v>60.02</v>
      </c>
      <c r="O111" s="456">
        <v>60</v>
      </c>
      <c r="P111" s="457">
        <v>60.19</v>
      </c>
      <c r="Q111" s="457">
        <v>60.12</v>
      </c>
      <c r="R111" s="457">
        <v>60.1</v>
      </c>
      <c r="S111" s="457">
        <v>60.14</v>
      </c>
      <c r="T111" s="457">
        <v>60.35</v>
      </c>
      <c r="U111" s="456">
        <v>60.2</v>
      </c>
      <c r="V111" s="456">
        <v>60.19</v>
      </c>
      <c r="W111" s="456">
        <v>60.29</v>
      </c>
      <c r="X111" s="456">
        <v>60.24</v>
      </c>
      <c r="Y111" s="456">
        <v>60.09</v>
      </c>
      <c r="Z111" s="456">
        <v>60.15</v>
      </c>
      <c r="AA111" s="456">
        <v>60.1</v>
      </c>
      <c r="AB111" s="456">
        <v>60.11</v>
      </c>
      <c r="AC111" s="456">
        <v>60.21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106</v>
      </c>
      <c r="G115" s="520" t="s">
        <v>106</v>
      </c>
      <c r="H115" s="520" t="s">
        <v>106</v>
      </c>
      <c r="I115" s="520" t="s">
        <v>106</v>
      </c>
      <c r="J115" s="520" t="s">
        <v>106</v>
      </c>
      <c r="K115" s="520" t="s">
        <v>106</v>
      </c>
      <c r="L115" s="520" t="s">
        <v>107</v>
      </c>
      <c r="M115" s="520" t="s">
        <v>107</v>
      </c>
      <c r="N115" s="520" t="s">
        <v>107</v>
      </c>
      <c r="O115" s="520" t="s">
        <v>107</v>
      </c>
      <c r="P115" s="520" t="s">
        <v>107</v>
      </c>
      <c r="Q115" s="520" t="s">
        <v>107</v>
      </c>
      <c r="R115" s="520" t="s">
        <v>107</v>
      </c>
      <c r="S115" s="520" t="s">
        <v>107</v>
      </c>
      <c r="T115" s="520" t="s">
        <v>107</v>
      </c>
      <c r="U115" s="520" t="s">
        <v>107</v>
      </c>
      <c r="V115" s="520" t="s">
        <v>107</v>
      </c>
      <c r="W115" s="520" t="s">
        <v>107</v>
      </c>
      <c r="X115" s="520" t="s">
        <v>107</v>
      </c>
      <c r="Y115" s="520" t="s">
        <v>106</v>
      </c>
      <c r="Z115" s="520" t="s">
        <v>106</v>
      </c>
      <c r="AA115" s="520"/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4660" priority="606" operator="greaterThan">
      <formula>60.3</formula>
    </cfRule>
  </conditionalFormatting>
  <conditionalFormatting sqref="F111">
    <cfRule type="cellIs" dxfId="14659" priority="605" operator="greaterThan">
      <formula>60.3</formula>
    </cfRule>
  </conditionalFormatting>
  <conditionalFormatting sqref="H13:J13 N13:O13 D42:E42 L13 N36:AC39 N57:AC59 O14:O16 L51:M55 L36:L50 I15:N16 P40:AC40 N41:AC46 M50:AC50 H36:J59 L56:L59 H62:L64 P13:AC16 P47:AC49 O51:AC56 P62:AC64">
    <cfRule type="cellIs" dxfId="14658" priority="597" operator="equal">
      <formula>"PMS"</formula>
    </cfRule>
    <cfRule type="containsText" dxfId="14657" priority="598" operator="containsText" text="CMS">
      <formula>NOT(ISERROR(SEARCH("CMS",D13)))</formula>
    </cfRule>
    <cfRule type="cellIs" dxfId="14656" priority="599" operator="equal">
      <formula>0</formula>
    </cfRule>
    <cfRule type="cellIs" dxfId="14655" priority="600" operator="greaterThan">
      <formula>0</formula>
    </cfRule>
    <cfRule type="cellIs" dxfId="14654" priority="601" operator="equal">
      <formula>"PMS"</formula>
    </cfRule>
    <cfRule type="containsText" dxfId="14653" priority="602" operator="containsText" text="CMS">
      <formula>NOT(ISERROR(SEARCH("CMS",D13)))</formula>
    </cfRule>
    <cfRule type="cellIs" dxfId="14652" priority="603" operator="equal">
      <formula>0</formula>
    </cfRule>
    <cfRule type="cellIs" dxfId="14651" priority="604" operator="greaterThan">
      <formula>0</formula>
    </cfRule>
  </conditionalFormatting>
  <conditionalFormatting sqref="H13:J13 N13:O13 D42:E42 L13 N36:AC39 N57:AC59 O14:O16 L51:M55 L36:L50 I15:N16 P40:AC40 N41:AC46 M50:AC50 H36:J59 L56:L59 H62:L64 P13:AC16 P47:AC49 O51:AC56 P62:AC64">
    <cfRule type="cellIs" dxfId="14650" priority="593" operator="equal">
      <formula>"PMS"</formula>
    </cfRule>
    <cfRule type="containsText" dxfId="14649" priority="594" operator="containsText" text="CMS">
      <formula>NOT(ISERROR(SEARCH("CMS",D13)))</formula>
    </cfRule>
    <cfRule type="cellIs" dxfId="14648" priority="595" operator="equal">
      <formula>0</formula>
    </cfRule>
    <cfRule type="cellIs" dxfId="14647" priority="596" operator="greaterThan">
      <formula>0</formula>
    </cfRule>
  </conditionalFormatting>
  <conditionalFormatting sqref="G67:AC75">
    <cfRule type="cellIs" dxfId="14646" priority="585" operator="equal">
      <formula>"PMS"</formula>
    </cfRule>
    <cfRule type="containsText" dxfId="14645" priority="586" operator="containsText" text="CMS">
      <formula>NOT(ISERROR(SEARCH("CMS",G67)))</formula>
    </cfRule>
    <cfRule type="cellIs" dxfId="14644" priority="587" operator="equal">
      <formula>0</formula>
    </cfRule>
    <cfRule type="cellIs" dxfId="14643" priority="588" operator="greaterThan">
      <formula>0</formula>
    </cfRule>
    <cfRule type="cellIs" dxfId="14642" priority="589" operator="equal">
      <formula>"PMS"</formula>
    </cfRule>
    <cfRule type="containsText" dxfId="14641" priority="590" operator="containsText" text="CMS">
      <formula>NOT(ISERROR(SEARCH("CMS",G67)))</formula>
    </cfRule>
    <cfRule type="cellIs" dxfId="14640" priority="591" operator="equal">
      <formula>0</formula>
    </cfRule>
    <cfRule type="cellIs" dxfId="14639" priority="592" operator="greaterThan">
      <formula>0</formula>
    </cfRule>
  </conditionalFormatting>
  <conditionalFormatting sqref="G67:AC75">
    <cfRule type="cellIs" dxfId="14638" priority="581" operator="equal">
      <formula>"PMS"</formula>
    </cfRule>
    <cfRule type="containsText" dxfId="14637" priority="582" operator="containsText" text="CMS">
      <formula>NOT(ISERROR(SEARCH("CMS",G67)))</formula>
    </cfRule>
    <cfRule type="cellIs" dxfId="14636" priority="583" operator="equal">
      <formula>0</formula>
    </cfRule>
    <cfRule type="cellIs" dxfId="14635" priority="584" operator="greaterThan">
      <formula>0</formula>
    </cfRule>
  </conditionalFormatting>
  <conditionalFormatting sqref="G82:AC82">
    <cfRule type="cellIs" dxfId="14634" priority="573" operator="equal">
      <formula>"PMS"</formula>
    </cfRule>
    <cfRule type="containsText" dxfId="14633" priority="574" operator="containsText" text="CMS">
      <formula>NOT(ISERROR(SEARCH("CMS",G82)))</formula>
    </cfRule>
    <cfRule type="cellIs" dxfId="14632" priority="575" operator="equal">
      <formula>0</formula>
    </cfRule>
    <cfRule type="cellIs" dxfId="14631" priority="576" operator="greaterThan">
      <formula>0</formula>
    </cfRule>
    <cfRule type="cellIs" dxfId="14630" priority="577" operator="equal">
      <formula>"PMS"</formula>
    </cfRule>
    <cfRule type="containsText" dxfId="14629" priority="578" operator="containsText" text="CMS">
      <formula>NOT(ISERROR(SEARCH("CMS",G82)))</formula>
    </cfRule>
    <cfRule type="cellIs" dxfId="14628" priority="579" operator="equal">
      <formula>0</formula>
    </cfRule>
    <cfRule type="cellIs" dxfId="14627" priority="580" operator="greaterThan">
      <formula>0</formula>
    </cfRule>
  </conditionalFormatting>
  <conditionalFormatting sqref="G82:AC82">
    <cfRule type="cellIs" dxfId="14626" priority="569" operator="equal">
      <formula>"PMS"</formula>
    </cfRule>
    <cfRule type="containsText" dxfId="14625" priority="570" operator="containsText" text="CMS">
      <formula>NOT(ISERROR(SEARCH("CMS",G82)))</formula>
    </cfRule>
    <cfRule type="cellIs" dxfId="14624" priority="571" operator="equal">
      <formula>0</formula>
    </cfRule>
    <cfRule type="cellIs" dxfId="14623" priority="572" operator="greaterThan">
      <formula>0</formula>
    </cfRule>
  </conditionalFormatting>
  <conditionalFormatting sqref="I14 M14:N14">
    <cfRule type="cellIs" dxfId="14622" priority="561" operator="equal">
      <formula>"PMS"</formula>
    </cfRule>
    <cfRule type="containsText" dxfId="14621" priority="562" operator="containsText" text="CMS">
      <formula>NOT(ISERROR(SEARCH("CMS",I14)))</formula>
    </cfRule>
    <cfRule type="cellIs" dxfId="14620" priority="563" operator="equal">
      <formula>0</formula>
    </cfRule>
    <cfRule type="cellIs" dxfId="14619" priority="564" operator="greaterThan">
      <formula>0</formula>
    </cfRule>
    <cfRule type="cellIs" dxfId="14618" priority="565" operator="equal">
      <formula>"PMS"</formula>
    </cfRule>
    <cfRule type="containsText" dxfId="14617" priority="566" operator="containsText" text="CMS">
      <formula>NOT(ISERROR(SEARCH("CMS",I14)))</formula>
    </cfRule>
    <cfRule type="cellIs" dxfId="14616" priority="567" operator="equal">
      <formula>0</formula>
    </cfRule>
    <cfRule type="cellIs" dxfId="14615" priority="568" operator="greaterThan">
      <formula>0</formula>
    </cfRule>
  </conditionalFormatting>
  <conditionalFormatting sqref="I14 M14:N14">
    <cfRule type="cellIs" dxfId="14614" priority="557" operator="equal">
      <formula>"PMS"</formula>
    </cfRule>
    <cfRule type="containsText" dxfId="14613" priority="558" operator="containsText" text="CMS">
      <formula>NOT(ISERROR(SEARCH("CMS",I14)))</formula>
    </cfRule>
    <cfRule type="cellIs" dxfId="14612" priority="559" operator="equal">
      <formula>0</formula>
    </cfRule>
    <cfRule type="cellIs" dxfId="14611" priority="560" operator="greaterThan">
      <formula>0</formula>
    </cfRule>
  </conditionalFormatting>
  <conditionalFormatting sqref="G13">
    <cfRule type="cellIs" dxfId="14610" priority="549" operator="equal">
      <formula>"PMS"</formula>
    </cfRule>
    <cfRule type="containsText" dxfId="14609" priority="550" operator="containsText" text="CMS">
      <formula>NOT(ISERROR(SEARCH("CMS",G13)))</formula>
    </cfRule>
    <cfRule type="cellIs" dxfId="14608" priority="551" operator="equal">
      <formula>0</formula>
    </cfRule>
    <cfRule type="cellIs" dxfId="14607" priority="552" operator="greaterThan">
      <formula>0</formula>
    </cfRule>
    <cfRule type="cellIs" dxfId="14606" priority="553" operator="equal">
      <formula>"PMS"</formula>
    </cfRule>
    <cfRule type="containsText" dxfId="14605" priority="554" operator="containsText" text="CMS">
      <formula>NOT(ISERROR(SEARCH("CMS",G13)))</formula>
    </cfRule>
    <cfRule type="cellIs" dxfId="14604" priority="555" operator="equal">
      <formula>0</formula>
    </cfRule>
    <cfRule type="cellIs" dxfId="14603" priority="556" operator="greaterThan">
      <formula>0</formula>
    </cfRule>
  </conditionalFormatting>
  <conditionalFormatting sqref="G13">
    <cfRule type="cellIs" dxfId="14602" priority="545" operator="equal">
      <formula>"PMS"</formula>
    </cfRule>
    <cfRule type="containsText" dxfId="14601" priority="546" operator="containsText" text="CMS">
      <formula>NOT(ISERROR(SEARCH("CMS",G13)))</formula>
    </cfRule>
    <cfRule type="cellIs" dxfId="14600" priority="547" operator="equal">
      <formula>0</formula>
    </cfRule>
    <cfRule type="cellIs" dxfId="14599" priority="548" operator="greaterThan">
      <formula>0</formula>
    </cfRule>
  </conditionalFormatting>
  <conditionalFormatting sqref="M13">
    <cfRule type="cellIs" dxfId="14598" priority="537" operator="equal">
      <formula>"PMS"</formula>
    </cfRule>
    <cfRule type="containsText" dxfId="14597" priority="538" operator="containsText" text="CMS">
      <formula>NOT(ISERROR(SEARCH("CMS",M13)))</formula>
    </cfRule>
    <cfRule type="cellIs" dxfId="14596" priority="539" operator="equal">
      <formula>0</formula>
    </cfRule>
    <cfRule type="cellIs" dxfId="14595" priority="540" operator="greaterThan">
      <formula>0</formula>
    </cfRule>
    <cfRule type="cellIs" dxfId="14594" priority="541" operator="equal">
      <formula>"PMS"</formula>
    </cfRule>
    <cfRule type="containsText" dxfId="14593" priority="542" operator="containsText" text="CMS">
      <formula>NOT(ISERROR(SEARCH("CMS",M13)))</formula>
    </cfRule>
    <cfRule type="cellIs" dxfId="14592" priority="543" operator="equal">
      <formula>0</formula>
    </cfRule>
    <cfRule type="cellIs" dxfId="14591" priority="544" operator="greaterThan">
      <formula>0</formula>
    </cfRule>
  </conditionalFormatting>
  <conditionalFormatting sqref="M13">
    <cfRule type="cellIs" dxfId="14590" priority="533" operator="equal">
      <formula>"PMS"</formula>
    </cfRule>
    <cfRule type="containsText" dxfId="14589" priority="534" operator="containsText" text="CMS">
      <formula>NOT(ISERROR(SEARCH("CMS",M13)))</formula>
    </cfRule>
    <cfRule type="cellIs" dxfId="14588" priority="535" operator="equal">
      <formula>0</formula>
    </cfRule>
    <cfRule type="cellIs" dxfId="14587" priority="536" operator="greaterThan">
      <formula>0</formula>
    </cfRule>
  </conditionalFormatting>
  <conditionalFormatting sqref="K13">
    <cfRule type="cellIs" dxfId="14586" priority="525" operator="equal">
      <formula>"PMS"</formula>
    </cfRule>
    <cfRule type="containsText" dxfId="14585" priority="526" operator="containsText" text="CMS">
      <formula>NOT(ISERROR(SEARCH("CMS",K13)))</formula>
    </cfRule>
    <cfRule type="cellIs" dxfId="14584" priority="527" operator="equal">
      <formula>0</formula>
    </cfRule>
    <cfRule type="cellIs" dxfId="14583" priority="528" operator="greaterThan">
      <formula>0</formula>
    </cfRule>
    <cfRule type="cellIs" dxfId="14582" priority="529" operator="equal">
      <formula>"PMS"</formula>
    </cfRule>
    <cfRule type="containsText" dxfId="14581" priority="530" operator="containsText" text="CMS">
      <formula>NOT(ISERROR(SEARCH("CMS",K13)))</formula>
    </cfRule>
    <cfRule type="cellIs" dxfId="14580" priority="531" operator="equal">
      <formula>0</formula>
    </cfRule>
    <cfRule type="cellIs" dxfId="14579" priority="532" operator="greaterThan">
      <formula>0</formula>
    </cfRule>
  </conditionalFormatting>
  <conditionalFormatting sqref="K13">
    <cfRule type="cellIs" dxfId="14578" priority="521" operator="equal">
      <formula>"PMS"</formula>
    </cfRule>
    <cfRule type="containsText" dxfId="14577" priority="522" operator="containsText" text="CMS">
      <formula>NOT(ISERROR(SEARCH("CMS",K13)))</formula>
    </cfRule>
    <cfRule type="cellIs" dxfId="14576" priority="523" operator="equal">
      <formula>0</formula>
    </cfRule>
    <cfRule type="cellIs" dxfId="14575" priority="524" operator="greaterThan">
      <formula>0</formula>
    </cfRule>
  </conditionalFormatting>
  <conditionalFormatting sqref="G113:AC113">
    <cfRule type="cellIs" dxfId="14574" priority="520" operator="greaterThan">
      <formula>60.3</formula>
    </cfRule>
  </conditionalFormatting>
  <conditionalFormatting sqref="H112:M112">
    <cfRule type="cellIs" dxfId="14573" priority="519" operator="greaterThan">
      <formula>60.3</formula>
    </cfRule>
  </conditionalFormatting>
  <conditionalFormatting sqref="F112:G112">
    <cfRule type="cellIs" dxfId="14572" priority="518" operator="greaterThan">
      <formula>60.3</formula>
    </cfRule>
  </conditionalFormatting>
  <conditionalFormatting sqref="N112:AC112">
    <cfRule type="cellIs" dxfId="14571" priority="517" operator="greaterThan">
      <formula>60.3</formula>
    </cfRule>
  </conditionalFormatting>
  <conditionalFormatting sqref="G15:G16">
    <cfRule type="cellIs" dxfId="14570" priority="509" operator="equal">
      <formula>"PMS"</formula>
    </cfRule>
    <cfRule type="containsText" dxfId="14569" priority="510" operator="containsText" text="CMS">
      <formula>NOT(ISERROR(SEARCH("CMS",G15)))</formula>
    </cfRule>
    <cfRule type="cellIs" dxfId="14568" priority="511" operator="equal">
      <formula>0</formula>
    </cfRule>
    <cfRule type="cellIs" dxfId="14567" priority="512" operator="greaterThan">
      <formula>0</formula>
    </cfRule>
    <cfRule type="cellIs" dxfId="14566" priority="513" operator="equal">
      <formula>"PMS"</formula>
    </cfRule>
    <cfRule type="containsText" dxfId="14565" priority="514" operator="containsText" text="CMS">
      <formula>NOT(ISERROR(SEARCH("CMS",G15)))</formula>
    </cfRule>
    <cfRule type="cellIs" dxfId="14564" priority="515" operator="equal">
      <formula>0</formula>
    </cfRule>
    <cfRule type="cellIs" dxfId="14563" priority="516" operator="greaterThan">
      <formula>0</formula>
    </cfRule>
  </conditionalFormatting>
  <conditionalFormatting sqref="G15:G16">
    <cfRule type="cellIs" dxfId="14562" priority="505" operator="equal">
      <formula>"PMS"</formula>
    </cfRule>
    <cfRule type="containsText" dxfId="14561" priority="506" operator="containsText" text="CMS">
      <formula>NOT(ISERROR(SEARCH("CMS",G15)))</formula>
    </cfRule>
    <cfRule type="cellIs" dxfId="14560" priority="507" operator="equal">
      <formula>0</formula>
    </cfRule>
    <cfRule type="cellIs" dxfId="14559" priority="508" operator="greaterThan">
      <formula>0</formula>
    </cfRule>
  </conditionalFormatting>
  <conditionalFormatting sqref="H14 H16">
    <cfRule type="cellIs" dxfId="14558" priority="497" operator="equal">
      <formula>"PMS"</formula>
    </cfRule>
    <cfRule type="containsText" dxfId="14557" priority="498" operator="containsText" text="CMS">
      <formula>NOT(ISERROR(SEARCH("CMS",H14)))</formula>
    </cfRule>
    <cfRule type="cellIs" dxfId="14556" priority="499" operator="equal">
      <formula>0</formula>
    </cfRule>
    <cfRule type="cellIs" dxfId="14555" priority="500" operator="greaterThan">
      <formula>0</formula>
    </cfRule>
    <cfRule type="cellIs" dxfId="14554" priority="501" operator="equal">
      <formula>"PMS"</formula>
    </cfRule>
    <cfRule type="containsText" dxfId="14553" priority="502" operator="containsText" text="CMS">
      <formula>NOT(ISERROR(SEARCH("CMS",H14)))</formula>
    </cfRule>
    <cfRule type="cellIs" dxfId="14552" priority="503" operator="equal">
      <formula>0</formula>
    </cfRule>
    <cfRule type="cellIs" dxfId="14551" priority="504" operator="greaterThan">
      <formula>0</formula>
    </cfRule>
  </conditionalFormatting>
  <conditionalFormatting sqref="H14 H16">
    <cfRule type="cellIs" dxfId="14550" priority="493" operator="equal">
      <formula>"PMS"</formula>
    </cfRule>
    <cfRule type="containsText" dxfId="14549" priority="494" operator="containsText" text="CMS">
      <formula>NOT(ISERROR(SEARCH("CMS",H14)))</formula>
    </cfRule>
    <cfRule type="cellIs" dxfId="14548" priority="495" operator="equal">
      <formula>0</formula>
    </cfRule>
    <cfRule type="cellIs" dxfId="14547" priority="496" operator="greaterThan">
      <formula>0</formula>
    </cfRule>
  </conditionalFormatting>
  <conditionalFormatting sqref="G36:G38 G57:G59">
    <cfRule type="cellIs" dxfId="14546" priority="485" operator="equal">
      <formula>"PMS"</formula>
    </cfRule>
    <cfRule type="containsText" dxfId="14545" priority="486" operator="containsText" text="CMS">
      <formula>NOT(ISERROR(SEARCH("CMS",G36)))</formula>
    </cfRule>
    <cfRule type="cellIs" dxfId="14544" priority="487" operator="equal">
      <formula>0</formula>
    </cfRule>
    <cfRule type="cellIs" dxfId="14543" priority="488" operator="greaterThan">
      <formula>0</formula>
    </cfRule>
    <cfRule type="cellIs" dxfId="14542" priority="489" operator="equal">
      <formula>"PMS"</formula>
    </cfRule>
    <cfRule type="containsText" dxfId="14541" priority="490" operator="containsText" text="CMS">
      <formula>NOT(ISERROR(SEARCH("CMS",G36)))</formula>
    </cfRule>
    <cfRule type="cellIs" dxfId="14540" priority="491" operator="equal">
      <formula>0</formula>
    </cfRule>
    <cfRule type="cellIs" dxfId="14539" priority="492" operator="greaterThan">
      <formula>0</formula>
    </cfRule>
  </conditionalFormatting>
  <conditionalFormatting sqref="G36:G38 G57:G59">
    <cfRule type="cellIs" dxfId="14538" priority="481" operator="equal">
      <formula>"PMS"</formula>
    </cfRule>
    <cfRule type="containsText" dxfId="14537" priority="482" operator="containsText" text="CMS">
      <formula>NOT(ISERROR(SEARCH("CMS",G36)))</formula>
    </cfRule>
    <cfRule type="cellIs" dxfId="14536" priority="483" operator="equal">
      <formula>0</formula>
    </cfRule>
    <cfRule type="cellIs" dxfId="14535" priority="484" operator="greaterThan">
      <formula>0</formula>
    </cfRule>
  </conditionalFormatting>
  <conditionalFormatting sqref="M36:M38 M57:M59">
    <cfRule type="cellIs" dxfId="14534" priority="473" operator="equal">
      <formula>"PMS"</formula>
    </cfRule>
    <cfRule type="containsText" dxfId="14533" priority="474" operator="containsText" text="CMS">
      <formula>NOT(ISERROR(SEARCH("CMS",M36)))</formula>
    </cfRule>
    <cfRule type="cellIs" dxfId="14532" priority="475" operator="equal">
      <formula>0</formula>
    </cfRule>
    <cfRule type="cellIs" dxfId="14531" priority="476" operator="greaterThan">
      <formula>0</formula>
    </cfRule>
    <cfRule type="cellIs" dxfId="14530" priority="477" operator="equal">
      <formula>"PMS"</formula>
    </cfRule>
    <cfRule type="containsText" dxfId="14529" priority="478" operator="containsText" text="CMS">
      <formula>NOT(ISERROR(SEARCH("CMS",M36)))</formula>
    </cfRule>
    <cfRule type="cellIs" dxfId="14528" priority="479" operator="equal">
      <formula>0</formula>
    </cfRule>
    <cfRule type="cellIs" dxfId="14527" priority="480" operator="greaterThan">
      <formula>0</formula>
    </cfRule>
  </conditionalFormatting>
  <conditionalFormatting sqref="M36:M38 M57:M59">
    <cfRule type="cellIs" dxfId="14526" priority="469" operator="equal">
      <formula>"PMS"</formula>
    </cfRule>
    <cfRule type="containsText" dxfId="14525" priority="470" operator="containsText" text="CMS">
      <formula>NOT(ISERROR(SEARCH("CMS",M36)))</formula>
    </cfRule>
    <cfRule type="cellIs" dxfId="14524" priority="471" operator="equal">
      <formula>0</formula>
    </cfRule>
    <cfRule type="cellIs" dxfId="14523" priority="472" operator="greaterThan">
      <formula>0</formula>
    </cfRule>
  </conditionalFormatting>
  <conditionalFormatting sqref="K36:K38 K57:K59">
    <cfRule type="cellIs" dxfId="14522" priority="461" operator="equal">
      <formula>"PMS"</formula>
    </cfRule>
    <cfRule type="containsText" dxfId="14521" priority="462" operator="containsText" text="CMS">
      <formula>NOT(ISERROR(SEARCH("CMS",K36)))</formula>
    </cfRule>
    <cfRule type="cellIs" dxfId="14520" priority="463" operator="equal">
      <formula>0</formula>
    </cfRule>
    <cfRule type="cellIs" dxfId="14519" priority="464" operator="greaterThan">
      <formula>0</formula>
    </cfRule>
    <cfRule type="cellIs" dxfId="14518" priority="465" operator="equal">
      <formula>"PMS"</formula>
    </cfRule>
    <cfRule type="containsText" dxfId="14517" priority="466" operator="containsText" text="CMS">
      <formula>NOT(ISERROR(SEARCH("CMS",K36)))</formula>
    </cfRule>
    <cfRule type="cellIs" dxfId="14516" priority="467" operator="equal">
      <formula>0</formula>
    </cfRule>
    <cfRule type="cellIs" dxfId="14515" priority="468" operator="greaterThan">
      <formula>0</formula>
    </cfRule>
  </conditionalFormatting>
  <conditionalFormatting sqref="K36:K38 K57:K59">
    <cfRule type="cellIs" dxfId="14514" priority="457" operator="equal">
      <formula>"PMS"</formula>
    </cfRule>
    <cfRule type="containsText" dxfId="14513" priority="458" operator="containsText" text="CMS">
      <formula>NOT(ISERROR(SEARCH("CMS",K36)))</formula>
    </cfRule>
    <cfRule type="cellIs" dxfId="14512" priority="459" operator="equal">
      <formula>0</formula>
    </cfRule>
    <cfRule type="cellIs" dxfId="14511" priority="460" operator="greaterThan">
      <formula>0</formula>
    </cfRule>
  </conditionalFormatting>
  <conditionalFormatting sqref="K14:L14">
    <cfRule type="cellIs" dxfId="14510" priority="449" operator="equal">
      <formula>"PMS"</formula>
    </cfRule>
    <cfRule type="containsText" dxfId="14509" priority="450" operator="containsText" text="CMS">
      <formula>NOT(ISERROR(SEARCH("CMS",K14)))</formula>
    </cfRule>
    <cfRule type="cellIs" dxfId="14508" priority="451" operator="equal">
      <formula>0</formula>
    </cfRule>
    <cfRule type="cellIs" dxfId="14507" priority="452" operator="greaterThan">
      <formula>0</formula>
    </cfRule>
    <cfRule type="cellIs" dxfId="14506" priority="453" operator="equal">
      <formula>"PMS"</formula>
    </cfRule>
    <cfRule type="containsText" dxfId="14505" priority="454" operator="containsText" text="CMS">
      <formula>NOT(ISERROR(SEARCH("CMS",K14)))</formula>
    </cfRule>
    <cfRule type="cellIs" dxfId="14504" priority="455" operator="equal">
      <formula>0</formula>
    </cfRule>
    <cfRule type="cellIs" dxfId="14503" priority="456" operator="greaterThan">
      <formula>0</formula>
    </cfRule>
  </conditionalFormatting>
  <conditionalFormatting sqref="K14:L14">
    <cfRule type="cellIs" dxfId="14502" priority="445" operator="equal">
      <formula>"PMS"</formula>
    </cfRule>
    <cfRule type="containsText" dxfId="14501" priority="446" operator="containsText" text="CMS">
      <formula>NOT(ISERROR(SEARCH("CMS",K14)))</formula>
    </cfRule>
    <cfRule type="cellIs" dxfId="14500" priority="447" operator="equal">
      <formula>0</formula>
    </cfRule>
    <cfRule type="cellIs" dxfId="14499" priority="448" operator="greaterThan">
      <formula>0</formula>
    </cfRule>
  </conditionalFormatting>
  <conditionalFormatting sqref="G49">
    <cfRule type="cellIs" dxfId="14498" priority="437" operator="equal">
      <formula>"PMS"</formula>
    </cfRule>
    <cfRule type="containsText" dxfId="14497" priority="438" operator="containsText" text="CMS">
      <formula>NOT(ISERROR(SEARCH("CMS",G49)))</formula>
    </cfRule>
    <cfRule type="cellIs" dxfId="14496" priority="439" operator="equal">
      <formula>0</formula>
    </cfRule>
    <cfRule type="cellIs" dxfId="14495" priority="440" operator="greaterThan">
      <formula>0</formula>
    </cfRule>
    <cfRule type="cellIs" dxfId="14494" priority="441" operator="equal">
      <formula>"PMS"</formula>
    </cfRule>
    <cfRule type="containsText" dxfId="14493" priority="442" operator="containsText" text="CMS">
      <formula>NOT(ISERROR(SEARCH("CMS",G49)))</formula>
    </cfRule>
    <cfRule type="cellIs" dxfId="14492" priority="443" operator="equal">
      <formula>0</formula>
    </cfRule>
    <cfRule type="cellIs" dxfId="14491" priority="444" operator="greaterThan">
      <formula>0</formula>
    </cfRule>
  </conditionalFormatting>
  <conditionalFormatting sqref="G49">
    <cfRule type="cellIs" dxfId="14490" priority="433" operator="equal">
      <formula>"PMS"</formula>
    </cfRule>
    <cfRule type="containsText" dxfId="14489" priority="434" operator="containsText" text="CMS">
      <formula>NOT(ISERROR(SEARCH("CMS",G49)))</formula>
    </cfRule>
    <cfRule type="cellIs" dxfId="14488" priority="435" operator="equal">
      <formula>0</formula>
    </cfRule>
    <cfRule type="cellIs" dxfId="14487" priority="436" operator="greaterThan">
      <formula>0</formula>
    </cfRule>
  </conditionalFormatting>
  <conditionalFormatting sqref="M49:N49">
    <cfRule type="cellIs" dxfId="14486" priority="425" operator="equal">
      <formula>"PMS"</formula>
    </cfRule>
    <cfRule type="containsText" dxfId="14485" priority="426" operator="containsText" text="CMS">
      <formula>NOT(ISERROR(SEARCH("CMS",M49)))</formula>
    </cfRule>
    <cfRule type="cellIs" dxfId="14484" priority="427" operator="equal">
      <formula>0</formula>
    </cfRule>
    <cfRule type="cellIs" dxfId="14483" priority="428" operator="greaterThan">
      <formula>0</formula>
    </cfRule>
    <cfRule type="cellIs" dxfId="14482" priority="429" operator="equal">
      <formula>"PMS"</formula>
    </cfRule>
    <cfRule type="containsText" dxfId="14481" priority="430" operator="containsText" text="CMS">
      <formula>NOT(ISERROR(SEARCH("CMS",M49)))</formula>
    </cfRule>
    <cfRule type="cellIs" dxfId="14480" priority="431" operator="equal">
      <formula>0</formula>
    </cfRule>
    <cfRule type="cellIs" dxfId="14479" priority="432" operator="greaterThan">
      <formula>0</formula>
    </cfRule>
  </conditionalFormatting>
  <conditionalFormatting sqref="M49:N49">
    <cfRule type="cellIs" dxfId="14478" priority="421" operator="equal">
      <formula>"PMS"</formula>
    </cfRule>
    <cfRule type="containsText" dxfId="14477" priority="422" operator="containsText" text="CMS">
      <formula>NOT(ISERROR(SEARCH("CMS",M49)))</formula>
    </cfRule>
    <cfRule type="cellIs" dxfId="14476" priority="423" operator="equal">
      <formula>0</formula>
    </cfRule>
    <cfRule type="cellIs" dxfId="14475" priority="424" operator="greaterThan">
      <formula>0</formula>
    </cfRule>
  </conditionalFormatting>
  <conditionalFormatting sqref="K49">
    <cfRule type="cellIs" dxfId="14474" priority="413" operator="equal">
      <formula>"PMS"</formula>
    </cfRule>
    <cfRule type="containsText" dxfId="14473" priority="414" operator="containsText" text="CMS">
      <formula>NOT(ISERROR(SEARCH("CMS",K49)))</formula>
    </cfRule>
    <cfRule type="cellIs" dxfId="14472" priority="415" operator="equal">
      <formula>0</formula>
    </cfRule>
    <cfRule type="cellIs" dxfId="14471" priority="416" operator="greaterThan">
      <formula>0</formula>
    </cfRule>
    <cfRule type="cellIs" dxfId="14470" priority="417" operator="equal">
      <formula>"PMS"</formula>
    </cfRule>
    <cfRule type="containsText" dxfId="14469" priority="418" operator="containsText" text="CMS">
      <formula>NOT(ISERROR(SEARCH("CMS",K49)))</formula>
    </cfRule>
    <cfRule type="cellIs" dxfId="14468" priority="419" operator="equal">
      <formula>0</formula>
    </cfRule>
    <cfRule type="cellIs" dxfId="14467" priority="420" operator="greaterThan">
      <formula>0</formula>
    </cfRule>
  </conditionalFormatting>
  <conditionalFormatting sqref="K49">
    <cfRule type="cellIs" dxfId="14466" priority="409" operator="equal">
      <formula>"PMS"</formula>
    </cfRule>
    <cfRule type="containsText" dxfId="14465" priority="410" operator="containsText" text="CMS">
      <formula>NOT(ISERROR(SEARCH("CMS",K49)))</formula>
    </cfRule>
    <cfRule type="cellIs" dxfId="14464" priority="411" operator="equal">
      <formula>0</formula>
    </cfRule>
    <cfRule type="cellIs" dxfId="14463" priority="412" operator="greaterThan">
      <formula>0</formula>
    </cfRule>
  </conditionalFormatting>
  <conditionalFormatting sqref="H33:J33 L33 L27:L30 H24:J24 H19:J20 L20:L21 V28:AC28 M21 Q28 N28:P29 N33:AC33 P30 Q29:AC30 H27:J30 I21:K21 K19:M19 M30:N30 H79:J79 S28:T28 N19:AC21 O78:V78 X78:AC78 L24:AC24 L79:Z79 AB79:AC79">
    <cfRule type="cellIs" dxfId="14462" priority="401" operator="equal">
      <formula>"PMS"</formula>
    </cfRule>
    <cfRule type="containsText" dxfId="14461" priority="402" operator="containsText" text="CMS">
      <formula>NOT(ISERROR(SEARCH("CMS",H19)))</formula>
    </cfRule>
    <cfRule type="cellIs" dxfId="14460" priority="403" operator="equal">
      <formula>0</formula>
    </cfRule>
    <cfRule type="cellIs" dxfId="14459" priority="404" operator="greaterThan">
      <formula>0</formula>
    </cfRule>
    <cfRule type="cellIs" dxfId="14458" priority="405" operator="equal">
      <formula>"PMS"</formula>
    </cfRule>
    <cfRule type="containsText" dxfId="14457" priority="406" operator="containsText" text="CMS">
      <formula>NOT(ISERROR(SEARCH("CMS",H19)))</formula>
    </cfRule>
    <cfRule type="cellIs" dxfId="14456" priority="407" operator="equal">
      <formula>0</formula>
    </cfRule>
    <cfRule type="cellIs" dxfId="14455" priority="408" operator="greaterThan">
      <formula>0</formula>
    </cfRule>
  </conditionalFormatting>
  <conditionalFormatting sqref="H33:J33 L33 L27:L30 H24:J24 H19:J20 L20:L21 V28:AC28 M21 Q28 N28:P29 N33:AC33 P30 Q29:AC30 H27:J30 I21:K21 K19:M19 M30:N30 H79:J79 S28:T28 N19:AC21 O78:V78 X78:AC78 L24:AC24 L79:Z79 AB79:AC79">
    <cfRule type="cellIs" dxfId="14454" priority="397" operator="equal">
      <formula>"PMS"</formula>
    </cfRule>
    <cfRule type="containsText" dxfId="14453" priority="398" operator="containsText" text="CMS">
      <formula>NOT(ISERROR(SEARCH("CMS",H19)))</formula>
    </cfRule>
    <cfRule type="cellIs" dxfId="14452" priority="399" operator="equal">
      <formula>0</formula>
    </cfRule>
    <cfRule type="cellIs" dxfId="14451" priority="400" operator="greaterThan">
      <formula>0</formula>
    </cfRule>
  </conditionalFormatting>
  <conditionalFormatting sqref="G33 G27:G30 G24 G39:G48 G50:G56 G19:G21 G79 H21">
    <cfRule type="cellIs" dxfId="14450" priority="389" operator="equal">
      <formula>"PMS"</formula>
    </cfRule>
    <cfRule type="containsText" dxfId="14449" priority="390" operator="containsText" text="CMS">
      <formula>NOT(ISERROR(SEARCH("CMS",G19)))</formula>
    </cfRule>
    <cfRule type="cellIs" dxfId="14448" priority="391" operator="equal">
      <formula>0</formula>
    </cfRule>
    <cfRule type="cellIs" dxfId="14447" priority="392" operator="greaterThan">
      <formula>0</formula>
    </cfRule>
    <cfRule type="cellIs" dxfId="14446" priority="393" operator="equal">
      <formula>"PMS"</formula>
    </cfRule>
    <cfRule type="containsText" dxfId="14445" priority="394" operator="containsText" text="CMS">
      <formula>NOT(ISERROR(SEARCH("CMS",G19)))</formula>
    </cfRule>
    <cfRule type="cellIs" dxfId="14444" priority="395" operator="equal">
      <formula>0</formula>
    </cfRule>
    <cfRule type="cellIs" dxfId="14443" priority="396" operator="greaterThan">
      <formula>0</formula>
    </cfRule>
  </conditionalFormatting>
  <conditionalFormatting sqref="G33 G27:G30 G24 G39:G48 G50:G56 G19:G21 G79 H21">
    <cfRule type="cellIs" dxfId="14442" priority="385" operator="equal">
      <formula>"PMS"</formula>
    </cfRule>
    <cfRule type="containsText" dxfId="14441" priority="386" operator="containsText" text="CMS">
      <formula>NOT(ISERROR(SEARCH("CMS",G19)))</formula>
    </cfRule>
    <cfRule type="cellIs" dxfId="14440" priority="387" operator="equal">
      <formula>0</formula>
    </cfRule>
    <cfRule type="cellIs" dxfId="14439" priority="388" operator="greaterThan">
      <formula>0</formula>
    </cfRule>
  </conditionalFormatting>
  <conditionalFormatting sqref="M39:M48 M33 M27:M29 M20 AB27:AC27 N27:Q27 N47 M56 N51:N55 M62:M64 N78 S27:X27">
    <cfRule type="cellIs" dxfId="14438" priority="377" operator="equal">
      <formula>"PMS"</formula>
    </cfRule>
    <cfRule type="containsText" dxfId="14437" priority="378" operator="containsText" text="CMS">
      <formula>NOT(ISERROR(SEARCH("CMS",M20)))</formula>
    </cfRule>
    <cfRule type="cellIs" dxfId="14436" priority="379" operator="equal">
      <formula>0</formula>
    </cfRule>
    <cfRule type="cellIs" dxfId="14435" priority="380" operator="greaterThan">
      <formula>0</formula>
    </cfRule>
    <cfRule type="cellIs" dxfId="14434" priority="381" operator="equal">
      <formula>"PMS"</formula>
    </cfRule>
    <cfRule type="containsText" dxfId="14433" priority="382" operator="containsText" text="CMS">
      <formula>NOT(ISERROR(SEARCH("CMS",M20)))</formula>
    </cfRule>
    <cfRule type="cellIs" dxfId="14432" priority="383" operator="equal">
      <formula>0</formula>
    </cfRule>
    <cfRule type="cellIs" dxfId="14431" priority="384" operator="greaterThan">
      <formula>0</formula>
    </cfRule>
  </conditionalFormatting>
  <conditionalFormatting sqref="M39:M48 M33 M27:M29 M20 AB27:AC27 N27:Q27 N47 M56 N51:N55 M62:M64 N78 S27:X27">
    <cfRule type="cellIs" dxfId="14430" priority="373" operator="equal">
      <formula>"PMS"</formula>
    </cfRule>
    <cfRule type="containsText" dxfId="14429" priority="374" operator="containsText" text="CMS">
      <formula>NOT(ISERROR(SEARCH("CMS",M20)))</formula>
    </cfRule>
    <cfRule type="cellIs" dxfId="14428" priority="375" operator="equal">
      <formula>0</formula>
    </cfRule>
    <cfRule type="cellIs" dxfId="14427" priority="376" operator="greaterThan">
      <formula>0</formula>
    </cfRule>
  </conditionalFormatting>
  <conditionalFormatting sqref="K50:K56 K39:K48 K33 K27 K24 K20 K29:K30 K79">
    <cfRule type="cellIs" dxfId="14426" priority="365" operator="equal">
      <formula>"PMS"</formula>
    </cfRule>
    <cfRule type="containsText" dxfId="14425" priority="366" operator="containsText" text="CMS">
      <formula>NOT(ISERROR(SEARCH("CMS",K20)))</formula>
    </cfRule>
    <cfRule type="cellIs" dxfId="14424" priority="367" operator="equal">
      <formula>0</formula>
    </cfRule>
    <cfRule type="cellIs" dxfId="14423" priority="368" operator="greaterThan">
      <formula>0</formula>
    </cfRule>
    <cfRule type="cellIs" dxfId="14422" priority="369" operator="equal">
      <formula>"PMS"</formula>
    </cfRule>
    <cfRule type="containsText" dxfId="14421" priority="370" operator="containsText" text="CMS">
      <formula>NOT(ISERROR(SEARCH("CMS",K20)))</formula>
    </cfRule>
    <cfRule type="cellIs" dxfId="14420" priority="371" operator="equal">
      <formula>0</formula>
    </cfRule>
    <cfRule type="cellIs" dxfId="14419" priority="372" operator="greaterThan">
      <formula>0</formula>
    </cfRule>
  </conditionalFormatting>
  <conditionalFormatting sqref="K50:K56 K39:K48 K33 K27 K24 K20 K29:K30 K79">
    <cfRule type="cellIs" dxfId="14418" priority="361" operator="equal">
      <formula>"PMS"</formula>
    </cfRule>
    <cfRule type="containsText" dxfId="14417" priority="362" operator="containsText" text="CMS">
      <formula>NOT(ISERROR(SEARCH("CMS",K20)))</formula>
    </cfRule>
    <cfRule type="cellIs" dxfId="14416" priority="363" operator="equal">
      <formula>0</formula>
    </cfRule>
    <cfRule type="cellIs" dxfId="14415" priority="364" operator="greaterThan">
      <formula>0</formula>
    </cfRule>
  </conditionalFormatting>
  <conditionalFormatting sqref="K28">
    <cfRule type="cellIs" dxfId="14414" priority="353" operator="equal">
      <formula>"PMS"</formula>
    </cfRule>
    <cfRule type="containsText" dxfId="14413" priority="354" operator="containsText" text="CMS">
      <formula>NOT(ISERROR(SEARCH("CMS",K28)))</formula>
    </cfRule>
    <cfRule type="cellIs" dxfId="14412" priority="355" operator="equal">
      <formula>0</formula>
    </cfRule>
    <cfRule type="cellIs" dxfId="14411" priority="356" operator="greaterThan">
      <formula>0</formula>
    </cfRule>
    <cfRule type="cellIs" dxfId="14410" priority="357" operator="equal">
      <formula>"PMS"</formula>
    </cfRule>
    <cfRule type="containsText" dxfId="14409" priority="358" operator="containsText" text="CMS">
      <formula>NOT(ISERROR(SEARCH("CMS",K28)))</formula>
    </cfRule>
    <cfRule type="cellIs" dxfId="14408" priority="359" operator="equal">
      <formula>0</formula>
    </cfRule>
    <cfRule type="cellIs" dxfId="14407" priority="360" operator="greaterThan">
      <formula>0</formula>
    </cfRule>
  </conditionalFormatting>
  <conditionalFormatting sqref="K28">
    <cfRule type="cellIs" dxfId="14406" priority="349" operator="equal">
      <formula>"PMS"</formula>
    </cfRule>
    <cfRule type="containsText" dxfId="14405" priority="350" operator="containsText" text="CMS">
      <formula>NOT(ISERROR(SEARCH("CMS",K28)))</formula>
    </cfRule>
    <cfRule type="cellIs" dxfId="14404" priority="351" operator="equal">
      <formula>0</formula>
    </cfRule>
    <cfRule type="cellIs" dxfId="14403" priority="352" operator="greaterThan">
      <formula>0</formula>
    </cfRule>
  </conditionalFormatting>
  <conditionalFormatting sqref="N62:O62 O63:O64">
    <cfRule type="cellIs" dxfId="14402" priority="341" operator="equal">
      <formula>"PMS"</formula>
    </cfRule>
    <cfRule type="containsText" dxfId="14401" priority="342" operator="containsText" text="CMS">
      <formula>NOT(ISERROR(SEARCH("CMS",N62)))</formula>
    </cfRule>
    <cfRule type="cellIs" dxfId="14400" priority="343" operator="equal">
      <formula>0</formula>
    </cfRule>
    <cfRule type="cellIs" dxfId="14399" priority="344" operator="greaterThan">
      <formula>0</formula>
    </cfRule>
    <cfRule type="cellIs" dxfId="14398" priority="345" operator="equal">
      <formula>"PMS"</formula>
    </cfRule>
    <cfRule type="containsText" dxfId="14397" priority="346" operator="containsText" text="CMS">
      <formula>NOT(ISERROR(SEARCH("CMS",N62)))</formula>
    </cfRule>
    <cfRule type="cellIs" dxfId="14396" priority="347" operator="equal">
      <formula>0</formula>
    </cfRule>
    <cfRule type="cellIs" dxfId="14395" priority="348" operator="greaterThan">
      <formula>0</formula>
    </cfRule>
  </conditionalFormatting>
  <conditionalFormatting sqref="N62:O62 O63:O64">
    <cfRule type="cellIs" dxfId="14394" priority="337" operator="equal">
      <formula>"PMS"</formula>
    </cfRule>
    <cfRule type="containsText" dxfId="14393" priority="338" operator="containsText" text="CMS">
      <formula>NOT(ISERROR(SEARCH("CMS",N62)))</formula>
    </cfRule>
    <cfRule type="cellIs" dxfId="14392" priority="339" operator="equal">
      <formula>0</formula>
    </cfRule>
    <cfRule type="cellIs" dxfId="14391" priority="340" operator="greaterThan">
      <formula>0</formula>
    </cfRule>
  </conditionalFormatting>
  <conditionalFormatting sqref="J14">
    <cfRule type="cellIs" dxfId="14390" priority="329" operator="equal">
      <formula>"PMS"</formula>
    </cfRule>
    <cfRule type="containsText" dxfId="14389" priority="330" operator="containsText" text="CMS">
      <formula>NOT(ISERROR(SEARCH("CMS",J14)))</formula>
    </cfRule>
    <cfRule type="cellIs" dxfId="14388" priority="331" operator="equal">
      <formula>0</formula>
    </cfRule>
    <cfRule type="cellIs" dxfId="14387" priority="332" operator="greaterThan">
      <formula>0</formula>
    </cfRule>
    <cfRule type="cellIs" dxfId="14386" priority="333" operator="equal">
      <formula>"PMS"</formula>
    </cfRule>
    <cfRule type="containsText" dxfId="14385" priority="334" operator="containsText" text="CMS">
      <formula>NOT(ISERROR(SEARCH("CMS",J14)))</formula>
    </cfRule>
    <cfRule type="cellIs" dxfId="14384" priority="335" operator="equal">
      <formula>0</formula>
    </cfRule>
    <cfRule type="cellIs" dxfId="14383" priority="336" operator="greaterThan">
      <formula>0</formula>
    </cfRule>
  </conditionalFormatting>
  <conditionalFormatting sqref="J14">
    <cfRule type="cellIs" dxfId="14382" priority="325" operator="equal">
      <formula>"PMS"</formula>
    </cfRule>
    <cfRule type="containsText" dxfId="14381" priority="326" operator="containsText" text="CMS">
      <formula>NOT(ISERROR(SEARCH("CMS",J14)))</formula>
    </cfRule>
    <cfRule type="cellIs" dxfId="14380" priority="327" operator="equal">
      <formula>0</formula>
    </cfRule>
    <cfRule type="cellIs" dxfId="14379" priority="328" operator="greaterThan">
      <formula>0</formula>
    </cfRule>
  </conditionalFormatting>
  <conditionalFormatting sqref="U28">
    <cfRule type="cellIs" dxfId="14378" priority="317" operator="equal">
      <formula>"PMS"</formula>
    </cfRule>
    <cfRule type="containsText" dxfId="14377" priority="318" operator="containsText" text="CMS">
      <formula>NOT(ISERROR(SEARCH("CMS",U28)))</formula>
    </cfRule>
    <cfRule type="cellIs" dxfId="14376" priority="319" operator="equal">
      <formula>0</formula>
    </cfRule>
    <cfRule type="cellIs" dxfId="14375" priority="320" operator="greaterThan">
      <formula>0</formula>
    </cfRule>
    <cfRule type="cellIs" dxfId="14374" priority="321" operator="equal">
      <formula>"PMS"</formula>
    </cfRule>
    <cfRule type="containsText" dxfId="14373" priority="322" operator="containsText" text="CMS">
      <formula>NOT(ISERROR(SEARCH("CMS",U28)))</formula>
    </cfRule>
    <cfRule type="cellIs" dxfId="14372" priority="323" operator="equal">
      <formula>0</formula>
    </cfRule>
    <cfRule type="cellIs" dxfId="14371" priority="324" operator="greaterThan">
      <formula>0</formula>
    </cfRule>
  </conditionalFormatting>
  <conditionalFormatting sqref="U28">
    <cfRule type="cellIs" dxfId="14370" priority="313" operator="equal">
      <formula>"PMS"</formula>
    </cfRule>
    <cfRule type="containsText" dxfId="14369" priority="314" operator="containsText" text="CMS">
      <formula>NOT(ISERROR(SEARCH("CMS",U28)))</formula>
    </cfRule>
    <cfRule type="cellIs" dxfId="14368" priority="315" operator="equal">
      <formula>0</formula>
    </cfRule>
    <cfRule type="cellIs" dxfId="14367" priority="316" operator="greaterThan">
      <formula>0</formula>
    </cfRule>
  </conditionalFormatting>
  <conditionalFormatting sqref="Y27:AA27">
    <cfRule type="cellIs" dxfId="14366" priority="305" operator="equal">
      <formula>"PMS"</formula>
    </cfRule>
    <cfRule type="containsText" dxfId="14365" priority="306" operator="containsText" text="CMS">
      <formula>NOT(ISERROR(SEARCH("CMS",Y27)))</formula>
    </cfRule>
    <cfRule type="cellIs" dxfId="14364" priority="307" operator="equal">
      <formula>0</formula>
    </cfRule>
    <cfRule type="cellIs" dxfId="14363" priority="308" operator="greaterThan">
      <formula>0</formula>
    </cfRule>
    <cfRule type="cellIs" dxfId="14362" priority="309" operator="equal">
      <formula>"PMS"</formula>
    </cfRule>
    <cfRule type="containsText" dxfId="14361" priority="310" operator="containsText" text="CMS">
      <formula>NOT(ISERROR(SEARCH("CMS",Y27)))</formula>
    </cfRule>
    <cfRule type="cellIs" dxfId="14360" priority="311" operator="equal">
      <formula>0</formula>
    </cfRule>
    <cfRule type="cellIs" dxfId="14359" priority="312" operator="greaterThan">
      <formula>0</formula>
    </cfRule>
  </conditionalFormatting>
  <conditionalFormatting sqref="Y27:AA27">
    <cfRule type="cellIs" dxfId="14358" priority="301" operator="equal">
      <formula>"PMS"</formula>
    </cfRule>
    <cfRule type="containsText" dxfId="14357" priority="302" operator="containsText" text="CMS">
      <formula>NOT(ISERROR(SEARCH("CMS",Y27)))</formula>
    </cfRule>
    <cfRule type="cellIs" dxfId="14356" priority="303" operator="equal">
      <formula>0</formula>
    </cfRule>
    <cfRule type="cellIs" dxfId="14355" priority="304" operator="greaterThan">
      <formula>0</formula>
    </cfRule>
  </conditionalFormatting>
  <conditionalFormatting sqref="G62:G64">
    <cfRule type="cellIs" dxfId="14354" priority="293" operator="equal">
      <formula>"PMS"</formula>
    </cfRule>
    <cfRule type="containsText" dxfId="14353" priority="294" operator="containsText" text="CMS">
      <formula>NOT(ISERROR(SEARCH("CMS",G62)))</formula>
    </cfRule>
    <cfRule type="cellIs" dxfId="14352" priority="295" operator="equal">
      <formula>0</formula>
    </cfRule>
    <cfRule type="cellIs" dxfId="14351" priority="296" operator="greaterThan">
      <formula>0</formula>
    </cfRule>
    <cfRule type="cellIs" dxfId="14350" priority="297" operator="equal">
      <formula>"PMS"</formula>
    </cfRule>
    <cfRule type="containsText" dxfId="14349" priority="298" operator="containsText" text="CMS">
      <formula>NOT(ISERROR(SEARCH("CMS",G62)))</formula>
    </cfRule>
    <cfRule type="cellIs" dxfId="14348" priority="299" operator="equal">
      <formula>0</formula>
    </cfRule>
    <cfRule type="cellIs" dxfId="14347" priority="300" operator="greaterThan">
      <formula>0</formula>
    </cfRule>
  </conditionalFormatting>
  <conditionalFormatting sqref="G62:G64">
    <cfRule type="cellIs" dxfId="14346" priority="289" operator="equal">
      <formula>"PMS"</formula>
    </cfRule>
    <cfRule type="containsText" dxfId="14345" priority="290" operator="containsText" text="CMS">
      <formula>NOT(ISERROR(SEARCH("CMS",G62)))</formula>
    </cfRule>
    <cfRule type="cellIs" dxfId="14344" priority="291" operator="equal">
      <formula>0</formula>
    </cfRule>
    <cfRule type="cellIs" dxfId="14343" priority="292" operator="greaterThan">
      <formula>0</formula>
    </cfRule>
  </conditionalFormatting>
  <conditionalFormatting sqref="N40">
    <cfRule type="cellIs" dxfId="14342" priority="281" operator="equal">
      <formula>"PMS"</formula>
    </cfRule>
    <cfRule type="containsText" dxfId="14341" priority="282" operator="containsText" text="CMS">
      <formula>NOT(ISERROR(SEARCH("CMS",N40)))</formula>
    </cfRule>
    <cfRule type="cellIs" dxfId="14340" priority="283" operator="equal">
      <formula>0</formula>
    </cfRule>
    <cfRule type="cellIs" dxfId="14339" priority="284" operator="greaterThan">
      <formula>0</formula>
    </cfRule>
    <cfRule type="cellIs" dxfId="14338" priority="285" operator="equal">
      <formula>"PMS"</formula>
    </cfRule>
    <cfRule type="containsText" dxfId="14337" priority="286" operator="containsText" text="CMS">
      <formula>NOT(ISERROR(SEARCH("CMS",N40)))</formula>
    </cfRule>
    <cfRule type="cellIs" dxfId="14336" priority="287" operator="equal">
      <formula>0</formula>
    </cfRule>
    <cfRule type="cellIs" dxfId="14335" priority="288" operator="greaterThan">
      <formula>0</formula>
    </cfRule>
  </conditionalFormatting>
  <conditionalFormatting sqref="N40">
    <cfRule type="cellIs" dxfId="14334" priority="277" operator="equal">
      <formula>"PMS"</formula>
    </cfRule>
    <cfRule type="containsText" dxfId="14333" priority="278" operator="containsText" text="CMS">
      <formula>NOT(ISERROR(SEARCH("CMS",N40)))</formula>
    </cfRule>
    <cfRule type="cellIs" dxfId="14332" priority="279" operator="equal">
      <formula>0</formula>
    </cfRule>
    <cfRule type="cellIs" dxfId="14331" priority="280" operator="greaterThan">
      <formula>0</formula>
    </cfRule>
  </conditionalFormatting>
  <conditionalFormatting sqref="O30">
    <cfRule type="cellIs" dxfId="14330" priority="269" operator="equal">
      <formula>"PMS"</formula>
    </cfRule>
    <cfRule type="containsText" dxfId="14329" priority="270" operator="containsText" text="CMS">
      <formula>NOT(ISERROR(SEARCH("CMS",O30)))</formula>
    </cfRule>
    <cfRule type="cellIs" dxfId="14328" priority="271" operator="equal">
      <formula>0</formula>
    </cfRule>
    <cfRule type="cellIs" dxfId="14327" priority="272" operator="greaterThan">
      <formula>0</formula>
    </cfRule>
    <cfRule type="cellIs" dxfId="14326" priority="273" operator="equal">
      <formula>"PMS"</formula>
    </cfRule>
    <cfRule type="containsText" dxfId="14325" priority="274" operator="containsText" text="CMS">
      <formula>NOT(ISERROR(SEARCH("CMS",O30)))</formula>
    </cfRule>
    <cfRule type="cellIs" dxfId="14324" priority="275" operator="equal">
      <formula>0</formula>
    </cfRule>
    <cfRule type="cellIs" dxfId="14323" priority="276" operator="greaterThan">
      <formula>0</formula>
    </cfRule>
  </conditionalFormatting>
  <conditionalFormatting sqref="O30">
    <cfRule type="cellIs" dxfId="14322" priority="265" operator="equal">
      <formula>"PMS"</formula>
    </cfRule>
    <cfRule type="containsText" dxfId="14321" priority="266" operator="containsText" text="CMS">
      <formula>NOT(ISERROR(SEARCH("CMS",O30)))</formula>
    </cfRule>
    <cfRule type="cellIs" dxfId="14320" priority="267" operator="equal">
      <formula>0</formula>
    </cfRule>
    <cfRule type="cellIs" dxfId="14319" priority="268" operator="greaterThan">
      <formula>0</formula>
    </cfRule>
  </conditionalFormatting>
  <conditionalFormatting sqref="O47:O49">
    <cfRule type="cellIs" dxfId="14318" priority="257" operator="equal">
      <formula>"PMS"</formula>
    </cfRule>
    <cfRule type="containsText" dxfId="14317" priority="258" operator="containsText" text="CMS">
      <formula>NOT(ISERROR(SEARCH("CMS",O47)))</formula>
    </cfRule>
    <cfRule type="cellIs" dxfId="14316" priority="259" operator="equal">
      <formula>0</formula>
    </cfRule>
    <cfRule type="cellIs" dxfId="14315" priority="260" operator="greaterThan">
      <formula>0</formula>
    </cfRule>
    <cfRule type="cellIs" dxfId="14314" priority="261" operator="equal">
      <formula>"PMS"</formula>
    </cfRule>
    <cfRule type="containsText" dxfId="14313" priority="262" operator="containsText" text="CMS">
      <formula>NOT(ISERROR(SEARCH("CMS",O47)))</formula>
    </cfRule>
    <cfRule type="cellIs" dxfId="14312" priority="263" operator="equal">
      <formula>0</formula>
    </cfRule>
    <cfRule type="cellIs" dxfId="14311" priority="264" operator="greaterThan">
      <formula>0</formula>
    </cfRule>
  </conditionalFormatting>
  <conditionalFormatting sqref="O47:O49">
    <cfRule type="cellIs" dxfId="14310" priority="253" operator="equal">
      <formula>"PMS"</formula>
    </cfRule>
    <cfRule type="containsText" dxfId="14309" priority="254" operator="containsText" text="CMS">
      <formula>NOT(ISERROR(SEARCH("CMS",O47)))</formula>
    </cfRule>
    <cfRule type="cellIs" dxfId="14308" priority="255" operator="equal">
      <formula>0</formula>
    </cfRule>
    <cfRule type="cellIs" dxfId="14307" priority="256" operator="greaterThan">
      <formula>0</formula>
    </cfRule>
  </conditionalFormatting>
  <conditionalFormatting sqref="F82">
    <cfRule type="cellIs" dxfId="14306" priority="245" operator="equal">
      <formula>"PMS"</formula>
    </cfRule>
    <cfRule type="containsText" dxfId="14305" priority="246" operator="containsText" text="CMS">
      <formula>NOT(ISERROR(SEARCH("CMS",F82)))</formula>
    </cfRule>
    <cfRule type="cellIs" dxfId="14304" priority="247" operator="equal">
      <formula>0</formula>
    </cfRule>
    <cfRule type="cellIs" dxfId="14303" priority="248" operator="greaterThan">
      <formula>0</formula>
    </cfRule>
    <cfRule type="cellIs" dxfId="14302" priority="249" operator="equal">
      <formula>"PMS"</formula>
    </cfRule>
    <cfRule type="containsText" dxfId="14301" priority="250" operator="containsText" text="CMS">
      <formula>NOT(ISERROR(SEARCH("CMS",F82)))</formula>
    </cfRule>
    <cfRule type="cellIs" dxfId="14300" priority="251" operator="equal">
      <formula>0</formula>
    </cfRule>
    <cfRule type="cellIs" dxfId="14299" priority="252" operator="greaterThan">
      <formula>0</formula>
    </cfRule>
  </conditionalFormatting>
  <conditionalFormatting sqref="F82">
    <cfRule type="cellIs" dxfId="14298" priority="241" operator="equal">
      <formula>"PMS"</formula>
    </cfRule>
    <cfRule type="containsText" dxfId="14297" priority="242" operator="containsText" text="CMS">
      <formula>NOT(ISERROR(SEARCH("CMS",F82)))</formula>
    </cfRule>
    <cfRule type="cellIs" dxfId="14296" priority="243" operator="equal">
      <formula>0</formula>
    </cfRule>
    <cfRule type="cellIs" dxfId="14295" priority="244" operator="greaterThan">
      <formula>0</formula>
    </cfRule>
  </conditionalFormatting>
  <conditionalFormatting sqref="H15">
    <cfRule type="cellIs" dxfId="14294" priority="233" operator="equal">
      <formula>"PMS"</formula>
    </cfRule>
    <cfRule type="containsText" dxfId="14293" priority="234" operator="containsText" text="CMS">
      <formula>NOT(ISERROR(SEARCH("CMS",H15)))</formula>
    </cfRule>
    <cfRule type="cellIs" dxfId="14292" priority="235" operator="equal">
      <formula>0</formula>
    </cfRule>
    <cfRule type="cellIs" dxfId="14291" priority="236" operator="greaterThan">
      <formula>0</formula>
    </cfRule>
    <cfRule type="cellIs" dxfId="14290" priority="237" operator="equal">
      <formula>"PMS"</formula>
    </cfRule>
    <cfRule type="containsText" dxfId="14289" priority="238" operator="containsText" text="CMS">
      <formula>NOT(ISERROR(SEARCH("CMS",H15)))</formula>
    </cfRule>
    <cfRule type="cellIs" dxfId="14288" priority="239" operator="equal">
      <formula>0</formula>
    </cfRule>
    <cfRule type="cellIs" dxfId="14287" priority="240" operator="greaterThan">
      <formula>0</formula>
    </cfRule>
  </conditionalFormatting>
  <conditionalFormatting sqref="H15">
    <cfRule type="cellIs" dxfId="14286" priority="229" operator="equal">
      <formula>"PMS"</formula>
    </cfRule>
    <cfRule type="containsText" dxfId="14285" priority="230" operator="containsText" text="CMS">
      <formula>NOT(ISERROR(SEARCH("CMS",H15)))</formula>
    </cfRule>
    <cfRule type="cellIs" dxfId="14284" priority="231" operator="equal">
      <formula>0</formula>
    </cfRule>
    <cfRule type="cellIs" dxfId="14283" priority="232" operator="greaterThan">
      <formula>0</formula>
    </cfRule>
  </conditionalFormatting>
  <conditionalFormatting sqref="G14">
    <cfRule type="cellIs" dxfId="14282" priority="221" operator="equal">
      <formula>"PMS"</formula>
    </cfRule>
    <cfRule type="containsText" dxfId="14281" priority="222" operator="containsText" text="CMS">
      <formula>NOT(ISERROR(SEARCH("CMS",G14)))</formula>
    </cfRule>
    <cfRule type="cellIs" dxfId="14280" priority="223" operator="equal">
      <formula>0</formula>
    </cfRule>
    <cfRule type="cellIs" dxfId="14279" priority="224" operator="greaterThan">
      <formula>0</formula>
    </cfRule>
    <cfRule type="cellIs" dxfId="14278" priority="225" operator="equal">
      <formula>"PMS"</formula>
    </cfRule>
    <cfRule type="containsText" dxfId="14277" priority="226" operator="containsText" text="CMS">
      <formula>NOT(ISERROR(SEARCH("CMS",G14)))</formula>
    </cfRule>
    <cfRule type="cellIs" dxfId="14276" priority="227" operator="equal">
      <formula>0</formula>
    </cfRule>
    <cfRule type="cellIs" dxfId="14275" priority="228" operator="greaterThan">
      <formula>0</formula>
    </cfRule>
  </conditionalFormatting>
  <conditionalFormatting sqref="G14">
    <cfRule type="cellIs" dxfId="14274" priority="217" operator="equal">
      <formula>"PMS"</formula>
    </cfRule>
    <cfRule type="containsText" dxfId="14273" priority="218" operator="containsText" text="CMS">
      <formula>NOT(ISERROR(SEARCH("CMS",G14)))</formula>
    </cfRule>
    <cfRule type="cellIs" dxfId="14272" priority="219" operator="equal">
      <formula>0</formula>
    </cfRule>
    <cfRule type="cellIs" dxfId="14271" priority="220" operator="greaterThan">
      <formula>0</formula>
    </cfRule>
  </conditionalFormatting>
  <conditionalFormatting sqref="N48">
    <cfRule type="cellIs" dxfId="14270" priority="209" operator="equal">
      <formula>"PMS"</formula>
    </cfRule>
    <cfRule type="containsText" dxfId="14269" priority="210" operator="containsText" text="CMS">
      <formula>NOT(ISERROR(SEARCH("CMS",N48)))</formula>
    </cfRule>
    <cfRule type="cellIs" dxfId="14268" priority="211" operator="equal">
      <formula>0</formula>
    </cfRule>
    <cfRule type="cellIs" dxfId="14267" priority="212" operator="greaterThan">
      <formula>0</formula>
    </cfRule>
    <cfRule type="cellIs" dxfId="14266" priority="213" operator="equal">
      <formula>"PMS"</formula>
    </cfRule>
    <cfRule type="containsText" dxfId="14265" priority="214" operator="containsText" text="CMS">
      <formula>NOT(ISERROR(SEARCH("CMS",N48)))</formula>
    </cfRule>
    <cfRule type="cellIs" dxfId="14264" priority="215" operator="equal">
      <formula>0</formula>
    </cfRule>
    <cfRule type="cellIs" dxfId="14263" priority="216" operator="greaterThan">
      <formula>0</formula>
    </cfRule>
  </conditionalFormatting>
  <conditionalFormatting sqref="N48">
    <cfRule type="cellIs" dxfId="14262" priority="205" operator="equal">
      <formula>"PMS"</formula>
    </cfRule>
    <cfRule type="containsText" dxfId="14261" priority="206" operator="containsText" text="CMS">
      <formula>NOT(ISERROR(SEARCH("CMS",N48)))</formula>
    </cfRule>
    <cfRule type="cellIs" dxfId="14260" priority="207" operator="equal">
      <formula>0</formula>
    </cfRule>
    <cfRule type="cellIs" dxfId="14259" priority="208" operator="greaterThan">
      <formula>0</formula>
    </cfRule>
  </conditionalFormatting>
  <conditionalFormatting sqref="N56">
    <cfRule type="cellIs" dxfId="14258" priority="197" operator="equal">
      <formula>"PMS"</formula>
    </cfRule>
    <cfRule type="containsText" dxfId="14257" priority="198" operator="containsText" text="CMS">
      <formula>NOT(ISERROR(SEARCH("CMS",N56)))</formula>
    </cfRule>
    <cfRule type="cellIs" dxfId="14256" priority="199" operator="equal">
      <formula>0</formula>
    </cfRule>
    <cfRule type="cellIs" dxfId="14255" priority="200" operator="greaterThan">
      <formula>0</formula>
    </cfRule>
    <cfRule type="cellIs" dxfId="14254" priority="201" operator="equal">
      <formula>"PMS"</formula>
    </cfRule>
    <cfRule type="containsText" dxfId="14253" priority="202" operator="containsText" text="CMS">
      <formula>NOT(ISERROR(SEARCH("CMS",N56)))</formula>
    </cfRule>
    <cfRule type="cellIs" dxfId="14252" priority="203" operator="equal">
      <formula>0</formula>
    </cfRule>
    <cfRule type="cellIs" dxfId="14251" priority="204" operator="greaterThan">
      <formula>0</formula>
    </cfRule>
  </conditionalFormatting>
  <conditionalFormatting sqref="N56">
    <cfRule type="cellIs" dxfId="14250" priority="193" operator="equal">
      <formula>"PMS"</formula>
    </cfRule>
    <cfRule type="containsText" dxfId="14249" priority="194" operator="containsText" text="CMS">
      <formula>NOT(ISERROR(SEARCH("CMS",N56)))</formula>
    </cfRule>
    <cfRule type="cellIs" dxfId="14248" priority="195" operator="equal">
      <formula>0</formula>
    </cfRule>
    <cfRule type="cellIs" dxfId="14247" priority="196" operator="greaterThan">
      <formula>0</formula>
    </cfRule>
  </conditionalFormatting>
  <conditionalFormatting sqref="N63:N64">
    <cfRule type="cellIs" dxfId="14246" priority="185" operator="equal">
      <formula>"PMS"</formula>
    </cfRule>
    <cfRule type="containsText" dxfId="14245" priority="186" operator="containsText" text="CMS">
      <formula>NOT(ISERROR(SEARCH("CMS",N63)))</formula>
    </cfRule>
    <cfRule type="cellIs" dxfId="14244" priority="187" operator="equal">
      <formula>0</formula>
    </cfRule>
    <cfRule type="cellIs" dxfId="14243" priority="188" operator="greaterThan">
      <formula>0</formula>
    </cfRule>
    <cfRule type="cellIs" dxfId="14242" priority="189" operator="equal">
      <formula>"PMS"</formula>
    </cfRule>
    <cfRule type="containsText" dxfId="14241" priority="190" operator="containsText" text="CMS">
      <formula>NOT(ISERROR(SEARCH("CMS",N63)))</formula>
    </cfRule>
    <cfRule type="cellIs" dxfId="14240" priority="191" operator="equal">
      <formula>0</formula>
    </cfRule>
    <cfRule type="cellIs" dxfId="14239" priority="192" operator="greaterThan">
      <formula>0</formula>
    </cfRule>
  </conditionalFormatting>
  <conditionalFormatting sqref="N63:N64">
    <cfRule type="cellIs" dxfId="14238" priority="181" operator="equal">
      <formula>"PMS"</formula>
    </cfRule>
    <cfRule type="containsText" dxfId="14237" priority="182" operator="containsText" text="CMS">
      <formula>NOT(ISERROR(SEARCH("CMS",N63)))</formula>
    </cfRule>
    <cfRule type="cellIs" dxfId="14236" priority="183" operator="equal">
      <formula>0</formula>
    </cfRule>
    <cfRule type="cellIs" dxfId="14235" priority="184" operator="greaterThan">
      <formula>0</formula>
    </cfRule>
  </conditionalFormatting>
  <conditionalFormatting sqref="G78:K78">
    <cfRule type="cellIs" dxfId="14234" priority="173" operator="equal">
      <formula>"PMS"</formula>
    </cfRule>
    <cfRule type="containsText" dxfId="14233" priority="174" operator="containsText" text="CMS">
      <formula>NOT(ISERROR(SEARCH("CMS",G78)))</formula>
    </cfRule>
    <cfRule type="cellIs" dxfId="14232" priority="175" operator="equal">
      <formula>0</formula>
    </cfRule>
    <cfRule type="cellIs" dxfId="14231" priority="176" operator="greaterThan">
      <formula>0</formula>
    </cfRule>
    <cfRule type="cellIs" dxfId="14230" priority="177" operator="equal">
      <formula>"PMS"</formula>
    </cfRule>
    <cfRule type="containsText" dxfId="14229" priority="178" operator="containsText" text="CMS">
      <formula>NOT(ISERROR(SEARCH("CMS",G78)))</formula>
    </cfRule>
    <cfRule type="cellIs" dxfId="14228" priority="179" operator="equal">
      <formula>0</formula>
    </cfRule>
    <cfRule type="cellIs" dxfId="14227" priority="180" operator="greaterThan">
      <formula>0</formula>
    </cfRule>
  </conditionalFormatting>
  <conditionalFormatting sqref="G78:K78">
    <cfRule type="cellIs" dxfId="14226" priority="169" operator="equal">
      <formula>"PMS"</formula>
    </cfRule>
    <cfRule type="containsText" dxfId="14225" priority="170" operator="containsText" text="CMS">
      <formula>NOT(ISERROR(SEARCH("CMS",G78)))</formula>
    </cfRule>
    <cfRule type="cellIs" dxfId="14224" priority="171" operator="equal">
      <formula>0</formula>
    </cfRule>
    <cfRule type="cellIs" dxfId="14223" priority="172" operator="greaterThan">
      <formula>0</formula>
    </cfRule>
  </conditionalFormatting>
  <conditionalFormatting sqref="O40">
    <cfRule type="cellIs" dxfId="14222" priority="161" operator="equal">
      <formula>"PMS"</formula>
    </cfRule>
    <cfRule type="containsText" dxfId="14221" priority="162" operator="containsText" text="CMS">
      <formula>NOT(ISERROR(SEARCH("CMS",O40)))</formula>
    </cfRule>
    <cfRule type="cellIs" dxfId="14220" priority="163" operator="equal">
      <formula>0</formula>
    </cfRule>
    <cfRule type="cellIs" dxfId="14219" priority="164" operator="greaterThan">
      <formula>0</formula>
    </cfRule>
    <cfRule type="cellIs" dxfId="14218" priority="165" operator="equal">
      <formula>"PMS"</formula>
    </cfRule>
    <cfRule type="containsText" dxfId="14217" priority="166" operator="containsText" text="CMS">
      <formula>NOT(ISERROR(SEARCH("CMS",O40)))</formula>
    </cfRule>
    <cfRule type="cellIs" dxfId="14216" priority="167" operator="equal">
      <formula>0</formula>
    </cfRule>
    <cfRule type="cellIs" dxfId="14215" priority="168" operator="greaterThan">
      <formula>0</formula>
    </cfRule>
  </conditionalFormatting>
  <conditionalFormatting sqref="O40">
    <cfRule type="cellIs" dxfId="14214" priority="157" operator="equal">
      <formula>"PMS"</formula>
    </cfRule>
    <cfRule type="containsText" dxfId="14213" priority="158" operator="containsText" text="CMS">
      <formula>NOT(ISERROR(SEARCH("CMS",O40)))</formula>
    </cfRule>
    <cfRule type="cellIs" dxfId="14212" priority="159" operator="equal">
      <formula>0</formula>
    </cfRule>
    <cfRule type="cellIs" dxfId="14211" priority="160" operator="greaterThan">
      <formula>0</formula>
    </cfRule>
  </conditionalFormatting>
  <conditionalFormatting sqref="L78">
    <cfRule type="cellIs" dxfId="14210" priority="149" operator="equal">
      <formula>"PMS"</formula>
    </cfRule>
    <cfRule type="containsText" dxfId="14209" priority="150" operator="containsText" text="CMS">
      <formula>NOT(ISERROR(SEARCH("CMS",L78)))</formula>
    </cfRule>
    <cfRule type="cellIs" dxfId="14208" priority="151" operator="equal">
      <formula>0</formula>
    </cfRule>
    <cfRule type="cellIs" dxfId="14207" priority="152" operator="greaterThan">
      <formula>0</formula>
    </cfRule>
    <cfRule type="cellIs" dxfId="14206" priority="153" operator="equal">
      <formula>"PMS"</formula>
    </cfRule>
    <cfRule type="containsText" dxfId="14205" priority="154" operator="containsText" text="CMS">
      <formula>NOT(ISERROR(SEARCH("CMS",L78)))</formula>
    </cfRule>
    <cfRule type="cellIs" dxfId="14204" priority="155" operator="equal">
      <formula>0</formula>
    </cfRule>
    <cfRule type="cellIs" dxfId="14203" priority="156" operator="greaterThan">
      <formula>0</formula>
    </cfRule>
  </conditionalFormatting>
  <conditionalFormatting sqref="L78">
    <cfRule type="cellIs" dxfId="14202" priority="145" operator="equal">
      <formula>"PMS"</formula>
    </cfRule>
    <cfRule type="containsText" dxfId="14201" priority="146" operator="containsText" text="CMS">
      <formula>NOT(ISERROR(SEARCH("CMS",L78)))</formula>
    </cfRule>
    <cfRule type="cellIs" dxfId="14200" priority="147" operator="equal">
      <formula>0</formula>
    </cfRule>
    <cfRule type="cellIs" dxfId="14199" priority="148" operator="greaterThan">
      <formula>0</formula>
    </cfRule>
  </conditionalFormatting>
  <conditionalFormatting sqref="R27:R28">
    <cfRule type="cellIs" dxfId="14198" priority="137" operator="equal">
      <formula>"PMS"</formula>
    </cfRule>
    <cfRule type="containsText" dxfId="14197" priority="138" operator="containsText" text="CMS">
      <formula>NOT(ISERROR(SEARCH("CMS",R27)))</formula>
    </cfRule>
    <cfRule type="cellIs" dxfId="14196" priority="139" operator="equal">
      <formula>0</formula>
    </cfRule>
    <cfRule type="cellIs" dxfId="14195" priority="140" operator="greaterThan">
      <formula>0</formula>
    </cfRule>
    <cfRule type="cellIs" dxfId="14194" priority="141" operator="equal">
      <formula>"PMS"</formula>
    </cfRule>
    <cfRule type="containsText" dxfId="14193" priority="142" operator="containsText" text="CMS">
      <formula>NOT(ISERROR(SEARCH("CMS",R27)))</formula>
    </cfRule>
    <cfRule type="cellIs" dxfId="14192" priority="143" operator="equal">
      <formula>0</formula>
    </cfRule>
    <cfRule type="cellIs" dxfId="14191" priority="144" operator="greaterThan">
      <formula>0</formula>
    </cfRule>
  </conditionalFormatting>
  <conditionalFormatting sqref="R27:R28">
    <cfRule type="cellIs" dxfId="14190" priority="133" operator="equal">
      <formula>"PMS"</formula>
    </cfRule>
    <cfRule type="containsText" dxfId="14189" priority="134" operator="containsText" text="CMS">
      <formula>NOT(ISERROR(SEARCH("CMS",R27)))</formula>
    </cfRule>
    <cfRule type="cellIs" dxfId="14188" priority="135" operator="equal">
      <formula>0</formula>
    </cfRule>
    <cfRule type="cellIs" dxfId="14187" priority="136" operator="greaterThan">
      <formula>0</formula>
    </cfRule>
  </conditionalFormatting>
  <conditionalFormatting sqref="M78">
    <cfRule type="cellIs" dxfId="14186" priority="77" operator="equal">
      <formula>"PMS"</formula>
    </cfRule>
    <cfRule type="containsText" dxfId="14185" priority="78" operator="containsText" text="CMS">
      <formula>NOT(ISERROR(SEARCH("CMS",M78)))</formula>
    </cfRule>
    <cfRule type="cellIs" dxfId="14184" priority="79" operator="equal">
      <formula>0</formula>
    </cfRule>
    <cfRule type="cellIs" dxfId="14183" priority="80" operator="greaterThan">
      <formula>0</formula>
    </cfRule>
    <cfRule type="cellIs" dxfId="14182" priority="81" operator="equal">
      <formula>"PMS"</formula>
    </cfRule>
    <cfRule type="containsText" dxfId="14181" priority="82" operator="containsText" text="CMS">
      <formula>NOT(ISERROR(SEARCH("CMS",M78)))</formula>
    </cfRule>
    <cfRule type="cellIs" dxfId="14180" priority="83" operator="equal">
      <formula>0</formula>
    </cfRule>
    <cfRule type="cellIs" dxfId="14179" priority="84" operator="greaterThan">
      <formula>0</formula>
    </cfRule>
  </conditionalFormatting>
  <conditionalFormatting sqref="M78">
    <cfRule type="cellIs" dxfId="14178" priority="73" operator="equal">
      <formula>"PMS"</formula>
    </cfRule>
    <cfRule type="containsText" dxfId="14177" priority="74" operator="containsText" text="CMS">
      <formula>NOT(ISERROR(SEARCH("CMS",M78)))</formula>
    </cfRule>
    <cfRule type="cellIs" dxfId="14176" priority="75" operator="equal">
      <formula>0</formula>
    </cfRule>
    <cfRule type="cellIs" dxfId="14175" priority="76" operator="greaterThan">
      <formula>0</formula>
    </cfRule>
  </conditionalFormatting>
  <conditionalFormatting sqref="W78">
    <cfRule type="cellIs" dxfId="14174" priority="65" operator="equal">
      <formula>"PMS"</formula>
    </cfRule>
    <cfRule type="containsText" dxfId="14173" priority="66" operator="containsText" text="CMS">
      <formula>NOT(ISERROR(SEARCH("CMS",W78)))</formula>
    </cfRule>
    <cfRule type="cellIs" dxfId="14172" priority="67" operator="equal">
      <formula>0</formula>
    </cfRule>
    <cfRule type="cellIs" dxfId="14171" priority="68" operator="greaterThan">
      <formula>0</formula>
    </cfRule>
    <cfRule type="cellIs" dxfId="14170" priority="69" operator="equal">
      <formula>"PMS"</formula>
    </cfRule>
    <cfRule type="containsText" dxfId="14169" priority="70" operator="containsText" text="CMS">
      <formula>NOT(ISERROR(SEARCH("CMS",W78)))</formula>
    </cfRule>
    <cfRule type="cellIs" dxfId="14168" priority="71" operator="equal">
      <formula>0</formula>
    </cfRule>
    <cfRule type="cellIs" dxfId="14167" priority="72" operator="greaterThan">
      <formula>0</formula>
    </cfRule>
  </conditionalFormatting>
  <conditionalFormatting sqref="W78">
    <cfRule type="cellIs" dxfId="14166" priority="61" operator="equal">
      <formula>"PMS"</formula>
    </cfRule>
    <cfRule type="containsText" dxfId="14165" priority="62" operator="containsText" text="CMS">
      <formula>NOT(ISERROR(SEARCH("CMS",W78)))</formula>
    </cfRule>
    <cfRule type="cellIs" dxfId="14164" priority="63" operator="equal">
      <formula>0</formula>
    </cfRule>
    <cfRule type="cellIs" dxfId="14163" priority="64" operator="greaterThan">
      <formula>0</formula>
    </cfRule>
  </conditionalFormatting>
  <conditionalFormatting sqref="F13:F16 F36:F59 F62:F64">
    <cfRule type="cellIs" dxfId="14162" priority="53" operator="equal">
      <formula>"PMS"</formula>
    </cfRule>
    <cfRule type="containsText" dxfId="14161" priority="54" operator="containsText" text="CMS">
      <formula>NOT(ISERROR(SEARCH("CMS",F13)))</formula>
    </cfRule>
    <cfRule type="cellIs" dxfId="14160" priority="55" operator="equal">
      <formula>0</formula>
    </cfRule>
    <cfRule type="cellIs" dxfId="14159" priority="56" operator="greaterThan">
      <formula>0</formula>
    </cfRule>
    <cfRule type="cellIs" dxfId="14158" priority="57" operator="equal">
      <formula>"PMS"</formula>
    </cfRule>
    <cfRule type="containsText" dxfId="14157" priority="58" operator="containsText" text="CMS">
      <formula>NOT(ISERROR(SEARCH("CMS",F13)))</formula>
    </cfRule>
    <cfRule type="cellIs" dxfId="14156" priority="59" operator="equal">
      <formula>0</formula>
    </cfRule>
    <cfRule type="cellIs" dxfId="14155" priority="60" operator="greaterThan">
      <formula>0</formula>
    </cfRule>
  </conditionalFormatting>
  <conditionalFormatting sqref="F13:F16 F36:F59 F62:F64">
    <cfRule type="cellIs" dxfId="14154" priority="49" operator="equal">
      <formula>"PMS"</formula>
    </cfRule>
    <cfRule type="containsText" dxfId="14153" priority="50" operator="containsText" text="CMS">
      <formula>NOT(ISERROR(SEARCH("CMS",F13)))</formula>
    </cfRule>
    <cfRule type="cellIs" dxfId="14152" priority="51" operator="equal">
      <formula>0</formula>
    </cfRule>
    <cfRule type="cellIs" dxfId="14151" priority="52" operator="greaterThan">
      <formula>0</formula>
    </cfRule>
  </conditionalFormatting>
  <conditionalFormatting sqref="F67:F75">
    <cfRule type="cellIs" dxfId="14150" priority="41" operator="equal">
      <formula>"PMS"</formula>
    </cfRule>
    <cfRule type="containsText" dxfId="14149" priority="42" operator="containsText" text="CMS">
      <formula>NOT(ISERROR(SEARCH("CMS",F67)))</formula>
    </cfRule>
    <cfRule type="cellIs" dxfId="14148" priority="43" operator="equal">
      <formula>0</formula>
    </cfRule>
    <cfRule type="cellIs" dxfId="14147" priority="44" operator="greaterThan">
      <formula>0</formula>
    </cfRule>
    <cfRule type="cellIs" dxfId="14146" priority="45" operator="equal">
      <formula>"PMS"</formula>
    </cfRule>
    <cfRule type="containsText" dxfId="14145" priority="46" operator="containsText" text="CMS">
      <formula>NOT(ISERROR(SEARCH("CMS",F67)))</formula>
    </cfRule>
    <cfRule type="cellIs" dxfId="14144" priority="47" operator="equal">
      <formula>0</formula>
    </cfRule>
    <cfRule type="cellIs" dxfId="14143" priority="48" operator="greaterThan">
      <formula>0</formula>
    </cfRule>
  </conditionalFormatting>
  <conditionalFormatting sqref="F67:F75">
    <cfRule type="cellIs" dxfId="14142" priority="37" operator="equal">
      <formula>"PMS"</formula>
    </cfRule>
    <cfRule type="containsText" dxfId="14141" priority="38" operator="containsText" text="CMS">
      <formula>NOT(ISERROR(SEARCH("CMS",F67)))</formula>
    </cfRule>
    <cfRule type="cellIs" dxfId="14140" priority="39" operator="equal">
      <formula>0</formula>
    </cfRule>
    <cfRule type="cellIs" dxfId="14139" priority="40" operator="greaterThan">
      <formula>0</formula>
    </cfRule>
  </conditionalFormatting>
  <conditionalFormatting sqref="F33 F28:F30 F24 F19:F21 F78:F79">
    <cfRule type="cellIs" dxfId="14138" priority="29" operator="equal">
      <formula>"PMS"</formula>
    </cfRule>
    <cfRule type="containsText" dxfId="14137" priority="30" operator="containsText" text="CMS">
      <formula>NOT(ISERROR(SEARCH("CMS",F19)))</formula>
    </cfRule>
    <cfRule type="cellIs" dxfId="14136" priority="31" operator="equal">
      <formula>0</formula>
    </cfRule>
    <cfRule type="cellIs" dxfId="14135" priority="32" operator="greaterThan">
      <formula>0</formula>
    </cfRule>
    <cfRule type="cellIs" dxfId="14134" priority="33" operator="equal">
      <formula>"PMS"</formula>
    </cfRule>
    <cfRule type="containsText" dxfId="14133" priority="34" operator="containsText" text="CMS">
      <formula>NOT(ISERROR(SEARCH("CMS",F19)))</formula>
    </cfRule>
    <cfRule type="cellIs" dxfId="14132" priority="35" operator="equal">
      <formula>0</formula>
    </cfRule>
    <cfRule type="cellIs" dxfId="14131" priority="36" operator="greaterThan">
      <formula>0</formula>
    </cfRule>
  </conditionalFormatting>
  <conditionalFormatting sqref="F33 F28:F30 F24 F19:F21 F78:F79">
    <cfRule type="cellIs" dxfId="14130" priority="25" operator="equal">
      <formula>"PMS"</formula>
    </cfRule>
    <cfRule type="containsText" dxfId="14129" priority="26" operator="containsText" text="CMS">
      <formula>NOT(ISERROR(SEARCH("CMS",F19)))</formula>
    </cfRule>
    <cfRule type="cellIs" dxfId="14128" priority="27" operator="equal">
      <formula>0</formula>
    </cfRule>
    <cfRule type="cellIs" dxfId="14127" priority="28" operator="greaterThan">
      <formula>0</formula>
    </cfRule>
  </conditionalFormatting>
  <conditionalFormatting sqref="F27">
    <cfRule type="cellIs" dxfId="14126" priority="17" operator="equal">
      <formula>"PMS"</formula>
    </cfRule>
    <cfRule type="containsText" dxfId="14125" priority="18" operator="containsText" text="CMS">
      <formula>NOT(ISERROR(SEARCH("CMS",F27)))</formula>
    </cfRule>
    <cfRule type="cellIs" dxfId="14124" priority="19" operator="equal">
      <formula>0</formula>
    </cfRule>
    <cfRule type="cellIs" dxfId="14123" priority="20" operator="greaterThan">
      <formula>0</formula>
    </cfRule>
    <cfRule type="cellIs" dxfId="14122" priority="21" operator="equal">
      <formula>"PMS"</formula>
    </cfRule>
    <cfRule type="containsText" dxfId="14121" priority="22" operator="containsText" text="CMS">
      <formula>NOT(ISERROR(SEARCH("CMS",F27)))</formula>
    </cfRule>
    <cfRule type="cellIs" dxfId="14120" priority="23" operator="equal">
      <formula>0</formula>
    </cfRule>
    <cfRule type="cellIs" dxfId="14119" priority="24" operator="greaterThan">
      <formula>0</formula>
    </cfRule>
  </conditionalFormatting>
  <conditionalFormatting sqref="F27">
    <cfRule type="cellIs" dxfId="14118" priority="13" operator="equal">
      <formula>"PMS"</formula>
    </cfRule>
    <cfRule type="containsText" dxfId="14117" priority="14" operator="containsText" text="CMS">
      <formula>NOT(ISERROR(SEARCH("CMS",F27)))</formula>
    </cfRule>
    <cfRule type="cellIs" dxfId="14116" priority="15" operator="equal">
      <formula>0</formula>
    </cfRule>
    <cfRule type="cellIs" dxfId="14115" priority="16" operator="greaterThan">
      <formula>0</formula>
    </cfRule>
  </conditionalFormatting>
  <conditionalFormatting sqref="AA79">
    <cfRule type="cellIs" dxfId="14114" priority="5" operator="equal">
      <formula>"PMS"</formula>
    </cfRule>
    <cfRule type="containsText" dxfId="14113" priority="6" operator="containsText" text="CMS">
      <formula>NOT(ISERROR(SEARCH("CMS",AA79)))</formula>
    </cfRule>
    <cfRule type="cellIs" dxfId="14112" priority="7" operator="equal">
      <formula>0</formula>
    </cfRule>
    <cfRule type="cellIs" dxfId="14111" priority="8" operator="greaterThan">
      <formula>0</formula>
    </cfRule>
    <cfRule type="cellIs" dxfId="14110" priority="9" operator="equal">
      <formula>"PMS"</formula>
    </cfRule>
    <cfRule type="containsText" dxfId="14109" priority="10" operator="containsText" text="CMS">
      <formula>NOT(ISERROR(SEARCH("CMS",AA79)))</formula>
    </cfRule>
    <cfRule type="cellIs" dxfId="14108" priority="11" operator="equal">
      <formula>0</formula>
    </cfRule>
    <cfRule type="cellIs" dxfId="14107" priority="12" operator="greaterThan">
      <formula>0</formula>
    </cfRule>
  </conditionalFormatting>
  <conditionalFormatting sqref="AA79">
    <cfRule type="cellIs" dxfId="14106" priority="1" operator="equal">
      <formula>"PMS"</formula>
    </cfRule>
    <cfRule type="containsText" dxfId="14105" priority="2" operator="containsText" text="CMS">
      <formula>NOT(ISERROR(SEARCH("CMS",AA79)))</formula>
    </cfRule>
    <cfRule type="cellIs" dxfId="14104" priority="3" operator="equal">
      <formula>0</formula>
    </cfRule>
    <cfRule type="cellIs" dxfId="1410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5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51669-4FEA-4D82-8B6D-86B06CA55A37}">
  <sheetPr codeName="Sheet232"/>
  <dimension ref="A2:DT141"/>
  <sheetViews>
    <sheetView zoomScale="70" zoomScaleNormal="70" workbookViewId="0">
      <pane xSplit="5" ySplit="11" topLeftCell="F12" activePane="bottomRight" state="frozen"/>
      <selection pane="bottomRight" activeCell="Z44" sqref="Z4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420.10000000000008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6.9</v>
      </c>
      <c r="H14" s="359">
        <v>6.6</v>
      </c>
      <c r="I14" s="357">
        <v>6.5</v>
      </c>
      <c r="J14" s="357">
        <v>6.6</v>
      </c>
      <c r="K14" s="359">
        <v>6.7</v>
      </c>
      <c r="L14" s="359">
        <v>6.4</v>
      </c>
      <c r="M14" s="357"/>
      <c r="N14" s="359">
        <v>2.2999999999999998</v>
      </c>
      <c r="O14" s="357">
        <v>6.8</v>
      </c>
      <c r="P14" s="357">
        <v>6.7</v>
      </c>
      <c r="Q14" s="357">
        <v>6.7</v>
      </c>
      <c r="R14" s="357">
        <v>6.6</v>
      </c>
      <c r="S14" s="462">
        <v>6.7</v>
      </c>
      <c r="T14" s="462">
        <v>6.5</v>
      </c>
      <c r="U14" s="357">
        <v>6.7</v>
      </c>
      <c r="V14" s="357">
        <v>6.5</v>
      </c>
      <c r="W14" s="357">
        <v>6.4</v>
      </c>
      <c r="X14" s="357">
        <v>6.7</v>
      </c>
      <c r="Y14" s="357">
        <v>6.8</v>
      </c>
      <c r="Z14" s="462">
        <v>6.7</v>
      </c>
      <c r="AA14" s="462">
        <v>6.6</v>
      </c>
      <c r="AB14" s="357">
        <v>6.5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6.5</v>
      </c>
      <c r="G15" s="357"/>
      <c r="H15" s="357"/>
      <c r="I15" s="357"/>
      <c r="J15" s="357"/>
      <c r="K15" s="359"/>
      <c r="L15" s="359">
        <v>1.5</v>
      </c>
      <c r="M15" s="359">
        <v>6.4</v>
      </c>
      <c r="N15" s="359">
        <v>6.7</v>
      </c>
      <c r="O15" s="357">
        <v>6.8</v>
      </c>
      <c r="P15" s="357">
        <v>6.8</v>
      </c>
      <c r="Q15" s="357">
        <v>6.7</v>
      </c>
      <c r="R15" s="357">
        <v>6.6</v>
      </c>
      <c r="S15" s="462">
        <v>6.7</v>
      </c>
      <c r="T15" s="462">
        <v>6.5</v>
      </c>
      <c r="U15" s="357">
        <v>6.7</v>
      </c>
      <c r="V15" s="462">
        <v>7.2</v>
      </c>
      <c r="W15" s="357">
        <v>6.4</v>
      </c>
      <c r="X15" s="357">
        <v>6.7</v>
      </c>
      <c r="Y15" s="357">
        <v>6.8</v>
      </c>
      <c r="Z15" s="462">
        <v>6.7</v>
      </c>
      <c r="AA15" s="462">
        <v>6.6</v>
      </c>
      <c r="AB15" s="462">
        <v>6.5</v>
      </c>
      <c r="AC15" s="462">
        <v>0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6.5</v>
      </c>
      <c r="I16" s="357">
        <v>6.6</v>
      </c>
      <c r="J16" s="357">
        <v>6.5</v>
      </c>
      <c r="K16" s="359">
        <v>6.6</v>
      </c>
      <c r="L16" s="359">
        <v>5.3</v>
      </c>
      <c r="M16" s="359">
        <v>6.3</v>
      </c>
      <c r="N16" s="359">
        <v>6.7</v>
      </c>
      <c r="O16" s="357">
        <v>6.8</v>
      </c>
      <c r="P16" s="357">
        <v>6.8</v>
      </c>
      <c r="Q16" s="357">
        <v>6.7</v>
      </c>
      <c r="R16" s="357">
        <v>6.6</v>
      </c>
      <c r="S16" s="462">
        <v>6.7</v>
      </c>
      <c r="T16" s="462">
        <v>6.5</v>
      </c>
      <c r="U16" s="357">
        <v>6.7</v>
      </c>
      <c r="V16" s="462">
        <v>6.5</v>
      </c>
      <c r="W16" s="357">
        <v>6.4</v>
      </c>
      <c r="X16" s="357">
        <v>6.7</v>
      </c>
      <c r="Y16" s="357">
        <v>6.8</v>
      </c>
      <c r="Z16" s="462">
        <v>6.7</v>
      </c>
      <c r="AA16" s="462">
        <v>6.6</v>
      </c>
      <c r="AB16" s="462">
        <v>6.5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19.600000000000001</v>
      </c>
      <c r="G17" s="19">
        <f t="shared" ref="G17:AC17" si="1">SUM(G13:G16)</f>
        <v>13.5</v>
      </c>
      <c r="H17" s="19">
        <f t="shared" si="1"/>
        <v>13.1</v>
      </c>
      <c r="I17" s="19">
        <f t="shared" si="1"/>
        <v>13.1</v>
      </c>
      <c r="J17" s="19">
        <f t="shared" si="1"/>
        <v>13.1</v>
      </c>
      <c r="K17" s="19">
        <f t="shared" si="1"/>
        <v>13.3</v>
      </c>
      <c r="L17" s="19">
        <f t="shared" si="1"/>
        <v>13.2</v>
      </c>
      <c r="M17" s="19">
        <f t="shared" si="1"/>
        <v>12.7</v>
      </c>
      <c r="N17" s="19">
        <f t="shared" si="1"/>
        <v>15.7</v>
      </c>
      <c r="O17" s="19">
        <f t="shared" si="1"/>
        <v>20.399999999999999</v>
      </c>
      <c r="P17" s="19">
        <f t="shared" si="1"/>
        <v>20.3</v>
      </c>
      <c r="Q17" s="19">
        <f t="shared" si="1"/>
        <v>20.100000000000001</v>
      </c>
      <c r="R17" s="19">
        <f t="shared" si="1"/>
        <v>19.799999999999997</v>
      </c>
      <c r="S17" s="463">
        <f t="shared" si="1"/>
        <v>20.100000000000001</v>
      </c>
      <c r="T17" s="463">
        <f t="shared" si="1"/>
        <v>19.5</v>
      </c>
      <c r="U17" s="19">
        <f t="shared" si="1"/>
        <v>20.100000000000001</v>
      </c>
      <c r="V17" s="19">
        <f t="shared" si="1"/>
        <v>20.2</v>
      </c>
      <c r="W17" s="19">
        <f t="shared" si="1"/>
        <v>19.200000000000003</v>
      </c>
      <c r="X17" s="19">
        <f t="shared" si="1"/>
        <v>20.100000000000001</v>
      </c>
      <c r="Y17" s="19">
        <f t="shared" si="1"/>
        <v>20.399999999999999</v>
      </c>
      <c r="Z17" s="463">
        <f t="shared" si="1"/>
        <v>20.100000000000001</v>
      </c>
      <c r="AA17" s="463">
        <f t="shared" si="1"/>
        <v>19.799999999999997</v>
      </c>
      <c r="AB17" s="463">
        <f>SUM(AB13:AB16)</f>
        <v>19.5</v>
      </c>
      <c r="AC17" s="19">
        <f t="shared" si="1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101.79999999999997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>
        <v>3.3</v>
      </c>
      <c r="M20" s="357">
        <v>3</v>
      </c>
      <c r="N20" s="357">
        <v>3.5</v>
      </c>
      <c r="O20" s="357">
        <v>3.4</v>
      </c>
      <c r="P20" s="357">
        <v>3.5</v>
      </c>
      <c r="Q20" s="357">
        <v>3.4</v>
      </c>
      <c r="R20" s="357">
        <v>3.4</v>
      </c>
      <c r="S20" s="357">
        <v>3.4</v>
      </c>
      <c r="T20" s="357">
        <v>3.4</v>
      </c>
      <c r="U20" s="357">
        <v>3.4</v>
      </c>
      <c r="V20" s="357">
        <v>3.4</v>
      </c>
      <c r="W20" s="357">
        <v>3</v>
      </c>
      <c r="X20" s="357">
        <v>3</v>
      </c>
      <c r="Y20" s="357">
        <v>3.3</v>
      </c>
      <c r="Z20" s="357">
        <v>3</v>
      </c>
      <c r="AA20" s="357">
        <v>3</v>
      </c>
      <c r="AB20" s="357">
        <v>3</v>
      </c>
      <c r="AC20" s="357">
        <v>3.4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18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>
        <v>3.8</v>
      </c>
      <c r="P21" s="357">
        <v>3.8</v>
      </c>
      <c r="Q21" s="357">
        <v>3.8</v>
      </c>
      <c r="R21" s="357">
        <v>3.8</v>
      </c>
      <c r="S21" s="462">
        <v>3.6</v>
      </c>
      <c r="T21" s="462">
        <v>3.8</v>
      </c>
      <c r="U21" s="357">
        <v>3.8</v>
      </c>
      <c r="V21" s="357">
        <v>3.8</v>
      </c>
      <c r="W21" s="357">
        <v>3</v>
      </c>
      <c r="X21" s="357">
        <v>3</v>
      </c>
      <c r="Y21" s="357">
        <v>3.8</v>
      </c>
      <c r="Z21" s="357">
        <v>3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3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3.3</v>
      </c>
      <c r="M22" s="19">
        <f t="shared" si="3"/>
        <v>3</v>
      </c>
      <c r="N22" s="19">
        <f t="shared" si="3"/>
        <v>3.5</v>
      </c>
      <c r="O22" s="19">
        <f t="shared" si="3"/>
        <v>7.1999999999999993</v>
      </c>
      <c r="P22" s="19">
        <f t="shared" si="3"/>
        <v>7.3</v>
      </c>
      <c r="Q22" s="19">
        <f t="shared" si="3"/>
        <v>7.1999999999999993</v>
      </c>
      <c r="R22" s="19">
        <f t="shared" si="3"/>
        <v>7.1999999999999993</v>
      </c>
      <c r="S22" s="463">
        <f>SUM(S19:S21)</f>
        <v>7</v>
      </c>
      <c r="T22" s="463">
        <f t="shared" ref="T22" si="4">SUM(T19:T21)</f>
        <v>7.1999999999999993</v>
      </c>
      <c r="U22" s="19">
        <f t="shared" si="3"/>
        <v>7.1999999999999993</v>
      </c>
      <c r="V22" s="19">
        <f t="shared" si="3"/>
        <v>7.1999999999999993</v>
      </c>
      <c r="W22" s="19">
        <f t="shared" si="3"/>
        <v>6</v>
      </c>
      <c r="X22" s="19">
        <f t="shared" si="3"/>
        <v>6</v>
      </c>
      <c r="Y22" s="19">
        <f t="shared" si="3"/>
        <v>7.1</v>
      </c>
      <c r="Z22" s="463">
        <f>SUM(Z19:Z21)</f>
        <v>6</v>
      </c>
      <c r="AA22" s="463">
        <f t="shared" si="3"/>
        <v>3</v>
      </c>
      <c r="AB22" s="463">
        <f>SUM(AB19:AB21)</f>
        <v>3</v>
      </c>
      <c r="AC22" s="19">
        <f t="shared" si="3"/>
        <v>3.4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41.6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</v>
      </c>
      <c r="X24" s="357">
        <v>3</v>
      </c>
      <c r="Y24" s="357">
        <v>3</v>
      </c>
      <c r="Z24" s="357">
        <v>3</v>
      </c>
      <c r="AA24" s="357">
        <v>3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</v>
      </c>
      <c r="Z25" s="463">
        <f t="shared" si="6"/>
        <v>3</v>
      </c>
      <c r="AA25" s="463">
        <f t="shared" si="6"/>
        <v>3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76.299999999999969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2</v>
      </c>
      <c r="N27" s="357">
        <v>3.8</v>
      </c>
      <c r="O27" s="357">
        <v>3.8</v>
      </c>
      <c r="P27" s="357">
        <v>4.0999999999999996</v>
      </c>
      <c r="Q27" s="357">
        <v>3.7</v>
      </c>
      <c r="R27" s="357">
        <v>3.7</v>
      </c>
      <c r="S27" s="462">
        <v>3.7</v>
      </c>
      <c r="T27" s="462">
        <v>3.8</v>
      </c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</v>
      </c>
      <c r="G28" s="357">
        <v>3.8</v>
      </c>
      <c r="H28" s="357">
        <v>2.8</v>
      </c>
      <c r="I28" s="357">
        <v>2</v>
      </c>
      <c r="J28" s="359">
        <v>1.5</v>
      </c>
      <c r="K28" s="357">
        <v>3.8</v>
      </c>
      <c r="L28" s="359">
        <v>3.8</v>
      </c>
      <c r="M28" s="357"/>
      <c r="N28" s="357"/>
      <c r="O28" s="357"/>
      <c r="P28" s="357"/>
      <c r="Q28" s="357"/>
      <c r="R28" s="357"/>
      <c r="S28" s="462"/>
      <c r="T28" s="359"/>
      <c r="U28" s="359">
        <v>3.8</v>
      </c>
      <c r="V28" s="359">
        <v>3.8</v>
      </c>
      <c r="W28" s="357">
        <v>1.5</v>
      </c>
      <c r="X28" s="357">
        <v>1.8</v>
      </c>
      <c r="Y28" s="357">
        <v>3.8</v>
      </c>
      <c r="Z28" s="357">
        <v>2.7</v>
      </c>
      <c r="AA28" s="357">
        <v>3.8</v>
      </c>
      <c r="AB28" s="357">
        <v>3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174.44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>
        <v>0.94</v>
      </c>
      <c r="U29" s="357">
        <v>3.4</v>
      </c>
      <c r="V29" s="357">
        <v>3</v>
      </c>
      <c r="W29" s="359">
        <v>2.8</v>
      </c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5</v>
      </c>
      <c r="G30" s="359">
        <v>7</v>
      </c>
      <c r="H30" s="357">
        <v>7</v>
      </c>
      <c r="I30" s="357">
        <v>7</v>
      </c>
      <c r="J30" s="357">
        <v>7</v>
      </c>
      <c r="K30" s="357">
        <v>7</v>
      </c>
      <c r="L30" s="357">
        <v>7</v>
      </c>
      <c r="M30" s="357">
        <v>7</v>
      </c>
      <c r="N30" s="357">
        <v>7</v>
      </c>
      <c r="O30" s="357">
        <v>7</v>
      </c>
      <c r="P30" s="357">
        <v>7.3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6</v>
      </c>
      <c r="Y30" s="359">
        <v>7</v>
      </c>
      <c r="Z30" s="357">
        <v>7</v>
      </c>
      <c r="AA30" s="357">
        <v>7</v>
      </c>
      <c r="AB30" s="359">
        <v>7</v>
      </c>
      <c r="AC30" s="359">
        <v>6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</v>
      </c>
      <c r="G31" s="19">
        <f>SUM(G27:G30)</f>
        <v>10.8</v>
      </c>
      <c r="H31" s="19">
        <v>6</v>
      </c>
      <c r="I31" s="19">
        <f t="shared" ref="I31:X31" si="8">SUM(I27:I30)</f>
        <v>9</v>
      </c>
      <c r="J31" s="19">
        <f t="shared" si="8"/>
        <v>8.5</v>
      </c>
      <c r="K31" s="19">
        <f t="shared" si="8"/>
        <v>10.8</v>
      </c>
      <c r="L31" s="19">
        <f t="shared" si="8"/>
        <v>10.8</v>
      </c>
      <c r="M31" s="19">
        <f t="shared" si="8"/>
        <v>9</v>
      </c>
      <c r="N31" s="19">
        <f t="shared" si="8"/>
        <v>10.8</v>
      </c>
      <c r="O31" s="19">
        <f t="shared" si="8"/>
        <v>10.8</v>
      </c>
      <c r="P31" s="19">
        <f t="shared" si="8"/>
        <v>11.399999999999999</v>
      </c>
      <c r="Q31" s="19">
        <f t="shared" si="8"/>
        <v>10.7</v>
      </c>
      <c r="R31" s="19">
        <f t="shared" si="8"/>
        <v>10.7</v>
      </c>
      <c r="S31" s="463">
        <f t="shared" si="8"/>
        <v>10.7</v>
      </c>
      <c r="T31" s="463">
        <f t="shared" si="8"/>
        <v>11.74</v>
      </c>
      <c r="U31" s="19">
        <f t="shared" si="8"/>
        <v>14.2</v>
      </c>
      <c r="V31" s="19">
        <f t="shared" si="8"/>
        <v>13.8</v>
      </c>
      <c r="W31" s="19">
        <f t="shared" si="8"/>
        <v>11.3</v>
      </c>
      <c r="X31" s="19">
        <f t="shared" si="8"/>
        <v>7.8</v>
      </c>
      <c r="Y31" s="19">
        <f>SUM(Y27:Y30)</f>
        <v>10.8</v>
      </c>
      <c r="Z31" s="19">
        <f t="shared" ref="Z31:AC31" si="9">SUM(Z27:Z30)</f>
        <v>9.6999999999999993</v>
      </c>
      <c r="AA31" s="19">
        <f t="shared" si="9"/>
        <v>10.8</v>
      </c>
      <c r="AB31" s="19">
        <f t="shared" si="9"/>
        <v>10</v>
      </c>
      <c r="AC31" s="19">
        <f t="shared" si="9"/>
        <v>9.8000000000000007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341.87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14.31</v>
      </c>
      <c r="H33" s="357">
        <v>14.28</v>
      </c>
      <c r="I33" s="359">
        <v>14.31</v>
      </c>
      <c r="J33" s="357">
        <v>14.29</v>
      </c>
      <c r="K33" s="357">
        <v>14.29</v>
      </c>
      <c r="L33" s="359">
        <v>14.31</v>
      </c>
      <c r="M33" s="357">
        <v>14.27</v>
      </c>
      <c r="N33" s="357">
        <v>14.26</v>
      </c>
      <c r="O33" s="357">
        <v>14.25</v>
      </c>
      <c r="P33" s="357">
        <v>14.13</v>
      </c>
      <c r="Q33" s="359">
        <v>14.1</v>
      </c>
      <c r="R33" s="357">
        <v>14.14</v>
      </c>
      <c r="S33" s="462">
        <v>14.29</v>
      </c>
      <c r="T33" s="462">
        <v>14.16</v>
      </c>
      <c r="U33" s="357">
        <v>14.16</v>
      </c>
      <c r="V33" s="359">
        <v>14.27</v>
      </c>
      <c r="W33" s="357">
        <v>14.19</v>
      </c>
      <c r="X33" s="357">
        <v>14.21</v>
      </c>
      <c r="Y33" s="357">
        <v>14.29</v>
      </c>
      <c r="Z33" s="357">
        <v>14.17</v>
      </c>
      <c r="AA33" s="357">
        <v>14.27</v>
      </c>
      <c r="AB33" s="357">
        <v>14.29</v>
      </c>
      <c r="AC33" s="357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14.32</v>
      </c>
      <c r="G34" s="19">
        <f t="shared" ref="G34:AC34" si="11">SUM(G33)</f>
        <v>14.31</v>
      </c>
      <c r="H34" s="19">
        <f t="shared" si="11"/>
        <v>14.28</v>
      </c>
      <c r="I34" s="19">
        <f t="shared" si="11"/>
        <v>14.31</v>
      </c>
      <c r="J34" s="19">
        <f t="shared" si="11"/>
        <v>14.29</v>
      </c>
      <c r="K34" s="19">
        <f t="shared" si="11"/>
        <v>14.29</v>
      </c>
      <c r="L34" s="19">
        <f t="shared" si="11"/>
        <v>14.31</v>
      </c>
      <c r="M34" s="19">
        <f t="shared" si="11"/>
        <v>14.27</v>
      </c>
      <c r="N34" s="19">
        <f t="shared" si="11"/>
        <v>14.26</v>
      </c>
      <c r="O34" s="19">
        <f t="shared" si="11"/>
        <v>14.25</v>
      </c>
      <c r="P34" s="19">
        <f t="shared" si="11"/>
        <v>14.13</v>
      </c>
      <c r="Q34" s="19">
        <f t="shared" si="11"/>
        <v>14.1</v>
      </c>
      <c r="R34" s="19">
        <f t="shared" si="11"/>
        <v>14.14</v>
      </c>
      <c r="S34" s="19">
        <f t="shared" si="11"/>
        <v>14.29</v>
      </c>
      <c r="T34" s="463">
        <f t="shared" si="11"/>
        <v>14.16</v>
      </c>
      <c r="U34" s="19">
        <f t="shared" si="11"/>
        <v>14.16</v>
      </c>
      <c r="V34" s="19">
        <f t="shared" si="11"/>
        <v>14.27</v>
      </c>
      <c r="W34" s="19">
        <f t="shared" si="11"/>
        <v>14.19</v>
      </c>
      <c r="X34" s="19">
        <f t="shared" si="11"/>
        <v>14.21</v>
      </c>
      <c r="Y34" s="19">
        <f t="shared" si="11"/>
        <v>14.29</v>
      </c>
      <c r="Z34" s="19">
        <f t="shared" si="11"/>
        <v>14.17</v>
      </c>
      <c r="AA34" s="19">
        <f t="shared" si="11"/>
        <v>14.27</v>
      </c>
      <c r="AB34" s="19">
        <f t="shared" si="11"/>
        <v>14.29</v>
      </c>
      <c r="AC34" s="19">
        <f t="shared" si="11"/>
        <v>14.31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17.700000000000003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>
        <v>0.8</v>
      </c>
      <c r="U40" s="357"/>
      <c r="V40" s="357"/>
      <c r="W40" s="357"/>
      <c r="X40" s="357"/>
      <c r="Y40" s="357"/>
      <c r="Z40" s="357"/>
      <c r="AA40" s="357"/>
      <c r="AB40" s="357"/>
      <c r="AC40" s="357">
        <f>3.8/5</f>
        <v>0.76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0.8</v>
      </c>
      <c r="M47" s="357"/>
      <c r="N47" s="357"/>
      <c r="O47" s="357"/>
      <c r="P47" s="359"/>
      <c r="Q47" s="357">
        <v>0.75</v>
      </c>
      <c r="R47" s="357"/>
      <c r="S47" s="462">
        <v>0.8</v>
      </c>
      <c r="T47" s="462">
        <v>0.8</v>
      </c>
      <c r="U47" s="462"/>
      <c r="V47" s="462"/>
      <c r="W47" s="357"/>
      <c r="X47" s="357"/>
      <c r="Y47" s="357"/>
      <c r="Z47" s="357"/>
      <c r="AA47" s="357"/>
      <c r="AB47" s="357"/>
      <c r="AC47" s="357">
        <f t="shared" ref="AC47:AC48" si="15">3.8/5</f>
        <v>0.76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</v>
      </c>
      <c r="M48" s="357">
        <v>0</v>
      </c>
      <c r="N48" s="359"/>
      <c r="O48" s="357"/>
      <c r="P48" s="359">
        <v>0.75</v>
      </c>
      <c r="Q48" s="357"/>
      <c r="R48" s="357">
        <v>0.75</v>
      </c>
      <c r="S48" s="462"/>
      <c r="T48" s="462">
        <v>0.8</v>
      </c>
      <c r="U48" s="462">
        <v>0.8</v>
      </c>
      <c r="V48" s="462">
        <v>0.8</v>
      </c>
      <c r="W48" s="357"/>
      <c r="X48" s="357"/>
      <c r="Y48" s="357"/>
      <c r="Z48" s="357"/>
      <c r="AA48" s="357"/>
      <c r="AB48" s="357"/>
      <c r="AC48" s="357">
        <f t="shared" si="15"/>
        <v>0.76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8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 t="s">
        <v>9</v>
      </c>
      <c r="G50" s="357" t="s">
        <v>9</v>
      </c>
      <c r="H50" s="357" t="s">
        <v>9</v>
      </c>
      <c r="I50" s="357" t="s">
        <v>9</v>
      </c>
      <c r="J50" s="357" t="s">
        <v>9</v>
      </c>
      <c r="K50" s="357" t="s">
        <v>9</v>
      </c>
      <c r="L50" s="359" t="s">
        <v>9</v>
      </c>
      <c r="M50" s="359" t="s">
        <v>9</v>
      </c>
      <c r="N50" s="359" t="s">
        <v>9</v>
      </c>
      <c r="O50" s="359" t="s">
        <v>9</v>
      </c>
      <c r="P50" s="359" t="s">
        <v>9</v>
      </c>
      <c r="Q50" s="357" t="s">
        <v>9</v>
      </c>
      <c r="R50" s="357" t="s">
        <v>9</v>
      </c>
      <c r="S50" s="462" t="s">
        <v>9</v>
      </c>
      <c r="T50" s="357" t="s">
        <v>9</v>
      </c>
      <c r="U50" s="462" t="s">
        <v>9</v>
      </c>
      <c r="V50" s="462" t="s">
        <v>9</v>
      </c>
      <c r="W50" s="357" t="s">
        <v>9</v>
      </c>
      <c r="X50" s="357" t="s">
        <v>9</v>
      </c>
      <c r="Y50" s="357" t="s">
        <v>9</v>
      </c>
      <c r="Z50" s="357" t="s">
        <v>9</v>
      </c>
      <c r="AA50" s="357" t="s">
        <v>9</v>
      </c>
      <c r="AB50" s="357" t="s">
        <v>9</v>
      </c>
      <c r="AC50" s="357" t="s">
        <v>9</v>
      </c>
      <c r="AD50" s="41"/>
      <c r="AE50" s="41"/>
      <c r="AF50" s="11">
        <f t="shared" si="12"/>
        <v>24</v>
      </c>
      <c r="AG50" s="11">
        <f t="shared" si="13"/>
        <v>0</v>
      </c>
      <c r="AH50" s="11">
        <f t="shared" si="14"/>
        <v>0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</v>
      </c>
      <c r="M51" s="359">
        <v>0</v>
      </c>
      <c r="N51" s="357">
        <v>0</v>
      </c>
      <c r="O51" s="357">
        <v>0.8</v>
      </c>
      <c r="P51" s="359"/>
      <c r="Q51" s="357"/>
      <c r="R51" s="357">
        <v>0.75</v>
      </c>
      <c r="S51" s="462">
        <v>0.8</v>
      </c>
      <c r="T51" s="357">
        <v>0.8</v>
      </c>
      <c r="U51" s="462"/>
      <c r="V51" s="462"/>
      <c r="W51" s="357"/>
      <c r="X51" s="357"/>
      <c r="Y51" s="357"/>
      <c r="Z51" s="357"/>
      <c r="AA51" s="357"/>
      <c r="AB51" s="357"/>
      <c r="AC51" s="357">
        <f>3.8/5</f>
        <v>0.76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8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9">
        <v>0.75</v>
      </c>
      <c r="Q56" s="357">
        <v>0.75</v>
      </c>
      <c r="R56" s="357"/>
      <c r="S56" s="462">
        <v>0.7</v>
      </c>
      <c r="T56" s="462">
        <v>0.7</v>
      </c>
      <c r="U56" s="462"/>
      <c r="V56" s="462"/>
      <c r="W56" s="357"/>
      <c r="X56" s="357"/>
      <c r="Y56" s="357"/>
      <c r="Z56" s="357"/>
      <c r="AA56" s="357"/>
      <c r="AB56" s="357"/>
      <c r="AC56" s="357">
        <f>3.8/5</f>
        <v>0.76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5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0.8</v>
      </c>
      <c r="M60" s="19">
        <f t="shared" si="16"/>
        <v>0</v>
      </c>
      <c r="N60" s="19">
        <f t="shared" si="16"/>
        <v>0</v>
      </c>
      <c r="O60" s="19">
        <f t="shared" si="16"/>
        <v>0.8</v>
      </c>
      <c r="P60" s="19">
        <f t="shared" si="16"/>
        <v>1.5</v>
      </c>
      <c r="Q60" s="19">
        <f t="shared" si="16"/>
        <v>1.5</v>
      </c>
      <c r="R60" s="19">
        <f t="shared" si="16"/>
        <v>1.5</v>
      </c>
      <c r="S60" s="19">
        <f t="shared" si="16"/>
        <v>2.2999999999999998</v>
      </c>
      <c r="T60" s="19">
        <f t="shared" si="16"/>
        <v>3.9000000000000004</v>
      </c>
      <c r="U60" s="19">
        <f t="shared" si="16"/>
        <v>0.8</v>
      </c>
      <c r="V60" s="19">
        <f t="shared" si="16"/>
        <v>0.8</v>
      </c>
      <c r="W60" s="19">
        <f t="shared" si="16"/>
        <v>0</v>
      </c>
      <c r="X60" s="19">
        <f t="shared" si="16"/>
        <v>0</v>
      </c>
      <c r="Y60" s="19">
        <f t="shared" si="16"/>
        <v>0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3.8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29.369999999999987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/>
      <c r="H62" s="357">
        <f>0.87/2</f>
        <v>0.435</v>
      </c>
      <c r="I62" s="359">
        <f>0.86/2</f>
        <v>0.43</v>
      </c>
      <c r="J62" s="357">
        <f>0.85/2</f>
        <v>0.42499999999999999</v>
      </c>
      <c r="K62" s="357">
        <f>0.86/2</f>
        <v>0.43</v>
      </c>
      <c r="L62" s="357">
        <f>1.17/2</f>
        <v>0.58499999999999996</v>
      </c>
      <c r="M62" s="357">
        <v>0.56000000000000005</v>
      </c>
      <c r="N62" s="357">
        <v>0.54</v>
      </c>
      <c r="O62" s="357">
        <v>0.6</v>
      </c>
      <c r="P62" s="357">
        <v>0.71499999999999997</v>
      </c>
      <c r="Q62" s="357">
        <v>0.73</v>
      </c>
      <c r="R62" s="357">
        <v>0.745</v>
      </c>
      <c r="S62" s="462"/>
      <c r="T62" s="357"/>
      <c r="U62" s="357"/>
      <c r="V62" s="462"/>
      <c r="W62" s="357"/>
      <c r="X62" s="357"/>
      <c r="Y62" s="357">
        <v>0.73</v>
      </c>
      <c r="Z62" s="357">
        <v>0.51666666666666672</v>
      </c>
      <c r="AA62" s="357">
        <v>0.71</v>
      </c>
      <c r="AB62" s="357">
        <f>1.23/2</f>
        <v>0.61499999999999999</v>
      </c>
      <c r="AC62" s="357">
        <f>1.12/2</f>
        <v>0.56000000000000005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f>0.94/2</f>
        <v>0.47</v>
      </c>
      <c r="G63" s="357">
        <f>0.9/2</f>
        <v>0.45</v>
      </c>
      <c r="H63" s="357"/>
      <c r="I63" s="359"/>
      <c r="J63" s="357"/>
      <c r="K63" s="357"/>
      <c r="L63" s="357"/>
      <c r="M63" s="357">
        <v>0.56000000000000005</v>
      </c>
      <c r="N63" s="357">
        <v>0.54</v>
      </c>
      <c r="O63" s="357">
        <v>0.6</v>
      </c>
      <c r="P63" s="357">
        <v>0.71499999999999997</v>
      </c>
      <c r="Q63" s="357">
        <v>0.73</v>
      </c>
      <c r="R63" s="357">
        <v>0.745</v>
      </c>
      <c r="S63" s="462">
        <v>0.67</v>
      </c>
      <c r="T63" s="357">
        <f>1.4/2</f>
        <v>0.7</v>
      </c>
      <c r="U63" s="357">
        <f>1.48/2</f>
        <v>0.74</v>
      </c>
      <c r="V63" s="462">
        <f>1.47/2</f>
        <v>0.73499999999999999</v>
      </c>
      <c r="W63" s="357">
        <f>1.41/2</f>
        <v>0.70499999999999996</v>
      </c>
      <c r="X63" s="357">
        <v>0.63</v>
      </c>
      <c r="Y63" s="357"/>
      <c r="Z63" s="357">
        <v>0.51666666666666672</v>
      </c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0.94/2</f>
        <v>0.47</v>
      </c>
      <c r="G64" s="357">
        <f>0.9/2</f>
        <v>0.45</v>
      </c>
      <c r="H64" s="357">
        <f>0.87/2</f>
        <v>0.435</v>
      </c>
      <c r="I64" s="359">
        <f>0.86/2</f>
        <v>0.43</v>
      </c>
      <c r="J64" s="357">
        <f>0.85/2</f>
        <v>0.42499999999999999</v>
      </c>
      <c r="K64" s="357">
        <f>0.86/2</f>
        <v>0.43</v>
      </c>
      <c r="L64" s="357">
        <f>1.17/2</f>
        <v>0.58499999999999996</v>
      </c>
      <c r="M64" s="357"/>
      <c r="N64" s="357"/>
      <c r="O64" s="357"/>
      <c r="P64" s="357"/>
      <c r="Q64" s="357"/>
      <c r="R64" s="357"/>
      <c r="S64" s="462">
        <v>0.67</v>
      </c>
      <c r="T64" s="357">
        <f>1.4/2</f>
        <v>0.7</v>
      </c>
      <c r="U64" s="357">
        <f>1.48/2</f>
        <v>0.74</v>
      </c>
      <c r="V64" s="462">
        <f>1.47/2</f>
        <v>0.73499999999999999</v>
      </c>
      <c r="W64" s="357">
        <f>1.41/2</f>
        <v>0.70499999999999996</v>
      </c>
      <c r="X64" s="357">
        <v>0.63</v>
      </c>
      <c r="Y64" s="357">
        <v>0.73</v>
      </c>
      <c r="Z64" s="357">
        <v>0.51666666666666672</v>
      </c>
      <c r="AA64" s="357">
        <v>0.71</v>
      </c>
      <c r="AB64" s="357">
        <f>1.23/2</f>
        <v>0.61499999999999999</v>
      </c>
      <c r="AC64" s="357">
        <f>1.12/2</f>
        <v>0.56000000000000005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0.94</v>
      </c>
      <c r="G65" s="19">
        <f t="shared" ref="G65:AB65" si="17">SUM(G62:G64)</f>
        <v>0.9</v>
      </c>
      <c r="H65" s="19">
        <f t="shared" si="17"/>
        <v>0.87</v>
      </c>
      <c r="I65" s="19">
        <f t="shared" si="17"/>
        <v>0.86</v>
      </c>
      <c r="J65" s="19">
        <f t="shared" si="17"/>
        <v>0.85</v>
      </c>
      <c r="K65" s="19">
        <f t="shared" si="17"/>
        <v>0.86</v>
      </c>
      <c r="L65" s="19">
        <f t="shared" si="17"/>
        <v>1.17</v>
      </c>
      <c r="M65" s="19">
        <f t="shared" si="17"/>
        <v>1.1200000000000001</v>
      </c>
      <c r="N65" s="19">
        <f t="shared" si="17"/>
        <v>1.08</v>
      </c>
      <c r="O65" s="19">
        <f t="shared" si="17"/>
        <v>1.2</v>
      </c>
      <c r="P65" s="19">
        <f t="shared" si="17"/>
        <v>1.43</v>
      </c>
      <c r="Q65" s="19">
        <f t="shared" si="17"/>
        <v>1.46</v>
      </c>
      <c r="R65" s="19">
        <f t="shared" si="17"/>
        <v>1.49</v>
      </c>
      <c r="S65" s="463">
        <f t="shared" si="17"/>
        <v>1.34</v>
      </c>
      <c r="T65" s="463">
        <f t="shared" si="17"/>
        <v>1.4</v>
      </c>
      <c r="U65" s="463">
        <f t="shared" si="17"/>
        <v>1.48</v>
      </c>
      <c r="V65" s="19">
        <f>SUM(V62:V64)</f>
        <v>1.47</v>
      </c>
      <c r="W65" s="19">
        <f t="shared" si="17"/>
        <v>1.41</v>
      </c>
      <c r="X65" s="19">
        <f t="shared" si="17"/>
        <v>1.26</v>
      </c>
      <c r="Y65" s="19">
        <f>SUM(Y62:Y64)</f>
        <v>1.46</v>
      </c>
      <c r="Z65" s="19">
        <f>SUM(Z62:Z64)</f>
        <v>1.5500000000000003</v>
      </c>
      <c r="AA65" s="19">
        <f t="shared" si="17"/>
        <v>1.42</v>
      </c>
      <c r="AB65" s="19">
        <f t="shared" si="17"/>
        <v>1.23</v>
      </c>
      <c r="AC65" s="19">
        <f>SUM(AC62:AC64)</f>
        <v>1.1200000000000001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63">
        <f t="shared" si="22"/>
        <v>0</v>
      </c>
      <c r="T76" s="463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16.100000000000001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0.75</v>
      </c>
      <c r="N78" s="357">
        <v>0.73</v>
      </c>
      <c r="O78" s="357">
        <v>0.8</v>
      </c>
      <c r="P78" s="357">
        <v>0.82</v>
      </c>
      <c r="Q78" s="357">
        <v>0.83</v>
      </c>
      <c r="R78" s="357"/>
      <c r="S78" s="357">
        <v>0.83</v>
      </c>
      <c r="T78" s="357"/>
      <c r="U78" s="357"/>
      <c r="V78" s="357">
        <v>0.81</v>
      </c>
      <c r="W78" s="357">
        <v>0.91</v>
      </c>
      <c r="X78" s="357"/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0.77</v>
      </c>
      <c r="G79" s="357">
        <v>0.73</v>
      </c>
      <c r="H79" s="357">
        <v>0.72</v>
      </c>
      <c r="I79" s="357">
        <v>0.7</v>
      </c>
      <c r="J79" s="357">
        <v>0.68</v>
      </c>
      <c r="K79" s="357">
        <v>0.73</v>
      </c>
      <c r="L79" s="359">
        <v>0.81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0.73</v>
      </c>
      <c r="Z79" s="357">
        <v>0.88</v>
      </c>
      <c r="AA79" s="357">
        <v>1</v>
      </c>
      <c r="AB79" s="357">
        <v>0.95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3">SUM(F78:F79)</f>
        <v>0.77</v>
      </c>
      <c r="G80" s="19">
        <f t="shared" si="23"/>
        <v>0.73</v>
      </c>
      <c r="H80" s="19">
        <f>SUM(H78:H79)</f>
        <v>0.72</v>
      </c>
      <c r="I80" s="19">
        <f>SUM(I78:I79)</f>
        <v>0.7</v>
      </c>
      <c r="J80" s="19">
        <f t="shared" ref="J80:AC80" si="24">SUM(J78:J79)</f>
        <v>0.68</v>
      </c>
      <c r="K80" s="19">
        <f t="shared" si="24"/>
        <v>0.73</v>
      </c>
      <c r="L80" s="19">
        <f>SUM(L78:L79)</f>
        <v>0.81</v>
      </c>
      <c r="M80" s="19">
        <f t="shared" si="24"/>
        <v>0.75</v>
      </c>
      <c r="N80" s="19">
        <f t="shared" si="24"/>
        <v>0.73</v>
      </c>
      <c r="O80" s="19">
        <f>SUM(O78:O79)</f>
        <v>0.8</v>
      </c>
      <c r="P80" s="19">
        <f>SUM(P78:P79)</f>
        <v>0.82</v>
      </c>
      <c r="Q80" s="19">
        <f t="shared" si="24"/>
        <v>0.83</v>
      </c>
      <c r="R80" s="19">
        <f t="shared" si="24"/>
        <v>0</v>
      </c>
      <c r="S80" s="463">
        <f t="shared" si="24"/>
        <v>0.83</v>
      </c>
      <c r="T80" s="463">
        <f t="shared" si="24"/>
        <v>0</v>
      </c>
      <c r="U80" s="19">
        <f t="shared" si="24"/>
        <v>0</v>
      </c>
      <c r="V80" s="19">
        <f t="shared" si="24"/>
        <v>0.81</v>
      </c>
      <c r="W80" s="19">
        <f t="shared" si="24"/>
        <v>0.91</v>
      </c>
      <c r="X80" s="19">
        <f t="shared" si="24"/>
        <v>0</v>
      </c>
      <c r="Y80" s="19">
        <f t="shared" si="24"/>
        <v>0.73</v>
      </c>
      <c r="Z80" s="19">
        <f t="shared" si="24"/>
        <v>0.88</v>
      </c>
      <c r="AA80" s="19">
        <f t="shared" si="24"/>
        <v>1</v>
      </c>
      <c r="AB80" s="19">
        <f t="shared" si="24"/>
        <v>0.95</v>
      </c>
      <c r="AC80" s="19">
        <f t="shared" si="24"/>
        <v>0.92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5">SUM(F17,F22,F25,F31,F34,F60,F65,F76,F80,F82)</f>
        <v>42.63</v>
      </c>
      <c r="G83" s="28">
        <f t="shared" si="25"/>
        <v>40.239999999999995</v>
      </c>
      <c r="H83" s="28">
        <f t="shared" si="25"/>
        <v>34.97</v>
      </c>
      <c r="I83" s="28">
        <f t="shared" si="25"/>
        <v>37.970000000000006</v>
      </c>
      <c r="J83" s="28">
        <f t="shared" si="25"/>
        <v>37.42</v>
      </c>
      <c r="K83" s="28">
        <f t="shared" si="25"/>
        <v>39.979999999999997</v>
      </c>
      <c r="L83" s="28">
        <f t="shared" si="25"/>
        <v>44.39</v>
      </c>
      <c r="M83" s="28">
        <f t="shared" si="25"/>
        <v>40.839999999999996</v>
      </c>
      <c r="N83" s="28">
        <f t="shared" si="25"/>
        <v>46.069999999999993</v>
      </c>
      <c r="O83" s="28">
        <f t="shared" si="25"/>
        <v>55.449999999999996</v>
      </c>
      <c r="P83" s="28">
        <f t="shared" si="25"/>
        <v>60.68</v>
      </c>
      <c r="Q83" s="28">
        <f t="shared" si="25"/>
        <v>59.69</v>
      </c>
      <c r="R83" s="28">
        <f t="shared" si="25"/>
        <v>58.63</v>
      </c>
      <c r="S83" s="518">
        <f t="shared" si="25"/>
        <v>60.36</v>
      </c>
      <c r="T83" s="518">
        <f t="shared" si="25"/>
        <v>61.7</v>
      </c>
      <c r="U83" s="518">
        <f t="shared" si="25"/>
        <v>61.739999999999988</v>
      </c>
      <c r="V83" s="28">
        <f t="shared" si="25"/>
        <v>62.349999999999994</v>
      </c>
      <c r="W83" s="28">
        <f t="shared" si="25"/>
        <v>56.009999999999991</v>
      </c>
      <c r="X83" s="28">
        <f t="shared" si="25"/>
        <v>52.37</v>
      </c>
      <c r="Y83" s="28">
        <f t="shared" si="25"/>
        <v>57.779999999999994</v>
      </c>
      <c r="Z83" s="28">
        <f t="shared" si="25"/>
        <v>55.4</v>
      </c>
      <c r="AA83" s="28">
        <f t="shared" si="25"/>
        <v>53.289999999999992</v>
      </c>
      <c r="AB83" s="28">
        <f t="shared" si="25"/>
        <v>48.97</v>
      </c>
      <c r="AC83" s="28">
        <f t="shared" si="25"/>
        <v>46.55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5.4099999999999966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6">SUM(F22,F25)</f>
        <v>0</v>
      </c>
      <c r="G89" s="64">
        <f t="shared" si="26"/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3.3</v>
      </c>
      <c r="M89" s="64">
        <f t="shared" si="26"/>
        <v>3</v>
      </c>
      <c r="N89" s="64">
        <f t="shared" si="26"/>
        <v>3.5</v>
      </c>
      <c r="O89" s="64">
        <f t="shared" si="26"/>
        <v>7.1999999999999993</v>
      </c>
      <c r="P89" s="64">
        <f t="shared" si="26"/>
        <v>11.1</v>
      </c>
      <c r="Q89" s="64">
        <f t="shared" si="26"/>
        <v>11</v>
      </c>
      <c r="R89" s="64">
        <f t="shared" si="26"/>
        <v>11</v>
      </c>
      <c r="S89" s="64">
        <f t="shared" si="26"/>
        <v>10.8</v>
      </c>
      <c r="T89" s="64">
        <f t="shared" si="26"/>
        <v>11</v>
      </c>
      <c r="U89" s="64">
        <f t="shared" si="26"/>
        <v>11</v>
      </c>
      <c r="V89" s="64">
        <f t="shared" si="26"/>
        <v>11</v>
      </c>
      <c r="W89" s="64">
        <f t="shared" si="26"/>
        <v>9</v>
      </c>
      <c r="X89" s="64">
        <f t="shared" si="26"/>
        <v>9</v>
      </c>
      <c r="Y89" s="64">
        <f t="shared" si="26"/>
        <v>10.1</v>
      </c>
      <c r="Z89" s="64">
        <f t="shared" si="26"/>
        <v>9</v>
      </c>
      <c r="AA89" s="64">
        <f t="shared" si="26"/>
        <v>6</v>
      </c>
      <c r="AB89" s="64">
        <f t="shared" si="26"/>
        <v>3</v>
      </c>
      <c r="AC89" s="64">
        <f t="shared" si="26"/>
        <v>3.4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0.28299999999999997</v>
      </c>
      <c r="Q90" s="68">
        <v>0.20899999999999999</v>
      </c>
      <c r="R90" s="68">
        <v>0.20899999999999999</v>
      </c>
      <c r="S90" s="68">
        <v>0.224</v>
      </c>
      <c r="T90" s="68">
        <v>0.155</v>
      </c>
      <c r="U90" s="68">
        <v>0.22800000000000001</v>
      </c>
      <c r="V90" s="68">
        <v>0.223</v>
      </c>
      <c r="W90" s="68">
        <v>0.192</v>
      </c>
      <c r="X90" s="68">
        <v>0.17</v>
      </c>
      <c r="Y90" s="68">
        <v>0.221</v>
      </c>
      <c r="Z90" s="68">
        <v>0.248</v>
      </c>
      <c r="AA90" s="68">
        <v>0.251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7">F17</f>
        <v>19.600000000000001</v>
      </c>
      <c r="G91" s="64">
        <f t="shared" si="27"/>
        <v>13.5</v>
      </c>
      <c r="H91" s="64">
        <f t="shared" si="27"/>
        <v>13.1</v>
      </c>
      <c r="I91" s="64">
        <f t="shared" si="27"/>
        <v>13.1</v>
      </c>
      <c r="J91" s="64">
        <f t="shared" si="27"/>
        <v>13.1</v>
      </c>
      <c r="K91" s="64">
        <f t="shared" si="27"/>
        <v>13.3</v>
      </c>
      <c r="L91" s="64">
        <f t="shared" si="27"/>
        <v>13.2</v>
      </c>
      <c r="M91" s="64">
        <f t="shared" si="27"/>
        <v>12.7</v>
      </c>
      <c r="N91" s="64">
        <f t="shared" si="27"/>
        <v>15.7</v>
      </c>
      <c r="O91" s="64">
        <f t="shared" si="27"/>
        <v>20.399999999999999</v>
      </c>
      <c r="P91" s="64">
        <f t="shared" si="27"/>
        <v>20.3</v>
      </c>
      <c r="Q91" s="64">
        <f t="shared" si="27"/>
        <v>20.100000000000001</v>
      </c>
      <c r="R91" s="64">
        <f t="shared" si="27"/>
        <v>19.799999999999997</v>
      </c>
      <c r="S91" s="64">
        <f t="shared" si="27"/>
        <v>20.100000000000001</v>
      </c>
      <c r="T91" s="64">
        <f t="shared" si="27"/>
        <v>19.5</v>
      </c>
      <c r="U91" s="64">
        <f t="shared" si="27"/>
        <v>20.100000000000001</v>
      </c>
      <c r="V91" s="64">
        <f t="shared" si="27"/>
        <v>20.2</v>
      </c>
      <c r="W91" s="64">
        <f t="shared" si="27"/>
        <v>19.200000000000003</v>
      </c>
      <c r="X91" s="64">
        <f t="shared" si="27"/>
        <v>20.100000000000001</v>
      </c>
      <c r="Y91" s="64">
        <f t="shared" si="27"/>
        <v>20.399999999999999</v>
      </c>
      <c r="Z91" s="64">
        <f t="shared" si="27"/>
        <v>20.100000000000001</v>
      </c>
      <c r="AA91" s="64">
        <f t="shared" si="27"/>
        <v>19.799999999999997</v>
      </c>
      <c r="AB91" s="64">
        <f t="shared" si="27"/>
        <v>19.5</v>
      </c>
      <c r="AC91" s="64">
        <f t="shared" si="27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0.57299999999999995</v>
      </c>
      <c r="G92" s="68">
        <v>0.53200000000000003</v>
      </c>
      <c r="H92" s="68">
        <v>0.67500000000000004</v>
      </c>
      <c r="I92" s="68">
        <v>0.69399999999999995</v>
      </c>
      <c r="J92" s="68">
        <v>0.69399999999999995</v>
      </c>
      <c r="K92" s="68">
        <v>0.60199999999999998</v>
      </c>
      <c r="L92" s="68">
        <v>0.56399999999999995</v>
      </c>
      <c r="M92" s="68">
        <v>0.52400000000000002</v>
      </c>
      <c r="N92" s="68">
        <v>0.66900000000000004</v>
      </c>
      <c r="O92" s="68">
        <v>0.81699999999999995</v>
      </c>
      <c r="P92" s="68">
        <v>0.71799999999999997</v>
      </c>
      <c r="Q92" s="68">
        <v>0.81499999999999995</v>
      </c>
      <c r="R92" s="68">
        <v>0.61799999999999999</v>
      </c>
      <c r="S92" s="68">
        <v>0.61199999999999999</v>
      </c>
      <c r="T92" s="68">
        <v>0.72699999999999998</v>
      </c>
      <c r="U92" s="68">
        <v>0.86899999999999999</v>
      </c>
      <c r="V92" s="68">
        <v>0.71699999999999997</v>
      </c>
      <c r="W92" s="68">
        <v>0.72399999999999998</v>
      </c>
      <c r="X92" s="68">
        <v>0.61599999999999999</v>
      </c>
      <c r="Y92" s="68">
        <v>0.64</v>
      </c>
      <c r="Z92" s="68">
        <v>0.70899999999999996</v>
      </c>
      <c r="AA92" s="68">
        <v>0.73299999999999998</v>
      </c>
      <c r="AB92" s="68">
        <v>0.61399999999999999</v>
      </c>
      <c r="AC92" s="68">
        <v>0.52100000000000002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8">F31</f>
        <v>7</v>
      </c>
      <c r="G93" s="65">
        <f t="shared" si="28"/>
        <v>10.8</v>
      </c>
      <c r="H93" s="65">
        <f t="shared" si="28"/>
        <v>6</v>
      </c>
      <c r="I93" s="65">
        <f t="shared" si="28"/>
        <v>9</v>
      </c>
      <c r="J93" s="65">
        <f t="shared" si="28"/>
        <v>8.5</v>
      </c>
      <c r="K93" s="65">
        <f t="shared" si="28"/>
        <v>10.8</v>
      </c>
      <c r="L93" s="65">
        <f t="shared" si="28"/>
        <v>10.8</v>
      </c>
      <c r="M93" s="65">
        <f t="shared" si="28"/>
        <v>9</v>
      </c>
      <c r="N93" s="65">
        <f t="shared" si="28"/>
        <v>10.8</v>
      </c>
      <c r="O93" s="65">
        <f t="shared" si="28"/>
        <v>10.8</v>
      </c>
      <c r="P93" s="65">
        <f t="shared" si="28"/>
        <v>11.399999999999999</v>
      </c>
      <c r="Q93" s="65">
        <f t="shared" si="28"/>
        <v>10.7</v>
      </c>
      <c r="R93" s="65">
        <f t="shared" si="28"/>
        <v>10.7</v>
      </c>
      <c r="S93" s="65">
        <f t="shared" si="28"/>
        <v>10.7</v>
      </c>
      <c r="T93" s="65">
        <f t="shared" si="28"/>
        <v>11.74</v>
      </c>
      <c r="U93" s="65">
        <f t="shared" si="28"/>
        <v>14.2</v>
      </c>
      <c r="V93" s="65">
        <f t="shared" si="28"/>
        <v>13.8</v>
      </c>
      <c r="W93" s="65">
        <f t="shared" si="28"/>
        <v>11.3</v>
      </c>
      <c r="X93" s="65">
        <f t="shared" si="28"/>
        <v>7.8</v>
      </c>
      <c r="Y93" s="65">
        <f t="shared" si="28"/>
        <v>10.8</v>
      </c>
      <c r="Z93" s="65">
        <f t="shared" si="28"/>
        <v>9.6999999999999993</v>
      </c>
      <c r="AA93" s="65">
        <f t="shared" si="28"/>
        <v>10.8</v>
      </c>
      <c r="AB93" s="65">
        <f t="shared" si="28"/>
        <v>10</v>
      </c>
      <c r="AC93" s="65">
        <f t="shared" si="28"/>
        <v>9.8000000000000007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</v>
      </c>
      <c r="G94" s="68">
        <v>0.186</v>
      </c>
      <c r="H94" s="68">
        <v>0.2</v>
      </c>
      <c r="I94" s="68">
        <v>0.188</v>
      </c>
      <c r="J94" s="68">
        <v>0.20499999999999999</v>
      </c>
      <c r="K94" s="68">
        <v>0.2</v>
      </c>
      <c r="L94" s="68">
        <v>0.2</v>
      </c>
      <c r="M94" s="68">
        <v>0.20100000000000001</v>
      </c>
      <c r="N94" s="68">
        <v>0.17499999999999999</v>
      </c>
      <c r="O94" s="68">
        <v>0.16700000000000001</v>
      </c>
      <c r="P94" s="68">
        <v>0.16900000000000001</v>
      </c>
      <c r="Q94" s="68">
        <v>0.17699999999999999</v>
      </c>
      <c r="R94" s="68">
        <v>0.191</v>
      </c>
      <c r="S94" s="68">
        <v>0.185</v>
      </c>
      <c r="T94" s="68">
        <v>0.32600000000000001</v>
      </c>
      <c r="U94" s="68">
        <v>0.216</v>
      </c>
      <c r="V94" s="68">
        <v>0.19</v>
      </c>
      <c r="W94" s="68">
        <v>0.17599999999999999</v>
      </c>
      <c r="X94" s="68">
        <v>0.17299999999999999</v>
      </c>
      <c r="Y94" s="68">
        <v>0.192</v>
      </c>
      <c r="Z94" s="68">
        <v>0.18099999999999999</v>
      </c>
      <c r="AA94" s="68">
        <v>0.183</v>
      </c>
      <c r="AB94" s="68">
        <v>0.16900000000000001</v>
      </c>
      <c r="AC94" s="68">
        <v>0.16400000000000001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0.22</v>
      </c>
      <c r="G95" s="68">
        <v>0.22</v>
      </c>
      <c r="H95" s="68">
        <v>0.21</v>
      </c>
      <c r="I95" s="68">
        <v>0.22</v>
      </c>
      <c r="J95" s="68">
        <v>0.22</v>
      </c>
      <c r="K95" s="68">
        <v>0.22</v>
      </c>
      <c r="L95" s="68">
        <v>0.22</v>
      </c>
      <c r="M95" s="68">
        <v>0.215</v>
      </c>
      <c r="N95" s="68">
        <v>0.22</v>
      </c>
      <c r="O95" s="68">
        <v>0.20599999999999999</v>
      </c>
      <c r="P95" s="68">
        <v>0.214</v>
      </c>
      <c r="Q95" s="68">
        <v>0.221</v>
      </c>
      <c r="R95" s="68">
        <v>0.21299999999999999</v>
      </c>
      <c r="S95" s="68">
        <v>0.219</v>
      </c>
      <c r="T95" s="68">
        <v>0.25600000000000001</v>
      </c>
      <c r="U95" s="68">
        <v>0.39800000000000002</v>
      </c>
      <c r="V95" s="68">
        <v>0.38700000000000001</v>
      </c>
      <c r="W95" s="68">
        <v>0.38</v>
      </c>
      <c r="X95" s="68">
        <v>0.38200000000000001</v>
      </c>
      <c r="Y95" s="68">
        <v>0.25</v>
      </c>
      <c r="Z95" s="68">
        <v>0.22</v>
      </c>
      <c r="AA95" s="68">
        <v>0.21</v>
      </c>
      <c r="AB95" s="68">
        <v>0.22</v>
      </c>
      <c r="AC95" s="68">
        <v>0.21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9">F34</f>
        <v>14.32</v>
      </c>
      <c r="G96" s="65">
        <f t="shared" si="29"/>
        <v>14.31</v>
      </c>
      <c r="H96" s="65">
        <f t="shared" si="29"/>
        <v>14.28</v>
      </c>
      <c r="I96" s="65">
        <f t="shared" si="29"/>
        <v>14.31</v>
      </c>
      <c r="J96" s="65">
        <f t="shared" si="29"/>
        <v>14.29</v>
      </c>
      <c r="K96" s="65">
        <f t="shared" si="29"/>
        <v>14.29</v>
      </c>
      <c r="L96" s="65">
        <f t="shared" si="29"/>
        <v>14.31</v>
      </c>
      <c r="M96" s="65">
        <f t="shared" si="29"/>
        <v>14.27</v>
      </c>
      <c r="N96" s="65">
        <f t="shared" si="29"/>
        <v>14.26</v>
      </c>
      <c r="O96" s="65">
        <f t="shared" si="29"/>
        <v>14.25</v>
      </c>
      <c r="P96" s="65">
        <f t="shared" si="29"/>
        <v>14.13</v>
      </c>
      <c r="Q96" s="65">
        <f t="shared" si="29"/>
        <v>14.1</v>
      </c>
      <c r="R96" s="65">
        <f t="shared" si="29"/>
        <v>14.14</v>
      </c>
      <c r="S96" s="65">
        <f t="shared" si="29"/>
        <v>14.29</v>
      </c>
      <c r="T96" s="65">
        <f t="shared" si="29"/>
        <v>14.16</v>
      </c>
      <c r="U96" s="65">
        <f t="shared" si="29"/>
        <v>14.16</v>
      </c>
      <c r="V96" s="65">
        <f t="shared" si="29"/>
        <v>14.27</v>
      </c>
      <c r="W96" s="65">
        <f t="shared" si="29"/>
        <v>14.19</v>
      </c>
      <c r="X96" s="65">
        <f t="shared" si="29"/>
        <v>14.21</v>
      </c>
      <c r="Y96" s="65">
        <f t="shared" si="29"/>
        <v>14.29</v>
      </c>
      <c r="Z96" s="65">
        <f t="shared" si="29"/>
        <v>14.17</v>
      </c>
      <c r="AA96" s="65">
        <f t="shared" si="29"/>
        <v>14.27</v>
      </c>
      <c r="AB96" s="65">
        <f t="shared" si="29"/>
        <v>14.29</v>
      </c>
      <c r="AC96" s="65">
        <f t="shared" si="29"/>
        <v>14.31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0.69</v>
      </c>
      <c r="G97" s="68">
        <v>0.69</v>
      </c>
      <c r="H97" s="68">
        <v>0.72</v>
      </c>
      <c r="I97" s="68">
        <v>0.69</v>
      </c>
      <c r="J97" s="68">
        <v>0.71</v>
      </c>
      <c r="K97" s="68">
        <v>0.74</v>
      </c>
      <c r="L97" s="68">
        <v>0.69</v>
      </c>
      <c r="M97" s="68">
        <v>0.69</v>
      </c>
      <c r="N97" s="68">
        <v>0.74</v>
      </c>
      <c r="O97" s="68">
        <v>0.75</v>
      </c>
      <c r="P97" s="68">
        <v>0.87</v>
      </c>
      <c r="Q97" s="68">
        <v>0.9</v>
      </c>
      <c r="R97" s="68">
        <v>0.86</v>
      </c>
      <c r="S97" s="68">
        <v>0.71</v>
      </c>
      <c r="T97" s="68">
        <v>0.84</v>
      </c>
      <c r="U97" s="68">
        <v>0.88</v>
      </c>
      <c r="V97" s="68">
        <v>0.73</v>
      </c>
      <c r="W97" s="68">
        <v>0.81</v>
      </c>
      <c r="X97" s="68">
        <v>0.79</v>
      </c>
      <c r="Y97" s="68">
        <v>0.71</v>
      </c>
      <c r="Z97" s="68">
        <v>0.83</v>
      </c>
      <c r="AA97" s="68">
        <v>0.73</v>
      </c>
      <c r="AB97" s="68">
        <v>0.71</v>
      </c>
      <c r="AC97" s="68">
        <v>0.69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0">F60</f>
        <v>0</v>
      </c>
      <c r="G98" s="64">
        <f t="shared" si="30"/>
        <v>0</v>
      </c>
      <c r="H98" s="64">
        <f t="shared" si="30"/>
        <v>0</v>
      </c>
      <c r="I98" s="64">
        <f t="shared" si="30"/>
        <v>0</v>
      </c>
      <c r="J98" s="64">
        <f t="shared" si="30"/>
        <v>0</v>
      </c>
      <c r="K98" s="64">
        <f t="shared" si="30"/>
        <v>0</v>
      </c>
      <c r="L98" s="64">
        <f t="shared" si="30"/>
        <v>0.8</v>
      </c>
      <c r="M98" s="64">
        <f t="shared" si="30"/>
        <v>0</v>
      </c>
      <c r="N98" s="64">
        <f t="shared" si="30"/>
        <v>0</v>
      </c>
      <c r="O98" s="64">
        <f t="shared" si="30"/>
        <v>0.8</v>
      </c>
      <c r="P98" s="64">
        <f t="shared" si="30"/>
        <v>1.5</v>
      </c>
      <c r="Q98" s="64">
        <f t="shared" si="30"/>
        <v>1.5</v>
      </c>
      <c r="R98" s="64">
        <f t="shared" si="30"/>
        <v>1.5</v>
      </c>
      <c r="S98" s="64">
        <f t="shared" si="30"/>
        <v>2.2999999999999998</v>
      </c>
      <c r="T98" s="64">
        <f t="shared" si="30"/>
        <v>3.9000000000000004</v>
      </c>
      <c r="U98" s="64">
        <f t="shared" si="30"/>
        <v>0.8</v>
      </c>
      <c r="V98" s="64">
        <f t="shared" si="30"/>
        <v>0.8</v>
      </c>
      <c r="W98" s="64">
        <f t="shared" si="30"/>
        <v>0</v>
      </c>
      <c r="X98" s="64">
        <f t="shared" si="30"/>
        <v>0</v>
      </c>
      <c r="Y98" s="64">
        <f t="shared" si="30"/>
        <v>0</v>
      </c>
      <c r="Z98" s="64">
        <f t="shared" si="30"/>
        <v>0</v>
      </c>
      <c r="AA98" s="64">
        <f t="shared" si="30"/>
        <v>0</v>
      </c>
      <c r="AB98" s="64">
        <f t="shared" si="30"/>
        <v>0</v>
      </c>
      <c r="AC98" s="64">
        <f t="shared" si="30"/>
        <v>3.8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1">F65</f>
        <v>0.94</v>
      </c>
      <c r="G99" s="64">
        <f t="shared" si="31"/>
        <v>0.9</v>
      </c>
      <c r="H99" s="64">
        <f t="shared" si="31"/>
        <v>0.87</v>
      </c>
      <c r="I99" s="64">
        <f t="shared" si="31"/>
        <v>0.86</v>
      </c>
      <c r="J99" s="64">
        <f t="shared" si="31"/>
        <v>0.85</v>
      </c>
      <c r="K99" s="64">
        <f t="shared" si="31"/>
        <v>0.86</v>
      </c>
      <c r="L99" s="64">
        <f t="shared" si="31"/>
        <v>1.17</v>
      </c>
      <c r="M99" s="64">
        <f t="shared" si="31"/>
        <v>1.1200000000000001</v>
      </c>
      <c r="N99" s="64">
        <f t="shared" si="31"/>
        <v>1.08</v>
      </c>
      <c r="O99" s="64">
        <f t="shared" si="31"/>
        <v>1.2</v>
      </c>
      <c r="P99" s="64">
        <f t="shared" si="31"/>
        <v>1.43</v>
      </c>
      <c r="Q99" s="64">
        <f t="shared" si="31"/>
        <v>1.46</v>
      </c>
      <c r="R99" s="64">
        <f t="shared" si="31"/>
        <v>1.49</v>
      </c>
      <c r="S99" s="64">
        <f t="shared" si="31"/>
        <v>1.34</v>
      </c>
      <c r="T99" s="64">
        <f t="shared" si="31"/>
        <v>1.4</v>
      </c>
      <c r="U99" s="64">
        <f t="shared" si="31"/>
        <v>1.48</v>
      </c>
      <c r="V99" s="64">
        <f t="shared" si="31"/>
        <v>1.47</v>
      </c>
      <c r="W99" s="64">
        <f t="shared" si="31"/>
        <v>1.41</v>
      </c>
      <c r="X99" s="64">
        <f t="shared" si="31"/>
        <v>1.26</v>
      </c>
      <c r="Y99" s="64">
        <f t="shared" si="31"/>
        <v>1.46</v>
      </c>
      <c r="Z99" s="64">
        <f t="shared" si="31"/>
        <v>1.5500000000000003</v>
      </c>
      <c r="AA99" s="64">
        <f t="shared" si="31"/>
        <v>1.42</v>
      </c>
      <c r="AB99" s="64">
        <f t="shared" si="31"/>
        <v>1.23</v>
      </c>
      <c r="AC99" s="64">
        <f t="shared" si="31"/>
        <v>1.1200000000000001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2">F76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3">F80</f>
        <v>0.77</v>
      </c>
      <c r="G101" s="64">
        <f t="shared" si="33"/>
        <v>0.73</v>
      </c>
      <c r="H101" s="64">
        <f t="shared" si="33"/>
        <v>0.72</v>
      </c>
      <c r="I101" s="64">
        <f t="shared" si="33"/>
        <v>0.7</v>
      </c>
      <c r="J101" s="64">
        <f t="shared" si="33"/>
        <v>0.68</v>
      </c>
      <c r="K101" s="64">
        <f t="shared" si="33"/>
        <v>0.73</v>
      </c>
      <c r="L101" s="64">
        <f t="shared" si="33"/>
        <v>0.81</v>
      </c>
      <c r="M101" s="64">
        <f t="shared" si="33"/>
        <v>0.75</v>
      </c>
      <c r="N101" s="64">
        <f t="shared" si="33"/>
        <v>0.73</v>
      </c>
      <c r="O101" s="64">
        <f t="shared" si="33"/>
        <v>0.8</v>
      </c>
      <c r="P101" s="64">
        <f t="shared" si="33"/>
        <v>0.82</v>
      </c>
      <c r="Q101" s="64">
        <f t="shared" si="33"/>
        <v>0.83</v>
      </c>
      <c r="R101" s="64">
        <f t="shared" si="33"/>
        <v>0</v>
      </c>
      <c r="S101" s="64">
        <f t="shared" si="33"/>
        <v>0.83</v>
      </c>
      <c r="T101" s="64">
        <f t="shared" si="33"/>
        <v>0</v>
      </c>
      <c r="U101" s="64">
        <f t="shared" si="33"/>
        <v>0</v>
      </c>
      <c r="V101" s="64">
        <f t="shared" si="33"/>
        <v>0.81</v>
      </c>
      <c r="W101" s="64">
        <f t="shared" si="33"/>
        <v>0.91</v>
      </c>
      <c r="X101" s="64">
        <f t="shared" si="33"/>
        <v>0</v>
      </c>
      <c r="Y101" s="64">
        <f t="shared" si="33"/>
        <v>0.73</v>
      </c>
      <c r="Z101" s="64">
        <f t="shared" si="33"/>
        <v>0.88</v>
      </c>
      <c r="AA101" s="64">
        <f t="shared" si="33"/>
        <v>1</v>
      </c>
      <c r="AB101" s="64">
        <f t="shared" si="33"/>
        <v>0.95</v>
      </c>
      <c r="AC101" s="64">
        <f t="shared" si="33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4">F82</f>
        <v>0</v>
      </c>
      <c r="G102" s="64">
        <f t="shared" si="34"/>
        <v>0</v>
      </c>
      <c r="H102" s="64">
        <f t="shared" si="34"/>
        <v>0</v>
      </c>
      <c r="I102" s="64">
        <f t="shared" si="34"/>
        <v>0</v>
      </c>
      <c r="J102" s="64">
        <f t="shared" si="34"/>
        <v>0</v>
      </c>
      <c r="K102" s="64">
        <f t="shared" si="34"/>
        <v>0</v>
      </c>
      <c r="L102" s="64">
        <f t="shared" si="34"/>
        <v>0</v>
      </c>
      <c r="M102" s="64">
        <f t="shared" si="34"/>
        <v>0</v>
      </c>
      <c r="N102" s="64">
        <f t="shared" si="34"/>
        <v>0</v>
      </c>
      <c r="O102" s="64">
        <f t="shared" si="34"/>
        <v>0</v>
      </c>
      <c r="P102" s="64">
        <f t="shared" si="34"/>
        <v>0</v>
      </c>
      <c r="Q102" s="64">
        <f t="shared" si="34"/>
        <v>0</v>
      </c>
      <c r="R102" s="64">
        <f t="shared" si="34"/>
        <v>0</v>
      </c>
      <c r="S102" s="64">
        <f t="shared" si="34"/>
        <v>0</v>
      </c>
      <c r="T102" s="64">
        <f t="shared" si="34"/>
        <v>0</v>
      </c>
      <c r="U102" s="64">
        <f t="shared" si="34"/>
        <v>0</v>
      </c>
      <c r="V102" s="64">
        <f t="shared" si="34"/>
        <v>0</v>
      </c>
      <c r="W102" s="64">
        <f t="shared" si="34"/>
        <v>0</v>
      </c>
      <c r="X102" s="64">
        <f t="shared" si="34"/>
        <v>0</v>
      </c>
      <c r="Y102" s="64">
        <f t="shared" si="34"/>
        <v>0</v>
      </c>
      <c r="Z102" s="64">
        <f t="shared" si="34"/>
        <v>0</v>
      </c>
      <c r="AA102" s="64">
        <f t="shared" si="34"/>
        <v>0</v>
      </c>
      <c r="AB102" s="64">
        <f t="shared" si="34"/>
        <v>0</v>
      </c>
      <c r="AC102" s="64">
        <f t="shared" si="34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5">SUM(F89,F91,F93,F96,F98:F102,F81)</f>
        <v>42.63</v>
      </c>
      <c r="G103" s="61">
        <f t="shared" si="35"/>
        <v>40.239999999999995</v>
      </c>
      <c r="H103" s="61">
        <f t="shared" si="35"/>
        <v>34.97</v>
      </c>
      <c r="I103" s="61">
        <f t="shared" si="35"/>
        <v>37.970000000000006</v>
      </c>
      <c r="J103" s="61">
        <f t="shared" si="35"/>
        <v>37.42</v>
      </c>
      <c r="K103" s="61">
        <f t="shared" si="35"/>
        <v>39.979999999999997</v>
      </c>
      <c r="L103" s="61">
        <f t="shared" si="35"/>
        <v>44.39</v>
      </c>
      <c r="M103" s="61">
        <f t="shared" si="35"/>
        <v>40.839999999999996</v>
      </c>
      <c r="N103" s="61">
        <f t="shared" si="35"/>
        <v>46.069999999999993</v>
      </c>
      <c r="O103" s="61">
        <f t="shared" si="35"/>
        <v>55.449999999999996</v>
      </c>
      <c r="P103" s="61">
        <f t="shared" si="35"/>
        <v>60.68</v>
      </c>
      <c r="Q103" s="61">
        <f t="shared" si="35"/>
        <v>59.69</v>
      </c>
      <c r="R103" s="61">
        <f t="shared" si="35"/>
        <v>58.63</v>
      </c>
      <c r="S103" s="61">
        <f t="shared" si="35"/>
        <v>60.36</v>
      </c>
      <c r="T103" s="61">
        <f t="shared" si="35"/>
        <v>61.7</v>
      </c>
      <c r="U103" s="61">
        <f t="shared" si="35"/>
        <v>61.739999999999988</v>
      </c>
      <c r="V103" s="61">
        <f t="shared" si="35"/>
        <v>62.349999999999994</v>
      </c>
      <c r="W103" s="61">
        <f t="shared" si="35"/>
        <v>56.009999999999991</v>
      </c>
      <c r="X103" s="61">
        <f t="shared" si="35"/>
        <v>52.37</v>
      </c>
      <c r="Y103" s="61">
        <f t="shared" si="35"/>
        <v>57.779999999999994</v>
      </c>
      <c r="Z103" s="61">
        <f t="shared" si="35"/>
        <v>55.4</v>
      </c>
      <c r="AA103" s="61">
        <f t="shared" si="35"/>
        <v>53.289999999999992</v>
      </c>
      <c r="AB103" s="61">
        <f t="shared" si="35"/>
        <v>48.97</v>
      </c>
      <c r="AC103" s="61">
        <f t="shared" si="35"/>
        <v>46.55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>
        <f>1.59-1.03</f>
        <v>0.56000000000000005</v>
      </c>
      <c r="R106" s="76">
        <f>(1.59-1.03)+0.8</f>
        <v>1.36</v>
      </c>
      <c r="S106" s="76"/>
      <c r="T106" s="76">
        <v>0.83</v>
      </c>
      <c r="U106" s="76">
        <v>0.83</v>
      </c>
      <c r="V106" s="76"/>
      <c r="W106" s="76"/>
      <c r="X106" s="76">
        <v>0.91</v>
      </c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6">SUM(F104:F106)</f>
        <v>0</v>
      </c>
      <c r="G107" s="61">
        <f t="shared" si="36"/>
        <v>0</v>
      </c>
      <c r="H107" s="61">
        <f t="shared" si="36"/>
        <v>0</v>
      </c>
      <c r="I107" s="61">
        <f t="shared" si="36"/>
        <v>0</v>
      </c>
      <c r="J107" s="61">
        <f t="shared" si="36"/>
        <v>0</v>
      </c>
      <c r="K107" s="61">
        <f t="shared" si="36"/>
        <v>0</v>
      </c>
      <c r="L107" s="61">
        <f t="shared" si="36"/>
        <v>0</v>
      </c>
      <c r="M107" s="61">
        <f t="shared" si="36"/>
        <v>0</v>
      </c>
      <c r="N107" s="61">
        <f t="shared" si="36"/>
        <v>0</v>
      </c>
      <c r="O107" s="61">
        <f t="shared" si="36"/>
        <v>0</v>
      </c>
      <c r="P107" s="61">
        <f t="shared" si="36"/>
        <v>0</v>
      </c>
      <c r="Q107" s="61">
        <f t="shared" si="36"/>
        <v>0.56000000000000005</v>
      </c>
      <c r="R107" s="61">
        <f t="shared" si="36"/>
        <v>1.36</v>
      </c>
      <c r="S107" s="61">
        <f t="shared" si="36"/>
        <v>0</v>
      </c>
      <c r="T107" s="61">
        <f t="shared" si="36"/>
        <v>0.83</v>
      </c>
      <c r="U107" s="61">
        <f t="shared" si="36"/>
        <v>0.83</v>
      </c>
      <c r="V107" s="61">
        <f t="shared" si="36"/>
        <v>0</v>
      </c>
      <c r="W107" s="61">
        <f t="shared" si="36"/>
        <v>0</v>
      </c>
      <c r="X107" s="61">
        <f t="shared" si="36"/>
        <v>0.91</v>
      </c>
      <c r="Y107" s="61">
        <f t="shared" si="36"/>
        <v>0</v>
      </c>
      <c r="Z107" s="61">
        <f t="shared" si="36"/>
        <v>0</v>
      </c>
      <c r="AA107" s="61">
        <f t="shared" si="36"/>
        <v>0</v>
      </c>
      <c r="AB107" s="61">
        <f t="shared" si="36"/>
        <v>0</v>
      </c>
      <c r="AC107" s="61">
        <f t="shared" si="36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7">F103+F107</f>
        <v>42.63</v>
      </c>
      <c r="G108" s="62">
        <f t="shared" si="37"/>
        <v>40.239999999999995</v>
      </c>
      <c r="H108" s="62">
        <f t="shared" si="37"/>
        <v>34.97</v>
      </c>
      <c r="I108" s="62">
        <f t="shared" si="37"/>
        <v>37.970000000000006</v>
      </c>
      <c r="J108" s="62">
        <f t="shared" si="37"/>
        <v>37.42</v>
      </c>
      <c r="K108" s="62">
        <f t="shared" si="37"/>
        <v>39.979999999999997</v>
      </c>
      <c r="L108" s="62">
        <f t="shared" si="37"/>
        <v>44.39</v>
      </c>
      <c r="M108" s="62">
        <f t="shared" si="37"/>
        <v>40.839999999999996</v>
      </c>
      <c r="N108" s="62">
        <f t="shared" si="37"/>
        <v>46.069999999999993</v>
      </c>
      <c r="O108" s="62">
        <f t="shared" si="37"/>
        <v>55.449999999999996</v>
      </c>
      <c r="P108" s="62">
        <f>P103+P107</f>
        <v>60.68</v>
      </c>
      <c r="Q108" s="62">
        <f t="shared" si="37"/>
        <v>60.25</v>
      </c>
      <c r="R108" s="62">
        <f t="shared" si="37"/>
        <v>59.99</v>
      </c>
      <c r="S108" s="62">
        <f t="shared" si="37"/>
        <v>60.36</v>
      </c>
      <c r="T108" s="62">
        <f>T103+T107</f>
        <v>62.53</v>
      </c>
      <c r="U108" s="62">
        <f t="shared" si="37"/>
        <v>62.569999999999986</v>
      </c>
      <c r="V108" s="62">
        <f t="shared" si="37"/>
        <v>62.349999999999994</v>
      </c>
      <c r="W108" s="62">
        <f>W103+W107</f>
        <v>56.009999999999991</v>
      </c>
      <c r="X108" s="62">
        <f t="shared" si="37"/>
        <v>53.279999999999994</v>
      </c>
      <c r="Y108" s="62">
        <f t="shared" si="37"/>
        <v>57.779999999999994</v>
      </c>
      <c r="Z108" s="62">
        <f t="shared" si="37"/>
        <v>55.4</v>
      </c>
      <c r="AA108" s="62">
        <f t="shared" si="37"/>
        <v>53.289999999999992</v>
      </c>
      <c r="AB108" s="62">
        <f t="shared" si="37"/>
        <v>48.97</v>
      </c>
      <c r="AC108" s="62">
        <f t="shared" si="37"/>
        <v>46.55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8">(COUNT(F13:F16))*7.2+(COUNT(F27:F28)*4.9)+(COUNT(F19:F21)*4.5)-F91-F93</f>
        <v>-0.10000000000000142</v>
      </c>
      <c r="G109" s="63">
        <f t="shared" si="38"/>
        <v>-5</v>
      </c>
      <c r="H109" s="63">
        <f t="shared" si="38"/>
        <v>0.20000000000000107</v>
      </c>
      <c r="I109" s="63">
        <f t="shared" si="38"/>
        <v>-2.7999999999999989</v>
      </c>
      <c r="J109" s="63">
        <f t="shared" si="38"/>
        <v>-2.2999999999999989</v>
      </c>
      <c r="K109" s="63">
        <f t="shared" si="38"/>
        <v>-4.8000000000000007</v>
      </c>
      <c r="L109" s="63">
        <f t="shared" si="38"/>
        <v>7</v>
      </c>
      <c r="M109" s="63">
        <f t="shared" si="38"/>
        <v>2.1000000000000014</v>
      </c>
      <c r="N109" s="63">
        <f t="shared" si="38"/>
        <v>4.5</v>
      </c>
      <c r="O109" s="63">
        <f t="shared" si="38"/>
        <v>4.3000000000000007</v>
      </c>
      <c r="P109" s="63">
        <f t="shared" si="38"/>
        <v>3.8000000000000007</v>
      </c>
      <c r="Q109" s="63">
        <f t="shared" si="38"/>
        <v>4.6999999999999993</v>
      </c>
      <c r="R109" s="63">
        <f t="shared" si="38"/>
        <v>5.0000000000000036</v>
      </c>
      <c r="S109" s="63">
        <f t="shared" si="38"/>
        <v>4.6999999999999993</v>
      </c>
      <c r="T109" s="63">
        <f t="shared" si="38"/>
        <v>4.26</v>
      </c>
      <c r="U109" s="63">
        <f t="shared" si="38"/>
        <v>1.1999999999999993</v>
      </c>
      <c r="V109" s="63">
        <f t="shared" si="38"/>
        <v>1.5</v>
      </c>
      <c r="W109" s="63">
        <f t="shared" si="38"/>
        <v>4.9999999999999964</v>
      </c>
      <c r="X109" s="63">
        <f t="shared" si="38"/>
        <v>7.5999999999999988</v>
      </c>
      <c r="Y109" s="63">
        <f t="shared" si="38"/>
        <v>4.3000000000000007</v>
      </c>
      <c r="Z109" s="63">
        <f t="shared" si="38"/>
        <v>5.6999999999999993</v>
      </c>
      <c r="AA109" s="63">
        <f t="shared" si="38"/>
        <v>0.40000000000000213</v>
      </c>
      <c r="AB109" s="63">
        <f t="shared" si="38"/>
        <v>1.5</v>
      </c>
      <c r="AC109" s="63">
        <f t="shared" si="38"/>
        <v>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-1.5</v>
      </c>
      <c r="G110" s="205">
        <f t="shared" si="39"/>
        <v>-6.4</v>
      </c>
      <c r="H110" s="205">
        <f t="shared" si="39"/>
        <v>-1.1999999999999993</v>
      </c>
      <c r="I110" s="205">
        <f t="shared" si="39"/>
        <v>-4.1999999999999993</v>
      </c>
      <c r="J110" s="205">
        <f t="shared" si="39"/>
        <v>-3.6999999999999993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-6.2000000000000011</v>
      </c>
      <c r="L110" s="205">
        <f t="shared" si="39"/>
        <v>2.3000000000000016</v>
      </c>
      <c r="M110" s="205">
        <f t="shared" si="39"/>
        <v>-0.89999999999999858</v>
      </c>
      <c r="N110" s="205">
        <f t="shared" si="39"/>
        <v>1.0000000000000018</v>
      </c>
      <c r="O110" s="205">
        <f t="shared" si="39"/>
        <v>-2.8999999999999968</v>
      </c>
      <c r="P110" s="205">
        <f t="shared" si="39"/>
        <v>-2.7999999999999972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-1.799999999999998</v>
      </c>
      <c r="R110" s="205">
        <f t="shared" ref="R110:AC110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-1.8999999999999941</v>
      </c>
      <c r="S110" s="205">
        <f t="shared" si="40"/>
        <v>-1.9999999999999991</v>
      </c>
      <c r="T110" s="205">
        <f t="shared" si="40"/>
        <v>-2.6399999999999979</v>
      </c>
      <c r="U110" s="205">
        <f t="shared" si="40"/>
        <v>-5.6999999999999984</v>
      </c>
      <c r="V110" s="205">
        <f t="shared" si="40"/>
        <v>-5.3999999999999977</v>
      </c>
      <c r="W110" s="205">
        <f t="shared" si="40"/>
        <v>9.9999999999997868E-2</v>
      </c>
      <c r="X110" s="205">
        <f t="shared" si="40"/>
        <v>2.6999999999999993</v>
      </c>
      <c r="Y110" s="205">
        <f t="shared" si="40"/>
        <v>-1.6999999999999975</v>
      </c>
      <c r="Z110" s="205">
        <f t="shared" si="40"/>
        <v>0.80000000000000071</v>
      </c>
      <c r="AA110" s="205">
        <f t="shared" si="40"/>
        <v>-1.4999999999999964</v>
      </c>
      <c r="AB110" s="205">
        <f t="shared" si="40"/>
        <v>-1.8999999999999986</v>
      </c>
      <c r="AC110" s="205">
        <f t="shared" si="40"/>
        <v>-2.9999999999999996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60.08</v>
      </c>
      <c r="G111" s="456">
        <v>60.11</v>
      </c>
      <c r="H111" s="456">
        <v>60.21</v>
      </c>
      <c r="I111" s="456">
        <v>60.18</v>
      </c>
      <c r="J111" s="456">
        <v>60.21</v>
      </c>
      <c r="K111" s="456">
        <v>60.16</v>
      </c>
      <c r="L111" s="456">
        <v>60.13</v>
      </c>
      <c r="M111" s="456">
        <v>60.21</v>
      </c>
      <c r="N111" s="456">
        <v>60.09</v>
      </c>
      <c r="O111" s="456">
        <v>60.15</v>
      </c>
      <c r="P111" s="457">
        <v>60.06</v>
      </c>
      <c r="Q111" s="457">
        <v>60.13</v>
      </c>
      <c r="R111" s="457">
        <v>60.16</v>
      </c>
      <c r="S111" s="457">
        <v>60.14</v>
      </c>
      <c r="T111" s="457">
        <v>60.19</v>
      </c>
      <c r="U111" s="456">
        <v>60.15</v>
      </c>
      <c r="V111" s="456">
        <v>60.2</v>
      </c>
      <c r="W111" s="456">
        <v>60.24</v>
      </c>
      <c r="X111" s="456">
        <v>60.18</v>
      </c>
      <c r="Y111" s="456">
        <v>60.15</v>
      </c>
      <c r="Z111" s="456">
        <v>60.14</v>
      </c>
      <c r="AA111" s="456">
        <v>60.11</v>
      </c>
      <c r="AB111" s="456">
        <v>60.17</v>
      </c>
      <c r="AC111" s="456">
        <v>60.13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 t="s">
        <v>103</v>
      </c>
      <c r="G115" s="520" t="s">
        <v>101</v>
      </c>
      <c r="H115" s="520" t="s">
        <v>101</v>
      </c>
      <c r="I115" s="520" t="s">
        <v>101</v>
      </c>
      <c r="J115" s="520" t="s">
        <v>101</v>
      </c>
      <c r="K115" s="520" t="s">
        <v>101</v>
      </c>
      <c r="L115" s="520" t="s">
        <v>101</v>
      </c>
      <c r="M115" s="520"/>
      <c r="N115" s="520"/>
      <c r="O115" s="520"/>
      <c r="P115" s="534" t="s">
        <v>108</v>
      </c>
      <c r="Q115" s="534" t="s">
        <v>108</v>
      </c>
      <c r="R115" s="534" t="s">
        <v>108</v>
      </c>
      <c r="S115" s="534" t="s">
        <v>108</v>
      </c>
      <c r="T115" s="520"/>
      <c r="U115" s="520" t="s">
        <v>109</v>
      </c>
      <c r="V115" s="520" t="s">
        <v>109</v>
      </c>
      <c r="W115" s="520" t="s">
        <v>109</v>
      </c>
      <c r="X115" s="520" t="s">
        <v>100</v>
      </c>
      <c r="Y115" s="520" t="s">
        <v>100</v>
      </c>
      <c r="Z115" s="520" t="s">
        <v>100</v>
      </c>
      <c r="AA115" s="520" t="s">
        <v>100</v>
      </c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4102" priority="630" operator="greaterThan">
      <formula>60.3</formula>
    </cfRule>
  </conditionalFormatting>
  <conditionalFormatting sqref="F111">
    <cfRule type="cellIs" dxfId="14101" priority="629" operator="greaterThan">
      <formula>60.3</formula>
    </cfRule>
  </conditionalFormatting>
  <conditionalFormatting sqref="H13:J13 N13:O13 D42:E42 L13 N36:AC39 N57:AC59 O14:O16 L51:M55 L36:L50 P40:AC40 N41:AC46 M50:O50 H36:J59 L56:L59 P13:AC16 H62:L64 I15:N16 P47:AC50 O51:AC56 P62:AC64">
    <cfRule type="cellIs" dxfId="14100" priority="621" operator="equal">
      <formula>"PMS"</formula>
    </cfRule>
    <cfRule type="containsText" dxfId="14099" priority="622" operator="containsText" text="CMS">
      <formula>NOT(ISERROR(SEARCH("CMS",D13)))</formula>
    </cfRule>
    <cfRule type="cellIs" dxfId="14098" priority="623" operator="equal">
      <formula>0</formula>
    </cfRule>
    <cfRule type="cellIs" dxfId="14097" priority="624" operator="greaterThan">
      <formula>0</formula>
    </cfRule>
    <cfRule type="cellIs" dxfId="14096" priority="625" operator="equal">
      <formula>"PMS"</formula>
    </cfRule>
    <cfRule type="containsText" dxfId="14095" priority="626" operator="containsText" text="CMS">
      <formula>NOT(ISERROR(SEARCH("CMS",D13)))</formula>
    </cfRule>
    <cfRule type="cellIs" dxfId="14094" priority="627" operator="equal">
      <formula>0</formula>
    </cfRule>
    <cfRule type="cellIs" dxfId="14093" priority="628" operator="greaterThan">
      <formula>0</formula>
    </cfRule>
  </conditionalFormatting>
  <conditionalFormatting sqref="H13:J13 N13:O13 D42:E42 L13 N36:AC39 N57:AC59 O14:O16 L51:M55 L36:L50 P40:AC40 N41:AC46 M50:O50 H36:J59 L56:L59 P13:AC16 H62:L64 I15:N16 P47:AC50 O51:AC56 P62:AC64">
    <cfRule type="cellIs" dxfId="14092" priority="617" operator="equal">
      <formula>"PMS"</formula>
    </cfRule>
    <cfRule type="containsText" dxfId="14091" priority="618" operator="containsText" text="CMS">
      <formula>NOT(ISERROR(SEARCH("CMS",D13)))</formula>
    </cfRule>
    <cfRule type="cellIs" dxfId="14090" priority="619" operator="equal">
      <formula>0</formula>
    </cfRule>
    <cfRule type="cellIs" dxfId="14089" priority="620" operator="greaterThan">
      <formula>0</formula>
    </cfRule>
  </conditionalFormatting>
  <conditionalFormatting sqref="G67:AC75">
    <cfRule type="cellIs" dxfId="14088" priority="609" operator="equal">
      <formula>"PMS"</formula>
    </cfRule>
    <cfRule type="containsText" dxfId="14087" priority="610" operator="containsText" text="CMS">
      <formula>NOT(ISERROR(SEARCH("CMS",G67)))</formula>
    </cfRule>
    <cfRule type="cellIs" dxfId="14086" priority="611" operator="equal">
      <formula>0</formula>
    </cfRule>
    <cfRule type="cellIs" dxfId="14085" priority="612" operator="greaterThan">
      <formula>0</formula>
    </cfRule>
    <cfRule type="cellIs" dxfId="14084" priority="613" operator="equal">
      <formula>"PMS"</formula>
    </cfRule>
    <cfRule type="containsText" dxfId="14083" priority="614" operator="containsText" text="CMS">
      <formula>NOT(ISERROR(SEARCH("CMS",G67)))</formula>
    </cfRule>
    <cfRule type="cellIs" dxfId="14082" priority="615" operator="equal">
      <formula>0</formula>
    </cfRule>
    <cfRule type="cellIs" dxfId="14081" priority="616" operator="greaterThan">
      <formula>0</formula>
    </cfRule>
  </conditionalFormatting>
  <conditionalFormatting sqref="G67:AC75">
    <cfRule type="cellIs" dxfId="14080" priority="605" operator="equal">
      <formula>"PMS"</formula>
    </cfRule>
    <cfRule type="containsText" dxfId="14079" priority="606" operator="containsText" text="CMS">
      <formula>NOT(ISERROR(SEARCH("CMS",G67)))</formula>
    </cfRule>
    <cfRule type="cellIs" dxfId="14078" priority="607" operator="equal">
      <formula>0</formula>
    </cfRule>
    <cfRule type="cellIs" dxfId="14077" priority="608" operator="greaterThan">
      <formula>0</formula>
    </cfRule>
  </conditionalFormatting>
  <conditionalFormatting sqref="G82:AC82">
    <cfRule type="cellIs" dxfId="14076" priority="597" operator="equal">
      <formula>"PMS"</formula>
    </cfRule>
    <cfRule type="containsText" dxfId="14075" priority="598" operator="containsText" text="CMS">
      <formula>NOT(ISERROR(SEARCH("CMS",G82)))</formula>
    </cfRule>
    <cfRule type="cellIs" dxfId="14074" priority="599" operator="equal">
      <formula>0</formula>
    </cfRule>
    <cfRule type="cellIs" dxfId="14073" priority="600" operator="greaterThan">
      <formula>0</formula>
    </cfRule>
    <cfRule type="cellIs" dxfId="14072" priority="601" operator="equal">
      <formula>"PMS"</formula>
    </cfRule>
    <cfRule type="containsText" dxfId="14071" priority="602" operator="containsText" text="CMS">
      <formula>NOT(ISERROR(SEARCH("CMS",G82)))</formula>
    </cfRule>
    <cfRule type="cellIs" dxfId="14070" priority="603" operator="equal">
      <formula>0</formula>
    </cfRule>
    <cfRule type="cellIs" dxfId="14069" priority="604" operator="greaterThan">
      <formula>0</formula>
    </cfRule>
  </conditionalFormatting>
  <conditionalFormatting sqref="G82:AC82">
    <cfRule type="cellIs" dxfId="14068" priority="593" operator="equal">
      <formula>"PMS"</formula>
    </cfRule>
    <cfRule type="containsText" dxfId="14067" priority="594" operator="containsText" text="CMS">
      <formula>NOT(ISERROR(SEARCH("CMS",G82)))</formula>
    </cfRule>
    <cfRule type="cellIs" dxfId="14066" priority="595" operator="equal">
      <formula>0</formula>
    </cfRule>
    <cfRule type="cellIs" dxfId="14065" priority="596" operator="greaterThan">
      <formula>0</formula>
    </cfRule>
  </conditionalFormatting>
  <conditionalFormatting sqref="I14 M14:N14">
    <cfRule type="cellIs" dxfId="14064" priority="585" operator="equal">
      <formula>"PMS"</formula>
    </cfRule>
    <cfRule type="containsText" dxfId="14063" priority="586" operator="containsText" text="CMS">
      <formula>NOT(ISERROR(SEARCH("CMS",I14)))</formula>
    </cfRule>
    <cfRule type="cellIs" dxfId="14062" priority="587" operator="equal">
      <formula>0</formula>
    </cfRule>
    <cfRule type="cellIs" dxfId="14061" priority="588" operator="greaterThan">
      <formula>0</formula>
    </cfRule>
    <cfRule type="cellIs" dxfId="14060" priority="589" operator="equal">
      <formula>"PMS"</formula>
    </cfRule>
    <cfRule type="containsText" dxfId="14059" priority="590" operator="containsText" text="CMS">
      <formula>NOT(ISERROR(SEARCH("CMS",I14)))</formula>
    </cfRule>
    <cfRule type="cellIs" dxfId="14058" priority="591" operator="equal">
      <formula>0</formula>
    </cfRule>
    <cfRule type="cellIs" dxfId="14057" priority="592" operator="greaterThan">
      <formula>0</formula>
    </cfRule>
  </conditionalFormatting>
  <conditionalFormatting sqref="I14 M14:N14">
    <cfRule type="cellIs" dxfId="14056" priority="581" operator="equal">
      <formula>"PMS"</formula>
    </cfRule>
    <cfRule type="containsText" dxfId="14055" priority="582" operator="containsText" text="CMS">
      <formula>NOT(ISERROR(SEARCH("CMS",I14)))</formula>
    </cfRule>
    <cfRule type="cellIs" dxfId="14054" priority="583" operator="equal">
      <formula>0</formula>
    </cfRule>
    <cfRule type="cellIs" dxfId="14053" priority="584" operator="greaterThan">
      <formula>0</formula>
    </cfRule>
  </conditionalFormatting>
  <conditionalFormatting sqref="G13">
    <cfRule type="cellIs" dxfId="14052" priority="573" operator="equal">
      <formula>"PMS"</formula>
    </cfRule>
    <cfRule type="containsText" dxfId="14051" priority="574" operator="containsText" text="CMS">
      <formula>NOT(ISERROR(SEARCH("CMS",G13)))</formula>
    </cfRule>
    <cfRule type="cellIs" dxfId="14050" priority="575" operator="equal">
      <formula>0</formula>
    </cfRule>
    <cfRule type="cellIs" dxfId="14049" priority="576" operator="greaterThan">
      <formula>0</formula>
    </cfRule>
    <cfRule type="cellIs" dxfId="14048" priority="577" operator="equal">
      <formula>"PMS"</formula>
    </cfRule>
    <cfRule type="containsText" dxfId="14047" priority="578" operator="containsText" text="CMS">
      <formula>NOT(ISERROR(SEARCH("CMS",G13)))</formula>
    </cfRule>
    <cfRule type="cellIs" dxfId="14046" priority="579" operator="equal">
      <formula>0</formula>
    </cfRule>
    <cfRule type="cellIs" dxfId="14045" priority="580" operator="greaterThan">
      <formula>0</formula>
    </cfRule>
  </conditionalFormatting>
  <conditionalFormatting sqref="G13">
    <cfRule type="cellIs" dxfId="14044" priority="569" operator="equal">
      <formula>"PMS"</formula>
    </cfRule>
    <cfRule type="containsText" dxfId="14043" priority="570" operator="containsText" text="CMS">
      <formula>NOT(ISERROR(SEARCH("CMS",G13)))</formula>
    </cfRule>
    <cfRule type="cellIs" dxfId="14042" priority="571" operator="equal">
      <formula>0</formula>
    </cfRule>
    <cfRule type="cellIs" dxfId="14041" priority="572" operator="greaterThan">
      <formula>0</formula>
    </cfRule>
  </conditionalFormatting>
  <conditionalFormatting sqref="M13">
    <cfRule type="cellIs" dxfId="14040" priority="561" operator="equal">
      <formula>"PMS"</formula>
    </cfRule>
    <cfRule type="containsText" dxfId="14039" priority="562" operator="containsText" text="CMS">
      <formula>NOT(ISERROR(SEARCH("CMS",M13)))</formula>
    </cfRule>
    <cfRule type="cellIs" dxfId="14038" priority="563" operator="equal">
      <formula>0</formula>
    </cfRule>
    <cfRule type="cellIs" dxfId="14037" priority="564" operator="greaterThan">
      <formula>0</formula>
    </cfRule>
    <cfRule type="cellIs" dxfId="14036" priority="565" operator="equal">
      <formula>"PMS"</formula>
    </cfRule>
    <cfRule type="containsText" dxfId="14035" priority="566" operator="containsText" text="CMS">
      <formula>NOT(ISERROR(SEARCH("CMS",M13)))</formula>
    </cfRule>
    <cfRule type="cellIs" dxfId="14034" priority="567" operator="equal">
      <formula>0</formula>
    </cfRule>
    <cfRule type="cellIs" dxfId="14033" priority="568" operator="greaterThan">
      <formula>0</formula>
    </cfRule>
  </conditionalFormatting>
  <conditionalFormatting sqref="M13">
    <cfRule type="cellIs" dxfId="14032" priority="557" operator="equal">
      <formula>"PMS"</formula>
    </cfRule>
    <cfRule type="containsText" dxfId="14031" priority="558" operator="containsText" text="CMS">
      <formula>NOT(ISERROR(SEARCH("CMS",M13)))</formula>
    </cfRule>
    <cfRule type="cellIs" dxfId="14030" priority="559" operator="equal">
      <formula>0</formula>
    </cfRule>
    <cfRule type="cellIs" dxfId="14029" priority="560" operator="greaterThan">
      <formula>0</formula>
    </cfRule>
  </conditionalFormatting>
  <conditionalFormatting sqref="K13">
    <cfRule type="cellIs" dxfId="14028" priority="549" operator="equal">
      <formula>"PMS"</formula>
    </cfRule>
    <cfRule type="containsText" dxfId="14027" priority="550" operator="containsText" text="CMS">
      <formula>NOT(ISERROR(SEARCH("CMS",K13)))</formula>
    </cfRule>
    <cfRule type="cellIs" dxfId="14026" priority="551" operator="equal">
      <formula>0</formula>
    </cfRule>
    <cfRule type="cellIs" dxfId="14025" priority="552" operator="greaterThan">
      <formula>0</formula>
    </cfRule>
    <cfRule type="cellIs" dxfId="14024" priority="553" operator="equal">
      <formula>"PMS"</formula>
    </cfRule>
    <cfRule type="containsText" dxfId="14023" priority="554" operator="containsText" text="CMS">
      <formula>NOT(ISERROR(SEARCH("CMS",K13)))</formula>
    </cfRule>
    <cfRule type="cellIs" dxfId="14022" priority="555" operator="equal">
      <formula>0</formula>
    </cfRule>
    <cfRule type="cellIs" dxfId="14021" priority="556" operator="greaterThan">
      <formula>0</formula>
    </cfRule>
  </conditionalFormatting>
  <conditionalFormatting sqref="K13">
    <cfRule type="cellIs" dxfId="14020" priority="545" operator="equal">
      <formula>"PMS"</formula>
    </cfRule>
    <cfRule type="containsText" dxfId="14019" priority="546" operator="containsText" text="CMS">
      <formula>NOT(ISERROR(SEARCH("CMS",K13)))</formula>
    </cfRule>
    <cfRule type="cellIs" dxfId="14018" priority="547" operator="equal">
      <formula>0</formula>
    </cfRule>
    <cfRule type="cellIs" dxfId="14017" priority="548" operator="greaterThan">
      <formula>0</formula>
    </cfRule>
  </conditionalFormatting>
  <conditionalFormatting sqref="G113:AC113">
    <cfRule type="cellIs" dxfId="14016" priority="544" operator="greaterThan">
      <formula>60.3</formula>
    </cfRule>
  </conditionalFormatting>
  <conditionalFormatting sqref="H112:M112">
    <cfRule type="cellIs" dxfId="14015" priority="543" operator="greaterThan">
      <formula>60.3</formula>
    </cfRule>
  </conditionalFormatting>
  <conditionalFormatting sqref="F112:G112">
    <cfRule type="cellIs" dxfId="14014" priority="542" operator="greaterThan">
      <formula>60.3</formula>
    </cfRule>
  </conditionalFormatting>
  <conditionalFormatting sqref="N112:AC112">
    <cfRule type="cellIs" dxfId="14013" priority="541" operator="greaterThan">
      <formula>60.3</formula>
    </cfRule>
  </conditionalFormatting>
  <conditionalFormatting sqref="G15:G16">
    <cfRule type="cellIs" dxfId="14012" priority="533" operator="equal">
      <formula>"PMS"</formula>
    </cfRule>
    <cfRule type="containsText" dxfId="14011" priority="534" operator="containsText" text="CMS">
      <formula>NOT(ISERROR(SEARCH("CMS",G15)))</formula>
    </cfRule>
    <cfRule type="cellIs" dxfId="14010" priority="535" operator="equal">
      <formula>0</formula>
    </cfRule>
    <cfRule type="cellIs" dxfId="14009" priority="536" operator="greaterThan">
      <formula>0</formula>
    </cfRule>
    <cfRule type="cellIs" dxfId="14008" priority="537" operator="equal">
      <formula>"PMS"</formula>
    </cfRule>
    <cfRule type="containsText" dxfId="14007" priority="538" operator="containsText" text="CMS">
      <formula>NOT(ISERROR(SEARCH("CMS",G15)))</formula>
    </cfRule>
    <cfRule type="cellIs" dxfId="14006" priority="539" operator="equal">
      <formula>0</formula>
    </cfRule>
    <cfRule type="cellIs" dxfId="14005" priority="540" operator="greaterThan">
      <formula>0</formula>
    </cfRule>
  </conditionalFormatting>
  <conditionalFormatting sqref="G15:G16">
    <cfRule type="cellIs" dxfId="14004" priority="529" operator="equal">
      <formula>"PMS"</formula>
    </cfRule>
    <cfRule type="containsText" dxfId="14003" priority="530" operator="containsText" text="CMS">
      <formula>NOT(ISERROR(SEARCH("CMS",G15)))</formula>
    </cfRule>
    <cfRule type="cellIs" dxfId="14002" priority="531" operator="equal">
      <formula>0</formula>
    </cfRule>
    <cfRule type="cellIs" dxfId="14001" priority="532" operator="greaterThan">
      <formula>0</formula>
    </cfRule>
  </conditionalFormatting>
  <conditionalFormatting sqref="H14 H16">
    <cfRule type="cellIs" dxfId="14000" priority="521" operator="equal">
      <formula>"PMS"</formula>
    </cfRule>
    <cfRule type="containsText" dxfId="13999" priority="522" operator="containsText" text="CMS">
      <formula>NOT(ISERROR(SEARCH("CMS",H14)))</formula>
    </cfRule>
    <cfRule type="cellIs" dxfId="13998" priority="523" operator="equal">
      <formula>0</formula>
    </cfRule>
    <cfRule type="cellIs" dxfId="13997" priority="524" operator="greaterThan">
      <formula>0</formula>
    </cfRule>
    <cfRule type="cellIs" dxfId="13996" priority="525" operator="equal">
      <formula>"PMS"</formula>
    </cfRule>
    <cfRule type="containsText" dxfId="13995" priority="526" operator="containsText" text="CMS">
      <formula>NOT(ISERROR(SEARCH("CMS",H14)))</formula>
    </cfRule>
    <cfRule type="cellIs" dxfId="13994" priority="527" operator="equal">
      <formula>0</formula>
    </cfRule>
    <cfRule type="cellIs" dxfId="13993" priority="528" operator="greaterThan">
      <formula>0</formula>
    </cfRule>
  </conditionalFormatting>
  <conditionalFormatting sqref="H14 H16">
    <cfRule type="cellIs" dxfId="13992" priority="517" operator="equal">
      <formula>"PMS"</formula>
    </cfRule>
    <cfRule type="containsText" dxfId="13991" priority="518" operator="containsText" text="CMS">
      <formula>NOT(ISERROR(SEARCH("CMS",H14)))</formula>
    </cfRule>
    <cfRule type="cellIs" dxfId="13990" priority="519" operator="equal">
      <formula>0</formula>
    </cfRule>
    <cfRule type="cellIs" dxfId="13989" priority="520" operator="greaterThan">
      <formula>0</formula>
    </cfRule>
  </conditionalFormatting>
  <conditionalFormatting sqref="G36:G38 G57:G59">
    <cfRule type="cellIs" dxfId="13988" priority="509" operator="equal">
      <formula>"PMS"</formula>
    </cfRule>
    <cfRule type="containsText" dxfId="13987" priority="510" operator="containsText" text="CMS">
      <formula>NOT(ISERROR(SEARCH("CMS",G36)))</formula>
    </cfRule>
    <cfRule type="cellIs" dxfId="13986" priority="511" operator="equal">
      <formula>0</formula>
    </cfRule>
    <cfRule type="cellIs" dxfId="13985" priority="512" operator="greaterThan">
      <formula>0</formula>
    </cfRule>
    <cfRule type="cellIs" dxfId="13984" priority="513" operator="equal">
      <formula>"PMS"</formula>
    </cfRule>
    <cfRule type="containsText" dxfId="13983" priority="514" operator="containsText" text="CMS">
      <formula>NOT(ISERROR(SEARCH("CMS",G36)))</formula>
    </cfRule>
    <cfRule type="cellIs" dxfId="13982" priority="515" operator="equal">
      <formula>0</formula>
    </cfRule>
    <cfRule type="cellIs" dxfId="13981" priority="516" operator="greaterThan">
      <formula>0</formula>
    </cfRule>
  </conditionalFormatting>
  <conditionalFormatting sqref="G36:G38 G57:G59">
    <cfRule type="cellIs" dxfId="13980" priority="505" operator="equal">
      <formula>"PMS"</formula>
    </cfRule>
    <cfRule type="containsText" dxfId="13979" priority="506" operator="containsText" text="CMS">
      <formula>NOT(ISERROR(SEARCH("CMS",G36)))</formula>
    </cfRule>
    <cfRule type="cellIs" dxfId="13978" priority="507" operator="equal">
      <formula>0</formula>
    </cfRule>
    <cfRule type="cellIs" dxfId="13977" priority="508" operator="greaterThan">
      <formula>0</formula>
    </cfRule>
  </conditionalFormatting>
  <conditionalFormatting sqref="M36:M38 M57:M59">
    <cfRule type="cellIs" dxfId="13976" priority="497" operator="equal">
      <formula>"PMS"</formula>
    </cfRule>
    <cfRule type="containsText" dxfId="13975" priority="498" operator="containsText" text="CMS">
      <formula>NOT(ISERROR(SEARCH("CMS",M36)))</formula>
    </cfRule>
    <cfRule type="cellIs" dxfId="13974" priority="499" operator="equal">
      <formula>0</formula>
    </cfRule>
    <cfRule type="cellIs" dxfId="13973" priority="500" operator="greaterThan">
      <formula>0</formula>
    </cfRule>
    <cfRule type="cellIs" dxfId="13972" priority="501" operator="equal">
      <formula>"PMS"</formula>
    </cfRule>
    <cfRule type="containsText" dxfId="13971" priority="502" operator="containsText" text="CMS">
      <formula>NOT(ISERROR(SEARCH("CMS",M36)))</formula>
    </cfRule>
    <cfRule type="cellIs" dxfId="13970" priority="503" operator="equal">
      <formula>0</formula>
    </cfRule>
    <cfRule type="cellIs" dxfId="13969" priority="504" operator="greaterThan">
      <formula>0</formula>
    </cfRule>
  </conditionalFormatting>
  <conditionalFormatting sqref="M36:M38 M57:M59">
    <cfRule type="cellIs" dxfId="13968" priority="493" operator="equal">
      <formula>"PMS"</formula>
    </cfRule>
    <cfRule type="containsText" dxfId="13967" priority="494" operator="containsText" text="CMS">
      <formula>NOT(ISERROR(SEARCH("CMS",M36)))</formula>
    </cfRule>
    <cfRule type="cellIs" dxfId="13966" priority="495" operator="equal">
      <formula>0</formula>
    </cfRule>
    <cfRule type="cellIs" dxfId="13965" priority="496" operator="greaterThan">
      <formula>0</formula>
    </cfRule>
  </conditionalFormatting>
  <conditionalFormatting sqref="K36:K38 K57:K59">
    <cfRule type="cellIs" dxfId="13964" priority="485" operator="equal">
      <formula>"PMS"</formula>
    </cfRule>
    <cfRule type="containsText" dxfId="13963" priority="486" operator="containsText" text="CMS">
      <formula>NOT(ISERROR(SEARCH("CMS",K36)))</formula>
    </cfRule>
    <cfRule type="cellIs" dxfId="13962" priority="487" operator="equal">
      <formula>0</formula>
    </cfRule>
    <cfRule type="cellIs" dxfId="13961" priority="488" operator="greaterThan">
      <formula>0</formula>
    </cfRule>
    <cfRule type="cellIs" dxfId="13960" priority="489" operator="equal">
      <formula>"PMS"</formula>
    </cfRule>
    <cfRule type="containsText" dxfId="13959" priority="490" operator="containsText" text="CMS">
      <formula>NOT(ISERROR(SEARCH("CMS",K36)))</formula>
    </cfRule>
    <cfRule type="cellIs" dxfId="13958" priority="491" operator="equal">
      <formula>0</formula>
    </cfRule>
    <cfRule type="cellIs" dxfId="13957" priority="492" operator="greaterThan">
      <formula>0</formula>
    </cfRule>
  </conditionalFormatting>
  <conditionalFormatting sqref="K36:K38 K57:K59">
    <cfRule type="cellIs" dxfId="13956" priority="481" operator="equal">
      <formula>"PMS"</formula>
    </cfRule>
    <cfRule type="containsText" dxfId="13955" priority="482" operator="containsText" text="CMS">
      <formula>NOT(ISERROR(SEARCH("CMS",K36)))</formula>
    </cfRule>
    <cfRule type="cellIs" dxfId="13954" priority="483" operator="equal">
      <formula>0</formula>
    </cfRule>
    <cfRule type="cellIs" dxfId="13953" priority="484" operator="greaterThan">
      <formula>0</formula>
    </cfRule>
  </conditionalFormatting>
  <conditionalFormatting sqref="K14:L14">
    <cfRule type="cellIs" dxfId="13952" priority="473" operator="equal">
      <formula>"PMS"</formula>
    </cfRule>
    <cfRule type="containsText" dxfId="13951" priority="474" operator="containsText" text="CMS">
      <formula>NOT(ISERROR(SEARCH("CMS",K14)))</formula>
    </cfRule>
    <cfRule type="cellIs" dxfId="13950" priority="475" operator="equal">
      <formula>0</formula>
    </cfRule>
    <cfRule type="cellIs" dxfId="13949" priority="476" operator="greaterThan">
      <formula>0</formula>
    </cfRule>
    <cfRule type="cellIs" dxfId="13948" priority="477" operator="equal">
      <formula>"PMS"</formula>
    </cfRule>
    <cfRule type="containsText" dxfId="13947" priority="478" operator="containsText" text="CMS">
      <formula>NOT(ISERROR(SEARCH("CMS",K14)))</formula>
    </cfRule>
    <cfRule type="cellIs" dxfId="13946" priority="479" operator="equal">
      <formula>0</formula>
    </cfRule>
    <cfRule type="cellIs" dxfId="13945" priority="480" operator="greaterThan">
      <formula>0</formula>
    </cfRule>
  </conditionalFormatting>
  <conditionalFormatting sqref="K14:L14">
    <cfRule type="cellIs" dxfId="13944" priority="469" operator="equal">
      <formula>"PMS"</formula>
    </cfRule>
    <cfRule type="containsText" dxfId="13943" priority="470" operator="containsText" text="CMS">
      <formula>NOT(ISERROR(SEARCH("CMS",K14)))</formula>
    </cfRule>
    <cfRule type="cellIs" dxfId="13942" priority="471" operator="equal">
      <formula>0</formula>
    </cfRule>
    <cfRule type="cellIs" dxfId="13941" priority="472" operator="greaterThan">
      <formula>0</formula>
    </cfRule>
  </conditionalFormatting>
  <conditionalFormatting sqref="G49">
    <cfRule type="cellIs" dxfId="13940" priority="461" operator="equal">
      <formula>"PMS"</formula>
    </cfRule>
    <cfRule type="containsText" dxfId="13939" priority="462" operator="containsText" text="CMS">
      <formula>NOT(ISERROR(SEARCH("CMS",G49)))</formula>
    </cfRule>
    <cfRule type="cellIs" dxfId="13938" priority="463" operator="equal">
      <formula>0</formula>
    </cfRule>
    <cfRule type="cellIs" dxfId="13937" priority="464" operator="greaterThan">
      <formula>0</formula>
    </cfRule>
    <cfRule type="cellIs" dxfId="13936" priority="465" operator="equal">
      <formula>"PMS"</formula>
    </cfRule>
    <cfRule type="containsText" dxfId="13935" priority="466" operator="containsText" text="CMS">
      <formula>NOT(ISERROR(SEARCH("CMS",G49)))</formula>
    </cfRule>
    <cfRule type="cellIs" dxfId="13934" priority="467" operator="equal">
      <formula>0</formula>
    </cfRule>
    <cfRule type="cellIs" dxfId="13933" priority="468" operator="greaterThan">
      <formula>0</formula>
    </cfRule>
  </conditionalFormatting>
  <conditionalFormatting sqref="G49">
    <cfRule type="cellIs" dxfId="13932" priority="457" operator="equal">
      <formula>"PMS"</formula>
    </cfRule>
    <cfRule type="containsText" dxfId="13931" priority="458" operator="containsText" text="CMS">
      <formula>NOT(ISERROR(SEARCH("CMS",G49)))</formula>
    </cfRule>
    <cfRule type="cellIs" dxfId="13930" priority="459" operator="equal">
      <formula>0</formula>
    </cfRule>
    <cfRule type="cellIs" dxfId="13929" priority="460" operator="greaterThan">
      <formula>0</formula>
    </cfRule>
  </conditionalFormatting>
  <conditionalFormatting sqref="M49:N49">
    <cfRule type="cellIs" dxfId="13928" priority="449" operator="equal">
      <formula>"PMS"</formula>
    </cfRule>
    <cfRule type="containsText" dxfId="13927" priority="450" operator="containsText" text="CMS">
      <formula>NOT(ISERROR(SEARCH("CMS",M49)))</formula>
    </cfRule>
    <cfRule type="cellIs" dxfId="13926" priority="451" operator="equal">
      <formula>0</formula>
    </cfRule>
    <cfRule type="cellIs" dxfId="13925" priority="452" operator="greaterThan">
      <formula>0</formula>
    </cfRule>
    <cfRule type="cellIs" dxfId="13924" priority="453" operator="equal">
      <formula>"PMS"</formula>
    </cfRule>
    <cfRule type="containsText" dxfId="13923" priority="454" operator="containsText" text="CMS">
      <formula>NOT(ISERROR(SEARCH("CMS",M49)))</formula>
    </cfRule>
    <cfRule type="cellIs" dxfId="13922" priority="455" operator="equal">
      <formula>0</formula>
    </cfRule>
    <cfRule type="cellIs" dxfId="13921" priority="456" operator="greaterThan">
      <formula>0</formula>
    </cfRule>
  </conditionalFormatting>
  <conditionalFormatting sqref="M49:N49">
    <cfRule type="cellIs" dxfId="13920" priority="445" operator="equal">
      <formula>"PMS"</formula>
    </cfRule>
    <cfRule type="containsText" dxfId="13919" priority="446" operator="containsText" text="CMS">
      <formula>NOT(ISERROR(SEARCH("CMS",M49)))</formula>
    </cfRule>
    <cfRule type="cellIs" dxfId="13918" priority="447" operator="equal">
      <formula>0</formula>
    </cfRule>
    <cfRule type="cellIs" dxfId="13917" priority="448" operator="greaterThan">
      <formula>0</formula>
    </cfRule>
  </conditionalFormatting>
  <conditionalFormatting sqref="K49">
    <cfRule type="cellIs" dxfId="13916" priority="437" operator="equal">
      <formula>"PMS"</formula>
    </cfRule>
    <cfRule type="containsText" dxfId="13915" priority="438" operator="containsText" text="CMS">
      <formula>NOT(ISERROR(SEARCH("CMS",K49)))</formula>
    </cfRule>
    <cfRule type="cellIs" dxfId="13914" priority="439" operator="equal">
      <formula>0</formula>
    </cfRule>
    <cfRule type="cellIs" dxfId="13913" priority="440" operator="greaterThan">
      <formula>0</formula>
    </cfRule>
    <cfRule type="cellIs" dxfId="13912" priority="441" operator="equal">
      <formula>"PMS"</formula>
    </cfRule>
    <cfRule type="containsText" dxfId="13911" priority="442" operator="containsText" text="CMS">
      <formula>NOT(ISERROR(SEARCH("CMS",K49)))</formula>
    </cfRule>
    <cfRule type="cellIs" dxfId="13910" priority="443" operator="equal">
      <formula>0</formula>
    </cfRule>
    <cfRule type="cellIs" dxfId="13909" priority="444" operator="greaterThan">
      <formula>0</formula>
    </cfRule>
  </conditionalFormatting>
  <conditionalFormatting sqref="K49">
    <cfRule type="cellIs" dxfId="13908" priority="433" operator="equal">
      <formula>"PMS"</formula>
    </cfRule>
    <cfRule type="containsText" dxfId="13907" priority="434" operator="containsText" text="CMS">
      <formula>NOT(ISERROR(SEARCH("CMS",K49)))</formula>
    </cfRule>
    <cfRule type="cellIs" dxfId="13906" priority="435" operator="equal">
      <formula>0</formula>
    </cfRule>
    <cfRule type="cellIs" dxfId="13905" priority="436" operator="greaterThan">
      <formula>0</formula>
    </cfRule>
  </conditionalFormatting>
  <conditionalFormatting sqref="H33:J33 L33 L27:L29 H24:J24 H19:J20 L20:L21 V28:AC28 M21 Q28 N28:P29 N33:AC33 P30 Q29:AC30 H27:J30 I21:K21 K19:M19 N30 H79:J79 S28:T28 N19:AC21 O78:V78 X78:AC78 L24:AC24 L79:Z79 AB79:AC79">
    <cfRule type="cellIs" dxfId="13904" priority="425" operator="equal">
      <formula>"PMS"</formula>
    </cfRule>
    <cfRule type="containsText" dxfId="13903" priority="426" operator="containsText" text="CMS">
      <formula>NOT(ISERROR(SEARCH("CMS",H19)))</formula>
    </cfRule>
    <cfRule type="cellIs" dxfId="13902" priority="427" operator="equal">
      <formula>0</formula>
    </cfRule>
    <cfRule type="cellIs" dxfId="13901" priority="428" operator="greaterThan">
      <formula>0</formula>
    </cfRule>
    <cfRule type="cellIs" dxfId="13900" priority="429" operator="equal">
      <formula>"PMS"</formula>
    </cfRule>
    <cfRule type="containsText" dxfId="13899" priority="430" operator="containsText" text="CMS">
      <formula>NOT(ISERROR(SEARCH("CMS",H19)))</formula>
    </cfRule>
    <cfRule type="cellIs" dxfId="13898" priority="431" operator="equal">
      <formula>0</formula>
    </cfRule>
    <cfRule type="cellIs" dxfId="13897" priority="432" operator="greaterThan">
      <formula>0</formula>
    </cfRule>
  </conditionalFormatting>
  <conditionalFormatting sqref="H33:J33 L33 L27:L29 H24:J24 H19:J20 L20:L21 V28:AC28 M21 Q28 N28:P29 N33:AC33 P30 Q29:AC30 H27:J30 I21:K21 K19:M19 N30 H79:J79 S28:T28 N19:AC21 O78:V78 X78:AC78 L24:AC24 L79:Z79 AB79:AC79">
    <cfRule type="cellIs" dxfId="13896" priority="421" operator="equal">
      <formula>"PMS"</formula>
    </cfRule>
    <cfRule type="containsText" dxfId="13895" priority="422" operator="containsText" text="CMS">
      <formula>NOT(ISERROR(SEARCH("CMS",H19)))</formula>
    </cfRule>
    <cfRule type="cellIs" dxfId="13894" priority="423" operator="equal">
      <formula>0</formula>
    </cfRule>
    <cfRule type="cellIs" dxfId="13893" priority="424" operator="greaterThan">
      <formula>0</formula>
    </cfRule>
  </conditionalFormatting>
  <conditionalFormatting sqref="G33 G27:G30 G24 G39:G48 G50:G56 G19:G21 G79 H21">
    <cfRule type="cellIs" dxfId="13892" priority="413" operator="equal">
      <formula>"PMS"</formula>
    </cfRule>
    <cfRule type="containsText" dxfId="13891" priority="414" operator="containsText" text="CMS">
      <formula>NOT(ISERROR(SEARCH("CMS",G19)))</formula>
    </cfRule>
    <cfRule type="cellIs" dxfId="13890" priority="415" operator="equal">
      <formula>0</formula>
    </cfRule>
    <cfRule type="cellIs" dxfId="13889" priority="416" operator="greaterThan">
      <formula>0</formula>
    </cfRule>
    <cfRule type="cellIs" dxfId="13888" priority="417" operator="equal">
      <formula>"PMS"</formula>
    </cfRule>
    <cfRule type="containsText" dxfId="13887" priority="418" operator="containsText" text="CMS">
      <formula>NOT(ISERROR(SEARCH("CMS",G19)))</formula>
    </cfRule>
    <cfRule type="cellIs" dxfId="13886" priority="419" operator="equal">
      <formula>0</formula>
    </cfRule>
    <cfRule type="cellIs" dxfId="13885" priority="420" operator="greaterThan">
      <formula>0</formula>
    </cfRule>
  </conditionalFormatting>
  <conditionalFormatting sqref="G33 G27:G30 G24 G39:G48 G50:G56 G19:G21 G79 H21">
    <cfRule type="cellIs" dxfId="13884" priority="409" operator="equal">
      <formula>"PMS"</formula>
    </cfRule>
    <cfRule type="containsText" dxfId="13883" priority="410" operator="containsText" text="CMS">
      <formula>NOT(ISERROR(SEARCH("CMS",G19)))</formula>
    </cfRule>
    <cfRule type="cellIs" dxfId="13882" priority="411" operator="equal">
      <formula>0</formula>
    </cfRule>
    <cfRule type="cellIs" dxfId="13881" priority="412" operator="greaterThan">
      <formula>0</formula>
    </cfRule>
  </conditionalFormatting>
  <conditionalFormatting sqref="M39:M48 M33 M27:M29 M20 AB27:AC27 N27:Q27 N47 M56 N51:N55 N78 S27:X27 M62:M64">
    <cfRule type="cellIs" dxfId="13880" priority="401" operator="equal">
      <formula>"PMS"</formula>
    </cfRule>
    <cfRule type="containsText" dxfId="13879" priority="402" operator="containsText" text="CMS">
      <formula>NOT(ISERROR(SEARCH("CMS",M20)))</formula>
    </cfRule>
    <cfRule type="cellIs" dxfId="13878" priority="403" operator="equal">
      <formula>0</formula>
    </cfRule>
    <cfRule type="cellIs" dxfId="13877" priority="404" operator="greaterThan">
      <formula>0</formula>
    </cfRule>
    <cfRule type="cellIs" dxfId="13876" priority="405" operator="equal">
      <formula>"PMS"</formula>
    </cfRule>
    <cfRule type="containsText" dxfId="13875" priority="406" operator="containsText" text="CMS">
      <formula>NOT(ISERROR(SEARCH("CMS",M20)))</formula>
    </cfRule>
    <cfRule type="cellIs" dxfId="13874" priority="407" operator="equal">
      <formula>0</formula>
    </cfRule>
    <cfRule type="cellIs" dxfId="13873" priority="408" operator="greaterThan">
      <formula>0</formula>
    </cfRule>
  </conditionalFormatting>
  <conditionalFormatting sqref="M39:M48 M33 M27:M29 M20 AB27:AC27 N27:Q27 N47 M56 N51:N55 N78 S27:X27 M62:M64">
    <cfRule type="cellIs" dxfId="13872" priority="397" operator="equal">
      <formula>"PMS"</formula>
    </cfRule>
    <cfRule type="containsText" dxfId="13871" priority="398" operator="containsText" text="CMS">
      <formula>NOT(ISERROR(SEARCH("CMS",M20)))</formula>
    </cfRule>
    <cfRule type="cellIs" dxfId="13870" priority="399" operator="equal">
      <formula>0</formula>
    </cfRule>
    <cfRule type="cellIs" dxfId="13869" priority="400" operator="greaterThan">
      <formula>0</formula>
    </cfRule>
  </conditionalFormatting>
  <conditionalFormatting sqref="K50:K56 K39:K48 K33 K27 K24 K20 K29:K30 K79">
    <cfRule type="cellIs" dxfId="13868" priority="389" operator="equal">
      <formula>"PMS"</formula>
    </cfRule>
    <cfRule type="containsText" dxfId="13867" priority="390" operator="containsText" text="CMS">
      <formula>NOT(ISERROR(SEARCH("CMS",K20)))</formula>
    </cfRule>
    <cfRule type="cellIs" dxfId="13866" priority="391" operator="equal">
      <formula>0</formula>
    </cfRule>
    <cfRule type="cellIs" dxfId="13865" priority="392" operator="greaterThan">
      <formula>0</formula>
    </cfRule>
    <cfRule type="cellIs" dxfId="13864" priority="393" operator="equal">
      <formula>"PMS"</formula>
    </cfRule>
    <cfRule type="containsText" dxfId="13863" priority="394" operator="containsText" text="CMS">
      <formula>NOT(ISERROR(SEARCH("CMS",K20)))</formula>
    </cfRule>
    <cfRule type="cellIs" dxfId="13862" priority="395" operator="equal">
      <formula>0</formula>
    </cfRule>
    <cfRule type="cellIs" dxfId="13861" priority="396" operator="greaterThan">
      <formula>0</formula>
    </cfRule>
  </conditionalFormatting>
  <conditionalFormatting sqref="K50:K56 K39:K48 K33 K27 K24 K20 K29:K30 K79">
    <cfRule type="cellIs" dxfId="13860" priority="385" operator="equal">
      <formula>"PMS"</formula>
    </cfRule>
    <cfRule type="containsText" dxfId="13859" priority="386" operator="containsText" text="CMS">
      <formula>NOT(ISERROR(SEARCH("CMS",K20)))</formula>
    </cfRule>
    <cfRule type="cellIs" dxfId="13858" priority="387" operator="equal">
      <formula>0</formula>
    </cfRule>
    <cfRule type="cellIs" dxfId="13857" priority="388" operator="greaterThan">
      <formula>0</formula>
    </cfRule>
  </conditionalFormatting>
  <conditionalFormatting sqref="K28">
    <cfRule type="cellIs" dxfId="13856" priority="377" operator="equal">
      <formula>"PMS"</formula>
    </cfRule>
    <cfRule type="containsText" dxfId="13855" priority="378" operator="containsText" text="CMS">
      <formula>NOT(ISERROR(SEARCH("CMS",K28)))</formula>
    </cfRule>
    <cfRule type="cellIs" dxfId="13854" priority="379" operator="equal">
      <formula>0</formula>
    </cfRule>
    <cfRule type="cellIs" dxfId="13853" priority="380" operator="greaterThan">
      <formula>0</formula>
    </cfRule>
    <cfRule type="cellIs" dxfId="13852" priority="381" operator="equal">
      <formula>"PMS"</formula>
    </cfRule>
    <cfRule type="containsText" dxfId="13851" priority="382" operator="containsText" text="CMS">
      <formula>NOT(ISERROR(SEARCH("CMS",K28)))</formula>
    </cfRule>
    <cfRule type="cellIs" dxfId="13850" priority="383" operator="equal">
      <formula>0</formula>
    </cfRule>
    <cfRule type="cellIs" dxfId="13849" priority="384" operator="greaterThan">
      <formula>0</formula>
    </cfRule>
  </conditionalFormatting>
  <conditionalFormatting sqref="K28">
    <cfRule type="cellIs" dxfId="13848" priority="373" operator="equal">
      <formula>"PMS"</formula>
    </cfRule>
    <cfRule type="containsText" dxfId="13847" priority="374" operator="containsText" text="CMS">
      <formula>NOT(ISERROR(SEARCH("CMS",K28)))</formula>
    </cfRule>
    <cfRule type="cellIs" dxfId="13846" priority="375" operator="equal">
      <formula>0</formula>
    </cfRule>
    <cfRule type="cellIs" dxfId="13845" priority="376" operator="greaterThan">
      <formula>0</formula>
    </cfRule>
  </conditionalFormatting>
  <conditionalFormatting sqref="N62:O62 O63:O64">
    <cfRule type="cellIs" dxfId="13844" priority="365" operator="equal">
      <formula>"PMS"</formula>
    </cfRule>
    <cfRule type="containsText" dxfId="13843" priority="366" operator="containsText" text="CMS">
      <formula>NOT(ISERROR(SEARCH("CMS",N62)))</formula>
    </cfRule>
    <cfRule type="cellIs" dxfId="13842" priority="367" operator="equal">
      <formula>0</formula>
    </cfRule>
    <cfRule type="cellIs" dxfId="13841" priority="368" operator="greaterThan">
      <formula>0</formula>
    </cfRule>
    <cfRule type="cellIs" dxfId="13840" priority="369" operator="equal">
      <formula>"PMS"</formula>
    </cfRule>
    <cfRule type="containsText" dxfId="13839" priority="370" operator="containsText" text="CMS">
      <formula>NOT(ISERROR(SEARCH("CMS",N62)))</formula>
    </cfRule>
    <cfRule type="cellIs" dxfId="13838" priority="371" operator="equal">
      <formula>0</formula>
    </cfRule>
    <cfRule type="cellIs" dxfId="13837" priority="372" operator="greaterThan">
      <formula>0</formula>
    </cfRule>
  </conditionalFormatting>
  <conditionalFormatting sqref="N62:O62 O63:O64">
    <cfRule type="cellIs" dxfId="13836" priority="361" operator="equal">
      <formula>"PMS"</formula>
    </cfRule>
    <cfRule type="containsText" dxfId="13835" priority="362" operator="containsText" text="CMS">
      <formula>NOT(ISERROR(SEARCH("CMS",N62)))</formula>
    </cfRule>
    <cfRule type="cellIs" dxfId="13834" priority="363" operator="equal">
      <formula>0</formula>
    </cfRule>
    <cfRule type="cellIs" dxfId="13833" priority="364" operator="greaterThan">
      <formula>0</formula>
    </cfRule>
  </conditionalFormatting>
  <conditionalFormatting sqref="J14">
    <cfRule type="cellIs" dxfId="13832" priority="353" operator="equal">
      <formula>"PMS"</formula>
    </cfRule>
    <cfRule type="containsText" dxfId="13831" priority="354" operator="containsText" text="CMS">
      <formula>NOT(ISERROR(SEARCH("CMS",J14)))</formula>
    </cfRule>
    <cfRule type="cellIs" dxfId="13830" priority="355" operator="equal">
      <formula>0</formula>
    </cfRule>
    <cfRule type="cellIs" dxfId="13829" priority="356" operator="greaterThan">
      <formula>0</formula>
    </cfRule>
    <cfRule type="cellIs" dxfId="13828" priority="357" operator="equal">
      <formula>"PMS"</formula>
    </cfRule>
    <cfRule type="containsText" dxfId="13827" priority="358" operator="containsText" text="CMS">
      <formula>NOT(ISERROR(SEARCH("CMS",J14)))</formula>
    </cfRule>
    <cfRule type="cellIs" dxfId="13826" priority="359" operator="equal">
      <formula>0</formula>
    </cfRule>
    <cfRule type="cellIs" dxfId="13825" priority="360" operator="greaterThan">
      <formula>0</formula>
    </cfRule>
  </conditionalFormatting>
  <conditionalFormatting sqref="J14">
    <cfRule type="cellIs" dxfId="13824" priority="349" operator="equal">
      <formula>"PMS"</formula>
    </cfRule>
    <cfRule type="containsText" dxfId="13823" priority="350" operator="containsText" text="CMS">
      <formula>NOT(ISERROR(SEARCH("CMS",J14)))</formula>
    </cfRule>
    <cfRule type="cellIs" dxfId="13822" priority="351" operator="equal">
      <formula>0</formula>
    </cfRule>
    <cfRule type="cellIs" dxfId="13821" priority="352" operator="greaterThan">
      <formula>0</formula>
    </cfRule>
  </conditionalFormatting>
  <conditionalFormatting sqref="U28">
    <cfRule type="cellIs" dxfId="13820" priority="341" operator="equal">
      <formula>"PMS"</formula>
    </cfRule>
    <cfRule type="containsText" dxfId="13819" priority="342" operator="containsText" text="CMS">
      <formula>NOT(ISERROR(SEARCH("CMS",U28)))</formula>
    </cfRule>
    <cfRule type="cellIs" dxfId="13818" priority="343" operator="equal">
      <formula>0</formula>
    </cfRule>
    <cfRule type="cellIs" dxfId="13817" priority="344" operator="greaterThan">
      <formula>0</formula>
    </cfRule>
    <cfRule type="cellIs" dxfId="13816" priority="345" operator="equal">
      <formula>"PMS"</formula>
    </cfRule>
    <cfRule type="containsText" dxfId="13815" priority="346" operator="containsText" text="CMS">
      <formula>NOT(ISERROR(SEARCH("CMS",U28)))</formula>
    </cfRule>
    <cfRule type="cellIs" dxfId="13814" priority="347" operator="equal">
      <formula>0</formula>
    </cfRule>
    <cfRule type="cellIs" dxfId="13813" priority="348" operator="greaterThan">
      <formula>0</formula>
    </cfRule>
  </conditionalFormatting>
  <conditionalFormatting sqref="U28">
    <cfRule type="cellIs" dxfId="13812" priority="337" operator="equal">
      <formula>"PMS"</formula>
    </cfRule>
    <cfRule type="containsText" dxfId="13811" priority="338" operator="containsText" text="CMS">
      <formula>NOT(ISERROR(SEARCH("CMS",U28)))</formula>
    </cfRule>
    <cfRule type="cellIs" dxfId="13810" priority="339" operator="equal">
      <formula>0</formula>
    </cfRule>
    <cfRule type="cellIs" dxfId="13809" priority="340" operator="greaterThan">
      <formula>0</formula>
    </cfRule>
  </conditionalFormatting>
  <conditionalFormatting sqref="Y27:AA27">
    <cfRule type="cellIs" dxfId="13808" priority="329" operator="equal">
      <formula>"PMS"</formula>
    </cfRule>
    <cfRule type="containsText" dxfId="13807" priority="330" operator="containsText" text="CMS">
      <formula>NOT(ISERROR(SEARCH("CMS",Y27)))</formula>
    </cfRule>
    <cfRule type="cellIs" dxfId="13806" priority="331" operator="equal">
      <formula>0</formula>
    </cfRule>
    <cfRule type="cellIs" dxfId="13805" priority="332" operator="greaterThan">
      <formula>0</formula>
    </cfRule>
    <cfRule type="cellIs" dxfId="13804" priority="333" operator="equal">
      <formula>"PMS"</formula>
    </cfRule>
    <cfRule type="containsText" dxfId="13803" priority="334" operator="containsText" text="CMS">
      <formula>NOT(ISERROR(SEARCH("CMS",Y27)))</formula>
    </cfRule>
    <cfRule type="cellIs" dxfId="13802" priority="335" operator="equal">
      <formula>0</formula>
    </cfRule>
    <cfRule type="cellIs" dxfId="13801" priority="336" operator="greaterThan">
      <formula>0</formula>
    </cfRule>
  </conditionalFormatting>
  <conditionalFormatting sqref="Y27:AA27">
    <cfRule type="cellIs" dxfId="13800" priority="325" operator="equal">
      <formula>"PMS"</formula>
    </cfRule>
    <cfRule type="containsText" dxfId="13799" priority="326" operator="containsText" text="CMS">
      <formula>NOT(ISERROR(SEARCH("CMS",Y27)))</formula>
    </cfRule>
    <cfRule type="cellIs" dxfId="13798" priority="327" operator="equal">
      <formula>0</formula>
    </cfRule>
    <cfRule type="cellIs" dxfId="13797" priority="328" operator="greaterThan">
      <formula>0</formula>
    </cfRule>
  </conditionalFormatting>
  <conditionalFormatting sqref="G62:G64">
    <cfRule type="cellIs" dxfId="13796" priority="317" operator="equal">
      <formula>"PMS"</formula>
    </cfRule>
    <cfRule type="containsText" dxfId="13795" priority="318" operator="containsText" text="CMS">
      <formula>NOT(ISERROR(SEARCH("CMS",G62)))</formula>
    </cfRule>
    <cfRule type="cellIs" dxfId="13794" priority="319" operator="equal">
      <formula>0</formula>
    </cfRule>
    <cfRule type="cellIs" dxfId="13793" priority="320" operator="greaterThan">
      <formula>0</formula>
    </cfRule>
    <cfRule type="cellIs" dxfId="13792" priority="321" operator="equal">
      <formula>"PMS"</formula>
    </cfRule>
    <cfRule type="containsText" dxfId="13791" priority="322" operator="containsText" text="CMS">
      <formula>NOT(ISERROR(SEARCH("CMS",G62)))</formula>
    </cfRule>
    <cfRule type="cellIs" dxfId="13790" priority="323" operator="equal">
      <formula>0</formula>
    </cfRule>
    <cfRule type="cellIs" dxfId="13789" priority="324" operator="greaterThan">
      <formula>0</formula>
    </cfRule>
  </conditionalFormatting>
  <conditionalFormatting sqref="G62:G64">
    <cfRule type="cellIs" dxfId="13788" priority="313" operator="equal">
      <formula>"PMS"</formula>
    </cfRule>
    <cfRule type="containsText" dxfId="13787" priority="314" operator="containsText" text="CMS">
      <formula>NOT(ISERROR(SEARCH("CMS",G62)))</formula>
    </cfRule>
    <cfRule type="cellIs" dxfId="13786" priority="315" operator="equal">
      <formula>0</formula>
    </cfRule>
    <cfRule type="cellIs" dxfId="13785" priority="316" operator="greaterThan">
      <formula>0</formula>
    </cfRule>
  </conditionalFormatting>
  <conditionalFormatting sqref="N40">
    <cfRule type="cellIs" dxfId="13784" priority="305" operator="equal">
      <formula>"PMS"</formula>
    </cfRule>
    <cfRule type="containsText" dxfId="13783" priority="306" operator="containsText" text="CMS">
      <formula>NOT(ISERROR(SEARCH("CMS",N40)))</formula>
    </cfRule>
    <cfRule type="cellIs" dxfId="13782" priority="307" operator="equal">
      <formula>0</formula>
    </cfRule>
    <cfRule type="cellIs" dxfId="13781" priority="308" operator="greaterThan">
      <formula>0</formula>
    </cfRule>
    <cfRule type="cellIs" dxfId="13780" priority="309" operator="equal">
      <formula>"PMS"</formula>
    </cfRule>
    <cfRule type="containsText" dxfId="13779" priority="310" operator="containsText" text="CMS">
      <formula>NOT(ISERROR(SEARCH("CMS",N40)))</formula>
    </cfRule>
    <cfRule type="cellIs" dxfId="13778" priority="311" operator="equal">
      <formula>0</formula>
    </cfRule>
    <cfRule type="cellIs" dxfId="13777" priority="312" operator="greaterThan">
      <formula>0</formula>
    </cfRule>
  </conditionalFormatting>
  <conditionalFormatting sqref="N40">
    <cfRule type="cellIs" dxfId="13776" priority="301" operator="equal">
      <formula>"PMS"</formula>
    </cfRule>
    <cfRule type="containsText" dxfId="13775" priority="302" operator="containsText" text="CMS">
      <formula>NOT(ISERROR(SEARCH("CMS",N40)))</formula>
    </cfRule>
    <cfRule type="cellIs" dxfId="13774" priority="303" operator="equal">
      <formula>0</formula>
    </cfRule>
    <cfRule type="cellIs" dxfId="13773" priority="304" operator="greaterThan">
      <formula>0</formula>
    </cfRule>
  </conditionalFormatting>
  <conditionalFormatting sqref="O30">
    <cfRule type="cellIs" dxfId="13772" priority="293" operator="equal">
      <formula>"PMS"</formula>
    </cfRule>
    <cfRule type="containsText" dxfId="13771" priority="294" operator="containsText" text="CMS">
      <formula>NOT(ISERROR(SEARCH("CMS",O30)))</formula>
    </cfRule>
    <cfRule type="cellIs" dxfId="13770" priority="295" operator="equal">
      <formula>0</formula>
    </cfRule>
    <cfRule type="cellIs" dxfId="13769" priority="296" operator="greaterThan">
      <formula>0</formula>
    </cfRule>
    <cfRule type="cellIs" dxfId="13768" priority="297" operator="equal">
      <formula>"PMS"</formula>
    </cfRule>
    <cfRule type="containsText" dxfId="13767" priority="298" operator="containsText" text="CMS">
      <formula>NOT(ISERROR(SEARCH("CMS",O30)))</formula>
    </cfRule>
    <cfRule type="cellIs" dxfId="13766" priority="299" operator="equal">
      <formula>0</formula>
    </cfRule>
    <cfRule type="cellIs" dxfId="13765" priority="300" operator="greaterThan">
      <formula>0</formula>
    </cfRule>
  </conditionalFormatting>
  <conditionalFormatting sqref="O30">
    <cfRule type="cellIs" dxfId="13764" priority="289" operator="equal">
      <formula>"PMS"</formula>
    </cfRule>
    <cfRule type="containsText" dxfId="13763" priority="290" operator="containsText" text="CMS">
      <formula>NOT(ISERROR(SEARCH("CMS",O30)))</formula>
    </cfRule>
    <cfRule type="cellIs" dxfId="13762" priority="291" operator="equal">
      <formula>0</formula>
    </cfRule>
    <cfRule type="cellIs" dxfId="13761" priority="292" operator="greaterThan">
      <formula>0</formula>
    </cfRule>
  </conditionalFormatting>
  <conditionalFormatting sqref="O47:O49">
    <cfRule type="cellIs" dxfId="13760" priority="281" operator="equal">
      <formula>"PMS"</formula>
    </cfRule>
    <cfRule type="containsText" dxfId="13759" priority="282" operator="containsText" text="CMS">
      <formula>NOT(ISERROR(SEARCH("CMS",O47)))</formula>
    </cfRule>
    <cfRule type="cellIs" dxfId="13758" priority="283" operator="equal">
      <formula>0</formula>
    </cfRule>
    <cfRule type="cellIs" dxfId="13757" priority="284" operator="greaterThan">
      <formula>0</formula>
    </cfRule>
    <cfRule type="cellIs" dxfId="13756" priority="285" operator="equal">
      <formula>"PMS"</formula>
    </cfRule>
    <cfRule type="containsText" dxfId="13755" priority="286" operator="containsText" text="CMS">
      <formula>NOT(ISERROR(SEARCH("CMS",O47)))</formula>
    </cfRule>
    <cfRule type="cellIs" dxfId="13754" priority="287" operator="equal">
      <formula>0</formula>
    </cfRule>
    <cfRule type="cellIs" dxfId="13753" priority="288" operator="greaterThan">
      <formula>0</formula>
    </cfRule>
  </conditionalFormatting>
  <conditionalFormatting sqref="O47:O49">
    <cfRule type="cellIs" dxfId="13752" priority="277" operator="equal">
      <formula>"PMS"</formula>
    </cfRule>
    <cfRule type="containsText" dxfId="13751" priority="278" operator="containsText" text="CMS">
      <formula>NOT(ISERROR(SEARCH("CMS",O47)))</formula>
    </cfRule>
    <cfRule type="cellIs" dxfId="13750" priority="279" operator="equal">
      <formula>0</formula>
    </cfRule>
    <cfRule type="cellIs" dxfId="13749" priority="280" operator="greaterThan">
      <formula>0</formula>
    </cfRule>
  </conditionalFormatting>
  <conditionalFormatting sqref="F82">
    <cfRule type="cellIs" dxfId="13748" priority="269" operator="equal">
      <formula>"PMS"</formula>
    </cfRule>
    <cfRule type="containsText" dxfId="13747" priority="270" operator="containsText" text="CMS">
      <formula>NOT(ISERROR(SEARCH("CMS",F82)))</formula>
    </cfRule>
    <cfRule type="cellIs" dxfId="13746" priority="271" operator="equal">
      <formula>0</formula>
    </cfRule>
    <cfRule type="cellIs" dxfId="13745" priority="272" operator="greaterThan">
      <formula>0</formula>
    </cfRule>
    <cfRule type="cellIs" dxfId="13744" priority="273" operator="equal">
      <formula>"PMS"</formula>
    </cfRule>
    <cfRule type="containsText" dxfId="13743" priority="274" operator="containsText" text="CMS">
      <formula>NOT(ISERROR(SEARCH("CMS",F82)))</formula>
    </cfRule>
    <cfRule type="cellIs" dxfId="13742" priority="275" operator="equal">
      <formula>0</formula>
    </cfRule>
    <cfRule type="cellIs" dxfId="13741" priority="276" operator="greaterThan">
      <formula>0</formula>
    </cfRule>
  </conditionalFormatting>
  <conditionalFormatting sqref="F82">
    <cfRule type="cellIs" dxfId="13740" priority="265" operator="equal">
      <formula>"PMS"</formula>
    </cfRule>
    <cfRule type="containsText" dxfId="13739" priority="266" operator="containsText" text="CMS">
      <formula>NOT(ISERROR(SEARCH("CMS",F82)))</formula>
    </cfRule>
    <cfRule type="cellIs" dxfId="13738" priority="267" operator="equal">
      <formula>0</formula>
    </cfRule>
    <cfRule type="cellIs" dxfId="13737" priority="268" operator="greaterThan">
      <formula>0</formula>
    </cfRule>
  </conditionalFormatting>
  <conditionalFormatting sqref="H15">
    <cfRule type="cellIs" dxfId="13736" priority="257" operator="equal">
      <formula>"PMS"</formula>
    </cfRule>
    <cfRule type="containsText" dxfId="13735" priority="258" operator="containsText" text="CMS">
      <formula>NOT(ISERROR(SEARCH("CMS",H15)))</formula>
    </cfRule>
    <cfRule type="cellIs" dxfId="13734" priority="259" operator="equal">
      <formula>0</formula>
    </cfRule>
    <cfRule type="cellIs" dxfId="13733" priority="260" operator="greaterThan">
      <formula>0</formula>
    </cfRule>
    <cfRule type="cellIs" dxfId="13732" priority="261" operator="equal">
      <formula>"PMS"</formula>
    </cfRule>
    <cfRule type="containsText" dxfId="13731" priority="262" operator="containsText" text="CMS">
      <formula>NOT(ISERROR(SEARCH("CMS",H15)))</formula>
    </cfRule>
    <cfRule type="cellIs" dxfId="13730" priority="263" operator="equal">
      <formula>0</formula>
    </cfRule>
    <cfRule type="cellIs" dxfId="13729" priority="264" operator="greaterThan">
      <formula>0</formula>
    </cfRule>
  </conditionalFormatting>
  <conditionalFormatting sqref="H15">
    <cfRule type="cellIs" dxfId="13728" priority="253" operator="equal">
      <formula>"PMS"</formula>
    </cfRule>
    <cfRule type="containsText" dxfId="13727" priority="254" operator="containsText" text="CMS">
      <formula>NOT(ISERROR(SEARCH("CMS",H15)))</formula>
    </cfRule>
    <cfRule type="cellIs" dxfId="13726" priority="255" operator="equal">
      <formula>0</formula>
    </cfRule>
    <cfRule type="cellIs" dxfId="13725" priority="256" operator="greaterThan">
      <formula>0</formula>
    </cfRule>
  </conditionalFormatting>
  <conditionalFormatting sqref="G14">
    <cfRule type="cellIs" dxfId="13724" priority="245" operator="equal">
      <formula>"PMS"</formula>
    </cfRule>
    <cfRule type="containsText" dxfId="13723" priority="246" operator="containsText" text="CMS">
      <formula>NOT(ISERROR(SEARCH("CMS",G14)))</formula>
    </cfRule>
    <cfRule type="cellIs" dxfId="13722" priority="247" operator="equal">
      <formula>0</formula>
    </cfRule>
    <cfRule type="cellIs" dxfId="13721" priority="248" operator="greaterThan">
      <formula>0</formula>
    </cfRule>
    <cfRule type="cellIs" dxfId="13720" priority="249" operator="equal">
      <formula>"PMS"</formula>
    </cfRule>
    <cfRule type="containsText" dxfId="13719" priority="250" operator="containsText" text="CMS">
      <formula>NOT(ISERROR(SEARCH("CMS",G14)))</formula>
    </cfRule>
    <cfRule type="cellIs" dxfId="13718" priority="251" operator="equal">
      <formula>0</formula>
    </cfRule>
    <cfRule type="cellIs" dxfId="13717" priority="252" operator="greaterThan">
      <formula>0</formula>
    </cfRule>
  </conditionalFormatting>
  <conditionalFormatting sqref="G14">
    <cfRule type="cellIs" dxfId="13716" priority="241" operator="equal">
      <formula>"PMS"</formula>
    </cfRule>
    <cfRule type="containsText" dxfId="13715" priority="242" operator="containsText" text="CMS">
      <formula>NOT(ISERROR(SEARCH("CMS",G14)))</formula>
    </cfRule>
    <cfRule type="cellIs" dxfId="13714" priority="243" operator="equal">
      <formula>0</formula>
    </cfRule>
    <cfRule type="cellIs" dxfId="13713" priority="244" operator="greaterThan">
      <formula>0</formula>
    </cfRule>
  </conditionalFormatting>
  <conditionalFormatting sqref="N48">
    <cfRule type="cellIs" dxfId="13712" priority="233" operator="equal">
      <formula>"PMS"</formula>
    </cfRule>
    <cfRule type="containsText" dxfId="13711" priority="234" operator="containsText" text="CMS">
      <formula>NOT(ISERROR(SEARCH("CMS",N48)))</formula>
    </cfRule>
    <cfRule type="cellIs" dxfId="13710" priority="235" operator="equal">
      <formula>0</formula>
    </cfRule>
    <cfRule type="cellIs" dxfId="13709" priority="236" operator="greaterThan">
      <formula>0</formula>
    </cfRule>
    <cfRule type="cellIs" dxfId="13708" priority="237" operator="equal">
      <formula>"PMS"</formula>
    </cfRule>
    <cfRule type="containsText" dxfId="13707" priority="238" operator="containsText" text="CMS">
      <formula>NOT(ISERROR(SEARCH("CMS",N48)))</formula>
    </cfRule>
    <cfRule type="cellIs" dxfId="13706" priority="239" operator="equal">
      <formula>0</formula>
    </cfRule>
    <cfRule type="cellIs" dxfId="13705" priority="240" operator="greaterThan">
      <formula>0</formula>
    </cfRule>
  </conditionalFormatting>
  <conditionalFormatting sqref="N48">
    <cfRule type="cellIs" dxfId="13704" priority="229" operator="equal">
      <formula>"PMS"</formula>
    </cfRule>
    <cfRule type="containsText" dxfId="13703" priority="230" operator="containsText" text="CMS">
      <formula>NOT(ISERROR(SEARCH("CMS",N48)))</formula>
    </cfRule>
    <cfRule type="cellIs" dxfId="13702" priority="231" operator="equal">
      <formula>0</formula>
    </cfRule>
    <cfRule type="cellIs" dxfId="13701" priority="232" operator="greaterThan">
      <formula>0</formula>
    </cfRule>
  </conditionalFormatting>
  <conditionalFormatting sqref="N56">
    <cfRule type="cellIs" dxfId="13700" priority="221" operator="equal">
      <formula>"PMS"</formula>
    </cfRule>
    <cfRule type="containsText" dxfId="13699" priority="222" operator="containsText" text="CMS">
      <formula>NOT(ISERROR(SEARCH("CMS",N56)))</formula>
    </cfRule>
    <cfRule type="cellIs" dxfId="13698" priority="223" operator="equal">
      <formula>0</formula>
    </cfRule>
    <cfRule type="cellIs" dxfId="13697" priority="224" operator="greaterThan">
      <formula>0</formula>
    </cfRule>
    <cfRule type="cellIs" dxfId="13696" priority="225" operator="equal">
      <formula>"PMS"</formula>
    </cfRule>
    <cfRule type="containsText" dxfId="13695" priority="226" operator="containsText" text="CMS">
      <formula>NOT(ISERROR(SEARCH("CMS",N56)))</formula>
    </cfRule>
    <cfRule type="cellIs" dxfId="13694" priority="227" operator="equal">
      <formula>0</formula>
    </cfRule>
    <cfRule type="cellIs" dxfId="13693" priority="228" operator="greaterThan">
      <formula>0</formula>
    </cfRule>
  </conditionalFormatting>
  <conditionalFormatting sqref="N56">
    <cfRule type="cellIs" dxfId="13692" priority="217" operator="equal">
      <formula>"PMS"</formula>
    </cfRule>
    <cfRule type="containsText" dxfId="13691" priority="218" operator="containsText" text="CMS">
      <formula>NOT(ISERROR(SEARCH("CMS",N56)))</formula>
    </cfRule>
    <cfRule type="cellIs" dxfId="13690" priority="219" operator="equal">
      <formula>0</formula>
    </cfRule>
    <cfRule type="cellIs" dxfId="13689" priority="220" operator="greaterThan">
      <formula>0</formula>
    </cfRule>
  </conditionalFormatting>
  <conditionalFormatting sqref="N63:N64">
    <cfRule type="cellIs" dxfId="13688" priority="209" operator="equal">
      <formula>"PMS"</formula>
    </cfRule>
    <cfRule type="containsText" dxfId="13687" priority="210" operator="containsText" text="CMS">
      <formula>NOT(ISERROR(SEARCH("CMS",N63)))</formula>
    </cfRule>
    <cfRule type="cellIs" dxfId="13686" priority="211" operator="equal">
      <formula>0</formula>
    </cfRule>
    <cfRule type="cellIs" dxfId="13685" priority="212" operator="greaterThan">
      <formula>0</formula>
    </cfRule>
    <cfRule type="cellIs" dxfId="13684" priority="213" operator="equal">
      <formula>"PMS"</formula>
    </cfRule>
    <cfRule type="containsText" dxfId="13683" priority="214" operator="containsText" text="CMS">
      <formula>NOT(ISERROR(SEARCH("CMS",N63)))</formula>
    </cfRule>
    <cfRule type="cellIs" dxfId="13682" priority="215" operator="equal">
      <formula>0</formula>
    </cfRule>
    <cfRule type="cellIs" dxfId="13681" priority="216" operator="greaterThan">
      <formula>0</formula>
    </cfRule>
  </conditionalFormatting>
  <conditionalFormatting sqref="N63:N64">
    <cfRule type="cellIs" dxfId="13680" priority="205" operator="equal">
      <formula>"PMS"</formula>
    </cfRule>
    <cfRule type="containsText" dxfId="13679" priority="206" operator="containsText" text="CMS">
      <formula>NOT(ISERROR(SEARCH("CMS",N63)))</formula>
    </cfRule>
    <cfRule type="cellIs" dxfId="13678" priority="207" operator="equal">
      <formula>0</formula>
    </cfRule>
    <cfRule type="cellIs" dxfId="13677" priority="208" operator="greaterThan">
      <formula>0</formula>
    </cfRule>
  </conditionalFormatting>
  <conditionalFormatting sqref="G78:K78">
    <cfRule type="cellIs" dxfId="13676" priority="197" operator="equal">
      <formula>"PMS"</formula>
    </cfRule>
    <cfRule type="containsText" dxfId="13675" priority="198" operator="containsText" text="CMS">
      <formula>NOT(ISERROR(SEARCH("CMS",G78)))</formula>
    </cfRule>
    <cfRule type="cellIs" dxfId="13674" priority="199" operator="equal">
      <formula>0</formula>
    </cfRule>
    <cfRule type="cellIs" dxfId="13673" priority="200" operator="greaterThan">
      <formula>0</formula>
    </cfRule>
    <cfRule type="cellIs" dxfId="13672" priority="201" operator="equal">
      <formula>"PMS"</formula>
    </cfRule>
    <cfRule type="containsText" dxfId="13671" priority="202" operator="containsText" text="CMS">
      <formula>NOT(ISERROR(SEARCH("CMS",G78)))</formula>
    </cfRule>
    <cfRule type="cellIs" dxfId="13670" priority="203" operator="equal">
      <formula>0</formula>
    </cfRule>
    <cfRule type="cellIs" dxfId="13669" priority="204" operator="greaterThan">
      <formula>0</formula>
    </cfRule>
  </conditionalFormatting>
  <conditionalFormatting sqref="G78:K78">
    <cfRule type="cellIs" dxfId="13668" priority="193" operator="equal">
      <formula>"PMS"</formula>
    </cfRule>
    <cfRule type="containsText" dxfId="13667" priority="194" operator="containsText" text="CMS">
      <formula>NOT(ISERROR(SEARCH("CMS",G78)))</formula>
    </cfRule>
    <cfRule type="cellIs" dxfId="13666" priority="195" operator="equal">
      <formula>0</formula>
    </cfRule>
    <cfRule type="cellIs" dxfId="13665" priority="196" operator="greaterThan">
      <formula>0</formula>
    </cfRule>
  </conditionalFormatting>
  <conditionalFormatting sqref="O40">
    <cfRule type="cellIs" dxfId="13664" priority="185" operator="equal">
      <formula>"PMS"</formula>
    </cfRule>
    <cfRule type="containsText" dxfId="13663" priority="186" operator="containsText" text="CMS">
      <formula>NOT(ISERROR(SEARCH("CMS",O40)))</formula>
    </cfRule>
    <cfRule type="cellIs" dxfId="13662" priority="187" operator="equal">
      <formula>0</formula>
    </cfRule>
    <cfRule type="cellIs" dxfId="13661" priority="188" operator="greaterThan">
      <formula>0</formula>
    </cfRule>
    <cfRule type="cellIs" dxfId="13660" priority="189" operator="equal">
      <formula>"PMS"</formula>
    </cfRule>
    <cfRule type="containsText" dxfId="13659" priority="190" operator="containsText" text="CMS">
      <formula>NOT(ISERROR(SEARCH("CMS",O40)))</formula>
    </cfRule>
    <cfRule type="cellIs" dxfId="13658" priority="191" operator="equal">
      <formula>0</formula>
    </cfRule>
    <cfRule type="cellIs" dxfId="13657" priority="192" operator="greaterThan">
      <formula>0</formula>
    </cfRule>
  </conditionalFormatting>
  <conditionalFormatting sqref="O40">
    <cfRule type="cellIs" dxfId="13656" priority="181" operator="equal">
      <formula>"PMS"</formula>
    </cfRule>
    <cfRule type="containsText" dxfId="13655" priority="182" operator="containsText" text="CMS">
      <formula>NOT(ISERROR(SEARCH("CMS",O40)))</formula>
    </cfRule>
    <cfRule type="cellIs" dxfId="13654" priority="183" operator="equal">
      <formula>0</formula>
    </cfRule>
    <cfRule type="cellIs" dxfId="13653" priority="184" operator="greaterThan">
      <formula>0</formula>
    </cfRule>
  </conditionalFormatting>
  <conditionalFormatting sqref="L78">
    <cfRule type="cellIs" dxfId="13652" priority="173" operator="equal">
      <formula>"PMS"</formula>
    </cfRule>
    <cfRule type="containsText" dxfId="13651" priority="174" operator="containsText" text="CMS">
      <formula>NOT(ISERROR(SEARCH("CMS",L78)))</formula>
    </cfRule>
    <cfRule type="cellIs" dxfId="13650" priority="175" operator="equal">
      <formula>0</formula>
    </cfRule>
    <cfRule type="cellIs" dxfId="13649" priority="176" operator="greaterThan">
      <formula>0</formula>
    </cfRule>
    <cfRule type="cellIs" dxfId="13648" priority="177" operator="equal">
      <formula>"PMS"</formula>
    </cfRule>
    <cfRule type="containsText" dxfId="13647" priority="178" operator="containsText" text="CMS">
      <formula>NOT(ISERROR(SEARCH("CMS",L78)))</formula>
    </cfRule>
    <cfRule type="cellIs" dxfId="13646" priority="179" operator="equal">
      <formula>0</formula>
    </cfRule>
    <cfRule type="cellIs" dxfId="13645" priority="180" operator="greaterThan">
      <formula>0</formula>
    </cfRule>
  </conditionalFormatting>
  <conditionalFormatting sqref="L78">
    <cfRule type="cellIs" dxfId="13644" priority="169" operator="equal">
      <formula>"PMS"</formula>
    </cfRule>
    <cfRule type="containsText" dxfId="13643" priority="170" operator="containsText" text="CMS">
      <formula>NOT(ISERROR(SEARCH("CMS",L78)))</formula>
    </cfRule>
    <cfRule type="cellIs" dxfId="13642" priority="171" operator="equal">
      <formula>0</formula>
    </cfRule>
    <cfRule type="cellIs" dxfId="13641" priority="172" operator="greaterThan">
      <formula>0</formula>
    </cfRule>
  </conditionalFormatting>
  <conditionalFormatting sqref="R27:R28">
    <cfRule type="cellIs" dxfId="13640" priority="161" operator="equal">
      <formula>"PMS"</formula>
    </cfRule>
    <cfRule type="containsText" dxfId="13639" priority="162" operator="containsText" text="CMS">
      <formula>NOT(ISERROR(SEARCH("CMS",R27)))</formula>
    </cfRule>
    <cfRule type="cellIs" dxfId="13638" priority="163" operator="equal">
      <formula>0</formula>
    </cfRule>
    <cfRule type="cellIs" dxfId="13637" priority="164" operator="greaterThan">
      <formula>0</formula>
    </cfRule>
    <cfRule type="cellIs" dxfId="13636" priority="165" operator="equal">
      <formula>"PMS"</formula>
    </cfRule>
    <cfRule type="containsText" dxfId="13635" priority="166" operator="containsText" text="CMS">
      <formula>NOT(ISERROR(SEARCH("CMS",R27)))</formula>
    </cfRule>
    <cfRule type="cellIs" dxfId="13634" priority="167" operator="equal">
      <formula>0</formula>
    </cfRule>
    <cfRule type="cellIs" dxfId="13633" priority="168" operator="greaterThan">
      <formula>0</formula>
    </cfRule>
  </conditionalFormatting>
  <conditionalFormatting sqref="R27:R28">
    <cfRule type="cellIs" dxfId="13632" priority="157" operator="equal">
      <formula>"PMS"</formula>
    </cfRule>
    <cfRule type="containsText" dxfId="13631" priority="158" operator="containsText" text="CMS">
      <formula>NOT(ISERROR(SEARCH("CMS",R27)))</formula>
    </cfRule>
    <cfRule type="cellIs" dxfId="13630" priority="159" operator="equal">
      <formula>0</formula>
    </cfRule>
    <cfRule type="cellIs" dxfId="13629" priority="160" operator="greaterThan">
      <formula>0</formula>
    </cfRule>
  </conditionalFormatting>
  <conditionalFormatting sqref="W78">
    <cfRule type="cellIs" dxfId="13628" priority="137" operator="equal">
      <formula>"PMS"</formula>
    </cfRule>
    <cfRule type="containsText" dxfId="13627" priority="138" operator="containsText" text="CMS">
      <formula>NOT(ISERROR(SEARCH("CMS",W78)))</formula>
    </cfRule>
    <cfRule type="cellIs" dxfId="13626" priority="139" operator="equal">
      <formula>0</formula>
    </cfRule>
    <cfRule type="cellIs" dxfId="13625" priority="140" operator="greaterThan">
      <formula>0</formula>
    </cfRule>
    <cfRule type="cellIs" dxfId="13624" priority="141" operator="equal">
      <formula>"PMS"</formula>
    </cfRule>
    <cfRule type="containsText" dxfId="13623" priority="142" operator="containsText" text="CMS">
      <formula>NOT(ISERROR(SEARCH("CMS",W78)))</formula>
    </cfRule>
    <cfRule type="cellIs" dxfId="13622" priority="143" operator="equal">
      <formula>0</formula>
    </cfRule>
    <cfRule type="cellIs" dxfId="13621" priority="144" operator="greaterThan">
      <formula>0</formula>
    </cfRule>
  </conditionalFormatting>
  <conditionalFormatting sqref="W78">
    <cfRule type="cellIs" dxfId="13620" priority="133" operator="equal">
      <formula>"PMS"</formula>
    </cfRule>
    <cfRule type="containsText" dxfId="13619" priority="134" operator="containsText" text="CMS">
      <formula>NOT(ISERROR(SEARCH("CMS",W78)))</formula>
    </cfRule>
    <cfRule type="cellIs" dxfId="13618" priority="135" operator="equal">
      <formula>0</formula>
    </cfRule>
    <cfRule type="cellIs" dxfId="13617" priority="136" operator="greaterThan">
      <formula>0</formula>
    </cfRule>
  </conditionalFormatting>
  <conditionalFormatting sqref="AA79">
    <cfRule type="cellIs" dxfId="13616" priority="77" operator="equal">
      <formula>"PMS"</formula>
    </cfRule>
    <cfRule type="containsText" dxfId="13615" priority="78" operator="containsText" text="CMS">
      <formula>NOT(ISERROR(SEARCH("CMS",AA79)))</formula>
    </cfRule>
    <cfRule type="cellIs" dxfId="13614" priority="79" operator="equal">
      <formula>0</formula>
    </cfRule>
    <cfRule type="cellIs" dxfId="13613" priority="80" operator="greaterThan">
      <formula>0</formula>
    </cfRule>
    <cfRule type="cellIs" dxfId="13612" priority="81" operator="equal">
      <formula>"PMS"</formula>
    </cfRule>
    <cfRule type="containsText" dxfId="13611" priority="82" operator="containsText" text="CMS">
      <formula>NOT(ISERROR(SEARCH("CMS",AA79)))</formula>
    </cfRule>
    <cfRule type="cellIs" dxfId="13610" priority="83" operator="equal">
      <formula>0</formula>
    </cfRule>
    <cfRule type="cellIs" dxfId="13609" priority="84" operator="greaterThan">
      <formula>0</formula>
    </cfRule>
  </conditionalFormatting>
  <conditionalFormatting sqref="AA79">
    <cfRule type="cellIs" dxfId="13608" priority="73" operator="equal">
      <formula>"PMS"</formula>
    </cfRule>
    <cfRule type="containsText" dxfId="13607" priority="74" operator="containsText" text="CMS">
      <formula>NOT(ISERROR(SEARCH("CMS",AA79)))</formula>
    </cfRule>
    <cfRule type="cellIs" dxfId="13606" priority="75" operator="equal">
      <formula>0</formula>
    </cfRule>
    <cfRule type="cellIs" dxfId="13605" priority="76" operator="greaterThan">
      <formula>0</formula>
    </cfRule>
  </conditionalFormatting>
  <conditionalFormatting sqref="F13:F16 F36:F59 F62:F64">
    <cfRule type="cellIs" dxfId="13604" priority="65" operator="equal">
      <formula>"PMS"</formula>
    </cfRule>
    <cfRule type="containsText" dxfId="13603" priority="66" operator="containsText" text="CMS">
      <formula>NOT(ISERROR(SEARCH("CMS",F13)))</formula>
    </cfRule>
    <cfRule type="cellIs" dxfId="13602" priority="67" operator="equal">
      <formula>0</formula>
    </cfRule>
    <cfRule type="cellIs" dxfId="13601" priority="68" operator="greaterThan">
      <formula>0</formula>
    </cfRule>
    <cfRule type="cellIs" dxfId="13600" priority="69" operator="equal">
      <formula>"PMS"</formula>
    </cfRule>
    <cfRule type="containsText" dxfId="13599" priority="70" operator="containsText" text="CMS">
      <formula>NOT(ISERROR(SEARCH("CMS",F13)))</formula>
    </cfRule>
    <cfRule type="cellIs" dxfId="13598" priority="71" operator="equal">
      <formula>0</formula>
    </cfRule>
    <cfRule type="cellIs" dxfId="13597" priority="72" operator="greaterThan">
      <formula>0</formula>
    </cfRule>
  </conditionalFormatting>
  <conditionalFormatting sqref="F13:F16 F36:F59 F62:F64">
    <cfRule type="cellIs" dxfId="13596" priority="61" operator="equal">
      <formula>"PMS"</formula>
    </cfRule>
    <cfRule type="containsText" dxfId="13595" priority="62" operator="containsText" text="CMS">
      <formula>NOT(ISERROR(SEARCH("CMS",F13)))</formula>
    </cfRule>
    <cfRule type="cellIs" dxfId="13594" priority="63" operator="equal">
      <formula>0</formula>
    </cfRule>
    <cfRule type="cellIs" dxfId="13593" priority="64" operator="greaterThan">
      <formula>0</formula>
    </cfRule>
  </conditionalFormatting>
  <conditionalFormatting sqref="F67:F75">
    <cfRule type="cellIs" dxfId="13592" priority="53" operator="equal">
      <formula>"PMS"</formula>
    </cfRule>
    <cfRule type="containsText" dxfId="13591" priority="54" operator="containsText" text="CMS">
      <formula>NOT(ISERROR(SEARCH("CMS",F67)))</formula>
    </cfRule>
    <cfRule type="cellIs" dxfId="13590" priority="55" operator="equal">
      <formula>0</formula>
    </cfRule>
    <cfRule type="cellIs" dxfId="13589" priority="56" operator="greaterThan">
      <formula>0</formula>
    </cfRule>
    <cfRule type="cellIs" dxfId="13588" priority="57" operator="equal">
      <formula>"PMS"</formula>
    </cfRule>
    <cfRule type="containsText" dxfId="13587" priority="58" operator="containsText" text="CMS">
      <formula>NOT(ISERROR(SEARCH("CMS",F67)))</formula>
    </cfRule>
    <cfRule type="cellIs" dxfId="13586" priority="59" operator="equal">
      <formula>0</formula>
    </cfRule>
    <cfRule type="cellIs" dxfId="13585" priority="60" operator="greaterThan">
      <formula>0</formula>
    </cfRule>
  </conditionalFormatting>
  <conditionalFormatting sqref="F67:F75">
    <cfRule type="cellIs" dxfId="13584" priority="49" operator="equal">
      <formula>"PMS"</formula>
    </cfRule>
    <cfRule type="containsText" dxfId="13583" priority="50" operator="containsText" text="CMS">
      <formula>NOT(ISERROR(SEARCH("CMS",F67)))</formula>
    </cfRule>
    <cfRule type="cellIs" dxfId="13582" priority="51" operator="equal">
      <formula>0</formula>
    </cfRule>
    <cfRule type="cellIs" dxfId="13581" priority="52" operator="greaterThan">
      <formula>0</formula>
    </cfRule>
  </conditionalFormatting>
  <conditionalFormatting sqref="F33 F28:F30 F19:F21 F24 F78:F79">
    <cfRule type="cellIs" dxfId="13580" priority="41" operator="equal">
      <formula>"PMS"</formula>
    </cfRule>
    <cfRule type="containsText" dxfId="13579" priority="42" operator="containsText" text="CMS">
      <formula>NOT(ISERROR(SEARCH("CMS",F19)))</formula>
    </cfRule>
    <cfRule type="cellIs" dxfId="13578" priority="43" operator="equal">
      <formula>0</formula>
    </cfRule>
    <cfRule type="cellIs" dxfId="13577" priority="44" operator="greaterThan">
      <formula>0</formula>
    </cfRule>
    <cfRule type="cellIs" dxfId="13576" priority="45" operator="equal">
      <formula>"PMS"</formula>
    </cfRule>
    <cfRule type="containsText" dxfId="13575" priority="46" operator="containsText" text="CMS">
      <formula>NOT(ISERROR(SEARCH("CMS",F19)))</formula>
    </cfRule>
    <cfRule type="cellIs" dxfId="13574" priority="47" operator="equal">
      <formula>0</formula>
    </cfRule>
    <cfRule type="cellIs" dxfId="13573" priority="48" operator="greaterThan">
      <formula>0</formula>
    </cfRule>
  </conditionalFormatting>
  <conditionalFormatting sqref="F33 F28:F30 F19:F21 F24 F78:F79">
    <cfRule type="cellIs" dxfId="13572" priority="37" operator="equal">
      <formula>"PMS"</formula>
    </cfRule>
    <cfRule type="containsText" dxfId="13571" priority="38" operator="containsText" text="CMS">
      <formula>NOT(ISERROR(SEARCH("CMS",F19)))</formula>
    </cfRule>
    <cfRule type="cellIs" dxfId="13570" priority="39" operator="equal">
      <formula>0</formula>
    </cfRule>
    <cfRule type="cellIs" dxfId="13569" priority="40" operator="greaterThan">
      <formula>0</formula>
    </cfRule>
  </conditionalFormatting>
  <conditionalFormatting sqref="F27">
    <cfRule type="cellIs" dxfId="13568" priority="29" operator="equal">
      <formula>"PMS"</formula>
    </cfRule>
    <cfRule type="containsText" dxfId="13567" priority="30" operator="containsText" text="CMS">
      <formula>NOT(ISERROR(SEARCH("CMS",F27)))</formula>
    </cfRule>
    <cfRule type="cellIs" dxfId="13566" priority="31" operator="equal">
      <formula>0</formula>
    </cfRule>
    <cfRule type="cellIs" dxfId="13565" priority="32" operator="greaterThan">
      <formula>0</formula>
    </cfRule>
    <cfRule type="cellIs" dxfId="13564" priority="33" operator="equal">
      <formula>"PMS"</formula>
    </cfRule>
    <cfRule type="containsText" dxfId="13563" priority="34" operator="containsText" text="CMS">
      <formula>NOT(ISERROR(SEARCH("CMS",F27)))</formula>
    </cfRule>
    <cfRule type="cellIs" dxfId="13562" priority="35" operator="equal">
      <formula>0</formula>
    </cfRule>
    <cfRule type="cellIs" dxfId="13561" priority="36" operator="greaterThan">
      <formula>0</formula>
    </cfRule>
  </conditionalFormatting>
  <conditionalFormatting sqref="F27">
    <cfRule type="cellIs" dxfId="13560" priority="25" operator="equal">
      <formula>"PMS"</formula>
    </cfRule>
    <cfRule type="containsText" dxfId="13559" priority="26" operator="containsText" text="CMS">
      <formula>NOT(ISERROR(SEARCH("CMS",F27)))</formula>
    </cfRule>
    <cfRule type="cellIs" dxfId="13558" priority="27" operator="equal">
      <formula>0</formula>
    </cfRule>
    <cfRule type="cellIs" dxfId="13557" priority="28" operator="greaterThan">
      <formula>0</formula>
    </cfRule>
  </conditionalFormatting>
  <conditionalFormatting sqref="L30:M30">
    <cfRule type="cellIs" dxfId="13556" priority="17" operator="equal">
      <formula>"PMS"</formula>
    </cfRule>
    <cfRule type="containsText" dxfId="13555" priority="18" operator="containsText" text="CMS">
      <formula>NOT(ISERROR(SEARCH("CMS",L30)))</formula>
    </cfRule>
    <cfRule type="cellIs" dxfId="13554" priority="19" operator="equal">
      <formula>0</formula>
    </cfRule>
    <cfRule type="cellIs" dxfId="13553" priority="20" operator="greaterThan">
      <formula>0</formula>
    </cfRule>
    <cfRule type="cellIs" dxfId="13552" priority="21" operator="equal">
      <formula>"PMS"</formula>
    </cfRule>
    <cfRule type="containsText" dxfId="13551" priority="22" operator="containsText" text="CMS">
      <formula>NOT(ISERROR(SEARCH("CMS",L30)))</formula>
    </cfRule>
    <cfRule type="cellIs" dxfId="13550" priority="23" operator="equal">
      <formula>0</formula>
    </cfRule>
    <cfRule type="cellIs" dxfId="13549" priority="24" operator="greaterThan">
      <formula>0</formula>
    </cfRule>
  </conditionalFormatting>
  <conditionalFormatting sqref="L30:M30">
    <cfRule type="cellIs" dxfId="13548" priority="13" operator="equal">
      <formula>"PMS"</formula>
    </cfRule>
    <cfRule type="containsText" dxfId="13547" priority="14" operator="containsText" text="CMS">
      <formula>NOT(ISERROR(SEARCH("CMS",L30)))</formula>
    </cfRule>
    <cfRule type="cellIs" dxfId="13546" priority="15" operator="equal">
      <formula>0</formula>
    </cfRule>
    <cfRule type="cellIs" dxfId="13545" priority="16" operator="greaterThan">
      <formula>0</formula>
    </cfRule>
  </conditionalFormatting>
  <conditionalFormatting sqref="M78">
    <cfRule type="cellIs" dxfId="13544" priority="5" operator="equal">
      <formula>"PMS"</formula>
    </cfRule>
    <cfRule type="containsText" dxfId="13543" priority="6" operator="containsText" text="CMS">
      <formula>NOT(ISERROR(SEARCH("CMS",M78)))</formula>
    </cfRule>
    <cfRule type="cellIs" dxfId="13542" priority="7" operator="equal">
      <formula>0</formula>
    </cfRule>
    <cfRule type="cellIs" dxfId="13541" priority="8" operator="greaterThan">
      <formula>0</formula>
    </cfRule>
    <cfRule type="cellIs" dxfId="13540" priority="9" operator="equal">
      <formula>"PMS"</formula>
    </cfRule>
    <cfRule type="containsText" dxfId="13539" priority="10" operator="containsText" text="CMS">
      <formula>NOT(ISERROR(SEARCH("CMS",M78)))</formula>
    </cfRule>
    <cfRule type="cellIs" dxfId="13538" priority="11" operator="equal">
      <formula>0</formula>
    </cfRule>
    <cfRule type="cellIs" dxfId="13537" priority="12" operator="greaterThan">
      <formula>0</formula>
    </cfRule>
  </conditionalFormatting>
  <conditionalFormatting sqref="M78">
    <cfRule type="cellIs" dxfId="13536" priority="1" operator="equal">
      <formula>"PMS"</formula>
    </cfRule>
    <cfRule type="containsText" dxfId="13535" priority="2" operator="containsText" text="CMS">
      <formula>NOT(ISERROR(SEARCH("CMS",M78)))</formula>
    </cfRule>
    <cfRule type="cellIs" dxfId="13534" priority="3" operator="equal">
      <formula>0</formula>
    </cfRule>
    <cfRule type="cellIs" dxfId="1353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7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7F4BB-1192-40B9-9B18-75C92D0A3C6B}">
  <sheetPr codeName="Sheet233"/>
  <dimension ref="A2:DT141"/>
  <sheetViews>
    <sheetView zoomScale="70" zoomScaleNormal="70" workbookViewId="0">
      <pane xSplit="5" ySplit="11" topLeftCell="T91" activePane="bottomRight" state="frozen"/>
      <selection pane="bottomRight" activeCell="T108" sqref="T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419.80000000000007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6.6</v>
      </c>
      <c r="G14" s="357">
        <v>6.7</v>
      </c>
      <c r="H14" s="359">
        <v>6.6</v>
      </c>
      <c r="I14" s="357">
        <v>6.6</v>
      </c>
      <c r="J14" s="357">
        <v>6.6</v>
      </c>
      <c r="K14" s="359">
        <v>6.7</v>
      </c>
      <c r="L14" s="359"/>
      <c r="M14" s="357"/>
      <c r="N14" s="359">
        <v>1.5</v>
      </c>
      <c r="O14" s="357">
        <v>6.2</v>
      </c>
      <c r="P14" s="357">
        <v>7</v>
      </c>
      <c r="Q14" s="357">
        <v>6.7</v>
      </c>
      <c r="R14" s="357">
        <v>6.7</v>
      </c>
      <c r="S14" s="462">
        <v>7</v>
      </c>
      <c r="T14" s="462">
        <v>6.6</v>
      </c>
      <c r="U14" s="357">
        <v>6.5</v>
      </c>
      <c r="V14" s="357">
        <v>6.8</v>
      </c>
      <c r="W14" s="357">
        <v>6.3</v>
      </c>
      <c r="X14" s="357">
        <v>6.6</v>
      </c>
      <c r="Y14" s="357">
        <v>6.6</v>
      </c>
      <c r="Z14" s="462">
        <v>6.6</v>
      </c>
      <c r="AA14" s="462">
        <v>6.9</v>
      </c>
      <c r="AB14" s="357">
        <v>6.4</v>
      </c>
      <c r="AC14" s="357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0</v>
      </c>
      <c r="G15" s="357">
        <v>0</v>
      </c>
      <c r="H15" s="357">
        <v>0</v>
      </c>
      <c r="I15" s="357">
        <v>0</v>
      </c>
      <c r="J15" s="357">
        <v>0</v>
      </c>
      <c r="K15" s="359">
        <v>0</v>
      </c>
      <c r="L15" s="359">
        <v>6.7</v>
      </c>
      <c r="M15" s="359">
        <v>6.4</v>
      </c>
      <c r="N15" s="359">
        <v>7</v>
      </c>
      <c r="O15" s="357">
        <v>6.7</v>
      </c>
      <c r="P15" s="357">
        <v>6.8</v>
      </c>
      <c r="Q15" s="357">
        <v>6.7</v>
      </c>
      <c r="R15" s="357">
        <v>6.7</v>
      </c>
      <c r="S15" s="462">
        <v>7</v>
      </c>
      <c r="T15" s="462">
        <v>6.6</v>
      </c>
      <c r="U15" s="357">
        <v>6.6</v>
      </c>
      <c r="V15" s="462">
        <v>6.8</v>
      </c>
      <c r="W15" s="357">
        <v>6.3</v>
      </c>
      <c r="X15" s="357">
        <v>6.6</v>
      </c>
      <c r="Y15" s="357">
        <v>6.6</v>
      </c>
      <c r="Z15" s="462">
        <v>6.6</v>
      </c>
      <c r="AA15" s="462">
        <v>6.9</v>
      </c>
      <c r="AB15" s="462">
        <v>6.4</v>
      </c>
      <c r="AC15" s="462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6.8</v>
      </c>
      <c r="H16" s="357">
        <v>6.6</v>
      </c>
      <c r="I16" s="357">
        <v>6.6</v>
      </c>
      <c r="J16" s="357">
        <v>6.6</v>
      </c>
      <c r="K16" s="359">
        <v>6.7</v>
      </c>
      <c r="L16" s="359">
        <v>6.7</v>
      </c>
      <c r="M16" s="359">
        <v>6.4</v>
      </c>
      <c r="N16" s="359">
        <v>7</v>
      </c>
      <c r="O16" s="357">
        <v>6.7</v>
      </c>
      <c r="P16" s="357">
        <v>6.8</v>
      </c>
      <c r="Q16" s="357">
        <v>6.7</v>
      </c>
      <c r="R16" s="357">
        <v>6.6</v>
      </c>
      <c r="S16" s="462">
        <v>7</v>
      </c>
      <c r="T16" s="462">
        <v>6.5</v>
      </c>
      <c r="U16" s="357">
        <v>6.5</v>
      </c>
      <c r="V16" s="462">
        <v>6.8</v>
      </c>
      <c r="W16" s="357">
        <v>6.3</v>
      </c>
      <c r="X16" s="357">
        <v>6.6</v>
      </c>
      <c r="Y16" s="357">
        <v>6.6</v>
      </c>
      <c r="Z16" s="462">
        <v>6.6</v>
      </c>
      <c r="AA16" s="462">
        <v>6.9</v>
      </c>
      <c r="AB16" s="462">
        <v>6.4</v>
      </c>
      <c r="AC16" s="357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13.5</v>
      </c>
      <c r="H17" s="19">
        <f t="shared" si="0"/>
        <v>13.2</v>
      </c>
      <c r="I17" s="19">
        <f t="shared" si="0"/>
        <v>13.2</v>
      </c>
      <c r="J17" s="19">
        <f t="shared" si="0"/>
        <v>13.2</v>
      </c>
      <c r="K17" s="19">
        <f t="shared" si="0"/>
        <v>13.4</v>
      </c>
      <c r="L17" s="19">
        <f t="shared" si="0"/>
        <v>13.4</v>
      </c>
      <c r="M17" s="19">
        <f t="shared" si="0"/>
        <v>12.8</v>
      </c>
      <c r="N17" s="19">
        <f t="shared" si="0"/>
        <v>15.5</v>
      </c>
      <c r="O17" s="19">
        <f t="shared" si="0"/>
        <v>19.600000000000001</v>
      </c>
      <c r="P17" s="19">
        <f t="shared" si="0"/>
        <v>20.6</v>
      </c>
      <c r="Q17" s="19">
        <f t="shared" si="0"/>
        <v>20.100000000000001</v>
      </c>
      <c r="R17" s="19">
        <f t="shared" si="0"/>
        <v>20</v>
      </c>
      <c r="S17" s="463">
        <f t="shared" si="0"/>
        <v>21</v>
      </c>
      <c r="T17" s="463">
        <f t="shared" si="0"/>
        <v>19.7</v>
      </c>
      <c r="U17" s="19">
        <f t="shared" si="0"/>
        <v>19.600000000000001</v>
      </c>
      <c r="V17" s="19">
        <f t="shared" si="0"/>
        <v>20.399999999999999</v>
      </c>
      <c r="W17" s="19">
        <f t="shared" si="0"/>
        <v>18.899999999999999</v>
      </c>
      <c r="X17" s="19">
        <f t="shared" si="0"/>
        <v>19.799999999999997</v>
      </c>
      <c r="Y17" s="19">
        <f t="shared" si="0"/>
        <v>19.799999999999997</v>
      </c>
      <c r="Z17" s="463">
        <f t="shared" si="0"/>
        <v>19.799999999999997</v>
      </c>
      <c r="AA17" s="463">
        <f t="shared" si="0"/>
        <v>20.700000000000003</v>
      </c>
      <c r="AB17" s="463">
        <f>SUM(AB13:AB16)</f>
        <v>19.200000000000003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84.799999999999983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0.5</v>
      </c>
      <c r="G19" s="357">
        <v>0</v>
      </c>
      <c r="H19" s="357">
        <v>0</v>
      </c>
      <c r="I19" s="357">
        <v>0</v>
      </c>
      <c r="J19" s="357">
        <v>0</v>
      </c>
      <c r="K19" s="357">
        <v>0</v>
      </c>
      <c r="L19" s="359">
        <v>0</v>
      </c>
      <c r="M19" s="359">
        <v>0</v>
      </c>
      <c r="N19" s="357">
        <v>0</v>
      </c>
      <c r="O19" s="357">
        <v>2.5</v>
      </c>
      <c r="P19" s="357">
        <v>2.7</v>
      </c>
      <c r="Q19" s="357">
        <v>2.7</v>
      </c>
      <c r="R19" s="357">
        <v>2.7</v>
      </c>
      <c r="S19" s="462">
        <v>2.7</v>
      </c>
      <c r="T19" s="462">
        <v>2.7</v>
      </c>
      <c r="U19" s="357">
        <v>2</v>
      </c>
      <c r="V19" s="357">
        <v>2.7</v>
      </c>
      <c r="W19" s="357">
        <v>2</v>
      </c>
      <c r="X19" s="357">
        <v>2</v>
      </c>
      <c r="Y19" s="357">
        <v>2.8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20</v>
      </c>
    </row>
    <row r="20" spans="1:51">
      <c r="A20" s="14" t="s">
        <v>23</v>
      </c>
      <c r="B20" s="15"/>
      <c r="C20" s="15">
        <v>4.5</v>
      </c>
      <c r="D20" s="15"/>
      <c r="E20" s="15"/>
      <c r="F20" s="357">
        <v>2.5</v>
      </c>
      <c r="G20" s="357">
        <v>0</v>
      </c>
      <c r="H20" s="357">
        <v>0</v>
      </c>
      <c r="I20" s="357">
        <v>0</v>
      </c>
      <c r="J20" s="357">
        <v>0</v>
      </c>
      <c r="K20" s="357">
        <v>0</v>
      </c>
      <c r="L20" s="359">
        <v>3</v>
      </c>
      <c r="M20" s="357">
        <v>3</v>
      </c>
      <c r="N20" s="357">
        <v>3.4</v>
      </c>
      <c r="O20" s="357">
        <v>3.3</v>
      </c>
      <c r="P20" s="357">
        <v>3.4</v>
      </c>
      <c r="Q20" s="357">
        <v>3.3</v>
      </c>
      <c r="R20" s="357">
        <v>2.2999999999999998</v>
      </c>
      <c r="S20" s="357"/>
      <c r="T20" s="357"/>
      <c r="U20" s="357"/>
      <c r="V20" s="357"/>
      <c r="W20" s="357"/>
      <c r="X20" s="357"/>
      <c r="Y20" s="357"/>
      <c r="Z20" s="357"/>
      <c r="AA20" s="357"/>
      <c r="AB20" s="357"/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13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>
        <v>1</v>
      </c>
      <c r="S21" s="462">
        <v>3.5</v>
      </c>
      <c r="T21" s="462">
        <v>3.6</v>
      </c>
      <c r="U21" s="357">
        <v>3</v>
      </c>
      <c r="V21" s="357">
        <v>3.8</v>
      </c>
      <c r="W21" s="357">
        <v>3.3</v>
      </c>
      <c r="X21" s="357">
        <v>3</v>
      </c>
      <c r="Y21" s="357">
        <v>3.8</v>
      </c>
      <c r="Z21" s="357">
        <v>3.8</v>
      </c>
      <c r="AA21" s="357">
        <v>3.8</v>
      </c>
      <c r="AB21" s="357"/>
      <c r="AC21" s="357"/>
      <c r="AD21" s="41"/>
      <c r="AE21" s="41"/>
      <c r="AF21" s="11">
        <f>COUNTIF(F21:AC21,$AJ$8)</f>
        <v>12</v>
      </c>
      <c r="AG21" s="11">
        <f>COUNTIF(G21:AD21,$AJ$7)</f>
        <v>0</v>
      </c>
      <c r="AH21" s="11">
        <f>COUNT(F21:AC21)</f>
        <v>10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</v>
      </c>
      <c r="M22" s="19">
        <f t="shared" si="1"/>
        <v>3</v>
      </c>
      <c r="N22" s="19">
        <f t="shared" si="1"/>
        <v>3.4</v>
      </c>
      <c r="O22" s="19">
        <f t="shared" si="1"/>
        <v>5.8</v>
      </c>
      <c r="P22" s="19">
        <f t="shared" si="1"/>
        <v>6.1</v>
      </c>
      <c r="Q22" s="19">
        <f t="shared" si="1"/>
        <v>6</v>
      </c>
      <c r="R22" s="19">
        <f t="shared" si="1"/>
        <v>6</v>
      </c>
      <c r="S22" s="463">
        <f>SUM(S19:S21)</f>
        <v>6.2</v>
      </c>
      <c r="T22" s="463">
        <f t="shared" ref="T22" si="2">SUM(T19:T21)</f>
        <v>6.3000000000000007</v>
      </c>
      <c r="U22" s="19">
        <f t="shared" si="1"/>
        <v>5</v>
      </c>
      <c r="V22" s="19">
        <f t="shared" si="1"/>
        <v>6.5</v>
      </c>
      <c r="W22" s="19">
        <f t="shared" si="1"/>
        <v>5.3</v>
      </c>
      <c r="X22" s="19">
        <f t="shared" si="1"/>
        <v>5</v>
      </c>
      <c r="Y22" s="19">
        <f t="shared" si="1"/>
        <v>6.6</v>
      </c>
      <c r="Z22" s="463">
        <f>SUM(Z19:Z21)</f>
        <v>3.8</v>
      </c>
      <c r="AA22" s="463">
        <f t="shared" si="1"/>
        <v>3.8</v>
      </c>
      <c r="AB22" s="463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36.4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/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</v>
      </c>
      <c r="W24" s="357">
        <v>3.8</v>
      </c>
      <c r="X24" s="357">
        <v>3</v>
      </c>
      <c r="Y24" s="357">
        <v>3.8</v>
      </c>
      <c r="Z24" s="357">
        <v>3.8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3.8</v>
      </c>
      <c r="R25" s="19">
        <f t="shared" si="3"/>
        <v>3.8</v>
      </c>
      <c r="S25" s="463">
        <f t="shared" si="3"/>
        <v>3.8</v>
      </c>
      <c r="T25" s="463">
        <f t="shared" si="3"/>
        <v>3.8</v>
      </c>
      <c r="U25" s="19">
        <f t="shared" si="3"/>
        <v>3.8</v>
      </c>
      <c r="V25" s="19">
        <f t="shared" si="3"/>
        <v>3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463">
        <f t="shared" si="3"/>
        <v>3.8</v>
      </c>
      <c r="AA25" s="463">
        <f t="shared" si="3"/>
        <v>0</v>
      </c>
      <c r="AB25" s="463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77.899999999999977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3.8</v>
      </c>
      <c r="M27" s="357">
        <v>2</v>
      </c>
      <c r="N27" s="357">
        <v>3.8</v>
      </c>
      <c r="O27" s="357">
        <v>3.8</v>
      </c>
      <c r="P27" s="357">
        <v>3.8</v>
      </c>
      <c r="Q27" s="357">
        <v>3.8</v>
      </c>
      <c r="R27" s="357">
        <v>3.7</v>
      </c>
      <c r="S27" s="462">
        <v>3.8</v>
      </c>
      <c r="T27" s="462">
        <v>3.8</v>
      </c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</v>
      </c>
      <c r="G28" s="357">
        <v>3.8</v>
      </c>
      <c r="H28" s="357">
        <v>3</v>
      </c>
      <c r="I28" s="357">
        <v>2</v>
      </c>
      <c r="J28" s="359">
        <v>2</v>
      </c>
      <c r="K28" s="357">
        <v>3</v>
      </c>
      <c r="L28" s="359"/>
      <c r="M28" s="357"/>
      <c r="N28" s="357"/>
      <c r="O28" s="357"/>
      <c r="P28" s="357"/>
      <c r="Q28" s="357"/>
      <c r="R28" s="357"/>
      <c r="S28" s="462"/>
      <c r="T28" s="359"/>
      <c r="U28" s="359">
        <v>2.2999999999999998</v>
      </c>
      <c r="V28" s="359">
        <v>2.7</v>
      </c>
      <c r="W28" s="357">
        <v>3.8</v>
      </c>
      <c r="X28" s="357">
        <v>3</v>
      </c>
      <c r="Y28" s="357">
        <v>3.8</v>
      </c>
      <c r="Z28" s="357">
        <v>3.8</v>
      </c>
      <c r="AA28" s="357">
        <v>3.8</v>
      </c>
      <c r="AB28" s="357">
        <v>3.8</v>
      </c>
      <c r="AC28" s="357">
        <v>1.8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15</v>
      </c>
      <c r="AI28" s="159">
        <f>SUM(F29:AC30)</f>
        <v>163.49999999999997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9">
        <v>7</v>
      </c>
      <c r="H30" s="357">
        <v>7</v>
      </c>
      <c r="I30" s="357">
        <v>6.9</v>
      </c>
      <c r="J30" s="357">
        <v>6</v>
      </c>
      <c r="K30" s="357">
        <v>6</v>
      </c>
      <c r="L30" s="357">
        <v>6.8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7.2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7.1</v>
      </c>
      <c r="AB30" s="359">
        <v>7</v>
      </c>
      <c r="AC30" s="359">
        <v>4.5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10</v>
      </c>
      <c r="G31" s="19">
        <f>SUM(G27:G30)</f>
        <v>10.8</v>
      </c>
      <c r="H31" s="19">
        <v>6</v>
      </c>
      <c r="I31" s="19">
        <f t="shared" ref="I31:X31" si="5">SUM(I27:I30)</f>
        <v>8.9</v>
      </c>
      <c r="J31" s="19">
        <f t="shared" si="5"/>
        <v>8</v>
      </c>
      <c r="K31" s="19">
        <f t="shared" si="5"/>
        <v>9</v>
      </c>
      <c r="L31" s="19">
        <f t="shared" si="5"/>
        <v>10.6</v>
      </c>
      <c r="M31" s="19">
        <f t="shared" si="5"/>
        <v>9</v>
      </c>
      <c r="N31" s="19">
        <f t="shared" si="5"/>
        <v>10.8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10.7</v>
      </c>
      <c r="S31" s="463">
        <f t="shared" si="5"/>
        <v>11</v>
      </c>
      <c r="T31" s="463">
        <f t="shared" si="5"/>
        <v>10.8</v>
      </c>
      <c r="U31" s="19">
        <f t="shared" si="5"/>
        <v>9.3000000000000007</v>
      </c>
      <c r="V31" s="19">
        <f t="shared" si="5"/>
        <v>9.6999999999999993</v>
      </c>
      <c r="W31" s="19">
        <f t="shared" si="5"/>
        <v>10.8</v>
      </c>
      <c r="X31" s="19">
        <f t="shared" si="5"/>
        <v>10</v>
      </c>
      <c r="Y31" s="19">
        <f>SUM(Y27:Y30)</f>
        <v>10.8</v>
      </c>
      <c r="Z31" s="19">
        <f t="shared" ref="Z31:AC31" si="6">SUM(Z27:Z30)</f>
        <v>10.8</v>
      </c>
      <c r="AA31" s="19">
        <f t="shared" si="6"/>
        <v>10.899999999999999</v>
      </c>
      <c r="AB31" s="19">
        <f t="shared" si="6"/>
        <v>10.8</v>
      </c>
      <c r="AC31" s="19">
        <f t="shared" si="6"/>
        <v>6.3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342.20000000000005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14.29</v>
      </c>
      <c r="H33" s="357">
        <v>14.3</v>
      </c>
      <c r="I33" s="359">
        <v>14.29</v>
      </c>
      <c r="J33" s="357">
        <v>14.26</v>
      </c>
      <c r="K33" s="357">
        <v>14.31</v>
      </c>
      <c r="L33" s="359">
        <v>14.28</v>
      </c>
      <c r="M33" s="357">
        <v>14.32</v>
      </c>
      <c r="N33" s="357">
        <v>14.29</v>
      </c>
      <c r="O33" s="357">
        <v>14.33</v>
      </c>
      <c r="P33" s="357">
        <v>14.29</v>
      </c>
      <c r="Q33" s="359">
        <v>14.11</v>
      </c>
      <c r="R33" s="357">
        <v>14.18</v>
      </c>
      <c r="S33" s="462">
        <v>14.15</v>
      </c>
      <c r="T33" s="462">
        <v>14.21</v>
      </c>
      <c r="U33" s="357">
        <v>14.24</v>
      </c>
      <c r="V33" s="359">
        <v>14.23</v>
      </c>
      <c r="W33" s="357">
        <v>14.26</v>
      </c>
      <c r="X33" s="357">
        <v>14.25</v>
      </c>
      <c r="Y33" s="357">
        <v>14.23</v>
      </c>
      <c r="Z33" s="357">
        <v>14.26</v>
      </c>
      <c r="AA33" s="357">
        <v>14.27</v>
      </c>
      <c r="AB33" s="357">
        <v>14.29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14.27</v>
      </c>
      <c r="G34" s="19">
        <f t="shared" si="7"/>
        <v>14.29</v>
      </c>
      <c r="H34" s="19">
        <f t="shared" si="7"/>
        <v>14.3</v>
      </c>
      <c r="I34" s="19">
        <f t="shared" si="7"/>
        <v>14.29</v>
      </c>
      <c r="J34" s="19">
        <f t="shared" si="7"/>
        <v>14.26</v>
      </c>
      <c r="K34" s="19">
        <f t="shared" si="7"/>
        <v>14.31</v>
      </c>
      <c r="L34" s="19">
        <f t="shared" si="7"/>
        <v>14.28</v>
      </c>
      <c r="M34" s="19">
        <f t="shared" si="7"/>
        <v>14.32</v>
      </c>
      <c r="N34" s="19">
        <f t="shared" si="7"/>
        <v>14.29</v>
      </c>
      <c r="O34" s="19">
        <f t="shared" si="7"/>
        <v>14.33</v>
      </c>
      <c r="P34" s="19">
        <f t="shared" si="7"/>
        <v>14.29</v>
      </c>
      <c r="Q34" s="19">
        <f t="shared" si="7"/>
        <v>14.11</v>
      </c>
      <c r="R34" s="19">
        <f t="shared" si="7"/>
        <v>14.18</v>
      </c>
      <c r="S34" s="19">
        <f t="shared" si="7"/>
        <v>14.15</v>
      </c>
      <c r="T34" s="463">
        <f t="shared" si="7"/>
        <v>14.21</v>
      </c>
      <c r="U34" s="19">
        <f t="shared" si="7"/>
        <v>14.24</v>
      </c>
      <c r="V34" s="19">
        <f t="shared" si="7"/>
        <v>14.23</v>
      </c>
      <c r="W34" s="19">
        <f t="shared" si="7"/>
        <v>14.26</v>
      </c>
      <c r="X34" s="19">
        <f t="shared" si="7"/>
        <v>14.25</v>
      </c>
      <c r="Y34" s="19">
        <f t="shared" si="7"/>
        <v>14.23</v>
      </c>
      <c r="Z34" s="19">
        <f t="shared" si="7"/>
        <v>14.26</v>
      </c>
      <c r="AA34" s="19">
        <f t="shared" si="7"/>
        <v>14.27</v>
      </c>
      <c r="AB34" s="19">
        <f t="shared" si="7"/>
        <v>14.29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14.500000000000002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>
        <v>0</v>
      </c>
      <c r="G40" s="357">
        <v>0</v>
      </c>
      <c r="H40" s="357">
        <v>0</v>
      </c>
      <c r="I40" s="357">
        <v>0</v>
      </c>
      <c r="J40" s="357">
        <v>0</v>
      </c>
      <c r="K40" s="357">
        <v>0</v>
      </c>
      <c r="L40" s="359">
        <v>0</v>
      </c>
      <c r="M40" s="357">
        <v>0</v>
      </c>
      <c r="N40" s="357">
        <v>0</v>
      </c>
      <c r="O40" s="357"/>
      <c r="P40" s="359"/>
      <c r="Q40" s="357"/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9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</v>
      </c>
      <c r="G47" s="357">
        <v>0</v>
      </c>
      <c r="H47" s="357">
        <v>0</v>
      </c>
      <c r="I47" s="357">
        <v>0</v>
      </c>
      <c r="J47" s="357">
        <v>0</v>
      </c>
      <c r="K47" s="357">
        <v>0</v>
      </c>
      <c r="L47" s="359">
        <v>0</v>
      </c>
      <c r="M47" s="357">
        <v>0</v>
      </c>
      <c r="N47" s="357">
        <v>0</v>
      </c>
      <c r="O47" s="357"/>
      <c r="P47" s="359"/>
      <c r="Q47" s="357">
        <v>0.75</v>
      </c>
      <c r="R47" s="357">
        <f>2.3/3</f>
        <v>0.76666666666666661</v>
      </c>
      <c r="S47" s="462">
        <v>0.8</v>
      </c>
      <c r="T47" s="462">
        <v>0.75</v>
      </c>
      <c r="U47" s="462">
        <v>0.77500000000000002</v>
      </c>
      <c r="V47" s="462"/>
      <c r="W47" s="357"/>
      <c r="X47" s="357"/>
      <c r="Y47" s="357">
        <v>0.8</v>
      </c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15</v>
      </c>
    </row>
    <row r="48" spans="1:36">
      <c r="A48" s="70" t="s">
        <v>42</v>
      </c>
      <c r="B48" s="15"/>
      <c r="C48" s="15">
        <v>0.85</v>
      </c>
      <c r="D48" s="15"/>
      <c r="E48" s="15"/>
      <c r="F48" s="357">
        <v>0</v>
      </c>
      <c r="G48" s="357">
        <v>0</v>
      </c>
      <c r="H48" s="357">
        <v>0</v>
      </c>
      <c r="I48" s="357">
        <v>0</v>
      </c>
      <c r="J48" s="357">
        <v>0</v>
      </c>
      <c r="K48" s="357">
        <v>0</v>
      </c>
      <c r="L48" s="359"/>
      <c r="M48" s="357"/>
      <c r="N48" s="359"/>
      <c r="O48" s="357"/>
      <c r="P48" s="359">
        <v>0.75</v>
      </c>
      <c r="Q48" s="357"/>
      <c r="R48" s="357"/>
      <c r="S48" s="462"/>
      <c r="T48" s="462">
        <v>0.75</v>
      </c>
      <c r="U48" s="462">
        <v>0.77500000000000002</v>
      </c>
      <c r="V48" s="462">
        <v>0.75</v>
      </c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 t="s">
        <v>9</v>
      </c>
      <c r="G50" s="357" t="s">
        <v>9</v>
      </c>
      <c r="H50" s="357" t="s">
        <v>9</v>
      </c>
      <c r="I50" s="357" t="s">
        <v>9</v>
      </c>
      <c r="J50" s="357" t="s">
        <v>9</v>
      </c>
      <c r="K50" s="357" t="s">
        <v>9</v>
      </c>
      <c r="L50" s="359" t="s">
        <v>9</v>
      </c>
      <c r="M50" s="359" t="s">
        <v>9</v>
      </c>
      <c r="N50" s="359" t="s">
        <v>9</v>
      </c>
      <c r="O50" s="359" t="s">
        <v>9</v>
      </c>
      <c r="P50" s="359" t="s">
        <v>9</v>
      </c>
      <c r="Q50" s="357" t="s">
        <v>9</v>
      </c>
      <c r="R50" s="357" t="s">
        <v>9</v>
      </c>
      <c r="S50" s="462" t="s">
        <v>9</v>
      </c>
      <c r="T50" s="357" t="s">
        <v>9</v>
      </c>
      <c r="U50" s="462" t="s">
        <v>9</v>
      </c>
      <c r="V50" s="462" t="s">
        <v>9</v>
      </c>
      <c r="W50" s="357" t="s">
        <v>9</v>
      </c>
      <c r="X50" s="357" t="s">
        <v>9</v>
      </c>
      <c r="Y50" s="357" t="s">
        <v>9</v>
      </c>
      <c r="Z50" s="357" t="s">
        <v>9</v>
      </c>
      <c r="AA50" s="357" t="s">
        <v>9</v>
      </c>
      <c r="AB50" s="357" t="s">
        <v>9</v>
      </c>
      <c r="AC50" s="357" t="s">
        <v>9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</v>
      </c>
      <c r="G51" s="357">
        <v>0</v>
      </c>
      <c r="H51" s="357">
        <v>0</v>
      </c>
      <c r="I51" s="357">
        <v>0</v>
      </c>
      <c r="J51" s="357">
        <v>0</v>
      </c>
      <c r="K51" s="357">
        <v>0</v>
      </c>
      <c r="L51" s="359">
        <v>0</v>
      </c>
      <c r="M51" s="359">
        <v>0</v>
      </c>
      <c r="N51" s="357">
        <v>0</v>
      </c>
      <c r="O51" s="357"/>
      <c r="P51" s="359">
        <v>0.75</v>
      </c>
      <c r="Q51" s="357"/>
      <c r="R51" s="357">
        <f>2.3/3</f>
        <v>0.76666666666666661</v>
      </c>
      <c r="S51" s="462"/>
      <c r="T51" s="462">
        <v>0.75</v>
      </c>
      <c r="U51" s="462">
        <v>0.77500000000000002</v>
      </c>
      <c r="V51" s="462">
        <v>0.75</v>
      </c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14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>
        <v>0</v>
      </c>
      <c r="G56" s="357">
        <v>0</v>
      </c>
      <c r="H56" s="357">
        <v>0</v>
      </c>
      <c r="I56" s="357">
        <v>0</v>
      </c>
      <c r="J56" s="357">
        <v>0</v>
      </c>
      <c r="K56" s="357">
        <v>0</v>
      </c>
      <c r="L56" s="359"/>
      <c r="M56" s="357"/>
      <c r="N56" s="359"/>
      <c r="O56" s="357"/>
      <c r="P56" s="359"/>
      <c r="Q56" s="357">
        <v>0.75</v>
      </c>
      <c r="R56" s="357">
        <f>2.3/3</f>
        <v>0.76666666666666661</v>
      </c>
      <c r="S56" s="462"/>
      <c r="T56" s="462">
        <v>0.75</v>
      </c>
      <c r="U56" s="462">
        <v>0.77500000000000002</v>
      </c>
      <c r="V56" s="462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10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>SUM(F36:F59)</f>
        <v>0</v>
      </c>
      <c r="G60" s="19">
        <f t="shared" ref="G60:AC60" si="11">SUM(G36:G59)</f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 t="shared" si="11"/>
        <v>0</v>
      </c>
      <c r="P60" s="19">
        <f t="shared" si="11"/>
        <v>1.5</v>
      </c>
      <c r="Q60" s="19">
        <f t="shared" si="11"/>
        <v>1.5</v>
      </c>
      <c r="R60" s="19">
        <f t="shared" si="11"/>
        <v>2.2999999999999998</v>
      </c>
      <c r="S60" s="19">
        <f t="shared" si="11"/>
        <v>0.8</v>
      </c>
      <c r="T60" s="19">
        <f t="shared" si="11"/>
        <v>3</v>
      </c>
      <c r="U60" s="19">
        <f t="shared" si="11"/>
        <v>3.1</v>
      </c>
      <c r="V60" s="19">
        <f t="shared" si="11"/>
        <v>1.5</v>
      </c>
      <c r="W60" s="19">
        <f t="shared" si="11"/>
        <v>0</v>
      </c>
      <c r="X60" s="19">
        <f t="shared" si="11"/>
        <v>0</v>
      </c>
      <c r="Y60" s="19">
        <f t="shared" si="11"/>
        <v>0.8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28.019999999999996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1.03/2</f>
        <v>0.51500000000000001</v>
      </c>
      <c r="G62" s="357">
        <f>0.97/2</f>
        <v>0.48499999999999999</v>
      </c>
      <c r="H62" s="357">
        <f>0.93/2</f>
        <v>0.46500000000000002</v>
      </c>
      <c r="I62" s="359">
        <f>0.9/2</f>
        <v>0.45</v>
      </c>
      <c r="J62" s="357">
        <f>0.91/2</f>
        <v>0.45500000000000002</v>
      </c>
      <c r="K62" s="357">
        <f>0.96/2</f>
        <v>0.48</v>
      </c>
      <c r="L62" s="357">
        <v>0.56499999999999995</v>
      </c>
      <c r="M62" s="357"/>
      <c r="N62" s="357"/>
      <c r="O62" s="357"/>
      <c r="P62" s="357"/>
      <c r="Q62" s="357"/>
      <c r="R62" s="357"/>
      <c r="S62" s="462"/>
      <c r="T62" s="357">
        <v>0.72</v>
      </c>
      <c r="U62" s="357">
        <v>0.72</v>
      </c>
      <c r="V62" s="462">
        <v>0.68</v>
      </c>
      <c r="W62" s="357">
        <v>0.66</v>
      </c>
      <c r="X62" s="357">
        <f>1.27/2</f>
        <v>0.63500000000000001</v>
      </c>
      <c r="Y62" s="357">
        <f>1.32/2</f>
        <v>0.66</v>
      </c>
      <c r="Z62" s="357">
        <f>1.23/2</f>
        <v>0.61499999999999999</v>
      </c>
      <c r="AA62" s="357">
        <f>1.16/2</f>
        <v>0.57999999999999996</v>
      </c>
      <c r="AB62" s="357">
        <f>1.01/2</f>
        <v>0.505</v>
      </c>
      <c r="AC62" s="357">
        <f>0.94/2</f>
        <v>0.47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/>
      <c r="H63" s="357">
        <f>0.93/2</f>
        <v>0.46500000000000002</v>
      </c>
      <c r="I63" s="359">
        <f>0.9/2</f>
        <v>0.45</v>
      </c>
      <c r="J63" s="357">
        <f>0.91/2</f>
        <v>0.45500000000000002</v>
      </c>
      <c r="K63" s="357">
        <f>0.96/2</f>
        <v>0.48</v>
      </c>
      <c r="L63" s="357">
        <v>0.56499999999999995</v>
      </c>
      <c r="M63" s="357">
        <v>0.51500000000000001</v>
      </c>
      <c r="N63" s="357">
        <v>0.52</v>
      </c>
      <c r="O63" s="357">
        <v>0.66</v>
      </c>
      <c r="P63" s="357">
        <f>1.36/2</f>
        <v>0.68</v>
      </c>
      <c r="Q63" s="357">
        <f>1.35/2</f>
        <v>0.67500000000000004</v>
      </c>
      <c r="R63" s="357">
        <f>1.29/2</f>
        <v>0.64500000000000002</v>
      </c>
      <c r="S63" s="462">
        <f>1.31/2</f>
        <v>0.65500000000000003</v>
      </c>
      <c r="T63" s="357"/>
      <c r="U63" s="357"/>
      <c r="V63" s="462"/>
      <c r="W63" s="357"/>
      <c r="X63" s="357"/>
      <c r="Y63" s="357"/>
      <c r="Z63" s="357">
        <f>1.23/2</f>
        <v>0.61499999999999999</v>
      </c>
      <c r="AA63" s="357">
        <f>1.16/2</f>
        <v>0.57999999999999996</v>
      </c>
      <c r="AB63" s="357">
        <f>1.01/2</f>
        <v>0.505</v>
      </c>
      <c r="AC63" s="357">
        <f>0.94/2</f>
        <v>0.47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1.03/2</f>
        <v>0.51500000000000001</v>
      </c>
      <c r="G64" s="357">
        <f>0.97/2</f>
        <v>0.48499999999999999</v>
      </c>
      <c r="H64" s="357">
        <v>0</v>
      </c>
      <c r="I64" s="359">
        <v>0</v>
      </c>
      <c r="J64" s="357">
        <v>0</v>
      </c>
      <c r="K64" s="357">
        <v>0</v>
      </c>
      <c r="L64" s="357">
        <v>0</v>
      </c>
      <c r="M64" s="357">
        <v>0.51500000000000001</v>
      </c>
      <c r="N64" s="357">
        <v>0.52</v>
      </c>
      <c r="O64" s="357">
        <v>0.66</v>
      </c>
      <c r="P64" s="357">
        <f>1.36/2</f>
        <v>0.68</v>
      </c>
      <c r="Q64" s="357">
        <f>1.35/2</f>
        <v>0.67500000000000004</v>
      </c>
      <c r="R64" s="357">
        <f>1.29/2</f>
        <v>0.64500000000000002</v>
      </c>
      <c r="S64" s="462">
        <f>1.31/2</f>
        <v>0.65500000000000003</v>
      </c>
      <c r="T64" s="357">
        <v>0.72</v>
      </c>
      <c r="U64" s="357">
        <v>0.72</v>
      </c>
      <c r="V64" s="462">
        <v>0.68</v>
      </c>
      <c r="W64" s="357">
        <v>0.66</v>
      </c>
      <c r="X64" s="357">
        <f>1.27/2</f>
        <v>0.63500000000000001</v>
      </c>
      <c r="Y64" s="357">
        <f>1.32/2</f>
        <v>0.66</v>
      </c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1.03</v>
      </c>
      <c r="G65" s="19">
        <f t="shared" ref="G65:AB65" si="12">SUM(G62:G64)</f>
        <v>0.97</v>
      </c>
      <c r="H65" s="19">
        <f t="shared" si="12"/>
        <v>0.93</v>
      </c>
      <c r="I65" s="19">
        <f t="shared" si="12"/>
        <v>0.9</v>
      </c>
      <c r="J65" s="19">
        <f t="shared" si="12"/>
        <v>0.91</v>
      </c>
      <c r="K65" s="19">
        <f t="shared" si="12"/>
        <v>0.96</v>
      </c>
      <c r="L65" s="19">
        <f t="shared" si="12"/>
        <v>1.1299999999999999</v>
      </c>
      <c r="M65" s="19">
        <f t="shared" si="12"/>
        <v>1.03</v>
      </c>
      <c r="N65" s="19">
        <f t="shared" si="12"/>
        <v>1.04</v>
      </c>
      <c r="O65" s="19">
        <f t="shared" si="12"/>
        <v>1.32</v>
      </c>
      <c r="P65" s="19">
        <f t="shared" si="12"/>
        <v>1.36</v>
      </c>
      <c r="Q65" s="19">
        <f t="shared" si="12"/>
        <v>1.35</v>
      </c>
      <c r="R65" s="19">
        <f t="shared" si="12"/>
        <v>1.29</v>
      </c>
      <c r="S65" s="463">
        <f t="shared" si="12"/>
        <v>1.31</v>
      </c>
      <c r="T65" s="463">
        <f t="shared" si="12"/>
        <v>1.44</v>
      </c>
      <c r="U65" s="463">
        <f t="shared" si="12"/>
        <v>1.44</v>
      </c>
      <c r="V65" s="19">
        <f>SUM(V62:V64)</f>
        <v>1.36</v>
      </c>
      <c r="W65" s="19">
        <f t="shared" si="12"/>
        <v>1.32</v>
      </c>
      <c r="X65" s="19">
        <f t="shared" si="12"/>
        <v>1.27</v>
      </c>
      <c r="Y65" s="19">
        <f>SUM(Y62:Y64)</f>
        <v>1.32</v>
      </c>
      <c r="Z65" s="19">
        <f>SUM(Z62:Z64)</f>
        <v>1.23</v>
      </c>
      <c r="AA65" s="19">
        <f t="shared" si="12"/>
        <v>1.1599999999999999</v>
      </c>
      <c r="AB65" s="19">
        <f t="shared" si="12"/>
        <v>1.01</v>
      </c>
      <c r="AC65" s="19">
        <f>SUM(AC62:AC64)</f>
        <v>0.94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63">
        <f t="shared" si="16"/>
        <v>0</v>
      </c>
      <c r="T76" s="463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16.79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0.63</v>
      </c>
      <c r="N78" s="357">
        <v>0.77</v>
      </c>
      <c r="O78" s="357"/>
      <c r="P78" s="357"/>
      <c r="Q78" s="357"/>
      <c r="R78" s="357">
        <v>0.86</v>
      </c>
      <c r="S78" s="357">
        <v>0.82</v>
      </c>
      <c r="T78" s="357">
        <v>0.82</v>
      </c>
      <c r="U78" s="357">
        <v>0.81</v>
      </c>
      <c r="V78" s="357">
        <v>0.8</v>
      </c>
      <c r="W78" s="357">
        <v>0.82</v>
      </c>
      <c r="X78" s="357">
        <v>0.86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0.84</v>
      </c>
      <c r="G79" s="357">
        <v>0.77</v>
      </c>
      <c r="H79" s="357">
        <v>0.75</v>
      </c>
      <c r="I79" s="357">
        <v>0.73</v>
      </c>
      <c r="J79" s="357">
        <v>0.72</v>
      </c>
      <c r="K79" s="357">
        <v>0.76</v>
      </c>
      <c r="L79" s="359">
        <v>0.79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0.93</v>
      </c>
      <c r="Z79" s="357">
        <v>0.89</v>
      </c>
      <c r="AA79" s="357">
        <v>0.85</v>
      </c>
      <c r="AB79" s="357">
        <v>0.8</v>
      </c>
      <c r="AC79" s="357">
        <v>0.77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0.84</v>
      </c>
      <c r="G80" s="19">
        <f t="shared" si="17"/>
        <v>0.77</v>
      </c>
      <c r="H80" s="19">
        <f>SUM(H78:H79)</f>
        <v>0.75</v>
      </c>
      <c r="I80" s="19">
        <f>SUM(I78:I79)</f>
        <v>0.73</v>
      </c>
      <c r="J80" s="19">
        <f t="shared" ref="J80:AC80" si="18">SUM(J78:J79)</f>
        <v>0.72</v>
      </c>
      <c r="K80" s="19">
        <f t="shared" si="18"/>
        <v>0.76</v>
      </c>
      <c r="L80" s="19">
        <f>SUM(L78:L79)</f>
        <v>0.79</v>
      </c>
      <c r="M80" s="19">
        <f t="shared" si="18"/>
        <v>0.63</v>
      </c>
      <c r="N80" s="19">
        <f t="shared" si="18"/>
        <v>0.77</v>
      </c>
      <c r="O80" s="19">
        <f>SUM(O78:O79)</f>
        <v>0</v>
      </c>
      <c r="P80" s="19">
        <f>SUM(P78:P79)</f>
        <v>0</v>
      </c>
      <c r="Q80" s="19">
        <f t="shared" si="18"/>
        <v>0</v>
      </c>
      <c r="R80" s="19">
        <f t="shared" si="18"/>
        <v>0.86</v>
      </c>
      <c r="S80" s="463">
        <f t="shared" si="18"/>
        <v>0.82</v>
      </c>
      <c r="T80" s="463">
        <f t="shared" si="18"/>
        <v>0.82</v>
      </c>
      <c r="U80" s="19">
        <f t="shared" si="18"/>
        <v>0.81</v>
      </c>
      <c r="V80" s="19">
        <f t="shared" si="18"/>
        <v>0.8</v>
      </c>
      <c r="W80" s="19">
        <f t="shared" si="18"/>
        <v>0.82</v>
      </c>
      <c r="X80" s="19">
        <f t="shared" si="18"/>
        <v>0.86</v>
      </c>
      <c r="Y80" s="19">
        <f t="shared" si="18"/>
        <v>0.93</v>
      </c>
      <c r="Z80" s="19">
        <f t="shared" si="18"/>
        <v>0.89</v>
      </c>
      <c r="AA80" s="19">
        <f t="shared" si="18"/>
        <v>0.85</v>
      </c>
      <c r="AB80" s="19">
        <f t="shared" si="18"/>
        <v>0.8</v>
      </c>
      <c r="AC80" s="19">
        <f t="shared" si="18"/>
        <v>0.77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9">SUM(F17,F22,F25,F31,F34,F60,F65,F76,F80,F82)</f>
        <v>42.34</v>
      </c>
      <c r="G83" s="28">
        <f t="shared" si="19"/>
        <v>40.330000000000005</v>
      </c>
      <c r="H83" s="28">
        <f t="shared" si="19"/>
        <v>35.18</v>
      </c>
      <c r="I83" s="28">
        <f t="shared" si="19"/>
        <v>38.019999999999996</v>
      </c>
      <c r="J83" s="28">
        <f t="shared" si="19"/>
        <v>37.089999999999996</v>
      </c>
      <c r="K83" s="28">
        <f t="shared" si="19"/>
        <v>38.43</v>
      </c>
      <c r="L83" s="28">
        <f t="shared" si="19"/>
        <v>43.2</v>
      </c>
      <c r="M83" s="28">
        <f t="shared" si="19"/>
        <v>40.780000000000008</v>
      </c>
      <c r="N83" s="28">
        <f t="shared" si="19"/>
        <v>45.8</v>
      </c>
      <c r="O83" s="28">
        <f t="shared" si="19"/>
        <v>51.85</v>
      </c>
      <c r="P83" s="28">
        <f t="shared" si="19"/>
        <v>54.65</v>
      </c>
      <c r="Q83" s="28">
        <f t="shared" si="19"/>
        <v>57.660000000000004</v>
      </c>
      <c r="R83" s="28">
        <f t="shared" si="19"/>
        <v>59.129999999999995</v>
      </c>
      <c r="S83" s="518">
        <f t="shared" si="19"/>
        <v>59.08</v>
      </c>
      <c r="T83" s="518">
        <f t="shared" si="19"/>
        <v>60.07</v>
      </c>
      <c r="U83" s="518">
        <f t="shared" si="19"/>
        <v>57.290000000000006</v>
      </c>
      <c r="V83" s="28">
        <f t="shared" si="19"/>
        <v>57.489999999999995</v>
      </c>
      <c r="W83" s="28">
        <f t="shared" si="19"/>
        <v>55.199999999999996</v>
      </c>
      <c r="X83" s="28">
        <f t="shared" si="19"/>
        <v>54.18</v>
      </c>
      <c r="Y83" s="28">
        <f t="shared" si="19"/>
        <v>58.28</v>
      </c>
      <c r="Z83" s="28">
        <f t="shared" si="19"/>
        <v>54.58</v>
      </c>
      <c r="AA83" s="28">
        <f t="shared" si="19"/>
        <v>51.68</v>
      </c>
      <c r="AB83" s="28">
        <f t="shared" si="19"/>
        <v>46.1</v>
      </c>
      <c r="AC83" s="28">
        <f t="shared" si="19"/>
        <v>41.500000000000007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4.1000000000000014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0">SUM(F22,F25)</f>
        <v>3</v>
      </c>
      <c r="G89" s="64">
        <f t="shared" si="20"/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3</v>
      </c>
      <c r="M89" s="64">
        <f t="shared" si="20"/>
        <v>3</v>
      </c>
      <c r="N89" s="64">
        <f t="shared" si="20"/>
        <v>3.4</v>
      </c>
      <c r="O89" s="64">
        <f t="shared" si="20"/>
        <v>5.8</v>
      </c>
      <c r="P89" s="64">
        <f t="shared" si="20"/>
        <v>6.1</v>
      </c>
      <c r="Q89" s="64">
        <f t="shared" si="20"/>
        <v>9.8000000000000007</v>
      </c>
      <c r="R89" s="64">
        <f t="shared" si="20"/>
        <v>9.8000000000000007</v>
      </c>
      <c r="S89" s="64">
        <f t="shared" si="20"/>
        <v>10</v>
      </c>
      <c r="T89" s="64">
        <f t="shared" si="20"/>
        <v>10.100000000000001</v>
      </c>
      <c r="U89" s="64">
        <f t="shared" si="20"/>
        <v>8.8000000000000007</v>
      </c>
      <c r="V89" s="64">
        <f t="shared" si="20"/>
        <v>9.5</v>
      </c>
      <c r="W89" s="64">
        <f t="shared" si="20"/>
        <v>9.1</v>
      </c>
      <c r="X89" s="64">
        <f t="shared" si="20"/>
        <v>8</v>
      </c>
      <c r="Y89" s="64">
        <f t="shared" si="20"/>
        <v>10.399999999999999</v>
      </c>
      <c r="Z89" s="64">
        <f t="shared" si="20"/>
        <v>7.6</v>
      </c>
      <c r="AA89" s="64">
        <f t="shared" si="20"/>
        <v>3.8</v>
      </c>
      <c r="AB89" s="64">
        <f t="shared" si="20"/>
        <v>0</v>
      </c>
      <c r="AC89" s="64">
        <f t="shared" si="20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>
        <v>0.22</v>
      </c>
      <c r="R90" s="68">
        <v>0.187</v>
      </c>
      <c r="S90" s="68">
        <v>0.182</v>
      </c>
      <c r="T90" s="68">
        <v>0.28699999999999998</v>
      </c>
      <c r="U90" s="68">
        <v>0.221</v>
      </c>
      <c r="V90" s="68">
        <v>0.161</v>
      </c>
      <c r="W90" s="68">
        <v>0.20799999999999999</v>
      </c>
      <c r="X90" s="68">
        <v>0.22500000000000001</v>
      </c>
      <c r="Y90" s="68">
        <v>0.252</v>
      </c>
      <c r="Z90" s="68">
        <v>0.215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1">F17</f>
        <v>13.2</v>
      </c>
      <c r="G91" s="64">
        <f t="shared" si="21"/>
        <v>13.5</v>
      </c>
      <c r="H91" s="64">
        <f t="shared" si="21"/>
        <v>13.2</v>
      </c>
      <c r="I91" s="64">
        <f t="shared" si="21"/>
        <v>13.2</v>
      </c>
      <c r="J91" s="64">
        <f t="shared" si="21"/>
        <v>13.2</v>
      </c>
      <c r="K91" s="64">
        <f t="shared" si="21"/>
        <v>13.4</v>
      </c>
      <c r="L91" s="64">
        <f t="shared" si="21"/>
        <v>13.4</v>
      </c>
      <c r="M91" s="64">
        <f t="shared" si="21"/>
        <v>12.8</v>
      </c>
      <c r="N91" s="64">
        <f t="shared" si="21"/>
        <v>15.5</v>
      </c>
      <c r="O91" s="64">
        <f t="shared" si="21"/>
        <v>19.600000000000001</v>
      </c>
      <c r="P91" s="64">
        <f t="shared" si="21"/>
        <v>20.6</v>
      </c>
      <c r="Q91" s="64">
        <f t="shared" si="21"/>
        <v>20.100000000000001</v>
      </c>
      <c r="R91" s="64">
        <f t="shared" si="21"/>
        <v>20</v>
      </c>
      <c r="S91" s="64">
        <f t="shared" si="21"/>
        <v>21</v>
      </c>
      <c r="T91" s="64">
        <f t="shared" si="21"/>
        <v>19.7</v>
      </c>
      <c r="U91" s="64">
        <f t="shared" si="21"/>
        <v>19.600000000000001</v>
      </c>
      <c r="V91" s="64">
        <f t="shared" si="21"/>
        <v>20.399999999999999</v>
      </c>
      <c r="W91" s="64">
        <f t="shared" si="21"/>
        <v>18.899999999999999</v>
      </c>
      <c r="X91" s="64">
        <f t="shared" si="21"/>
        <v>19.799999999999997</v>
      </c>
      <c r="Y91" s="64">
        <f t="shared" si="21"/>
        <v>19.799999999999997</v>
      </c>
      <c r="Z91" s="64">
        <f t="shared" si="21"/>
        <v>19.799999999999997</v>
      </c>
      <c r="AA91" s="64">
        <f t="shared" si="21"/>
        <v>20.700000000000003</v>
      </c>
      <c r="AB91" s="64">
        <f t="shared" si="21"/>
        <v>19.200000000000003</v>
      </c>
      <c r="AC91" s="64">
        <f t="shared" si="21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0.56000000000000005</v>
      </c>
      <c r="G92" s="68">
        <v>0.67</v>
      </c>
      <c r="H92" s="68">
        <v>0.69399999999999995</v>
      </c>
      <c r="I92" s="68">
        <v>0.55700000000000005</v>
      </c>
      <c r="J92" s="68">
        <v>0.46</v>
      </c>
      <c r="K92" s="68">
        <v>0.502</v>
      </c>
      <c r="L92" s="68">
        <v>0.48599999999999999</v>
      </c>
      <c r="M92" s="68">
        <v>0.629</v>
      </c>
      <c r="N92" s="68">
        <v>0.67100000000000004</v>
      </c>
      <c r="O92" s="68">
        <v>0.59799999999999998</v>
      </c>
      <c r="P92" s="68">
        <v>0.54700000000000004</v>
      </c>
      <c r="Q92" s="68">
        <v>0.72799999999999998</v>
      </c>
      <c r="R92" s="68">
        <v>0.75800000000000001</v>
      </c>
      <c r="S92" s="68">
        <v>0.78600000000000003</v>
      </c>
      <c r="T92" s="68">
        <v>0.81699999999999995</v>
      </c>
      <c r="U92" s="68">
        <v>0.56699999999999995</v>
      </c>
      <c r="V92" s="68">
        <v>0.57099999999999995</v>
      </c>
      <c r="W92" s="68">
        <v>0.69399999999999995</v>
      </c>
      <c r="X92" s="68">
        <v>0.83299999999999996</v>
      </c>
      <c r="Y92" s="68">
        <v>0.82199999999999995</v>
      </c>
      <c r="Z92" s="68">
        <v>0.81499999999999995</v>
      </c>
      <c r="AA92" s="68">
        <v>0.88</v>
      </c>
      <c r="AB92" s="68">
        <v>0.61799999999999999</v>
      </c>
      <c r="AC92" s="68">
        <v>0.53500000000000003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2">F31</f>
        <v>10</v>
      </c>
      <c r="G93" s="65">
        <f t="shared" si="22"/>
        <v>10.8</v>
      </c>
      <c r="H93" s="65">
        <f t="shared" si="22"/>
        <v>6</v>
      </c>
      <c r="I93" s="65">
        <f t="shared" si="22"/>
        <v>8.9</v>
      </c>
      <c r="J93" s="65">
        <f t="shared" si="22"/>
        <v>8</v>
      </c>
      <c r="K93" s="65">
        <f t="shared" si="22"/>
        <v>9</v>
      </c>
      <c r="L93" s="65">
        <f t="shared" si="22"/>
        <v>10.6</v>
      </c>
      <c r="M93" s="65">
        <f t="shared" si="22"/>
        <v>9</v>
      </c>
      <c r="N93" s="65">
        <f t="shared" si="22"/>
        <v>10.8</v>
      </c>
      <c r="O93" s="65">
        <f t="shared" si="22"/>
        <v>10.8</v>
      </c>
      <c r="P93" s="65">
        <f t="shared" si="22"/>
        <v>10.8</v>
      </c>
      <c r="Q93" s="65">
        <f t="shared" si="22"/>
        <v>10.8</v>
      </c>
      <c r="R93" s="65">
        <f t="shared" si="22"/>
        <v>10.7</v>
      </c>
      <c r="S93" s="65">
        <f t="shared" si="22"/>
        <v>11</v>
      </c>
      <c r="T93" s="65">
        <f t="shared" si="22"/>
        <v>10.8</v>
      </c>
      <c r="U93" s="65">
        <f t="shared" si="22"/>
        <v>9.3000000000000007</v>
      </c>
      <c r="V93" s="65">
        <f t="shared" si="22"/>
        <v>9.6999999999999993</v>
      </c>
      <c r="W93" s="65">
        <f t="shared" si="22"/>
        <v>10.8</v>
      </c>
      <c r="X93" s="65">
        <f t="shared" si="22"/>
        <v>10</v>
      </c>
      <c r="Y93" s="65">
        <f t="shared" si="22"/>
        <v>10.8</v>
      </c>
      <c r="Z93" s="65">
        <f t="shared" si="22"/>
        <v>10.8</v>
      </c>
      <c r="AA93" s="65">
        <f t="shared" si="22"/>
        <v>10.899999999999999</v>
      </c>
      <c r="AB93" s="65">
        <f t="shared" si="22"/>
        <v>10.8</v>
      </c>
      <c r="AC93" s="65">
        <f t="shared" si="22"/>
        <v>6.3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0.14899999999999999</v>
      </c>
      <c r="G94" s="68">
        <v>0.14799999999999999</v>
      </c>
      <c r="H94" s="68">
        <v>0.151</v>
      </c>
      <c r="I94" s="68">
        <v>0.14599999999999999</v>
      </c>
      <c r="J94" s="68">
        <v>0.14199999999999999</v>
      </c>
      <c r="K94" s="68">
        <v>0.248</v>
      </c>
      <c r="L94" s="68">
        <v>0.17499999999999999</v>
      </c>
      <c r="M94" s="68">
        <v>0.12</v>
      </c>
      <c r="N94" s="68">
        <v>0.16200000000000001</v>
      </c>
      <c r="O94" s="68">
        <v>0.191</v>
      </c>
      <c r="P94" s="68">
        <v>0.22600000000000001</v>
      </c>
      <c r="Q94" s="68">
        <v>0.22700000000000001</v>
      </c>
      <c r="R94" s="68">
        <v>0.19400000000000001</v>
      </c>
      <c r="S94" s="68">
        <v>0.189</v>
      </c>
      <c r="T94" s="68">
        <v>0.216</v>
      </c>
      <c r="U94" s="68">
        <v>0.161</v>
      </c>
      <c r="V94" s="68">
        <v>0.19600000000000001</v>
      </c>
      <c r="W94" s="68">
        <v>0.21299999999999999</v>
      </c>
      <c r="X94" s="68">
        <v>0.222</v>
      </c>
      <c r="Y94" s="68">
        <v>0.215</v>
      </c>
      <c r="Z94" s="68">
        <v>0.20899999999999999</v>
      </c>
      <c r="AA94" s="68">
        <v>0.20599999999999999</v>
      </c>
      <c r="AB94" s="68">
        <v>0.18</v>
      </c>
      <c r="AC94" s="68">
        <v>0.183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</v>
      </c>
      <c r="G95" s="68">
        <v>0.21</v>
      </c>
      <c r="H95" s="68">
        <v>0.21</v>
      </c>
      <c r="I95" s="68">
        <v>0.22</v>
      </c>
      <c r="J95" s="68">
        <v>0.22</v>
      </c>
      <c r="K95" s="68">
        <v>0.22</v>
      </c>
      <c r="L95" s="68">
        <v>0.21</v>
      </c>
      <c r="M95" s="68">
        <v>0.22</v>
      </c>
      <c r="N95" s="68">
        <v>0.22</v>
      </c>
      <c r="O95" s="68">
        <v>0.218</v>
      </c>
      <c r="P95" s="68">
        <v>0.22900000000000001</v>
      </c>
      <c r="Q95" s="68">
        <v>0.20799999999999999</v>
      </c>
      <c r="R95" s="68">
        <v>0.219</v>
      </c>
      <c r="S95" s="68">
        <v>0.21099999999999999</v>
      </c>
      <c r="T95" s="68">
        <v>0.27700000000000002</v>
      </c>
      <c r="U95" s="68">
        <v>0.23100000000000001</v>
      </c>
      <c r="V95" s="68">
        <v>0.20799999999999999</v>
      </c>
      <c r="W95" s="68">
        <v>0.20599999999999999</v>
      </c>
      <c r="X95" s="68">
        <v>0.19900000000000001</v>
      </c>
      <c r="Y95" s="68">
        <v>0.21</v>
      </c>
      <c r="Z95" s="68">
        <v>0.20100000000000001</v>
      </c>
      <c r="AA95" s="68">
        <v>0.20300000000000001</v>
      </c>
      <c r="AB95" s="68">
        <v>0.216</v>
      </c>
      <c r="AC95" s="68">
        <v>0.20300000000000001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3">F34</f>
        <v>14.27</v>
      </c>
      <c r="G96" s="65">
        <f t="shared" si="23"/>
        <v>14.29</v>
      </c>
      <c r="H96" s="65">
        <f t="shared" si="23"/>
        <v>14.3</v>
      </c>
      <c r="I96" s="65">
        <f t="shared" si="23"/>
        <v>14.29</v>
      </c>
      <c r="J96" s="65">
        <f t="shared" si="23"/>
        <v>14.26</v>
      </c>
      <c r="K96" s="65">
        <f t="shared" si="23"/>
        <v>14.31</v>
      </c>
      <c r="L96" s="65">
        <f t="shared" si="23"/>
        <v>14.28</v>
      </c>
      <c r="M96" s="65">
        <f t="shared" si="23"/>
        <v>14.32</v>
      </c>
      <c r="N96" s="65">
        <f t="shared" si="23"/>
        <v>14.29</v>
      </c>
      <c r="O96" s="65">
        <f t="shared" si="23"/>
        <v>14.33</v>
      </c>
      <c r="P96" s="65">
        <f t="shared" si="23"/>
        <v>14.29</v>
      </c>
      <c r="Q96" s="65">
        <f t="shared" si="23"/>
        <v>14.11</v>
      </c>
      <c r="R96" s="65">
        <f t="shared" si="23"/>
        <v>14.18</v>
      </c>
      <c r="S96" s="65">
        <f t="shared" si="23"/>
        <v>14.15</v>
      </c>
      <c r="T96" s="65">
        <f t="shared" si="23"/>
        <v>14.21</v>
      </c>
      <c r="U96" s="65">
        <f t="shared" si="23"/>
        <v>14.24</v>
      </c>
      <c r="V96" s="65">
        <f t="shared" si="23"/>
        <v>14.23</v>
      </c>
      <c r="W96" s="65">
        <f t="shared" si="23"/>
        <v>14.26</v>
      </c>
      <c r="X96" s="65">
        <f t="shared" si="23"/>
        <v>14.25</v>
      </c>
      <c r="Y96" s="65">
        <f t="shared" si="23"/>
        <v>14.23</v>
      </c>
      <c r="Z96" s="65">
        <f t="shared" si="23"/>
        <v>14.26</v>
      </c>
      <c r="AA96" s="65">
        <f t="shared" si="23"/>
        <v>14.27</v>
      </c>
      <c r="AB96" s="65">
        <f t="shared" si="23"/>
        <v>14.29</v>
      </c>
      <c r="AC96" s="65">
        <f t="shared" si="23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0.73</v>
      </c>
      <c r="G97" s="68">
        <v>0.71</v>
      </c>
      <c r="H97" s="68">
        <v>0.7</v>
      </c>
      <c r="I97" s="68">
        <v>0.71</v>
      </c>
      <c r="J97" s="68">
        <v>0.74</v>
      </c>
      <c r="K97" s="68">
        <v>0.69</v>
      </c>
      <c r="L97" s="68">
        <v>0.72</v>
      </c>
      <c r="M97" s="68">
        <v>0.68</v>
      </c>
      <c r="N97" s="68">
        <v>0.71</v>
      </c>
      <c r="O97" s="68">
        <v>0.67</v>
      </c>
      <c r="P97" s="68">
        <v>0.71</v>
      </c>
      <c r="Q97" s="68">
        <v>0.89</v>
      </c>
      <c r="R97" s="68">
        <v>0.82</v>
      </c>
      <c r="S97" s="68">
        <v>0.85</v>
      </c>
      <c r="T97" s="68">
        <v>0.79</v>
      </c>
      <c r="U97" s="68">
        <v>0.76</v>
      </c>
      <c r="V97" s="68">
        <v>0.77</v>
      </c>
      <c r="W97" s="68">
        <v>0.74</v>
      </c>
      <c r="X97" s="68">
        <v>0.75</v>
      </c>
      <c r="Y97" s="68">
        <v>0.77</v>
      </c>
      <c r="Z97" s="68">
        <v>0.74</v>
      </c>
      <c r="AA97" s="68">
        <v>0.73</v>
      </c>
      <c r="AB97" s="68">
        <v>0.71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4">F60</f>
        <v>0</v>
      </c>
      <c r="G98" s="64">
        <f t="shared" si="24"/>
        <v>0</v>
      </c>
      <c r="H98" s="64">
        <f t="shared" si="24"/>
        <v>0</v>
      </c>
      <c r="I98" s="64">
        <f t="shared" si="24"/>
        <v>0</v>
      </c>
      <c r="J98" s="64">
        <f t="shared" si="24"/>
        <v>0</v>
      </c>
      <c r="K98" s="64">
        <f t="shared" si="24"/>
        <v>0</v>
      </c>
      <c r="L98" s="64">
        <f t="shared" si="24"/>
        <v>0</v>
      </c>
      <c r="M98" s="64">
        <f t="shared" si="24"/>
        <v>0</v>
      </c>
      <c r="N98" s="64">
        <f t="shared" si="24"/>
        <v>0</v>
      </c>
      <c r="O98" s="64">
        <f t="shared" si="24"/>
        <v>0</v>
      </c>
      <c r="P98" s="64">
        <f t="shared" si="24"/>
        <v>1.5</v>
      </c>
      <c r="Q98" s="64">
        <f t="shared" si="24"/>
        <v>1.5</v>
      </c>
      <c r="R98" s="64">
        <f t="shared" si="24"/>
        <v>2.2999999999999998</v>
      </c>
      <c r="S98" s="64">
        <f t="shared" si="24"/>
        <v>0.8</v>
      </c>
      <c r="T98" s="64">
        <f t="shared" si="24"/>
        <v>3</v>
      </c>
      <c r="U98" s="64">
        <f t="shared" si="24"/>
        <v>3.1</v>
      </c>
      <c r="V98" s="64">
        <f t="shared" si="24"/>
        <v>1.5</v>
      </c>
      <c r="W98" s="64">
        <f t="shared" si="24"/>
        <v>0</v>
      </c>
      <c r="X98" s="64">
        <f t="shared" si="24"/>
        <v>0</v>
      </c>
      <c r="Y98" s="64">
        <f t="shared" si="24"/>
        <v>0.8</v>
      </c>
      <c r="Z98" s="64">
        <f t="shared" si="24"/>
        <v>0</v>
      </c>
      <c r="AA98" s="64">
        <f t="shared" si="24"/>
        <v>0</v>
      </c>
      <c r="AB98" s="64">
        <f t="shared" si="24"/>
        <v>0</v>
      </c>
      <c r="AC98" s="64">
        <f t="shared" si="2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5">F65</f>
        <v>1.03</v>
      </c>
      <c r="G99" s="64">
        <f t="shared" si="25"/>
        <v>0.97</v>
      </c>
      <c r="H99" s="64">
        <f t="shared" si="25"/>
        <v>0.93</v>
      </c>
      <c r="I99" s="64">
        <f t="shared" si="25"/>
        <v>0.9</v>
      </c>
      <c r="J99" s="64">
        <f t="shared" si="25"/>
        <v>0.91</v>
      </c>
      <c r="K99" s="64">
        <f t="shared" si="25"/>
        <v>0.96</v>
      </c>
      <c r="L99" s="64">
        <f t="shared" si="25"/>
        <v>1.1299999999999999</v>
      </c>
      <c r="M99" s="64">
        <f t="shared" si="25"/>
        <v>1.03</v>
      </c>
      <c r="N99" s="64">
        <f t="shared" si="25"/>
        <v>1.04</v>
      </c>
      <c r="O99" s="64">
        <f t="shared" si="25"/>
        <v>1.32</v>
      </c>
      <c r="P99" s="64">
        <f t="shared" si="25"/>
        <v>1.36</v>
      </c>
      <c r="Q99" s="64">
        <f t="shared" si="25"/>
        <v>1.35</v>
      </c>
      <c r="R99" s="64">
        <f t="shared" si="25"/>
        <v>1.29</v>
      </c>
      <c r="S99" s="64">
        <f t="shared" si="25"/>
        <v>1.31</v>
      </c>
      <c r="T99" s="64">
        <f t="shared" si="25"/>
        <v>1.44</v>
      </c>
      <c r="U99" s="64">
        <f t="shared" si="25"/>
        <v>1.44</v>
      </c>
      <c r="V99" s="64">
        <f t="shared" si="25"/>
        <v>1.36</v>
      </c>
      <c r="W99" s="64">
        <f t="shared" si="25"/>
        <v>1.32</v>
      </c>
      <c r="X99" s="64">
        <f t="shared" si="25"/>
        <v>1.27</v>
      </c>
      <c r="Y99" s="64">
        <f t="shared" si="25"/>
        <v>1.32</v>
      </c>
      <c r="Z99" s="64">
        <f t="shared" si="25"/>
        <v>1.23</v>
      </c>
      <c r="AA99" s="64">
        <f t="shared" si="25"/>
        <v>1.1599999999999999</v>
      </c>
      <c r="AB99" s="64">
        <f t="shared" si="25"/>
        <v>1.01</v>
      </c>
      <c r="AC99" s="64">
        <f t="shared" si="25"/>
        <v>0.94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6">F76</f>
        <v>0</v>
      </c>
      <c r="G100" s="64">
        <f t="shared" si="26"/>
        <v>0</v>
      </c>
      <c r="H100" s="64">
        <f t="shared" si="26"/>
        <v>0</v>
      </c>
      <c r="I100" s="64">
        <f t="shared" si="26"/>
        <v>0</v>
      </c>
      <c r="J100" s="64">
        <f t="shared" si="26"/>
        <v>0</v>
      </c>
      <c r="K100" s="64">
        <f t="shared" si="26"/>
        <v>0</v>
      </c>
      <c r="L100" s="64">
        <f t="shared" si="26"/>
        <v>0</v>
      </c>
      <c r="M100" s="64">
        <f t="shared" si="26"/>
        <v>0</v>
      </c>
      <c r="N100" s="64">
        <f t="shared" si="26"/>
        <v>0</v>
      </c>
      <c r="O100" s="64">
        <f t="shared" si="26"/>
        <v>0</v>
      </c>
      <c r="P100" s="64">
        <f t="shared" si="26"/>
        <v>0</v>
      </c>
      <c r="Q100" s="64">
        <f t="shared" si="26"/>
        <v>0</v>
      </c>
      <c r="R100" s="64">
        <f t="shared" si="26"/>
        <v>0</v>
      </c>
      <c r="S100" s="64">
        <f t="shared" si="26"/>
        <v>0</v>
      </c>
      <c r="T100" s="64">
        <f t="shared" si="26"/>
        <v>0</v>
      </c>
      <c r="U100" s="64">
        <f t="shared" si="26"/>
        <v>0</v>
      </c>
      <c r="V100" s="64">
        <f t="shared" si="26"/>
        <v>0</v>
      </c>
      <c r="W100" s="64">
        <f t="shared" si="26"/>
        <v>0</v>
      </c>
      <c r="X100" s="64">
        <f t="shared" si="26"/>
        <v>0</v>
      </c>
      <c r="Y100" s="64">
        <f t="shared" si="26"/>
        <v>0</v>
      </c>
      <c r="Z100" s="64">
        <f t="shared" si="26"/>
        <v>0</v>
      </c>
      <c r="AA100" s="64">
        <f t="shared" si="26"/>
        <v>0</v>
      </c>
      <c r="AB100" s="64">
        <f t="shared" si="26"/>
        <v>0</v>
      </c>
      <c r="AC100" s="64">
        <f t="shared" si="2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7">F80</f>
        <v>0.84</v>
      </c>
      <c r="G101" s="64">
        <f t="shared" si="27"/>
        <v>0.77</v>
      </c>
      <c r="H101" s="64">
        <f t="shared" si="27"/>
        <v>0.75</v>
      </c>
      <c r="I101" s="64">
        <f t="shared" si="27"/>
        <v>0.73</v>
      </c>
      <c r="J101" s="64">
        <f t="shared" si="27"/>
        <v>0.72</v>
      </c>
      <c r="K101" s="64">
        <f t="shared" si="27"/>
        <v>0.76</v>
      </c>
      <c r="L101" s="64">
        <f t="shared" si="27"/>
        <v>0.79</v>
      </c>
      <c r="M101" s="64">
        <f t="shared" si="27"/>
        <v>0.63</v>
      </c>
      <c r="N101" s="64">
        <f t="shared" si="27"/>
        <v>0.77</v>
      </c>
      <c r="O101" s="64">
        <f t="shared" si="27"/>
        <v>0</v>
      </c>
      <c r="P101" s="64">
        <f t="shared" si="27"/>
        <v>0</v>
      </c>
      <c r="Q101" s="64">
        <f t="shared" si="27"/>
        <v>0</v>
      </c>
      <c r="R101" s="64">
        <f t="shared" si="27"/>
        <v>0.86</v>
      </c>
      <c r="S101" s="64">
        <f t="shared" si="27"/>
        <v>0.82</v>
      </c>
      <c r="T101" s="64">
        <f t="shared" si="27"/>
        <v>0.82</v>
      </c>
      <c r="U101" s="64">
        <f t="shared" si="27"/>
        <v>0.81</v>
      </c>
      <c r="V101" s="64">
        <f t="shared" si="27"/>
        <v>0.8</v>
      </c>
      <c r="W101" s="64">
        <f t="shared" si="27"/>
        <v>0.82</v>
      </c>
      <c r="X101" s="64">
        <f t="shared" si="27"/>
        <v>0.86</v>
      </c>
      <c r="Y101" s="64">
        <f t="shared" si="27"/>
        <v>0.93</v>
      </c>
      <c r="Z101" s="64">
        <f t="shared" si="27"/>
        <v>0.89</v>
      </c>
      <c r="AA101" s="64">
        <f t="shared" si="27"/>
        <v>0.85</v>
      </c>
      <c r="AB101" s="64">
        <f t="shared" si="27"/>
        <v>0.8</v>
      </c>
      <c r="AC101" s="64">
        <f t="shared" si="27"/>
        <v>0.77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28">F82</f>
        <v>0</v>
      </c>
      <c r="G102" s="64">
        <f t="shared" si="28"/>
        <v>0</v>
      </c>
      <c r="H102" s="64">
        <f t="shared" si="28"/>
        <v>0</v>
      </c>
      <c r="I102" s="64">
        <f t="shared" si="28"/>
        <v>0</v>
      </c>
      <c r="J102" s="64">
        <f t="shared" si="28"/>
        <v>0</v>
      </c>
      <c r="K102" s="64">
        <f t="shared" si="28"/>
        <v>0</v>
      </c>
      <c r="L102" s="64">
        <f t="shared" si="28"/>
        <v>0</v>
      </c>
      <c r="M102" s="64">
        <f t="shared" si="28"/>
        <v>0</v>
      </c>
      <c r="N102" s="64">
        <f t="shared" si="28"/>
        <v>0</v>
      </c>
      <c r="O102" s="64">
        <f t="shared" si="28"/>
        <v>0</v>
      </c>
      <c r="P102" s="64">
        <f t="shared" si="28"/>
        <v>0</v>
      </c>
      <c r="Q102" s="64">
        <f t="shared" si="28"/>
        <v>0</v>
      </c>
      <c r="R102" s="64">
        <f t="shared" si="28"/>
        <v>0</v>
      </c>
      <c r="S102" s="64">
        <f t="shared" si="28"/>
        <v>0</v>
      </c>
      <c r="T102" s="64">
        <f t="shared" si="28"/>
        <v>0</v>
      </c>
      <c r="U102" s="64">
        <f t="shared" si="28"/>
        <v>0</v>
      </c>
      <c r="V102" s="64">
        <f t="shared" si="28"/>
        <v>0</v>
      </c>
      <c r="W102" s="64">
        <f t="shared" si="28"/>
        <v>0</v>
      </c>
      <c r="X102" s="64">
        <f t="shared" si="28"/>
        <v>0</v>
      </c>
      <c r="Y102" s="64">
        <f t="shared" si="28"/>
        <v>0</v>
      </c>
      <c r="Z102" s="64">
        <f t="shared" si="28"/>
        <v>0</v>
      </c>
      <c r="AA102" s="64">
        <f t="shared" si="28"/>
        <v>0</v>
      </c>
      <c r="AB102" s="64">
        <f t="shared" si="28"/>
        <v>0</v>
      </c>
      <c r="AC102" s="64">
        <f t="shared" si="2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29">SUM(F89,F91,F93,F96,F98:F102,F81)</f>
        <v>42.34</v>
      </c>
      <c r="G103" s="61">
        <f t="shared" si="29"/>
        <v>40.330000000000005</v>
      </c>
      <c r="H103" s="61">
        <f t="shared" si="29"/>
        <v>35.18</v>
      </c>
      <c r="I103" s="61">
        <f t="shared" si="29"/>
        <v>38.019999999999996</v>
      </c>
      <c r="J103" s="61">
        <f t="shared" si="29"/>
        <v>37.089999999999996</v>
      </c>
      <c r="K103" s="61">
        <f t="shared" si="29"/>
        <v>38.43</v>
      </c>
      <c r="L103" s="61">
        <f t="shared" si="29"/>
        <v>43.2</v>
      </c>
      <c r="M103" s="61">
        <f t="shared" si="29"/>
        <v>40.780000000000008</v>
      </c>
      <c r="N103" s="61">
        <f t="shared" si="29"/>
        <v>45.8</v>
      </c>
      <c r="O103" s="61">
        <f t="shared" si="29"/>
        <v>51.85</v>
      </c>
      <c r="P103" s="61">
        <f t="shared" si="29"/>
        <v>54.65</v>
      </c>
      <c r="Q103" s="61">
        <f t="shared" si="29"/>
        <v>57.660000000000004</v>
      </c>
      <c r="R103" s="61">
        <f t="shared" si="29"/>
        <v>59.129999999999995</v>
      </c>
      <c r="S103" s="61">
        <f t="shared" si="29"/>
        <v>59.08</v>
      </c>
      <c r="T103" s="61">
        <f t="shared" si="29"/>
        <v>60.07</v>
      </c>
      <c r="U103" s="61">
        <f t="shared" si="29"/>
        <v>57.290000000000006</v>
      </c>
      <c r="V103" s="61">
        <f t="shared" si="29"/>
        <v>57.489999999999995</v>
      </c>
      <c r="W103" s="61">
        <f t="shared" si="29"/>
        <v>55.199999999999996</v>
      </c>
      <c r="X103" s="61">
        <f t="shared" si="29"/>
        <v>54.18</v>
      </c>
      <c r="Y103" s="61">
        <f t="shared" si="29"/>
        <v>58.28</v>
      </c>
      <c r="Z103" s="61">
        <f t="shared" si="29"/>
        <v>54.58</v>
      </c>
      <c r="AA103" s="61">
        <f t="shared" si="29"/>
        <v>51.68</v>
      </c>
      <c r="AB103" s="61">
        <f t="shared" si="29"/>
        <v>46.1</v>
      </c>
      <c r="AC103" s="61">
        <f t="shared" si="29"/>
        <v>41.500000000000007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0.82</v>
      </c>
      <c r="Q105" s="76">
        <v>0.82</v>
      </c>
      <c r="R105" s="76">
        <v>0.82</v>
      </c>
      <c r="S105" s="76">
        <v>0.82</v>
      </c>
      <c r="T105" s="76">
        <v>0.82</v>
      </c>
      <c r="U105" s="76">
        <v>0.82</v>
      </c>
      <c r="V105" s="76">
        <v>0.82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v>0.77</v>
      </c>
      <c r="P106" s="76">
        <v>0.77</v>
      </c>
      <c r="Q106" s="76">
        <v>0.77</v>
      </c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0">SUM(F104:F106)</f>
        <v>0</v>
      </c>
      <c r="G107" s="61">
        <f t="shared" si="30"/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0</v>
      </c>
      <c r="M107" s="61">
        <f t="shared" si="30"/>
        <v>0</v>
      </c>
      <c r="N107" s="61">
        <f t="shared" si="30"/>
        <v>0</v>
      </c>
      <c r="O107" s="61">
        <f t="shared" si="30"/>
        <v>0.77</v>
      </c>
      <c r="P107" s="61">
        <f t="shared" si="30"/>
        <v>1.5899999999999999</v>
      </c>
      <c r="Q107" s="61">
        <f t="shared" si="30"/>
        <v>1.5899999999999999</v>
      </c>
      <c r="R107" s="61">
        <f t="shared" si="30"/>
        <v>0.82</v>
      </c>
      <c r="S107" s="61">
        <f t="shared" si="30"/>
        <v>0.82</v>
      </c>
      <c r="T107" s="61">
        <f t="shared" si="30"/>
        <v>0.82</v>
      </c>
      <c r="U107" s="61">
        <f t="shared" si="30"/>
        <v>0.82</v>
      </c>
      <c r="V107" s="61">
        <f t="shared" si="30"/>
        <v>0.82</v>
      </c>
      <c r="W107" s="61">
        <f t="shared" si="30"/>
        <v>0</v>
      </c>
      <c r="X107" s="61">
        <f t="shared" si="30"/>
        <v>0</v>
      </c>
      <c r="Y107" s="61">
        <f t="shared" si="30"/>
        <v>0</v>
      </c>
      <c r="Z107" s="61">
        <f t="shared" si="30"/>
        <v>0</v>
      </c>
      <c r="AA107" s="61">
        <f t="shared" si="30"/>
        <v>0</v>
      </c>
      <c r="AB107" s="61">
        <f t="shared" si="30"/>
        <v>0</v>
      </c>
      <c r="AC107" s="61">
        <f t="shared" si="3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1">F103+F107</f>
        <v>42.34</v>
      </c>
      <c r="G108" s="62">
        <f t="shared" si="31"/>
        <v>40.330000000000005</v>
      </c>
      <c r="H108" s="62">
        <f t="shared" si="31"/>
        <v>35.18</v>
      </c>
      <c r="I108" s="62">
        <f t="shared" si="31"/>
        <v>38.019999999999996</v>
      </c>
      <c r="J108" s="62">
        <f t="shared" si="31"/>
        <v>37.089999999999996</v>
      </c>
      <c r="K108" s="62">
        <f t="shared" si="31"/>
        <v>38.43</v>
      </c>
      <c r="L108" s="62">
        <f t="shared" si="31"/>
        <v>43.2</v>
      </c>
      <c r="M108" s="62">
        <f t="shared" si="31"/>
        <v>40.780000000000008</v>
      </c>
      <c r="N108" s="62">
        <f>N103+N107</f>
        <v>45.8</v>
      </c>
      <c r="O108" s="62">
        <f t="shared" si="31"/>
        <v>52.620000000000005</v>
      </c>
      <c r="P108" s="62">
        <f>P103+P107</f>
        <v>56.239999999999995</v>
      </c>
      <c r="Q108" s="62">
        <f t="shared" si="31"/>
        <v>59.25</v>
      </c>
      <c r="R108" s="62">
        <f t="shared" si="31"/>
        <v>59.949999999999996</v>
      </c>
      <c r="S108" s="62">
        <f t="shared" si="31"/>
        <v>59.9</v>
      </c>
      <c r="T108" s="62">
        <f>T103+T107</f>
        <v>60.89</v>
      </c>
      <c r="U108" s="62">
        <f t="shared" si="31"/>
        <v>58.110000000000007</v>
      </c>
      <c r="V108" s="62">
        <f t="shared" si="31"/>
        <v>58.309999999999995</v>
      </c>
      <c r="W108" s="62">
        <f>W103+W107</f>
        <v>55.199999999999996</v>
      </c>
      <c r="X108" s="62">
        <f t="shared" si="31"/>
        <v>54.18</v>
      </c>
      <c r="Y108" s="62">
        <f t="shared" si="31"/>
        <v>58.28</v>
      </c>
      <c r="Z108" s="62">
        <f t="shared" si="31"/>
        <v>54.58</v>
      </c>
      <c r="AA108" s="62">
        <f t="shared" si="31"/>
        <v>51.68</v>
      </c>
      <c r="AB108" s="62">
        <f t="shared" si="31"/>
        <v>46.1</v>
      </c>
      <c r="AC108" s="62">
        <f t="shared" si="31"/>
        <v>41.500000000000007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2">(COUNT(F13:F16))*7.2+(COUNT(F27:F28)*4.9)+(COUNT(F19:F21)*4.5)-F91-F93</f>
        <v>12.3</v>
      </c>
      <c r="G109" s="63">
        <f t="shared" si="32"/>
        <v>11.2</v>
      </c>
      <c r="H109" s="63">
        <f t="shared" si="32"/>
        <v>16.3</v>
      </c>
      <c r="I109" s="63">
        <f t="shared" si="32"/>
        <v>13.4</v>
      </c>
      <c r="J109" s="63">
        <f t="shared" si="32"/>
        <v>14.3</v>
      </c>
      <c r="K109" s="63">
        <f t="shared" si="32"/>
        <v>13.100000000000001</v>
      </c>
      <c r="L109" s="63">
        <f t="shared" si="32"/>
        <v>4.3000000000000007</v>
      </c>
      <c r="M109" s="63">
        <f t="shared" si="32"/>
        <v>6.5</v>
      </c>
      <c r="N109" s="63">
        <f t="shared" si="32"/>
        <v>9.1999999999999993</v>
      </c>
      <c r="O109" s="63">
        <f t="shared" si="32"/>
        <v>5.0999999999999979</v>
      </c>
      <c r="P109" s="63">
        <f t="shared" si="32"/>
        <v>4.0999999999999979</v>
      </c>
      <c r="Q109" s="63">
        <f t="shared" si="32"/>
        <v>4.5999999999999979</v>
      </c>
      <c r="R109" s="63">
        <f t="shared" si="32"/>
        <v>9.3000000000000007</v>
      </c>
      <c r="S109" s="63">
        <f t="shared" si="32"/>
        <v>3.5</v>
      </c>
      <c r="T109" s="63">
        <f t="shared" si="32"/>
        <v>5</v>
      </c>
      <c r="U109" s="63">
        <f t="shared" si="32"/>
        <v>6.5999999999999979</v>
      </c>
      <c r="V109" s="63">
        <f t="shared" si="32"/>
        <v>5.4000000000000021</v>
      </c>
      <c r="W109" s="63">
        <f t="shared" si="32"/>
        <v>5.8000000000000007</v>
      </c>
      <c r="X109" s="63">
        <f t="shared" si="32"/>
        <v>5.7000000000000028</v>
      </c>
      <c r="Y109" s="63">
        <f t="shared" si="32"/>
        <v>4.9000000000000021</v>
      </c>
      <c r="Z109" s="63">
        <f t="shared" si="32"/>
        <v>0.40000000000000213</v>
      </c>
      <c r="AA109" s="63">
        <f t="shared" si="32"/>
        <v>-0.60000000000000142</v>
      </c>
      <c r="AB109" s="63">
        <f t="shared" si="32"/>
        <v>-3.5000000000000036</v>
      </c>
      <c r="AC109" s="63">
        <f t="shared" si="32"/>
        <v>0.99999999999999734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-0.29999999999999893</v>
      </c>
      <c r="G110" s="205">
        <f t="shared" si="33"/>
        <v>-6.4</v>
      </c>
      <c r="H110" s="205">
        <f t="shared" si="33"/>
        <v>-1.2999999999999989</v>
      </c>
      <c r="I110" s="205">
        <f t="shared" si="33"/>
        <v>-4.1999999999999993</v>
      </c>
      <c r="J110" s="205">
        <f t="shared" si="33"/>
        <v>-3.2999999999999989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-4.5</v>
      </c>
      <c r="L110" s="205">
        <f t="shared" si="33"/>
        <v>-3.1999999999999993</v>
      </c>
      <c r="M110" s="205">
        <f t="shared" si="33"/>
        <v>-1</v>
      </c>
      <c r="N110" s="205">
        <f t="shared" si="33"/>
        <v>1.3000000000000012</v>
      </c>
      <c r="O110" s="205">
        <f t="shared" si="33"/>
        <v>-1.7000000000000002</v>
      </c>
      <c r="P110" s="205">
        <f t="shared" si="33"/>
        <v>-3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-1.7000000000000002</v>
      </c>
      <c r="R110" s="205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2.6000000000000014</v>
      </c>
      <c r="S110" s="205">
        <f t="shared" si="34"/>
        <v>-3.3999999999999986</v>
      </c>
      <c r="T110" s="205">
        <f t="shared" si="34"/>
        <v>-1.9999999999999991</v>
      </c>
      <c r="U110" s="205">
        <f t="shared" si="34"/>
        <v>0.89999999999999947</v>
      </c>
      <c r="V110" s="205">
        <f t="shared" si="34"/>
        <v>-0.99999999999999645</v>
      </c>
      <c r="W110" s="205">
        <f t="shared" si="34"/>
        <v>-0.19999999999999751</v>
      </c>
      <c r="X110" s="205">
        <f t="shared" si="34"/>
        <v>0.80000000000000426</v>
      </c>
      <c r="Y110" s="205">
        <f t="shared" si="34"/>
        <v>-2.3999999999999959</v>
      </c>
      <c r="Z110" s="205">
        <f t="shared" si="34"/>
        <v>-3.0999999999999961</v>
      </c>
      <c r="AA110" s="205">
        <f t="shared" si="34"/>
        <v>-4.8</v>
      </c>
      <c r="AB110" s="205">
        <f t="shared" si="34"/>
        <v>-3.9000000000000021</v>
      </c>
      <c r="AC110" s="205">
        <f t="shared" si="34"/>
        <v>0.59999999999999876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60.17</v>
      </c>
      <c r="G111" s="456">
        <v>60.07</v>
      </c>
      <c r="H111" s="456">
        <v>60.18</v>
      </c>
      <c r="I111" s="456">
        <v>60.16</v>
      </c>
      <c r="J111" s="456">
        <v>60.22</v>
      </c>
      <c r="K111" s="456">
        <v>60.13</v>
      </c>
      <c r="L111" s="456">
        <v>60.09</v>
      </c>
      <c r="M111" s="456">
        <v>60.19</v>
      </c>
      <c r="N111" s="456">
        <v>60.11</v>
      </c>
      <c r="O111" s="456">
        <v>60.17</v>
      </c>
      <c r="P111" s="457">
        <v>60.13</v>
      </c>
      <c r="Q111" s="457">
        <v>60.12</v>
      </c>
      <c r="R111" s="457">
        <v>60.17</v>
      </c>
      <c r="S111" s="457">
        <v>60.07</v>
      </c>
      <c r="T111" s="457">
        <v>60.17</v>
      </c>
      <c r="U111" s="456">
        <v>60.2</v>
      </c>
      <c r="V111" s="456">
        <v>60.06</v>
      </c>
      <c r="W111" s="456">
        <v>60.17</v>
      </c>
      <c r="X111" s="456">
        <v>60.17</v>
      </c>
      <c r="Y111" s="456">
        <v>60.15</v>
      </c>
      <c r="Z111" s="456">
        <v>60.13</v>
      </c>
      <c r="AA111" s="456">
        <v>60.07</v>
      </c>
      <c r="AB111" s="456">
        <v>60.18</v>
      </c>
      <c r="AC111" s="456">
        <v>60.19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45">
      <c r="A115" s="579" t="s">
        <v>96</v>
      </c>
      <c r="B115" s="579"/>
      <c r="C115" s="579"/>
      <c r="D115" s="60"/>
      <c r="E115" s="72"/>
      <c r="F115" s="520" t="s">
        <v>101</v>
      </c>
      <c r="G115" s="520" t="s">
        <v>101</v>
      </c>
      <c r="H115" s="520" t="s">
        <v>101</v>
      </c>
      <c r="I115" s="520" t="s">
        <v>101</v>
      </c>
      <c r="J115" s="520" t="s">
        <v>101</v>
      </c>
      <c r="K115" s="520" t="s">
        <v>101</v>
      </c>
      <c r="L115" s="520" t="s">
        <v>110</v>
      </c>
      <c r="M115" s="520" t="s">
        <v>110</v>
      </c>
      <c r="N115" s="520" t="s">
        <v>110</v>
      </c>
      <c r="O115" s="520" t="s">
        <v>110</v>
      </c>
      <c r="P115" s="520" t="s">
        <v>110</v>
      </c>
      <c r="Q115" s="520" t="s">
        <v>110</v>
      </c>
      <c r="R115" s="520" t="s">
        <v>110</v>
      </c>
      <c r="S115" s="520" t="s">
        <v>110</v>
      </c>
      <c r="T115" s="520" t="s">
        <v>110</v>
      </c>
      <c r="U115" s="520" t="s">
        <v>102</v>
      </c>
      <c r="V115" s="520" t="s">
        <v>102</v>
      </c>
      <c r="W115" s="520" t="s">
        <v>101</v>
      </c>
      <c r="X115" s="520" t="s">
        <v>101</v>
      </c>
      <c r="Y115" s="520" t="s">
        <v>101</v>
      </c>
      <c r="Z115" s="520" t="s">
        <v>111</v>
      </c>
      <c r="AA115" s="520" t="s">
        <v>111</v>
      </c>
      <c r="AB115" s="520" t="s">
        <v>111</v>
      </c>
      <c r="AC115" s="520" t="s">
        <v>111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3532" priority="678" operator="greaterThan">
      <formula>60.3</formula>
    </cfRule>
  </conditionalFormatting>
  <conditionalFormatting sqref="F111">
    <cfRule type="cellIs" dxfId="13531" priority="677" operator="greaterThan">
      <formula>60.3</formula>
    </cfRule>
  </conditionalFormatting>
  <conditionalFormatting sqref="H13:J13 N13:O13 D42:E42 L13 N36:AC39 N57:AC59 O14:O16 L51:M55 L36:L50 P40:AC40 N41:AC46 M50:O50 H36:J59 L56:L59 P13:AC16 I15:N16 H62:L64 P47:AC50 P62:AC64 O51:AC56">
    <cfRule type="cellIs" dxfId="13530" priority="669" operator="equal">
      <formula>"PMS"</formula>
    </cfRule>
    <cfRule type="containsText" dxfId="13529" priority="670" operator="containsText" text="CMS">
      <formula>NOT(ISERROR(SEARCH("CMS",D13)))</formula>
    </cfRule>
    <cfRule type="cellIs" dxfId="13528" priority="671" operator="equal">
      <formula>0</formula>
    </cfRule>
    <cfRule type="cellIs" dxfId="13527" priority="672" operator="greaterThan">
      <formula>0</formula>
    </cfRule>
    <cfRule type="cellIs" dxfId="13526" priority="673" operator="equal">
      <formula>"PMS"</formula>
    </cfRule>
    <cfRule type="containsText" dxfId="13525" priority="674" operator="containsText" text="CMS">
      <formula>NOT(ISERROR(SEARCH("CMS",D13)))</formula>
    </cfRule>
    <cfRule type="cellIs" dxfId="13524" priority="675" operator="equal">
      <formula>0</formula>
    </cfRule>
    <cfRule type="cellIs" dxfId="13523" priority="676" operator="greaterThan">
      <formula>0</formula>
    </cfRule>
  </conditionalFormatting>
  <conditionalFormatting sqref="H13:J13 N13:O13 D42:E42 L13 N36:AC39 N57:AC59 O14:O16 L51:M55 L36:L50 P40:AC40 N41:AC46 M50:O50 H36:J59 L56:L59 P13:AC16 I15:N16 H62:L64 P47:AC50 P62:AC64 O51:AC56">
    <cfRule type="cellIs" dxfId="13522" priority="665" operator="equal">
      <formula>"PMS"</formula>
    </cfRule>
    <cfRule type="containsText" dxfId="13521" priority="666" operator="containsText" text="CMS">
      <formula>NOT(ISERROR(SEARCH("CMS",D13)))</formula>
    </cfRule>
    <cfRule type="cellIs" dxfId="13520" priority="667" operator="equal">
      <formula>0</formula>
    </cfRule>
    <cfRule type="cellIs" dxfId="13519" priority="668" operator="greaterThan">
      <formula>0</formula>
    </cfRule>
  </conditionalFormatting>
  <conditionalFormatting sqref="G67:AC75">
    <cfRule type="cellIs" dxfId="13518" priority="657" operator="equal">
      <formula>"PMS"</formula>
    </cfRule>
    <cfRule type="containsText" dxfId="13517" priority="658" operator="containsText" text="CMS">
      <formula>NOT(ISERROR(SEARCH("CMS",G67)))</formula>
    </cfRule>
    <cfRule type="cellIs" dxfId="13516" priority="659" operator="equal">
      <formula>0</formula>
    </cfRule>
    <cfRule type="cellIs" dxfId="13515" priority="660" operator="greaterThan">
      <formula>0</formula>
    </cfRule>
    <cfRule type="cellIs" dxfId="13514" priority="661" operator="equal">
      <formula>"PMS"</formula>
    </cfRule>
    <cfRule type="containsText" dxfId="13513" priority="662" operator="containsText" text="CMS">
      <formula>NOT(ISERROR(SEARCH("CMS",G67)))</formula>
    </cfRule>
    <cfRule type="cellIs" dxfId="13512" priority="663" operator="equal">
      <formula>0</formula>
    </cfRule>
    <cfRule type="cellIs" dxfId="13511" priority="664" operator="greaterThan">
      <formula>0</formula>
    </cfRule>
  </conditionalFormatting>
  <conditionalFormatting sqref="G67:AC75">
    <cfRule type="cellIs" dxfId="13510" priority="653" operator="equal">
      <formula>"PMS"</formula>
    </cfRule>
    <cfRule type="containsText" dxfId="13509" priority="654" operator="containsText" text="CMS">
      <formula>NOT(ISERROR(SEARCH("CMS",G67)))</formula>
    </cfRule>
    <cfRule type="cellIs" dxfId="13508" priority="655" operator="equal">
      <formula>0</formula>
    </cfRule>
    <cfRule type="cellIs" dxfId="13507" priority="656" operator="greaterThan">
      <formula>0</formula>
    </cfRule>
  </conditionalFormatting>
  <conditionalFormatting sqref="G82:AC82">
    <cfRule type="cellIs" dxfId="13506" priority="645" operator="equal">
      <formula>"PMS"</formula>
    </cfRule>
    <cfRule type="containsText" dxfId="13505" priority="646" operator="containsText" text="CMS">
      <formula>NOT(ISERROR(SEARCH("CMS",G82)))</formula>
    </cfRule>
    <cfRule type="cellIs" dxfId="13504" priority="647" operator="equal">
      <formula>0</formula>
    </cfRule>
    <cfRule type="cellIs" dxfId="13503" priority="648" operator="greaterThan">
      <formula>0</formula>
    </cfRule>
    <cfRule type="cellIs" dxfId="13502" priority="649" operator="equal">
      <formula>"PMS"</formula>
    </cfRule>
    <cfRule type="containsText" dxfId="13501" priority="650" operator="containsText" text="CMS">
      <formula>NOT(ISERROR(SEARCH("CMS",G82)))</formula>
    </cfRule>
    <cfRule type="cellIs" dxfId="13500" priority="651" operator="equal">
      <formula>0</formula>
    </cfRule>
    <cfRule type="cellIs" dxfId="13499" priority="652" operator="greaterThan">
      <formula>0</formula>
    </cfRule>
  </conditionalFormatting>
  <conditionalFormatting sqref="G82:AC82">
    <cfRule type="cellIs" dxfId="13498" priority="641" operator="equal">
      <formula>"PMS"</formula>
    </cfRule>
    <cfRule type="containsText" dxfId="13497" priority="642" operator="containsText" text="CMS">
      <formula>NOT(ISERROR(SEARCH("CMS",G82)))</formula>
    </cfRule>
    <cfRule type="cellIs" dxfId="13496" priority="643" operator="equal">
      <formula>0</formula>
    </cfRule>
    <cfRule type="cellIs" dxfId="13495" priority="644" operator="greaterThan">
      <formula>0</formula>
    </cfRule>
  </conditionalFormatting>
  <conditionalFormatting sqref="I14 M14:N14">
    <cfRule type="cellIs" dxfId="13494" priority="633" operator="equal">
      <formula>"PMS"</formula>
    </cfRule>
    <cfRule type="containsText" dxfId="13493" priority="634" operator="containsText" text="CMS">
      <formula>NOT(ISERROR(SEARCH("CMS",I14)))</formula>
    </cfRule>
    <cfRule type="cellIs" dxfId="13492" priority="635" operator="equal">
      <formula>0</formula>
    </cfRule>
    <cfRule type="cellIs" dxfId="13491" priority="636" operator="greaterThan">
      <formula>0</formula>
    </cfRule>
    <cfRule type="cellIs" dxfId="13490" priority="637" operator="equal">
      <formula>"PMS"</formula>
    </cfRule>
    <cfRule type="containsText" dxfId="13489" priority="638" operator="containsText" text="CMS">
      <formula>NOT(ISERROR(SEARCH("CMS",I14)))</formula>
    </cfRule>
    <cfRule type="cellIs" dxfId="13488" priority="639" operator="equal">
      <formula>0</formula>
    </cfRule>
    <cfRule type="cellIs" dxfId="13487" priority="640" operator="greaterThan">
      <formula>0</formula>
    </cfRule>
  </conditionalFormatting>
  <conditionalFormatting sqref="I14 M14:N14">
    <cfRule type="cellIs" dxfId="13486" priority="629" operator="equal">
      <formula>"PMS"</formula>
    </cfRule>
    <cfRule type="containsText" dxfId="13485" priority="630" operator="containsText" text="CMS">
      <formula>NOT(ISERROR(SEARCH("CMS",I14)))</formula>
    </cfRule>
    <cfRule type="cellIs" dxfId="13484" priority="631" operator="equal">
      <formula>0</formula>
    </cfRule>
    <cfRule type="cellIs" dxfId="13483" priority="632" operator="greaterThan">
      <formula>0</formula>
    </cfRule>
  </conditionalFormatting>
  <conditionalFormatting sqref="G13">
    <cfRule type="cellIs" dxfId="13482" priority="621" operator="equal">
      <formula>"PMS"</formula>
    </cfRule>
    <cfRule type="containsText" dxfId="13481" priority="622" operator="containsText" text="CMS">
      <formula>NOT(ISERROR(SEARCH("CMS",G13)))</formula>
    </cfRule>
    <cfRule type="cellIs" dxfId="13480" priority="623" operator="equal">
      <formula>0</formula>
    </cfRule>
    <cfRule type="cellIs" dxfId="13479" priority="624" operator="greaterThan">
      <formula>0</formula>
    </cfRule>
    <cfRule type="cellIs" dxfId="13478" priority="625" operator="equal">
      <formula>"PMS"</formula>
    </cfRule>
    <cfRule type="containsText" dxfId="13477" priority="626" operator="containsText" text="CMS">
      <formula>NOT(ISERROR(SEARCH("CMS",G13)))</formula>
    </cfRule>
    <cfRule type="cellIs" dxfId="13476" priority="627" operator="equal">
      <formula>0</formula>
    </cfRule>
    <cfRule type="cellIs" dxfId="13475" priority="628" operator="greaterThan">
      <formula>0</formula>
    </cfRule>
  </conditionalFormatting>
  <conditionalFormatting sqref="G13">
    <cfRule type="cellIs" dxfId="13474" priority="617" operator="equal">
      <formula>"PMS"</formula>
    </cfRule>
    <cfRule type="containsText" dxfId="13473" priority="618" operator="containsText" text="CMS">
      <formula>NOT(ISERROR(SEARCH("CMS",G13)))</formula>
    </cfRule>
    <cfRule type="cellIs" dxfId="13472" priority="619" operator="equal">
      <formula>0</formula>
    </cfRule>
    <cfRule type="cellIs" dxfId="13471" priority="620" operator="greaterThan">
      <formula>0</formula>
    </cfRule>
  </conditionalFormatting>
  <conditionalFormatting sqref="M13">
    <cfRule type="cellIs" dxfId="13470" priority="609" operator="equal">
      <formula>"PMS"</formula>
    </cfRule>
    <cfRule type="containsText" dxfId="13469" priority="610" operator="containsText" text="CMS">
      <formula>NOT(ISERROR(SEARCH("CMS",M13)))</formula>
    </cfRule>
    <cfRule type="cellIs" dxfId="13468" priority="611" operator="equal">
      <formula>0</formula>
    </cfRule>
    <cfRule type="cellIs" dxfId="13467" priority="612" operator="greaterThan">
      <formula>0</formula>
    </cfRule>
    <cfRule type="cellIs" dxfId="13466" priority="613" operator="equal">
      <formula>"PMS"</formula>
    </cfRule>
    <cfRule type="containsText" dxfId="13465" priority="614" operator="containsText" text="CMS">
      <formula>NOT(ISERROR(SEARCH("CMS",M13)))</formula>
    </cfRule>
    <cfRule type="cellIs" dxfId="13464" priority="615" operator="equal">
      <formula>0</formula>
    </cfRule>
    <cfRule type="cellIs" dxfId="13463" priority="616" operator="greaterThan">
      <formula>0</formula>
    </cfRule>
  </conditionalFormatting>
  <conditionalFormatting sqref="M13">
    <cfRule type="cellIs" dxfId="13462" priority="605" operator="equal">
      <formula>"PMS"</formula>
    </cfRule>
    <cfRule type="containsText" dxfId="13461" priority="606" operator="containsText" text="CMS">
      <formula>NOT(ISERROR(SEARCH("CMS",M13)))</formula>
    </cfRule>
    <cfRule type="cellIs" dxfId="13460" priority="607" operator="equal">
      <formula>0</formula>
    </cfRule>
    <cfRule type="cellIs" dxfId="13459" priority="608" operator="greaterThan">
      <formula>0</formula>
    </cfRule>
  </conditionalFormatting>
  <conditionalFormatting sqref="K13">
    <cfRule type="cellIs" dxfId="13458" priority="597" operator="equal">
      <formula>"PMS"</formula>
    </cfRule>
    <cfRule type="containsText" dxfId="13457" priority="598" operator="containsText" text="CMS">
      <formula>NOT(ISERROR(SEARCH("CMS",K13)))</formula>
    </cfRule>
    <cfRule type="cellIs" dxfId="13456" priority="599" operator="equal">
      <formula>0</formula>
    </cfRule>
    <cfRule type="cellIs" dxfId="13455" priority="600" operator="greaterThan">
      <formula>0</formula>
    </cfRule>
    <cfRule type="cellIs" dxfId="13454" priority="601" operator="equal">
      <formula>"PMS"</formula>
    </cfRule>
    <cfRule type="containsText" dxfId="13453" priority="602" operator="containsText" text="CMS">
      <formula>NOT(ISERROR(SEARCH("CMS",K13)))</formula>
    </cfRule>
    <cfRule type="cellIs" dxfId="13452" priority="603" operator="equal">
      <formula>0</formula>
    </cfRule>
    <cfRule type="cellIs" dxfId="13451" priority="604" operator="greaterThan">
      <formula>0</formula>
    </cfRule>
  </conditionalFormatting>
  <conditionalFormatting sqref="K13">
    <cfRule type="cellIs" dxfId="13450" priority="593" operator="equal">
      <formula>"PMS"</formula>
    </cfRule>
    <cfRule type="containsText" dxfId="13449" priority="594" operator="containsText" text="CMS">
      <formula>NOT(ISERROR(SEARCH("CMS",K13)))</formula>
    </cfRule>
    <cfRule type="cellIs" dxfId="13448" priority="595" operator="equal">
      <formula>0</formula>
    </cfRule>
    <cfRule type="cellIs" dxfId="13447" priority="596" operator="greaterThan">
      <formula>0</formula>
    </cfRule>
  </conditionalFormatting>
  <conditionalFormatting sqref="G113:AC113">
    <cfRule type="cellIs" dxfId="13446" priority="592" operator="greaterThan">
      <formula>60.3</formula>
    </cfRule>
  </conditionalFormatting>
  <conditionalFormatting sqref="H112:M112">
    <cfRule type="cellIs" dxfId="13445" priority="591" operator="greaterThan">
      <formula>60.3</formula>
    </cfRule>
  </conditionalFormatting>
  <conditionalFormatting sqref="F112:G112">
    <cfRule type="cellIs" dxfId="13444" priority="590" operator="greaterThan">
      <formula>60.3</formula>
    </cfRule>
  </conditionalFormatting>
  <conditionalFormatting sqref="N112:AC112">
    <cfRule type="cellIs" dxfId="13443" priority="589" operator="greaterThan">
      <formula>60.3</formula>
    </cfRule>
  </conditionalFormatting>
  <conditionalFormatting sqref="G15:G16">
    <cfRule type="cellIs" dxfId="13442" priority="581" operator="equal">
      <formula>"PMS"</formula>
    </cfRule>
    <cfRule type="containsText" dxfId="13441" priority="582" operator="containsText" text="CMS">
      <formula>NOT(ISERROR(SEARCH("CMS",G15)))</formula>
    </cfRule>
    <cfRule type="cellIs" dxfId="13440" priority="583" operator="equal">
      <formula>0</formula>
    </cfRule>
    <cfRule type="cellIs" dxfId="13439" priority="584" operator="greaterThan">
      <formula>0</formula>
    </cfRule>
    <cfRule type="cellIs" dxfId="13438" priority="585" operator="equal">
      <formula>"PMS"</formula>
    </cfRule>
    <cfRule type="containsText" dxfId="13437" priority="586" operator="containsText" text="CMS">
      <formula>NOT(ISERROR(SEARCH("CMS",G15)))</formula>
    </cfRule>
    <cfRule type="cellIs" dxfId="13436" priority="587" operator="equal">
      <formula>0</formula>
    </cfRule>
    <cfRule type="cellIs" dxfId="13435" priority="588" operator="greaterThan">
      <formula>0</formula>
    </cfRule>
  </conditionalFormatting>
  <conditionalFormatting sqref="G15:G16">
    <cfRule type="cellIs" dxfId="13434" priority="577" operator="equal">
      <formula>"PMS"</formula>
    </cfRule>
    <cfRule type="containsText" dxfId="13433" priority="578" operator="containsText" text="CMS">
      <formula>NOT(ISERROR(SEARCH("CMS",G15)))</formula>
    </cfRule>
    <cfRule type="cellIs" dxfId="13432" priority="579" operator="equal">
      <formula>0</formula>
    </cfRule>
    <cfRule type="cellIs" dxfId="13431" priority="580" operator="greaterThan">
      <formula>0</formula>
    </cfRule>
  </conditionalFormatting>
  <conditionalFormatting sqref="H14 H16">
    <cfRule type="cellIs" dxfId="13430" priority="569" operator="equal">
      <formula>"PMS"</formula>
    </cfRule>
    <cfRule type="containsText" dxfId="13429" priority="570" operator="containsText" text="CMS">
      <formula>NOT(ISERROR(SEARCH("CMS",H14)))</formula>
    </cfRule>
    <cfRule type="cellIs" dxfId="13428" priority="571" operator="equal">
      <formula>0</formula>
    </cfRule>
    <cfRule type="cellIs" dxfId="13427" priority="572" operator="greaterThan">
      <formula>0</formula>
    </cfRule>
    <cfRule type="cellIs" dxfId="13426" priority="573" operator="equal">
      <formula>"PMS"</formula>
    </cfRule>
    <cfRule type="containsText" dxfId="13425" priority="574" operator="containsText" text="CMS">
      <formula>NOT(ISERROR(SEARCH("CMS",H14)))</formula>
    </cfRule>
    <cfRule type="cellIs" dxfId="13424" priority="575" operator="equal">
      <formula>0</formula>
    </cfRule>
    <cfRule type="cellIs" dxfId="13423" priority="576" operator="greaterThan">
      <formula>0</formula>
    </cfRule>
  </conditionalFormatting>
  <conditionalFormatting sqref="H14 H16">
    <cfRule type="cellIs" dxfId="13422" priority="565" operator="equal">
      <formula>"PMS"</formula>
    </cfRule>
    <cfRule type="containsText" dxfId="13421" priority="566" operator="containsText" text="CMS">
      <formula>NOT(ISERROR(SEARCH("CMS",H14)))</formula>
    </cfRule>
    <cfRule type="cellIs" dxfId="13420" priority="567" operator="equal">
      <formula>0</formula>
    </cfRule>
    <cfRule type="cellIs" dxfId="13419" priority="568" operator="greaterThan">
      <formula>0</formula>
    </cfRule>
  </conditionalFormatting>
  <conditionalFormatting sqref="G36:G38 G57:G59">
    <cfRule type="cellIs" dxfId="13418" priority="557" operator="equal">
      <formula>"PMS"</formula>
    </cfRule>
    <cfRule type="containsText" dxfId="13417" priority="558" operator="containsText" text="CMS">
      <formula>NOT(ISERROR(SEARCH("CMS",G36)))</formula>
    </cfRule>
    <cfRule type="cellIs" dxfId="13416" priority="559" operator="equal">
      <formula>0</formula>
    </cfRule>
    <cfRule type="cellIs" dxfId="13415" priority="560" operator="greaterThan">
      <formula>0</formula>
    </cfRule>
    <cfRule type="cellIs" dxfId="13414" priority="561" operator="equal">
      <formula>"PMS"</formula>
    </cfRule>
    <cfRule type="containsText" dxfId="13413" priority="562" operator="containsText" text="CMS">
      <formula>NOT(ISERROR(SEARCH("CMS",G36)))</formula>
    </cfRule>
    <cfRule type="cellIs" dxfId="13412" priority="563" operator="equal">
      <formula>0</formula>
    </cfRule>
    <cfRule type="cellIs" dxfId="13411" priority="564" operator="greaterThan">
      <formula>0</formula>
    </cfRule>
  </conditionalFormatting>
  <conditionalFormatting sqref="G36:G38 G57:G59">
    <cfRule type="cellIs" dxfId="13410" priority="553" operator="equal">
      <formula>"PMS"</formula>
    </cfRule>
    <cfRule type="containsText" dxfId="13409" priority="554" operator="containsText" text="CMS">
      <formula>NOT(ISERROR(SEARCH("CMS",G36)))</formula>
    </cfRule>
    <cfRule type="cellIs" dxfId="13408" priority="555" operator="equal">
      <formula>0</formula>
    </cfRule>
    <cfRule type="cellIs" dxfId="13407" priority="556" operator="greaterThan">
      <formula>0</formula>
    </cfRule>
  </conditionalFormatting>
  <conditionalFormatting sqref="M36:M38 M57:M59">
    <cfRule type="cellIs" dxfId="13406" priority="545" operator="equal">
      <formula>"PMS"</formula>
    </cfRule>
    <cfRule type="containsText" dxfId="13405" priority="546" operator="containsText" text="CMS">
      <formula>NOT(ISERROR(SEARCH("CMS",M36)))</formula>
    </cfRule>
    <cfRule type="cellIs" dxfId="13404" priority="547" operator="equal">
      <formula>0</formula>
    </cfRule>
    <cfRule type="cellIs" dxfId="13403" priority="548" operator="greaterThan">
      <formula>0</formula>
    </cfRule>
    <cfRule type="cellIs" dxfId="13402" priority="549" operator="equal">
      <formula>"PMS"</formula>
    </cfRule>
    <cfRule type="containsText" dxfId="13401" priority="550" operator="containsText" text="CMS">
      <formula>NOT(ISERROR(SEARCH("CMS",M36)))</formula>
    </cfRule>
    <cfRule type="cellIs" dxfId="13400" priority="551" operator="equal">
      <formula>0</formula>
    </cfRule>
    <cfRule type="cellIs" dxfId="13399" priority="552" operator="greaterThan">
      <formula>0</formula>
    </cfRule>
  </conditionalFormatting>
  <conditionalFormatting sqref="M36:M38 M57:M59">
    <cfRule type="cellIs" dxfId="13398" priority="541" operator="equal">
      <formula>"PMS"</formula>
    </cfRule>
    <cfRule type="containsText" dxfId="13397" priority="542" operator="containsText" text="CMS">
      <formula>NOT(ISERROR(SEARCH("CMS",M36)))</formula>
    </cfRule>
    <cfRule type="cellIs" dxfId="13396" priority="543" operator="equal">
      <formula>0</formula>
    </cfRule>
    <cfRule type="cellIs" dxfId="13395" priority="544" operator="greaterThan">
      <formula>0</formula>
    </cfRule>
  </conditionalFormatting>
  <conditionalFormatting sqref="K36:K38 K57:K59">
    <cfRule type="cellIs" dxfId="13394" priority="533" operator="equal">
      <formula>"PMS"</formula>
    </cfRule>
    <cfRule type="containsText" dxfId="13393" priority="534" operator="containsText" text="CMS">
      <formula>NOT(ISERROR(SEARCH("CMS",K36)))</formula>
    </cfRule>
    <cfRule type="cellIs" dxfId="13392" priority="535" operator="equal">
      <formula>0</formula>
    </cfRule>
    <cfRule type="cellIs" dxfId="13391" priority="536" operator="greaterThan">
      <formula>0</formula>
    </cfRule>
    <cfRule type="cellIs" dxfId="13390" priority="537" operator="equal">
      <formula>"PMS"</formula>
    </cfRule>
    <cfRule type="containsText" dxfId="13389" priority="538" operator="containsText" text="CMS">
      <formula>NOT(ISERROR(SEARCH("CMS",K36)))</formula>
    </cfRule>
    <cfRule type="cellIs" dxfId="13388" priority="539" operator="equal">
      <formula>0</formula>
    </cfRule>
    <cfRule type="cellIs" dxfId="13387" priority="540" operator="greaterThan">
      <formula>0</formula>
    </cfRule>
  </conditionalFormatting>
  <conditionalFormatting sqref="K36:K38 K57:K59">
    <cfRule type="cellIs" dxfId="13386" priority="529" operator="equal">
      <formula>"PMS"</formula>
    </cfRule>
    <cfRule type="containsText" dxfId="13385" priority="530" operator="containsText" text="CMS">
      <formula>NOT(ISERROR(SEARCH("CMS",K36)))</formula>
    </cfRule>
    <cfRule type="cellIs" dxfId="13384" priority="531" operator="equal">
      <formula>0</formula>
    </cfRule>
    <cfRule type="cellIs" dxfId="13383" priority="532" operator="greaterThan">
      <formula>0</formula>
    </cfRule>
  </conditionalFormatting>
  <conditionalFormatting sqref="K14:L14">
    <cfRule type="cellIs" dxfId="13382" priority="521" operator="equal">
      <formula>"PMS"</formula>
    </cfRule>
    <cfRule type="containsText" dxfId="13381" priority="522" operator="containsText" text="CMS">
      <formula>NOT(ISERROR(SEARCH("CMS",K14)))</formula>
    </cfRule>
    <cfRule type="cellIs" dxfId="13380" priority="523" operator="equal">
      <formula>0</formula>
    </cfRule>
    <cfRule type="cellIs" dxfId="13379" priority="524" operator="greaterThan">
      <formula>0</formula>
    </cfRule>
    <cfRule type="cellIs" dxfId="13378" priority="525" operator="equal">
      <formula>"PMS"</formula>
    </cfRule>
    <cfRule type="containsText" dxfId="13377" priority="526" operator="containsText" text="CMS">
      <formula>NOT(ISERROR(SEARCH("CMS",K14)))</formula>
    </cfRule>
    <cfRule type="cellIs" dxfId="13376" priority="527" operator="equal">
      <formula>0</formula>
    </cfRule>
    <cfRule type="cellIs" dxfId="13375" priority="528" operator="greaterThan">
      <formula>0</formula>
    </cfRule>
  </conditionalFormatting>
  <conditionalFormatting sqref="K14:L14">
    <cfRule type="cellIs" dxfId="13374" priority="517" operator="equal">
      <formula>"PMS"</formula>
    </cfRule>
    <cfRule type="containsText" dxfId="13373" priority="518" operator="containsText" text="CMS">
      <formula>NOT(ISERROR(SEARCH("CMS",K14)))</formula>
    </cfRule>
    <cfRule type="cellIs" dxfId="13372" priority="519" operator="equal">
      <formula>0</formula>
    </cfRule>
    <cfRule type="cellIs" dxfId="13371" priority="520" operator="greaterThan">
      <formula>0</formula>
    </cfRule>
  </conditionalFormatting>
  <conditionalFormatting sqref="G49">
    <cfRule type="cellIs" dxfId="13370" priority="509" operator="equal">
      <formula>"PMS"</formula>
    </cfRule>
    <cfRule type="containsText" dxfId="13369" priority="510" operator="containsText" text="CMS">
      <formula>NOT(ISERROR(SEARCH("CMS",G49)))</formula>
    </cfRule>
    <cfRule type="cellIs" dxfId="13368" priority="511" operator="equal">
      <formula>0</formula>
    </cfRule>
    <cfRule type="cellIs" dxfId="13367" priority="512" operator="greaterThan">
      <formula>0</formula>
    </cfRule>
    <cfRule type="cellIs" dxfId="13366" priority="513" operator="equal">
      <formula>"PMS"</formula>
    </cfRule>
    <cfRule type="containsText" dxfId="13365" priority="514" operator="containsText" text="CMS">
      <formula>NOT(ISERROR(SEARCH("CMS",G49)))</formula>
    </cfRule>
    <cfRule type="cellIs" dxfId="13364" priority="515" operator="equal">
      <formula>0</formula>
    </cfRule>
    <cfRule type="cellIs" dxfId="13363" priority="516" operator="greaterThan">
      <formula>0</formula>
    </cfRule>
  </conditionalFormatting>
  <conditionalFormatting sqref="G49">
    <cfRule type="cellIs" dxfId="13362" priority="505" operator="equal">
      <formula>"PMS"</formula>
    </cfRule>
    <cfRule type="containsText" dxfId="13361" priority="506" operator="containsText" text="CMS">
      <formula>NOT(ISERROR(SEARCH("CMS",G49)))</formula>
    </cfRule>
    <cfRule type="cellIs" dxfId="13360" priority="507" operator="equal">
      <formula>0</formula>
    </cfRule>
    <cfRule type="cellIs" dxfId="13359" priority="508" operator="greaterThan">
      <formula>0</formula>
    </cfRule>
  </conditionalFormatting>
  <conditionalFormatting sqref="M49:N49">
    <cfRule type="cellIs" dxfId="13358" priority="497" operator="equal">
      <formula>"PMS"</formula>
    </cfRule>
    <cfRule type="containsText" dxfId="13357" priority="498" operator="containsText" text="CMS">
      <formula>NOT(ISERROR(SEARCH("CMS",M49)))</formula>
    </cfRule>
    <cfRule type="cellIs" dxfId="13356" priority="499" operator="equal">
      <formula>0</formula>
    </cfRule>
    <cfRule type="cellIs" dxfId="13355" priority="500" operator="greaterThan">
      <formula>0</formula>
    </cfRule>
    <cfRule type="cellIs" dxfId="13354" priority="501" operator="equal">
      <formula>"PMS"</formula>
    </cfRule>
    <cfRule type="containsText" dxfId="13353" priority="502" operator="containsText" text="CMS">
      <formula>NOT(ISERROR(SEARCH("CMS",M49)))</formula>
    </cfRule>
    <cfRule type="cellIs" dxfId="13352" priority="503" operator="equal">
      <formula>0</formula>
    </cfRule>
    <cfRule type="cellIs" dxfId="13351" priority="504" operator="greaterThan">
      <formula>0</formula>
    </cfRule>
  </conditionalFormatting>
  <conditionalFormatting sqref="M49:N49">
    <cfRule type="cellIs" dxfId="13350" priority="493" operator="equal">
      <formula>"PMS"</formula>
    </cfRule>
    <cfRule type="containsText" dxfId="13349" priority="494" operator="containsText" text="CMS">
      <formula>NOT(ISERROR(SEARCH("CMS",M49)))</formula>
    </cfRule>
    <cfRule type="cellIs" dxfId="13348" priority="495" operator="equal">
      <formula>0</formula>
    </cfRule>
    <cfRule type="cellIs" dxfId="13347" priority="496" operator="greaterThan">
      <formula>0</formula>
    </cfRule>
  </conditionalFormatting>
  <conditionalFormatting sqref="K49">
    <cfRule type="cellIs" dxfId="13346" priority="485" operator="equal">
      <formula>"PMS"</formula>
    </cfRule>
    <cfRule type="containsText" dxfId="13345" priority="486" operator="containsText" text="CMS">
      <formula>NOT(ISERROR(SEARCH("CMS",K49)))</formula>
    </cfRule>
    <cfRule type="cellIs" dxfId="13344" priority="487" operator="equal">
      <formula>0</formula>
    </cfRule>
    <cfRule type="cellIs" dxfId="13343" priority="488" operator="greaterThan">
      <formula>0</formula>
    </cfRule>
    <cfRule type="cellIs" dxfId="13342" priority="489" operator="equal">
      <formula>"PMS"</formula>
    </cfRule>
    <cfRule type="containsText" dxfId="13341" priority="490" operator="containsText" text="CMS">
      <formula>NOT(ISERROR(SEARCH("CMS",K49)))</formula>
    </cfRule>
    <cfRule type="cellIs" dxfId="13340" priority="491" operator="equal">
      <formula>0</formula>
    </cfRule>
    <cfRule type="cellIs" dxfId="13339" priority="492" operator="greaterThan">
      <formula>0</formula>
    </cfRule>
  </conditionalFormatting>
  <conditionalFormatting sqref="K49">
    <cfRule type="cellIs" dxfId="13338" priority="481" operator="equal">
      <formula>"PMS"</formula>
    </cfRule>
    <cfRule type="containsText" dxfId="13337" priority="482" operator="containsText" text="CMS">
      <formula>NOT(ISERROR(SEARCH("CMS",K49)))</formula>
    </cfRule>
    <cfRule type="cellIs" dxfId="13336" priority="483" operator="equal">
      <formula>0</formula>
    </cfRule>
    <cfRule type="cellIs" dxfId="13335" priority="484" operator="greaterThan">
      <formula>0</formula>
    </cfRule>
  </conditionalFormatting>
  <conditionalFormatting sqref="H33:J33 L33 L27:L29 H24:J24 H19:J20 L20:L21 V28:AC28 M21 Q28 N28:P29 N33:AC33 P30 Q29:AC30 H27:J30 I21:K21 K19:M19 N30 H79:J79 S28:T28 N19:AC21 O78:Q78 X78:AC78 L24:AC24 AB79:AC79 S78:V78 L79:Z79">
    <cfRule type="cellIs" dxfId="13334" priority="473" operator="equal">
      <formula>"PMS"</formula>
    </cfRule>
    <cfRule type="containsText" dxfId="13333" priority="474" operator="containsText" text="CMS">
      <formula>NOT(ISERROR(SEARCH("CMS",H19)))</formula>
    </cfRule>
    <cfRule type="cellIs" dxfId="13332" priority="475" operator="equal">
      <formula>0</formula>
    </cfRule>
    <cfRule type="cellIs" dxfId="13331" priority="476" operator="greaterThan">
      <formula>0</formula>
    </cfRule>
    <cfRule type="cellIs" dxfId="13330" priority="477" operator="equal">
      <formula>"PMS"</formula>
    </cfRule>
    <cfRule type="containsText" dxfId="13329" priority="478" operator="containsText" text="CMS">
      <formula>NOT(ISERROR(SEARCH("CMS",H19)))</formula>
    </cfRule>
    <cfRule type="cellIs" dxfId="13328" priority="479" operator="equal">
      <formula>0</formula>
    </cfRule>
    <cfRule type="cellIs" dxfId="13327" priority="480" operator="greaterThan">
      <formula>0</formula>
    </cfRule>
  </conditionalFormatting>
  <conditionalFormatting sqref="H33:J33 L33 L27:L29 H24:J24 H19:J20 L20:L21 V28:AC28 M21 Q28 N28:P29 N33:AC33 P30 Q29:AC30 H27:J30 I21:K21 K19:M19 N30 H79:J79 S28:T28 N19:AC21 O78:Q78 X78:AC78 L24:AC24 AB79:AC79 S78:V78 L79:Z79">
    <cfRule type="cellIs" dxfId="13326" priority="469" operator="equal">
      <formula>"PMS"</formula>
    </cfRule>
    <cfRule type="containsText" dxfId="13325" priority="470" operator="containsText" text="CMS">
      <formula>NOT(ISERROR(SEARCH("CMS",H19)))</formula>
    </cfRule>
    <cfRule type="cellIs" dxfId="13324" priority="471" operator="equal">
      <formula>0</formula>
    </cfRule>
    <cfRule type="cellIs" dxfId="13323" priority="472" operator="greaterThan">
      <formula>0</formula>
    </cfRule>
  </conditionalFormatting>
  <conditionalFormatting sqref="G33 G27:G30 G24 G39:G48 G50:G56 G19:G21 H21">
    <cfRule type="cellIs" dxfId="13322" priority="461" operator="equal">
      <formula>"PMS"</formula>
    </cfRule>
    <cfRule type="containsText" dxfId="13321" priority="462" operator="containsText" text="CMS">
      <formula>NOT(ISERROR(SEARCH("CMS",G19)))</formula>
    </cfRule>
    <cfRule type="cellIs" dxfId="13320" priority="463" operator="equal">
      <formula>0</formula>
    </cfRule>
    <cfRule type="cellIs" dxfId="13319" priority="464" operator="greaterThan">
      <formula>0</formula>
    </cfRule>
    <cfRule type="cellIs" dxfId="13318" priority="465" operator="equal">
      <formula>"PMS"</formula>
    </cfRule>
    <cfRule type="containsText" dxfId="13317" priority="466" operator="containsText" text="CMS">
      <formula>NOT(ISERROR(SEARCH("CMS",G19)))</formula>
    </cfRule>
    <cfRule type="cellIs" dxfId="13316" priority="467" operator="equal">
      <formula>0</formula>
    </cfRule>
    <cfRule type="cellIs" dxfId="13315" priority="468" operator="greaterThan">
      <formula>0</formula>
    </cfRule>
  </conditionalFormatting>
  <conditionalFormatting sqref="G33 G27:G30 G24 G39:G48 G50:G56 G19:G21 H21">
    <cfRule type="cellIs" dxfId="13314" priority="457" operator="equal">
      <formula>"PMS"</formula>
    </cfRule>
    <cfRule type="containsText" dxfId="13313" priority="458" operator="containsText" text="CMS">
      <formula>NOT(ISERROR(SEARCH("CMS",G19)))</formula>
    </cfRule>
    <cfRule type="cellIs" dxfId="13312" priority="459" operator="equal">
      <formula>0</formula>
    </cfRule>
    <cfRule type="cellIs" dxfId="13311" priority="460" operator="greaterThan">
      <formula>0</formula>
    </cfRule>
  </conditionalFormatting>
  <conditionalFormatting sqref="M39:M48 M33 M27:M29 M20 AB27:AC27 N27:Q27 N47 M56 N51:N55 N78 S27:X27 M62:M64">
    <cfRule type="cellIs" dxfId="13310" priority="449" operator="equal">
      <formula>"PMS"</formula>
    </cfRule>
    <cfRule type="containsText" dxfId="13309" priority="450" operator="containsText" text="CMS">
      <formula>NOT(ISERROR(SEARCH("CMS",M20)))</formula>
    </cfRule>
    <cfRule type="cellIs" dxfId="13308" priority="451" operator="equal">
      <formula>0</formula>
    </cfRule>
    <cfRule type="cellIs" dxfId="13307" priority="452" operator="greaterThan">
      <formula>0</formula>
    </cfRule>
    <cfRule type="cellIs" dxfId="13306" priority="453" operator="equal">
      <formula>"PMS"</formula>
    </cfRule>
    <cfRule type="containsText" dxfId="13305" priority="454" operator="containsText" text="CMS">
      <formula>NOT(ISERROR(SEARCH("CMS",M20)))</formula>
    </cfRule>
    <cfRule type="cellIs" dxfId="13304" priority="455" operator="equal">
      <formula>0</formula>
    </cfRule>
    <cfRule type="cellIs" dxfId="13303" priority="456" operator="greaterThan">
      <formula>0</formula>
    </cfRule>
  </conditionalFormatting>
  <conditionalFormatting sqref="M39:M48 M33 M27:M29 M20 AB27:AC27 N27:Q27 N47 M56 N51:N55 N78 S27:X27 M62:M64">
    <cfRule type="cellIs" dxfId="13302" priority="445" operator="equal">
      <formula>"PMS"</formula>
    </cfRule>
    <cfRule type="containsText" dxfId="13301" priority="446" operator="containsText" text="CMS">
      <formula>NOT(ISERROR(SEARCH("CMS",M20)))</formula>
    </cfRule>
    <cfRule type="cellIs" dxfId="13300" priority="447" operator="equal">
      <formula>0</formula>
    </cfRule>
    <cfRule type="cellIs" dxfId="13299" priority="448" operator="greaterThan">
      <formula>0</formula>
    </cfRule>
  </conditionalFormatting>
  <conditionalFormatting sqref="K50:K56 K39:K48 K33 K27 K24 K20 K29:K30 K79">
    <cfRule type="cellIs" dxfId="13298" priority="437" operator="equal">
      <formula>"PMS"</formula>
    </cfRule>
    <cfRule type="containsText" dxfId="13297" priority="438" operator="containsText" text="CMS">
      <formula>NOT(ISERROR(SEARCH("CMS",K20)))</formula>
    </cfRule>
    <cfRule type="cellIs" dxfId="13296" priority="439" operator="equal">
      <formula>0</formula>
    </cfRule>
    <cfRule type="cellIs" dxfId="13295" priority="440" operator="greaterThan">
      <formula>0</formula>
    </cfRule>
    <cfRule type="cellIs" dxfId="13294" priority="441" operator="equal">
      <formula>"PMS"</formula>
    </cfRule>
    <cfRule type="containsText" dxfId="13293" priority="442" operator="containsText" text="CMS">
      <formula>NOT(ISERROR(SEARCH("CMS",K20)))</formula>
    </cfRule>
    <cfRule type="cellIs" dxfId="13292" priority="443" operator="equal">
      <formula>0</formula>
    </cfRule>
    <cfRule type="cellIs" dxfId="13291" priority="444" operator="greaterThan">
      <formula>0</formula>
    </cfRule>
  </conditionalFormatting>
  <conditionalFormatting sqref="K50:K56 K39:K48 K33 K27 K24 K20 K29:K30 K79">
    <cfRule type="cellIs" dxfId="13290" priority="433" operator="equal">
      <formula>"PMS"</formula>
    </cfRule>
    <cfRule type="containsText" dxfId="13289" priority="434" operator="containsText" text="CMS">
      <formula>NOT(ISERROR(SEARCH("CMS",K20)))</formula>
    </cfRule>
    <cfRule type="cellIs" dxfId="13288" priority="435" operator="equal">
      <formula>0</formula>
    </cfRule>
    <cfRule type="cellIs" dxfId="13287" priority="436" operator="greaterThan">
      <formula>0</formula>
    </cfRule>
  </conditionalFormatting>
  <conditionalFormatting sqref="K28">
    <cfRule type="cellIs" dxfId="13286" priority="425" operator="equal">
      <formula>"PMS"</formula>
    </cfRule>
    <cfRule type="containsText" dxfId="13285" priority="426" operator="containsText" text="CMS">
      <formula>NOT(ISERROR(SEARCH("CMS",K28)))</formula>
    </cfRule>
    <cfRule type="cellIs" dxfId="13284" priority="427" operator="equal">
      <formula>0</formula>
    </cfRule>
    <cfRule type="cellIs" dxfId="13283" priority="428" operator="greaterThan">
      <formula>0</formula>
    </cfRule>
    <cfRule type="cellIs" dxfId="13282" priority="429" operator="equal">
      <formula>"PMS"</formula>
    </cfRule>
    <cfRule type="containsText" dxfId="13281" priority="430" operator="containsText" text="CMS">
      <formula>NOT(ISERROR(SEARCH("CMS",K28)))</formula>
    </cfRule>
    <cfRule type="cellIs" dxfId="13280" priority="431" operator="equal">
      <formula>0</formula>
    </cfRule>
    <cfRule type="cellIs" dxfId="13279" priority="432" operator="greaterThan">
      <formula>0</formula>
    </cfRule>
  </conditionalFormatting>
  <conditionalFormatting sqref="K28">
    <cfRule type="cellIs" dxfId="13278" priority="421" operator="equal">
      <formula>"PMS"</formula>
    </cfRule>
    <cfRule type="containsText" dxfId="13277" priority="422" operator="containsText" text="CMS">
      <formula>NOT(ISERROR(SEARCH("CMS",K28)))</formula>
    </cfRule>
    <cfRule type="cellIs" dxfId="13276" priority="423" operator="equal">
      <formula>0</formula>
    </cfRule>
    <cfRule type="cellIs" dxfId="13275" priority="424" operator="greaterThan">
      <formula>0</formula>
    </cfRule>
  </conditionalFormatting>
  <conditionalFormatting sqref="N62:O62 O63:O64">
    <cfRule type="cellIs" dxfId="13274" priority="413" operator="equal">
      <formula>"PMS"</formula>
    </cfRule>
    <cfRule type="containsText" dxfId="13273" priority="414" operator="containsText" text="CMS">
      <formula>NOT(ISERROR(SEARCH("CMS",N62)))</formula>
    </cfRule>
    <cfRule type="cellIs" dxfId="13272" priority="415" operator="equal">
      <formula>0</formula>
    </cfRule>
    <cfRule type="cellIs" dxfId="13271" priority="416" operator="greaterThan">
      <formula>0</formula>
    </cfRule>
    <cfRule type="cellIs" dxfId="13270" priority="417" operator="equal">
      <formula>"PMS"</formula>
    </cfRule>
    <cfRule type="containsText" dxfId="13269" priority="418" operator="containsText" text="CMS">
      <formula>NOT(ISERROR(SEARCH("CMS",N62)))</formula>
    </cfRule>
    <cfRule type="cellIs" dxfId="13268" priority="419" operator="equal">
      <formula>0</formula>
    </cfRule>
    <cfRule type="cellIs" dxfId="13267" priority="420" operator="greaterThan">
      <formula>0</formula>
    </cfRule>
  </conditionalFormatting>
  <conditionalFormatting sqref="N62:O62 O63:O64">
    <cfRule type="cellIs" dxfId="13266" priority="409" operator="equal">
      <formula>"PMS"</formula>
    </cfRule>
    <cfRule type="containsText" dxfId="13265" priority="410" operator="containsText" text="CMS">
      <formula>NOT(ISERROR(SEARCH("CMS",N62)))</formula>
    </cfRule>
    <cfRule type="cellIs" dxfId="13264" priority="411" operator="equal">
      <formula>0</formula>
    </cfRule>
    <cfRule type="cellIs" dxfId="13263" priority="412" operator="greaterThan">
      <formula>0</formula>
    </cfRule>
  </conditionalFormatting>
  <conditionalFormatting sqref="J14">
    <cfRule type="cellIs" dxfId="13262" priority="401" operator="equal">
      <formula>"PMS"</formula>
    </cfRule>
    <cfRule type="containsText" dxfId="13261" priority="402" operator="containsText" text="CMS">
      <formula>NOT(ISERROR(SEARCH("CMS",J14)))</formula>
    </cfRule>
    <cfRule type="cellIs" dxfId="13260" priority="403" operator="equal">
      <formula>0</formula>
    </cfRule>
    <cfRule type="cellIs" dxfId="13259" priority="404" operator="greaterThan">
      <formula>0</formula>
    </cfRule>
    <cfRule type="cellIs" dxfId="13258" priority="405" operator="equal">
      <formula>"PMS"</formula>
    </cfRule>
    <cfRule type="containsText" dxfId="13257" priority="406" operator="containsText" text="CMS">
      <formula>NOT(ISERROR(SEARCH("CMS",J14)))</formula>
    </cfRule>
    <cfRule type="cellIs" dxfId="13256" priority="407" operator="equal">
      <formula>0</formula>
    </cfRule>
    <cfRule type="cellIs" dxfId="13255" priority="408" operator="greaterThan">
      <formula>0</formula>
    </cfRule>
  </conditionalFormatting>
  <conditionalFormatting sqref="J14">
    <cfRule type="cellIs" dxfId="13254" priority="397" operator="equal">
      <formula>"PMS"</formula>
    </cfRule>
    <cfRule type="containsText" dxfId="13253" priority="398" operator="containsText" text="CMS">
      <formula>NOT(ISERROR(SEARCH("CMS",J14)))</formula>
    </cfRule>
    <cfRule type="cellIs" dxfId="13252" priority="399" operator="equal">
      <formula>0</formula>
    </cfRule>
    <cfRule type="cellIs" dxfId="13251" priority="400" operator="greaterThan">
      <formula>0</formula>
    </cfRule>
  </conditionalFormatting>
  <conditionalFormatting sqref="U28">
    <cfRule type="cellIs" dxfId="13250" priority="389" operator="equal">
      <formula>"PMS"</formula>
    </cfRule>
    <cfRule type="containsText" dxfId="13249" priority="390" operator="containsText" text="CMS">
      <formula>NOT(ISERROR(SEARCH("CMS",U28)))</formula>
    </cfRule>
    <cfRule type="cellIs" dxfId="13248" priority="391" operator="equal">
      <formula>0</formula>
    </cfRule>
    <cfRule type="cellIs" dxfId="13247" priority="392" operator="greaterThan">
      <formula>0</formula>
    </cfRule>
    <cfRule type="cellIs" dxfId="13246" priority="393" operator="equal">
      <formula>"PMS"</formula>
    </cfRule>
    <cfRule type="containsText" dxfId="13245" priority="394" operator="containsText" text="CMS">
      <formula>NOT(ISERROR(SEARCH("CMS",U28)))</formula>
    </cfRule>
    <cfRule type="cellIs" dxfId="13244" priority="395" operator="equal">
      <formula>0</formula>
    </cfRule>
    <cfRule type="cellIs" dxfId="13243" priority="396" operator="greaterThan">
      <formula>0</formula>
    </cfRule>
  </conditionalFormatting>
  <conditionalFormatting sqref="U28">
    <cfRule type="cellIs" dxfId="13242" priority="385" operator="equal">
      <formula>"PMS"</formula>
    </cfRule>
    <cfRule type="containsText" dxfId="13241" priority="386" operator="containsText" text="CMS">
      <formula>NOT(ISERROR(SEARCH("CMS",U28)))</formula>
    </cfRule>
    <cfRule type="cellIs" dxfId="13240" priority="387" operator="equal">
      <formula>0</formula>
    </cfRule>
    <cfRule type="cellIs" dxfId="13239" priority="388" operator="greaterThan">
      <formula>0</formula>
    </cfRule>
  </conditionalFormatting>
  <conditionalFormatting sqref="Y27:AA27">
    <cfRule type="cellIs" dxfId="13238" priority="377" operator="equal">
      <formula>"PMS"</formula>
    </cfRule>
    <cfRule type="containsText" dxfId="13237" priority="378" operator="containsText" text="CMS">
      <formula>NOT(ISERROR(SEARCH("CMS",Y27)))</formula>
    </cfRule>
    <cfRule type="cellIs" dxfId="13236" priority="379" operator="equal">
      <formula>0</formula>
    </cfRule>
    <cfRule type="cellIs" dxfId="13235" priority="380" operator="greaterThan">
      <formula>0</formula>
    </cfRule>
    <cfRule type="cellIs" dxfId="13234" priority="381" operator="equal">
      <formula>"PMS"</formula>
    </cfRule>
    <cfRule type="containsText" dxfId="13233" priority="382" operator="containsText" text="CMS">
      <formula>NOT(ISERROR(SEARCH("CMS",Y27)))</formula>
    </cfRule>
    <cfRule type="cellIs" dxfId="13232" priority="383" operator="equal">
      <formula>0</formula>
    </cfRule>
    <cfRule type="cellIs" dxfId="13231" priority="384" operator="greaterThan">
      <formula>0</formula>
    </cfRule>
  </conditionalFormatting>
  <conditionalFormatting sqref="Y27:AA27">
    <cfRule type="cellIs" dxfId="13230" priority="373" operator="equal">
      <formula>"PMS"</formula>
    </cfRule>
    <cfRule type="containsText" dxfId="13229" priority="374" operator="containsText" text="CMS">
      <formula>NOT(ISERROR(SEARCH("CMS",Y27)))</formula>
    </cfRule>
    <cfRule type="cellIs" dxfId="13228" priority="375" operator="equal">
      <formula>0</formula>
    </cfRule>
    <cfRule type="cellIs" dxfId="13227" priority="376" operator="greaterThan">
      <formula>0</formula>
    </cfRule>
  </conditionalFormatting>
  <conditionalFormatting sqref="G62:G64">
    <cfRule type="cellIs" dxfId="13226" priority="365" operator="equal">
      <formula>"PMS"</formula>
    </cfRule>
    <cfRule type="containsText" dxfId="13225" priority="366" operator="containsText" text="CMS">
      <formula>NOT(ISERROR(SEARCH("CMS",G62)))</formula>
    </cfRule>
    <cfRule type="cellIs" dxfId="13224" priority="367" operator="equal">
      <formula>0</formula>
    </cfRule>
    <cfRule type="cellIs" dxfId="13223" priority="368" operator="greaterThan">
      <formula>0</formula>
    </cfRule>
    <cfRule type="cellIs" dxfId="13222" priority="369" operator="equal">
      <formula>"PMS"</formula>
    </cfRule>
    <cfRule type="containsText" dxfId="13221" priority="370" operator="containsText" text="CMS">
      <formula>NOT(ISERROR(SEARCH("CMS",G62)))</formula>
    </cfRule>
    <cfRule type="cellIs" dxfId="13220" priority="371" operator="equal">
      <formula>0</formula>
    </cfRule>
    <cfRule type="cellIs" dxfId="13219" priority="372" operator="greaterThan">
      <formula>0</formula>
    </cfRule>
  </conditionalFormatting>
  <conditionalFormatting sqref="G62:G64">
    <cfRule type="cellIs" dxfId="13218" priority="361" operator="equal">
      <formula>"PMS"</formula>
    </cfRule>
    <cfRule type="containsText" dxfId="13217" priority="362" operator="containsText" text="CMS">
      <formula>NOT(ISERROR(SEARCH("CMS",G62)))</formula>
    </cfRule>
    <cfRule type="cellIs" dxfId="13216" priority="363" operator="equal">
      <formula>0</formula>
    </cfRule>
    <cfRule type="cellIs" dxfId="13215" priority="364" operator="greaterThan">
      <formula>0</formula>
    </cfRule>
  </conditionalFormatting>
  <conditionalFormatting sqref="N40">
    <cfRule type="cellIs" dxfId="13214" priority="353" operator="equal">
      <formula>"PMS"</formula>
    </cfRule>
    <cfRule type="containsText" dxfId="13213" priority="354" operator="containsText" text="CMS">
      <formula>NOT(ISERROR(SEARCH("CMS",N40)))</formula>
    </cfRule>
    <cfRule type="cellIs" dxfId="13212" priority="355" operator="equal">
      <formula>0</formula>
    </cfRule>
    <cfRule type="cellIs" dxfId="13211" priority="356" operator="greaterThan">
      <formula>0</formula>
    </cfRule>
    <cfRule type="cellIs" dxfId="13210" priority="357" operator="equal">
      <formula>"PMS"</formula>
    </cfRule>
    <cfRule type="containsText" dxfId="13209" priority="358" operator="containsText" text="CMS">
      <formula>NOT(ISERROR(SEARCH("CMS",N40)))</formula>
    </cfRule>
    <cfRule type="cellIs" dxfId="13208" priority="359" operator="equal">
      <formula>0</formula>
    </cfRule>
    <cfRule type="cellIs" dxfId="13207" priority="360" operator="greaterThan">
      <formula>0</formula>
    </cfRule>
  </conditionalFormatting>
  <conditionalFormatting sqref="N40">
    <cfRule type="cellIs" dxfId="13206" priority="349" operator="equal">
      <formula>"PMS"</formula>
    </cfRule>
    <cfRule type="containsText" dxfId="13205" priority="350" operator="containsText" text="CMS">
      <formula>NOT(ISERROR(SEARCH("CMS",N40)))</formula>
    </cfRule>
    <cfRule type="cellIs" dxfId="13204" priority="351" operator="equal">
      <formula>0</formula>
    </cfRule>
    <cfRule type="cellIs" dxfId="13203" priority="352" operator="greaterThan">
      <formula>0</formula>
    </cfRule>
  </conditionalFormatting>
  <conditionalFormatting sqref="O30">
    <cfRule type="cellIs" dxfId="13202" priority="341" operator="equal">
      <formula>"PMS"</formula>
    </cfRule>
    <cfRule type="containsText" dxfId="13201" priority="342" operator="containsText" text="CMS">
      <formula>NOT(ISERROR(SEARCH("CMS",O30)))</formula>
    </cfRule>
    <cfRule type="cellIs" dxfId="13200" priority="343" operator="equal">
      <formula>0</formula>
    </cfRule>
    <cfRule type="cellIs" dxfId="13199" priority="344" operator="greaterThan">
      <formula>0</formula>
    </cfRule>
    <cfRule type="cellIs" dxfId="13198" priority="345" operator="equal">
      <formula>"PMS"</formula>
    </cfRule>
    <cfRule type="containsText" dxfId="13197" priority="346" operator="containsText" text="CMS">
      <formula>NOT(ISERROR(SEARCH("CMS",O30)))</formula>
    </cfRule>
    <cfRule type="cellIs" dxfId="13196" priority="347" operator="equal">
      <formula>0</formula>
    </cfRule>
    <cfRule type="cellIs" dxfId="13195" priority="348" operator="greaterThan">
      <formula>0</formula>
    </cfRule>
  </conditionalFormatting>
  <conditionalFormatting sqref="O30">
    <cfRule type="cellIs" dxfId="13194" priority="337" operator="equal">
      <formula>"PMS"</formula>
    </cfRule>
    <cfRule type="containsText" dxfId="13193" priority="338" operator="containsText" text="CMS">
      <formula>NOT(ISERROR(SEARCH("CMS",O30)))</formula>
    </cfRule>
    <cfRule type="cellIs" dxfId="13192" priority="339" operator="equal">
      <formula>0</formula>
    </cfRule>
    <cfRule type="cellIs" dxfId="13191" priority="340" operator="greaterThan">
      <formula>0</formula>
    </cfRule>
  </conditionalFormatting>
  <conditionalFormatting sqref="O47:O49">
    <cfRule type="cellIs" dxfId="13190" priority="329" operator="equal">
      <formula>"PMS"</formula>
    </cfRule>
    <cfRule type="containsText" dxfId="13189" priority="330" operator="containsText" text="CMS">
      <formula>NOT(ISERROR(SEARCH("CMS",O47)))</formula>
    </cfRule>
    <cfRule type="cellIs" dxfId="13188" priority="331" operator="equal">
      <formula>0</formula>
    </cfRule>
    <cfRule type="cellIs" dxfId="13187" priority="332" operator="greaterThan">
      <formula>0</formula>
    </cfRule>
    <cfRule type="cellIs" dxfId="13186" priority="333" operator="equal">
      <formula>"PMS"</formula>
    </cfRule>
    <cfRule type="containsText" dxfId="13185" priority="334" operator="containsText" text="CMS">
      <formula>NOT(ISERROR(SEARCH("CMS",O47)))</formula>
    </cfRule>
    <cfRule type="cellIs" dxfId="13184" priority="335" operator="equal">
      <formula>0</formula>
    </cfRule>
    <cfRule type="cellIs" dxfId="13183" priority="336" operator="greaterThan">
      <formula>0</formula>
    </cfRule>
  </conditionalFormatting>
  <conditionalFormatting sqref="O47:O49">
    <cfRule type="cellIs" dxfId="13182" priority="325" operator="equal">
      <formula>"PMS"</formula>
    </cfRule>
    <cfRule type="containsText" dxfId="13181" priority="326" operator="containsText" text="CMS">
      <formula>NOT(ISERROR(SEARCH("CMS",O47)))</formula>
    </cfRule>
    <cfRule type="cellIs" dxfId="13180" priority="327" operator="equal">
      <formula>0</formula>
    </cfRule>
    <cfRule type="cellIs" dxfId="13179" priority="328" operator="greaterThan">
      <formula>0</formula>
    </cfRule>
  </conditionalFormatting>
  <conditionalFormatting sqref="F82">
    <cfRule type="cellIs" dxfId="13178" priority="317" operator="equal">
      <formula>"PMS"</formula>
    </cfRule>
    <cfRule type="containsText" dxfId="13177" priority="318" operator="containsText" text="CMS">
      <formula>NOT(ISERROR(SEARCH("CMS",F82)))</formula>
    </cfRule>
    <cfRule type="cellIs" dxfId="13176" priority="319" operator="equal">
      <formula>0</formula>
    </cfRule>
    <cfRule type="cellIs" dxfId="13175" priority="320" operator="greaterThan">
      <formula>0</formula>
    </cfRule>
    <cfRule type="cellIs" dxfId="13174" priority="321" operator="equal">
      <formula>"PMS"</formula>
    </cfRule>
    <cfRule type="containsText" dxfId="13173" priority="322" operator="containsText" text="CMS">
      <formula>NOT(ISERROR(SEARCH("CMS",F82)))</formula>
    </cfRule>
    <cfRule type="cellIs" dxfId="13172" priority="323" operator="equal">
      <formula>0</formula>
    </cfRule>
    <cfRule type="cellIs" dxfId="13171" priority="324" operator="greaterThan">
      <formula>0</formula>
    </cfRule>
  </conditionalFormatting>
  <conditionalFormatting sqref="F82">
    <cfRule type="cellIs" dxfId="13170" priority="313" operator="equal">
      <formula>"PMS"</formula>
    </cfRule>
    <cfRule type="containsText" dxfId="13169" priority="314" operator="containsText" text="CMS">
      <formula>NOT(ISERROR(SEARCH("CMS",F82)))</formula>
    </cfRule>
    <cfRule type="cellIs" dxfId="13168" priority="315" operator="equal">
      <formula>0</formula>
    </cfRule>
    <cfRule type="cellIs" dxfId="13167" priority="316" operator="greaterThan">
      <formula>0</formula>
    </cfRule>
  </conditionalFormatting>
  <conditionalFormatting sqref="H15">
    <cfRule type="cellIs" dxfId="13166" priority="305" operator="equal">
      <formula>"PMS"</formula>
    </cfRule>
    <cfRule type="containsText" dxfId="13165" priority="306" operator="containsText" text="CMS">
      <formula>NOT(ISERROR(SEARCH("CMS",H15)))</formula>
    </cfRule>
    <cfRule type="cellIs" dxfId="13164" priority="307" operator="equal">
      <formula>0</formula>
    </cfRule>
    <cfRule type="cellIs" dxfId="13163" priority="308" operator="greaterThan">
      <formula>0</formula>
    </cfRule>
    <cfRule type="cellIs" dxfId="13162" priority="309" operator="equal">
      <formula>"PMS"</formula>
    </cfRule>
    <cfRule type="containsText" dxfId="13161" priority="310" operator="containsText" text="CMS">
      <formula>NOT(ISERROR(SEARCH("CMS",H15)))</formula>
    </cfRule>
    <cfRule type="cellIs" dxfId="13160" priority="311" operator="equal">
      <formula>0</formula>
    </cfRule>
    <cfRule type="cellIs" dxfId="13159" priority="312" operator="greaterThan">
      <formula>0</formula>
    </cfRule>
  </conditionalFormatting>
  <conditionalFormatting sqref="H15">
    <cfRule type="cellIs" dxfId="13158" priority="301" operator="equal">
      <formula>"PMS"</formula>
    </cfRule>
    <cfRule type="containsText" dxfId="13157" priority="302" operator="containsText" text="CMS">
      <formula>NOT(ISERROR(SEARCH("CMS",H15)))</formula>
    </cfRule>
    <cfRule type="cellIs" dxfId="13156" priority="303" operator="equal">
      <formula>0</formula>
    </cfRule>
    <cfRule type="cellIs" dxfId="13155" priority="304" operator="greaterThan">
      <formula>0</formula>
    </cfRule>
  </conditionalFormatting>
  <conditionalFormatting sqref="G14">
    <cfRule type="cellIs" dxfId="13154" priority="293" operator="equal">
      <formula>"PMS"</formula>
    </cfRule>
    <cfRule type="containsText" dxfId="13153" priority="294" operator="containsText" text="CMS">
      <formula>NOT(ISERROR(SEARCH("CMS",G14)))</formula>
    </cfRule>
    <cfRule type="cellIs" dxfId="13152" priority="295" operator="equal">
      <formula>0</formula>
    </cfRule>
    <cfRule type="cellIs" dxfId="13151" priority="296" operator="greaterThan">
      <formula>0</formula>
    </cfRule>
    <cfRule type="cellIs" dxfId="13150" priority="297" operator="equal">
      <formula>"PMS"</formula>
    </cfRule>
    <cfRule type="containsText" dxfId="13149" priority="298" operator="containsText" text="CMS">
      <formula>NOT(ISERROR(SEARCH("CMS",G14)))</formula>
    </cfRule>
    <cfRule type="cellIs" dxfId="13148" priority="299" operator="equal">
      <formula>0</formula>
    </cfRule>
    <cfRule type="cellIs" dxfId="13147" priority="300" operator="greaterThan">
      <formula>0</formula>
    </cfRule>
  </conditionalFormatting>
  <conditionalFormatting sqref="G14">
    <cfRule type="cellIs" dxfId="13146" priority="289" operator="equal">
      <formula>"PMS"</formula>
    </cfRule>
    <cfRule type="containsText" dxfId="13145" priority="290" operator="containsText" text="CMS">
      <formula>NOT(ISERROR(SEARCH("CMS",G14)))</formula>
    </cfRule>
    <cfRule type="cellIs" dxfId="13144" priority="291" operator="equal">
      <formula>0</formula>
    </cfRule>
    <cfRule type="cellIs" dxfId="13143" priority="292" operator="greaterThan">
      <formula>0</formula>
    </cfRule>
  </conditionalFormatting>
  <conditionalFormatting sqref="N48">
    <cfRule type="cellIs" dxfId="13142" priority="281" operator="equal">
      <formula>"PMS"</formula>
    </cfRule>
    <cfRule type="containsText" dxfId="13141" priority="282" operator="containsText" text="CMS">
      <formula>NOT(ISERROR(SEARCH("CMS",N48)))</formula>
    </cfRule>
    <cfRule type="cellIs" dxfId="13140" priority="283" operator="equal">
      <formula>0</formula>
    </cfRule>
    <cfRule type="cellIs" dxfId="13139" priority="284" operator="greaterThan">
      <formula>0</formula>
    </cfRule>
    <cfRule type="cellIs" dxfId="13138" priority="285" operator="equal">
      <formula>"PMS"</formula>
    </cfRule>
    <cfRule type="containsText" dxfId="13137" priority="286" operator="containsText" text="CMS">
      <formula>NOT(ISERROR(SEARCH("CMS",N48)))</formula>
    </cfRule>
    <cfRule type="cellIs" dxfId="13136" priority="287" operator="equal">
      <formula>0</formula>
    </cfRule>
    <cfRule type="cellIs" dxfId="13135" priority="288" operator="greaterThan">
      <formula>0</formula>
    </cfRule>
  </conditionalFormatting>
  <conditionalFormatting sqref="N48">
    <cfRule type="cellIs" dxfId="13134" priority="277" operator="equal">
      <formula>"PMS"</formula>
    </cfRule>
    <cfRule type="containsText" dxfId="13133" priority="278" operator="containsText" text="CMS">
      <formula>NOT(ISERROR(SEARCH("CMS",N48)))</formula>
    </cfRule>
    <cfRule type="cellIs" dxfId="13132" priority="279" operator="equal">
      <formula>0</formula>
    </cfRule>
    <cfRule type="cellIs" dxfId="13131" priority="280" operator="greaterThan">
      <formula>0</formula>
    </cfRule>
  </conditionalFormatting>
  <conditionalFormatting sqref="N56">
    <cfRule type="cellIs" dxfId="13130" priority="269" operator="equal">
      <formula>"PMS"</formula>
    </cfRule>
    <cfRule type="containsText" dxfId="13129" priority="270" operator="containsText" text="CMS">
      <formula>NOT(ISERROR(SEARCH("CMS",N56)))</formula>
    </cfRule>
    <cfRule type="cellIs" dxfId="13128" priority="271" operator="equal">
      <formula>0</formula>
    </cfRule>
    <cfRule type="cellIs" dxfId="13127" priority="272" operator="greaterThan">
      <formula>0</formula>
    </cfRule>
    <cfRule type="cellIs" dxfId="13126" priority="273" operator="equal">
      <formula>"PMS"</formula>
    </cfRule>
    <cfRule type="containsText" dxfId="13125" priority="274" operator="containsText" text="CMS">
      <formula>NOT(ISERROR(SEARCH("CMS",N56)))</formula>
    </cfRule>
    <cfRule type="cellIs" dxfId="13124" priority="275" operator="equal">
      <formula>0</formula>
    </cfRule>
    <cfRule type="cellIs" dxfId="13123" priority="276" operator="greaterThan">
      <formula>0</formula>
    </cfRule>
  </conditionalFormatting>
  <conditionalFormatting sqref="N56">
    <cfRule type="cellIs" dxfId="13122" priority="265" operator="equal">
      <formula>"PMS"</formula>
    </cfRule>
    <cfRule type="containsText" dxfId="13121" priority="266" operator="containsText" text="CMS">
      <formula>NOT(ISERROR(SEARCH("CMS",N56)))</formula>
    </cfRule>
    <cfRule type="cellIs" dxfId="13120" priority="267" operator="equal">
      <formula>0</formula>
    </cfRule>
    <cfRule type="cellIs" dxfId="13119" priority="268" operator="greaterThan">
      <formula>0</formula>
    </cfRule>
  </conditionalFormatting>
  <conditionalFormatting sqref="N63:N64">
    <cfRule type="cellIs" dxfId="13118" priority="257" operator="equal">
      <formula>"PMS"</formula>
    </cfRule>
    <cfRule type="containsText" dxfId="13117" priority="258" operator="containsText" text="CMS">
      <formula>NOT(ISERROR(SEARCH("CMS",N63)))</formula>
    </cfRule>
    <cfRule type="cellIs" dxfId="13116" priority="259" operator="equal">
      <formula>0</formula>
    </cfRule>
    <cfRule type="cellIs" dxfId="13115" priority="260" operator="greaterThan">
      <formula>0</formula>
    </cfRule>
    <cfRule type="cellIs" dxfId="13114" priority="261" operator="equal">
      <formula>"PMS"</formula>
    </cfRule>
    <cfRule type="containsText" dxfId="13113" priority="262" operator="containsText" text="CMS">
      <formula>NOT(ISERROR(SEARCH("CMS",N63)))</formula>
    </cfRule>
    <cfRule type="cellIs" dxfId="13112" priority="263" operator="equal">
      <formula>0</formula>
    </cfRule>
    <cfRule type="cellIs" dxfId="13111" priority="264" operator="greaterThan">
      <formula>0</formula>
    </cfRule>
  </conditionalFormatting>
  <conditionalFormatting sqref="N63:N64">
    <cfRule type="cellIs" dxfId="13110" priority="253" operator="equal">
      <formula>"PMS"</formula>
    </cfRule>
    <cfRule type="containsText" dxfId="13109" priority="254" operator="containsText" text="CMS">
      <formula>NOT(ISERROR(SEARCH("CMS",N63)))</formula>
    </cfRule>
    <cfRule type="cellIs" dxfId="13108" priority="255" operator="equal">
      <formula>0</formula>
    </cfRule>
    <cfRule type="cellIs" dxfId="13107" priority="256" operator="greaterThan">
      <formula>0</formula>
    </cfRule>
  </conditionalFormatting>
  <conditionalFormatting sqref="G78:K78">
    <cfRule type="cellIs" dxfId="13106" priority="245" operator="equal">
      <formula>"PMS"</formula>
    </cfRule>
    <cfRule type="containsText" dxfId="13105" priority="246" operator="containsText" text="CMS">
      <formula>NOT(ISERROR(SEARCH("CMS",G78)))</formula>
    </cfRule>
    <cfRule type="cellIs" dxfId="13104" priority="247" operator="equal">
      <formula>0</formula>
    </cfRule>
    <cfRule type="cellIs" dxfId="13103" priority="248" operator="greaterThan">
      <formula>0</formula>
    </cfRule>
    <cfRule type="cellIs" dxfId="13102" priority="249" operator="equal">
      <formula>"PMS"</formula>
    </cfRule>
    <cfRule type="containsText" dxfId="13101" priority="250" operator="containsText" text="CMS">
      <formula>NOT(ISERROR(SEARCH("CMS",G78)))</formula>
    </cfRule>
    <cfRule type="cellIs" dxfId="13100" priority="251" operator="equal">
      <formula>0</formula>
    </cfRule>
    <cfRule type="cellIs" dxfId="13099" priority="252" operator="greaterThan">
      <formula>0</formula>
    </cfRule>
  </conditionalFormatting>
  <conditionalFormatting sqref="G78:K78">
    <cfRule type="cellIs" dxfId="13098" priority="241" operator="equal">
      <formula>"PMS"</formula>
    </cfRule>
    <cfRule type="containsText" dxfId="13097" priority="242" operator="containsText" text="CMS">
      <formula>NOT(ISERROR(SEARCH("CMS",G78)))</formula>
    </cfRule>
    <cfRule type="cellIs" dxfId="13096" priority="243" operator="equal">
      <formula>0</formula>
    </cfRule>
    <cfRule type="cellIs" dxfId="13095" priority="244" operator="greaterThan">
      <formula>0</formula>
    </cfRule>
  </conditionalFormatting>
  <conditionalFormatting sqref="O40">
    <cfRule type="cellIs" dxfId="13094" priority="233" operator="equal">
      <formula>"PMS"</formula>
    </cfRule>
    <cfRule type="containsText" dxfId="13093" priority="234" operator="containsText" text="CMS">
      <formula>NOT(ISERROR(SEARCH("CMS",O40)))</formula>
    </cfRule>
    <cfRule type="cellIs" dxfId="13092" priority="235" operator="equal">
      <formula>0</formula>
    </cfRule>
    <cfRule type="cellIs" dxfId="13091" priority="236" operator="greaterThan">
      <formula>0</formula>
    </cfRule>
    <cfRule type="cellIs" dxfId="13090" priority="237" operator="equal">
      <formula>"PMS"</formula>
    </cfRule>
    <cfRule type="containsText" dxfId="13089" priority="238" operator="containsText" text="CMS">
      <formula>NOT(ISERROR(SEARCH("CMS",O40)))</formula>
    </cfRule>
    <cfRule type="cellIs" dxfId="13088" priority="239" operator="equal">
      <formula>0</formula>
    </cfRule>
    <cfRule type="cellIs" dxfId="13087" priority="240" operator="greaterThan">
      <formula>0</formula>
    </cfRule>
  </conditionalFormatting>
  <conditionalFormatting sqref="O40">
    <cfRule type="cellIs" dxfId="13086" priority="229" operator="equal">
      <formula>"PMS"</formula>
    </cfRule>
    <cfRule type="containsText" dxfId="13085" priority="230" operator="containsText" text="CMS">
      <formula>NOT(ISERROR(SEARCH("CMS",O40)))</formula>
    </cfRule>
    <cfRule type="cellIs" dxfId="13084" priority="231" operator="equal">
      <formula>0</formula>
    </cfRule>
    <cfRule type="cellIs" dxfId="13083" priority="232" operator="greaterThan">
      <formula>0</formula>
    </cfRule>
  </conditionalFormatting>
  <conditionalFormatting sqref="L78">
    <cfRule type="cellIs" dxfId="13082" priority="221" operator="equal">
      <formula>"PMS"</formula>
    </cfRule>
    <cfRule type="containsText" dxfId="13081" priority="222" operator="containsText" text="CMS">
      <formula>NOT(ISERROR(SEARCH("CMS",L78)))</formula>
    </cfRule>
    <cfRule type="cellIs" dxfId="13080" priority="223" operator="equal">
      <formula>0</formula>
    </cfRule>
    <cfRule type="cellIs" dxfId="13079" priority="224" operator="greaterThan">
      <formula>0</formula>
    </cfRule>
    <cfRule type="cellIs" dxfId="13078" priority="225" operator="equal">
      <formula>"PMS"</formula>
    </cfRule>
    <cfRule type="containsText" dxfId="13077" priority="226" operator="containsText" text="CMS">
      <formula>NOT(ISERROR(SEARCH("CMS",L78)))</formula>
    </cfRule>
    <cfRule type="cellIs" dxfId="13076" priority="227" operator="equal">
      <formula>0</formula>
    </cfRule>
    <cfRule type="cellIs" dxfId="13075" priority="228" operator="greaterThan">
      <formula>0</formula>
    </cfRule>
  </conditionalFormatting>
  <conditionalFormatting sqref="L78">
    <cfRule type="cellIs" dxfId="13074" priority="217" operator="equal">
      <formula>"PMS"</formula>
    </cfRule>
    <cfRule type="containsText" dxfId="13073" priority="218" operator="containsText" text="CMS">
      <formula>NOT(ISERROR(SEARCH("CMS",L78)))</formula>
    </cfRule>
    <cfRule type="cellIs" dxfId="13072" priority="219" operator="equal">
      <formula>0</formula>
    </cfRule>
    <cfRule type="cellIs" dxfId="13071" priority="220" operator="greaterThan">
      <formula>0</formula>
    </cfRule>
  </conditionalFormatting>
  <conditionalFormatting sqref="R27:R28">
    <cfRule type="cellIs" dxfId="13070" priority="209" operator="equal">
      <formula>"PMS"</formula>
    </cfRule>
    <cfRule type="containsText" dxfId="13069" priority="210" operator="containsText" text="CMS">
      <formula>NOT(ISERROR(SEARCH("CMS",R27)))</formula>
    </cfRule>
    <cfRule type="cellIs" dxfId="13068" priority="211" operator="equal">
      <formula>0</formula>
    </cfRule>
    <cfRule type="cellIs" dxfId="13067" priority="212" operator="greaterThan">
      <formula>0</formula>
    </cfRule>
    <cfRule type="cellIs" dxfId="13066" priority="213" operator="equal">
      <formula>"PMS"</formula>
    </cfRule>
    <cfRule type="containsText" dxfId="13065" priority="214" operator="containsText" text="CMS">
      <formula>NOT(ISERROR(SEARCH("CMS",R27)))</formula>
    </cfRule>
    <cfRule type="cellIs" dxfId="13064" priority="215" operator="equal">
      <formula>0</formula>
    </cfRule>
    <cfRule type="cellIs" dxfId="13063" priority="216" operator="greaterThan">
      <formula>0</formula>
    </cfRule>
  </conditionalFormatting>
  <conditionalFormatting sqref="R27:R28">
    <cfRule type="cellIs" dxfId="13062" priority="205" operator="equal">
      <formula>"PMS"</formula>
    </cfRule>
    <cfRule type="containsText" dxfId="13061" priority="206" operator="containsText" text="CMS">
      <formula>NOT(ISERROR(SEARCH("CMS",R27)))</formula>
    </cfRule>
    <cfRule type="cellIs" dxfId="13060" priority="207" operator="equal">
      <formula>0</formula>
    </cfRule>
    <cfRule type="cellIs" dxfId="13059" priority="208" operator="greaterThan">
      <formula>0</formula>
    </cfRule>
  </conditionalFormatting>
  <conditionalFormatting sqref="W78">
    <cfRule type="cellIs" dxfId="13058" priority="197" operator="equal">
      <formula>"PMS"</formula>
    </cfRule>
    <cfRule type="containsText" dxfId="13057" priority="198" operator="containsText" text="CMS">
      <formula>NOT(ISERROR(SEARCH("CMS",W78)))</formula>
    </cfRule>
    <cfRule type="cellIs" dxfId="13056" priority="199" operator="equal">
      <formula>0</formula>
    </cfRule>
    <cfRule type="cellIs" dxfId="13055" priority="200" operator="greaterThan">
      <formula>0</formula>
    </cfRule>
    <cfRule type="cellIs" dxfId="13054" priority="201" operator="equal">
      <formula>"PMS"</formula>
    </cfRule>
    <cfRule type="containsText" dxfId="13053" priority="202" operator="containsText" text="CMS">
      <formula>NOT(ISERROR(SEARCH("CMS",W78)))</formula>
    </cfRule>
    <cfRule type="cellIs" dxfId="13052" priority="203" operator="equal">
      <formula>0</formula>
    </cfRule>
    <cfRule type="cellIs" dxfId="13051" priority="204" operator="greaterThan">
      <formula>0</formula>
    </cfRule>
  </conditionalFormatting>
  <conditionalFormatting sqref="W78">
    <cfRule type="cellIs" dxfId="13050" priority="193" operator="equal">
      <formula>"PMS"</formula>
    </cfRule>
    <cfRule type="containsText" dxfId="13049" priority="194" operator="containsText" text="CMS">
      <formula>NOT(ISERROR(SEARCH("CMS",W78)))</formula>
    </cfRule>
    <cfRule type="cellIs" dxfId="13048" priority="195" operator="equal">
      <formula>0</formula>
    </cfRule>
    <cfRule type="cellIs" dxfId="13047" priority="196" operator="greaterThan">
      <formula>0</formula>
    </cfRule>
  </conditionalFormatting>
  <conditionalFormatting sqref="AA79">
    <cfRule type="cellIs" dxfId="13046" priority="185" operator="equal">
      <formula>"PMS"</formula>
    </cfRule>
    <cfRule type="containsText" dxfId="13045" priority="186" operator="containsText" text="CMS">
      <formula>NOT(ISERROR(SEARCH("CMS",AA79)))</formula>
    </cfRule>
    <cfRule type="cellIs" dxfId="13044" priority="187" operator="equal">
      <formula>0</formula>
    </cfRule>
    <cfRule type="cellIs" dxfId="13043" priority="188" operator="greaterThan">
      <formula>0</formula>
    </cfRule>
    <cfRule type="cellIs" dxfId="13042" priority="189" operator="equal">
      <formula>"PMS"</formula>
    </cfRule>
    <cfRule type="containsText" dxfId="13041" priority="190" operator="containsText" text="CMS">
      <formula>NOT(ISERROR(SEARCH("CMS",AA79)))</formula>
    </cfRule>
    <cfRule type="cellIs" dxfId="13040" priority="191" operator="equal">
      <formula>0</formula>
    </cfRule>
    <cfRule type="cellIs" dxfId="13039" priority="192" operator="greaterThan">
      <formula>0</formula>
    </cfRule>
  </conditionalFormatting>
  <conditionalFormatting sqref="AA79">
    <cfRule type="cellIs" dxfId="13038" priority="181" operator="equal">
      <formula>"PMS"</formula>
    </cfRule>
    <cfRule type="containsText" dxfId="13037" priority="182" operator="containsText" text="CMS">
      <formula>NOT(ISERROR(SEARCH("CMS",AA79)))</formula>
    </cfRule>
    <cfRule type="cellIs" dxfId="13036" priority="183" operator="equal">
      <formula>0</formula>
    </cfRule>
    <cfRule type="cellIs" dxfId="13035" priority="184" operator="greaterThan">
      <formula>0</formula>
    </cfRule>
  </conditionalFormatting>
  <conditionalFormatting sqref="F36:F38 F57:F59">
    <cfRule type="cellIs" dxfId="13034" priority="173" operator="equal">
      <formula>"PMS"</formula>
    </cfRule>
    <cfRule type="containsText" dxfId="13033" priority="174" operator="containsText" text="CMS">
      <formula>NOT(ISERROR(SEARCH("CMS",F36)))</formula>
    </cfRule>
    <cfRule type="cellIs" dxfId="13032" priority="175" operator="equal">
      <formula>0</formula>
    </cfRule>
    <cfRule type="cellIs" dxfId="13031" priority="176" operator="greaterThan">
      <formula>0</formula>
    </cfRule>
    <cfRule type="cellIs" dxfId="13030" priority="177" operator="equal">
      <formula>"PMS"</formula>
    </cfRule>
    <cfRule type="containsText" dxfId="13029" priority="178" operator="containsText" text="CMS">
      <formula>NOT(ISERROR(SEARCH("CMS",F36)))</formula>
    </cfRule>
    <cfRule type="cellIs" dxfId="13028" priority="179" operator="equal">
      <formula>0</formula>
    </cfRule>
    <cfRule type="cellIs" dxfId="13027" priority="180" operator="greaterThan">
      <formula>0</formula>
    </cfRule>
  </conditionalFormatting>
  <conditionalFormatting sqref="F36:F38 F57:F59">
    <cfRule type="cellIs" dxfId="13026" priority="169" operator="equal">
      <formula>"PMS"</formula>
    </cfRule>
    <cfRule type="containsText" dxfId="13025" priority="170" operator="containsText" text="CMS">
      <formula>NOT(ISERROR(SEARCH("CMS",F36)))</formula>
    </cfRule>
    <cfRule type="cellIs" dxfId="13024" priority="171" operator="equal">
      <formula>0</formula>
    </cfRule>
    <cfRule type="cellIs" dxfId="13023" priority="172" operator="greaterThan">
      <formula>0</formula>
    </cfRule>
  </conditionalFormatting>
  <conditionalFormatting sqref="F67:F75">
    <cfRule type="cellIs" dxfId="13022" priority="161" operator="equal">
      <formula>"PMS"</formula>
    </cfRule>
    <cfRule type="containsText" dxfId="13021" priority="162" operator="containsText" text="CMS">
      <formula>NOT(ISERROR(SEARCH("CMS",F67)))</formula>
    </cfRule>
    <cfRule type="cellIs" dxfId="13020" priority="163" operator="equal">
      <formula>0</formula>
    </cfRule>
    <cfRule type="cellIs" dxfId="13019" priority="164" operator="greaterThan">
      <formula>0</formula>
    </cfRule>
    <cfRule type="cellIs" dxfId="13018" priority="165" operator="equal">
      <formula>"PMS"</formula>
    </cfRule>
    <cfRule type="containsText" dxfId="13017" priority="166" operator="containsText" text="CMS">
      <formula>NOT(ISERROR(SEARCH("CMS",F67)))</formula>
    </cfRule>
    <cfRule type="cellIs" dxfId="13016" priority="167" operator="equal">
      <formula>0</formula>
    </cfRule>
    <cfRule type="cellIs" dxfId="13015" priority="168" operator="greaterThan">
      <formula>0</formula>
    </cfRule>
  </conditionalFormatting>
  <conditionalFormatting sqref="F67:F75">
    <cfRule type="cellIs" dxfId="13014" priority="157" operator="equal">
      <formula>"PMS"</formula>
    </cfRule>
    <cfRule type="containsText" dxfId="13013" priority="158" operator="containsText" text="CMS">
      <formula>NOT(ISERROR(SEARCH("CMS",F67)))</formula>
    </cfRule>
    <cfRule type="cellIs" dxfId="13012" priority="159" operator="equal">
      <formula>0</formula>
    </cfRule>
    <cfRule type="cellIs" dxfId="13011" priority="160" operator="greaterThan">
      <formula>0</formula>
    </cfRule>
  </conditionalFormatting>
  <conditionalFormatting sqref="F33 F24 F78:F79">
    <cfRule type="cellIs" dxfId="13010" priority="149" operator="equal">
      <formula>"PMS"</formula>
    </cfRule>
    <cfRule type="containsText" dxfId="13009" priority="150" operator="containsText" text="CMS">
      <formula>NOT(ISERROR(SEARCH("CMS",F24)))</formula>
    </cfRule>
    <cfRule type="cellIs" dxfId="13008" priority="151" operator="equal">
      <formula>0</formula>
    </cfRule>
    <cfRule type="cellIs" dxfId="13007" priority="152" operator="greaterThan">
      <formula>0</formula>
    </cfRule>
    <cfRule type="cellIs" dxfId="13006" priority="153" operator="equal">
      <formula>"PMS"</formula>
    </cfRule>
    <cfRule type="containsText" dxfId="13005" priority="154" operator="containsText" text="CMS">
      <formula>NOT(ISERROR(SEARCH("CMS",F24)))</formula>
    </cfRule>
    <cfRule type="cellIs" dxfId="13004" priority="155" operator="equal">
      <formula>0</formula>
    </cfRule>
    <cfRule type="cellIs" dxfId="13003" priority="156" operator="greaterThan">
      <formula>0</formula>
    </cfRule>
  </conditionalFormatting>
  <conditionalFormatting sqref="F33 F24 F78:F79">
    <cfRule type="cellIs" dxfId="13002" priority="145" operator="equal">
      <formula>"PMS"</formula>
    </cfRule>
    <cfRule type="containsText" dxfId="13001" priority="146" operator="containsText" text="CMS">
      <formula>NOT(ISERROR(SEARCH("CMS",F24)))</formula>
    </cfRule>
    <cfRule type="cellIs" dxfId="13000" priority="147" operator="equal">
      <formula>0</formula>
    </cfRule>
    <cfRule type="cellIs" dxfId="12999" priority="148" operator="greaterThan">
      <formula>0</formula>
    </cfRule>
  </conditionalFormatting>
  <conditionalFormatting sqref="L30:M30">
    <cfRule type="cellIs" dxfId="12998" priority="125" operator="equal">
      <formula>"PMS"</formula>
    </cfRule>
    <cfRule type="containsText" dxfId="12997" priority="126" operator="containsText" text="CMS">
      <formula>NOT(ISERROR(SEARCH("CMS",L30)))</formula>
    </cfRule>
    <cfRule type="cellIs" dxfId="12996" priority="127" operator="equal">
      <formula>0</formula>
    </cfRule>
    <cfRule type="cellIs" dxfId="12995" priority="128" operator="greaterThan">
      <formula>0</formula>
    </cfRule>
    <cfRule type="cellIs" dxfId="12994" priority="129" operator="equal">
      <formula>"PMS"</formula>
    </cfRule>
    <cfRule type="containsText" dxfId="12993" priority="130" operator="containsText" text="CMS">
      <formula>NOT(ISERROR(SEARCH("CMS",L30)))</formula>
    </cfRule>
    <cfRule type="cellIs" dxfId="12992" priority="131" operator="equal">
      <formula>0</formula>
    </cfRule>
    <cfRule type="cellIs" dxfId="12991" priority="132" operator="greaterThan">
      <formula>0</formula>
    </cfRule>
  </conditionalFormatting>
  <conditionalFormatting sqref="L30:M30">
    <cfRule type="cellIs" dxfId="12990" priority="121" operator="equal">
      <formula>"PMS"</formula>
    </cfRule>
    <cfRule type="containsText" dxfId="12989" priority="122" operator="containsText" text="CMS">
      <formula>NOT(ISERROR(SEARCH("CMS",L30)))</formula>
    </cfRule>
    <cfRule type="cellIs" dxfId="12988" priority="123" operator="equal">
      <formula>0</formula>
    </cfRule>
    <cfRule type="cellIs" dxfId="12987" priority="124" operator="greaterThan">
      <formula>0</formula>
    </cfRule>
  </conditionalFormatting>
  <conditionalFormatting sqref="F13:F16">
    <cfRule type="cellIs" dxfId="12986" priority="101" operator="equal">
      <formula>"PMS"</formula>
    </cfRule>
    <cfRule type="containsText" dxfId="12985" priority="102" operator="containsText" text="CMS">
      <formula>NOT(ISERROR(SEARCH("CMS",F13)))</formula>
    </cfRule>
    <cfRule type="cellIs" dxfId="12984" priority="103" operator="equal">
      <formula>0</formula>
    </cfRule>
    <cfRule type="cellIs" dxfId="12983" priority="104" operator="greaterThan">
      <formula>0</formula>
    </cfRule>
    <cfRule type="cellIs" dxfId="12982" priority="105" operator="equal">
      <formula>"PMS"</formula>
    </cfRule>
    <cfRule type="containsText" dxfId="12981" priority="106" operator="containsText" text="CMS">
      <formula>NOT(ISERROR(SEARCH("CMS",F13)))</formula>
    </cfRule>
    <cfRule type="cellIs" dxfId="12980" priority="107" operator="equal">
      <formula>0</formula>
    </cfRule>
    <cfRule type="cellIs" dxfId="12979" priority="108" operator="greaterThan">
      <formula>0</formula>
    </cfRule>
  </conditionalFormatting>
  <conditionalFormatting sqref="F13:F16">
    <cfRule type="cellIs" dxfId="12978" priority="97" operator="equal">
      <formula>"PMS"</formula>
    </cfRule>
    <cfRule type="containsText" dxfId="12977" priority="98" operator="containsText" text="CMS">
      <formula>NOT(ISERROR(SEARCH("CMS",F13)))</formula>
    </cfRule>
    <cfRule type="cellIs" dxfId="12976" priority="99" operator="equal">
      <formula>0</formula>
    </cfRule>
    <cfRule type="cellIs" dxfId="12975" priority="100" operator="greaterThan">
      <formula>0</formula>
    </cfRule>
  </conditionalFormatting>
  <conditionalFormatting sqref="F19:F21">
    <cfRule type="cellIs" dxfId="12974" priority="89" operator="equal">
      <formula>"PMS"</formula>
    </cfRule>
    <cfRule type="containsText" dxfId="12973" priority="90" operator="containsText" text="CMS">
      <formula>NOT(ISERROR(SEARCH("CMS",F19)))</formula>
    </cfRule>
    <cfRule type="cellIs" dxfId="12972" priority="91" operator="equal">
      <formula>0</formula>
    </cfRule>
    <cfRule type="cellIs" dxfId="12971" priority="92" operator="greaterThan">
      <formula>0</formula>
    </cfRule>
    <cfRule type="cellIs" dxfId="12970" priority="93" operator="equal">
      <formula>"PMS"</formula>
    </cfRule>
    <cfRule type="containsText" dxfId="12969" priority="94" operator="containsText" text="CMS">
      <formula>NOT(ISERROR(SEARCH("CMS",F19)))</formula>
    </cfRule>
    <cfRule type="cellIs" dxfId="12968" priority="95" operator="equal">
      <formula>0</formula>
    </cfRule>
    <cfRule type="cellIs" dxfId="12967" priority="96" operator="greaterThan">
      <formula>0</formula>
    </cfRule>
  </conditionalFormatting>
  <conditionalFormatting sqref="F19:F21">
    <cfRule type="cellIs" dxfId="12966" priority="85" operator="equal">
      <formula>"PMS"</formula>
    </cfRule>
    <cfRule type="containsText" dxfId="12965" priority="86" operator="containsText" text="CMS">
      <formula>NOT(ISERROR(SEARCH("CMS",F19)))</formula>
    </cfRule>
    <cfRule type="cellIs" dxfId="12964" priority="87" operator="equal">
      <formula>0</formula>
    </cfRule>
    <cfRule type="cellIs" dxfId="12963" priority="88" operator="greaterThan">
      <formula>0</formula>
    </cfRule>
  </conditionalFormatting>
  <conditionalFormatting sqref="F28:F30">
    <cfRule type="cellIs" dxfId="12962" priority="77" operator="equal">
      <formula>"PMS"</formula>
    </cfRule>
    <cfRule type="containsText" dxfId="12961" priority="78" operator="containsText" text="CMS">
      <formula>NOT(ISERROR(SEARCH("CMS",F28)))</formula>
    </cfRule>
    <cfRule type="cellIs" dxfId="12960" priority="79" operator="equal">
      <formula>0</formula>
    </cfRule>
    <cfRule type="cellIs" dxfId="12959" priority="80" operator="greaterThan">
      <formula>0</formula>
    </cfRule>
    <cfRule type="cellIs" dxfId="12958" priority="81" operator="equal">
      <formula>"PMS"</formula>
    </cfRule>
    <cfRule type="containsText" dxfId="12957" priority="82" operator="containsText" text="CMS">
      <formula>NOT(ISERROR(SEARCH("CMS",F28)))</formula>
    </cfRule>
    <cfRule type="cellIs" dxfId="12956" priority="83" operator="equal">
      <formula>0</formula>
    </cfRule>
    <cfRule type="cellIs" dxfId="12955" priority="84" operator="greaterThan">
      <formula>0</formula>
    </cfRule>
  </conditionalFormatting>
  <conditionalFormatting sqref="F28:F30">
    <cfRule type="cellIs" dxfId="12954" priority="73" operator="equal">
      <formula>"PMS"</formula>
    </cfRule>
    <cfRule type="containsText" dxfId="12953" priority="74" operator="containsText" text="CMS">
      <formula>NOT(ISERROR(SEARCH("CMS",F28)))</formula>
    </cfRule>
    <cfRule type="cellIs" dxfId="12952" priority="75" operator="equal">
      <formula>0</formula>
    </cfRule>
    <cfRule type="cellIs" dxfId="12951" priority="76" operator="greaterThan">
      <formula>0</formula>
    </cfRule>
  </conditionalFormatting>
  <conditionalFormatting sqref="F27">
    <cfRule type="cellIs" dxfId="12950" priority="65" operator="equal">
      <formula>"PMS"</formula>
    </cfRule>
    <cfRule type="containsText" dxfId="12949" priority="66" operator="containsText" text="CMS">
      <formula>NOT(ISERROR(SEARCH("CMS",F27)))</formula>
    </cfRule>
    <cfRule type="cellIs" dxfId="12948" priority="67" operator="equal">
      <formula>0</formula>
    </cfRule>
    <cfRule type="cellIs" dxfId="12947" priority="68" operator="greaterThan">
      <formula>0</formula>
    </cfRule>
    <cfRule type="cellIs" dxfId="12946" priority="69" operator="equal">
      <formula>"PMS"</formula>
    </cfRule>
    <cfRule type="containsText" dxfId="12945" priority="70" operator="containsText" text="CMS">
      <formula>NOT(ISERROR(SEARCH("CMS",F27)))</formula>
    </cfRule>
    <cfRule type="cellIs" dxfId="12944" priority="71" operator="equal">
      <formula>0</formula>
    </cfRule>
    <cfRule type="cellIs" dxfId="12943" priority="72" operator="greaterThan">
      <formula>0</formula>
    </cfRule>
  </conditionalFormatting>
  <conditionalFormatting sqref="F27">
    <cfRule type="cellIs" dxfId="12942" priority="61" operator="equal">
      <formula>"PMS"</formula>
    </cfRule>
    <cfRule type="containsText" dxfId="12941" priority="62" operator="containsText" text="CMS">
      <formula>NOT(ISERROR(SEARCH("CMS",F27)))</formula>
    </cfRule>
    <cfRule type="cellIs" dxfId="12940" priority="63" operator="equal">
      <formula>0</formula>
    </cfRule>
    <cfRule type="cellIs" dxfId="12939" priority="64" operator="greaterThan">
      <formula>0</formula>
    </cfRule>
  </conditionalFormatting>
  <conditionalFormatting sqref="F39:F56">
    <cfRule type="cellIs" dxfId="12938" priority="53" operator="equal">
      <formula>"PMS"</formula>
    </cfRule>
    <cfRule type="containsText" dxfId="12937" priority="54" operator="containsText" text="CMS">
      <formula>NOT(ISERROR(SEARCH("CMS",F39)))</formula>
    </cfRule>
    <cfRule type="cellIs" dxfId="12936" priority="55" operator="equal">
      <formula>0</formula>
    </cfRule>
    <cfRule type="cellIs" dxfId="12935" priority="56" operator="greaterThan">
      <formula>0</formula>
    </cfRule>
    <cfRule type="cellIs" dxfId="12934" priority="57" operator="equal">
      <formula>"PMS"</formula>
    </cfRule>
    <cfRule type="containsText" dxfId="12933" priority="58" operator="containsText" text="CMS">
      <formula>NOT(ISERROR(SEARCH("CMS",F39)))</formula>
    </cfRule>
    <cfRule type="cellIs" dxfId="12932" priority="59" operator="equal">
      <formula>0</formula>
    </cfRule>
    <cfRule type="cellIs" dxfId="12931" priority="60" operator="greaterThan">
      <formula>0</formula>
    </cfRule>
  </conditionalFormatting>
  <conditionalFormatting sqref="F39:F56">
    <cfRule type="cellIs" dxfId="12930" priority="49" operator="equal">
      <formula>"PMS"</formula>
    </cfRule>
    <cfRule type="containsText" dxfId="12929" priority="50" operator="containsText" text="CMS">
      <formula>NOT(ISERROR(SEARCH("CMS",F39)))</formula>
    </cfRule>
    <cfRule type="cellIs" dxfId="12928" priority="51" operator="equal">
      <formula>0</formula>
    </cfRule>
    <cfRule type="cellIs" dxfId="12927" priority="52" operator="greaterThan">
      <formula>0</formula>
    </cfRule>
  </conditionalFormatting>
  <conditionalFormatting sqref="F62:F64">
    <cfRule type="cellIs" dxfId="12926" priority="41" operator="equal">
      <formula>"PMS"</formula>
    </cfRule>
    <cfRule type="containsText" dxfId="12925" priority="42" operator="containsText" text="CMS">
      <formula>NOT(ISERROR(SEARCH("CMS",F62)))</formula>
    </cfRule>
    <cfRule type="cellIs" dxfId="12924" priority="43" operator="equal">
      <formula>0</formula>
    </cfRule>
    <cfRule type="cellIs" dxfId="12923" priority="44" operator="greaterThan">
      <formula>0</formula>
    </cfRule>
    <cfRule type="cellIs" dxfId="12922" priority="45" operator="equal">
      <formula>"PMS"</formula>
    </cfRule>
    <cfRule type="containsText" dxfId="12921" priority="46" operator="containsText" text="CMS">
      <formula>NOT(ISERROR(SEARCH("CMS",F62)))</formula>
    </cfRule>
    <cfRule type="cellIs" dxfId="12920" priority="47" operator="equal">
      <formula>0</formula>
    </cfRule>
    <cfRule type="cellIs" dxfId="12919" priority="48" operator="greaterThan">
      <formula>0</formula>
    </cfRule>
  </conditionalFormatting>
  <conditionalFormatting sqref="F62:F64">
    <cfRule type="cellIs" dxfId="12918" priority="37" operator="equal">
      <formula>"PMS"</formula>
    </cfRule>
    <cfRule type="containsText" dxfId="12917" priority="38" operator="containsText" text="CMS">
      <formula>NOT(ISERROR(SEARCH("CMS",F62)))</formula>
    </cfRule>
    <cfRule type="cellIs" dxfId="12916" priority="39" operator="equal">
      <formula>0</formula>
    </cfRule>
    <cfRule type="cellIs" dxfId="12915" priority="40" operator="greaterThan">
      <formula>0</formula>
    </cfRule>
  </conditionalFormatting>
  <conditionalFormatting sqref="G79">
    <cfRule type="cellIs" dxfId="12914" priority="29" operator="equal">
      <formula>"PMS"</formula>
    </cfRule>
    <cfRule type="containsText" dxfId="12913" priority="30" operator="containsText" text="CMS">
      <formula>NOT(ISERROR(SEARCH("CMS",G79)))</formula>
    </cfRule>
    <cfRule type="cellIs" dxfId="12912" priority="31" operator="equal">
      <formula>0</formula>
    </cfRule>
    <cfRule type="cellIs" dxfId="12911" priority="32" operator="greaterThan">
      <formula>0</formula>
    </cfRule>
    <cfRule type="cellIs" dxfId="12910" priority="33" operator="equal">
      <formula>"PMS"</formula>
    </cfRule>
    <cfRule type="containsText" dxfId="12909" priority="34" operator="containsText" text="CMS">
      <formula>NOT(ISERROR(SEARCH("CMS",G79)))</formula>
    </cfRule>
    <cfRule type="cellIs" dxfId="12908" priority="35" operator="equal">
      <formula>0</formula>
    </cfRule>
    <cfRule type="cellIs" dxfId="12907" priority="36" operator="greaterThan">
      <formula>0</formula>
    </cfRule>
  </conditionalFormatting>
  <conditionalFormatting sqref="G79">
    <cfRule type="cellIs" dxfId="12906" priority="25" operator="equal">
      <formula>"PMS"</formula>
    </cfRule>
    <cfRule type="containsText" dxfId="12905" priority="26" operator="containsText" text="CMS">
      <formula>NOT(ISERROR(SEARCH("CMS",G79)))</formula>
    </cfRule>
    <cfRule type="cellIs" dxfId="12904" priority="27" operator="equal">
      <formula>0</formula>
    </cfRule>
    <cfRule type="cellIs" dxfId="12903" priority="28" operator="greaterThan">
      <formula>0</formula>
    </cfRule>
  </conditionalFormatting>
  <conditionalFormatting sqref="M78">
    <cfRule type="cellIs" dxfId="12902" priority="17" operator="equal">
      <formula>"PMS"</formula>
    </cfRule>
    <cfRule type="containsText" dxfId="12901" priority="18" operator="containsText" text="CMS">
      <formula>NOT(ISERROR(SEARCH("CMS",M78)))</formula>
    </cfRule>
    <cfRule type="cellIs" dxfId="12900" priority="19" operator="equal">
      <formula>0</formula>
    </cfRule>
    <cfRule type="cellIs" dxfId="12899" priority="20" operator="greaterThan">
      <formula>0</formula>
    </cfRule>
    <cfRule type="cellIs" dxfId="12898" priority="21" operator="equal">
      <formula>"PMS"</formula>
    </cfRule>
    <cfRule type="containsText" dxfId="12897" priority="22" operator="containsText" text="CMS">
      <formula>NOT(ISERROR(SEARCH("CMS",M78)))</formula>
    </cfRule>
    <cfRule type="cellIs" dxfId="12896" priority="23" operator="equal">
      <formula>0</formula>
    </cfRule>
    <cfRule type="cellIs" dxfId="12895" priority="24" operator="greaterThan">
      <formula>0</formula>
    </cfRule>
  </conditionalFormatting>
  <conditionalFormatting sqref="M78">
    <cfRule type="cellIs" dxfId="12894" priority="13" operator="equal">
      <formula>"PMS"</formula>
    </cfRule>
    <cfRule type="containsText" dxfId="12893" priority="14" operator="containsText" text="CMS">
      <formula>NOT(ISERROR(SEARCH("CMS",M78)))</formula>
    </cfRule>
    <cfRule type="cellIs" dxfId="12892" priority="15" operator="equal">
      <formula>0</formula>
    </cfRule>
    <cfRule type="cellIs" dxfId="12891" priority="16" operator="greaterThan">
      <formula>0</formula>
    </cfRule>
  </conditionalFormatting>
  <conditionalFormatting sqref="R78">
    <cfRule type="cellIs" dxfId="12890" priority="5" operator="equal">
      <formula>"PMS"</formula>
    </cfRule>
    <cfRule type="containsText" dxfId="12889" priority="6" operator="containsText" text="CMS">
      <formula>NOT(ISERROR(SEARCH("CMS",R78)))</formula>
    </cfRule>
    <cfRule type="cellIs" dxfId="12888" priority="7" operator="equal">
      <formula>0</formula>
    </cfRule>
    <cfRule type="cellIs" dxfId="12887" priority="8" operator="greaterThan">
      <formula>0</formula>
    </cfRule>
    <cfRule type="cellIs" dxfId="12886" priority="9" operator="equal">
      <formula>"PMS"</formula>
    </cfRule>
    <cfRule type="containsText" dxfId="12885" priority="10" operator="containsText" text="CMS">
      <formula>NOT(ISERROR(SEARCH("CMS",R78)))</formula>
    </cfRule>
    <cfRule type="cellIs" dxfId="12884" priority="11" operator="equal">
      <formula>0</formula>
    </cfRule>
    <cfRule type="cellIs" dxfId="12883" priority="12" operator="greaterThan">
      <formula>0</formula>
    </cfRule>
  </conditionalFormatting>
  <conditionalFormatting sqref="R78">
    <cfRule type="cellIs" dxfId="12882" priority="1" operator="equal">
      <formula>"PMS"</formula>
    </cfRule>
    <cfRule type="containsText" dxfId="12881" priority="2" operator="containsText" text="CMS">
      <formula>NOT(ISERROR(SEARCH("CMS",R78)))</formula>
    </cfRule>
    <cfRule type="cellIs" dxfId="12880" priority="3" operator="equal">
      <formula>0</formula>
    </cfRule>
    <cfRule type="cellIs" dxfId="1287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87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F6562-B344-4EFA-B696-FAFDF51F1AA5}">
  <sheetPr codeName="Sheet234"/>
  <dimension ref="A2:DT141"/>
  <sheetViews>
    <sheetView zoomScale="70" zoomScaleNormal="70" workbookViewId="0">
      <pane xSplit="5" ySplit="11" topLeftCell="F12" activePane="bottomRight" state="frozen"/>
      <selection pane="bottomRight" activeCell="AA15" sqref="AA1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379.99999999999994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9" t="s">
        <v>9</v>
      </c>
      <c r="I14" s="357" t="s">
        <v>9</v>
      </c>
      <c r="J14" s="357">
        <v>6.5</v>
      </c>
      <c r="K14" s="359">
        <v>6.6</v>
      </c>
      <c r="L14" s="359">
        <v>6.7</v>
      </c>
      <c r="M14" s="357">
        <v>6.7</v>
      </c>
      <c r="N14" s="359">
        <v>6.9</v>
      </c>
      <c r="O14" s="357">
        <v>6.9</v>
      </c>
      <c r="P14" s="357">
        <v>5.6</v>
      </c>
      <c r="Q14" s="357" t="s">
        <v>9</v>
      </c>
      <c r="R14" s="357">
        <v>6.5</v>
      </c>
      <c r="S14" s="462">
        <v>6.6</v>
      </c>
      <c r="T14" s="462">
        <v>6.6</v>
      </c>
      <c r="U14" s="357">
        <v>6.6</v>
      </c>
      <c r="V14" s="357">
        <v>6.7</v>
      </c>
      <c r="W14" s="357">
        <v>6.4</v>
      </c>
      <c r="X14" s="357">
        <v>6.6</v>
      </c>
      <c r="Y14" s="357">
        <v>6.7</v>
      </c>
      <c r="Z14" s="462">
        <v>6.7</v>
      </c>
      <c r="AA14" s="462">
        <v>6.6</v>
      </c>
      <c r="AB14" s="357">
        <v>5.7</v>
      </c>
      <c r="AC14" s="357">
        <v>6.7</v>
      </c>
      <c r="AD14" s="41"/>
      <c r="AE14" s="41"/>
      <c r="AF14" s="11">
        <f>COUNTIF(F14:AC14,$AJ$8)</f>
        <v>5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>
        <v>6.6</v>
      </c>
      <c r="H15" s="357">
        <v>6.6</v>
      </c>
      <c r="I15" s="357">
        <v>6.6</v>
      </c>
      <c r="J15" s="357">
        <v>0</v>
      </c>
      <c r="K15" s="359">
        <v>0</v>
      </c>
      <c r="L15" s="359"/>
      <c r="M15" s="359"/>
      <c r="N15" s="357" t="s">
        <v>9</v>
      </c>
      <c r="O15" s="357" t="s">
        <v>9</v>
      </c>
      <c r="P15" s="357">
        <v>3.2</v>
      </c>
      <c r="Q15" s="357">
        <v>6.6</v>
      </c>
      <c r="R15" s="357">
        <v>4.8</v>
      </c>
      <c r="S15" s="462">
        <v>6.7</v>
      </c>
      <c r="T15" s="462">
        <v>6.6</v>
      </c>
      <c r="U15" s="357">
        <v>6.6</v>
      </c>
      <c r="V15" s="462">
        <v>6.7</v>
      </c>
      <c r="W15" s="357">
        <v>6.4</v>
      </c>
      <c r="X15" s="357">
        <v>6.6</v>
      </c>
      <c r="Y15" s="357">
        <v>6.7</v>
      </c>
      <c r="Z15" s="462">
        <v>6.7</v>
      </c>
      <c r="AA15" s="462">
        <v>6.6</v>
      </c>
      <c r="AB15" s="357" t="s">
        <v>9</v>
      </c>
      <c r="AC15" s="462" t="s">
        <v>9</v>
      </c>
      <c r="AD15" s="41"/>
      <c r="AE15" s="41"/>
      <c r="AF15" s="11">
        <f>COUNTIF(F15:AC15,$AJ$8)</f>
        <v>4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6.6</v>
      </c>
      <c r="I16" s="357">
        <v>6.6</v>
      </c>
      <c r="J16" s="357">
        <v>6.6</v>
      </c>
      <c r="K16" s="359">
        <v>6.6</v>
      </c>
      <c r="L16" s="359">
        <v>6.9</v>
      </c>
      <c r="M16" s="357">
        <v>6.7</v>
      </c>
      <c r="N16" s="359">
        <v>6.8</v>
      </c>
      <c r="O16" s="357">
        <v>7</v>
      </c>
      <c r="P16" s="357">
        <v>5</v>
      </c>
      <c r="Q16" s="357">
        <v>6.7</v>
      </c>
      <c r="R16" s="357">
        <v>4.8</v>
      </c>
      <c r="S16" s="462">
        <v>6.2</v>
      </c>
      <c r="T16" s="462">
        <v>6.6</v>
      </c>
      <c r="U16" s="357">
        <v>6.6</v>
      </c>
      <c r="V16" s="462">
        <v>6.7</v>
      </c>
      <c r="W16" s="357">
        <v>6.4</v>
      </c>
      <c r="X16" s="357">
        <v>6.6</v>
      </c>
      <c r="Y16" s="357">
        <v>6.7</v>
      </c>
      <c r="Z16" s="462">
        <v>6.7</v>
      </c>
      <c r="AA16" s="462">
        <v>6.6</v>
      </c>
      <c r="AB16" s="462">
        <v>5.8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13.2</v>
      </c>
      <c r="J17" s="19">
        <f t="shared" si="1"/>
        <v>13.1</v>
      </c>
      <c r="K17" s="19">
        <f t="shared" si="1"/>
        <v>13.2</v>
      </c>
      <c r="L17" s="19">
        <f t="shared" si="1"/>
        <v>13.600000000000001</v>
      </c>
      <c r="M17" s="19">
        <f t="shared" si="1"/>
        <v>13.4</v>
      </c>
      <c r="N17" s="19">
        <f t="shared" si="1"/>
        <v>13.7</v>
      </c>
      <c r="O17" s="19">
        <f t="shared" si="1"/>
        <v>13.9</v>
      </c>
      <c r="P17" s="19">
        <f t="shared" si="1"/>
        <v>13.8</v>
      </c>
      <c r="Q17" s="19">
        <f t="shared" si="1"/>
        <v>13.3</v>
      </c>
      <c r="R17" s="19">
        <f t="shared" si="1"/>
        <v>16.100000000000001</v>
      </c>
      <c r="S17" s="463">
        <f t="shared" si="1"/>
        <v>19.5</v>
      </c>
      <c r="T17" s="463">
        <f t="shared" si="1"/>
        <v>19.799999999999997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19.200000000000003</v>
      </c>
      <c r="X17" s="19">
        <f t="shared" si="1"/>
        <v>19.799999999999997</v>
      </c>
      <c r="Y17" s="19">
        <f t="shared" si="1"/>
        <v>20.100000000000001</v>
      </c>
      <c r="Z17" s="463">
        <f t="shared" si="1"/>
        <v>20.100000000000001</v>
      </c>
      <c r="AA17" s="463">
        <f t="shared" si="1"/>
        <v>19.799999999999997</v>
      </c>
      <c r="AB17" s="463">
        <f>SUM(AB13:AB16)</f>
        <v>11.5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57.499999999999993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0</v>
      </c>
      <c r="P19" s="357">
        <v>2</v>
      </c>
      <c r="Q19" s="357">
        <v>2.8</v>
      </c>
      <c r="R19" s="357">
        <v>2.8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/>
      <c r="Z19" s="357"/>
      <c r="AA19" s="357"/>
      <c r="AB19" s="357">
        <v>2.5</v>
      </c>
      <c r="AC19" s="357">
        <v>2.8</v>
      </c>
      <c r="AD19" s="41"/>
      <c r="AE19" s="41"/>
      <c r="AF19" s="11">
        <f>COUNTIF(F19:AC19,$AJ$8)</f>
        <v>6</v>
      </c>
      <c r="AG19" s="11">
        <f>COUNTIF(G19:AD19,$AJ$7)</f>
        <v>0</v>
      </c>
      <c r="AH19" s="11">
        <f>COUNT(F19:AC19)</f>
        <v>6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/>
      <c r="P20" s="357">
        <v>3</v>
      </c>
      <c r="Q20" s="357">
        <v>3.3</v>
      </c>
      <c r="R20" s="357">
        <v>3.3</v>
      </c>
      <c r="S20" s="357">
        <v>3</v>
      </c>
      <c r="T20" s="357">
        <v>3</v>
      </c>
      <c r="U20" s="357">
        <v>3</v>
      </c>
      <c r="V20" s="357">
        <v>3</v>
      </c>
      <c r="W20" s="357">
        <v>3</v>
      </c>
      <c r="X20" s="357">
        <v>3.1</v>
      </c>
      <c r="Y20" s="357">
        <v>3.3</v>
      </c>
      <c r="Z20" s="357">
        <v>3.3</v>
      </c>
      <c r="AA20" s="357">
        <v>3</v>
      </c>
      <c r="AB20" s="357">
        <v>3</v>
      </c>
      <c r="AC20" s="357">
        <v>2.8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14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>
        <v>1.5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14</v>
      </c>
      <c r="AG21" s="11">
        <f>COUNTIF(G21:AD21,$AJ$7)</f>
        <v>0</v>
      </c>
      <c r="AH21" s="11">
        <f>COUNT(F21:AC21)</f>
        <v>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1.5</v>
      </c>
      <c r="P22" s="19">
        <f t="shared" si="3"/>
        <v>5</v>
      </c>
      <c r="Q22" s="19">
        <f t="shared" si="3"/>
        <v>6.1</v>
      </c>
      <c r="R22" s="19">
        <f t="shared" si="3"/>
        <v>6.1</v>
      </c>
      <c r="S22" s="463">
        <f>SUM(S19:S21)</f>
        <v>3</v>
      </c>
      <c r="T22" s="463">
        <f t="shared" ref="T22" si="4">SUM(T19:T21)</f>
        <v>3</v>
      </c>
      <c r="U22" s="19">
        <f t="shared" si="3"/>
        <v>3</v>
      </c>
      <c r="V22" s="19">
        <f t="shared" si="3"/>
        <v>3</v>
      </c>
      <c r="W22" s="19">
        <f t="shared" si="3"/>
        <v>3</v>
      </c>
      <c r="X22" s="19">
        <f t="shared" si="3"/>
        <v>3.1</v>
      </c>
      <c r="Y22" s="19">
        <f t="shared" si="3"/>
        <v>3.3</v>
      </c>
      <c r="Z22" s="463">
        <f>SUM(Z19:Z21)</f>
        <v>3.3</v>
      </c>
      <c r="AA22" s="463">
        <f t="shared" si="3"/>
        <v>3</v>
      </c>
      <c r="AB22" s="463">
        <f>SUM(AB19:AB21)</f>
        <v>5.5</v>
      </c>
      <c r="AC22" s="19">
        <f t="shared" si="3"/>
        <v>5.6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44.599999999999994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>
        <v>3.8</v>
      </c>
      <c r="Q24" s="357">
        <v>3.8</v>
      </c>
      <c r="R24" s="357">
        <v>3.8</v>
      </c>
      <c r="S24" s="357">
        <v>3.8</v>
      </c>
      <c r="T24" s="357">
        <v>3</v>
      </c>
      <c r="U24" s="357">
        <v>3</v>
      </c>
      <c r="V24" s="357">
        <v>3.8</v>
      </c>
      <c r="W24" s="357">
        <v>3</v>
      </c>
      <c r="X24" s="357">
        <v>3</v>
      </c>
      <c r="Y24" s="357">
        <v>3.8</v>
      </c>
      <c r="Z24" s="357">
        <v>3.8</v>
      </c>
      <c r="AA24" s="357">
        <v>3</v>
      </c>
      <c r="AB24" s="357">
        <v>3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</v>
      </c>
      <c r="U25" s="19">
        <f t="shared" si="6"/>
        <v>3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463">
        <f t="shared" si="6"/>
        <v>3.8</v>
      </c>
      <c r="AA25" s="463">
        <f t="shared" si="6"/>
        <v>3</v>
      </c>
      <c r="AB25" s="463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58.599999999999987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3.8</v>
      </c>
      <c r="O27" s="357">
        <v>3.8</v>
      </c>
      <c r="P27" s="357">
        <v>3.8</v>
      </c>
      <c r="Q27" s="357">
        <v>3.8</v>
      </c>
      <c r="R27" s="357">
        <v>3.8</v>
      </c>
      <c r="S27" s="462">
        <v>3.7</v>
      </c>
      <c r="T27" s="462">
        <v>3.8</v>
      </c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2.8</v>
      </c>
      <c r="G28" s="357">
        <v>1.8</v>
      </c>
      <c r="H28" s="357">
        <v>0</v>
      </c>
      <c r="I28" s="357">
        <v>0</v>
      </c>
      <c r="J28" s="359">
        <v>0</v>
      </c>
      <c r="K28" s="357">
        <v>0</v>
      </c>
      <c r="L28" s="359"/>
      <c r="M28" s="357"/>
      <c r="N28" s="357"/>
      <c r="O28" s="357"/>
      <c r="P28" s="357"/>
      <c r="Q28" s="357"/>
      <c r="R28" s="357"/>
      <c r="S28" s="462"/>
      <c r="T28" s="359"/>
      <c r="U28" s="359">
        <v>3.8</v>
      </c>
      <c r="V28" s="359">
        <v>3.8</v>
      </c>
      <c r="W28" s="357">
        <v>2.2999999999999998</v>
      </c>
      <c r="X28" s="357">
        <v>2</v>
      </c>
      <c r="Y28" s="357">
        <v>3.8</v>
      </c>
      <c r="Z28" s="357">
        <v>3.8</v>
      </c>
      <c r="AA28" s="357">
        <v>2.2999999999999998</v>
      </c>
      <c r="AB28" s="357">
        <v>3.2</v>
      </c>
      <c r="AC28" s="357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15</v>
      </c>
      <c r="AI28" s="159">
        <f>SUM(F29:AC30)</f>
        <v>161.60000000000002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9">
        <v>6</v>
      </c>
      <c r="H30" s="357">
        <v>6.5</v>
      </c>
      <c r="I30" s="357">
        <v>5.5</v>
      </c>
      <c r="J30" s="357">
        <v>5</v>
      </c>
      <c r="K30" s="357">
        <v>5.5</v>
      </c>
      <c r="L30" s="357">
        <v>7.2</v>
      </c>
      <c r="M30" s="357">
        <v>7</v>
      </c>
      <c r="N30" s="357">
        <v>7.1</v>
      </c>
      <c r="O30" s="357">
        <v>7.5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6.5</v>
      </c>
      <c r="Y30" s="359">
        <v>7</v>
      </c>
      <c r="Z30" s="357">
        <v>7</v>
      </c>
      <c r="AA30" s="357">
        <v>7</v>
      </c>
      <c r="AB30" s="359">
        <v>7</v>
      </c>
      <c r="AC30" s="359">
        <v>6.8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9.8000000000000007</v>
      </c>
      <c r="G31" s="19">
        <f>SUM(G27:G30)</f>
        <v>7.8</v>
      </c>
      <c r="H31" s="19">
        <v>6</v>
      </c>
      <c r="I31" s="19">
        <f t="shared" ref="I31:X31" si="8">SUM(I27:I30)</f>
        <v>5.5</v>
      </c>
      <c r="J31" s="19">
        <f t="shared" si="8"/>
        <v>5</v>
      </c>
      <c r="K31" s="19">
        <f t="shared" si="8"/>
        <v>5.5</v>
      </c>
      <c r="L31" s="19">
        <f t="shared" si="8"/>
        <v>7.2</v>
      </c>
      <c r="M31" s="19">
        <f t="shared" si="8"/>
        <v>7</v>
      </c>
      <c r="N31" s="19">
        <f t="shared" si="8"/>
        <v>10.899999999999999</v>
      </c>
      <c r="O31" s="19">
        <f t="shared" si="8"/>
        <v>11.3</v>
      </c>
      <c r="P31" s="19">
        <f t="shared" si="8"/>
        <v>10.8</v>
      </c>
      <c r="Q31" s="19">
        <f t="shared" si="8"/>
        <v>10.8</v>
      </c>
      <c r="R31" s="19">
        <f t="shared" si="8"/>
        <v>10.8</v>
      </c>
      <c r="S31" s="463">
        <f t="shared" si="8"/>
        <v>10.7</v>
      </c>
      <c r="T31" s="463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9.3000000000000007</v>
      </c>
      <c r="X31" s="19">
        <f t="shared" si="8"/>
        <v>8.5</v>
      </c>
      <c r="Y31" s="19">
        <f>SUM(Y27:Y30)</f>
        <v>10.8</v>
      </c>
      <c r="Z31" s="19">
        <f t="shared" ref="Z31:AC31" si="9">SUM(Z27:Z30)</f>
        <v>10.8</v>
      </c>
      <c r="AA31" s="19">
        <f t="shared" si="9"/>
        <v>9.3000000000000007</v>
      </c>
      <c r="AB31" s="19">
        <f t="shared" si="9"/>
        <v>10.199999999999999</v>
      </c>
      <c r="AC31" s="19">
        <f t="shared" si="9"/>
        <v>9.3000000000000007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342.28999999999996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</v>
      </c>
      <c r="G33" s="357">
        <v>14.29</v>
      </c>
      <c r="H33" s="357">
        <v>14.28</v>
      </c>
      <c r="I33" s="359">
        <v>14.31</v>
      </c>
      <c r="J33" s="357">
        <v>14.32</v>
      </c>
      <c r="K33" s="357">
        <v>14.26</v>
      </c>
      <c r="L33" s="359">
        <v>14.3</v>
      </c>
      <c r="M33" s="357">
        <v>14.25</v>
      </c>
      <c r="N33" s="357">
        <v>14.3</v>
      </c>
      <c r="O33" s="357">
        <v>14.19</v>
      </c>
      <c r="P33" s="357">
        <v>14.18</v>
      </c>
      <c r="Q33" s="359">
        <v>14.23</v>
      </c>
      <c r="R33" s="357">
        <v>14.21</v>
      </c>
      <c r="S33" s="462">
        <v>14.24</v>
      </c>
      <c r="T33" s="462">
        <v>14.27</v>
      </c>
      <c r="U33" s="357">
        <v>14.25</v>
      </c>
      <c r="V33" s="359">
        <v>14.23</v>
      </c>
      <c r="W33" s="357">
        <v>14.24</v>
      </c>
      <c r="X33" s="357">
        <v>14.28</v>
      </c>
      <c r="Y33" s="357">
        <v>14.26</v>
      </c>
      <c r="Z33" s="357">
        <v>14.27</v>
      </c>
      <c r="AA33" s="357">
        <v>14.26</v>
      </c>
      <c r="AB33" s="357">
        <v>14.29</v>
      </c>
      <c r="AC33" s="357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</v>
      </c>
      <c r="G34" s="19">
        <f t="shared" ref="G34:AC34" si="11">SUM(G33)</f>
        <v>14.29</v>
      </c>
      <c r="H34" s="19">
        <f t="shared" si="11"/>
        <v>14.28</v>
      </c>
      <c r="I34" s="19">
        <f t="shared" si="11"/>
        <v>14.31</v>
      </c>
      <c r="J34" s="19">
        <f t="shared" si="11"/>
        <v>14.32</v>
      </c>
      <c r="K34" s="19">
        <f t="shared" si="11"/>
        <v>14.26</v>
      </c>
      <c r="L34" s="19">
        <f t="shared" si="11"/>
        <v>14.3</v>
      </c>
      <c r="M34" s="19">
        <f t="shared" si="11"/>
        <v>14.25</v>
      </c>
      <c r="N34" s="19">
        <f t="shared" si="11"/>
        <v>14.3</v>
      </c>
      <c r="O34" s="19">
        <f t="shared" si="11"/>
        <v>14.19</v>
      </c>
      <c r="P34" s="19">
        <f t="shared" si="11"/>
        <v>14.18</v>
      </c>
      <c r="Q34" s="19">
        <f t="shared" si="11"/>
        <v>14.23</v>
      </c>
      <c r="R34" s="19">
        <f t="shared" si="11"/>
        <v>14.21</v>
      </c>
      <c r="S34" s="19">
        <f t="shared" si="11"/>
        <v>14.24</v>
      </c>
      <c r="T34" s="463">
        <f t="shared" si="11"/>
        <v>14.27</v>
      </c>
      <c r="U34" s="19">
        <f t="shared" si="11"/>
        <v>14.25</v>
      </c>
      <c r="V34" s="19">
        <f t="shared" si="11"/>
        <v>14.23</v>
      </c>
      <c r="W34" s="19">
        <f t="shared" si="11"/>
        <v>14.24</v>
      </c>
      <c r="X34" s="19">
        <f t="shared" si="11"/>
        <v>14.28</v>
      </c>
      <c r="Y34" s="19">
        <f t="shared" si="11"/>
        <v>14.26</v>
      </c>
      <c r="Z34" s="19">
        <f t="shared" si="11"/>
        <v>14.27</v>
      </c>
      <c r="AA34" s="19">
        <f t="shared" si="11"/>
        <v>14.26</v>
      </c>
      <c r="AB34" s="19">
        <f t="shared" si="11"/>
        <v>14.29</v>
      </c>
      <c r="AC34" s="19">
        <f t="shared" si="11"/>
        <v>14.28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9.9400000000000013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>
        <v>0.64</v>
      </c>
      <c r="P40" s="359"/>
      <c r="Q40" s="357"/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0.75</v>
      </c>
      <c r="P47" s="359"/>
      <c r="Q47" s="357">
        <v>0.75</v>
      </c>
      <c r="R47" s="357"/>
      <c r="S47" s="462"/>
      <c r="T47" s="462"/>
      <c r="U47" s="462"/>
      <c r="V47" s="462"/>
      <c r="W47" s="357"/>
      <c r="X47" s="357"/>
      <c r="Y47" s="357">
        <v>0.8</v>
      </c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3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7">
        <v>0.75</v>
      </c>
      <c r="P48" s="359"/>
      <c r="Q48" s="357"/>
      <c r="R48" s="357"/>
      <c r="S48" s="462"/>
      <c r="T48" s="462"/>
      <c r="U48" s="462"/>
      <c r="V48" s="462"/>
      <c r="W48" s="357"/>
      <c r="X48" s="357"/>
      <c r="Y48" s="357">
        <v>0.8</v>
      </c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 t="s">
        <v>9</v>
      </c>
      <c r="G50" s="357" t="s">
        <v>9</v>
      </c>
      <c r="H50" s="357" t="s">
        <v>9</v>
      </c>
      <c r="I50" s="357" t="s">
        <v>9</v>
      </c>
      <c r="J50" s="357" t="s">
        <v>9</v>
      </c>
      <c r="K50" s="357" t="s">
        <v>9</v>
      </c>
      <c r="L50" s="359" t="s">
        <v>9</v>
      </c>
      <c r="M50" s="359" t="s">
        <v>9</v>
      </c>
      <c r="N50" s="359" t="s">
        <v>9</v>
      </c>
      <c r="O50" s="359" t="s">
        <v>9</v>
      </c>
      <c r="P50" s="359" t="s">
        <v>9</v>
      </c>
      <c r="Q50" s="357" t="s">
        <v>9</v>
      </c>
      <c r="R50" s="357" t="s">
        <v>9</v>
      </c>
      <c r="S50" s="462" t="s">
        <v>9</v>
      </c>
      <c r="T50" s="357" t="s">
        <v>9</v>
      </c>
      <c r="U50" s="462" t="s">
        <v>9</v>
      </c>
      <c r="V50" s="462" t="s">
        <v>9</v>
      </c>
      <c r="W50" s="357" t="s">
        <v>9</v>
      </c>
      <c r="X50" s="357" t="s">
        <v>9</v>
      </c>
      <c r="Y50" s="357" t="s">
        <v>9</v>
      </c>
      <c r="Z50" s="357" t="s">
        <v>9</v>
      </c>
      <c r="AA50" s="357" t="s">
        <v>9</v>
      </c>
      <c r="AB50" s="357" t="s">
        <v>9</v>
      </c>
      <c r="AC50" s="357" t="s">
        <v>9</v>
      </c>
      <c r="AD50" s="41"/>
      <c r="AE50" s="41"/>
      <c r="AF50" s="11">
        <f t="shared" si="12"/>
        <v>24</v>
      </c>
      <c r="AG50" s="11">
        <f t="shared" si="13"/>
        <v>0</v>
      </c>
      <c r="AH50" s="11">
        <f t="shared" si="14"/>
        <v>0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>
        <v>0.75</v>
      </c>
      <c r="P51" s="359"/>
      <c r="Q51" s="357">
        <v>0.75</v>
      </c>
      <c r="R51" s="357"/>
      <c r="S51" s="462"/>
      <c r="T51" s="462"/>
      <c r="U51" s="462"/>
      <c r="V51" s="462"/>
      <c r="W51" s="357"/>
      <c r="X51" s="357"/>
      <c r="Y51" s="357">
        <v>0.8</v>
      </c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3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>
        <v>0.8</v>
      </c>
      <c r="N56" s="359"/>
      <c r="O56" s="357">
        <v>0.75</v>
      </c>
      <c r="P56" s="359"/>
      <c r="Q56" s="357"/>
      <c r="R56" s="357">
        <v>0.8</v>
      </c>
      <c r="S56" s="462"/>
      <c r="T56" s="462"/>
      <c r="U56" s="462"/>
      <c r="V56" s="462"/>
      <c r="W56" s="357"/>
      <c r="X56" s="357"/>
      <c r="Y56" s="357">
        <v>0.8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4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0.8</v>
      </c>
      <c r="N60" s="19">
        <f t="shared" si="16"/>
        <v>0</v>
      </c>
      <c r="O60" s="19">
        <f t="shared" si="16"/>
        <v>3.64</v>
      </c>
      <c r="P60" s="19">
        <f t="shared" si="16"/>
        <v>0</v>
      </c>
      <c r="Q60" s="19">
        <f t="shared" si="16"/>
        <v>1.5</v>
      </c>
      <c r="R60" s="19">
        <f t="shared" si="16"/>
        <v>0.8</v>
      </c>
      <c r="S60" s="19">
        <f t="shared" si="16"/>
        <v>0</v>
      </c>
      <c r="T60" s="19">
        <f t="shared" si="16"/>
        <v>0</v>
      </c>
      <c r="U60" s="19">
        <f t="shared" si="16"/>
        <v>0</v>
      </c>
      <c r="V60" s="19">
        <f t="shared" si="16"/>
        <v>0</v>
      </c>
      <c r="W60" s="19">
        <f t="shared" si="16"/>
        <v>0</v>
      </c>
      <c r="X60" s="19">
        <f t="shared" si="16"/>
        <v>0</v>
      </c>
      <c r="Y60" s="19">
        <f t="shared" si="16"/>
        <v>3.2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26.679999999999996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0.87/2</f>
        <v>0.435</v>
      </c>
      <c r="G62" s="357"/>
      <c r="H62" s="357"/>
      <c r="I62" s="359"/>
      <c r="J62" s="357"/>
      <c r="K62" s="357"/>
      <c r="L62" s="357">
        <v>0.45</v>
      </c>
      <c r="M62" s="357">
        <v>0.52</v>
      </c>
      <c r="N62" s="357">
        <v>0.53</v>
      </c>
      <c r="O62" s="357">
        <f>1.11/2</f>
        <v>0.55500000000000005</v>
      </c>
      <c r="P62" s="357">
        <v>0.56999999999999995</v>
      </c>
      <c r="Q62" s="357">
        <v>0.58499999999999996</v>
      </c>
      <c r="R62" s="357">
        <v>0.61</v>
      </c>
      <c r="S62" s="462">
        <v>0.59499999999999997</v>
      </c>
      <c r="T62" s="357">
        <v>0.61499999999999999</v>
      </c>
      <c r="U62" s="357">
        <v>0.61</v>
      </c>
      <c r="V62" s="462">
        <v>0.59499999999999997</v>
      </c>
      <c r="W62" s="357">
        <v>0.61</v>
      </c>
      <c r="X62" s="357">
        <f>1.2/2</f>
        <v>0.6</v>
      </c>
      <c r="Y62" s="357">
        <v>0</v>
      </c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f>0.87/2</f>
        <v>0.435</v>
      </c>
      <c r="G63" s="357">
        <f>0.84/2</f>
        <v>0.42</v>
      </c>
      <c r="H63" s="357">
        <f>0.83/2</f>
        <v>0.41499999999999998</v>
      </c>
      <c r="I63" s="359">
        <f>0.8/2</f>
        <v>0.4</v>
      </c>
      <c r="J63" s="357">
        <f>0.79/2</f>
        <v>0.39500000000000002</v>
      </c>
      <c r="K63" s="357">
        <f>0.82/2</f>
        <v>0.41</v>
      </c>
      <c r="L63" s="357"/>
      <c r="M63" s="357"/>
      <c r="N63" s="357"/>
      <c r="O63" s="357"/>
      <c r="P63" s="357"/>
      <c r="Q63" s="357"/>
      <c r="R63" s="357"/>
      <c r="S63" s="462">
        <v>0.59499999999999997</v>
      </c>
      <c r="T63" s="357">
        <v>0.61499999999999999</v>
      </c>
      <c r="U63" s="357">
        <v>0.61</v>
      </c>
      <c r="V63" s="462">
        <v>0.59499999999999997</v>
      </c>
      <c r="W63" s="357">
        <v>0.61</v>
      </c>
      <c r="X63" s="357">
        <f>1.2/2</f>
        <v>0.6</v>
      </c>
      <c r="Y63" s="357">
        <f>1.44/2</f>
        <v>0.72</v>
      </c>
      <c r="Z63" s="357">
        <f>1.52/2</f>
        <v>0.76</v>
      </c>
      <c r="AA63" s="357">
        <f>1.41/2</f>
        <v>0.70499999999999996</v>
      </c>
      <c r="AB63" s="357">
        <f>1.29/2</f>
        <v>0.64500000000000002</v>
      </c>
      <c r="AC63" s="357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>
        <f>0.84/2</f>
        <v>0.42</v>
      </c>
      <c r="H64" s="357">
        <f>0.83/2</f>
        <v>0.41499999999999998</v>
      </c>
      <c r="I64" s="359">
        <f>0.8/2</f>
        <v>0.4</v>
      </c>
      <c r="J64" s="357">
        <f>0.79/2</f>
        <v>0.39500000000000002</v>
      </c>
      <c r="K64" s="357">
        <f>0.82/2</f>
        <v>0.41</v>
      </c>
      <c r="L64" s="357">
        <v>0.45</v>
      </c>
      <c r="M64" s="357">
        <v>0.52</v>
      </c>
      <c r="N64" s="357">
        <v>0.53</v>
      </c>
      <c r="O64" s="357">
        <f>1.11/2</f>
        <v>0.55500000000000005</v>
      </c>
      <c r="P64" s="357">
        <v>0.56999999999999995</v>
      </c>
      <c r="Q64" s="357">
        <v>0.58499999999999996</v>
      </c>
      <c r="R64" s="357">
        <v>0.61</v>
      </c>
      <c r="S64" s="462"/>
      <c r="T64" s="357"/>
      <c r="U64" s="357"/>
      <c r="V64" s="462"/>
      <c r="W64" s="357"/>
      <c r="X64" s="357"/>
      <c r="Y64" s="357">
        <v>0.72</v>
      </c>
      <c r="Z64" s="357">
        <f>1.52/2</f>
        <v>0.76</v>
      </c>
      <c r="AA64" s="357">
        <f>1.41/2</f>
        <v>0.70499999999999996</v>
      </c>
      <c r="AB64" s="357">
        <f>1.29/2</f>
        <v>0.64500000000000002</v>
      </c>
      <c r="AC64" s="357">
        <f>1.18/2</f>
        <v>0.59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0.87</v>
      </c>
      <c r="G65" s="19">
        <f t="shared" ref="G65:X65" si="17">SUM(G62:G64)</f>
        <v>0.84</v>
      </c>
      <c r="H65" s="19">
        <f t="shared" si="17"/>
        <v>0.83</v>
      </c>
      <c r="I65" s="19">
        <f t="shared" si="17"/>
        <v>0.8</v>
      </c>
      <c r="J65" s="19">
        <f t="shared" si="17"/>
        <v>0.79</v>
      </c>
      <c r="K65" s="19">
        <f t="shared" si="17"/>
        <v>0.82</v>
      </c>
      <c r="L65" s="19">
        <f t="shared" si="17"/>
        <v>0.9</v>
      </c>
      <c r="M65" s="19">
        <f t="shared" si="17"/>
        <v>1.04</v>
      </c>
      <c r="N65" s="19">
        <f t="shared" si="17"/>
        <v>1.06</v>
      </c>
      <c r="O65" s="19">
        <f t="shared" si="17"/>
        <v>1.1100000000000001</v>
      </c>
      <c r="P65" s="19">
        <f t="shared" si="17"/>
        <v>1.1399999999999999</v>
      </c>
      <c r="Q65" s="19">
        <f t="shared" si="17"/>
        <v>1.17</v>
      </c>
      <c r="R65" s="19">
        <f t="shared" si="17"/>
        <v>1.22</v>
      </c>
      <c r="S65" s="463">
        <f t="shared" si="17"/>
        <v>1.19</v>
      </c>
      <c r="T65" s="463">
        <f t="shared" si="17"/>
        <v>1.23</v>
      </c>
      <c r="U65" s="463">
        <f t="shared" si="17"/>
        <v>1.22</v>
      </c>
      <c r="V65" s="19">
        <f>SUM(V62:V64)</f>
        <v>1.19</v>
      </c>
      <c r="W65" s="19">
        <f t="shared" si="17"/>
        <v>1.22</v>
      </c>
      <c r="X65" s="19">
        <f t="shared" si="17"/>
        <v>1.2</v>
      </c>
      <c r="Y65" s="19">
        <f>SUM(Y62:Y64)</f>
        <v>1.44</v>
      </c>
      <c r="Z65" s="19">
        <f>SUM(Z62:Z64)</f>
        <v>1.52</v>
      </c>
      <c r="AA65" s="19">
        <f>SUM(AA62:AA64)</f>
        <v>1.41</v>
      </c>
      <c r="AB65" s="19">
        <f>SUM(AB62:AB64)</f>
        <v>1.29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63">
        <f t="shared" si="22"/>
        <v>0</v>
      </c>
      <c r="T76" s="463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18.280000000000005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</v>
      </c>
      <c r="N78" s="357">
        <v>0.71</v>
      </c>
      <c r="O78" s="357">
        <v>0.73</v>
      </c>
      <c r="P78" s="357">
        <v>0.77</v>
      </c>
      <c r="Q78" s="357">
        <v>0.79</v>
      </c>
      <c r="R78" s="357">
        <v>0.79</v>
      </c>
      <c r="S78" s="357">
        <v>0.8</v>
      </c>
      <c r="T78" s="357">
        <v>0.78</v>
      </c>
      <c r="U78" s="357">
        <v>0.79</v>
      </c>
      <c r="V78" s="357">
        <v>0.78</v>
      </c>
      <c r="W78" s="357">
        <v>0.8</v>
      </c>
      <c r="X78" s="357"/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0.71</v>
      </c>
      <c r="G79" s="357">
        <v>0.67</v>
      </c>
      <c r="H79" s="357">
        <v>0.65</v>
      </c>
      <c r="I79" s="357">
        <v>0.64</v>
      </c>
      <c r="J79" s="357">
        <v>0.63</v>
      </c>
      <c r="K79" s="357">
        <v>0.64</v>
      </c>
      <c r="L79" s="359">
        <v>0.68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>
        <v>0.79</v>
      </c>
      <c r="Y79" s="357">
        <v>0.91</v>
      </c>
      <c r="Z79" s="357">
        <v>0.94</v>
      </c>
      <c r="AA79" s="357">
        <v>0.92</v>
      </c>
      <c r="AB79" s="357">
        <v>0.86</v>
      </c>
      <c r="AC79" s="357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0.71</v>
      </c>
      <c r="G80" s="19">
        <f t="shared" ref="G80" si="24">SUM(G78:G79)</f>
        <v>0.67</v>
      </c>
      <c r="H80" s="19">
        <f>SUM(H78:H79)</f>
        <v>0.65</v>
      </c>
      <c r="I80" s="19">
        <f>SUM(I78:I79)</f>
        <v>0.64</v>
      </c>
      <c r="J80" s="19">
        <f t="shared" ref="J80:AC80" si="25">SUM(J78:J79)</f>
        <v>0.63</v>
      </c>
      <c r="K80" s="19">
        <f t="shared" si="25"/>
        <v>0.64</v>
      </c>
      <c r="L80" s="19">
        <f>SUM(L78:L79)</f>
        <v>0.68</v>
      </c>
      <c r="M80" s="19">
        <f t="shared" si="25"/>
        <v>0.7</v>
      </c>
      <c r="N80" s="19">
        <f t="shared" si="25"/>
        <v>0.71</v>
      </c>
      <c r="O80" s="19">
        <f>SUM(O78:O79)</f>
        <v>0.73</v>
      </c>
      <c r="P80" s="19">
        <f>SUM(P78:P79)</f>
        <v>0.77</v>
      </c>
      <c r="Q80" s="19">
        <f t="shared" si="25"/>
        <v>0.79</v>
      </c>
      <c r="R80" s="19">
        <f t="shared" si="25"/>
        <v>0.79</v>
      </c>
      <c r="S80" s="463">
        <f t="shared" si="25"/>
        <v>0.8</v>
      </c>
      <c r="T80" s="463">
        <f t="shared" si="25"/>
        <v>0.78</v>
      </c>
      <c r="U80" s="19">
        <f t="shared" si="25"/>
        <v>0.79</v>
      </c>
      <c r="V80" s="19">
        <f t="shared" si="25"/>
        <v>0.78</v>
      </c>
      <c r="W80" s="19">
        <f t="shared" si="25"/>
        <v>0.8</v>
      </c>
      <c r="X80" s="19">
        <f t="shared" si="25"/>
        <v>0.79</v>
      </c>
      <c r="Y80" s="19">
        <f t="shared" si="25"/>
        <v>0.91</v>
      </c>
      <c r="Z80" s="19">
        <f t="shared" si="25"/>
        <v>0.94</v>
      </c>
      <c r="AA80" s="19">
        <f t="shared" si="25"/>
        <v>0.92</v>
      </c>
      <c r="AB80" s="19">
        <f t="shared" si="25"/>
        <v>0.86</v>
      </c>
      <c r="AC80" s="19">
        <f t="shared" si="25"/>
        <v>0.8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6">SUM(F17,F22,F25,F31,F34,F60,F65,F76,F80,F82)</f>
        <v>38.879999999999995</v>
      </c>
      <c r="G83" s="28">
        <f t="shared" si="26"/>
        <v>36.800000000000004</v>
      </c>
      <c r="H83" s="28">
        <f t="shared" si="26"/>
        <v>34.959999999999994</v>
      </c>
      <c r="I83" s="28">
        <f t="shared" si="26"/>
        <v>34.449999999999996</v>
      </c>
      <c r="J83" s="28">
        <f t="shared" si="26"/>
        <v>33.840000000000003</v>
      </c>
      <c r="K83" s="28">
        <f t="shared" si="26"/>
        <v>34.42</v>
      </c>
      <c r="L83" s="28">
        <f t="shared" si="26"/>
        <v>36.68</v>
      </c>
      <c r="M83" s="28">
        <f t="shared" si="26"/>
        <v>37.19</v>
      </c>
      <c r="N83" s="28">
        <f t="shared" si="26"/>
        <v>40.67</v>
      </c>
      <c r="O83" s="28">
        <f t="shared" si="26"/>
        <v>46.37</v>
      </c>
      <c r="P83" s="28">
        <f t="shared" si="26"/>
        <v>49.490000000000009</v>
      </c>
      <c r="Q83" s="28">
        <f t="shared" si="26"/>
        <v>51.690000000000005</v>
      </c>
      <c r="R83" s="28">
        <f t="shared" si="26"/>
        <v>53.82</v>
      </c>
      <c r="S83" s="518">
        <f t="shared" si="26"/>
        <v>53.23</v>
      </c>
      <c r="T83" s="518">
        <f t="shared" si="26"/>
        <v>52.879999999999988</v>
      </c>
      <c r="U83" s="518">
        <f t="shared" si="26"/>
        <v>52.859999999999992</v>
      </c>
      <c r="V83" s="28">
        <f t="shared" si="26"/>
        <v>53.900000000000006</v>
      </c>
      <c r="W83" s="28">
        <f t="shared" si="26"/>
        <v>50.76</v>
      </c>
      <c r="X83" s="28">
        <f t="shared" si="26"/>
        <v>50.67</v>
      </c>
      <c r="Y83" s="28">
        <f t="shared" si="26"/>
        <v>57.809999999999995</v>
      </c>
      <c r="Z83" s="28">
        <f t="shared" si="26"/>
        <v>54.73</v>
      </c>
      <c r="AA83" s="28">
        <f t="shared" si="26"/>
        <v>51.689999999999991</v>
      </c>
      <c r="AB83" s="28">
        <f t="shared" si="26"/>
        <v>46.639999999999993</v>
      </c>
      <c r="AC83" s="28">
        <f t="shared" si="26"/>
        <v>44.559999999999995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7.1399999999999935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1.5</v>
      </c>
      <c r="P89" s="64">
        <f t="shared" si="27"/>
        <v>8.8000000000000007</v>
      </c>
      <c r="Q89" s="64">
        <f t="shared" si="27"/>
        <v>9.8999999999999986</v>
      </c>
      <c r="R89" s="64">
        <f t="shared" si="27"/>
        <v>9.8999999999999986</v>
      </c>
      <c r="S89" s="64">
        <f t="shared" si="27"/>
        <v>6.8</v>
      </c>
      <c r="T89" s="64">
        <f t="shared" si="27"/>
        <v>6</v>
      </c>
      <c r="U89" s="64">
        <f t="shared" si="27"/>
        <v>6</v>
      </c>
      <c r="V89" s="64">
        <f t="shared" si="27"/>
        <v>6.8</v>
      </c>
      <c r="W89" s="64">
        <f t="shared" si="27"/>
        <v>6</v>
      </c>
      <c r="X89" s="64">
        <f t="shared" si="27"/>
        <v>6.1</v>
      </c>
      <c r="Y89" s="64">
        <f t="shared" si="27"/>
        <v>7.1</v>
      </c>
      <c r="Z89" s="64">
        <f t="shared" si="27"/>
        <v>7.1</v>
      </c>
      <c r="AA89" s="64">
        <f t="shared" si="27"/>
        <v>6</v>
      </c>
      <c r="AB89" s="64">
        <f t="shared" si="27"/>
        <v>8.5</v>
      </c>
      <c r="AC89" s="64">
        <f t="shared" si="27"/>
        <v>5.6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0.27300000000000002</v>
      </c>
      <c r="Q90" s="68">
        <v>0.254</v>
      </c>
      <c r="R90" s="68">
        <v>0.248</v>
      </c>
      <c r="S90" s="68">
        <v>0.20300000000000001</v>
      </c>
      <c r="T90" s="68">
        <v>0.22900000000000001</v>
      </c>
      <c r="U90" s="68">
        <v>0.21299999999999999</v>
      </c>
      <c r="V90" s="68">
        <v>0.28699999999999998</v>
      </c>
      <c r="W90" s="68">
        <v>0.222</v>
      </c>
      <c r="X90" s="68">
        <v>0.224</v>
      </c>
      <c r="Y90" s="68">
        <v>0.20599999999999999</v>
      </c>
      <c r="Z90" s="68">
        <v>0.27100000000000002</v>
      </c>
      <c r="AA90" s="68">
        <v>0.188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8">F17</f>
        <v>13.2</v>
      </c>
      <c r="G91" s="64">
        <f t="shared" si="28"/>
        <v>13.2</v>
      </c>
      <c r="H91" s="64">
        <f t="shared" si="28"/>
        <v>13.2</v>
      </c>
      <c r="I91" s="64">
        <f t="shared" si="28"/>
        <v>13.2</v>
      </c>
      <c r="J91" s="64">
        <f t="shared" si="28"/>
        <v>13.1</v>
      </c>
      <c r="K91" s="64">
        <f t="shared" si="28"/>
        <v>13.2</v>
      </c>
      <c r="L91" s="64">
        <f t="shared" si="28"/>
        <v>13.600000000000001</v>
      </c>
      <c r="M91" s="64">
        <f t="shared" si="28"/>
        <v>13.4</v>
      </c>
      <c r="N91" s="64">
        <f t="shared" si="28"/>
        <v>13.7</v>
      </c>
      <c r="O91" s="64">
        <f t="shared" si="28"/>
        <v>13.9</v>
      </c>
      <c r="P91" s="64">
        <f t="shared" si="28"/>
        <v>13.8</v>
      </c>
      <c r="Q91" s="64">
        <f t="shared" si="28"/>
        <v>13.3</v>
      </c>
      <c r="R91" s="64">
        <f t="shared" si="28"/>
        <v>16.100000000000001</v>
      </c>
      <c r="S91" s="64">
        <f t="shared" si="28"/>
        <v>19.5</v>
      </c>
      <c r="T91" s="64">
        <f t="shared" si="28"/>
        <v>19.799999999999997</v>
      </c>
      <c r="U91" s="64">
        <f t="shared" si="28"/>
        <v>19.799999999999997</v>
      </c>
      <c r="V91" s="64">
        <f t="shared" si="28"/>
        <v>20.100000000000001</v>
      </c>
      <c r="W91" s="64">
        <f t="shared" si="28"/>
        <v>19.200000000000003</v>
      </c>
      <c r="X91" s="64">
        <f t="shared" si="28"/>
        <v>19.799999999999997</v>
      </c>
      <c r="Y91" s="64">
        <f t="shared" si="28"/>
        <v>20.100000000000001</v>
      </c>
      <c r="Z91" s="64">
        <f t="shared" si="28"/>
        <v>20.100000000000001</v>
      </c>
      <c r="AA91" s="64">
        <f t="shared" si="28"/>
        <v>19.799999999999997</v>
      </c>
      <c r="AB91" s="64">
        <f t="shared" si="28"/>
        <v>11.5</v>
      </c>
      <c r="AC91" s="64">
        <f t="shared" si="28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0.52100000000000002</v>
      </c>
      <c r="G92" s="68">
        <v>0.46500000000000002</v>
      </c>
      <c r="H92" s="68">
        <v>0.53500000000000003</v>
      </c>
      <c r="I92" s="68">
        <v>0.59</v>
      </c>
      <c r="J92" s="68">
        <v>0.624</v>
      </c>
      <c r="K92" s="68">
        <v>0.57999999999999996</v>
      </c>
      <c r="L92" s="68">
        <v>0.61799999999999999</v>
      </c>
      <c r="M92" s="68">
        <v>0.53800000000000003</v>
      </c>
      <c r="N92" s="68">
        <v>0.70799999999999996</v>
      </c>
      <c r="O92" s="68">
        <v>0.56000000000000005</v>
      </c>
      <c r="P92" s="68">
        <v>0.67700000000000005</v>
      </c>
      <c r="Q92" s="68">
        <v>0.63400000000000001</v>
      </c>
      <c r="R92" s="68">
        <v>0.67600000000000005</v>
      </c>
      <c r="S92" s="68">
        <v>0.78600000000000003</v>
      </c>
      <c r="T92" s="68">
        <v>0.89800000000000002</v>
      </c>
      <c r="U92" s="68">
        <v>0.80600000000000005</v>
      </c>
      <c r="V92" s="68">
        <v>0.81200000000000006</v>
      </c>
      <c r="W92" s="68">
        <v>0.58799999999999997</v>
      </c>
      <c r="X92" s="68">
        <v>0.58299999999999996</v>
      </c>
      <c r="Y92" s="68">
        <v>0.58699999999999997</v>
      </c>
      <c r="Z92" s="68">
        <v>0.80300000000000005</v>
      </c>
      <c r="AA92" s="68">
        <v>0.72899999999999998</v>
      </c>
      <c r="AB92" s="68">
        <v>0.51300000000000001</v>
      </c>
      <c r="AC92" s="68">
        <v>0.59499999999999997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9">F31</f>
        <v>9.8000000000000007</v>
      </c>
      <c r="G93" s="65">
        <f t="shared" si="29"/>
        <v>7.8</v>
      </c>
      <c r="H93" s="65">
        <f t="shared" si="29"/>
        <v>6</v>
      </c>
      <c r="I93" s="65">
        <f t="shared" si="29"/>
        <v>5.5</v>
      </c>
      <c r="J93" s="65">
        <f t="shared" si="29"/>
        <v>5</v>
      </c>
      <c r="K93" s="65">
        <f t="shared" si="29"/>
        <v>5.5</v>
      </c>
      <c r="L93" s="65">
        <f t="shared" si="29"/>
        <v>7.2</v>
      </c>
      <c r="M93" s="65">
        <f t="shared" si="29"/>
        <v>7</v>
      </c>
      <c r="N93" s="65">
        <f t="shared" si="29"/>
        <v>10.899999999999999</v>
      </c>
      <c r="O93" s="65">
        <f t="shared" si="29"/>
        <v>11.3</v>
      </c>
      <c r="P93" s="65">
        <f t="shared" si="29"/>
        <v>10.8</v>
      </c>
      <c r="Q93" s="65">
        <f t="shared" si="29"/>
        <v>10.8</v>
      </c>
      <c r="R93" s="65">
        <f t="shared" si="29"/>
        <v>10.8</v>
      </c>
      <c r="S93" s="65">
        <f t="shared" si="29"/>
        <v>10.7</v>
      </c>
      <c r="T93" s="65">
        <f t="shared" si="29"/>
        <v>10.8</v>
      </c>
      <c r="U93" s="65">
        <f t="shared" si="29"/>
        <v>10.8</v>
      </c>
      <c r="V93" s="65">
        <f t="shared" si="29"/>
        <v>10.8</v>
      </c>
      <c r="W93" s="65">
        <f t="shared" si="29"/>
        <v>9.3000000000000007</v>
      </c>
      <c r="X93" s="65">
        <f t="shared" si="29"/>
        <v>8.5</v>
      </c>
      <c r="Y93" s="65">
        <f t="shared" si="29"/>
        <v>10.8</v>
      </c>
      <c r="Z93" s="65">
        <f t="shared" si="29"/>
        <v>10.8</v>
      </c>
      <c r="AA93" s="65">
        <f t="shared" si="29"/>
        <v>9.3000000000000007</v>
      </c>
      <c r="AB93" s="65">
        <f t="shared" si="29"/>
        <v>10.199999999999999</v>
      </c>
      <c r="AC93" s="65">
        <f t="shared" si="29"/>
        <v>9.3000000000000007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0.193</v>
      </c>
      <c r="G94" s="68">
        <v>0.192</v>
      </c>
      <c r="H94" s="68">
        <v>0.155</v>
      </c>
      <c r="I94" s="68">
        <v>9.2999999999999999E-2</v>
      </c>
      <c r="J94" s="68">
        <v>0.09</v>
      </c>
      <c r="K94" s="68">
        <v>0.1</v>
      </c>
      <c r="L94" s="68">
        <v>9.1999999999999998E-2</v>
      </c>
      <c r="M94" s="68">
        <v>9.1999999999999998E-2</v>
      </c>
      <c r="N94" s="68">
        <v>0.19400000000000001</v>
      </c>
      <c r="O94" s="68">
        <v>0.17199999999999999</v>
      </c>
      <c r="P94" s="68">
        <v>0.16800000000000001</v>
      </c>
      <c r="Q94" s="68">
        <v>0.17499999999999999</v>
      </c>
      <c r="R94" s="68">
        <v>0.183</v>
      </c>
      <c r="S94" s="68">
        <v>0.20599999999999999</v>
      </c>
      <c r="T94" s="68">
        <v>0.26</v>
      </c>
      <c r="U94" s="68">
        <v>0.17100000000000001</v>
      </c>
      <c r="V94" s="68">
        <v>0.17</v>
      </c>
      <c r="W94" s="68">
        <v>0.20300000000000001</v>
      </c>
      <c r="X94" s="68">
        <v>0.17599999999999999</v>
      </c>
      <c r="Y94" s="68">
        <v>0.183</v>
      </c>
      <c r="Z94" s="68">
        <v>0.16300000000000001</v>
      </c>
      <c r="AA94" s="68">
        <v>0.155</v>
      </c>
      <c r="AB94" s="68">
        <v>0.16800000000000001</v>
      </c>
      <c r="AC94" s="68">
        <v>0.16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0.20399999999999999</v>
      </c>
      <c r="G95" s="68">
        <v>0.20699999999999999</v>
      </c>
      <c r="H95" s="68">
        <v>0.20100000000000001</v>
      </c>
      <c r="I95" s="68">
        <v>0.2</v>
      </c>
      <c r="J95" s="68">
        <v>0.20399999999999999</v>
      </c>
      <c r="K95" s="68">
        <v>0.21099999999999999</v>
      </c>
      <c r="L95" s="68">
        <v>0.20599999999999999</v>
      </c>
      <c r="M95" s="68">
        <v>0.20799999999999999</v>
      </c>
      <c r="N95" s="68">
        <v>0.21199999999999999</v>
      </c>
      <c r="O95" s="68">
        <v>0.21</v>
      </c>
      <c r="P95" s="68">
        <v>0.21</v>
      </c>
      <c r="Q95" s="68">
        <v>0.22</v>
      </c>
      <c r="R95" s="68">
        <v>0.22</v>
      </c>
      <c r="S95" s="68">
        <v>0.22</v>
      </c>
      <c r="T95" s="68">
        <v>0.22</v>
      </c>
      <c r="U95" s="68">
        <v>0.22</v>
      </c>
      <c r="V95" s="68">
        <v>0.23</v>
      </c>
      <c r="W95" s="68">
        <v>0.2</v>
      </c>
      <c r="X95" s="68">
        <v>0.22</v>
      </c>
      <c r="Y95" s="68">
        <v>0.22</v>
      </c>
      <c r="Z95" s="68">
        <v>0.21</v>
      </c>
      <c r="AA95" s="68">
        <v>0.22</v>
      </c>
      <c r="AB95" s="68">
        <v>0.21</v>
      </c>
      <c r="AC95" s="68">
        <v>0.21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0">F34</f>
        <v>14.3</v>
      </c>
      <c r="G96" s="65">
        <f t="shared" si="30"/>
        <v>14.29</v>
      </c>
      <c r="H96" s="65">
        <f t="shared" si="30"/>
        <v>14.28</v>
      </c>
      <c r="I96" s="65">
        <f t="shared" si="30"/>
        <v>14.31</v>
      </c>
      <c r="J96" s="65">
        <f t="shared" si="30"/>
        <v>14.32</v>
      </c>
      <c r="K96" s="65">
        <f t="shared" si="30"/>
        <v>14.26</v>
      </c>
      <c r="L96" s="65">
        <f t="shared" si="30"/>
        <v>14.3</v>
      </c>
      <c r="M96" s="65">
        <f t="shared" si="30"/>
        <v>14.25</v>
      </c>
      <c r="N96" s="65">
        <f t="shared" si="30"/>
        <v>14.3</v>
      </c>
      <c r="O96" s="65">
        <f t="shared" si="30"/>
        <v>14.19</v>
      </c>
      <c r="P96" s="65">
        <f t="shared" si="30"/>
        <v>14.18</v>
      </c>
      <c r="Q96" s="65">
        <f t="shared" si="30"/>
        <v>14.23</v>
      </c>
      <c r="R96" s="65">
        <f t="shared" si="30"/>
        <v>14.21</v>
      </c>
      <c r="S96" s="65">
        <f t="shared" si="30"/>
        <v>14.24</v>
      </c>
      <c r="T96" s="65">
        <f t="shared" si="30"/>
        <v>14.27</v>
      </c>
      <c r="U96" s="65">
        <f t="shared" si="30"/>
        <v>14.25</v>
      </c>
      <c r="V96" s="65">
        <f t="shared" si="30"/>
        <v>14.23</v>
      </c>
      <c r="W96" s="65">
        <f t="shared" si="30"/>
        <v>14.24</v>
      </c>
      <c r="X96" s="65">
        <f t="shared" si="30"/>
        <v>14.28</v>
      </c>
      <c r="Y96" s="65">
        <f t="shared" si="30"/>
        <v>14.26</v>
      </c>
      <c r="Z96" s="65">
        <f t="shared" si="30"/>
        <v>14.27</v>
      </c>
      <c r="AA96" s="65">
        <f t="shared" si="30"/>
        <v>14.26</v>
      </c>
      <c r="AB96" s="65">
        <f t="shared" si="30"/>
        <v>14.29</v>
      </c>
      <c r="AC96" s="65">
        <f t="shared" si="30"/>
        <v>14.28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</v>
      </c>
      <c r="G97" s="68">
        <v>0.71</v>
      </c>
      <c r="H97" s="68">
        <v>0.72</v>
      </c>
      <c r="I97" s="68">
        <v>0.69</v>
      </c>
      <c r="J97" s="68">
        <v>0.73</v>
      </c>
      <c r="K97" s="68">
        <v>0.74</v>
      </c>
      <c r="L97" s="68">
        <v>0.7</v>
      </c>
      <c r="M97" s="68">
        <v>0.75</v>
      </c>
      <c r="N97" s="68">
        <v>0.7</v>
      </c>
      <c r="O97" s="68">
        <v>0.81</v>
      </c>
      <c r="P97" s="68">
        <v>0.82</v>
      </c>
      <c r="Q97" s="68">
        <v>0.77</v>
      </c>
      <c r="R97" s="68">
        <v>0.79</v>
      </c>
      <c r="S97" s="68">
        <v>0.76</v>
      </c>
      <c r="T97" s="68">
        <v>0.73</v>
      </c>
      <c r="U97" s="68">
        <v>0.75</v>
      </c>
      <c r="V97" s="68">
        <v>0.77</v>
      </c>
      <c r="W97" s="68">
        <v>0.76</v>
      </c>
      <c r="X97" s="68">
        <v>0.72</v>
      </c>
      <c r="Y97" s="68">
        <v>0.74</v>
      </c>
      <c r="Z97" s="68">
        <v>0.73</v>
      </c>
      <c r="AA97" s="68">
        <v>0.74</v>
      </c>
      <c r="AB97" s="68">
        <v>0.71</v>
      </c>
      <c r="AC97" s="68">
        <v>0.72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0.8</v>
      </c>
      <c r="N98" s="64">
        <f t="shared" si="31"/>
        <v>0</v>
      </c>
      <c r="O98" s="64">
        <f t="shared" si="31"/>
        <v>3.64</v>
      </c>
      <c r="P98" s="64">
        <f t="shared" si="31"/>
        <v>0</v>
      </c>
      <c r="Q98" s="64">
        <f t="shared" si="31"/>
        <v>1.5</v>
      </c>
      <c r="R98" s="64">
        <f t="shared" si="31"/>
        <v>0.8</v>
      </c>
      <c r="S98" s="64">
        <f t="shared" si="31"/>
        <v>0</v>
      </c>
      <c r="T98" s="64">
        <f t="shared" si="31"/>
        <v>0</v>
      </c>
      <c r="U98" s="64">
        <f t="shared" si="31"/>
        <v>0</v>
      </c>
      <c r="V98" s="64">
        <f t="shared" si="31"/>
        <v>0</v>
      </c>
      <c r="W98" s="64">
        <f t="shared" si="31"/>
        <v>0</v>
      </c>
      <c r="X98" s="64">
        <f t="shared" si="31"/>
        <v>0</v>
      </c>
      <c r="Y98" s="64">
        <f t="shared" si="31"/>
        <v>3.2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2">F65</f>
        <v>0.87</v>
      </c>
      <c r="G99" s="64">
        <f t="shared" si="32"/>
        <v>0.84</v>
      </c>
      <c r="H99" s="64">
        <f t="shared" si="32"/>
        <v>0.83</v>
      </c>
      <c r="I99" s="64">
        <f t="shared" si="32"/>
        <v>0.8</v>
      </c>
      <c r="J99" s="64">
        <f t="shared" si="32"/>
        <v>0.79</v>
      </c>
      <c r="K99" s="64">
        <f t="shared" si="32"/>
        <v>0.82</v>
      </c>
      <c r="L99" s="64">
        <f t="shared" si="32"/>
        <v>0.9</v>
      </c>
      <c r="M99" s="64">
        <f t="shared" si="32"/>
        <v>1.04</v>
      </c>
      <c r="N99" s="64">
        <f t="shared" si="32"/>
        <v>1.06</v>
      </c>
      <c r="O99" s="64">
        <f t="shared" si="32"/>
        <v>1.1100000000000001</v>
      </c>
      <c r="P99" s="64">
        <f t="shared" si="32"/>
        <v>1.1399999999999999</v>
      </c>
      <c r="Q99" s="64">
        <f t="shared" si="32"/>
        <v>1.17</v>
      </c>
      <c r="R99" s="64">
        <f t="shared" si="32"/>
        <v>1.22</v>
      </c>
      <c r="S99" s="64">
        <f t="shared" si="32"/>
        <v>1.19</v>
      </c>
      <c r="T99" s="64">
        <f t="shared" si="32"/>
        <v>1.23</v>
      </c>
      <c r="U99" s="64">
        <f t="shared" si="32"/>
        <v>1.22</v>
      </c>
      <c r="V99" s="64">
        <f t="shared" si="32"/>
        <v>1.19</v>
      </c>
      <c r="W99" s="64">
        <f t="shared" si="32"/>
        <v>1.22</v>
      </c>
      <c r="X99" s="64">
        <f t="shared" si="32"/>
        <v>1.2</v>
      </c>
      <c r="Y99" s="64">
        <f t="shared" si="32"/>
        <v>1.44</v>
      </c>
      <c r="Z99" s="64">
        <f t="shared" si="32"/>
        <v>1.52</v>
      </c>
      <c r="AA99" s="64">
        <f t="shared" si="32"/>
        <v>1.41</v>
      </c>
      <c r="AB99" s="64">
        <f t="shared" si="32"/>
        <v>1.29</v>
      </c>
      <c r="AC99" s="64">
        <f t="shared" si="32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4">F80</f>
        <v>0.71</v>
      </c>
      <c r="G101" s="64">
        <f t="shared" si="34"/>
        <v>0.67</v>
      </c>
      <c r="H101" s="64">
        <f t="shared" si="34"/>
        <v>0.65</v>
      </c>
      <c r="I101" s="64">
        <f t="shared" si="34"/>
        <v>0.64</v>
      </c>
      <c r="J101" s="64">
        <f t="shared" si="34"/>
        <v>0.63</v>
      </c>
      <c r="K101" s="64">
        <f t="shared" si="34"/>
        <v>0.64</v>
      </c>
      <c r="L101" s="64">
        <f t="shared" si="34"/>
        <v>0.68</v>
      </c>
      <c r="M101" s="64">
        <f t="shared" si="34"/>
        <v>0.7</v>
      </c>
      <c r="N101" s="64">
        <f t="shared" si="34"/>
        <v>0.71</v>
      </c>
      <c r="O101" s="64">
        <f t="shared" si="34"/>
        <v>0.73</v>
      </c>
      <c r="P101" s="64">
        <f t="shared" si="34"/>
        <v>0.77</v>
      </c>
      <c r="Q101" s="64">
        <f t="shared" si="34"/>
        <v>0.79</v>
      </c>
      <c r="R101" s="64">
        <f t="shared" si="34"/>
        <v>0.79</v>
      </c>
      <c r="S101" s="64">
        <f t="shared" si="34"/>
        <v>0.8</v>
      </c>
      <c r="T101" s="64">
        <f t="shared" si="34"/>
        <v>0.78</v>
      </c>
      <c r="U101" s="64">
        <f t="shared" si="34"/>
        <v>0.79</v>
      </c>
      <c r="V101" s="64">
        <f t="shared" si="34"/>
        <v>0.78</v>
      </c>
      <c r="W101" s="64">
        <f t="shared" si="34"/>
        <v>0.8</v>
      </c>
      <c r="X101" s="64">
        <f t="shared" si="34"/>
        <v>0.79</v>
      </c>
      <c r="Y101" s="64">
        <f t="shared" si="34"/>
        <v>0.91</v>
      </c>
      <c r="Z101" s="64">
        <f t="shared" si="34"/>
        <v>0.94</v>
      </c>
      <c r="AA101" s="64">
        <f t="shared" si="34"/>
        <v>0.92</v>
      </c>
      <c r="AB101" s="64">
        <f t="shared" si="34"/>
        <v>0.86</v>
      </c>
      <c r="AC101" s="64">
        <f t="shared" si="34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6">SUM(F89,F91,F93,F96,F98:F102,F81)</f>
        <v>38.879999999999995</v>
      </c>
      <c r="G103" s="61">
        <f t="shared" si="36"/>
        <v>36.800000000000004</v>
      </c>
      <c r="H103" s="61">
        <f t="shared" si="36"/>
        <v>34.959999999999994</v>
      </c>
      <c r="I103" s="61">
        <f t="shared" si="36"/>
        <v>34.449999999999996</v>
      </c>
      <c r="J103" s="61">
        <f t="shared" si="36"/>
        <v>33.840000000000003</v>
      </c>
      <c r="K103" s="61">
        <f t="shared" si="36"/>
        <v>34.42</v>
      </c>
      <c r="L103" s="61">
        <f t="shared" si="36"/>
        <v>36.68</v>
      </c>
      <c r="M103" s="61">
        <f t="shared" si="36"/>
        <v>37.19</v>
      </c>
      <c r="N103" s="61">
        <f t="shared" si="36"/>
        <v>40.67</v>
      </c>
      <c r="O103" s="61">
        <f t="shared" si="36"/>
        <v>46.37</v>
      </c>
      <c r="P103" s="61">
        <f t="shared" si="36"/>
        <v>49.490000000000009</v>
      </c>
      <c r="Q103" s="61">
        <f t="shared" si="36"/>
        <v>51.690000000000005</v>
      </c>
      <c r="R103" s="61">
        <f t="shared" si="36"/>
        <v>53.819999999999993</v>
      </c>
      <c r="S103" s="61">
        <f t="shared" si="36"/>
        <v>53.23</v>
      </c>
      <c r="T103" s="61">
        <f t="shared" si="36"/>
        <v>52.879999999999988</v>
      </c>
      <c r="U103" s="61">
        <f t="shared" si="36"/>
        <v>52.859999999999992</v>
      </c>
      <c r="V103" s="61">
        <f t="shared" si="36"/>
        <v>53.900000000000006</v>
      </c>
      <c r="W103" s="61">
        <f t="shared" si="36"/>
        <v>50.76</v>
      </c>
      <c r="X103" s="61">
        <f t="shared" si="36"/>
        <v>50.67</v>
      </c>
      <c r="Y103" s="61">
        <f t="shared" si="36"/>
        <v>57.809999999999995</v>
      </c>
      <c r="Z103" s="61">
        <f t="shared" si="36"/>
        <v>54.73</v>
      </c>
      <c r="AA103" s="61">
        <f t="shared" si="36"/>
        <v>51.689999999999991</v>
      </c>
      <c r="AB103" s="61">
        <f t="shared" si="36"/>
        <v>46.639999999999993</v>
      </c>
      <c r="AC103" s="61">
        <f t="shared" si="36"/>
        <v>44.559999999999995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>
        <v>1.6</v>
      </c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1.6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8">F103+F107</f>
        <v>38.879999999999995</v>
      </c>
      <c r="G108" s="62">
        <f t="shared" si="38"/>
        <v>36.800000000000004</v>
      </c>
      <c r="H108" s="62">
        <f t="shared" si="38"/>
        <v>34.959999999999994</v>
      </c>
      <c r="I108" s="62">
        <f t="shared" si="38"/>
        <v>34.449999999999996</v>
      </c>
      <c r="J108" s="62">
        <f t="shared" si="38"/>
        <v>33.840000000000003</v>
      </c>
      <c r="K108" s="62">
        <f t="shared" si="38"/>
        <v>34.42</v>
      </c>
      <c r="L108" s="62">
        <f t="shared" si="38"/>
        <v>36.68</v>
      </c>
      <c r="M108" s="62">
        <f t="shared" si="38"/>
        <v>37.19</v>
      </c>
      <c r="N108" s="62">
        <f>N103+N107</f>
        <v>40.67</v>
      </c>
      <c r="O108" s="62">
        <f t="shared" si="38"/>
        <v>46.37</v>
      </c>
      <c r="P108" s="62">
        <f>P103+P107</f>
        <v>49.490000000000009</v>
      </c>
      <c r="Q108" s="62">
        <f t="shared" si="38"/>
        <v>51.690000000000005</v>
      </c>
      <c r="R108" s="62">
        <f t="shared" si="38"/>
        <v>53.819999999999993</v>
      </c>
      <c r="S108" s="62">
        <f t="shared" si="38"/>
        <v>53.23</v>
      </c>
      <c r="T108" s="62">
        <f>T103+T107</f>
        <v>52.879999999999988</v>
      </c>
      <c r="U108" s="62">
        <f t="shared" si="38"/>
        <v>52.859999999999992</v>
      </c>
      <c r="V108" s="62">
        <f t="shared" si="38"/>
        <v>53.900000000000006</v>
      </c>
      <c r="W108" s="62">
        <f>W103+W107</f>
        <v>50.76</v>
      </c>
      <c r="X108" s="62">
        <f t="shared" si="38"/>
        <v>50.67</v>
      </c>
      <c r="Y108" s="62">
        <f t="shared" si="38"/>
        <v>57.809999999999995</v>
      </c>
      <c r="Z108" s="62">
        <f t="shared" si="38"/>
        <v>54.73</v>
      </c>
      <c r="AA108" s="62">
        <f t="shared" si="38"/>
        <v>51.689999999999991</v>
      </c>
      <c r="AB108" s="62">
        <f t="shared" si="38"/>
        <v>48.239999999999995</v>
      </c>
      <c r="AC108" s="62">
        <f t="shared" si="38"/>
        <v>44.559999999999995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9">(COUNT(F13:F16))*7.2+(COUNT(F27:F28)*4.9)+(COUNT(F19:F21)*4.5)-F91-F93</f>
        <v>-3.6999999999999993</v>
      </c>
      <c r="G109" s="63">
        <f t="shared" si="39"/>
        <v>-1.6999999999999984</v>
      </c>
      <c r="H109" s="63">
        <f t="shared" si="39"/>
        <v>0.10000000000000142</v>
      </c>
      <c r="I109" s="63">
        <f t="shared" si="39"/>
        <v>0.60000000000000142</v>
      </c>
      <c r="J109" s="63">
        <f t="shared" si="39"/>
        <v>8.4</v>
      </c>
      <c r="K109" s="63">
        <f t="shared" si="39"/>
        <v>7.8000000000000007</v>
      </c>
      <c r="L109" s="63">
        <f t="shared" si="39"/>
        <v>-6.4000000000000012</v>
      </c>
      <c r="M109" s="63">
        <f t="shared" si="39"/>
        <v>-6</v>
      </c>
      <c r="N109" s="63">
        <f t="shared" si="39"/>
        <v>-5.2999999999999972</v>
      </c>
      <c r="O109" s="63">
        <f t="shared" si="39"/>
        <v>3.0999999999999996</v>
      </c>
      <c r="P109" s="63">
        <f t="shared" si="39"/>
        <v>10.899999999999999</v>
      </c>
      <c r="Q109" s="63">
        <f t="shared" si="39"/>
        <v>4.1999999999999993</v>
      </c>
      <c r="R109" s="63">
        <f t="shared" si="39"/>
        <v>8.5999999999999979</v>
      </c>
      <c r="S109" s="63">
        <f t="shared" si="39"/>
        <v>0.80000000000000071</v>
      </c>
      <c r="T109" s="63">
        <f t="shared" si="39"/>
        <v>0.40000000000000213</v>
      </c>
      <c r="U109" s="63">
        <f t="shared" si="39"/>
        <v>0.40000000000000213</v>
      </c>
      <c r="V109" s="63">
        <f t="shared" si="39"/>
        <v>9.9999999999997868E-2</v>
      </c>
      <c r="W109" s="63">
        <f t="shared" si="39"/>
        <v>2.4999999999999964</v>
      </c>
      <c r="X109" s="63">
        <f t="shared" si="39"/>
        <v>2.7000000000000028</v>
      </c>
      <c r="Y109" s="63">
        <f t="shared" si="39"/>
        <v>9.9999999999997868E-2</v>
      </c>
      <c r="Z109" s="63">
        <f t="shared" si="39"/>
        <v>9.9999999999997868E-2</v>
      </c>
      <c r="AA109" s="63">
        <f t="shared" si="39"/>
        <v>1.9000000000000021</v>
      </c>
      <c r="AB109" s="63">
        <f t="shared" si="39"/>
        <v>6.6000000000000014</v>
      </c>
      <c r="AC109" s="63">
        <f t="shared" si="39"/>
        <v>5.6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-5.0999999999999996</v>
      </c>
      <c r="G110" s="205">
        <f t="shared" si="40"/>
        <v>-3.0999999999999988</v>
      </c>
      <c r="H110" s="205">
        <f t="shared" si="40"/>
        <v>-4.7999999999999989</v>
      </c>
      <c r="I110" s="205">
        <f t="shared" si="40"/>
        <v>-4.2999999999999989</v>
      </c>
      <c r="J110" s="205">
        <f t="shared" si="40"/>
        <v>-3.6999999999999993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-4.2999999999999989</v>
      </c>
      <c r="L110" s="205">
        <f t="shared" si="40"/>
        <v>-6.4000000000000012</v>
      </c>
      <c r="M110" s="205">
        <f t="shared" si="40"/>
        <v>-6</v>
      </c>
      <c r="N110" s="205">
        <f t="shared" si="40"/>
        <v>-5.2999999999999972</v>
      </c>
      <c r="O110" s="205">
        <f t="shared" si="40"/>
        <v>-2.9000000000000004</v>
      </c>
      <c r="P110" s="205">
        <f t="shared" si="40"/>
        <v>5.6000000000000014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-2.2000000000000002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1.7999999999999998</v>
      </c>
      <c r="S110" s="205">
        <f t="shared" si="41"/>
        <v>-1.8999999999999977</v>
      </c>
      <c r="T110" s="205">
        <f t="shared" si="41"/>
        <v>-1.4999999999999964</v>
      </c>
      <c r="U110" s="205">
        <f t="shared" si="41"/>
        <v>-1.4999999999999964</v>
      </c>
      <c r="V110" s="205">
        <f t="shared" si="41"/>
        <v>-2.6000000000000005</v>
      </c>
      <c r="W110" s="205">
        <f t="shared" si="41"/>
        <v>0.59999999999999787</v>
      </c>
      <c r="X110" s="205">
        <f t="shared" si="41"/>
        <v>0.70000000000000417</v>
      </c>
      <c r="Y110" s="205">
        <f t="shared" si="41"/>
        <v>-2.9000000000000004</v>
      </c>
      <c r="Z110" s="205">
        <f t="shared" si="41"/>
        <v>-2.9000000000000004</v>
      </c>
      <c r="AA110" s="205">
        <f t="shared" si="41"/>
        <v>3.5527136788005009E-15</v>
      </c>
      <c r="AB110" s="205">
        <f t="shared" si="41"/>
        <v>1.2000000000000011</v>
      </c>
      <c r="AC110" s="205">
        <f t="shared" si="41"/>
        <v>-1.4000000000000004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60.2</v>
      </c>
      <c r="G111" s="456">
        <v>60.19</v>
      </c>
      <c r="H111" s="456">
        <v>60.26</v>
      </c>
      <c r="I111" s="456">
        <v>60.23</v>
      </c>
      <c r="J111" s="456">
        <v>60.17</v>
      </c>
      <c r="K111" s="456">
        <v>60.17</v>
      </c>
      <c r="L111" s="456">
        <v>60.07</v>
      </c>
      <c r="M111" s="456">
        <v>60.13</v>
      </c>
      <c r="N111" s="456">
        <v>60.09</v>
      </c>
      <c r="O111" s="456">
        <v>60.05</v>
      </c>
      <c r="P111" s="457">
        <v>60.27</v>
      </c>
      <c r="Q111" s="457">
        <v>60.09</v>
      </c>
      <c r="R111" s="457">
        <v>60.21</v>
      </c>
      <c r="S111" s="457">
        <v>60.14</v>
      </c>
      <c r="T111" s="457">
        <v>60.2</v>
      </c>
      <c r="U111" s="456">
        <v>60.08</v>
      </c>
      <c r="V111" s="456">
        <v>60.09</v>
      </c>
      <c r="W111" s="456">
        <v>60.17</v>
      </c>
      <c r="X111" s="456">
        <v>60.11</v>
      </c>
      <c r="Y111" s="456">
        <v>60.09</v>
      </c>
      <c r="Z111" s="456">
        <v>60.14</v>
      </c>
      <c r="AA111" s="456">
        <v>60.11</v>
      </c>
      <c r="AB111" s="456">
        <v>60.38</v>
      </c>
      <c r="AC111" s="456">
        <v>60.12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45">
      <c r="A115" s="579" t="s">
        <v>96</v>
      </c>
      <c r="B115" s="579"/>
      <c r="C115" s="579"/>
      <c r="D115" s="60"/>
      <c r="E115" s="72"/>
      <c r="F115" s="520" t="s">
        <v>109</v>
      </c>
      <c r="G115" s="520" t="s">
        <v>109</v>
      </c>
      <c r="H115" s="520" t="s">
        <v>109</v>
      </c>
      <c r="I115" s="520" t="s">
        <v>109</v>
      </c>
      <c r="J115" s="520" t="s">
        <v>109</v>
      </c>
      <c r="K115" s="520" t="s">
        <v>101</v>
      </c>
      <c r="L115" s="520" t="s">
        <v>101</v>
      </c>
      <c r="M115" s="520"/>
      <c r="N115" s="520"/>
      <c r="O115" s="520"/>
      <c r="P115" s="520" t="s">
        <v>112</v>
      </c>
      <c r="Q115" s="520" t="s">
        <v>112</v>
      </c>
      <c r="R115" s="520" t="s">
        <v>112</v>
      </c>
      <c r="S115" s="520" t="s">
        <v>112</v>
      </c>
      <c r="T115" s="520" t="s">
        <v>102</v>
      </c>
      <c r="U115" s="520" t="s">
        <v>102</v>
      </c>
      <c r="V115" s="520" t="s">
        <v>102</v>
      </c>
      <c r="W115" s="520" t="s">
        <v>101</v>
      </c>
      <c r="X115" s="520" t="s">
        <v>101</v>
      </c>
      <c r="Y115" s="520" t="s">
        <v>101</v>
      </c>
      <c r="Z115" s="520" t="s">
        <v>101</v>
      </c>
      <c r="AA115" s="520"/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2878" priority="774" operator="greaterThan">
      <formula>60.3</formula>
    </cfRule>
  </conditionalFormatting>
  <conditionalFormatting sqref="F111">
    <cfRule type="cellIs" dxfId="12877" priority="773" operator="greaterThan">
      <formula>60.3</formula>
    </cfRule>
  </conditionalFormatting>
  <conditionalFormatting sqref="H13:J13 N13:O13 D42:E42 L13 N36:AC39 N57:AC59 O14:O16 L51:M55 L36:L50 P40:AC40 N41:AC46 M50:O50 H36:J59 L56:L59 I15:N15 H62:L64 I16:L16 N15:N16 O52:AC56 P47:AC51 P13:AC16 P62:AC64">
    <cfRule type="cellIs" dxfId="12876" priority="765" operator="equal">
      <formula>"PMS"</formula>
    </cfRule>
    <cfRule type="containsText" dxfId="12875" priority="766" operator="containsText" text="CMS">
      <formula>NOT(ISERROR(SEARCH("CMS",D13)))</formula>
    </cfRule>
    <cfRule type="cellIs" dxfId="12874" priority="767" operator="equal">
      <formula>0</formula>
    </cfRule>
    <cfRule type="cellIs" dxfId="12873" priority="768" operator="greaterThan">
      <formula>0</formula>
    </cfRule>
    <cfRule type="cellIs" dxfId="12872" priority="769" operator="equal">
      <formula>"PMS"</formula>
    </cfRule>
    <cfRule type="containsText" dxfId="12871" priority="770" operator="containsText" text="CMS">
      <formula>NOT(ISERROR(SEARCH("CMS",D13)))</formula>
    </cfRule>
    <cfRule type="cellIs" dxfId="12870" priority="771" operator="equal">
      <formula>0</formula>
    </cfRule>
    <cfRule type="cellIs" dxfId="12869" priority="772" operator="greaterThan">
      <formula>0</formula>
    </cfRule>
  </conditionalFormatting>
  <conditionalFormatting sqref="H13:J13 N13:O13 D42:E42 L13 N36:AC39 N57:AC59 O14:O16 L51:M55 L36:L50 P40:AC40 N41:AC46 M50:O50 H36:J59 L56:L59 I15:N15 H62:L64 I16:L16 N15:N16 O52:AC56 P47:AC51 P13:AC16 P62:AC64">
    <cfRule type="cellIs" dxfId="12868" priority="761" operator="equal">
      <formula>"PMS"</formula>
    </cfRule>
    <cfRule type="containsText" dxfId="12867" priority="762" operator="containsText" text="CMS">
      <formula>NOT(ISERROR(SEARCH("CMS",D13)))</formula>
    </cfRule>
    <cfRule type="cellIs" dxfId="12866" priority="763" operator="equal">
      <formula>0</formula>
    </cfRule>
    <cfRule type="cellIs" dxfId="12865" priority="764" operator="greaterThan">
      <formula>0</formula>
    </cfRule>
  </conditionalFormatting>
  <conditionalFormatting sqref="G67:AC75">
    <cfRule type="cellIs" dxfId="12864" priority="753" operator="equal">
      <formula>"PMS"</formula>
    </cfRule>
    <cfRule type="containsText" dxfId="12863" priority="754" operator="containsText" text="CMS">
      <formula>NOT(ISERROR(SEARCH("CMS",G67)))</formula>
    </cfRule>
    <cfRule type="cellIs" dxfId="12862" priority="755" operator="equal">
      <formula>0</formula>
    </cfRule>
    <cfRule type="cellIs" dxfId="12861" priority="756" operator="greaterThan">
      <formula>0</formula>
    </cfRule>
    <cfRule type="cellIs" dxfId="12860" priority="757" operator="equal">
      <formula>"PMS"</formula>
    </cfRule>
    <cfRule type="containsText" dxfId="12859" priority="758" operator="containsText" text="CMS">
      <formula>NOT(ISERROR(SEARCH("CMS",G67)))</formula>
    </cfRule>
    <cfRule type="cellIs" dxfId="12858" priority="759" operator="equal">
      <formula>0</formula>
    </cfRule>
    <cfRule type="cellIs" dxfId="12857" priority="760" operator="greaterThan">
      <formula>0</formula>
    </cfRule>
  </conditionalFormatting>
  <conditionalFormatting sqref="G67:AC75">
    <cfRule type="cellIs" dxfId="12856" priority="749" operator="equal">
      <formula>"PMS"</formula>
    </cfRule>
    <cfRule type="containsText" dxfId="12855" priority="750" operator="containsText" text="CMS">
      <formula>NOT(ISERROR(SEARCH("CMS",G67)))</formula>
    </cfRule>
    <cfRule type="cellIs" dxfId="12854" priority="751" operator="equal">
      <formula>0</formula>
    </cfRule>
    <cfRule type="cellIs" dxfId="12853" priority="752" operator="greaterThan">
      <formula>0</formula>
    </cfRule>
  </conditionalFormatting>
  <conditionalFormatting sqref="G82:AC82">
    <cfRule type="cellIs" dxfId="12852" priority="741" operator="equal">
      <formula>"PMS"</formula>
    </cfRule>
    <cfRule type="containsText" dxfId="12851" priority="742" operator="containsText" text="CMS">
      <formula>NOT(ISERROR(SEARCH("CMS",G82)))</formula>
    </cfRule>
    <cfRule type="cellIs" dxfId="12850" priority="743" operator="equal">
      <formula>0</formula>
    </cfRule>
    <cfRule type="cellIs" dxfId="12849" priority="744" operator="greaterThan">
      <formula>0</formula>
    </cfRule>
    <cfRule type="cellIs" dxfId="12848" priority="745" operator="equal">
      <formula>"PMS"</formula>
    </cfRule>
    <cfRule type="containsText" dxfId="12847" priority="746" operator="containsText" text="CMS">
      <formula>NOT(ISERROR(SEARCH("CMS",G82)))</formula>
    </cfRule>
    <cfRule type="cellIs" dxfId="12846" priority="747" operator="equal">
      <formula>0</formula>
    </cfRule>
    <cfRule type="cellIs" dxfId="12845" priority="748" operator="greaterThan">
      <formula>0</formula>
    </cfRule>
  </conditionalFormatting>
  <conditionalFormatting sqref="G82:AC82">
    <cfRule type="cellIs" dxfId="12844" priority="737" operator="equal">
      <formula>"PMS"</formula>
    </cfRule>
    <cfRule type="containsText" dxfId="12843" priority="738" operator="containsText" text="CMS">
      <formula>NOT(ISERROR(SEARCH("CMS",G82)))</formula>
    </cfRule>
    <cfRule type="cellIs" dxfId="12842" priority="739" operator="equal">
      <formula>0</formula>
    </cfRule>
    <cfRule type="cellIs" dxfId="12841" priority="740" operator="greaterThan">
      <formula>0</formula>
    </cfRule>
  </conditionalFormatting>
  <conditionalFormatting sqref="I14 M14:N14">
    <cfRule type="cellIs" dxfId="12840" priority="729" operator="equal">
      <formula>"PMS"</formula>
    </cfRule>
    <cfRule type="containsText" dxfId="12839" priority="730" operator="containsText" text="CMS">
      <formula>NOT(ISERROR(SEARCH("CMS",I14)))</formula>
    </cfRule>
    <cfRule type="cellIs" dxfId="12838" priority="731" operator="equal">
      <formula>0</formula>
    </cfRule>
    <cfRule type="cellIs" dxfId="12837" priority="732" operator="greaterThan">
      <formula>0</formula>
    </cfRule>
    <cfRule type="cellIs" dxfId="12836" priority="733" operator="equal">
      <formula>"PMS"</formula>
    </cfRule>
    <cfRule type="containsText" dxfId="12835" priority="734" operator="containsText" text="CMS">
      <formula>NOT(ISERROR(SEARCH("CMS",I14)))</formula>
    </cfRule>
    <cfRule type="cellIs" dxfId="12834" priority="735" operator="equal">
      <formula>0</formula>
    </cfRule>
    <cfRule type="cellIs" dxfId="12833" priority="736" operator="greaterThan">
      <formula>0</formula>
    </cfRule>
  </conditionalFormatting>
  <conditionalFormatting sqref="I14 M14:N14">
    <cfRule type="cellIs" dxfId="12832" priority="725" operator="equal">
      <formula>"PMS"</formula>
    </cfRule>
    <cfRule type="containsText" dxfId="12831" priority="726" operator="containsText" text="CMS">
      <formula>NOT(ISERROR(SEARCH("CMS",I14)))</formula>
    </cfRule>
    <cfRule type="cellIs" dxfId="12830" priority="727" operator="equal">
      <formula>0</formula>
    </cfRule>
    <cfRule type="cellIs" dxfId="12829" priority="728" operator="greaterThan">
      <formula>0</formula>
    </cfRule>
  </conditionalFormatting>
  <conditionalFormatting sqref="G13">
    <cfRule type="cellIs" dxfId="12828" priority="717" operator="equal">
      <formula>"PMS"</formula>
    </cfRule>
    <cfRule type="containsText" dxfId="12827" priority="718" operator="containsText" text="CMS">
      <formula>NOT(ISERROR(SEARCH("CMS",G13)))</formula>
    </cfRule>
    <cfRule type="cellIs" dxfId="12826" priority="719" operator="equal">
      <formula>0</formula>
    </cfRule>
    <cfRule type="cellIs" dxfId="12825" priority="720" operator="greaterThan">
      <formula>0</formula>
    </cfRule>
    <cfRule type="cellIs" dxfId="12824" priority="721" operator="equal">
      <formula>"PMS"</formula>
    </cfRule>
    <cfRule type="containsText" dxfId="12823" priority="722" operator="containsText" text="CMS">
      <formula>NOT(ISERROR(SEARCH("CMS",G13)))</formula>
    </cfRule>
    <cfRule type="cellIs" dxfId="12822" priority="723" operator="equal">
      <formula>0</formula>
    </cfRule>
    <cfRule type="cellIs" dxfId="12821" priority="724" operator="greaterThan">
      <formula>0</formula>
    </cfRule>
  </conditionalFormatting>
  <conditionalFormatting sqref="G13">
    <cfRule type="cellIs" dxfId="12820" priority="713" operator="equal">
      <formula>"PMS"</formula>
    </cfRule>
    <cfRule type="containsText" dxfId="12819" priority="714" operator="containsText" text="CMS">
      <formula>NOT(ISERROR(SEARCH("CMS",G13)))</formula>
    </cfRule>
    <cfRule type="cellIs" dxfId="12818" priority="715" operator="equal">
      <formula>0</formula>
    </cfRule>
    <cfRule type="cellIs" dxfId="12817" priority="716" operator="greaterThan">
      <formula>0</formula>
    </cfRule>
  </conditionalFormatting>
  <conditionalFormatting sqref="M13">
    <cfRule type="cellIs" dxfId="12816" priority="705" operator="equal">
      <formula>"PMS"</formula>
    </cfRule>
    <cfRule type="containsText" dxfId="12815" priority="706" operator="containsText" text="CMS">
      <formula>NOT(ISERROR(SEARCH("CMS",M13)))</formula>
    </cfRule>
    <cfRule type="cellIs" dxfId="12814" priority="707" operator="equal">
      <formula>0</formula>
    </cfRule>
    <cfRule type="cellIs" dxfId="12813" priority="708" operator="greaterThan">
      <formula>0</formula>
    </cfRule>
    <cfRule type="cellIs" dxfId="12812" priority="709" operator="equal">
      <formula>"PMS"</formula>
    </cfRule>
    <cfRule type="containsText" dxfId="12811" priority="710" operator="containsText" text="CMS">
      <formula>NOT(ISERROR(SEARCH("CMS",M13)))</formula>
    </cfRule>
    <cfRule type="cellIs" dxfId="12810" priority="711" operator="equal">
      <formula>0</formula>
    </cfRule>
    <cfRule type="cellIs" dxfId="12809" priority="712" operator="greaterThan">
      <formula>0</formula>
    </cfRule>
  </conditionalFormatting>
  <conditionalFormatting sqref="M13">
    <cfRule type="cellIs" dxfId="12808" priority="701" operator="equal">
      <formula>"PMS"</formula>
    </cfRule>
    <cfRule type="containsText" dxfId="12807" priority="702" operator="containsText" text="CMS">
      <formula>NOT(ISERROR(SEARCH("CMS",M13)))</formula>
    </cfRule>
    <cfRule type="cellIs" dxfId="12806" priority="703" operator="equal">
      <formula>0</formula>
    </cfRule>
    <cfRule type="cellIs" dxfId="12805" priority="704" operator="greaterThan">
      <formula>0</formula>
    </cfRule>
  </conditionalFormatting>
  <conditionalFormatting sqref="K13">
    <cfRule type="cellIs" dxfId="12804" priority="693" operator="equal">
      <formula>"PMS"</formula>
    </cfRule>
    <cfRule type="containsText" dxfId="12803" priority="694" operator="containsText" text="CMS">
      <formula>NOT(ISERROR(SEARCH("CMS",K13)))</formula>
    </cfRule>
    <cfRule type="cellIs" dxfId="12802" priority="695" operator="equal">
      <formula>0</formula>
    </cfRule>
    <cfRule type="cellIs" dxfId="12801" priority="696" operator="greaterThan">
      <formula>0</formula>
    </cfRule>
    <cfRule type="cellIs" dxfId="12800" priority="697" operator="equal">
      <formula>"PMS"</formula>
    </cfRule>
    <cfRule type="containsText" dxfId="12799" priority="698" operator="containsText" text="CMS">
      <formula>NOT(ISERROR(SEARCH("CMS",K13)))</formula>
    </cfRule>
    <cfRule type="cellIs" dxfId="12798" priority="699" operator="equal">
      <formula>0</formula>
    </cfRule>
    <cfRule type="cellIs" dxfId="12797" priority="700" operator="greaterThan">
      <formula>0</formula>
    </cfRule>
  </conditionalFormatting>
  <conditionalFormatting sqref="K13">
    <cfRule type="cellIs" dxfId="12796" priority="689" operator="equal">
      <formula>"PMS"</formula>
    </cfRule>
    <cfRule type="containsText" dxfId="12795" priority="690" operator="containsText" text="CMS">
      <formula>NOT(ISERROR(SEARCH("CMS",K13)))</formula>
    </cfRule>
    <cfRule type="cellIs" dxfId="12794" priority="691" operator="equal">
      <formula>0</formula>
    </cfRule>
    <cfRule type="cellIs" dxfId="12793" priority="692" operator="greaterThan">
      <formula>0</formula>
    </cfRule>
  </conditionalFormatting>
  <conditionalFormatting sqref="G113:AC113">
    <cfRule type="cellIs" dxfId="12792" priority="688" operator="greaterThan">
      <formula>60.3</formula>
    </cfRule>
  </conditionalFormatting>
  <conditionalFormatting sqref="H112:M112">
    <cfRule type="cellIs" dxfId="12791" priority="687" operator="greaterThan">
      <formula>60.3</formula>
    </cfRule>
  </conditionalFormatting>
  <conditionalFormatting sqref="F112:G112">
    <cfRule type="cellIs" dxfId="12790" priority="686" operator="greaterThan">
      <formula>60.3</formula>
    </cfRule>
  </conditionalFormatting>
  <conditionalFormatting sqref="N112:AC112">
    <cfRule type="cellIs" dxfId="12789" priority="685" operator="greaterThan">
      <formula>60.3</formula>
    </cfRule>
  </conditionalFormatting>
  <conditionalFormatting sqref="G15:G16">
    <cfRule type="cellIs" dxfId="12788" priority="677" operator="equal">
      <formula>"PMS"</formula>
    </cfRule>
    <cfRule type="containsText" dxfId="12787" priority="678" operator="containsText" text="CMS">
      <formula>NOT(ISERROR(SEARCH("CMS",G15)))</formula>
    </cfRule>
    <cfRule type="cellIs" dxfId="12786" priority="679" operator="equal">
      <formula>0</formula>
    </cfRule>
    <cfRule type="cellIs" dxfId="12785" priority="680" operator="greaterThan">
      <formula>0</formula>
    </cfRule>
    <cfRule type="cellIs" dxfId="12784" priority="681" operator="equal">
      <formula>"PMS"</formula>
    </cfRule>
    <cfRule type="containsText" dxfId="12783" priority="682" operator="containsText" text="CMS">
      <formula>NOT(ISERROR(SEARCH("CMS",G15)))</formula>
    </cfRule>
    <cfRule type="cellIs" dxfId="12782" priority="683" operator="equal">
      <formula>0</formula>
    </cfRule>
    <cfRule type="cellIs" dxfId="12781" priority="684" operator="greaterThan">
      <formula>0</formula>
    </cfRule>
  </conditionalFormatting>
  <conditionalFormatting sqref="G15:G16">
    <cfRule type="cellIs" dxfId="12780" priority="673" operator="equal">
      <formula>"PMS"</formula>
    </cfRule>
    <cfRule type="containsText" dxfId="12779" priority="674" operator="containsText" text="CMS">
      <formula>NOT(ISERROR(SEARCH("CMS",G15)))</formula>
    </cfRule>
    <cfRule type="cellIs" dxfId="12778" priority="675" operator="equal">
      <formula>0</formula>
    </cfRule>
    <cfRule type="cellIs" dxfId="12777" priority="676" operator="greaterThan">
      <formula>0</formula>
    </cfRule>
  </conditionalFormatting>
  <conditionalFormatting sqref="H14 H16">
    <cfRule type="cellIs" dxfId="12776" priority="665" operator="equal">
      <formula>"PMS"</formula>
    </cfRule>
    <cfRule type="containsText" dxfId="12775" priority="666" operator="containsText" text="CMS">
      <formula>NOT(ISERROR(SEARCH("CMS",H14)))</formula>
    </cfRule>
    <cfRule type="cellIs" dxfId="12774" priority="667" operator="equal">
      <formula>0</formula>
    </cfRule>
    <cfRule type="cellIs" dxfId="12773" priority="668" operator="greaterThan">
      <formula>0</formula>
    </cfRule>
    <cfRule type="cellIs" dxfId="12772" priority="669" operator="equal">
      <formula>"PMS"</formula>
    </cfRule>
    <cfRule type="containsText" dxfId="12771" priority="670" operator="containsText" text="CMS">
      <formula>NOT(ISERROR(SEARCH("CMS",H14)))</formula>
    </cfRule>
    <cfRule type="cellIs" dxfId="12770" priority="671" operator="equal">
      <formula>0</formula>
    </cfRule>
    <cfRule type="cellIs" dxfId="12769" priority="672" operator="greaterThan">
      <formula>0</formula>
    </cfRule>
  </conditionalFormatting>
  <conditionalFormatting sqref="H14 H16">
    <cfRule type="cellIs" dxfId="12768" priority="661" operator="equal">
      <formula>"PMS"</formula>
    </cfRule>
    <cfRule type="containsText" dxfId="12767" priority="662" operator="containsText" text="CMS">
      <formula>NOT(ISERROR(SEARCH("CMS",H14)))</formula>
    </cfRule>
    <cfRule type="cellIs" dxfId="12766" priority="663" operator="equal">
      <formula>0</formula>
    </cfRule>
    <cfRule type="cellIs" dxfId="12765" priority="664" operator="greaterThan">
      <formula>0</formula>
    </cfRule>
  </conditionalFormatting>
  <conditionalFormatting sqref="G36:G38 G57:G59">
    <cfRule type="cellIs" dxfId="12764" priority="653" operator="equal">
      <formula>"PMS"</formula>
    </cfRule>
    <cfRule type="containsText" dxfId="12763" priority="654" operator="containsText" text="CMS">
      <formula>NOT(ISERROR(SEARCH("CMS",G36)))</formula>
    </cfRule>
    <cfRule type="cellIs" dxfId="12762" priority="655" operator="equal">
      <formula>0</formula>
    </cfRule>
    <cfRule type="cellIs" dxfId="12761" priority="656" operator="greaterThan">
      <formula>0</formula>
    </cfRule>
    <cfRule type="cellIs" dxfId="12760" priority="657" operator="equal">
      <formula>"PMS"</formula>
    </cfRule>
    <cfRule type="containsText" dxfId="12759" priority="658" operator="containsText" text="CMS">
      <formula>NOT(ISERROR(SEARCH("CMS",G36)))</formula>
    </cfRule>
    <cfRule type="cellIs" dxfId="12758" priority="659" operator="equal">
      <formula>0</formula>
    </cfRule>
    <cfRule type="cellIs" dxfId="12757" priority="660" operator="greaterThan">
      <formula>0</formula>
    </cfRule>
  </conditionalFormatting>
  <conditionalFormatting sqref="G36:G38 G57:G59">
    <cfRule type="cellIs" dxfId="12756" priority="649" operator="equal">
      <formula>"PMS"</formula>
    </cfRule>
    <cfRule type="containsText" dxfId="12755" priority="650" operator="containsText" text="CMS">
      <formula>NOT(ISERROR(SEARCH("CMS",G36)))</formula>
    </cfRule>
    <cfRule type="cellIs" dxfId="12754" priority="651" operator="equal">
      <formula>0</formula>
    </cfRule>
    <cfRule type="cellIs" dxfId="12753" priority="652" operator="greaterThan">
      <formula>0</formula>
    </cfRule>
  </conditionalFormatting>
  <conditionalFormatting sqref="M36:M38 M57:M59">
    <cfRule type="cellIs" dxfId="12752" priority="641" operator="equal">
      <formula>"PMS"</formula>
    </cfRule>
    <cfRule type="containsText" dxfId="12751" priority="642" operator="containsText" text="CMS">
      <formula>NOT(ISERROR(SEARCH("CMS",M36)))</formula>
    </cfRule>
    <cfRule type="cellIs" dxfId="12750" priority="643" operator="equal">
      <formula>0</formula>
    </cfRule>
    <cfRule type="cellIs" dxfId="12749" priority="644" operator="greaterThan">
      <formula>0</formula>
    </cfRule>
    <cfRule type="cellIs" dxfId="12748" priority="645" operator="equal">
      <formula>"PMS"</formula>
    </cfRule>
    <cfRule type="containsText" dxfId="12747" priority="646" operator="containsText" text="CMS">
      <formula>NOT(ISERROR(SEARCH("CMS",M36)))</formula>
    </cfRule>
    <cfRule type="cellIs" dxfId="12746" priority="647" operator="equal">
      <formula>0</formula>
    </cfRule>
    <cfRule type="cellIs" dxfId="12745" priority="648" operator="greaterThan">
      <formula>0</formula>
    </cfRule>
  </conditionalFormatting>
  <conditionalFormatting sqref="M36:M38 M57:M59">
    <cfRule type="cellIs" dxfId="12744" priority="637" operator="equal">
      <formula>"PMS"</formula>
    </cfRule>
    <cfRule type="containsText" dxfId="12743" priority="638" operator="containsText" text="CMS">
      <formula>NOT(ISERROR(SEARCH("CMS",M36)))</formula>
    </cfRule>
    <cfRule type="cellIs" dxfId="12742" priority="639" operator="equal">
      <formula>0</formula>
    </cfRule>
    <cfRule type="cellIs" dxfId="12741" priority="640" operator="greaterThan">
      <formula>0</formula>
    </cfRule>
  </conditionalFormatting>
  <conditionalFormatting sqref="K36:K38 K57:K59">
    <cfRule type="cellIs" dxfId="12740" priority="629" operator="equal">
      <formula>"PMS"</formula>
    </cfRule>
    <cfRule type="containsText" dxfId="12739" priority="630" operator="containsText" text="CMS">
      <formula>NOT(ISERROR(SEARCH("CMS",K36)))</formula>
    </cfRule>
    <cfRule type="cellIs" dxfId="12738" priority="631" operator="equal">
      <formula>0</formula>
    </cfRule>
    <cfRule type="cellIs" dxfId="12737" priority="632" operator="greaterThan">
      <formula>0</formula>
    </cfRule>
    <cfRule type="cellIs" dxfId="12736" priority="633" operator="equal">
      <formula>"PMS"</formula>
    </cfRule>
    <cfRule type="containsText" dxfId="12735" priority="634" operator="containsText" text="CMS">
      <formula>NOT(ISERROR(SEARCH("CMS",K36)))</formula>
    </cfRule>
    <cfRule type="cellIs" dxfId="12734" priority="635" operator="equal">
      <formula>0</formula>
    </cfRule>
    <cfRule type="cellIs" dxfId="12733" priority="636" operator="greaterThan">
      <formula>0</formula>
    </cfRule>
  </conditionalFormatting>
  <conditionalFormatting sqref="K36:K38 K57:K59">
    <cfRule type="cellIs" dxfId="12732" priority="625" operator="equal">
      <formula>"PMS"</formula>
    </cfRule>
    <cfRule type="containsText" dxfId="12731" priority="626" operator="containsText" text="CMS">
      <formula>NOT(ISERROR(SEARCH("CMS",K36)))</formula>
    </cfRule>
    <cfRule type="cellIs" dxfId="12730" priority="627" operator="equal">
      <formula>0</formula>
    </cfRule>
    <cfRule type="cellIs" dxfId="12729" priority="628" operator="greaterThan">
      <formula>0</formula>
    </cfRule>
  </conditionalFormatting>
  <conditionalFormatting sqref="K14:L14">
    <cfRule type="cellIs" dxfId="12728" priority="617" operator="equal">
      <formula>"PMS"</formula>
    </cfRule>
    <cfRule type="containsText" dxfId="12727" priority="618" operator="containsText" text="CMS">
      <formula>NOT(ISERROR(SEARCH("CMS",K14)))</formula>
    </cfRule>
    <cfRule type="cellIs" dxfId="12726" priority="619" operator="equal">
      <formula>0</formula>
    </cfRule>
    <cfRule type="cellIs" dxfId="12725" priority="620" operator="greaterThan">
      <formula>0</formula>
    </cfRule>
    <cfRule type="cellIs" dxfId="12724" priority="621" operator="equal">
      <formula>"PMS"</formula>
    </cfRule>
    <cfRule type="containsText" dxfId="12723" priority="622" operator="containsText" text="CMS">
      <formula>NOT(ISERROR(SEARCH("CMS",K14)))</formula>
    </cfRule>
    <cfRule type="cellIs" dxfId="12722" priority="623" operator="equal">
      <formula>0</formula>
    </cfRule>
    <cfRule type="cellIs" dxfId="12721" priority="624" operator="greaterThan">
      <formula>0</formula>
    </cfRule>
  </conditionalFormatting>
  <conditionalFormatting sqref="K14:L14">
    <cfRule type="cellIs" dxfId="12720" priority="613" operator="equal">
      <formula>"PMS"</formula>
    </cfRule>
    <cfRule type="containsText" dxfId="12719" priority="614" operator="containsText" text="CMS">
      <formula>NOT(ISERROR(SEARCH("CMS",K14)))</formula>
    </cfRule>
    <cfRule type="cellIs" dxfId="12718" priority="615" operator="equal">
      <formula>0</formula>
    </cfRule>
    <cfRule type="cellIs" dxfId="12717" priority="616" operator="greaterThan">
      <formula>0</formula>
    </cfRule>
  </conditionalFormatting>
  <conditionalFormatting sqref="G49">
    <cfRule type="cellIs" dxfId="12716" priority="605" operator="equal">
      <formula>"PMS"</formula>
    </cfRule>
    <cfRule type="containsText" dxfId="12715" priority="606" operator="containsText" text="CMS">
      <formula>NOT(ISERROR(SEARCH("CMS",G49)))</formula>
    </cfRule>
    <cfRule type="cellIs" dxfId="12714" priority="607" operator="equal">
      <formula>0</formula>
    </cfRule>
    <cfRule type="cellIs" dxfId="12713" priority="608" operator="greaterThan">
      <formula>0</formula>
    </cfRule>
    <cfRule type="cellIs" dxfId="12712" priority="609" operator="equal">
      <formula>"PMS"</formula>
    </cfRule>
    <cfRule type="containsText" dxfId="12711" priority="610" operator="containsText" text="CMS">
      <formula>NOT(ISERROR(SEARCH("CMS",G49)))</formula>
    </cfRule>
    <cfRule type="cellIs" dxfId="12710" priority="611" operator="equal">
      <formula>0</formula>
    </cfRule>
    <cfRule type="cellIs" dxfId="12709" priority="612" operator="greaterThan">
      <formula>0</formula>
    </cfRule>
  </conditionalFormatting>
  <conditionalFormatting sqref="G49">
    <cfRule type="cellIs" dxfId="12708" priority="601" operator="equal">
      <formula>"PMS"</formula>
    </cfRule>
    <cfRule type="containsText" dxfId="12707" priority="602" operator="containsText" text="CMS">
      <formula>NOT(ISERROR(SEARCH("CMS",G49)))</formula>
    </cfRule>
    <cfRule type="cellIs" dxfId="12706" priority="603" operator="equal">
      <formula>0</formula>
    </cfRule>
    <cfRule type="cellIs" dxfId="12705" priority="604" operator="greaterThan">
      <formula>0</formula>
    </cfRule>
  </conditionalFormatting>
  <conditionalFormatting sqref="M49:N49">
    <cfRule type="cellIs" dxfId="12704" priority="593" operator="equal">
      <formula>"PMS"</formula>
    </cfRule>
    <cfRule type="containsText" dxfId="12703" priority="594" operator="containsText" text="CMS">
      <formula>NOT(ISERROR(SEARCH("CMS",M49)))</formula>
    </cfRule>
    <cfRule type="cellIs" dxfId="12702" priority="595" operator="equal">
      <formula>0</formula>
    </cfRule>
    <cfRule type="cellIs" dxfId="12701" priority="596" operator="greaterThan">
      <formula>0</formula>
    </cfRule>
    <cfRule type="cellIs" dxfId="12700" priority="597" operator="equal">
      <formula>"PMS"</formula>
    </cfRule>
    <cfRule type="containsText" dxfId="12699" priority="598" operator="containsText" text="CMS">
      <formula>NOT(ISERROR(SEARCH("CMS",M49)))</formula>
    </cfRule>
    <cfRule type="cellIs" dxfId="12698" priority="599" operator="equal">
      <formula>0</formula>
    </cfRule>
    <cfRule type="cellIs" dxfId="12697" priority="600" operator="greaterThan">
      <formula>0</formula>
    </cfRule>
  </conditionalFormatting>
  <conditionalFormatting sqref="M49:N49">
    <cfRule type="cellIs" dxfId="12696" priority="589" operator="equal">
      <formula>"PMS"</formula>
    </cfRule>
    <cfRule type="containsText" dxfId="12695" priority="590" operator="containsText" text="CMS">
      <formula>NOT(ISERROR(SEARCH("CMS",M49)))</formula>
    </cfRule>
    <cfRule type="cellIs" dxfId="12694" priority="591" operator="equal">
      <formula>0</formula>
    </cfRule>
    <cfRule type="cellIs" dxfId="12693" priority="592" operator="greaterThan">
      <formula>0</formula>
    </cfRule>
  </conditionalFormatting>
  <conditionalFormatting sqref="K49">
    <cfRule type="cellIs" dxfId="12692" priority="581" operator="equal">
      <formula>"PMS"</formula>
    </cfRule>
    <cfRule type="containsText" dxfId="12691" priority="582" operator="containsText" text="CMS">
      <formula>NOT(ISERROR(SEARCH("CMS",K49)))</formula>
    </cfRule>
    <cfRule type="cellIs" dxfId="12690" priority="583" operator="equal">
      <formula>0</formula>
    </cfRule>
    <cfRule type="cellIs" dxfId="12689" priority="584" operator="greaterThan">
      <formula>0</formula>
    </cfRule>
    <cfRule type="cellIs" dxfId="12688" priority="585" operator="equal">
      <formula>"PMS"</formula>
    </cfRule>
    <cfRule type="containsText" dxfId="12687" priority="586" operator="containsText" text="CMS">
      <formula>NOT(ISERROR(SEARCH("CMS",K49)))</formula>
    </cfRule>
    <cfRule type="cellIs" dxfId="12686" priority="587" operator="equal">
      <formula>0</formula>
    </cfRule>
    <cfRule type="cellIs" dxfId="12685" priority="588" operator="greaterThan">
      <formula>0</formula>
    </cfRule>
  </conditionalFormatting>
  <conditionalFormatting sqref="K49">
    <cfRule type="cellIs" dxfId="12684" priority="577" operator="equal">
      <formula>"PMS"</formula>
    </cfRule>
    <cfRule type="containsText" dxfId="12683" priority="578" operator="containsText" text="CMS">
      <formula>NOT(ISERROR(SEARCH("CMS",K49)))</formula>
    </cfRule>
    <cfRule type="cellIs" dxfId="12682" priority="579" operator="equal">
      <formula>0</formula>
    </cfRule>
    <cfRule type="cellIs" dxfId="12681" priority="580" operator="greaterThan">
      <formula>0</formula>
    </cfRule>
  </conditionalFormatting>
  <conditionalFormatting sqref="H33:J33 L33 L27:L29 H24:J24 H19:J20 L20:L21 V28:AC28 Q28 N28:P29 P30 Q29:AC30 H27:J30 I21:K21 K19:M19 N30 H79:J79 S28:T28 O78:Q78 X78:AC78 L24:AC24 S78:V78 N33:AC33 M21:O21 Q21:AC21 N19:AC20 L79:AC79">
    <cfRule type="cellIs" dxfId="12680" priority="569" operator="equal">
      <formula>"PMS"</formula>
    </cfRule>
    <cfRule type="containsText" dxfId="12679" priority="570" operator="containsText" text="CMS">
      <formula>NOT(ISERROR(SEARCH("CMS",H19)))</formula>
    </cfRule>
    <cfRule type="cellIs" dxfId="12678" priority="571" operator="equal">
      <formula>0</formula>
    </cfRule>
    <cfRule type="cellIs" dxfId="12677" priority="572" operator="greaterThan">
      <formula>0</formula>
    </cfRule>
    <cfRule type="cellIs" dxfId="12676" priority="573" operator="equal">
      <formula>"PMS"</formula>
    </cfRule>
    <cfRule type="containsText" dxfId="12675" priority="574" operator="containsText" text="CMS">
      <formula>NOT(ISERROR(SEARCH("CMS",H19)))</formula>
    </cfRule>
    <cfRule type="cellIs" dxfId="12674" priority="575" operator="equal">
      <formula>0</formula>
    </cfRule>
    <cfRule type="cellIs" dxfId="12673" priority="576" operator="greaterThan">
      <formula>0</formula>
    </cfRule>
  </conditionalFormatting>
  <conditionalFormatting sqref="H33:J33 L33 L27:L29 H24:J24 H19:J20 L20:L21 V28:AC28 Q28 N28:P29 P30 Q29:AC30 H27:J30 I21:K21 K19:M19 N30 H79:J79 S28:T28 O78:Q78 X78:AC78 L24:AC24 S78:V78 N33:AC33 M21:O21 Q21:AC21 N19:AC20 L79:AC79">
    <cfRule type="cellIs" dxfId="12672" priority="565" operator="equal">
      <formula>"PMS"</formula>
    </cfRule>
    <cfRule type="containsText" dxfId="12671" priority="566" operator="containsText" text="CMS">
      <formula>NOT(ISERROR(SEARCH("CMS",H19)))</formula>
    </cfRule>
    <cfRule type="cellIs" dxfId="12670" priority="567" operator="equal">
      <formula>0</formula>
    </cfRule>
    <cfRule type="cellIs" dxfId="12669" priority="568" operator="greaterThan">
      <formula>0</formula>
    </cfRule>
  </conditionalFormatting>
  <conditionalFormatting sqref="G33 G27:G30 G24 G39:G48 G50:G56 G19:G21 H21">
    <cfRule type="cellIs" dxfId="12668" priority="557" operator="equal">
      <formula>"PMS"</formula>
    </cfRule>
    <cfRule type="containsText" dxfId="12667" priority="558" operator="containsText" text="CMS">
      <formula>NOT(ISERROR(SEARCH("CMS",G19)))</formula>
    </cfRule>
    <cfRule type="cellIs" dxfId="12666" priority="559" operator="equal">
      <formula>0</formula>
    </cfRule>
    <cfRule type="cellIs" dxfId="12665" priority="560" operator="greaterThan">
      <formula>0</formula>
    </cfRule>
    <cfRule type="cellIs" dxfId="12664" priority="561" operator="equal">
      <formula>"PMS"</formula>
    </cfRule>
    <cfRule type="containsText" dxfId="12663" priority="562" operator="containsText" text="CMS">
      <formula>NOT(ISERROR(SEARCH("CMS",G19)))</formula>
    </cfRule>
    <cfRule type="cellIs" dxfId="12662" priority="563" operator="equal">
      <formula>0</formula>
    </cfRule>
    <cfRule type="cellIs" dxfId="12661" priority="564" operator="greaterThan">
      <formula>0</formula>
    </cfRule>
  </conditionalFormatting>
  <conditionalFormatting sqref="G33 G27:G30 G24 G39:G48 G50:G56 G19:G21 H21">
    <cfRule type="cellIs" dxfId="12660" priority="553" operator="equal">
      <formula>"PMS"</formula>
    </cfRule>
    <cfRule type="containsText" dxfId="12659" priority="554" operator="containsText" text="CMS">
      <formula>NOT(ISERROR(SEARCH("CMS",G19)))</formula>
    </cfRule>
    <cfRule type="cellIs" dxfId="12658" priority="555" operator="equal">
      <formula>0</formula>
    </cfRule>
    <cfRule type="cellIs" dxfId="12657" priority="556" operator="greaterThan">
      <formula>0</formula>
    </cfRule>
  </conditionalFormatting>
  <conditionalFormatting sqref="M39:M48 M33 M27:M29 M20 AB27:AC27 N27:Q27 N47 M56 N51:N55 N78 S27:X27 M62:M64">
    <cfRule type="cellIs" dxfId="12656" priority="545" operator="equal">
      <formula>"PMS"</formula>
    </cfRule>
    <cfRule type="containsText" dxfId="12655" priority="546" operator="containsText" text="CMS">
      <formula>NOT(ISERROR(SEARCH("CMS",M20)))</formula>
    </cfRule>
    <cfRule type="cellIs" dxfId="12654" priority="547" operator="equal">
      <formula>0</formula>
    </cfRule>
    <cfRule type="cellIs" dxfId="12653" priority="548" operator="greaterThan">
      <formula>0</formula>
    </cfRule>
    <cfRule type="cellIs" dxfId="12652" priority="549" operator="equal">
      <formula>"PMS"</formula>
    </cfRule>
    <cfRule type="containsText" dxfId="12651" priority="550" operator="containsText" text="CMS">
      <formula>NOT(ISERROR(SEARCH("CMS",M20)))</formula>
    </cfRule>
    <cfRule type="cellIs" dxfId="12650" priority="551" operator="equal">
      <formula>0</formula>
    </cfRule>
    <cfRule type="cellIs" dxfId="12649" priority="552" operator="greaterThan">
      <formula>0</formula>
    </cfRule>
  </conditionalFormatting>
  <conditionalFormatting sqref="M39:M48 M33 M27:M29 M20 AB27:AC27 N27:Q27 N47 M56 N51:N55 N78 S27:X27 M62:M64">
    <cfRule type="cellIs" dxfId="12648" priority="541" operator="equal">
      <formula>"PMS"</formula>
    </cfRule>
    <cfRule type="containsText" dxfId="12647" priority="542" operator="containsText" text="CMS">
      <formula>NOT(ISERROR(SEARCH("CMS",M20)))</formula>
    </cfRule>
    <cfRule type="cellIs" dxfId="12646" priority="543" operator="equal">
      <formula>0</formula>
    </cfRule>
    <cfRule type="cellIs" dxfId="12645" priority="544" operator="greaterThan">
      <formula>0</formula>
    </cfRule>
  </conditionalFormatting>
  <conditionalFormatting sqref="K50:K56 K39:K48 K33 K27 K24 K20 K29:K30 K79">
    <cfRule type="cellIs" dxfId="12644" priority="533" operator="equal">
      <formula>"PMS"</formula>
    </cfRule>
    <cfRule type="containsText" dxfId="12643" priority="534" operator="containsText" text="CMS">
      <formula>NOT(ISERROR(SEARCH("CMS",K20)))</formula>
    </cfRule>
    <cfRule type="cellIs" dxfId="12642" priority="535" operator="equal">
      <formula>0</formula>
    </cfRule>
    <cfRule type="cellIs" dxfId="12641" priority="536" operator="greaterThan">
      <formula>0</formula>
    </cfRule>
    <cfRule type="cellIs" dxfId="12640" priority="537" operator="equal">
      <formula>"PMS"</formula>
    </cfRule>
    <cfRule type="containsText" dxfId="12639" priority="538" operator="containsText" text="CMS">
      <formula>NOT(ISERROR(SEARCH("CMS",K20)))</formula>
    </cfRule>
    <cfRule type="cellIs" dxfId="12638" priority="539" operator="equal">
      <formula>0</formula>
    </cfRule>
    <cfRule type="cellIs" dxfId="12637" priority="540" operator="greaterThan">
      <formula>0</formula>
    </cfRule>
  </conditionalFormatting>
  <conditionalFormatting sqref="K50:K56 K39:K48 K33 K27 K24 K20 K29:K30 K79">
    <cfRule type="cellIs" dxfId="12636" priority="529" operator="equal">
      <formula>"PMS"</formula>
    </cfRule>
    <cfRule type="containsText" dxfId="12635" priority="530" operator="containsText" text="CMS">
      <formula>NOT(ISERROR(SEARCH("CMS",K20)))</formula>
    </cfRule>
    <cfRule type="cellIs" dxfId="12634" priority="531" operator="equal">
      <formula>0</formula>
    </cfRule>
    <cfRule type="cellIs" dxfId="12633" priority="532" operator="greaterThan">
      <formula>0</formula>
    </cfRule>
  </conditionalFormatting>
  <conditionalFormatting sqref="K28">
    <cfRule type="cellIs" dxfId="12632" priority="521" operator="equal">
      <formula>"PMS"</formula>
    </cfRule>
    <cfRule type="containsText" dxfId="12631" priority="522" operator="containsText" text="CMS">
      <formula>NOT(ISERROR(SEARCH("CMS",K28)))</formula>
    </cfRule>
    <cfRule type="cellIs" dxfId="12630" priority="523" operator="equal">
      <formula>0</formula>
    </cfRule>
    <cfRule type="cellIs" dxfId="12629" priority="524" operator="greaterThan">
      <formula>0</formula>
    </cfRule>
    <cfRule type="cellIs" dxfId="12628" priority="525" operator="equal">
      <formula>"PMS"</formula>
    </cfRule>
    <cfRule type="containsText" dxfId="12627" priority="526" operator="containsText" text="CMS">
      <formula>NOT(ISERROR(SEARCH("CMS",K28)))</formula>
    </cfRule>
    <cfRule type="cellIs" dxfId="12626" priority="527" operator="equal">
      <formula>0</formula>
    </cfRule>
    <cfRule type="cellIs" dxfId="12625" priority="528" operator="greaterThan">
      <formula>0</formula>
    </cfRule>
  </conditionalFormatting>
  <conditionalFormatting sqref="K28">
    <cfRule type="cellIs" dxfId="12624" priority="517" operator="equal">
      <formula>"PMS"</formula>
    </cfRule>
    <cfRule type="containsText" dxfId="12623" priority="518" operator="containsText" text="CMS">
      <formula>NOT(ISERROR(SEARCH("CMS",K28)))</formula>
    </cfRule>
    <cfRule type="cellIs" dxfId="12622" priority="519" operator="equal">
      <formula>0</formula>
    </cfRule>
    <cfRule type="cellIs" dxfId="12621" priority="520" operator="greaterThan">
      <formula>0</formula>
    </cfRule>
  </conditionalFormatting>
  <conditionalFormatting sqref="N62:O62 O63:O64">
    <cfRule type="cellIs" dxfId="12620" priority="509" operator="equal">
      <formula>"PMS"</formula>
    </cfRule>
    <cfRule type="containsText" dxfId="12619" priority="510" operator="containsText" text="CMS">
      <formula>NOT(ISERROR(SEARCH("CMS",N62)))</formula>
    </cfRule>
    <cfRule type="cellIs" dxfId="12618" priority="511" operator="equal">
      <formula>0</formula>
    </cfRule>
    <cfRule type="cellIs" dxfId="12617" priority="512" operator="greaterThan">
      <formula>0</formula>
    </cfRule>
    <cfRule type="cellIs" dxfId="12616" priority="513" operator="equal">
      <formula>"PMS"</formula>
    </cfRule>
    <cfRule type="containsText" dxfId="12615" priority="514" operator="containsText" text="CMS">
      <formula>NOT(ISERROR(SEARCH("CMS",N62)))</formula>
    </cfRule>
    <cfRule type="cellIs" dxfId="12614" priority="515" operator="equal">
      <formula>0</formula>
    </cfRule>
    <cfRule type="cellIs" dxfId="12613" priority="516" operator="greaterThan">
      <formula>0</formula>
    </cfRule>
  </conditionalFormatting>
  <conditionalFormatting sqref="N62:O62 O63:O64">
    <cfRule type="cellIs" dxfId="12612" priority="505" operator="equal">
      <formula>"PMS"</formula>
    </cfRule>
    <cfRule type="containsText" dxfId="12611" priority="506" operator="containsText" text="CMS">
      <formula>NOT(ISERROR(SEARCH("CMS",N62)))</formula>
    </cfRule>
    <cfRule type="cellIs" dxfId="12610" priority="507" operator="equal">
      <formula>0</formula>
    </cfRule>
    <cfRule type="cellIs" dxfId="12609" priority="508" operator="greaterThan">
      <formula>0</formula>
    </cfRule>
  </conditionalFormatting>
  <conditionalFormatting sqref="J14">
    <cfRule type="cellIs" dxfId="12608" priority="497" operator="equal">
      <formula>"PMS"</formula>
    </cfRule>
    <cfRule type="containsText" dxfId="12607" priority="498" operator="containsText" text="CMS">
      <formula>NOT(ISERROR(SEARCH("CMS",J14)))</formula>
    </cfRule>
    <cfRule type="cellIs" dxfId="12606" priority="499" operator="equal">
      <formula>0</formula>
    </cfRule>
    <cfRule type="cellIs" dxfId="12605" priority="500" operator="greaterThan">
      <formula>0</formula>
    </cfRule>
    <cfRule type="cellIs" dxfId="12604" priority="501" operator="equal">
      <formula>"PMS"</formula>
    </cfRule>
    <cfRule type="containsText" dxfId="12603" priority="502" operator="containsText" text="CMS">
      <formula>NOT(ISERROR(SEARCH("CMS",J14)))</formula>
    </cfRule>
    <cfRule type="cellIs" dxfId="12602" priority="503" operator="equal">
      <formula>0</formula>
    </cfRule>
    <cfRule type="cellIs" dxfId="12601" priority="504" operator="greaterThan">
      <formula>0</formula>
    </cfRule>
  </conditionalFormatting>
  <conditionalFormatting sqref="J14">
    <cfRule type="cellIs" dxfId="12600" priority="493" operator="equal">
      <formula>"PMS"</formula>
    </cfRule>
    <cfRule type="containsText" dxfId="12599" priority="494" operator="containsText" text="CMS">
      <formula>NOT(ISERROR(SEARCH("CMS",J14)))</formula>
    </cfRule>
    <cfRule type="cellIs" dxfId="12598" priority="495" operator="equal">
      <formula>0</formula>
    </cfRule>
    <cfRule type="cellIs" dxfId="12597" priority="496" operator="greaterThan">
      <formula>0</formula>
    </cfRule>
  </conditionalFormatting>
  <conditionalFormatting sqref="U28">
    <cfRule type="cellIs" dxfId="12596" priority="485" operator="equal">
      <formula>"PMS"</formula>
    </cfRule>
    <cfRule type="containsText" dxfId="12595" priority="486" operator="containsText" text="CMS">
      <formula>NOT(ISERROR(SEARCH("CMS",U28)))</formula>
    </cfRule>
    <cfRule type="cellIs" dxfId="12594" priority="487" operator="equal">
      <formula>0</formula>
    </cfRule>
    <cfRule type="cellIs" dxfId="12593" priority="488" operator="greaterThan">
      <formula>0</formula>
    </cfRule>
    <cfRule type="cellIs" dxfId="12592" priority="489" operator="equal">
      <formula>"PMS"</formula>
    </cfRule>
    <cfRule type="containsText" dxfId="12591" priority="490" operator="containsText" text="CMS">
      <formula>NOT(ISERROR(SEARCH("CMS",U28)))</formula>
    </cfRule>
    <cfRule type="cellIs" dxfId="12590" priority="491" operator="equal">
      <formula>0</formula>
    </cfRule>
    <cfRule type="cellIs" dxfId="12589" priority="492" operator="greaterThan">
      <formula>0</formula>
    </cfRule>
  </conditionalFormatting>
  <conditionalFormatting sqref="U28">
    <cfRule type="cellIs" dxfId="12588" priority="481" operator="equal">
      <formula>"PMS"</formula>
    </cfRule>
    <cfRule type="containsText" dxfId="12587" priority="482" operator="containsText" text="CMS">
      <formula>NOT(ISERROR(SEARCH("CMS",U28)))</formula>
    </cfRule>
    <cfRule type="cellIs" dxfId="12586" priority="483" operator="equal">
      <formula>0</formula>
    </cfRule>
    <cfRule type="cellIs" dxfId="12585" priority="484" operator="greaterThan">
      <formula>0</formula>
    </cfRule>
  </conditionalFormatting>
  <conditionalFormatting sqref="Y27:AA27">
    <cfRule type="cellIs" dxfId="12584" priority="473" operator="equal">
      <formula>"PMS"</formula>
    </cfRule>
    <cfRule type="containsText" dxfId="12583" priority="474" operator="containsText" text="CMS">
      <formula>NOT(ISERROR(SEARCH("CMS",Y27)))</formula>
    </cfRule>
    <cfRule type="cellIs" dxfId="12582" priority="475" operator="equal">
      <formula>0</formula>
    </cfRule>
    <cfRule type="cellIs" dxfId="12581" priority="476" operator="greaterThan">
      <formula>0</formula>
    </cfRule>
    <cfRule type="cellIs" dxfId="12580" priority="477" operator="equal">
      <formula>"PMS"</formula>
    </cfRule>
    <cfRule type="containsText" dxfId="12579" priority="478" operator="containsText" text="CMS">
      <formula>NOT(ISERROR(SEARCH("CMS",Y27)))</formula>
    </cfRule>
    <cfRule type="cellIs" dxfId="12578" priority="479" operator="equal">
      <formula>0</formula>
    </cfRule>
    <cfRule type="cellIs" dxfId="12577" priority="480" operator="greaterThan">
      <formula>0</formula>
    </cfRule>
  </conditionalFormatting>
  <conditionalFormatting sqref="Y27:AA27">
    <cfRule type="cellIs" dxfId="12576" priority="469" operator="equal">
      <formula>"PMS"</formula>
    </cfRule>
    <cfRule type="containsText" dxfId="12575" priority="470" operator="containsText" text="CMS">
      <formula>NOT(ISERROR(SEARCH("CMS",Y27)))</formula>
    </cfRule>
    <cfRule type="cellIs" dxfId="12574" priority="471" operator="equal">
      <formula>0</formula>
    </cfRule>
    <cfRule type="cellIs" dxfId="12573" priority="472" operator="greaterThan">
      <formula>0</formula>
    </cfRule>
  </conditionalFormatting>
  <conditionalFormatting sqref="G62:G64">
    <cfRule type="cellIs" dxfId="12572" priority="461" operator="equal">
      <formula>"PMS"</formula>
    </cfRule>
    <cfRule type="containsText" dxfId="12571" priority="462" operator="containsText" text="CMS">
      <formula>NOT(ISERROR(SEARCH("CMS",G62)))</formula>
    </cfRule>
    <cfRule type="cellIs" dxfId="12570" priority="463" operator="equal">
      <formula>0</formula>
    </cfRule>
    <cfRule type="cellIs" dxfId="12569" priority="464" operator="greaterThan">
      <formula>0</formula>
    </cfRule>
    <cfRule type="cellIs" dxfId="12568" priority="465" operator="equal">
      <formula>"PMS"</formula>
    </cfRule>
    <cfRule type="containsText" dxfId="12567" priority="466" operator="containsText" text="CMS">
      <formula>NOT(ISERROR(SEARCH("CMS",G62)))</formula>
    </cfRule>
    <cfRule type="cellIs" dxfId="12566" priority="467" operator="equal">
      <formula>0</formula>
    </cfRule>
    <cfRule type="cellIs" dxfId="12565" priority="468" operator="greaterThan">
      <formula>0</formula>
    </cfRule>
  </conditionalFormatting>
  <conditionalFormatting sqref="G62:G64">
    <cfRule type="cellIs" dxfId="12564" priority="457" operator="equal">
      <formula>"PMS"</formula>
    </cfRule>
    <cfRule type="containsText" dxfId="12563" priority="458" operator="containsText" text="CMS">
      <formula>NOT(ISERROR(SEARCH("CMS",G62)))</formula>
    </cfRule>
    <cfRule type="cellIs" dxfId="12562" priority="459" operator="equal">
      <formula>0</formula>
    </cfRule>
    <cfRule type="cellIs" dxfId="12561" priority="460" operator="greaterThan">
      <formula>0</formula>
    </cfRule>
  </conditionalFormatting>
  <conditionalFormatting sqref="N40">
    <cfRule type="cellIs" dxfId="12560" priority="449" operator="equal">
      <formula>"PMS"</formula>
    </cfRule>
    <cfRule type="containsText" dxfId="12559" priority="450" operator="containsText" text="CMS">
      <formula>NOT(ISERROR(SEARCH("CMS",N40)))</formula>
    </cfRule>
    <cfRule type="cellIs" dxfId="12558" priority="451" operator="equal">
      <formula>0</formula>
    </cfRule>
    <cfRule type="cellIs" dxfId="12557" priority="452" operator="greaterThan">
      <formula>0</formula>
    </cfRule>
    <cfRule type="cellIs" dxfId="12556" priority="453" operator="equal">
      <formula>"PMS"</formula>
    </cfRule>
    <cfRule type="containsText" dxfId="12555" priority="454" operator="containsText" text="CMS">
      <formula>NOT(ISERROR(SEARCH("CMS",N40)))</formula>
    </cfRule>
    <cfRule type="cellIs" dxfId="12554" priority="455" operator="equal">
      <formula>0</formula>
    </cfRule>
    <cfRule type="cellIs" dxfId="12553" priority="456" operator="greaterThan">
      <formula>0</formula>
    </cfRule>
  </conditionalFormatting>
  <conditionalFormatting sqref="N40">
    <cfRule type="cellIs" dxfId="12552" priority="445" operator="equal">
      <formula>"PMS"</formula>
    </cfRule>
    <cfRule type="containsText" dxfId="12551" priority="446" operator="containsText" text="CMS">
      <formula>NOT(ISERROR(SEARCH("CMS",N40)))</formula>
    </cfRule>
    <cfRule type="cellIs" dxfId="12550" priority="447" operator="equal">
      <formula>0</formula>
    </cfRule>
    <cfRule type="cellIs" dxfId="12549" priority="448" operator="greaterThan">
      <formula>0</formula>
    </cfRule>
  </conditionalFormatting>
  <conditionalFormatting sqref="O30">
    <cfRule type="cellIs" dxfId="12548" priority="437" operator="equal">
      <formula>"PMS"</formula>
    </cfRule>
    <cfRule type="containsText" dxfId="12547" priority="438" operator="containsText" text="CMS">
      <formula>NOT(ISERROR(SEARCH("CMS",O30)))</formula>
    </cfRule>
    <cfRule type="cellIs" dxfId="12546" priority="439" operator="equal">
      <formula>0</formula>
    </cfRule>
    <cfRule type="cellIs" dxfId="12545" priority="440" operator="greaterThan">
      <formula>0</formula>
    </cfRule>
    <cfRule type="cellIs" dxfId="12544" priority="441" operator="equal">
      <formula>"PMS"</formula>
    </cfRule>
    <cfRule type="containsText" dxfId="12543" priority="442" operator="containsText" text="CMS">
      <formula>NOT(ISERROR(SEARCH("CMS",O30)))</formula>
    </cfRule>
    <cfRule type="cellIs" dxfId="12542" priority="443" operator="equal">
      <formula>0</formula>
    </cfRule>
    <cfRule type="cellIs" dxfId="12541" priority="444" operator="greaterThan">
      <formula>0</formula>
    </cfRule>
  </conditionalFormatting>
  <conditionalFormatting sqref="O30">
    <cfRule type="cellIs" dxfId="12540" priority="433" operator="equal">
      <formula>"PMS"</formula>
    </cfRule>
    <cfRule type="containsText" dxfId="12539" priority="434" operator="containsText" text="CMS">
      <formula>NOT(ISERROR(SEARCH("CMS",O30)))</formula>
    </cfRule>
    <cfRule type="cellIs" dxfId="12538" priority="435" operator="equal">
      <formula>0</formula>
    </cfRule>
    <cfRule type="cellIs" dxfId="12537" priority="436" operator="greaterThan">
      <formula>0</formula>
    </cfRule>
  </conditionalFormatting>
  <conditionalFormatting sqref="O47:O49">
    <cfRule type="cellIs" dxfId="12536" priority="425" operator="equal">
      <formula>"PMS"</formula>
    </cfRule>
    <cfRule type="containsText" dxfId="12535" priority="426" operator="containsText" text="CMS">
      <formula>NOT(ISERROR(SEARCH("CMS",O47)))</formula>
    </cfRule>
    <cfRule type="cellIs" dxfId="12534" priority="427" operator="equal">
      <formula>0</formula>
    </cfRule>
    <cfRule type="cellIs" dxfId="12533" priority="428" operator="greaterThan">
      <formula>0</formula>
    </cfRule>
    <cfRule type="cellIs" dxfId="12532" priority="429" operator="equal">
      <formula>"PMS"</formula>
    </cfRule>
    <cfRule type="containsText" dxfId="12531" priority="430" operator="containsText" text="CMS">
      <formula>NOT(ISERROR(SEARCH("CMS",O47)))</formula>
    </cfRule>
    <cfRule type="cellIs" dxfId="12530" priority="431" operator="equal">
      <formula>0</formula>
    </cfRule>
    <cfRule type="cellIs" dxfId="12529" priority="432" operator="greaterThan">
      <formula>0</formula>
    </cfRule>
  </conditionalFormatting>
  <conditionalFormatting sqref="O47:O49">
    <cfRule type="cellIs" dxfId="12528" priority="421" operator="equal">
      <formula>"PMS"</formula>
    </cfRule>
    <cfRule type="containsText" dxfId="12527" priority="422" operator="containsText" text="CMS">
      <formula>NOT(ISERROR(SEARCH("CMS",O47)))</formula>
    </cfRule>
    <cfRule type="cellIs" dxfId="12526" priority="423" operator="equal">
      <formula>0</formula>
    </cfRule>
    <cfRule type="cellIs" dxfId="12525" priority="424" operator="greaterThan">
      <formula>0</formula>
    </cfRule>
  </conditionalFormatting>
  <conditionalFormatting sqref="F82">
    <cfRule type="cellIs" dxfId="12524" priority="413" operator="equal">
      <formula>"PMS"</formula>
    </cfRule>
    <cfRule type="containsText" dxfId="12523" priority="414" operator="containsText" text="CMS">
      <formula>NOT(ISERROR(SEARCH("CMS",F82)))</formula>
    </cfRule>
    <cfRule type="cellIs" dxfId="12522" priority="415" operator="equal">
      <formula>0</formula>
    </cfRule>
    <cfRule type="cellIs" dxfId="12521" priority="416" operator="greaterThan">
      <formula>0</formula>
    </cfRule>
    <cfRule type="cellIs" dxfId="12520" priority="417" operator="equal">
      <formula>"PMS"</formula>
    </cfRule>
    <cfRule type="containsText" dxfId="12519" priority="418" operator="containsText" text="CMS">
      <formula>NOT(ISERROR(SEARCH("CMS",F82)))</formula>
    </cfRule>
    <cfRule type="cellIs" dxfId="12518" priority="419" operator="equal">
      <formula>0</formula>
    </cfRule>
    <cfRule type="cellIs" dxfId="12517" priority="420" operator="greaterThan">
      <formula>0</formula>
    </cfRule>
  </conditionalFormatting>
  <conditionalFormatting sqref="F82">
    <cfRule type="cellIs" dxfId="12516" priority="409" operator="equal">
      <formula>"PMS"</formula>
    </cfRule>
    <cfRule type="containsText" dxfId="12515" priority="410" operator="containsText" text="CMS">
      <formula>NOT(ISERROR(SEARCH("CMS",F82)))</formula>
    </cfRule>
    <cfRule type="cellIs" dxfId="12514" priority="411" operator="equal">
      <formula>0</formula>
    </cfRule>
    <cfRule type="cellIs" dxfId="12513" priority="412" operator="greaterThan">
      <formula>0</formula>
    </cfRule>
  </conditionalFormatting>
  <conditionalFormatting sqref="H15">
    <cfRule type="cellIs" dxfId="12512" priority="401" operator="equal">
      <formula>"PMS"</formula>
    </cfRule>
    <cfRule type="containsText" dxfId="12511" priority="402" operator="containsText" text="CMS">
      <formula>NOT(ISERROR(SEARCH("CMS",H15)))</formula>
    </cfRule>
    <cfRule type="cellIs" dxfId="12510" priority="403" operator="equal">
      <formula>0</formula>
    </cfRule>
    <cfRule type="cellIs" dxfId="12509" priority="404" operator="greaterThan">
      <formula>0</formula>
    </cfRule>
    <cfRule type="cellIs" dxfId="12508" priority="405" operator="equal">
      <formula>"PMS"</formula>
    </cfRule>
    <cfRule type="containsText" dxfId="12507" priority="406" operator="containsText" text="CMS">
      <formula>NOT(ISERROR(SEARCH("CMS",H15)))</formula>
    </cfRule>
    <cfRule type="cellIs" dxfId="12506" priority="407" operator="equal">
      <formula>0</formula>
    </cfRule>
    <cfRule type="cellIs" dxfId="12505" priority="408" operator="greaterThan">
      <formula>0</formula>
    </cfRule>
  </conditionalFormatting>
  <conditionalFormatting sqref="H15">
    <cfRule type="cellIs" dxfId="12504" priority="397" operator="equal">
      <formula>"PMS"</formula>
    </cfRule>
    <cfRule type="containsText" dxfId="12503" priority="398" operator="containsText" text="CMS">
      <formula>NOT(ISERROR(SEARCH("CMS",H15)))</formula>
    </cfRule>
    <cfRule type="cellIs" dxfId="12502" priority="399" operator="equal">
      <formula>0</formula>
    </cfRule>
    <cfRule type="cellIs" dxfId="12501" priority="400" operator="greaterThan">
      <formula>0</formula>
    </cfRule>
  </conditionalFormatting>
  <conditionalFormatting sqref="G14">
    <cfRule type="cellIs" dxfId="12500" priority="389" operator="equal">
      <formula>"PMS"</formula>
    </cfRule>
    <cfRule type="containsText" dxfId="12499" priority="390" operator="containsText" text="CMS">
      <formula>NOT(ISERROR(SEARCH("CMS",G14)))</formula>
    </cfRule>
    <cfRule type="cellIs" dxfId="12498" priority="391" operator="equal">
      <formula>0</formula>
    </cfRule>
    <cfRule type="cellIs" dxfId="12497" priority="392" operator="greaterThan">
      <formula>0</formula>
    </cfRule>
    <cfRule type="cellIs" dxfId="12496" priority="393" operator="equal">
      <formula>"PMS"</formula>
    </cfRule>
    <cfRule type="containsText" dxfId="12495" priority="394" operator="containsText" text="CMS">
      <formula>NOT(ISERROR(SEARCH("CMS",G14)))</formula>
    </cfRule>
    <cfRule type="cellIs" dxfId="12494" priority="395" operator="equal">
      <formula>0</formula>
    </cfRule>
    <cfRule type="cellIs" dxfId="12493" priority="396" operator="greaterThan">
      <formula>0</formula>
    </cfRule>
  </conditionalFormatting>
  <conditionalFormatting sqref="G14">
    <cfRule type="cellIs" dxfId="12492" priority="385" operator="equal">
      <formula>"PMS"</formula>
    </cfRule>
    <cfRule type="containsText" dxfId="12491" priority="386" operator="containsText" text="CMS">
      <formula>NOT(ISERROR(SEARCH("CMS",G14)))</formula>
    </cfRule>
    <cfRule type="cellIs" dxfId="12490" priority="387" operator="equal">
      <formula>0</formula>
    </cfRule>
    <cfRule type="cellIs" dxfId="12489" priority="388" operator="greaterThan">
      <formula>0</formula>
    </cfRule>
  </conditionalFormatting>
  <conditionalFormatting sqref="N56">
    <cfRule type="cellIs" dxfId="12488" priority="365" operator="equal">
      <formula>"PMS"</formula>
    </cfRule>
    <cfRule type="containsText" dxfId="12487" priority="366" operator="containsText" text="CMS">
      <formula>NOT(ISERROR(SEARCH("CMS",N56)))</formula>
    </cfRule>
    <cfRule type="cellIs" dxfId="12486" priority="367" operator="equal">
      <formula>0</formula>
    </cfRule>
    <cfRule type="cellIs" dxfId="12485" priority="368" operator="greaterThan">
      <formula>0</formula>
    </cfRule>
    <cfRule type="cellIs" dxfId="12484" priority="369" operator="equal">
      <formula>"PMS"</formula>
    </cfRule>
    <cfRule type="containsText" dxfId="12483" priority="370" operator="containsText" text="CMS">
      <formula>NOT(ISERROR(SEARCH("CMS",N56)))</formula>
    </cfRule>
    <cfRule type="cellIs" dxfId="12482" priority="371" operator="equal">
      <formula>0</formula>
    </cfRule>
    <cfRule type="cellIs" dxfId="12481" priority="372" operator="greaterThan">
      <formula>0</formula>
    </cfRule>
  </conditionalFormatting>
  <conditionalFormatting sqref="N56">
    <cfRule type="cellIs" dxfId="12480" priority="361" operator="equal">
      <formula>"PMS"</formula>
    </cfRule>
    <cfRule type="containsText" dxfId="12479" priority="362" operator="containsText" text="CMS">
      <formula>NOT(ISERROR(SEARCH("CMS",N56)))</formula>
    </cfRule>
    <cfRule type="cellIs" dxfId="12478" priority="363" operator="equal">
      <formula>0</formula>
    </cfRule>
    <cfRule type="cellIs" dxfId="12477" priority="364" operator="greaterThan">
      <formula>0</formula>
    </cfRule>
  </conditionalFormatting>
  <conditionalFormatting sqref="N63:N64">
    <cfRule type="cellIs" dxfId="12476" priority="353" operator="equal">
      <formula>"PMS"</formula>
    </cfRule>
    <cfRule type="containsText" dxfId="12475" priority="354" operator="containsText" text="CMS">
      <formula>NOT(ISERROR(SEARCH("CMS",N63)))</formula>
    </cfRule>
    <cfRule type="cellIs" dxfId="12474" priority="355" operator="equal">
      <formula>0</formula>
    </cfRule>
    <cfRule type="cellIs" dxfId="12473" priority="356" operator="greaterThan">
      <formula>0</formula>
    </cfRule>
    <cfRule type="cellIs" dxfId="12472" priority="357" operator="equal">
      <formula>"PMS"</formula>
    </cfRule>
    <cfRule type="containsText" dxfId="12471" priority="358" operator="containsText" text="CMS">
      <formula>NOT(ISERROR(SEARCH("CMS",N63)))</formula>
    </cfRule>
    <cfRule type="cellIs" dxfId="12470" priority="359" operator="equal">
      <formula>0</formula>
    </cfRule>
    <cfRule type="cellIs" dxfId="12469" priority="360" operator="greaterThan">
      <formula>0</formula>
    </cfRule>
  </conditionalFormatting>
  <conditionalFormatting sqref="N63:N64">
    <cfRule type="cellIs" dxfId="12468" priority="349" operator="equal">
      <formula>"PMS"</formula>
    </cfRule>
    <cfRule type="containsText" dxfId="12467" priority="350" operator="containsText" text="CMS">
      <formula>NOT(ISERROR(SEARCH("CMS",N63)))</formula>
    </cfRule>
    <cfRule type="cellIs" dxfId="12466" priority="351" operator="equal">
      <formula>0</formula>
    </cfRule>
    <cfRule type="cellIs" dxfId="12465" priority="352" operator="greaterThan">
      <formula>0</formula>
    </cfRule>
  </conditionalFormatting>
  <conditionalFormatting sqref="G78:K78">
    <cfRule type="cellIs" dxfId="12464" priority="341" operator="equal">
      <formula>"PMS"</formula>
    </cfRule>
    <cfRule type="containsText" dxfId="12463" priority="342" operator="containsText" text="CMS">
      <formula>NOT(ISERROR(SEARCH("CMS",G78)))</formula>
    </cfRule>
    <cfRule type="cellIs" dxfId="12462" priority="343" operator="equal">
      <formula>0</formula>
    </cfRule>
    <cfRule type="cellIs" dxfId="12461" priority="344" operator="greaterThan">
      <formula>0</formula>
    </cfRule>
    <cfRule type="cellIs" dxfId="12460" priority="345" operator="equal">
      <formula>"PMS"</formula>
    </cfRule>
    <cfRule type="containsText" dxfId="12459" priority="346" operator="containsText" text="CMS">
      <formula>NOT(ISERROR(SEARCH("CMS",G78)))</formula>
    </cfRule>
    <cfRule type="cellIs" dxfId="12458" priority="347" operator="equal">
      <formula>0</formula>
    </cfRule>
    <cfRule type="cellIs" dxfId="12457" priority="348" operator="greaterThan">
      <formula>0</formula>
    </cfRule>
  </conditionalFormatting>
  <conditionalFormatting sqref="G78:K78">
    <cfRule type="cellIs" dxfId="12456" priority="337" operator="equal">
      <formula>"PMS"</formula>
    </cfRule>
    <cfRule type="containsText" dxfId="12455" priority="338" operator="containsText" text="CMS">
      <formula>NOT(ISERROR(SEARCH("CMS",G78)))</formula>
    </cfRule>
    <cfRule type="cellIs" dxfId="12454" priority="339" operator="equal">
      <formula>0</formula>
    </cfRule>
    <cfRule type="cellIs" dxfId="12453" priority="340" operator="greaterThan">
      <formula>0</formula>
    </cfRule>
  </conditionalFormatting>
  <conditionalFormatting sqref="L78">
    <cfRule type="cellIs" dxfId="12452" priority="317" operator="equal">
      <formula>"PMS"</formula>
    </cfRule>
    <cfRule type="containsText" dxfId="12451" priority="318" operator="containsText" text="CMS">
      <formula>NOT(ISERROR(SEARCH("CMS",L78)))</formula>
    </cfRule>
    <cfRule type="cellIs" dxfId="12450" priority="319" operator="equal">
      <formula>0</formula>
    </cfRule>
    <cfRule type="cellIs" dxfId="12449" priority="320" operator="greaterThan">
      <formula>0</formula>
    </cfRule>
    <cfRule type="cellIs" dxfId="12448" priority="321" operator="equal">
      <formula>"PMS"</formula>
    </cfRule>
    <cfRule type="containsText" dxfId="12447" priority="322" operator="containsText" text="CMS">
      <formula>NOT(ISERROR(SEARCH("CMS",L78)))</formula>
    </cfRule>
    <cfRule type="cellIs" dxfId="12446" priority="323" operator="equal">
      <formula>0</formula>
    </cfRule>
    <cfRule type="cellIs" dxfId="12445" priority="324" operator="greaterThan">
      <formula>0</formula>
    </cfRule>
  </conditionalFormatting>
  <conditionalFormatting sqref="L78">
    <cfRule type="cellIs" dxfId="12444" priority="313" operator="equal">
      <formula>"PMS"</formula>
    </cfRule>
    <cfRule type="containsText" dxfId="12443" priority="314" operator="containsText" text="CMS">
      <formula>NOT(ISERROR(SEARCH("CMS",L78)))</formula>
    </cfRule>
    <cfRule type="cellIs" dxfId="12442" priority="315" operator="equal">
      <formula>0</formula>
    </cfRule>
    <cfRule type="cellIs" dxfId="12441" priority="316" operator="greaterThan">
      <formula>0</formula>
    </cfRule>
  </conditionalFormatting>
  <conditionalFormatting sqref="R27:R28">
    <cfRule type="cellIs" dxfId="12440" priority="305" operator="equal">
      <formula>"PMS"</formula>
    </cfRule>
    <cfRule type="containsText" dxfId="12439" priority="306" operator="containsText" text="CMS">
      <formula>NOT(ISERROR(SEARCH("CMS",R27)))</formula>
    </cfRule>
    <cfRule type="cellIs" dxfId="12438" priority="307" operator="equal">
      <formula>0</formula>
    </cfRule>
    <cfRule type="cellIs" dxfId="12437" priority="308" operator="greaterThan">
      <formula>0</formula>
    </cfRule>
    <cfRule type="cellIs" dxfId="12436" priority="309" operator="equal">
      <formula>"PMS"</formula>
    </cfRule>
    <cfRule type="containsText" dxfId="12435" priority="310" operator="containsText" text="CMS">
      <formula>NOT(ISERROR(SEARCH("CMS",R27)))</formula>
    </cfRule>
    <cfRule type="cellIs" dxfId="12434" priority="311" operator="equal">
      <formula>0</formula>
    </cfRule>
    <cfRule type="cellIs" dxfId="12433" priority="312" operator="greaterThan">
      <formula>0</formula>
    </cfRule>
  </conditionalFormatting>
  <conditionalFormatting sqref="R27:R28">
    <cfRule type="cellIs" dxfId="12432" priority="301" operator="equal">
      <formula>"PMS"</formula>
    </cfRule>
    <cfRule type="containsText" dxfId="12431" priority="302" operator="containsText" text="CMS">
      <formula>NOT(ISERROR(SEARCH("CMS",R27)))</formula>
    </cfRule>
    <cfRule type="cellIs" dxfId="12430" priority="303" operator="equal">
      <formula>0</formula>
    </cfRule>
    <cfRule type="cellIs" dxfId="12429" priority="304" operator="greaterThan">
      <formula>0</formula>
    </cfRule>
  </conditionalFormatting>
  <conditionalFormatting sqref="W78">
    <cfRule type="cellIs" dxfId="12428" priority="293" operator="equal">
      <formula>"PMS"</formula>
    </cfRule>
    <cfRule type="containsText" dxfId="12427" priority="294" operator="containsText" text="CMS">
      <formula>NOT(ISERROR(SEARCH("CMS",W78)))</formula>
    </cfRule>
    <cfRule type="cellIs" dxfId="12426" priority="295" operator="equal">
      <formula>0</formula>
    </cfRule>
    <cfRule type="cellIs" dxfId="12425" priority="296" operator="greaterThan">
      <formula>0</formula>
    </cfRule>
    <cfRule type="cellIs" dxfId="12424" priority="297" operator="equal">
      <formula>"PMS"</formula>
    </cfRule>
    <cfRule type="containsText" dxfId="12423" priority="298" operator="containsText" text="CMS">
      <formula>NOT(ISERROR(SEARCH("CMS",W78)))</formula>
    </cfRule>
    <cfRule type="cellIs" dxfId="12422" priority="299" operator="equal">
      <formula>0</formula>
    </cfRule>
    <cfRule type="cellIs" dxfId="12421" priority="300" operator="greaterThan">
      <formula>0</formula>
    </cfRule>
  </conditionalFormatting>
  <conditionalFormatting sqref="W78">
    <cfRule type="cellIs" dxfId="12420" priority="289" operator="equal">
      <formula>"PMS"</formula>
    </cfRule>
    <cfRule type="containsText" dxfId="12419" priority="290" operator="containsText" text="CMS">
      <formula>NOT(ISERROR(SEARCH("CMS",W78)))</formula>
    </cfRule>
    <cfRule type="cellIs" dxfId="12418" priority="291" operator="equal">
      <formula>0</formula>
    </cfRule>
    <cfRule type="cellIs" dxfId="12417" priority="292" operator="greaterThan">
      <formula>0</formula>
    </cfRule>
  </conditionalFormatting>
  <conditionalFormatting sqref="L30:M30">
    <cfRule type="cellIs" dxfId="12416" priority="233" operator="equal">
      <formula>"PMS"</formula>
    </cfRule>
    <cfRule type="containsText" dxfId="12415" priority="234" operator="containsText" text="CMS">
      <formula>NOT(ISERROR(SEARCH("CMS",L30)))</formula>
    </cfRule>
    <cfRule type="cellIs" dxfId="12414" priority="235" operator="equal">
      <formula>0</formula>
    </cfRule>
    <cfRule type="cellIs" dxfId="12413" priority="236" operator="greaterThan">
      <formula>0</formula>
    </cfRule>
    <cfRule type="cellIs" dxfId="12412" priority="237" operator="equal">
      <formula>"PMS"</formula>
    </cfRule>
    <cfRule type="containsText" dxfId="12411" priority="238" operator="containsText" text="CMS">
      <formula>NOT(ISERROR(SEARCH("CMS",L30)))</formula>
    </cfRule>
    <cfRule type="cellIs" dxfId="12410" priority="239" operator="equal">
      <formula>0</formula>
    </cfRule>
    <cfRule type="cellIs" dxfId="12409" priority="240" operator="greaterThan">
      <formula>0</formula>
    </cfRule>
  </conditionalFormatting>
  <conditionalFormatting sqref="L30:M30">
    <cfRule type="cellIs" dxfId="12408" priority="229" operator="equal">
      <formula>"PMS"</formula>
    </cfRule>
    <cfRule type="containsText" dxfId="12407" priority="230" operator="containsText" text="CMS">
      <formula>NOT(ISERROR(SEARCH("CMS",L30)))</formula>
    </cfRule>
    <cfRule type="cellIs" dxfId="12406" priority="231" operator="equal">
      <formula>0</formula>
    </cfRule>
    <cfRule type="cellIs" dxfId="12405" priority="232" operator="greaterThan">
      <formula>0</formula>
    </cfRule>
  </conditionalFormatting>
  <conditionalFormatting sqref="G79">
    <cfRule type="cellIs" dxfId="12404" priority="149" operator="equal">
      <formula>"PMS"</formula>
    </cfRule>
    <cfRule type="containsText" dxfId="12403" priority="150" operator="containsText" text="CMS">
      <formula>NOT(ISERROR(SEARCH("CMS",G79)))</formula>
    </cfRule>
    <cfRule type="cellIs" dxfId="12402" priority="151" operator="equal">
      <formula>0</formula>
    </cfRule>
    <cfRule type="cellIs" dxfId="12401" priority="152" operator="greaterThan">
      <formula>0</formula>
    </cfRule>
    <cfRule type="cellIs" dxfId="12400" priority="153" operator="equal">
      <formula>"PMS"</formula>
    </cfRule>
    <cfRule type="containsText" dxfId="12399" priority="154" operator="containsText" text="CMS">
      <formula>NOT(ISERROR(SEARCH("CMS",G79)))</formula>
    </cfRule>
    <cfRule type="cellIs" dxfId="12398" priority="155" operator="equal">
      <formula>0</formula>
    </cfRule>
    <cfRule type="cellIs" dxfId="12397" priority="156" operator="greaterThan">
      <formula>0</formula>
    </cfRule>
  </conditionalFormatting>
  <conditionalFormatting sqref="G79">
    <cfRule type="cellIs" dxfId="12396" priority="145" operator="equal">
      <formula>"PMS"</formula>
    </cfRule>
    <cfRule type="containsText" dxfId="12395" priority="146" operator="containsText" text="CMS">
      <formula>NOT(ISERROR(SEARCH("CMS",G79)))</formula>
    </cfRule>
    <cfRule type="cellIs" dxfId="12394" priority="147" operator="equal">
      <formula>0</formula>
    </cfRule>
    <cfRule type="cellIs" dxfId="12393" priority="148" operator="greaterThan">
      <formula>0</formula>
    </cfRule>
  </conditionalFormatting>
  <conditionalFormatting sqref="R78">
    <cfRule type="cellIs" dxfId="12392" priority="125" operator="equal">
      <formula>"PMS"</formula>
    </cfRule>
    <cfRule type="containsText" dxfId="12391" priority="126" operator="containsText" text="CMS">
      <formula>NOT(ISERROR(SEARCH("CMS",R78)))</formula>
    </cfRule>
    <cfRule type="cellIs" dxfId="12390" priority="127" operator="equal">
      <formula>0</formula>
    </cfRule>
    <cfRule type="cellIs" dxfId="12389" priority="128" operator="greaterThan">
      <formula>0</formula>
    </cfRule>
    <cfRule type="cellIs" dxfId="12388" priority="129" operator="equal">
      <formula>"PMS"</formula>
    </cfRule>
    <cfRule type="containsText" dxfId="12387" priority="130" operator="containsText" text="CMS">
      <formula>NOT(ISERROR(SEARCH("CMS",R78)))</formula>
    </cfRule>
    <cfRule type="cellIs" dxfId="12386" priority="131" operator="equal">
      <formula>0</formula>
    </cfRule>
    <cfRule type="cellIs" dxfId="12385" priority="132" operator="greaterThan">
      <formula>0</formula>
    </cfRule>
  </conditionalFormatting>
  <conditionalFormatting sqref="R78">
    <cfRule type="cellIs" dxfId="12384" priority="121" operator="equal">
      <formula>"PMS"</formula>
    </cfRule>
    <cfRule type="containsText" dxfId="12383" priority="122" operator="containsText" text="CMS">
      <formula>NOT(ISERROR(SEARCH("CMS",R78)))</formula>
    </cfRule>
    <cfRule type="cellIs" dxfId="12382" priority="123" operator="equal">
      <formula>0</formula>
    </cfRule>
    <cfRule type="cellIs" dxfId="12381" priority="124" operator="greaterThan">
      <formula>0</formula>
    </cfRule>
  </conditionalFormatting>
  <conditionalFormatting sqref="F13:F16 F36:F59 F62:F64">
    <cfRule type="cellIs" dxfId="12380" priority="113" operator="equal">
      <formula>"PMS"</formula>
    </cfRule>
    <cfRule type="containsText" dxfId="12379" priority="114" operator="containsText" text="CMS">
      <formula>NOT(ISERROR(SEARCH("CMS",F13)))</formula>
    </cfRule>
    <cfRule type="cellIs" dxfId="12378" priority="115" operator="equal">
      <formula>0</formula>
    </cfRule>
    <cfRule type="cellIs" dxfId="12377" priority="116" operator="greaterThan">
      <formula>0</formula>
    </cfRule>
    <cfRule type="cellIs" dxfId="12376" priority="117" operator="equal">
      <formula>"PMS"</formula>
    </cfRule>
    <cfRule type="containsText" dxfId="12375" priority="118" operator="containsText" text="CMS">
      <formula>NOT(ISERROR(SEARCH("CMS",F13)))</formula>
    </cfRule>
    <cfRule type="cellIs" dxfId="12374" priority="119" operator="equal">
      <formula>0</formula>
    </cfRule>
    <cfRule type="cellIs" dxfId="12373" priority="120" operator="greaterThan">
      <formula>0</formula>
    </cfRule>
  </conditionalFormatting>
  <conditionalFormatting sqref="F13:F16 F36:F59 F62:F64">
    <cfRule type="cellIs" dxfId="12372" priority="109" operator="equal">
      <formula>"PMS"</formula>
    </cfRule>
    <cfRule type="containsText" dxfId="12371" priority="110" operator="containsText" text="CMS">
      <formula>NOT(ISERROR(SEARCH("CMS",F13)))</formula>
    </cfRule>
    <cfRule type="cellIs" dxfId="12370" priority="111" operator="equal">
      <formula>0</formula>
    </cfRule>
    <cfRule type="cellIs" dxfId="12369" priority="112" operator="greaterThan">
      <formula>0</formula>
    </cfRule>
  </conditionalFormatting>
  <conditionalFormatting sqref="F67:F75">
    <cfRule type="cellIs" dxfId="12368" priority="101" operator="equal">
      <formula>"PMS"</formula>
    </cfRule>
    <cfRule type="containsText" dxfId="12367" priority="102" operator="containsText" text="CMS">
      <formula>NOT(ISERROR(SEARCH("CMS",F67)))</formula>
    </cfRule>
    <cfRule type="cellIs" dxfId="12366" priority="103" operator="equal">
      <formula>0</formula>
    </cfRule>
    <cfRule type="cellIs" dxfId="12365" priority="104" operator="greaterThan">
      <formula>0</formula>
    </cfRule>
    <cfRule type="cellIs" dxfId="12364" priority="105" operator="equal">
      <formula>"PMS"</formula>
    </cfRule>
    <cfRule type="containsText" dxfId="12363" priority="106" operator="containsText" text="CMS">
      <formula>NOT(ISERROR(SEARCH("CMS",F67)))</formula>
    </cfRule>
    <cfRule type="cellIs" dxfId="12362" priority="107" operator="equal">
      <formula>0</formula>
    </cfRule>
    <cfRule type="cellIs" dxfId="12361" priority="108" operator="greaterThan">
      <formula>0</formula>
    </cfRule>
  </conditionalFormatting>
  <conditionalFormatting sqref="F67:F75">
    <cfRule type="cellIs" dxfId="12360" priority="97" operator="equal">
      <formula>"PMS"</formula>
    </cfRule>
    <cfRule type="containsText" dxfId="12359" priority="98" operator="containsText" text="CMS">
      <formula>NOT(ISERROR(SEARCH("CMS",F67)))</formula>
    </cfRule>
    <cfRule type="cellIs" dxfId="12358" priority="99" operator="equal">
      <formula>0</formula>
    </cfRule>
    <cfRule type="cellIs" dxfId="12357" priority="100" operator="greaterThan">
      <formula>0</formula>
    </cfRule>
  </conditionalFormatting>
  <conditionalFormatting sqref="F33 F28:F30 F19:F21 F24 F78:F79">
    <cfRule type="cellIs" dxfId="12356" priority="89" operator="equal">
      <formula>"PMS"</formula>
    </cfRule>
    <cfRule type="containsText" dxfId="12355" priority="90" operator="containsText" text="CMS">
      <formula>NOT(ISERROR(SEARCH("CMS",F19)))</formula>
    </cfRule>
    <cfRule type="cellIs" dxfId="12354" priority="91" operator="equal">
      <formula>0</formula>
    </cfRule>
    <cfRule type="cellIs" dxfId="12353" priority="92" operator="greaterThan">
      <formula>0</formula>
    </cfRule>
    <cfRule type="cellIs" dxfId="12352" priority="93" operator="equal">
      <formula>"PMS"</formula>
    </cfRule>
    <cfRule type="containsText" dxfId="12351" priority="94" operator="containsText" text="CMS">
      <formula>NOT(ISERROR(SEARCH("CMS",F19)))</formula>
    </cfRule>
    <cfRule type="cellIs" dxfId="12350" priority="95" operator="equal">
      <formula>0</formula>
    </cfRule>
    <cfRule type="cellIs" dxfId="12349" priority="96" operator="greaterThan">
      <formula>0</formula>
    </cfRule>
  </conditionalFormatting>
  <conditionalFormatting sqref="F33 F28:F30 F19:F21 F24 F78:F79">
    <cfRule type="cellIs" dxfId="12348" priority="85" operator="equal">
      <formula>"PMS"</formula>
    </cfRule>
    <cfRule type="containsText" dxfId="12347" priority="86" operator="containsText" text="CMS">
      <formula>NOT(ISERROR(SEARCH("CMS",F19)))</formula>
    </cfRule>
    <cfRule type="cellIs" dxfId="12346" priority="87" operator="equal">
      <formula>0</formula>
    </cfRule>
    <cfRule type="cellIs" dxfId="12345" priority="88" operator="greaterThan">
      <formula>0</formula>
    </cfRule>
  </conditionalFormatting>
  <conditionalFormatting sqref="F27">
    <cfRule type="cellIs" dxfId="12344" priority="77" operator="equal">
      <formula>"PMS"</formula>
    </cfRule>
    <cfRule type="containsText" dxfId="12343" priority="78" operator="containsText" text="CMS">
      <formula>NOT(ISERROR(SEARCH("CMS",F27)))</formula>
    </cfRule>
    <cfRule type="cellIs" dxfId="12342" priority="79" operator="equal">
      <formula>0</formula>
    </cfRule>
    <cfRule type="cellIs" dxfId="12341" priority="80" operator="greaterThan">
      <formula>0</formula>
    </cfRule>
    <cfRule type="cellIs" dxfId="12340" priority="81" operator="equal">
      <formula>"PMS"</formula>
    </cfRule>
    <cfRule type="containsText" dxfId="12339" priority="82" operator="containsText" text="CMS">
      <formula>NOT(ISERROR(SEARCH("CMS",F27)))</formula>
    </cfRule>
    <cfRule type="cellIs" dxfId="12338" priority="83" operator="equal">
      <formula>0</formula>
    </cfRule>
    <cfRule type="cellIs" dxfId="12337" priority="84" operator="greaterThan">
      <formula>0</formula>
    </cfRule>
  </conditionalFormatting>
  <conditionalFormatting sqref="F27">
    <cfRule type="cellIs" dxfId="12336" priority="73" operator="equal">
      <formula>"PMS"</formula>
    </cfRule>
    <cfRule type="containsText" dxfId="12335" priority="74" operator="containsText" text="CMS">
      <formula>NOT(ISERROR(SEARCH("CMS",F27)))</formula>
    </cfRule>
    <cfRule type="cellIs" dxfId="12334" priority="75" operator="equal">
      <formula>0</formula>
    </cfRule>
    <cfRule type="cellIs" dxfId="12333" priority="76" operator="greaterThan">
      <formula>0</formula>
    </cfRule>
  </conditionalFormatting>
  <conditionalFormatting sqref="M16">
    <cfRule type="cellIs" dxfId="12332" priority="65" operator="equal">
      <formula>"PMS"</formula>
    </cfRule>
    <cfRule type="containsText" dxfId="12331" priority="66" operator="containsText" text="CMS">
      <formula>NOT(ISERROR(SEARCH("CMS",M16)))</formula>
    </cfRule>
    <cfRule type="cellIs" dxfId="12330" priority="67" operator="equal">
      <formula>0</formula>
    </cfRule>
    <cfRule type="cellIs" dxfId="12329" priority="68" operator="greaterThan">
      <formula>0</formula>
    </cfRule>
    <cfRule type="cellIs" dxfId="12328" priority="69" operator="equal">
      <formula>"PMS"</formula>
    </cfRule>
    <cfRule type="containsText" dxfId="12327" priority="70" operator="containsText" text="CMS">
      <formula>NOT(ISERROR(SEARCH("CMS",M16)))</formula>
    </cfRule>
    <cfRule type="cellIs" dxfId="12326" priority="71" operator="equal">
      <formula>0</formula>
    </cfRule>
    <cfRule type="cellIs" dxfId="12325" priority="72" operator="greaterThan">
      <formula>0</formula>
    </cfRule>
  </conditionalFormatting>
  <conditionalFormatting sqref="M16">
    <cfRule type="cellIs" dxfId="12324" priority="61" operator="equal">
      <formula>"PMS"</formula>
    </cfRule>
    <cfRule type="containsText" dxfId="12323" priority="62" operator="containsText" text="CMS">
      <formula>NOT(ISERROR(SEARCH("CMS",M16)))</formula>
    </cfRule>
    <cfRule type="cellIs" dxfId="12322" priority="63" operator="equal">
      <formula>0</formula>
    </cfRule>
    <cfRule type="cellIs" dxfId="12321" priority="64" operator="greaterThan">
      <formula>0</formula>
    </cfRule>
  </conditionalFormatting>
  <conditionalFormatting sqref="N48">
    <cfRule type="cellIs" dxfId="12320" priority="53" operator="equal">
      <formula>"PMS"</formula>
    </cfRule>
    <cfRule type="containsText" dxfId="12319" priority="54" operator="containsText" text="CMS">
      <formula>NOT(ISERROR(SEARCH("CMS",N48)))</formula>
    </cfRule>
    <cfRule type="cellIs" dxfId="12318" priority="55" operator="equal">
      <formula>0</formula>
    </cfRule>
    <cfRule type="cellIs" dxfId="12317" priority="56" operator="greaterThan">
      <formula>0</formula>
    </cfRule>
    <cfRule type="cellIs" dxfId="12316" priority="57" operator="equal">
      <formula>"PMS"</formula>
    </cfRule>
    <cfRule type="containsText" dxfId="12315" priority="58" operator="containsText" text="CMS">
      <formula>NOT(ISERROR(SEARCH("CMS",N48)))</formula>
    </cfRule>
    <cfRule type="cellIs" dxfId="12314" priority="59" operator="equal">
      <formula>0</formula>
    </cfRule>
    <cfRule type="cellIs" dxfId="12313" priority="60" operator="greaterThan">
      <formula>0</formula>
    </cfRule>
  </conditionalFormatting>
  <conditionalFormatting sqref="N48">
    <cfRule type="cellIs" dxfId="12312" priority="49" operator="equal">
      <formula>"PMS"</formula>
    </cfRule>
    <cfRule type="containsText" dxfId="12311" priority="50" operator="containsText" text="CMS">
      <formula>NOT(ISERROR(SEARCH("CMS",N48)))</formula>
    </cfRule>
    <cfRule type="cellIs" dxfId="12310" priority="51" operator="equal">
      <formula>0</formula>
    </cfRule>
    <cfRule type="cellIs" dxfId="12309" priority="52" operator="greaterThan">
      <formula>0</formula>
    </cfRule>
  </conditionalFormatting>
  <conditionalFormatting sqref="O51">
    <cfRule type="cellIs" dxfId="12308" priority="41" operator="equal">
      <formula>"PMS"</formula>
    </cfRule>
    <cfRule type="containsText" dxfId="12307" priority="42" operator="containsText" text="CMS">
      <formula>NOT(ISERROR(SEARCH("CMS",O51)))</formula>
    </cfRule>
    <cfRule type="cellIs" dxfId="12306" priority="43" operator="equal">
      <formula>0</formula>
    </cfRule>
    <cfRule type="cellIs" dxfId="12305" priority="44" operator="greaterThan">
      <formula>0</formula>
    </cfRule>
    <cfRule type="cellIs" dxfId="12304" priority="45" operator="equal">
      <formula>"PMS"</formula>
    </cfRule>
    <cfRule type="containsText" dxfId="12303" priority="46" operator="containsText" text="CMS">
      <formula>NOT(ISERROR(SEARCH("CMS",O51)))</formula>
    </cfRule>
    <cfRule type="cellIs" dxfId="12302" priority="47" operator="equal">
      <formula>0</formula>
    </cfRule>
    <cfRule type="cellIs" dxfId="12301" priority="48" operator="greaterThan">
      <formula>0</formula>
    </cfRule>
  </conditionalFormatting>
  <conditionalFormatting sqref="O51">
    <cfRule type="cellIs" dxfId="12300" priority="37" operator="equal">
      <formula>"PMS"</formula>
    </cfRule>
    <cfRule type="containsText" dxfId="12299" priority="38" operator="containsText" text="CMS">
      <formula>NOT(ISERROR(SEARCH("CMS",O51)))</formula>
    </cfRule>
    <cfRule type="cellIs" dxfId="12298" priority="39" operator="equal">
      <formula>0</formula>
    </cfRule>
    <cfRule type="cellIs" dxfId="12297" priority="40" operator="greaterThan">
      <formula>0</formula>
    </cfRule>
  </conditionalFormatting>
  <conditionalFormatting sqref="O40">
    <cfRule type="cellIs" dxfId="12296" priority="29" operator="equal">
      <formula>"PMS"</formula>
    </cfRule>
    <cfRule type="containsText" dxfId="12295" priority="30" operator="containsText" text="CMS">
      <formula>NOT(ISERROR(SEARCH("CMS",O40)))</formula>
    </cfRule>
    <cfRule type="cellIs" dxfId="12294" priority="31" operator="equal">
      <formula>0</formula>
    </cfRule>
    <cfRule type="cellIs" dxfId="12293" priority="32" operator="greaterThan">
      <formula>0</formula>
    </cfRule>
    <cfRule type="cellIs" dxfId="12292" priority="33" operator="equal">
      <formula>"PMS"</formula>
    </cfRule>
    <cfRule type="containsText" dxfId="12291" priority="34" operator="containsText" text="CMS">
      <formula>NOT(ISERROR(SEARCH("CMS",O40)))</formula>
    </cfRule>
    <cfRule type="cellIs" dxfId="12290" priority="35" operator="equal">
      <formula>0</formula>
    </cfRule>
    <cfRule type="cellIs" dxfId="12289" priority="36" operator="greaterThan">
      <formula>0</formula>
    </cfRule>
  </conditionalFormatting>
  <conditionalFormatting sqref="O40">
    <cfRule type="cellIs" dxfId="12288" priority="25" operator="equal">
      <formula>"PMS"</formula>
    </cfRule>
    <cfRule type="containsText" dxfId="12287" priority="26" operator="containsText" text="CMS">
      <formula>NOT(ISERROR(SEARCH("CMS",O40)))</formula>
    </cfRule>
    <cfRule type="cellIs" dxfId="12286" priority="27" operator="equal">
      <formula>0</formula>
    </cfRule>
    <cfRule type="cellIs" dxfId="12285" priority="28" operator="greaterThan">
      <formula>0</formula>
    </cfRule>
  </conditionalFormatting>
  <conditionalFormatting sqref="P21">
    <cfRule type="cellIs" dxfId="12284" priority="17" operator="equal">
      <formula>"PMS"</formula>
    </cfRule>
    <cfRule type="containsText" dxfId="12283" priority="18" operator="containsText" text="CMS">
      <formula>NOT(ISERROR(SEARCH("CMS",P21)))</formula>
    </cfRule>
    <cfRule type="cellIs" dxfId="12282" priority="19" operator="equal">
      <formula>0</formula>
    </cfRule>
    <cfRule type="cellIs" dxfId="12281" priority="20" operator="greaterThan">
      <formula>0</formula>
    </cfRule>
    <cfRule type="cellIs" dxfId="12280" priority="21" operator="equal">
      <formula>"PMS"</formula>
    </cfRule>
    <cfRule type="containsText" dxfId="12279" priority="22" operator="containsText" text="CMS">
      <formula>NOT(ISERROR(SEARCH("CMS",P21)))</formula>
    </cfRule>
    <cfRule type="cellIs" dxfId="12278" priority="23" operator="equal">
      <formula>0</formula>
    </cfRule>
    <cfRule type="cellIs" dxfId="12277" priority="24" operator="greaterThan">
      <formula>0</formula>
    </cfRule>
  </conditionalFormatting>
  <conditionalFormatting sqref="P21">
    <cfRule type="cellIs" dxfId="12276" priority="13" operator="equal">
      <formula>"PMS"</formula>
    </cfRule>
    <cfRule type="containsText" dxfId="12275" priority="14" operator="containsText" text="CMS">
      <formula>NOT(ISERROR(SEARCH("CMS",P21)))</formula>
    </cfRule>
    <cfRule type="cellIs" dxfId="12274" priority="15" operator="equal">
      <formula>0</formula>
    </cfRule>
    <cfRule type="cellIs" dxfId="12273" priority="16" operator="greaterThan">
      <formula>0</formula>
    </cfRule>
  </conditionalFormatting>
  <conditionalFormatting sqref="M78">
    <cfRule type="cellIs" dxfId="12272" priority="5" operator="equal">
      <formula>"PMS"</formula>
    </cfRule>
    <cfRule type="containsText" dxfId="12271" priority="6" operator="containsText" text="CMS">
      <formula>NOT(ISERROR(SEARCH("CMS",M78)))</formula>
    </cfRule>
    <cfRule type="cellIs" dxfId="12270" priority="7" operator="equal">
      <formula>0</formula>
    </cfRule>
    <cfRule type="cellIs" dxfId="12269" priority="8" operator="greaterThan">
      <formula>0</formula>
    </cfRule>
    <cfRule type="cellIs" dxfId="12268" priority="9" operator="equal">
      <formula>"PMS"</formula>
    </cfRule>
    <cfRule type="containsText" dxfId="12267" priority="10" operator="containsText" text="CMS">
      <formula>NOT(ISERROR(SEARCH("CMS",M78)))</formula>
    </cfRule>
    <cfRule type="cellIs" dxfId="12266" priority="11" operator="equal">
      <formula>0</formula>
    </cfRule>
    <cfRule type="cellIs" dxfId="12265" priority="12" operator="greaterThan">
      <formula>0</formula>
    </cfRule>
  </conditionalFormatting>
  <conditionalFormatting sqref="M78">
    <cfRule type="cellIs" dxfId="12264" priority="1" operator="equal">
      <formula>"PMS"</formula>
    </cfRule>
    <cfRule type="containsText" dxfId="12263" priority="2" operator="containsText" text="CMS">
      <formula>NOT(ISERROR(SEARCH("CMS",M78)))</formula>
    </cfRule>
    <cfRule type="cellIs" dxfId="12262" priority="3" operator="equal">
      <formula>0</formula>
    </cfRule>
    <cfRule type="cellIs" dxfId="1226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71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B9A70-7596-4870-9C81-D97A24D05F2E}">
  <sheetPr codeName="Sheet235"/>
  <dimension ref="A2:DT141"/>
  <sheetViews>
    <sheetView zoomScale="70" zoomScaleNormal="70" workbookViewId="0">
      <pane xSplit="5" ySplit="11" topLeftCell="F12" activePane="bottomRight" state="frozen"/>
      <selection pane="bottomRight" activeCell="AC15" sqref="AC1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375.99999999999989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4.5</v>
      </c>
      <c r="H14" s="357" t="s">
        <v>9</v>
      </c>
      <c r="I14" s="357" t="s">
        <v>9</v>
      </c>
      <c r="J14" s="357" t="s">
        <v>9</v>
      </c>
      <c r="K14" s="357" t="s">
        <v>9</v>
      </c>
      <c r="L14" s="357" t="s">
        <v>9</v>
      </c>
      <c r="M14" s="357" t="s">
        <v>9</v>
      </c>
      <c r="N14" s="357" t="s">
        <v>9</v>
      </c>
      <c r="O14" s="357" t="s">
        <v>9</v>
      </c>
      <c r="P14" s="357" t="s">
        <v>9</v>
      </c>
      <c r="Q14" s="357" t="s">
        <v>9</v>
      </c>
      <c r="R14" s="357" t="s">
        <v>9</v>
      </c>
      <c r="S14" s="462">
        <v>6.7</v>
      </c>
      <c r="T14" s="462">
        <v>6.4</v>
      </c>
      <c r="U14" s="357">
        <v>6.7</v>
      </c>
      <c r="V14" s="357">
        <v>6.6</v>
      </c>
      <c r="W14" s="357">
        <v>6.6</v>
      </c>
      <c r="X14" s="357">
        <v>6.7</v>
      </c>
      <c r="Y14" s="357">
        <v>6.7</v>
      </c>
      <c r="Z14" s="462">
        <v>6.7</v>
      </c>
      <c r="AA14" s="462">
        <v>6.4</v>
      </c>
      <c r="AB14" s="357">
        <v>6.4</v>
      </c>
      <c r="AC14" s="357">
        <v>4.3</v>
      </c>
      <c r="AD14" s="41"/>
      <c r="AE14" s="41"/>
      <c r="AF14" s="11">
        <f>COUNTIF(F14:AC14,$AJ$8)</f>
        <v>11</v>
      </c>
      <c r="AG14" s="11">
        <f>COUNTIF(F14:AD14,$AJ$7)</f>
        <v>0</v>
      </c>
      <c r="AH14" s="11">
        <f>COUNT(F14:AC14)</f>
        <v>13</v>
      </c>
    </row>
    <row r="15" spans="1:41">
      <c r="A15" s="66" t="s">
        <v>24</v>
      </c>
      <c r="B15" s="15"/>
      <c r="C15" s="15">
        <v>7.2</v>
      </c>
      <c r="D15" s="15"/>
      <c r="E15" s="15"/>
      <c r="F15" s="462" t="s">
        <v>9</v>
      </c>
      <c r="G15" s="357">
        <v>2.5</v>
      </c>
      <c r="H15" s="357">
        <v>6.7</v>
      </c>
      <c r="I15" s="357">
        <v>6.7</v>
      </c>
      <c r="J15" s="357">
        <v>6.8</v>
      </c>
      <c r="K15" s="359">
        <v>6.8</v>
      </c>
      <c r="L15" s="359">
        <v>6.8</v>
      </c>
      <c r="M15" s="359">
        <v>6.5</v>
      </c>
      <c r="N15" s="357">
        <v>6.7</v>
      </c>
      <c r="O15" s="357">
        <v>6.9</v>
      </c>
      <c r="P15" s="357">
        <v>6.7</v>
      </c>
      <c r="Q15" s="357">
        <v>6.8</v>
      </c>
      <c r="R15" s="357">
        <v>6.6</v>
      </c>
      <c r="S15" s="462">
        <v>5.2</v>
      </c>
      <c r="T15" s="462">
        <v>6.4</v>
      </c>
      <c r="U15" s="357">
        <v>6.7</v>
      </c>
      <c r="V15" s="462">
        <v>6.6</v>
      </c>
      <c r="W15" s="357">
        <v>6.6</v>
      </c>
      <c r="X15" s="357">
        <v>6.7</v>
      </c>
      <c r="Y15" s="357">
        <v>6.7</v>
      </c>
      <c r="Z15" s="462">
        <v>6.7</v>
      </c>
      <c r="AA15" s="462">
        <v>6.4</v>
      </c>
      <c r="AB15" s="357" t="s">
        <v>9</v>
      </c>
      <c r="AC15" s="462">
        <v>2.4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6.3</v>
      </c>
      <c r="H16" s="357">
        <v>6.7</v>
      </c>
      <c r="I16" s="357">
        <v>6.7</v>
      </c>
      <c r="J16" s="357">
        <v>6.8</v>
      </c>
      <c r="K16" s="359">
        <v>6.8</v>
      </c>
      <c r="L16" s="359">
        <v>6.8</v>
      </c>
      <c r="M16" s="357">
        <v>6.5</v>
      </c>
      <c r="N16" s="359">
        <v>6.7</v>
      </c>
      <c r="O16" s="357">
        <v>6.9</v>
      </c>
      <c r="P16" s="357">
        <v>6.7</v>
      </c>
      <c r="Q16" s="357">
        <v>6.8</v>
      </c>
      <c r="R16" s="357">
        <v>6.6</v>
      </c>
      <c r="S16" s="462">
        <v>5.2</v>
      </c>
      <c r="T16" s="462">
        <v>6.4</v>
      </c>
      <c r="U16" s="357">
        <v>6.7</v>
      </c>
      <c r="V16" s="462">
        <v>6.6</v>
      </c>
      <c r="W16" s="357">
        <v>6.6</v>
      </c>
      <c r="X16" s="357">
        <v>6.7</v>
      </c>
      <c r="Y16" s="357">
        <v>6.7</v>
      </c>
      <c r="Z16" s="462">
        <v>6.7</v>
      </c>
      <c r="AA16" s="462">
        <v>6.4</v>
      </c>
      <c r="AB16" s="462">
        <v>6.4</v>
      </c>
      <c r="AC16" s="357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  <c r="AL16">
        <f>6.3*3-6.7-5.2*2</f>
        <v>1.7999999999999989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13.3</v>
      </c>
      <c r="H17" s="19">
        <f t="shared" si="0"/>
        <v>13.4</v>
      </c>
      <c r="I17" s="19">
        <f t="shared" si="0"/>
        <v>13.4</v>
      </c>
      <c r="J17" s="19">
        <f t="shared" si="0"/>
        <v>13.6</v>
      </c>
      <c r="K17" s="19">
        <f t="shared" si="0"/>
        <v>13.6</v>
      </c>
      <c r="L17" s="19">
        <f t="shared" si="0"/>
        <v>13.6</v>
      </c>
      <c r="M17" s="19">
        <f t="shared" si="0"/>
        <v>13</v>
      </c>
      <c r="N17" s="19">
        <f t="shared" si="0"/>
        <v>13.4</v>
      </c>
      <c r="O17" s="19">
        <f t="shared" si="0"/>
        <v>13.8</v>
      </c>
      <c r="P17" s="19">
        <f t="shared" si="0"/>
        <v>13.4</v>
      </c>
      <c r="Q17" s="19">
        <f t="shared" si="0"/>
        <v>13.6</v>
      </c>
      <c r="R17" s="19">
        <f t="shared" si="0"/>
        <v>13.2</v>
      </c>
      <c r="S17" s="463">
        <f t="shared" si="0"/>
        <v>17.100000000000001</v>
      </c>
      <c r="T17" s="463">
        <f t="shared" si="0"/>
        <v>19.200000000000003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20.100000000000001</v>
      </c>
      <c r="Y17" s="19">
        <f t="shared" si="0"/>
        <v>20.100000000000001</v>
      </c>
      <c r="Z17" s="463">
        <f t="shared" si="0"/>
        <v>20.100000000000001</v>
      </c>
      <c r="AA17" s="463">
        <f t="shared" si="0"/>
        <v>19.200000000000003</v>
      </c>
      <c r="AB17" s="463">
        <f>SUM(AB13:AB16)</f>
        <v>12.8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62.699999999999996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2.6</v>
      </c>
      <c r="G19" s="357">
        <v>0</v>
      </c>
      <c r="H19" s="357">
        <v>0</v>
      </c>
      <c r="I19" s="357">
        <v>0</v>
      </c>
      <c r="J19" s="357">
        <v>0</v>
      </c>
      <c r="K19" s="357">
        <v>0</v>
      </c>
      <c r="L19" s="359">
        <v>0</v>
      </c>
      <c r="M19" s="359">
        <v>0</v>
      </c>
      <c r="N19" s="357">
        <v>0</v>
      </c>
      <c r="O19" s="357">
        <v>0</v>
      </c>
      <c r="P19" s="357">
        <v>1.2</v>
      </c>
      <c r="Q19" s="357">
        <v>2.8</v>
      </c>
      <c r="R19" s="357">
        <v>2.8</v>
      </c>
      <c r="S19" s="462">
        <v>2.8</v>
      </c>
      <c r="T19" s="462">
        <v>2</v>
      </c>
      <c r="U19" s="357"/>
      <c r="V19" s="357"/>
      <c r="W19" s="357"/>
      <c r="X19" s="357"/>
      <c r="Y19" s="357">
        <v>2.8</v>
      </c>
      <c r="Z19" s="357">
        <v>2.8</v>
      </c>
      <c r="AA19" s="357">
        <v>2.8</v>
      </c>
      <c r="AB19" s="357">
        <v>2.8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19</v>
      </c>
    </row>
    <row r="20" spans="1:51">
      <c r="A20" s="14" t="s">
        <v>23</v>
      </c>
      <c r="B20" s="15"/>
      <c r="C20" s="15">
        <v>4.5</v>
      </c>
      <c r="D20" s="15"/>
      <c r="E20" s="15"/>
      <c r="F20" s="357">
        <v>0</v>
      </c>
      <c r="G20" s="357">
        <v>0</v>
      </c>
      <c r="H20" s="357">
        <v>0</v>
      </c>
      <c r="I20" s="357">
        <v>0</v>
      </c>
      <c r="J20" s="357">
        <v>0</v>
      </c>
      <c r="K20" s="357">
        <v>0</v>
      </c>
      <c r="L20" s="359">
        <v>0</v>
      </c>
      <c r="M20" s="357">
        <v>0</v>
      </c>
      <c r="N20" s="357">
        <v>0</v>
      </c>
      <c r="O20" s="357">
        <v>0</v>
      </c>
      <c r="P20" s="357">
        <v>3.5</v>
      </c>
      <c r="Q20" s="357">
        <v>3.5</v>
      </c>
      <c r="R20" s="357">
        <v>3.5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11</v>
      </c>
      <c r="AG20" s="11">
        <f>COUNTIF(G20:AD20,$AJ$7)</f>
        <v>0</v>
      </c>
      <c r="AH20" s="11">
        <f>COUNT(F20:AC20)</f>
        <v>13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>
        <v>1.5</v>
      </c>
      <c r="W21" s="357">
        <v>3.6</v>
      </c>
      <c r="X21" s="357">
        <v>3.8</v>
      </c>
      <c r="Y21" s="357">
        <v>3.8</v>
      </c>
      <c r="Z21" s="357">
        <v>3.8</v>
      </c>
      <c r="AA21" s="357">
        <v>3</v>
      </c>
      <c r="AB21" s="357">
        <v>3.5</v>
      </c>
      <c r="AC21" s="357">
        <v>3.8</v>
      </c>
      <c r="AD21" s="41"/>
      <c r="AE21" s="41"/>
      <c r="AF21" s="11">
        <f>COUNTIF(F21:AC21,$AJ$8)</f>
        <v>16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2.6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4.7</v>
      </c>
      <c r="Q22" s="19">
        <f t="shared" si="1"/>
        <v>6.3</v>
      </c>
      <c r="R22" s="19">
        <f t="shared" si="1"/>
        <v>6.3</v>
      </c>
      <c r="S22" s="463">
        <f>SUM(S19:S21)</f>
        <v>2.8</v>
      </c>
      <c r="T22" s="463">
        <f t="shared" ref="T22" si="2">SUM(T19:T21)</f>
        <v>2</v>
      </c>
      <c r="U22" s="19">
        <f t="shared" si="1"/>
        <v>0</v>
      </c>
      <c r="V22" s="19">
        <f t="shared" si="1"/>
        <v>1.5</v>
      </c>
      <c r="W22" s="19">
        <f t="shared" si="1"/>
        <v>3.6</v>
      </c>
      <c r="X22" s="19">
        <f t="shared" si="1"/>
        <v>3.8</v>
      </c>
      <c r="Y22" s="19">
        <f t="shared" si="1"/>
        <v>6.6</v>
      </c>
      <c r="Z22" s="463">
        <f>SUM(Z19:Z21)</f>
        <v>6.6</v>
      </c>
      <c r="AA22" s="463">
        <f t="shared" si="1"/>
        <v>5.8</v>
      </c>
      <c r="AB22" s="463">
        <f>SUM(AB19:AB21)</f>
        <v>6.3</v>
      </c>
      <c r="AC22" s="19">
        <f t="shared" si="1"/>
        <v>3.8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10.5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/>
      <c r="Q24" s="357"/>
      <c r="R24" s="357"/>
      <c r="S24" s="357">
        <v>3</v>
      </c>
      <c r="T24" s="357">
        <v>3</v>
      </c>
      <c r="U24" s="357">
        <v>3</v>
      </c>
      <c r="V24" s="357">
        <v>1.5</v>
      </c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463">
        <f t="shared" si="3"/>
        <v>3</v>
      </c>
      <c r="T25" s="463">
        <f t="shared" si="3"/>
        <v>3</v>
      </c>
      <c r="U25" s="19">
        <f t="shared" si="3"/>
        <v>3</v>
      </c>
      <c r="V25" s="19">
        <f t="shared" si="3"/>
        <v>1.5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463">
        <f t="shared" si="3"/>
        <v>0</v>
      </c>
      <c r="AA25" s="463">
        <f t="shared" si="3"/>
        <v>0</v>
      </c>
      <c r="AB25" s="463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62.3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1.7</v>
      </c>
      <c r="N27" s="357">
        <v>3.8</v>
      </c>
      <c r="O27" s="357">
        <v>3.8</v>
      </c>
      <c r="P27" s="357">
        <v>3.7</v>
      </c>
      <c r="Q27" s="357">
        <v>3.8</v>
      </c>
      <c r="R27" s="357">
        <v>3.7</v>
      </c>
      <c r="S27" s="462">
        <v>3.7</v>
      </c>
      <c r="T27" s="462"/>
      <c r="U27" s="357"/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</v>
      </c>
      <c r="G28" s="357">
        <v>2</v>
      </c>
      <c r="H28" s="357">
        <v>1.5</v>
      </c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2"/>
      <c r="T28" s="359">
        <v>2</v>
      </c>
      <c r="U28" s="359">
        <v>2</v>
      </c>
      <c r="V28" s="359">
        <v>2.2999999999999998</v>
      </c>
      <c r="W28" s="357">
        <v>3.7</v>
      </c>
      <c r="X28" s="357">
        <v>3.7</v>
      </c>
      <c r="Y28" s="357">
        <v>3.7</v>
      </c>
      <c r="Z28" s="357">
        <v>3.8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162.21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9">
        <v>7</v>
      </c>
      <c r="H30" s="357">
        <v>5.8</v>
      </c>
      <c r="I30" s="357">
        <v>6</v>
      </c>
      <c r="J30" s="357">
        <v>5.5</v>
      </c>
      <c r="K30" s="357">
        <v>5.5</v>
      </c>
      <c r="L30" s="357">
        <v>7</v>
      </c>
      <c r="M30" s="357">
        <v>6.5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6.91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9</v>
      </c>
      <c r="G31" s="19">
        <f>SUM(G27:G30)</f>
        <v>9</v>
      </c>
      <c r="H31" s="19">
        <v>6</v>
      </c>
      <c r="I31" s="19">
        <f t="shared" ref="I31:X31" si="5">SUM(I27:I30)</f>
        <v>6</v>
      </c>
      <c r="J31" s="19">
        <f t="shared" si="5"/>
        <v>5.5</v>
      </c>
      <c r="K31" s="19">
        <f t="shared" si="5"/>
        <v>5.5</v>
      </c>
      <c r="L31" s="19">
        <f t="shared" si="5"/>
        <v>7</v>
      </c>
      <c r="M31" s="19">
        <f t="shared" si="5"/>
        <v>8.1999999999999993</v>
      </c>
      <c r="N31" s="19">
        <f t="shared" si="5"/>
        <v>10.8</v>
      </c>
      <c r="O31" s="19">
        <f t="shared" si="5"/>
        <v>10.8</v>
      </c>
      <c r="P31" s="19">
        <f t="shared" si="5"/>
        <v>10.7</v>
      </c>
      <c r="Q31" s="19">
        <f t="shared" si="5"/>
        <v>10.8</v>
      </c>
      <c r="R31" s="19">
        <f t="shared" si="5"/>
        <v>10.7</v>
      </c>
      <c r="S31" s="463">
        <f t="shared" si="5"/>
        <v>10.7</v>
      </c>
      <c r="T31" s="463">
        <f t="shared" si="5"/>
        <v>9</v>
      </c>
      <c r="U31" s="19">
        <f t="shared" si="5"/>
        <v>9</v>
      </c>
      <c r="V31" s="19">
        <f t="shared" si="5"/>
        <v>9.3000000000000007</v>
      </c>
      <c r="W31" s="19">
        <f t="shared" si="5"/>
        <v>10.7</v>
      </c>
      <c r="X31" s="19">
        <f t="shared" si="5"/>
        <v>10.7</v>
      </c>
      <c r="Y31" s="19">
        <f>SUM(Y27:Y30)</f>
        <v>10.7</v>
      </c>
      <c r="Z31" s="19">
        <f t="shared" ref="Z31:AC31" si="6">SUM(Z27:Z30)</f>
        <v>10.8</v>
      </c>
      <c r="AA31" s="19">
        <f t="shared" si="6"/>
        <v>10.71</v>
      </c>
      <c r="AB31" s="19">
        <f t="shared" si="6"/>
        <v>10.8</v>
      </c>
      <c r="AC31" s="19">
        <f t="shared" si="6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342.56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14.26</v>
      </c>
      <c r="H33" s="357">
        <v>14.29</v>
      </c>
      <c r="I33" s="359">
        <v>14.3</v>
      </c>
      <c r="J33" s="357">
        <v>14.26</v>
      </c>
      <c r="K33" s="357">
        <v>14.32</v>
      </c>
      <c r="L33" s="359">
        <v>14.29</v>
      </c>
      <c r="M33" s="357">
        <v>14.26</v>
      </c>
      <c r="N33" s="357">
        <v>14.31</v>
      </c>
      <c r="O33" s="357">
        <v>14.24</v>
      </c>
      <c r="P33" s="357">
        <v>14.25</v>
      </c>
      <c r="Q33" s="359">
        <v>14.26</v>
      </c>
      <c r="R33" s="357">
        <v>14.29</v>
      </c>
      <c r="S33" s="462">
        <v>14.29</v>
      </c>
      <c r="T33" s="462">
        <v>14.28</v>
      </c>
      <c r="U33" s="357">
        <v>14.27</v>
      </c>
      <c r="V33" s="359">
        <v>14.3</v>
      </c>
      <c r="W33" s="357">
        <v>14.26</v>
      </c>
      <c r="X33" s="357">
        <v>14.28</v>
      </c>
      <c r="Y33" s="357">
        <v>14.24</v>
      </c>
      <c r="Z33" s="357">
        <v>14.22</v>
      </c>
      <c r="AA33" s="357">
        <v>14.24</v>
      </c>
      <c r="AB33" s="357">
        <v>14.27</v>
      </c>
      <c r="AC33" s="357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14.32</v>
      </c>
      <c r="G34" s="19">
        <f t="shared" si="7"/>
        <v>14.26</v>
      </c>
      <c r="H34" s="19">
        <f t="shared" si="7"/>
        <v>14.29</v>
      </c>
      <c r="I34" s="19">
        <f t="shared" si="7"/>
        <v>14.3</v>
      </c>
      <c r="J34" s="19">
        <f t="shared" si="7"/>
        <v>14.26</v>
      </c>
      <c r="K34" s="19">
        <f t="shared" si="7"/>
        <v>14.32</v>
      </c>
      <c r="L34" s="19">
        <f t="shared" si="7"/>
        <v>14.29</v>
      </c>
      <c r="M34" s="19">
        <f t="shared" si="7"/>
        <v>14.26</v>
      </c>
      <c r="N34" s="19">
        <f t="shared" si="7"/>
        <v>14.31</v>
      </c>
      <c r="O34" s="19">
        <f t="shared" si="7"/>
        <v>14.24</v>
      </c>
      <c r="P34" s="19">
        <f t="shared" si="7"/>
        <v>14.25</v>
      </c>
      <c r="Q34" s="19">
        <f t="shared" si="7"/>
        <v>14.26</v>
      </c>
      <c r="R34" s="19">
        <f t="shared" si="7"/>
        <v>14.29</v>
      </c>
      <c r="S34" s="19">
        <f t="shared" si="7"/>
        <v>14.29</v>
      </c>
      <c r="T34" s="463">
        <f t="shared" si="7"/>
        <v>14.28</v>
      </c>
      <c r="U34" s="19">
        <f t="shared" si="7"/>
        <v>14.27</v>
      </c>
      <c r="V34" s="19">
        <f t="shared" si="7"/>
        <v>14.3</v>
      </c>
      <c r="W34" s="19">
        <f t="shared" si="7"/>
        <v>14.26</v>
      </c>
      <c r="X34" s="19">
        <f t="shared" si="7"/>
        <v>14.28</v>
      </c>
      <c r="Y34" s="19">
        <f t="shared" si="7"/>
        <v>14.24</v>
      </c>
      <c r="Z34" s="19">
        <f t="shared" si="7"/>
        <v>14.22</v>
      </c>
      <c r="AA34" s="19">
        <f t="shared" si="7"/>
        <v>14.24</v>
      </c>
      <c r="AB34" s="19">
        <f t="shared" si="7"/>
        <v>14.27</v>
      </c>
      <c r="AC34" s="19">
        <f t="shared" si="7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14.500000000000002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357"/>
      <c r="W40" s="357"/>
      <c r="X40" s="357"/>
      <c r="Y40" s="357">
        <v>0.74</v>
      </c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0.75</v>
      </c>
      <c r="P47" s="359"/>
      <c r="Q47" s="357"/>
      <c r="R47" s="357">
        <f>3.1/4</f>
        <v>0.77500000000000002</v>
      </c>
      <c r="S47" s="462"/>
      <c r="T47" s="462"/>
      <c r="U47" s="462"/>
      <c r="V47" s="462"/>
      <c r="W47" s="357"/>
      <c r="X47" s="357"/>
      <c r="Y47" s="357">
        <v>0.74</v>
      </c>
      <c r="Z47" s="357"/>
      <c r="AA47" s="357"/>
      <c r="AB47" s="357">
        <v>0.75</v>
      </c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9"/>
      <c r="O48" s="357">
        <v>0.75</v>
      </c>
      <c r="P48" s="359">
        <v>0.8</v>
      </c>
      <c r="Q48" s="357"/>
      <c r="R48" s="357">
        <f>3.1/4</f>
        <v>0.77500000000000002</v>
      </c>
      <c r="S48" s="462"/>
      <c r="T48" s="462"/>
      <c r="U48" s="357">
        <v>0.8</v>
      </c>
      <c r="V48" s="462"/>
      <c r="W48" s="357"/>
      <c r="X48" s="357"/>
      <c r="Y48" s="357">
        <v>0.74</v>
      </c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5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 t="s">
        <v>9</v>
      </c>
      <c r="G50" s="357" t="s">
        <v>9</v>
      </c>
      <c r="H50" s="357" t="s">
        <v>9</v>
      </c>
      <c r="I50" s="357" t="s">
        <v>9</v>
      </c>
      <c r="J50" s="357" t="s">
        <v>9</v>
      </c>
      <c r="K50" s="357" t="s">
        <v>9</v>
      </c>
      <c r="L50" s="359" t="s">
        <v>9</v>
      </c>
      <c r="M50" s="359" t="s">
        <v>9</v>
      </c>
      <c r="N50" s="359" t="s">
        <v>9</v>
      </c>
      <c r="O50" s="359" t="s">
        <v>9</v>
      </c>
      <c r="P50" s="359" t="s">
        <v>9</v>
      </c>
      <c r="Q50" s="357" t="s">
        <v>9</v>
      </c>
      <c r="R50" s="357" t="s">
        <v>9</v>
      </c>
      <c r="S50" s="462" t="s">
        <v>9</v>
      </c>
      <c r="T50" s="357" t="s">
        <v>9</v>
      </c>
      <c r="U50" s="462" t="s">
        <v>9</v>
      </c>
      <c r="V50" s="462" t="s">
        <v>9</v>
      </c>
      <c r="W50" s="357" t="s">
        <v>9</v>
      </c>
      <c r="X50" s="357" t="s">
        <v>9</v>
      </c>
      <c r="Y50" s="357" t="s">
        <v>9</v>
      </c>
      <c r="Z50" s="357" t="s">
        <v>9</v>
      </c>
      <c r="AA50" s="357" t="s">
        <v>9</v>
      </c>
      <c r="AB50" s="357" t="s">
        <v>9</v>
      </c>
      <c r="AC50" s="357" t="s">
        <v>9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>
        <v>0.8</v>
      </c>
      <c r="P51" s="359"/>
      <c r="Q51" s="359">
        <v>0.8</v>
      </c>
      <c r="R51" s="357">
        <f>3.1/4</f>
        <v>0.77500000000000002</v>
      </c>
      <c r="S51" s="462"/>
      <c r="T51" s="462"/>
      <c r="U51" s="462"/>
      <c r="V51" s="462"/>
      <c r="W51" s="357"/>
      <c r="X51" s="357"/>
      <c r="Y51" s="357">
        <v>0.74</v>
      </c>
      <c r="Z51" s="357"/>
      <c r="AA51" s="357"/>
      <c r="AB51" s="357">
        <v>0.75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5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9"/>
      <c r="O56" s="357"/>
      <c r="P56" s="359"/>
      <c r="Q56" s="357"/>
      <c r="R56" s="357">
        <f>3.1/4</f>
        <v>0.77500000000000002</v>
      </c>
      <c r="S56" s="462"/>
      <c r="T56" s="462"/>
      <c r="U56" s="462"/>
      <c r="V56" s="462"/>
      <c r="W56" s="357"/>
      <c r="X56" s="357"/>
      <c r="Y56" s="357">
        <v>0.74</v>
      </c>
      <c r="Z56" s="357">
        <v>0.8</v>
      </c>
      <c r="AA56" s="357"/>
      <c r="AB56" s="357">
        <v>0.7</v>
      </c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4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 t="shared" si="11"/>
        <v>2.2999999999999998</v>
      </c>
      <c r="P60" s="19">
        <f t="shared" si="11"/>
        <v>0.8</v>
      </c>
      <c r="Q60" s="19">
        <f t="shared" si="11"/>
        <v>0.8</v>
      </c>
      <c r="R60" s="19">
        <f t="shared" si="11"/>
        <v>3.1</v>
      </c>
      <c r="S60" s="19">
        <f t="shared" si="11"/>
        <v>0</v>
      </c>
      <c r="T60" s="19">
        <f t="shared" si="11"/>
        <v>0</v>
      </c>
      <c r="U60" s="19">
        <f t="shared" si="11"/>
        <v>0.8</v>
      </c>
      <c r="V60" s="19">
        <f t="shared" si="11"/>
        <v>0</v>
      </c>
      <c r="W60" s="19">
        <f t="shared" si="11"/>
        <v>0</v>
      </c>
      <c r="X60" s="19">
        <f t="shared" si="11"/>
        <v>0</v>
      </c>
      <c r="Y60" s="19">
        <f t="shared" si="11"/>
        <v>3.7</v>
      </c>
      <c r="Z60" s="19">
        <f t="shared" si="11"/>
        <v>0.8</v>
      </c>
      <c r="AA60" s="19">
        <f t="shared" si="11"/>
        <v>0</v>
      </c>
      <c r="AB60" s="19">
        <f t="shared" si="11"/>
        <v>2.2000000000000002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28.030000000000008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>
        <f>1.01/2</f>
        <v>0.505</v>
      </c>
      <c r="H62" s="357">
        <f>0.98/2</f>
        <v>0.49</v>
      </c>
      <c r="I62" s="359">
        <f>0.88/2</f>
        <v>0.44</v>
      </c>
      <c r="J62" s="357">
        <f>0.9/2</f>
        <v>0.45</v>
      </c>
      <c r="K62" s="357">
        <f>0.89/2</f>
        <v>0.44500000000000001</v>
      </c>
      <c r="L62" s="357">
        <v>0.47499999999999998</v>
      </c>
      <c r="M62" s="357">
        <v>0.55000000000000004</v>
      </c>
      <c r="N62" s="357">
        <v>0.56000000000000005</v>
      </c>
      <c r="O62" s="357">
        <v>0.56000000000000005</v>
      </c>
      <c r="P62" s="357">
        <v>0.59</v>
      </c>
      <c r="Q62" s="357">
        <v>0.6</v>
      </c>
      <c r="R62" s="357">
        <v>0.60499999999999998</v>
      </c>
      <c r="S62" s="462"/>
      <c r="T62" s="357"/>
      <c r="U62" s="357"/>
      <c r="V62" s="462"/>
      <c r="W62" s="357"/>
      <c r="X62" s="357"/>
      <c r="Y62" s="357">
        <v>0.72499999999999998</v>
      </c>
      <c r="Z62" s="357">
        <v>0.78</v>
      </c>
      <c r="AA62" s="357">
        <v>0.75</v>
      </c>
      <c r="AB62" s="357">
        <f>1.38/2</f>
        <v>0.69</v>
      </c>
      <c r="AC62" s="357">
        <f>1.16/2</f>
        <v>0.57999999999999996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f>1.09/2</f>
        <v>0.54500000000000004</v>
      </c>
      <c r="G63" s="357">
        <v>0</v>
      </c>
      <c r="H63" s="357">
        <v>0</v>
      </c>
      <c r="I63" s="359">
        <v>0</v>
      </c>
      <c r="J63" s="357">
        <v>0</v>
      </c>
      <c r="K63" s="357">
        <v>0</v>
      </c>
      <c r="L63" s="357">
        <v>0</v>
      </c>
      <c r="M63" s="357">
        <v>0.55000000000000004</v>
      </c>
      <c r="N63" s="357">
        <v>0.56000000000000005</v>
      </c>
      <c r="O63" s="357">
        <v>0.56000000000000005</v>
      </c>
      <c r="P63" s="357">
        <v>0.59</v>
      </c>
      <c r="Q63" s="357">
        <v>0.6</v>
      </c>
      <c r="R63" s="357">
        <v>0.60499999999999998</v>
      </c>
      <c r="S63" s="462">
        <v>0.61</v>
      </c>
      <c r="T63" s="357">
        <f>1.2/2</f>
        <v>0.6</v>
      </c>
      <c r="U63" s="357">
        <f>1.24/2</f>
        <v>0.62</v>
      </c>
      <c r="V63" s="462">
        <f>1.22/2</f>
        <v>0.61</v>
      </c>
      <c r="W63" s="357">
        <f>1.2/2</f>
        <v>0.6</v>
      </c>
      <c r="X63" s="357">
        <v>0.63500000000000001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1.09/2</f>
        <v>0.54500000000000004</v>
      </c>
      <c r="G64" s="357">
        <f>1.01/2</f>
        <v>0.505</v>
      </c>
      <c r="H64" s="357">
        <f>0.98/2</f>
        <v>0.49</v>
      </c>
      <c r="I64" s="359">
        <f>0.88/2</f>
        <v>0.44</v>
      </c>
      <c r="J64" s="357">
        <f>0.9/2</f>
        <v>0.45</v>
      </c>
      <c r="K64" s="357">
        <f>0.89/2</f>
        <v>0.44500000000000001</v>
      </c>
      <c r="L64" s="357">
        <v>0.47499999999999998</v>
      </c>
      <c r="M64" s="357"/>
      <c r="N64" s="357"/>
      <c r="O64" s="357"/>
      <c r="P64" s="357"/>
      <c r="Q64" s="357"/>
      <c r="R64" s="357"/>
      <c r="S64" s="462">
        <v>0.61</v>
      </c>
      <c r="T64" s="357">
        <f>1.2/2</f>
        <v>0.6</v>
      </c>
      <c r="U64" s="357">
        <f>1.24/2</f>
        <v>0.62</v>
      </c>
      <c r="V64" s="462">
        <f>1.22/2</f>
        <v>0.61</v>
      </c>
      <c r="W64" s="357">
        <f>1.2/2</f>
        <v>0.6</v>
      </c>
      <c r="X64" s="357">
        <v>0.63500000000000001</v>
      </c>
      <c r="Y64" s="357">
        <v>0.72499999999999998</v>
      </c>
      <c r="Z64" s="357">
        <v>0.78</v>
      </c>
      <c r="AA64" s="357">
        <v>0.75</v>
      </c>
      <c r="AB64" s="357">
        <f>1.38/2</f>
        <v>0.69</v>
      </c>
      <c r="AC64" s="357">
        <f>1.16/2</f>
        <v>0.57999999999999996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1.0900000000000001</v>
      </c>
      <c r="G65" s="19">
        <f t="shared" ref="G65:AB65" si="12">SUM(G62:G64)</f>
        <v>1.01</v>
      </c>
      <c r="H65" s="19">
        <f t="shared" si="12"/>
        <v>0.98</v>
      </c>
      <c r="I65" s="19">
        <f t="shared" si="12"/>
        <v>0.88</v>
      </c>
      <c r="J65" s="19">
        <f t="shared" si="12"/>
        <v>0.9</v>
      </c>
      <c r="K65" s="19">
        <f t="shared" si="12"/>
        <v>0.89</v>
      </c>
      <c r="L65" s="19">
        <f t="shared" si="12"/>
        <v>0.95</v>
      </c>
      <c r="M65" s="19">
        <f t="shared" si="12"/>
        <v>1.1000000000000001</v>
      </c>
      <c r="N65" s="19">
        <f t="shared" si="12"/>
        <v>1.1200000000000001</v>
      </c>
      <c r="O65" s="19">
        <f t="shared" si="12"/>
        <v>1.1200000000000001</v>
      </c>
      <c r="P65" s="19">
        <f t="shared" si="12"/>
        <v>1.18</v>
      </c>
      <c r="Q65" s="19">
        <f t="shared" si="12"/>
        <v>1.2</v>
      </c>
      <c r="R65" s="19">
        <f t="shared" si="12"/>
        <v>1.21</v>
      </c>
      <c r="S65" s="463">
        <f t="shared" si="12"/>
        <v>1.22</v>
      </c>
      <c r="T65" s="463">
        <f t="shared" si="12"/>
        <v>1.2</v>
      </c>
      <c r="U65" s="463">
        <f t="shared" si="12"/>
        <v>1.24</v>
      </c>
      <c r="V65" s="19">
        <f>SUM(V62:V64)</f>
        <v>1.22</v>
      </c>
      <c r="W65" s="19">
        <f t="shared" si="12"/>
        <v>1.2</v>
      </c>
      <c r="X65" s="19">
        <f t="shared" si="12"/>
        <v>1.27</v>
      </c>
      <c r="Y65" s="19">
        <f>SUM(Y62:Y64)</f>
        <v>1.45</v>
      </c>
      <c r="Z65" s="19">
        <f>SUM(Z62:Z64)</f>
        <v>1.56</v>
      </c>
      <c r="AA65" s="19">
        <f t="shared" si="12"/>
        <v>1.5</v>
      </c>
      <c r="AB65" s="19">
        <f t="shared" si="12"/>
        <v>1.38</v>
      </c>
      <c r="AC65" s="19">
        <f>SUM(AC62:AC64)</f>
        <v>1.1599999999999999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63">
        <f t="shared" si="16"/>
        <v>0</v>
      </c>
      <c r="T76" s="463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19.080000000000005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0.71</v>
      </c>
      <c r="N78" s="357">
        <v>0.73</v>
      </c>
      <c r="O78" s="357">
        <v>0.77</v>
      </c>
      <c r="P78" s="357">
        <v>0.8</v>
      </c>
      <c r="Q78" s="357">
        <v>0.83</v>
      </c>
      <c r="R78" s="357">
        <v>0.82</v>
      </c>
      <c r="S78" s="357">
        <v>0.87</v>
      </c>
      <c r="T78" s="357">
        <v>0.85</v>
      </c>
      <c r="U78" s="357">
        <v>0.83</v>
      </c>
      <c r="V78" s="357">
        <v>0.84</v>
      </c>
      <c r="W78" s="357">
        <v>0.84</v>
      </c>
      <c r="X78" s="357">
        <v>0.82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0.75</v>
      </c>
      <c r="G79" s="357">
        <v>0.71</v>
      </c>
      <c r="H79" s="357">
        <v>0.69</v>
      </c>
      <c r="I79" s="357">
        <v>0.66</v>
      </c>
      <c r="J79" s="357">
        <v>0.65</v>
      </c>
      <c r="K79" s="357">
        <v>0.65</v>
      </c>
      <c r="L79" s="359">
        <v>0.67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0.93</v>
      </c>
      <c r="Z79" s="357">
        <v>0.98</v>
      </c>
      <c r="AA79" s="357">
        <v>0.94</v>
      </c>
      <c r="AB79" s="357">
        <v>0.89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0.75</v>
      </c>
      <c r="G80" s="19">
        <f t="shared" si="17"/>
        <v>0.71</v>
      </c>
      <c r="H80" s="19">
        <f>SUM(H78:H79)</f>
        <v>0.69</v>
      </c>
      <c r="I80" s="19">
        <f>SUM(I78:I79)</f>
        <v>0.66</v>
      </c>
      <c r="J80" s="19">
        <f t="shared" ref="J80:AC80" si="18">SUM(J78:J79)</f>
        <v>0.65</v>
      </c>
      <c r="K80" s="19">
        <f t="shared" si="18"/>
        <v>0.65</v>
      </c>
      <c r="L80" s="19">
        <f>SUM(L78:L79)</f>
        <v>0.67</v>
      </c>
      <c r="M80" s="19">
        <f t="shared" si="18"/>
        <v>0.71</v>
      </c>
      <c r="N80" s="19">
        <f t="shared" si="18"/>
        <v>0.73</v>
      </c>
      <c r="O80" s="19">
        <f>SUM(O78:O79)</f>
        <v>0.77</v>
      </c>
      <c r="P80" s="19">
        <f>SUM(P78:P79)</f>
        <v>0.8</v>
      </c>
      <c r="Q80" s="19">
        <f t="shared" si="18"/>
        <v>0.83</v>
      </c>
      <c r="R80" s="19">
        <f t="shared" si="18"/>
        <v>0.82</v>
      </c>
      <c r="S80" s="463">
        <f t="shared" si="18"/>
        <v>0.87</v>
      </c>
      <c r="T80" s="463">
        <f t="shared" si="18"/>
        <v>0.85</v>
      </c>
      <c r="U80" s="19">
        <f t="shared" si="18"/>
        <v>0.83</v>
      </c>
      <c r="V80" s="19">
        <f t="shared" si="18"/>
        <v>0.84</v>
      </c>
      <c r="W80" s="19">
        <f t="shared" si="18"/>
        <v>0.84</v>
      </c>
      <c r="X80" s="19">
        <f t="shared" si="18"/>
        <v>0.82</v>
      </c>
      <c r="Y80" s="19">
        <f t="shared" si="18"/>
        <v>0.93</v>
      </c>
      <c r="Z80" s="19">
        <f t="shared" si="18"/>
        <v>0.98</v>
      </c>
      <c r="AA80" s="19">
        <f t="shared" si="18"/>
        <v>0.94</v>
      </c>
      <c r="AB80" s="19">
        <f t="shared" si="18"/>
        <v>0.89</v>
      </c>
      <c r="AC80" s="19">
        <f t="shared" si="18"/>
        <v>0.85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19">SUM(F17,F22,F25,F31,F34,F60,F65,F76,F80,F82)</f>
        <v>41.160000000000004</v>
      </c>
      <c r="G83" s="28">
        <f>SUM(G17,G22,G25,G31,G34,G60,G65,G76,G80,G82)</f>
        <v>38.28</v>
      </c>
      <c r="H83" s="28">
        <f t="shared" si="19"/>
        <v>35.359999999999992</v>
      </c>
      <c r="I83" s="28">
        <f t="shared" si="19"/>
        <v>35.24</v>
      </c>
      <c r="J83" s="28">
        <f t="shared" si="19"/>
        <v>34.909999999999997</v>
      </c>
      <c r="K83" s="28">
        <f t="shared" si="19"/>
        <v>34.96</v>
      </c>
      <c r="L83" s="28">
        <f t="shared" si="19"/>
        <v>36.510000000000005</v>
      </c>
      <c r="M83" s="28">
        <f t="shared" si="19"/>
        <v>37.270000000000003</v>
      </c>
      <c r="N83" s="28">
        <f t="shared" si="19"/>
        <v>40.36</v>
      </c>
      <c r="O83" s="28">
        <f t="shared" si="19"/>
        <v>43.03</v>
      </c>
      <c r="P83" s="28">
        <f t="shared" si="19"/>
        <v>45.829999999999991</v>
      </c>
      <c r="Q83" s="28">
        <f t="shared" si="19"/>
        <v>47.79</v>
      </c>
      <c r="R83" s="28">
        <f t="shared" si="19"/>
        <v>49.62</v>
      </c>
      <c r="S83" s="518">
        <f t="shared" si="19"/>
        <v>49.98</v>
      </c>
      <c r="T83" s="518">
        <f t="shared" si="19"/>
        <v>49.530000000000008</v>
      </c>
      <c r="U83" s="518">
        <f t="shared" si="19"/>
        <v>49.24</v>
      </c>
      <c r="V83" s="28">
        <f t="shared" si="19"/>
        <v>48.459999999999994</v>
      </c>
      <c r="W83" s="28">
        <f t="shared" si="19"/>
        <v>50.4</v>
      </c>
      <c r="X83" s="28">
        <f t="shared" si="19"/>
        <v>50.970000000000006</v>
      </c>
      <c r="Y83" s="28">
        <f t="shared" si="19"/>
        <v>57.720000000000013</v>
      </c>
      <c r="Z83" s="28">
        <f t="shared" si="19"/>
        <v>55.059999999999995</v>
      </c>
      <c r="AA83" s="28">
        <f t="shared" si="19"/>
        <v>52.390000000000008</v>
      </c>
      <c r="AB83" s="28">
        <f t="shared" si="19"/>
        <v>48.640000000000008</v>
      </c>
      <c r="AC83" s="28">
        <f t="shared" si="19"/>
        <v>43.87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>
        <f>Y83-X83</f>
        <v>6.7500000000000071</v>
      </c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0">SUM(F22,F25)</f>
        <v>2.6</v>
      </c>
      <c r="G89" s="64">
        <f t="shared" si="20"/>
        <v>0</v>
      </c>
      <c r="H89" s="64">
        <f t="shared" si="20"/>
        <v>0</v>
      </c>
      <c r="I89" s="64">
        <f t="shared" si="20"/>
        <v>0</v>
      </c>
      <c r="J89" s="64">
        <f t="shared" si="20"/>
        <v>0</v>
      </c>
      <c r="K89" s="64">
        <f t="shared" si="20"/>
        <v>0</v>
      </c>
      <c r="L89" s="64">
        <f t="shared" si="20"/>
        <v>0</v>
      </c>
      <c r="M89" s="64">
        <f t="shared" si="20"/>
        <v>0</v>
      </c>
      <c r="N89" s="64">
        <f t="shared" si="20"/>
        <v>0</v>
      </c>
      <c r="O89" s="64">
        <f t="shared" si="20"/>
        <v>0</v>
      </c>
      <c r="P89" s="64">
        <f t="shared" si="20"/>
        <v>4.7</v>
      </c>
      <c r="Q89" s="64">
        <f t="shared" si="20"/>
        <v>6.3</v>
      </c>
      <c r="R89" s="64">
        <f t="shared" si="20"/>
        <v>6.3</v>
      </c>
      <c r="S89" s="64">
        <f t="shared" si="20"/>
        <v>5.8</v>
      </c>
      <c r="T89" s="64">
        <f t="shared" si="20"/>
        <v>5</v>
      </c>
      <c r="U89" s="64">
        <f t="shared" si="20"/>
        <v>3</v>
      </c>
      <c r="V89" s="64">
        <f t="shared" si="20"/>
        <v>3</v>
      </c>
      <c r="W89" s="64">
        <f t="shared" si="20"/>
        <v>3.6</v>
      </c>
      <c r="X89" s="64">
        <f t="shared" si="20"/>
        <v>3.8</v>
      </c>
      <c r="Y89" s="64">
        <f t="shared" si="20"/>
        <v>6.6</v>
      </c>
      <c r="Z89" s="64">
        <f t="shared" si="20"/>
        <v>6.6</v>
      </c>
      <c r="AA89" s="64">
        <f t="shared" si="20"/>
        <v>5.8</v>
      </c>
      <c r="AB89" s="64">
        <f t="shared" si="20"/>
        <v>6.3</v>
      </c>
      <c r="AC89" s="64">
        <f t="shared" si="20"/>
        <v>3.8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>
        <v>0.23599999999999999</v>
      </c>
      <c r="T90" s="68">
        <v>0.23100000000000001</v>
      </c>
      <c r="U90" s="68">
        <v>0.19400000000000001</v>
      </c>
      <c r="V90" s="68">
        <v>0.246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1">F17</f>
        <v>13.4</v>
      </c>
      <c r="G91" s="64">
        <f t="shared" si="21"/>
        <v>13.3</v>
      </c>
      <c r="H91" s="64">
        <f t="shared" si="21"/>
        <v>13.4</v>
      </c>
      <c r="I91" s="64">
        <f t="shared" si="21"/>
        <v>13.4</v>
      </c>
      <c r="J91" s="64">
        <f t="shared" si="21"/>
        <v>13.6</v>
      </c>
      <c r="K91" s="64">
        <f t="shared" si="21"/>
        <v>13.6</v>
      </c>
      <c r="L91" s="64">
        <f t="shared" si="21"/>
        <v>13.6</v>
      </c>
      <c r="M91" s="64">
        <f t="shared" si="21"/>
        <v>13</v>
      </c>
      <c r="N91" s="64">
        <f t="shared" si="21"/>
        <v>13.4</v>
      </c>
      <c r="O91" s="64">
        <f t="shared" si="21"/>
        <v>13.8</v>
      </c>
      <c r="P91" s="64">
        <f t="shared" si="21"/>
        <v>13.4</v>
      </c>
      <c r="Q91" s="64">
        <f t="shared" si="21"/>
        <v>13.6</v>
      </c>
      <c r="R91" s="64">
        <f t="shared" si="21"/>
        <v>13.2</v>
      </c>
      <c r="S91" s="64">
        <f t="shared" si="21"/>
        <v>17.100000000000001</v>
      </c>
      <c r="T91" s="64">
        <f t="shared" si="21"/>
        <v>19.200000000000003</v>
      </c>
      <c r="U91" s="64">
        <f t="shared" si="21"/>
        <v>20.100000000000001</v>
      </c>
      <c r="V91" s="64">
        <f t="shared" si="21"/>
        <v>19.799999999999997</v>
      </c>
      <c r="W91" s="64">
        <f t="shared" si="21"/>
        <v>19.799999999999997</v>
      </c>
      <c r="X91" s="64">
        <f t="shared" si="21"/>
        <v>20.100000000000001</v>
      </c>
      <c r="Y91" s="64">
        <f t="shared" si="21"/>
        <v>20.100000000000001</v>
      </c>
      <c r="Z91" s="64">
        <f t="shared" si="21"/>
        <v>20.100000000000001</v>
      </c>
      <c r="AA91" s="64">
        <f t="shared" si="21"/>
        <v>19.200000000000003</v>
      </c>
      <c r="AB91" s="64">
        <f t="shared" si="21"/>
        <v>12.8</v>
      </c>
      <c r="AC91" s="64">
        <f t="shared" si="21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0.51800000000000002</v>
      </c>
      <c r="G92" s="68">
        <v>0.67600000000000005</v>
      </c>
      <c r="H92" s="68">
        <v>0.626</v>
      </c>
      <c r="I92" s="68">
        <v>0.628</v>
      </c>
      <c r="J92" s="68">
        <v>0.54</v>
      </c>
      <c r="K92" s="68">
        <v>0.54</v>
      </c>
      <c r="L92" s="68">
        <v>0.503</v>
      </c>
      <c r="M92" s="68">
        <v>0.56299999999999994</v>
      </c>
      <c r="N92" s="68">
        <v>0.72499999999999998</v>
      </c>
      <c r="O92" s="68">
        <v>0.65900000000000003</v>
      </c>
      <c r="P92" s="68">
        <v>0.53700000000000003</v>
      </c>
      <c r="Q92" s="68">
        <v>0.48299999999999998</v>
      </c>
      <c r="R92" s="68">
        <v>0.755</v>
      </c>
      <c r="S92" s="68">
        <v>0.628</v>
      </c>
      <c r="T92" s="68">
        <v>0.75600000000000001</v>
      </c>
      <c r="U92" s="68">
        <v>0.755</v>
      </c>
      <c r="V92" s="68">
        <v>0.81</v>
      </c>
      <c r="W92" s="68">
        <v>0.80900000000000005</v>
      </c>
      <c r="X92" s="68">
        <v>0.58499999999999996</v>
      </c>
      <c r="Y92" s="68">
        <v>0.74399999999999999</v>
      </c>
      <c r="Z92" s="68">
        <v>0.79700000000000004</v>
      </c>
      <c r="AA92" s="68">
        <v>0.60699999999999998</v>
      </c>
      <c r="AB92" s="68">
        <v>0.72499999999999998</v>
      </c>
      <c r="AC92" s="68">
        <v>0.65800000000000003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2">F31</f>
        <v>9</v>
      </c>
      <c r="G93" s="65">
        <f t="shared" si="22"/>
        <v>9</v>
      </c>
      <c r="H93" s="65">
        <f t="shared" si="22"/>
        <v>6</v>
      </c>
      <c r="I93" s="65">
        <f t="shared" si="22"/>
        <v>6</v>
      </c>
      <c r="J93" s="65">
        <f t="shared" si="22"/>
        <v>5.5</v>
      </c>
      <c r="K93" s="65">
        <f t="shared" si="22"/>
        <v>5.5</v>
      </c>
      <c r="L93" s="65">
        <f t="shared" si="22"/>
        <v>7</v>
      </c>
      <c r="M93" s="65">
        <f t="shared" si="22"/>
        <v>8.1999999999999993</v>
      </c>
      <c r="N93" s="65">
        <f t="shared" si="22"/>
        <v>10.8</v>
      </c>
      <c r="O93" s="65">
        <f t="shared" si="22"/>
        <v>10.8</v>
      </c>
      <c r="P93" s="65">
        <f t="shared" si="22"/>
        <v>10.7</v>
      </c>
      <c r="Q93" s="65">
        <f t="shared" si="22"/>
        <v>10.8</v>
      </c>
      <c r="R93" s="65">
        <f t="shared" si="22"/>
        <v>10.7</v>
      </c>
      <c r="S93" s="65">
        <f t="shared" si="22"/>
        <v>10.7</v>
      </c>
      <c r="T93" s="65">
        <f t="shared" si="22"/>
        <v>9</v>
      </c>
      <c r="U93" s="65">
        <f t="shared" si="22"/>
        <v>9</v>
      </c>
      <c r="V93" s="65">
        <f t="shared" si="22"/>
        <v>9.3000000000000007</v>
      </c>
      <c r="W93" s="65">
        <f t="shared" si="22"/>
        <v>10.7</v>
      </c>
      <c r="X93" s="65">
        <f t="shared" si="22"/>
        <v>10.7</v>
      </c>
      <c r="Y93" s="65">
        <f t="shared" si="22"/>
        <v>10.7</v>
      </c>
      <c r="Z93" s="65">
        <f t="shared" si="22"/>
        <v>10.8</v>
      </c>
      <c r="AA93" s="65">
        <f t="shared" si="22"/>
        <v>10.71</v>
      </c>
      <c r="AB93" s="65">
        <f t="shared" si="22"/>
        <v>10.8</v>
      </c>
      <c r="AC93" s="65">
        <f t="shared" si="22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0.16300000000000001</v>
      </c>
      <c r="G94" s="68">
        <v>0.16600000000000001</v>
      </c>
      <c r="H94" s="68">
        <v>0.16600000000000001</v>
      </c>
      <c r="I94" s="68">
        <v>9.8000000000000004E-2</v>
      </c>
      <c r="J94" s="68">
        <v>8.2000000000000003E-2</v>
      </c>
      <c r="K94" s="68">
        <v>0.10299999999999999</v>
      </c>
      <c r="L94" s="68">
        <v>0.1</v>
      </c>
      <c r="M94" s="68">
        <v>0.19400000000000001</v>
      </c>
      <c r="N94" s="68">
        <v>0.18099999999999999</v>
      </c>
      <c r="O94" s="68">
        <v>0.192</v>
      </c>
      <c r="P94" s="68">
        <v>0.2</v>
      </c>
      <c r="Q94" s="68">
        <v>0.192</v>
      </c>
      <c r="R94" s="68">
        <v>0.2</v>
      </c>
      <c r="S94" s="68">
        <v>0.26400000000000001</v>
      </c>
      <c r="T94" s="68">
        <v>0.157</v>
      </c>
      <c r="U94" s="68">
        <v>0.16900000000000001</v>
      </c>
      <c r="V94" s="68">
        <v>0.182</v>
      </c>
      <c r="W94" s="68">
        <v>0.20699999999999999</v>
      </c>
      <c r="X94" s="68">
        <v>0.20200000000000001</v>
      </c>
      <c r="Y94" s="68">
        <v>0.21199999999999999</v>
      </c>
      <c r="Z94" s="68">
        <v>0.18</v>
      </c>
      <c r="AA94" s="68">
        <v>0.189</v>
      </c>
      <c r="AB94" s="68">
        <v>0.185</v>
      </c>
      <c r="AC94" s="68">
        <v>0.184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</v>
      </c>
      <c r="G95" s="68">
        <v>0.21</v>
      </c>
      <c r="H95" s="68">
        <v>0.21</v>
      </c>
      <c r="I95" s="68">
        <v>0.21</v>
      </c>
      <c r="J95" s="68">
        <v>0.20399999999999999</v>
      </c>
      <c r="K95" s="68">
        <v>0.20200000000000001</v>
      </c>
      <c r="L95" s="68">
        <v>0.20200000000000001</v>
      </c>
      <c r="M95" s="68">
        <v>0.20200000000000001</v>
      </c>
      <c r="N95" s="68">
        <v>0.23100000000000001</v>
      </c>
      <c r="O95" s="68">
        <v>0.23300000000000001</v>
      </c>
      <c r="P95" s="68">
        <v>0.20499999999999999</v>
      </c>
      <c r="Q95" s="68">
        <v>0.21</v>
      </c>
      <c r="R95" s="68">
        <v>0.1976</v>
      </c>
      <c r="S95" s="68">
        <v>0.20599999999999999</v>
      </c>
      <c r="T95" s="68">
        <v>0.20050000000000001</v>
      </c>
      <c r="U95" s="68">
        <v>0.20319999999999999</v>
      </c>
      <c r="V95" s="68">
        <v>0.1978</v>
      </c>
      <c r="W95" s="68">
        <v>0.19919999999999999</v>
      </c>
      <c r="X95" s="68">
        <v>0.19700000000000001</v>
      </c>
      <c r="Y95" s="68">
        <v>0.2157</v>
      </c>
      <c r="Z95" s="68">
        <v>0.21560000000000001</v>
      </c>
      <c r="AA95" s="68">
        <v>0.21609999999999999</v>
      </c>
      <c r="AB95" s="68">
        <v>0.21010000000000001</v>
      </c>
      <c r="AC95" s="68">
        <v>0.2077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3">F34</f>
        <v>14.32</v>
      </c>
      <c r="G96" s="65">
        <f t="shared" si="23"/>
        <v>14.26</v>
      </c>
      <c r="H96" s="65">
        <f t="shared" si="23"/>
        <v>14.29</v>
      </c>
      <c r="I96" s="65">
        <f t="shared" si="23"/>
        <v>14.3</v>
      </c>
      <c r="J96" s="65">
        <f t="shared" si="23"/>
        <v>14.26</v>
      </c>
      <c r="K96" s="65">
        <f t="shared" si="23"/>
        <v>14.32</v>
      </c>
      <c r="L96" s="65">
        <f t="shared" si="23"/>
        <v>14.29</v>
      </c>
      <c r="M96" s="65">
        <f t="shared" si="23"/>
        <v>14.26</v>
      </c>
      <c r="N96" s="65">
        <f t="shared" si="23"/>
        <v>14.31</v>
      </c>
      <c r="O96" s="65">
        <f t="shared" si="23"/>
        <v>14.24</v>
      </c>
      <c r="P96" s="65">
        <f t="shared" si="23"/>
        <v>14.25</v>
      </c>
      <c r="Q96" s="65">
        <f t="shared" si="23"/>
        <v>14.26</v>
      </c>
      <c r="R96" s="65">
        <f t="shared" si="23"/>
        <v>14.29</v>
      </c>
      <c r="S96" s="65">
        <f t="shared" si="23"/>
        <v>14.29</v>
      </c>
      <c r="T96" s="65">
        <f t="shared" si="23"/>
        <v>14.28</v>
      </c>
      <c r="U96" s="65">
        <f t="shared" si="23"/>
        <v>14.27</v>
      </c>
      <c r="V96" s="65">
        <f t="shared" si="23"/>
        <v>14.3</v>
      </c>
      <c r="W96" s="65">
        <f t="shared" si="23"/>
        <v>14.26</v>
      </c>
      <c r="X96" s="65">
        <f t="shared" si="23"/>
        <v>14.28</v>
      </c>
      <c r="Y96" s="65">
        <f t="shared" si="23"/>
        <v>14.24</v>
      </c>
      <c r="Z96" s="65">
        <f t="shared" si="23"/>
        <v>14.22</v>
      </c>
      <c r="AA96" s="65">
        <f t="shared" si="23"/>
        <v>14.24</v>
      </c>
      <c r="AB96" s="65">
        <f t="shared" si="23"/>
        <v>14.27</v>
      </c>
      <c r="AC96" s="65">
        <f t="shared" si="23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0.68</v>
      </c>
      <c r="G97" s="68">
        <v>0.74</v>
      </c>
      <c r="H97" s="68">
        <v>0.69</v>
      </c>
      <c r="I97" s="68">
        <v>0.7</v>
      </c>
      <c r="J97" s="68">
        <v>0.74</v>
      </c>
      <c r="K97" s="68">
        <v>0.68</v>
      </c>
      <c r="L97" s="68">
        <v>0.71</v>
      </c>
      <c r="M97" s="68">
        <v>0.74</v>
      </c>
      <c r="N97" s="68">
        <v>0.69</v>
      </c>
      <c r="O97" s="68">
        <v>0.76</v>
      </c>
      <c r="P97" s="68">
        <v>0.75</v>
      </c>
      <c r="Q97" s="68">
        <v>0.74</v>
      </c>
      <c r="R97" s="68">
        <v>0.71</v>
      </c>
      <c r="S97" s="68">
        <v>0.71</v>
      </c>
      <c r="T97" s="68">
        <v>0.72</v>
      </c>
      <c r="U97" s="68">
        <v>0.73</v>
      </c>
      <c r="V97" s="68">
        <v>0.7</v>
      </c>
      <c r="W97" s="68">
        <v>0.74</v>
      </c>
      <c r="X97" s="68">
        <v>0.72</v>
      </c>
      <c r="Y97" s="68">
        <v>0.76</v>
      </c>
      <c r="Z97" s="68">
        <v>0.78</v>
      </c>
      <c r="AA97" s="68">
        <v>0.76</v>
      </c>
      <c r="AB97" s="68">
        <v>0.73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4">F60</f>
        <v>0</v>
      </c>
      <c r="G98" s="64">
        <f t="shared" si="24"/>
        <v>0</v>
      </c>
      <c r="H98" s="64">
        <f t="shared" si="24"/>
        <v>0</v>
      </c>
      <c r="I98" s="64">
        <f t="shared" si="24"/>
        <v>0</v>
      </c>
      <c r="J98" s="64">
        <f t="shared" si="24"/>
        <v>0</v>
      </c>
      <c r="K98" s="64">
        <f t="shared" si="24"/>
        <v>0</v>
      </c>
      <c r="L98" s="64">
        <f t="shared" si="24"/>
        <v>0</v>
      </c>
      <c r="M98" s="64">
        <f t="shared" si="24"/>
        <v>0</v>
      </c>
      <c r="N98" s="64">
        <f t="shared" si="24"/>
        <v>0</v>
      </c>
      <c r="O98" s="64">
        <f t="shared" si="24"/>
        <v>2.2999999999999998</v>
      </c>
      <c r="P98" s="64">
        <f t="shared" si="24"/>
        <v>0.8</v>
      </c>
      <c r="Q98" s="64">
        <f t="shared" si="24"/>
        <v>0.8</v>
      </c>
      <c r="R98" s="64">
        <f t="shared" si="24"/>
        <v>3.1</v>
      </c>
      <c r="S98" s="64">
        <f t="shared" si="24"/>
        <v>0</v>
      </c>
      <c r="T98" s="64">
        <f t="shared" si="24"/>
        <v>0</v>
      </c>
      <c r="U98" s="64">
        <f t="shared" si="24"/>
        <v>0.8</v>
      </c>
      <c r="V98" s="64">
        <f t="shared" si="24"/>
        <v>0</v>
      </c>
      <c r="W98" s="64">
        <f t="shared" si="24"/>
        <v>0</v>
      </c>
      <c r="X98" s="64">
        <f t="shared" si="24"/>
        <v>0</v>
      </c>
      <c r="Y98" s="64">
        <f t="shared" si="24"/>
        <v>3.7</v>
      </c>
      <c r="Z98" s="64">
        <f t="shared" si="24"/>
        <v>0.8</v>
      </c>
      <c r="AA98" s="64">
        <f t="shared" si="24"/>
        <v>0</v>
      </c>
      <c r="AB98" s="64">
        <f t="shared" si="24"/>
        <v>2.2000000000000002</v>
      </c>
      <c r="AC98" s="64">
        <f t="shared" si="24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5">F65</f>
        <v>1.0900000000000001</v>
      </c>
      <c r="G99" s="64">
        <f t="shared" si="25"/>
        <v>1.01</v>
      </c>
      <c r="H99" s="64">
        <f t="shared" si="25"/>
        <v>0.98</v>
      </c>
      <c r="I99" s="64">
        <f t="shared" si="25"/>
        <v>0.88</v>
      </c>
      <c r="J99" s="64">
        <f t="shared" si="25"/>
        <v>0.9</v>
      </c>
      <c r="K99" s="64">
        <f t="shared" si="25"/>
        <v>0.89</v>
      </c>
      <c r="L99" s="64">
        <f t="shared" si="25"/>
        <v>0.95</v>
      </c>
      <c r="M99" s="64">
        <f t="shared" si="25"/>
        <v>1.1000000000000001</v>
      </c>
      <c r="N99" s="64">
        <f t="shared" si="25"/>
        <v>1.1200000000000001</v>
      </c>
      <c r="O99" s="64">
        <f t="shared" si="25"/>
        <v>1.1200000000000001</v>
      </c>
      <c r="P99" s="64">
        <f t="shared" si="25"/>
        <v>1.18</v>
      </c>
      <c r="Q99" s="64">
        <f t="shared" si="25"/>
        <v>1.2</v>
      </c>
      <c r="R99" s="64">
        <f t="shared" si="25"/>
        <v>1.21</v>
      </c>
      <c r="S99" s="64">
        <f t="shared" si="25"/>
        <v>1.22</v>
      </c>
      <c r="T99" s="64">
        <f t="shared" si="25"/>
        <v>1.2</v>
      </c>
      <c r="U99" s="64">
        <f t="shared" si="25"/>
        <v>1.24</v>
      </c>
      <c r="V99" s="64">
        <f t="shared" si="25"/>
        <v>1.22</v>
      </c>
      <c r="W99" s="64">
        <f t="shared" si="25"/>
        <v>1.2</v>
      </c>
      <c r="X99" s="64">
        <f t="shared" si="25"/>
        <v>1.27</v>
      </c>
      <c r="Y99" s="64">
        <f t="shared" si="25"/>
        <v>1.45</v>
      </c>
      <c r="Z99" s="64">
        <f t="shared" si="25"/>
        <v>1.56</v>
      </c>
      <c r="AA99" s="64">
        <f t="shared" si="25"/>
        <v>1.5</v>
      </c>
      <c r="AB99" s="64">
        <f t="shared" si="25"/>
        <v>1.38</v>
      </c>
      <c r="AC99" s="64">
        <f t="shared" si="25"/>
        <v>1.1599999999999999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6">F76</f>
        <v>0</v>
      </c>
      <c r="G100" s="64">
        <f t="shared" si="26"/>
        <v>0</v>
      </c>
      <c r="H100" s="64">
        <f t="shared" si="26"/>
        <v>0</v>
      </c>
      <c r="I100" s="64">
        <f t="shared" si="26"/>
        <v>0</v>
      </c>
      <c r="J100" s="64">
        <f t="shared" si="26"/>
        <v>0</v>
      </c>
      <c r="K100" s="64">
        <f t="shared" si="26"/>
        <v>0</v>
      </c>
      <c r="L100" s="64">
        <f t="shared" si="26"/>
        <v>0</v>
      </c>
      <c r="M100" s="64">
        <f t="shared" si="26"/>
        <v>0</v>
      </c>
      <c r="N100" s="64">
        <f t="shared" si="26"/>
        <v>0</v>
      </c>
      <c r="O100" s="64">
        <f t="shared" si="26"/>
        <v>0</v>
      </c>
      <c r="P100" s="64">
        <f t="shared" si="26"/>
        <v>0</v>
      </c>
      <c r="Q100" s="64">
        <f t="shared" si="26"/>
        <v>0</v>
      </c>
      <c r="R100" s="64">
        <f t="shared" si="26"/>
        <v>0</v>
      </c>
      <c r="S100" s="64">
        <f t="shared" si="26"/>
        <v>0</v>
      </c>
      <c r="T100" s="64">
        <f t="shared" si="26"/>
        <v>0</v>
      </c>
      <c r="U100" s="64">
        <f t="shared" si="26"/>
        <v>0</v>
      </c>
      <c r="V100" s="64">
        <f t="shared" si="26"/>
        <v>0</v>
      </c>
      <c r="W100" s="64">
        <f t="shared" si="26"/>
        <v>0</v>
      </c>
      <c r="X100" s="64">
        <f t="shared" si="26"/>
        <v>0</v>
      </c>
      <c r="Y100" s="64">
        <f t="shared" si="26"/>
        <v>0</v>
      </c>
      <c r="Z100" s="64">
        <f t="shared" si="26"/>
        <v>0</v>
      </c>
      <c r="AA100" s="64">
        <f t="shared" si="26"/>
        <v>0</v>
      </c>
      <c r="AB100" s="64">
        <f t="shared" si="26"/>
        <v>0</v>
      </c>
      <c r="AC100" s="64">
        <f t="shared" si="2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7">F80</f>
        <v>0.75</v>
      </c>
      <c r="G101" s="64">
        <f t="shared" si="27"/>
        <v>0.71</v>
      </c>
      <c r="H101" s="64">
        <f t="shared" si="27"/>
        <v>0.69</v>
      </c>
      <c r="I101" s="64">
        <f t="shared" si="27"/>
        <v>0.66</v>
      </c>
      <c r="J101" s="64">
        <f t="shared" si="27"/>
        <v>0.65</v>
      </c>
      <c r="K101" s="64">
        <f t="shared" si="27"/>
        <v>0.65</v>
      </c>
      <c r="L101" s="64">
        <f t="shared" si="27"/>
        <v>0.67</v>
      </c>
      <c r="M101" s="64">
        <f t="shared" si="27"/>
        <v>0.71</v>
      </c>
      <c r="N101" s="64">
        <f t="shared" si="27"/>
        <v>0.73</v>
      </c>
      <c r="O101" s="64">
        <f t="shared" si="27"/>
        <v>0.77</v>
      </c>
      <c r="P101" s="64">
        <f t="shared" si="27"/>
        <v>0.8</v>
      </c>
      <c r="Q101" s="64">
        <f t="shared" si="27"/>
        <v>0.83</v>
      </c>
      <c r="R101" s="64">
        <f t="shared" si="27"/>
        <v>0.82</v>
      </c>
      <c r="S101" s="64">
        <f t="shared" si="27"/>
        <v>0.87</v>
      </c>
      <c r="T101" s="64">
        <f t="shared" si="27"/>
        <v>0.85</v>
      </c>
      <c r="U101" s="64">
        <f t="shared" si="27"/>
        <v>0.83</v>
      </c>
      <c r="V101" s="64">
        <f t="shared" si="27"/>
        <v>0.84</v>
      </c>
      <c r="W101" s="64">
        <f t="shared" si="27"/>
        <v>0.84</v>
      </c>
      <c r="X101" s="64">
        <f t="shared" si="27"/>
        <v>0.82</v>
      </c>
      <c r="Y101" s="64">
        <f t="shared" si="27"/>
        <v>0.93</v>
      </c>
      <c r="Z101" s="64">
        <f t="shared" si="27"/>
        <v>0.98</v>
      </c>
      <c r="AA101" s="64">
        <f t="shared" si="27"/>
        <v>0.94</v>
      </c>
      <c r="AB101" s="64">
        <f t="shared" si="27"/>
        <v>0.89</v>
      </c>
      <c r="AC101" s="64">
        <f t="shared" si="27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28">F82</f>
        <v>0</v>
      </c>
      <c r="G102" s="64">
        <f t="shared" si="28"/>
        <v>0</v>
      </c>
      <c r="H102" s="64">
        <f t="shared" si="28"/>
        <v>0</v>
      </c>
      <c r="I102" s="64">
        <f t="shared" si="28"/>
        <v>0</v>
      </c>
      <c r="J102" s="64">
        <f t="shared" si="28"/>
        <v>0</v>
      </c>
      <c r="K102" s="64">
        <f t="shared" si="28"/>
        <v>0</v>
      </c>
      <c r="L102" s="64">
        <f t="shared" si="28"/>
        <v>0</v>
      </c>
      <c r="M102" s="64">
        <f t="shared" si="28"/>
        <v>0</v>
      </c>
      <c r="N102" s="64">
        <f t="shared" si="28"/>
        <v>0</v>
      </c>
      <c r="O102" s="64">
        <f t="shared" si="28"/>
        <v>0</v>
      </c>
      <c r="P102" s="64">
        <f t="shared" si="28"/>
        <v>0</v>
      </c>
      <c r="Q102" s="64">
        <f t="shared" si="28"/>
        <v>0</v>
      </c>
      <c r="R102" s="64">
        <f t="shared" si="28"/>
        <v>0</v>
      </c>
      <c r="S102" s="64">
        <f t="shared" si="28"/>
        <v>0</v>
      </c>
      <c r="T102" s="64">
        <f t="shared" si="28"/>
        <v>0</v>
      </c>
      <c r="U102" s="64">
        <f t="shared" si="28"/>
        <v>0</v>
      </c>
      <c r="V102" s="64">
        <f t="shared" si="28"/>
        <v>0</v>
      </c>
      <c r="W102" s="64">
        <f t="shared" si="28"/>
        <v>0</v>
      </c>
      <c r="X102" s="64">
        <f t="shared" si="28"/>
        <v>0</v>
      </c>
      <c r="Y102" s="64">
        <f t="shared" si="28"/>
        <v>0</v>
      </c>
      <c r="Z102" s="64">
        <f t="shared" si="28"/>
        <v>0</v>
      </c>
      <c r="AA102" s="64">
        <f t="shared" si="28"/>
        <v>0</v>
      </c>
      <c r="AB102" s="64">
        <f t="shared" si="28"/>
        <v>0</v>
      </c>
      <c r="AC102" s="64">
        <f t="shared" si="28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29">SUM(F89,F91,F93,F96,F98:F102,F81)</f>
        <v>41.160000000000004</v>
      </c>
      <c r="G103" s="61">
        <f t="shared" si="29"/>
        <v>38.28</v>
      </c>
      <c r="H103" s="61">
        <f t="shared" si="29"/>
        <v>35.359999999999992</v>
      </c>
      <c r="I103" s="61">
        <f t="shared" si="29"/>
        <v>35.24</v>
      </c>
      <c r="J103" s="61">
        <f t="shared" si="29"/>
        <v>34.909999999999997</v>
      </c>
      <c r="K103" s="61">
        <f t="shared" si="29"/>
        <v>34.96</v>
      </c>
      <c r="L103" s="61">
        <f t="shared" si="29"/>
        <v>36.510000000000005</v>
      </c>
      <c r="M103" s="61">
        <f t="shared" si="29"/>
        <v>37.270000000000003</v>
      </c>
      <c r="N103" s="61">
        <f t="shared" si="29"/>
        <v>40.36</v>
      </c>
      <c r="O103" s="61">
        <f t="shared" si="29"/>
        <v>43.03</v>
      </c>
      <c r="P103" s="61">
        <f t="shared" si="29"/>
        <v>45.829999999999991</v>
      </c>
      <c r="Q103" s="61">
        <f t="shared" si="29"/>
        <v>47.79</v>
      </c>
      <c r="R103" s="61">
        <f t="shared" si="29"/>
        <v>49.62</v>
      </c>
      <c r="S103" s="61">
        <f t="shared" si="29"/>
        <v>49.98</v>
      </c>
      <c r="T103" s="61">
        <f t="shared" si="29"/>
        <v>49.530000000000008</v>
      </c>
      <c r="U103" s="61">
        <f t="shared" si="29"/>
        <v>49.24</v>
      </c>
      <c r="V103" s="61">
        <f t="shared" si="29"/>
        <v>48.459999999999994</v>
      </c>
      <c r="W103" s="61">
        <f t="shared" si="29"/>
        <v>50.4</v>
      </c>
      <c r="X103" s="61">
        <f t="shared" si="29"/>
        <v>50.970000000000006</v>
      </c>
      <c r="Y103" s="61">
        <f t="shared" si="29"/>
        <v>57.720000000000013</v>
      </c>
      <c r="Z103" s="61">
        <f t="shared" si="29"/>
        <v>55.059999999999995</v>
      </c>
      <c r="AA103" s="61">
        <f t="shared" si="29"/>
        <v>52.390000000000008</v>
      </c>
      <c r="AB103" s="61">
        <f t="shared" si="29"/>
        <v>48.640000000000008</v>
      </c>
      <c r="AC103" s="61">
        <f t="shared" si="29"/>
        <v>43.87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0">SUM(F104:F106)</f>
        <v>0</v>
      </c>
      <c r="G107" s="61">
        <f t="shared" si="30"/>
        <v>0</v>
      </c>
      <c r="H107" s="61">
        <f t="shared" si="30"/>
        <v>0</v>
      </c>
      <c r="I107" s="61">
        <f t="shared" si="30"/>
        <v>0</v>
      </c>
      <c r="J107" s="61">
        <f t="shared" si="30"/>
        <v>0</v>
      </c>
      <c r="K107" s="61">
        <f t="shared" si="30"/>
        <v>0</v>
      </c>
      <c r="L107" s="61">
        <f t="shared" si="30"/>
        <v>0</v>
      </c>
      <c r="M107" s="61">
        <f t="shared" si="30"/>
        <v>0</v>
      </c>
      <c r="N107" s="61">
        <f t="shared" si="30"/>
        <v>0</v>
      </c>
      <c r="O107" s="61">
        <f t="shared" si="30"/>
        <v>0</v>
      </c>
      <c r="P107" s="61">
        <f t="shared" si="30"/>
        <v>0</v>
      </c>
      <c r="Q107" s="61">
        <f t="shared" si="30"/>
        <v>0</v>
      </c>
      <c r="R107" s="61">
        <f t="shared" si="30"/>
        <v>0</v>
      </c>
      <c r="S107" s="61">
        <f t="shared" si="30"/>
        <v>0</v>
      </c>
      <c r="T107" s="61">
        <f t="shared" si="30"/>
        <v>0</v>
      </c>
      <c r="U107" s="61">
        <f t="shared" si="30"/>
        <v>0</v>
      </c>
      <c r="V107" s="61">
        <f t="shared" si="30"/>
        <v>0</v>
      </c>
      <c r="W107" s="61">
        <f t="shared" si="30"/>
        <v>0</v>
      </c>
      <c r="X107" s="61">
        <f t="shared" si="30"/>
        <v>0</v>
      </c>
      <c r="Y107" s="61">
        <f t="shared" si="30"/>
        <v>0</v>
      </c>
      <c r="Z107" s="61">
        <f t="shared" si="30"/>
        <v>0</v>
      </c>
      <c r="AA107" s="61">
        <f t="shared" si="30"/>
        <v>0</v>
      </c>
      <c r="AB107" s="61">
        <f t="shared" si="30"/>
        <v>0</v>
      </c>
      <c r="AC107" s="61">
        <f t="shared" si="30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1">F103+F107</f>
        <v>41.160000000000004</v>
      </c>
      <c r="G108" s="62">
        <f t="shared" si="31"/>
        <v>38.28</v>
      </c>
      <c r="H108" s="62">
        <f t="shared" si="31"/>
        <v>35.359999999999992</v>
      </c>
      <c r="I108" s="62">
        <f t="shared" si="31"/>
        <v>35.24</v>
      </c>
      <c r="J108" s="62">
        <f t="shared" si="31"/>
        <v>34.909999999999997</v>
      </c>
      <c r="K108" s="62">
        <f t="shared" si="31"/>
        <v>34.96</v>
      </c>
      <c r="L108" s="62">
        <f t="shared" si="31"/>
        <v>36.510000000000005</v>
      </c>
      <c r="M108" s="62">
        <f t="shared" si="31"/>
        <v>37.270000000000003</v>
      </c>
      <c r="N108" s="62">
        <f>N103+N107</f>
        <v>40.36</v>
      </c>
      <c r="O108" s="62">
        <f t="shared" si="31"/>
        <v>43.03</v>
      </c>
      <c r="P108" s="62">
        <f>P103+P107</f>
        <v>45.829999999999991</v>
      </c>
      <c r="Q108" s="62">
        <f t="shared" si="31"/>
        <v>47.79</v>
      </c>
      <c r="R108" s="62">
        <f t="shared" si="31"/>
        <v>49.62</v>
      </c>
      <c r="S108" s="62">
        <f t="shared" si="31"/>
        <v>49.98</v>
      </c>
      <c r="T108" s="62">
        <f>T103+T107</f>
        <v>49.530000000000008</v>
      </c>
      <c r="U108" s="62">
        <f t="shared" si="31"/>
        <v>49.24</v>
      </c>
      <c r="V108" s="62">
        <f t="shared" si="31"/>
        <v>48.459999999999994</v>
      </c>
      <c r="W108" s="62">
        <f>W103+W107</f>
        <v>50.4</v>
      </c>
      <c r="X108" s="62">
        <f t="shared" si="31"/>
        <v>50.970000000000006</v>
      </c>
      <c r="Y108" s="62">
        <f t="shared" si="31"/>
        <v>57.720000000000013</v>
      </c>
      <c r="Z108" s="62">
        <f t="shared" si="31"/>
        <v>55.059999999999995</v>
      </c>
      <c r="AA108" s="62">
        <f t="shared" si="31"/>
        <v>52.390000000000008</v>
      </c>
      <c r="AB108" s="62">
        <f t="shared" si="31"/>
        <v>48.640000000000008</v>
      </c>
      <c r="AC108" s="62">
        <f t="shared" si="31"/>
        <v>43.87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2">(COUNT(F13:F16))*7.2+(COUNT(F27:F28)*4.9)+(COUNT(F19:F21)*4.5)-F91-F93</f>
        <v>5.9</v>
      </c>
      <c r="G109" s="63">
        <f t="shared" si="32"/>
        <v>13.2</v>
      </c>
      <c r="H109" s="63">
        <f t="shared" si="32"/>
        <v>8.9</v>
      </c>
      <c r="I109" s="63">
        <f t="shared" si="32"/>
        <v>3.9999999999999982</v>
      </c>
      <c r="J109" s="63">
        <f t="shared" si="32"/>
        <v>4.2999999999999989</v>
      </c>
      <c r="K109" s="63">
        <f t="shared" si="32"/>
        <v>4.2999999999999989</v>
      </c>
      <c r="L109" s="63">
        <f t="shared" si="32"/>
        <v>2.7999999999999989</v>
      </c>
      <c r="M109" s="63">
        <f t="shared" si="32"/>
        <v>7.1000000000000014</v>
      </c>
      <c r="N109" s="63">
        <f t="shared" si="32"/>
        <v>4.0999999999999996</v>
      </c>
      <c r="O109" s="63">
        <f t="shared" si="32"/>
        <v>3.6999999999999993</v>
      </c>
      <c r="P109" s="63">
        <f t="shared" si="32"/>
        <v>4.2000000000000011</v>
      </c>
      <c r="Q109" s="63">
        <f t="shared" si="32"/>
        <v>3.9000000000000004</v>
      </c>
      <c r="R109" s="63">
        <f t="shared" si="32"/>
        <v>4.4000000000000021</v>
      </c>
      <c r="S109" s="63">
        <f t="shared" si="32"/>
        <v>3.1999999999999993</v>
      </c>
      <c r="T109" s="63">
        <f t="shared" si="32"/>
        <v>2.7999999999999972</v>
      </c>
      <c r="U109" s="63">
        <f t="shared" si="32"/>
        <v>-2.6000000000000014</v>
      </c>
      <c r="V109" s="63">
        <f t="shared" si="32"/>
        <v>1.9000000000000021</v>
      </c>
      <c r="W109" s="63">
        <f t="shared" si="32"/>
        <v>0.50000000000000355</v>
      </c>
      <c r="X109" s="63">
        <f t="shared" si="32"/>
        <v>0.19999999999999929</v>
      </c>
      <c r="Y109" s="63">
        <f t="shared" si="32"/>
        <v>4.6999999999999993</v>
      </c>
      <c r="Z109" s="63">
        <f t="shared" si="32"/>
        <v>4.5999999999999979</v>
      </c>
      <c r="AA109" s="63">
        <f t="shared" si="32"/>
        <v>5.5899999999999963</v>
      </c>
      <c r="AB109" s="63">
        <f t="shared" si="32"/>
        <v>4.6999999999999993</v>
      </c>
      <c r="AC109" s="63">
        <f t="shared" si="32"/>
        <v>7.1999999999999993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-3.6</v>
      </c>
      <c r="G110" s="205">
        <f t="shared" si="33"/>
        <v>2.8000000000000007</v>
      </c>
      <c r="H110" s="205">
        <f t="shared" si="33"/>
        <v>-1.5</v>
      </c>
      <c r="I110" s="205">
        <f t="shared" si="33"/>
        <v>-5</v>
      </c>
      <c r="J110" s="205">
        <f t="shared" si="33"/>
        <v>-4.6999999999999993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-4.6999999999999993</v>
      </c>
      <c r="L110" s="205">
        <f t="shared" si="33"/>
        <v>-6.1999999999999993</v>
      </c>
      <c r="M110" s="205">
        <f t="shared" si="33"/>
        <v>-1.8999999999999986</v>
      </c>
      <c r="N110" s="205">
        <f t="shared" si="33"/>
        <v>-4.9000000000000004</v>
      </c>
      <c r="O110" s="205">
        <f t="shared" si="33"/>
        <v>-5.3000000000000007</v>
      </c>
      <c r="P110" s="205">
        <f t="shared" si="33"/>
        <v>-1.4999999999999991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-3.3999999999999995</v>
      </c>
      <c r="R110" s="205">
        <f t="shared" ref="R110:AC110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-3.299999999999998</v>
      </c>
      <c r="S110" s="205">
        <f t="shared" si="34"/>
        <v>0.50000000000000089</v>
      </c>
      <c r="T110" s="205">
        <f t="shared" si="34"/>
        <v>0.89999999999999858</v>
      </c>
      <c r="U110" s="205">
        <f t="shared" si="34"/>
        <v>-1.5</v>
      </c>
      <c r="V110" s="205">
        <f t="shared" si="34"/>
        <v>3.0000000000000036</v>
      </c>
      <c r="W110" s="205">
        <f t="shared" si="34"/>
        <v>-3.4999999999999951</v>
      </c>
      <c r="X110" s="205">
        <f t="shared" si="34"/>
        <v>-3.9999999999999991</v>
      </c>
      <c r="Y110" s="205">
        <f t="shared" si="34"/>
        <v>-3.2999999999999989</v>
      </c>
      <c r="Z110" s="205">
        <f t="shared" si="34"/>
        <v>-3.4000000000000004</v>
      </c>
      <c r="AA110" s="205">
        <f t="shared" si="34"/>
        <v>-1.6100000000000021</v>
      </c>
      <c r="AB110" s="205">
        <f t="shared" si="34"/>
        <v>-3.0000000000000009</v>
      </c>
      <c r="AC110" s="205">
        <f t="shared" si="34"/>
        <v>3.0000000000000009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60.22</v>
      </c>
      <c r="G111" s="456">
        <v>60.12</v>
      </c>
      <c r="H111" s="456">
        <v>60.13</v>
      </c>
      <c r="I111" s="456">
        <v>60.08</v>
      </c>
      <c r="J111" s="456">
        <v>60.04</v>
      </c>
      <c r="K111" s="456">
        <v>60.07</v>
      </c>
      <c r="L111" s="456">
        <v>60.08</v>
      </c>
      <c r="M111" s="456">
        <v>60.2</v>
      </c>
      <c r="N111" s="456">
        <v>60.19</v>
      </c>
      <c r="O111" s="456">
        <v>60.15</v>
      </c>
      <c r="P111" s="457">
        <v>60.26</v>
      </c>
      <c r="Q111" s="457">
        <v>60.2</v>
      </c>
      <c r="R111" s="457">
        <v>60.12</v>
      </c>
      <c r="S111" s="457">
        <v>60.2</v>
      </c>
      <c r="T111" s="457">
        <v>60.27</v>
      </c>
      <c r="U111" s="456">
        <v>60.18</v>
      </c>
      <c r="V111" s="456">
        <v>60.16</v>
      </c>
      <c r="W111" s="456">
        <v>60.16</v>
      </c>
      <c r="X111" s="456">
        <v>60.08</v>
      </c>
      <c r="Y111" s="456">
        <v>60.12</v>
      </c>
      <c r="Z111" s="456">
        <v>60.06</v>
      </c>
      <c r="AA111" s="456">
        <v>60.17</v>
      </c>
      <c r="AB111" s="456">
        <v>60.17</v>
      </c>
      <c r="AC111" s="456">
        <v>60.08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101</v>
      </c>
      <c r="G115" s="520" t="s">
        <v>101</v>
      </c>
      <c r="H115" s="520" t="s">
        <v>101</v>
      </c>
      <c r="I115" s="520" t="s">
        <v>109</v>
      </c>
      <c r="J115" s="520" t="s">
        <v>109</v>
      </c>
      <c r="K115" s="520" t="s">
        <v>109</v>
      </c>
      <c r="L115" s="520" t="s">
        <v>109</v>
      </c>
      <c r="M115" s="520" t="s">
        <v>109</v>
      </c>
      <c r="N115" s="520" t="s">
        <v>109</v>
      </c>
      <c r="O115" s="520" t="s">
        <v>109</v>
      </c>
      <c r="P115" s="520" t="s">
        <v>100</v>
      </c>
      <c r="Q115" s="520" t="s">
        <v>100</v>
      </c>
      <c r="R115" s="520" t="s">
        <v>113</v>
      </c>
      <c r="S115" s="520" t="s">
        <v>113</v>
      </c>
      <c r="T115" s="520" t="s">
        <v>109</v>
      </c>
      <c r="U115" s="520" t="s">
        <v>113</v>
      </c>
      <c r="V115" s="520" t="s">
        <v>113</v>
      </c>
      <c r="W115" s="520" t="s">
        <v>113</v>
      </c>
      <c r="X115" s="520" t="s">
        <v>113</v>
      </c>
      <c r="Y115" s="520" t="s">
        <v>113</v>
      </c>
      <c r="Z115" s="520" t="s">
        <v>113</v>
      </c>
      <c r="AA115" s="520" t="s">
        <v>113</v>
      </c>
      <c r="AB115" s="520" t="s">
        <v>113</v>
      </c>
      <c r="AC115" s="520" t="s">
        <v>113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2260" priority="726" operator="greaterThan">
      <formula>60.3</formula>
    </cfRule>
  </conditionalFormatting>
  <conditionalFormatting sqref="F111">
    <cfRule type="cellIs" dxfId="12259" priority="725" operator="greaterThan">
      <formula>60.3</formula>
    </cfRule>
  </conditionalFormatting>
  <conditionalFormatting sqref="H13:J13 N13:O13 D42:E42 N36:AC39 N57:AC59 O14:O16 L51:M55 L36:L50 P40:AC40 N41:AC46 M50:O50 H36:J59 L56:L59 I15:N15 I16:L16 N16 H62:L64 L13:L14 P13:AC16 O52:AC56 P62:AC63 P47:AC51 H14:K14 S64:AC64">
    <cfRule type="cellIs" dxfId="12258" priority="717" operator="equal">
      <formula>"PMS"</formula>
    </cfRule>
    <cfRule type="containsText" dxfId="12257" priority="718" operator="containsText" text="CMS">
      <formula>NOT(ISERROR(SEARCH("CMS",D13)))</formula>
    </cfRule>
    <cfRule type="cellIs" dxfId="12256" priority="719" operator="equal">
      <formula>0</formula>
    </cfRule>
    <cfRule type="cellIs" dxfId="12255" priority="720" operator="greaterThan">
      <formula>0</formula>
    </cfRule>
    <cfRule type="cellIs" dxfId="12254" priority="721" operator="equal">
      <formula>"PMS"</formula>
    </cfRule>
    <cfRule type="containsText" dxfId="12253" priority="722" operator="containsText" text="CMS">
      <formula>NOT(ISERROR(SEARCH("CMS",D13)))</formula>
    </cfRule>
    <cfRule type="cellIs" dxfId="12252" priority="723" operator="equal">
      <formula>0</formula>
    </cfRule>
    <cfRule type="cellIs" dxfId="12251" priority="724" operator="greaterThan">
      <formula>0</formula>
    </cfRule>
  </conditionalFormatting>
  <conditionalFormatting sqref="H13:J13 N13:O13 D42:E42 N36:AC39 N57:AC59 O14:O16 L51:M55 L36:L50 P40:AC40 N41:AC46 M50:O50 H36:J59 L56:L59 I15:N15 I16:L16 N16 H62:L64 L13:L14 P13:AC16 O52:AC56 P62:AC63 P47:AC51 H14:K14 S64:AC64">
    <cfRule type="cellIs" dxfId="12250" priority="713" operator="equal">
      <formula>"PMS"</formula>
    </cfRule>
    <cfRule type="containsText" dxfId="12249" priority="714" operator="containsText" text="CMS">
      <formula>NOT(ISERROR(SEARCH("CMS",D13)))</formula>
    </cfRule>
    <cfRule type="cellIs" dxfId="12248" priority="715" operator="equal">
      <formula>0</formula>
    </cfRule>
    <cfRule type="cellIs" dxfId="12247" priority="716" operator="greaterThan">
      <formula>0</formula>
    </cfRule>
  </conditionalFormatting>
  <conditionalFormatting sqref="G67:AC75">
    <cfRule type="cellIs" dxfId="12246" priority="705" operator="equal">
      <formula>"PMS"</formula>
    </cfRule>
    <cfRule type="containsText" dxfId="12245" priority="706" operator="containsText" text="CMS">
      <formula>NOT(ISERROR(SEARCH("CMS",G67)))</formula>
    </cfRule>
    <cfRule type="cellIs" dxfId="12244" priority="707" operator="equal">
      <formula>0</formula>
    </cfRule>
    <cfRule type="cellIs" dxfId="12243" priority="708" operator="greaterThan">
      <formula>0</formula>
    </cfRule>
    <cfRule type="cellIs" dxfId="12242" priority="709" operator="equal">
      <formula>"PMS"</formula>
    </cfRule>
    <cfRule type="containsText" dxfId="12241" priority="710" operator="containsText" text="CMS">
      <formula>NOT(ISERROR(SEARCH("CMS",G67)))</formula>
    </cfRule>
    <cfRule type="cellIs" dxfId="12240" priority="711" operator="equal">
      <formula>0</formula>
    </cfRule>
    <cfRule type="cellIs" dxfId="12239" priority="712" operator="greaterThan">
      <formula>0</formula>
    </cfRule>
  </conditionalFormatting>
  <conditionalFormatting sqref="G67:AC75">
    <cfRule type="cellIs" dxfId="12238" priority="701" operator="equal">
      <formula>"PMS"</formula>
    </cfRule>
    <cfRule type="containsText" dxfId="12237" priority="702" operator="containsText" text="CMS">
      <formula>NOT(ISERROR(SEARCH("CMS",G67)))</formula>
    </cfRule>
    <cfRule type="cellIs" dxfId="12236" priority="703" operator="equal">
      <formula>0</formula>
    </cfRule>
    <cfRule type="cellIs" dxfId="12235" priority="704" operator="greaterThan">
      <formula>0</formula>
    </cfRule>
  </conditionalFormatting>
  <conditionalFormatting sqref="G82:AC82">
    <cfRule type="cellIs" dxfId="12234" priority="693" operator="equal">
      <formula>"PMS"</formula>
    </cfRule>
    <cfRule type="containsText" dxfId="12233" priority="694" operator="containsText" text="CMS">
      <formula>NOT(ISERROR(SEARCH("CMS",G82)))</formula>
    </cfRule>
    <cfRule type="cellIs" dxfId="12232" priority="695" operator="equal">
      <formula>0</formula>
    </cfRule>
    <cfRule type="cellIs" dxfId="12231" priority="696" operator="greaterThan">
      <formula>0</formula>
    </cfRule>
    <cfRule type="cellIs" dxfId="12230" priority="697" operator="equal">
      <formula>"PMS"</formula>
    </cfRule>
    <cfRule type="containsText" dxfId="12229" priority="698" operator="containsText" text="CMS">
      <formula>NOT(ISERROR(SEARCH("CMS",G82)))</formula>
    </cfRule>
    <cfRule type="cellIs" dxfId="12228" priority="699" operator="equal">
      <formula>0</formula>
    </cfRule>
    <cfRule type="cellIs" dxfId="12227" priority="700" operator="greaterThan">
      <formula>0</formula>
    </cfRule>
  </conditionalFormatting>
  <conditionalFormatting sqref="G82:AC82">
    <cfRule type="cellIs" dxfId="12226" priority="689" operator="equal">
      <formula>"PMS"</formula>
    </cfRule>
    <cfRule type="containsText" dxfId="12225" priority="690" operator="containsText" text="CMS">
      <formula>NOT(ISERROR(SEARCH("CMS",G82)))</formula>
    </cfRule>
    <cfRule type="cellIs" dxfId="12224" priority="691" operator="equal">
      <formula>0</formula>
    </cfRule>
    <cfRule type="cellIs" dxfId="12223" priority="692" operator="greaterThan">
      <formula>0</formula>
    </cfRule>
  </conditionalFormatting>
  <conditionalFormatting sqref="G13">
    <cfRule type="cellIs" dxfId="12222" priority="669" operator="equal">
      <formula>"PMS"</formula>
    </cfRule>
    <cfRule type="containsText" dxfId="12221" priority="670" operator="containsText" text="CMS">
      <formula>NOT(ISERROR(SEARCH("CMS",G13)))</formula>
    </cfRule>
    <cfRule type="cellIs" dxfId="12220" priority="671" operator="equal">
      <formula>0</formula>
    </cfRule>
    <cfRule type="cellIs" dxfId="12219" priority="672" operator="greaterThan">
      <formula>0</formula>
    </cfRule>
    <cfRule type="cellIs" dxfId="12218" priority="673" operator="equal">
      <formula>"PMS"</formula>
    </cfRule>
    <cfRule type="containsText" dxfId="12217" priority="674" operator="containsText" text="CMS">
      <formula>NOT(ISERROR(SEARCH("CMS",G13)))</formula>
    </cfRule>
    <cfRule type="cellIs" dxfId="12216" priority="675" operator="equal">
      <formula>0</formula>
    </cfRule>
    <cfRule type="cellIs" dxfId="12215" priority="676" operator="greaterThan">
      <formula>0</formula>
    </cfRule>
  </conditionalFormatting>
  <conditionalFormatting sqref="G13">
    <cfRule type="cellIs" dxfId="12214" priority="665" operator="equal">
      <formula>"PMS"</formula>
    </cfRule>
    <cfRule type="containsText" dxfId="12213" priority="666" operator="containsText" text="CMS">
      <formula>NOT(ISERROR(SEARCH("CMS",G13)))</formula>
    </cfRule>
    <cfRule type="cellIs" dxfId="12212" priority="667" operator="equal">
      <formula>0</formula>
    </cfRule>
    <cfRule type="cellIs" dxfId="12211" priority="668" operator="greaterThan">
      <formula>0</formula>
    </cfRule>
  </conditionalFormatting>
  <conditionalFormatting sqref="M13">
    <cfRule type="cellIs" dxfId="12210" priority="657" operator="equal">
      <formula>"PMS"</formula>
    </cfRule>
    <cfRule type="containsText" dxfId="12209" priority="658" operator="containsText" text="CMS">
      <formula>NOT(ISERROR(SEARCH("CMS",M13)))</formula>
    </cfRule>
    <cfRule type="cellIs" dxfId="12208" priority="659" operator="equal">
      <formula>0</formula>
    </cfRule>
    <cfRule type="cellIs" dxfId="12207" priority="660" operator="greaterThan">
      <formula>0</formula>
    </cfRule>
    <cfRule type="cellIs" dxfId="12206" priority="661" operator="equal">
      <formula>"PMS"</formula>
    </cfRule>
    <cfRule type="containsText" dxfId="12205" priority="662" operator="containsText" text="CMS">
      <formula>NOT(ISERROR(SEARCH("CMS",M13)))</formula>
    </cfRule>
    <cfRule type="cellIs" dxfId="12204" priority="663" operator="equal">
      <formula>0</formula>
    </cfRule>
    <cfRule type="cellIs" dxfId="12203" priority="664" operator="greaterThan">
      <formula>0</formula>
    </cfRule>
  </conditionalFormatting>
  <conditionalFormatting sqref="M13">
    <cfRule type="cellIs" dxfId="12202" priority="653" operator="equal">
      <formula>"PMS"</formula>
    </cfRule>
    <cfRule type="containsText" dxfId="12201" priority="654" operator="containsText" text="CMS">
      <formula>NOT(ISERROR(SEARCH("CMS",M13)))</formula>
    </cfRule>
    <cfRule type="cellIs" dxfId="12200" priority="655" operator="equal">
      <formula>0</formula>
    </cfRule>
    <cfRule type="cellIs" dxfId="12199" priority="656" operator="greaterThan">
      <formula>0</formula>
    </cfRule>
  </conditionalFormatting>
  <conditionalFormatting sqref="K13">
    <cfRule type="cellIs" dxfId="12198" priority="645" operator="equal">
      <formula>"PMS"</formula>
    </cfRule>
    <cfRule type="containsText" dxfId="12197" priority="646" operator="containsText" text="CMS">
      <formula>NOT(ISERROR(SEARCH("CMS",K13)))</formula>
    </cfRule>
    <cfRule type="cellIs" dxfId="12196" priority="647" operator="equal">
      <formula>0</formula>
    </cfRule>
    <cfRule type="cellIs" dxfId="12195" priority="648" operator="greaterThan">
      <formula>0</formula>
    </cfRule>
    <cfRule type="cellIs" dxfId="12194" priority="649" operator="equal">
      <formula>"PMS"</formula>
    </cfRule>
    <cfRule type="containsText" dxfId="12193" priority="650" operator="containsText" text="CMS">
      <formula>NOT(ISERROR(SEARCH("CMS",K13)))</formula>
    </cfRule>
    <cfRule type="cellIs" dxfId="12192" priority="651" operator="equal">
      <formula>0</formula>
    </cfRule>
    <cfRule type="cellIs" dxfId="12191" priority="652" operator="greaterThan">
      <formula>0</formula>
    </cfRule>
  </conditionalFormatting>
  <conditionalFormatting sqref="K13">
    <cfRule type="cellIs" dxfId="12190" priority="641" operator="equal">
      <formula>"PMS"</formula>
    </cfRule>
    <cfRule type="containsText" dxfId="12189" priority="642" operator="containsText" text="CMS">
      <formula>NOT(ISERROR(SEARCH("CMS",K13)))</formula>
    </cfRule>
    <cfRule type="cellIs" dxfId="12188" priority="643" operator="equal">
      <formula>0</formula>
    </cfRule>
    <cfRule type="cellIs" dxfId="12187" priority="644" operator="greaterThan">
      <formula>0</formula>
    </cfRule>
  </conditionalFormatting>
  <conditionalFormatting sqref="G113:AC113">
    <cfRule type="cellIs" dxfId="12186" priority="640" operator="greaterThan">
      <formula>60.3</formula>
    </cfRule>
  </conditionalFormatting>
  <conditionalFormatting sqref="H112:M112">
    <cfRule type="cellIs" dxfId="12185" priority="639" operator="greaterThan">
      <formula>60.3</formula>
    </cfRule>
  </conditionalFormatting>
  <conditionalFormatting sqref="F112:G112">
    <cfRule type="cellIs" dxfId="12184" priority="638" operator="greaterThan">
      <formula>60.3</formula>
    </cfRule>
  </conditionalFormatting>
  <conditionalFormatting sqref="N112:AC112">
    <cfRule type="cellIs" dxfId="12183" priority="637" operator="greaterThan">
      <formula>60.3</formula>
    </cfRule>
  </conditionalFormatting>
  <conditionalFormatting sqref="G15:G16">
    <cfRule type="cellIs" dxfId="12182" priority="629" operator="equal">
      <formula>"PMS"</formula>
    </cfRule>
    <cfRule type="containsText" dxfId="12181" priority="630" operator="containsText" text="CMS">
      <formula>NOT(ISERROR(SEARCH("CMS",G15)))</formula>
    </cfRule>
    <cfRule type="cellIs" dxfId="12180" priority="631" operator="equal">
      <formula>0</formula>
    </cfRule>
    <cfRule type="cellIs" dxfId="12179" priority="632" operator="greaterThan">
      <formula>0</formula>
    </cfRule>
    <cfRule type="cellIs" dxfId="12178" priority="633" operator="equal">
      <formula>"PMS"</formula>
    </cfRule>
    <cfRule type="containsText" dxfId="12177" priority="634" operator="containsText" text="CMS">
      <formula>NOT(ISERROR(SEARCH("CMS",G15)))</formula>
    </cfRule>
    <cfRule type="cellIs" dxfId="12176" priority="635" operator="equal">
      <formula>0</formula>
    </cfRule>
    <cfRule type="cellIs" dxfId="12175" priority="636" operator="greaterThan">
      <formula>0</formula>
    </cfRule>
  </conditionalFormatting>
  <conditionalFormatting sqref="G15:G16">
    <cfRule type="cellIs" dxfId="12174" priority="625" operator="equal">
      <formula>"PMS"</formula>
    </cfRule>
    <cfRule type="containsText" dxfId="12173" priority="626" operator="containsText" text="CMS">
      <formula>NOT(ISERROR(SEARCH("CMS",G15)))</formula>
    </cfRule>
    <cfRule type="cellIs" dxfId="12172" priority="627" operator="equal">
      <formula>0</formula>
    </cfRule>
    <cfRule type="cellIs" dxfId="12171" priority="628" operator="greaterThan">
      <formula>0</formula>
    </cfRule>
  </conditionalFormatting>
  <conditionalFormatting sqref="H16">
    <cfRule type="cellIs" dxfId="12170" priority="617" operator="equal">
      <formula>"PMS"</formula>
    </cfRule>
    <cfRule type="containsText" dxfId="12169" priority="618" operator="containsText" text="CMS">
      <formula>NOT(ISERROR(SEARCH("CMS",H16)))</formula>
    </cfRule>
    <cfRule type="cellIs" dxfId="12168" priority="619" operator="equal">
      <formula>0</formula>
    </cfRule>
    <cfRule type="cellIs" dxfId="12167" priority="620" operator="greaterThan">
      <formula>0</formula>
    </cfRule>
    <cfRule type="cellIs" dxfId="12166" priority="621" operator="equal">
      <formula>"PMS"</formula>
    </cfRule>
    <cfRule type="containsText" dxfId="12165" priority="622" operator="containsText" text="CMS">
      <formula>NOT(ISERROR(SEARCH("CMS",H16)))</formula>
    </cfRule>
    <cfRule type="cellIs" dxfId="12164" priority="623" operator="equal">
      <formula>0</formula>
    </cfRule>
    <cfRule type="cellIs" dxfId="12163" priority="624" operator="greaterThan">
      <formula>0</formula>
    </cfRule>
  </conditionalFormatting>
  <conditionalFormatting sqref="H16">
    <cfRule type="cellIs" dxfId="12162" priority="613" operator="equal">
      <formula>"PMS"</formula>
    </cfRule>
    <cfRule type="containsText" dxfId="12161" priority="614" operator="containsText" text="CMS">
      <formula>NOT(ISERROR(SEARCH("CMS",H16)))</formula>
    </cfRule>
    <cfRule type="cellIs" dxfId="12160" priority="615" operator="equal">
      <formula>0</formula>
    </cfRule>
    <cfRule type="cellIs" dxfId="12159" priority="616" operator="greaterThan">
      <formula>0</formula>
    </cfRule>
  </conditionalFormatting>
  <conditionalFormatting sqref="G36:G38 G57:G59">
    <cfRule type="cellIs" dxfId="12158" priority="605" operator="equal">
      <formula>"PMS"</formula>
    </cfRule>
    <cfRule type="containsText" dxfId="12157" priority="606" operator="containsText" text="CMS">
      <formula>NOT(ISERROR(SEARCH("CMS",G36)))</formula>
    </cfRule>
    <cfRule type="cellIs" dxfId="12156" priority="607" operator="equal">
      <formula>0</formula>
    </cfRule>
    <cfRule type="cellIs" dxfId="12155" priority="608" operator="greaterThan">
      <formula>0</formula>
    </cfRule>
    <cfRule type="cellIs" dxfId="12154" priority="609" operator="equal">
      <formula>"PMS"</formula>
    </cfRule>
    <cfRule type="containsText" dxfId="12153" priority="610" operator="containsText" text="CMS">
      <formula>NOT(ISERROR(SEARCH("CMS",G36)))</formula>
    </cfRule>
    <cfRule type="cellIs" dxfId="12152" priority="611" operator="equal">
      <formula>0</formula>
    </cfRule>
    <cfRule type="cellIs" dxfId="12151" priority="612" operator="greaterThan">
      <formula>0</formula>
    </cfRule>
  </conditionalFormatting>
  <conditionalFormatting sqref="G36:G38 G57:G59">
    <cfRule type="cellIs" dxfId="12150" priority="601" operator="equal">
      <formula>"PMS"</formula>
    </cfRule>
    <cfRule type="containsText" dxfId="12149" priority="602" operator="containsText" text="CMS">
      <formula>NOT(ISERROR(SEARCH("CMS",G36)))</formula>
    </cfRule>
    <cfRule type="cellIs" dxfId="12148" priority="603" operator="equal">
      <formula>0</formula>
    </cfRule>
    <cfRule type="cellIs" dxfId="12147" priority="604" operator="greaterThan">
      <formula>0</formula>
    </cfRule>
  </conditionalFormatting>
  <conditionalFormatting sqref="M36:M38 M57:M59">
    <cfRule type="cellIs" dxfId="12146" priority="593" operator="equal">
      <formula>"PMS"</formula>
    </cfRule>
    <cfRule type="containsText" dxfId="12145" priority="594" operator="containsText" text="CMS">
      <formula>NOT(ISERROR(SEARCH("CMS",M36)))</formula>
    </cfRule>
    <cfRule type="cellIs" dxfId="12144" priority="595" operator="equal">
      <formula>0</formula>
    </cfRule>
    <cfRule type="cellIs" dxfId="12143" priority="596" operator="greaterThan">
      <formula>0</formula>
    </cfRule>
    <cfRule type="cellIs" dxfId="12142" priority="597" operator="equal">
      <formula>"PMS"</formula>
    </cfRule>
    <cfRule type="containsText" dxfId="12141" priority="598" operator="containsText" text="CMS">
      <formula>NOT(ISERROR(SEARCH("CMS",M36)))</formula>
    </cfRule>
    <cfRule type="cellIs" dxfId="12140" priority="599" operator="equal">
      <formula>0</formula>
    </cfRule>
    <cfRule type="cellIs" dxfId="12139" priority="600" operator="greaterThan">
      <formula>0</formula>
    </cfRule>
  </conditionalFormatting>
  <conditionalFormatting sqref="M36:M38 M57:M59">
    <cfRule type="cellIs" dxfId="12138" priority="589" operator="equal">
      <formula>"PMS"</formula>
    </cfRule>
    <cfRule type="containsText" dxfId="12137" priority="590" operator="containsText" text="CMS">
      <formula>NOT(ISERROR(SEARCH("CMS",M36)))</formula>
    </cfRule>
    <cfRule type="cellIs" dxfId="12136" priority="591" operator="equal">
      <formula>0</formula>
    </cfRule>
    <cfRule type="cellIs" dxfId="12135" priority="592" operator="greaterThan">
      <formula>0</formula>
    </cfRule>
  </conditionalFormatting>
  <conditionalFormatting sqref="K36:K38 K57:K59">
    <cfRule type="cellIs" dxfId="12134" priority="581" operator="equal">
      <formula>"PMS"</formula>
    </cfRule>
    <cfRule type="containsText" dxfId="12133" priority="582" operator="containsText" text="CMS">
      <formula>NOT(ISERROR(SEARCH("CMS",K36)))</formula>
    </cfRule>
    <cfRule type="cellIs" dxfId="12132" priority="583" operator="equal">
      <formula>0</formula>
    </cfRule>
    <cfRule type="cellIs" dxfId="12131" priority="584" operator="greaterThan">
      <formula>0</formula>
    </cfRule>
    <cfRule type="cellIs" dxfId="12130" priority="585" operator="equal">
      <formula>"PMS"</formula>
    </cfRule>
    <cfRule type="containsText" dxfId="12129" priority="586" operator="containsText" text="CMS">
      <formula>NOT(ISERROR(SEARCH("CMS",K36)))</formula>
    </cfRule>
    <cfRule type="cellIs" dxfId="12128" priority="587" operator="equal">
      <formula>0</formula>
    </cfRule>
    <cfRule type="cellIs" dxfId="12127" priority="588" operator="greaterThan">
      <formula>0</formula>
    </cfRule>
  </conditionalFormatting>
  <conditionalFormatting sqref="K36:K38 K57:K59">
    <cfRule type="cellIs" dxfId="12126" priority="577" operator="equal">
      <formula>"PMS"</formula>
    </cfRule>
    <cfRule type="containsText" dxfId="12125" priority="578" operator="containsText" text="CMS">
      <formula>NOT(ISERROR(SEARCH("CMS",K36)))</formula>
    </cfRule>
    <cfRule type="cellIs" dxfId="12124" priority="579" operator="equal">
      <formula>0</formula>
    </cfRule>
    <cfRule type="cellIs" dxfId="12123" priority="580" operator="greaterThan">
      <formula>0</formula>
    </cfRule>
  </conditionalFormatting>
  <conditionalFormatting sqref="G49">
    <cfRule type="cellIs" dxfId="12122" priority="557" operator="equal">
      <formula>"PMS"</formula>
    </cfRule>
    <cfRule type="containsText" dxfId="12121" priority="558" operator="containsText" text="CMS">
      <formula>NOT(ISERROR(SEARCH("CMS",G49)))</formula>
    </cfRule>
    <cfRule type="cellIs" dxfId="12120" priority="559" operator="equal">
      <formula>0</formula>
    </cfRule>
    <cfRule type="cellIs" dxfId="12119" priority="560" operator="greaterThan">
      <formula>0</formula>
    </cfRule>
    <cfRule type="cellIs" dxfId="12118" priority="561" operator="equal">
      <formula>"PMS"</formula>
    </cfRule>
    <cfRule type="containsText" dxfId="12117" priority="562" operator="containsText" text="CMS">
      <formula>NOT(ISERROR(SEARCH("CMS",G49)))</formula>
    </cfRule>
    <cfRule type="cellIs" dxfId="12116" priority="563" operator="equal">
      <formula>0</formula>
    </cfRule>
    <cfRule type="cellIs" dxfId="12115" priority="564" operator="greaterThan">
      <formula>0</formula>
    </cfRule>
  </conditionalFormatting>
  <conditionalFormatting sqref="G49">
    <cfRule type="cellIs" dxfId="12114" priority="553" operator="equal">
      <formula>"PMS"</formula>
    </cfRule>
    <cfRule type="containsText" dxfId="12113" priority="554" operator="containsText" text="CMS">
      <formula>NOT(ISERROR(SEARCH("CMS",G49)))</formula>
    </cfRule>
    <cfRule type="cellIs" dxfId="12112" priority="555" operator="equal">
      <formula>0</formula>
    </cfRule>
    <cfRule type="cellIs" dxfId="12111" priority="556" operator="greaterThan">
      <formula>0</formula>
    </cfRule>
  </conditionalFormatting>
  <conditionalFormatting sqref="M49:N49">
    <cfRule type="cellIs" dxfId="12110" priority="545" operator="equal">
      <formula>"PMS"</formula>
    </cfRule>
    <cfRule type="containsText" dxfId="12109" priority="546" operator="containsText" text="CMS">
      <formula>NOT(ISERROR(SEARCH("CMS",M49)))</formula>
    </cfRule>
    <cfRule type="cellIs" dxfId="12108" priority="547" operator="equal">
      <formula>0</formula>
    </cfRule>
    <cfRule type="cellIs" dxfId="12107" priority="548" operator="greaterThan">
      <formula>0</formula>
    </cfRule>
    <cfRule type="cellIs" dxfId="12106" priority="549" operator="equal">
      <formula>"PMS"</formula>
    </cfRule>
    <cfRule type="containsText" dxfId="12105" priority="550" operator="containsText" text="CMS">
      <formula>NOT(ISERROR(SEARCH("CMS",M49)))</formula>
    </cfRule>
    <cfRule type="cellIs" dxfId="12104" priority="551" operator="equal">
      <formula>0</formula>
    </cfRule>
    <cfRule type="cellIs" dxfId="12103" priority="552" operator="greaterThan">
      <formula>0</formula>
    </cfRule>
  </conditionalFormatting>
  <conditionalFormatting sqref="M49:N49">
    <cfRule type="cellIs" dxfId="12102" priority="541" operator="equal">
      <formula>"PMS"</formula>
    </cfRule>
    <cfRule type="containsText" dxfId="12101" priority="542" operator="containsText" text="CMS">
      <formula>NOT(ISERROR(SEARCH("CMS",M49)))</formula>
    </cfRule>
    <cfRule type="cellIs" dxfId="12100" priority="543" operator="equal">
      <formula>0</formula>
    </cfRule>
    <cfRule type="cellIs" dxfId="12099" priority="544" operator="greaterThan">
      <formula>0</formula>
    </cfRule>
  </conditionalFormatting>
  <conditionalFormatting sqref="K49">
    <cfRule type="cellIs" dxfId="12098" priority="533" operator="equal">
      <formula>"PMS"</formula>
    </cfRule>
    <cfRule type="containsText" dxfId="12097" priority="534" operator="containsText" text="CMS">
      <formula>NOT(ISERROR(SEARCH("CMS",K49)))</formula>
    </cfRule>
    <cfRule type="cellIs" dxfId="12096" priority="535" operator="equal">
      <formula>0</formula>
    </cfRule>
    <cfRule type="cellIs" dxfId="12095" priority="536" operator="greaterThan">
      <formula>0</formula>
    </cfRule>
    <cfRule type="cellIs" dxfId="12094" priority="537" operator="equal">
      <formula>"PMS"</formula>
    </cfRule>
    <cfRule type="containsText" dxfId="12093" priority="538" operator="containsText" text="CMS">
      <formula>NOT(ISERROR(SEARCH("CMS",K49)))</formula>
    </cfRule>
    <cfRule type="cellIs" dxfId="12092" priority="539" operator="equal">
      <formula>0</formula>
    </cfRule>
    <cfRule type="cellIs" dxfId="12091" priority="540" operator="greaterThan">
      <formula>0</formula>
    </cfRule>
  </conditionalFormatting>
  <conditionalFormatting sqref="K49">
    <cfRule type="cellIs" dxfId="12090" priority="529" operator="equal">
      <formula>"PMS"</formula>
    </cfRule>
    <cfRule type="containsText" dxfId="12089" priority="530" operator="containsText" text="CMS">
      <formula>NOT(ISERROR(SEARCH("CMS",K49)))</formula>
    </cfRule>
    <cfRule type="cellIs" dxfId="12088" priority="531" operator="equal">
      <formula>0</formula>
    </cfRule>
    <cfRule type="cellIs" dxfId="12087" priority="532" operator="greaterThan">
      <formula>0</formula>
    </cfRule>
  </conditionalFormatting>
  <conditionalFormatting sqref="H33:J33 L33 L27:L29 H24:J24 H19:J20 L20:L21 V28:AC28 Q28 N28:P29 P30 Q29:AC30 H27:J30 I21:K21 K19:M19 N30 S28:T28 O78:Q78 X78:AC78 L24:AC24 AB79:AC79 S78:V78 N33:AC33 M21:O21 Q21:AC21 N19:AC20 N79:Z79">
    <cfRule type="cellIs" dxfId="12086" priority="521" operator="equal">
      <formula>"PMS"</formula>
    </cfRule>
    <cfRule type="containsText" dxfId="12085" priority="522" operator="containsText" text="CMS">
      <formula>NOT(ISERROR(SEARCH("CMS",H19)))</formula>
    </cfRule>
    <cfRule type="cellIs" dxfId="12084" priority="523" operator="equal">
      <formula>0</formula>
    </cfRule>
    <cfRule type="cellIs" dxfId="12083" priority="524" operator="greaterThan">
      <formula>0</formula>
    </cfRule>
    <cfRule type="cellIs" dxfId="12082" priority="525" operator="equal">
      <formula>"PMS"</formula>
    </cfRule>
    <cfRule type="containsText" dxfId="12081" priority="526" operator="containsText" text="CMS">
      <formula>NOT(ISERROR(SEARCH("CMS",H19)))</formula>
    </cfRule>
    <cfRule type="cellIs" dxfId="12080" priority="527" operator="equal">
      <formula>0</formula>
    </cfRule>
    <cfRule type="cellIs" dxfId="12079" priority="528" operator="greaterThan">
      <formula>0</formula>
    </cfRule>
  </conditionalFormatting>
  <conditionalFormatting sqref="H33:J33 L33 L27:L29 H24:J24 H19:J20 L20:L21 V28:AC28 Q28 N28:P29 P30 Q29:AC30 H27:J30 I21:K21 K19:M19 N30 S28:T28 O78:Q78 X78:AC78 L24:AC24 AB79:AC79 S78:V78 N33:AC33 M21:O21 Q21:AC21 N19:AC20 N79:Z79">
    <cfRule type="cellIs" dxfId="12078" priority="517" operator="equal">
      <formula>"PMS"</formula>
    </cfRule>
    <cfRule type="containsText" dxfId="12077" priority="518" operator="containsText" text="CMS">
      <formula>NOT(ISERROR(SEARCH("CMS",H19)))</formula>
    </cfRule>
    <cfRule type="cellIs" dxfId="12076" priority="519" operator="equal">
      <formula>0</formula>
    </cfRule>
    <cfRule type="cellIs" dxfId="12075" priority="520" operator="greaterThan">
      <formula>0</formula>
    </cfRule>
  </conditionalFormatting>
  <conditionalFormatting sqref="G33 G27:G30 G24 G39:G48 G50:G56 G19:G21 H21">
    <cfRule type="cellIs" dxfId="12074" priority="509" operator="equal">
      <formula>"PMS"</formula>
    </cfRule>
    <cfRule type="containsText" dxfId="12073" priority="510" operator="containsText" text="CMS">
      <formula>NOT(ISERROR(SEARCH("CMS",G19)))</formula>
    </cfRule>
    <cfRule type="cellIs" dxfId="12072" priority="511" operator="equal">
      <formula>0</formula>
    </cfRule>
    <cfRule type="cellIs" dxfId="12071" priority="512" operator="greaterThan">
      <formula>0</formula>
    </cfRule>
    <cfRule type="cellIs" dxfId="12070" priority="513" operator="equal">
      <formula>"PMS"</formula>
    </cfRule>
    <cfRule type="containsText" dxfId="12069" priority="514" operator="containsText" text="CMS">
      <formula>NOT(ISERROR(SEARCH("CMS",G19)))</formula>
    </cfRule>
    <cfRule type="cellIs" dxfId="12068" priority="515" operator="equal">
      <formula>0</formula>
    </cfRule>
    <cfRule type="cellIs" dxfId="12067" priority="516" operator="greaterThan">
      <formula>0</formula>
    </cfRule>
  </conditionalFormatting>
  <conditionalFormatting sqref="G33 G27:G30 G24 G39:G48 G50:G56 G19:G21 H21">
    <cfRule type="cellIs" dxfId="12066" priority="505" operator="equal">
      <formula>"PMS"</formula>
    </cfRule>
    <cfRule type="containsText" dxfId="12065" priority="506" operator="containsText" text="CMS">
      <formula>NOT(ISERROR(SEARCH("CMS",G19)))</formula>
    </cfRule>
    <cfRule type="cellIs" dxfId="12064" priority="507" operator="equal">
      <formula>0</formula>
    </cfRule>
    <cfRule type="cellIs" dxfId="12063" priority="508" operator="greaterThan">
      <formula>0</formula>
    </cfRule>
  </conditionalFormatting>
  <conditionalFormatting sqref="M39:M48 M33 M27:M29 M20 AB27:AC27 N27:Q27 N47 M56 N51:N55 N78 S27:X27 M62:M64">
    <cfRule type="cellIs" dxfId="12062" priority="497" operator="equal">
      <formula>"PMS"</formula>
    </cfRule>
    <cfRule type="containsText" dxfId="12061" priority="498" operator="containsText" text="CMS">
      <formula>NOT(ISERROR(SEARCH("CMS",M20)))</formula>
    </cfRule>
    <cfRule type="cellIs" dxfId="12060" priority="499" operator="equal">
      <formula>0</formula>
    </cfRule>
    <cfRule type="cellIs" dxfId="12059" priority="500" operator="greaterThan">
      <formula>0</formula>
    </cfRule>
    <cfRule type="cellIs" dxfId="12058" priority="501" operator="equal">
      <formula>"PMS"</formula>
    </cfRule>
    <cfRule type="containsText" dxfId="12057" priority="502" operator="containsText" text="CMS">
      <formula>NOT(ISERROR(SEARCH("CMS",M20)))</formula>
    </cfRule>
    <cfRule type="cellIs" dxfId="12056" priority="503" operator="equal">
      <formula>0</formula>
    </cfRule>
    <cfRule type="cellIs" dxfId="12055" priority="504" operator="greaterThan">
      <formula>0</formula>
    </cfRule>
  </conditionalFormatting>
  <conditionalFormatting sqref="M39:M48 M33 M27:M29 M20 AB27:AC27 N27:Q27 N47 M56 N51:N55 N78 S27:X27 M62:M64">
    <cfRule type="cellIs" dxfId="12054" priority="493" operator="equal">
      <formula>"PMS"</formula>
    </cfRule>
    <cfRule type="containsText" dxfId="12053" priority="494" operator="containsText" text="CMS">
      <formula>NOT(ISERROR(SEARCH("CMS",M20)))</formula>
    </cfRule>
    <cfRule type="cellIs" dxfId="12052" priority="495" operator="equal">
      <formula>0</formula>
    </cfRule>
    <cfRule type="cellIs" dxfId="12051" priority="496" operator="greaterThan">
      <formula>0</formula>
    </cfRule>
  </conditionalFormatting>
  <conditionalFormatting sqref="K50:K56 K39:K48 K33 K27 K24 K20 K29:K30">
    <cfRule type="cellIs" dxfId="12050" priority="485" operator="equal">
      <formula>"PMS"</formula>
    </cfRule>
    <cfRule type="containsText" dxfId="12049" priority="486" operator="containsText" text="CMS">
      <formula>NOT(ISERROR(SEARCH("CMS",K20)))</formula>
    </cfRule>
    <cfRule type="cellIs" dxfId="12048" priority="487" operator="equal">
      <formula>0</formula>
    </cfRule>
    <cfRule type="cellIs" dxfId="12047" priority="488" operator="greaterThan">
      <formula>0</formula>
    </cfRule>
    <cfRule type="cellIs" dxfId="12046" priority="489" operator="equal">
      <formula>"PMS"</formula>
    </cfRule>
    <cfRule type="containsText" dxfId="12045" priority="490" operator="containsText" text="CMS">
      <formula>NOT(ISERROR(SEARCH("CMS",K20)))</formula>
    </cfRule>
    <cfRule type="cellIs" dxfId="12044" priority="491" operator="equal">
      <formula>0</formula>
    </cfRule>
    <cfRule type="cellIs" dxfId="12043" priority="492" operator="greaterThan">
      <formula>0</formula>
    </cfRule>
  </conditionalFormatting>
  <conditionalFormatting sqref="K50:K56 K39:K48 K33 K27 K24 K20 K29:K30">
    <cfRule type="cellIs" dxfId="12042" priority="481" operator="equal">
      <formula>"PMS"</formula>
    </cfRule>
    <cfRule type="containsText" dxfId="12041" priority="482" operator="containsText" text="CMS">
      <formula>NOT(ISERROR(SEARCH("CMS",K20)))</formula>
    </cfRule>
    <cfRule type="cellIs" dxfId="12040" priority="483" operator="equal">
      <formula>0</formula>
    </cfRule>
    <cfRule type="cellIs" dxfId="12039" priority="484" operator="greaterThan">
      <formula>0</formula>
    </cfRule>
  </conditionalFormatting>
  <conditionalFormatting sqref="K28">
    <cfRule type="cellIs" dxfId="12038" priority="473" operator="equal">
      <formula>"PMS"</formula>
    </cfRule>
    <cfRule type="containsText" dxfId="12037" priority="474" operator="containsText" text="CMS">
      <formula>NOT(ISERROR(SEARCH("CMS",K28)))</formula>
    </cfRule>
    <cfRule type="cellIs" dxfId="12036" priority="475" operator="equal">
      <formula>0</formula>
    </cfRule>
    <cfRule type="cellIs" dxfId="12035" priority="476" operator="greaterThan">
      <formula>0</formula>
    </cfRule>
    <cfRule type="cellIs" dxfId="12034" priority="477" operator="equal">
      <formula>"PMS"</formula>
    </cfRule>
    <cfRule type="containsText" dxfId="12033" priority="478" operator="containsText" text="CMS">
      <formula>NOT(ISERROR(SEARCH("CMS",K28)))</formula>
    </cfRule>
    <cfRule type="cellIs" dxfId="12032" priority="479" operator="equal">
      <formula>0</formula>
    </cfRule>
    <cfRule type="cellIs" dxfId="12031" priority="480" operator="greaterThan">
      <formula>0</formula>
    </cfRule>
  </conditionalFormatting>
  <conditionalFormatting sqref="K28">
    <cfRule type="cellIs" dxfId="12030" priority="469" operator="equal">
      <formula>"PMS"</formula>
    </cfRule>
    <cfRule type="containsText" dxfId="12029" priority="470" operator="containsText" text="CMS">
      <formula>NOT(ISERROR(SEARCH("CMS",K28)))</formula>
    </cfRule>
    <cfRule type="cellIs" dxfId="12028" priority="471" operator="equal">
      <formula>0</formula>
    </cfRule>
    <cfRule type="cellIs" dxfId="12027" priority="472" operator="greaterThan">
      <formula>0</formula>
    </cfRule>
  </conditionalFormatting>
  <conditionalFormatting sqref="N62:O62 O63">
    <cfRule type="cellIs" dxfId="12026" priority="461" operator="equal">
      <formula>"PMS"</formula>
    </cfRule>
    <cfRule type="containsText" dxfId="12025" priority="462" operator="containsText" text="CMS">
      <formula>NOT(ISERROR(SEARCH("CMS",N62)))</formula>
    </cfRule>
    <cfRule type="cellIs" dxfId="12024" priority="463" operator="equal">
      <formula>0</formula>
    </cfRule>
    <cfRule type="cellIs" dxfId="12023" priority="464" operator="greaterThan">
      <formula>0</formula>
    </cfRule>
    <cfRule type="cellIs" dxfId="12022" priority="465" operator="equal">
      <formula>"PMS"</formula>
    </cfRule>
    <cfRule type="containsText" dxfId="12021" priority="466" operator="containsText" text="CMS">
      <formula>NOT(ISERROR(SEARCH("CMS",N62)))</formula>
    </cfRule>
    <cfRule type="cellIs" dxfId="12020" priority="467" operator="equal">
      <formula>0</formula>
    </cfRule>
    <cfRule type="cellIs" dxfId="12019" priority="468" operator="greaterThan">
      <formula>0</formula>
    </cfRule>
  </conditionalFormatting>
  <conditionalFormatting sqref="N62:O62 O63">
    <cfRule type="cellIs" dxfId="12018" priority="457" operator="equal">
      <formula>"PMS"</formula>
    </cfRule>
    <cfRule type="containsText" dxfId="12017" priority="458" operator="containsText" text="CMS">
      <formula>NOT(ISERROR(SEARCH("CMS",N62)))</formula>
    </cfRule>
    <cfRule type="cellIs" dxfId="12016" priority="459" operator="equal">
      <formula>0</formula>
    </cfRule>
    <cfRule type="cellIs" dxfId="12015" priority="460" operator="greaterThan">
      <formula>0</formula>
    </cfRule>
  </conditionalFormatting>
  <conditionalFormatting sqref="U28">
    <cfRule type="cellIs" dxfId="12014" priority="437" operator="equal">
      <formula>"PMS"</formula>
    </cfRule>
    <cfRule type="containsText" dxfId="12013" priority="438" operator="containsText" text="CMS">
      <formula>NOT(ISERROR(SEARCH("CMS",U28)))</formula>
    </cfRule>
    <cfRule type="cellIs" dxfId="12012" priority="439" operator="equal">
      <formula>0</formula>
    </cfRule>
    <cfRule type="cellIs" dxfId="12011" priority="440" operator="greaterThan">
      <formula>0</formula>
    </cfRule>
    <cfRule type="cellIs" dxfId="12010" priority="441" operator="equal">
      <formula>"PMS"</formula>
    </cfRule>
    <cfRule type="containsText" dxfId="12009" priority="442" operator="containsText" text="CMS">
      <formula>NOT(ISERROR(SEARCH("CMS",U28)))</formula>
    </cfRule>
    <cfRule type="cellIs" dxfId="12008" priority="443" operator="equal">
      <formula>0</formula>
    </cfRule>
    <cfRule type="cellIs" dxfId="12007" priority="444" operator="greaterThan">
      <formula>0</formula>
    </cfRule>
  </conditionalFormatting>
  <conditionalFormatting sqref="U28">
    <cfRule type="cellIs" dxfId="12006" priority="433" operator="equal">
      <formula>"PMS"</formula>
    </cfRule>
    <cfRule type="containsText" dxfId="12005" priority="434" operator="containsText" text="CMS">
      <formula>NOT(ISERROR(SEARCH("CMS",U28)))</formula>
    </cfRule>
    <cfRule type="cellIs" dxfId="12004" priority="435" operator="equal">
      <formula>0</formula>
    </cfRule>
    <cfRule type="cellIs" dxfId="12003" priority="436" operator="greaterThan">
      <formula>0</formula>
    </cfRule>
  </conditionalFormatting>
  <conditionalFormatting sqref="Y27:AA27">
    <cfRule type="cellIs" dxfId="12002" priority="425" operator="equal">
      <formula>"PMS"</formula>
    </cfRule>
    <cfRule type="containsText" dxfId="12001" priority="426" operator="containsText" text="CMS">
      <formula>NOT(ISERROR(SEARCH("CMS",Y27)))</formula>
    </cfRule>
    <cfRule type="cellIs" dxfId="12000" priority="427" operator="equal">
      <formula>0</formula>
    </cfRule>
    <cfRule type="cellIs" dxfId="11999" priority="428" operator="greaterThan">
      <formula>0</formula>
    </cfRule>
    <cfRule type="cellIs" dxfId="11998" priority="429" operator="equal">
      <formula>"PMS"</formula>
    </cfRule>
    <cfRule type="containsText" dxfId="11997" priority="430" operator="containsText" text="CMS">
      <formula>NOT(ISERROR(SEARCH("CMS",Y27)))</formula>
    </cfRule>
    <cfRule type="cellIs" dxfId="11996" priority="431" operator="equal">
      <formula>0</formula>
    </cfRule>
    <cfRule type="cellIs" dxfId="11995" priority="432" operator="greaterThan">
      <formula>0</formula>
    </cfRule>
  </conditionalFormatting>
  <conditionalFormatting sqref="Y27:AA27">
    <cfRule type="cellIs" dxfId="11994" priority="421" operator="equal">
      <formula>"PMS"</formula>
    </cfRule>
    <cfRule type="containsText" dxfId="11993" priority="422" operator="containsText" text="CMS">
      <formula>NOT(ISERROR(SEARCH("CMS",Y27)))</formula>
    </cfRule>
    <cfRule type="cellIs" dxfId="11992" priority="423" operator="equal">
      <formula>0</formula>
    </cfRule>
    <cfRule type="cellIs" dxfId="11991" priority="424" operator="greaterThan">
      <formula>0</formula>
    </cfRule>
  </conditionalFormatting>
  <conditionalFormatting sqref="G62:G64">
    <cfRule type="cellIs" dxfId="11990" priority="413" operator="equal">
      <formula>"PMS"</formula>
    </cfRule>
    <cfRule type="containsText" dxfId="11989" priority="414" operator="containsText" text="CMS">
      <formula>NOT(ISERROR(SEARCH("CMS",G62)))</formula>
    </cfRule>
    <cfRule type="cellIs" dxfId="11988" priority="415" operator="equal">
      <formula>0</formula>
    </cfRule>
    <cfRule type="cellIs" dxfId="11987" priority="416" operator="greaterThan">
      <formula>0</formula>
    </cfRule>
    <cfRule type="cellIs" dxfId="11986" priority="417" operator="equal">
      <formula>"PMS"</formula>
    </cfRule>
    <cfRule type="containsText" dxfId="11985" priority="418" operator="containsText" text="CMS">
      <formula>NOT(ISERROR(SEARCH("CMS",G62)))</formula>
    </cfRule>
    <cfRule type="cellIs" dxfId="11984" priority="419" operator="equal">
      <formula>0</formula>
    </cfRule>
    <cfRule type="cellIs" dxfId="11983" priority="420" operator="greaterThan">
      <formula>0</formula>
    </cfRule>
  </conditionalFormatting>
  <conditionalFormatting sqref="G62:G64">
    <cfRule type="cellIs" dxfId="11982" priority="409" operator="equal">
      <formula>"PMS"</formula>
    </cfRule>
    <cfRule type="containsText" dxfId="11981" priority="410" operator="containsText" text="CMS">
      <formula>NOT(ISERROR(SEARCH("CMS",G62)))</formula>
    </cfRule>
    <cfRule type="cellIs" dxfId="11980" priority="411" operator="equal">
      <formula>0</formula>
    </cfRule>
    <cfRule type="cellIs" dxfId="11979" priority="412" operator="greaterThan">
      <formula>0</formula>
    </cfRule>
  </conditionalFormatting>
  <conditionalFormatting sqref="N40">
    <cfRule type="cellIs" dxfId="11978" priority="401" operator="equal">
      <formula>"PMS"</formula>
    </cfRule>
    <cfRule type="containsText" dxfId="11977" priority="402" operator="containsText" text="CMS">
      <formula>NOT(ISERROR(SEARCH("CMS",N40)))</formula>
    </cfRule>
    <cfRule type="cellIs" dxfId="11976" priority="403" operator="equal">
      <formula>0</formula>
    </cfRule>
    <cfRule type="cellIs" dxfId="11975" priority="404" operator="greaterThan">
      <formula>0</formula>
    </cfRule>
    <cfRule type="cellIs" dxfId="11974" priority="405" operator="equal">
      <formula>"PMS"</formula>
    </cfRule>
    <cfRule type="containsText" dxfId="11973" priority="406" operator="containsText" text="CMS">
      <formula>NOT(ISERROR(SEARCH("CMS",N40)))</formula>
    </cfRule>
    <cfRule type="cellIs" dxfId="11972" priority="407" operator="equal">
      <formula>0</formula>
    </cfRule>
    <cfRule type="cellIs" dxfId="11971" priority="408" operator="greaterThan">
      <formula>0</formula>
    </cfRule>
  </conditionalFormatting>
  <conditionalFormatting sqref="N40">
    <cfRule type="cellIs" dxfId="11970" priority="397" operator="equal">
      <formula>"PMS"</formula>
    </cfRule>
    <cfRule type="containsText" dxfId="11969" priority="398" operator="containsText" text="CMS">
      <formula>NOT(ISERROR(SEARCH("CMS",N40)))</formula>
    </cfRule>
    <cfRule type="cellIs" dxfId="11968" priority="399" operator="equal">
      <formula>0</formula>
    </cfRule>
    <cfRule type="cellIs" dxfId="11967" priority="400" operator="greaterThan">
      <formula>0</formula>
    </cfRule>
  </conditionalFormatting>
  <conditionalFormatting sqref="O30">
    <cfRule type="cellIs" dxfId="11966" priority="389" operator="equal">
      <formula>"PMS"</formula>
    </cfRule>
    <cfRule type="containsText" dxfId="11965" priority="390" operator="containsText" text="CMS">
      <formula>NOT(ISERROR(SEARCH("CMS",O30)))</formula>
    </cfRule>
    <cfRule type="cellIs" dxfId="11964" priority="391" operator="equal">
      <formula>0</formula>
    </cfRule>
    <cfRule type="cellIs" dxfId="11963" priority="392" operator="greaterThan">
      <formula>0</formula>
    </cfRule>
    <cfRule type="cellIs" dxfId="11962" priority="393" operator="equal">
      <formula>"PMS"</formula>
    </cfRule>
    <cfRule type="containsText" dxfId="11961" priority="394" operator="containsText" text="CMS">
      <formula>NOT(ISERROR(SEARCH("CMS",O30)))</formula>
    </cfRule>
    <cfRule type="cellIs" dxfId="11960" priority="395" operator="equal">
      <formula>0</formula>
    </cfRule>
    <cfRule type="cellIs" dxfId="11959" priority="396" operator="greaterThan">
      <formula>0</formula>
    </cfRule>
  </conditionalFormatting>
  <conditionalFormatting sqref="O30">
    <cfRule type="cellIs" dxfId="11958" priority="385" operator="equal">
      <formula>"PMS"</formula>
    </cfRule>
    <cfRule type="containsText" dxfId="11957" priority="386" operator="containsText" text="CMS">
      <formula>NOT(ISERROR(SEARCH("CMS",O30)))</formula>
    </cfRule>
    <cfRule type="cellIs" dxfId="11956" priority="387" operator="equal">
      <formula>0</formula>
    </cfRule>
    <cfRule type="cellIs" dxfId="11955" priority="388" operator="greaterThan">
      <formula>0</formula>
    </cfRule>
  </conditionalFormatting>
  <conditionalFormatting sqref="O47:O49">
    <cfRule type="cellIs" dxfId="11954" priority="377" operator="equal">
      <formula>"PMS"</formula>
    </cfRule>
    <cfRule type="containsText" dxfId="11953" priority="378" operator="containsText" text="CMS">
      <formula>NOT(ISERROR(SEARCH("CMS",O47)))</formula>
    </cfRule>
    <cfRule type="cellIs" dxfId="11952" priority="379" operator="equal">
      <formula>0</formula>
    </cfRule>
    <cfRule type="cellIs" dxfId="11951" priority="380" operator="greaterThan">
      <formula>0</formula>
    </cfRule>
    <cfRule type="cellIs" dxfId="11950" priority="381" operator="equal">
      <formula>"PMS"</formula>
    </cfRule>
    <cfRule type="containsText" dxfId="11949" priority="382" operator="containsText" text="CMS">
      <formula>NOT(ISERROR(SEARCH("CMS",O47)))</formula>
    </cfRule>
    <cfRule type="cellIs" dxfId="11948" priority="383" operator="equal">
      <formula>0</formula>
    </cfRule>
    <cfRule type="cellIs" dxfId="11947" priority="384" operator="greaterThan">
      <formula>0</formula>
    </cfRule>
  </conditionalFormatting>
  <conditionalFormatting sqref="O47:O49">
    <cfRule type="cellIs" dxfId="11946" priority="373" operator="equal">
      <formula>"PMS"</formula>
    </cfRule>
    <cfRule type="containsText" dxfId="11945" priority="374" operator="containsText" text="CMS">
      <formula>NOT(ISERROR(SEARCH("CMS",O47)))</formula>
    </cfRule>
    <cfRule type="cellIs" dxfId="11944" priority="375" operator="equal">
      <formula>0</formula>
    </cfRule>
    <cfRule type="cellIs" dxfId="11943" priority="376" operator="greaterThan">
      <formula>0</formula>
    </cfRule>
  </conditionalFormatting>
  <conditionalFormatting sqref="F82">
    <cfRule type="cellIs" dxfId="11942" priority="365" operator="equal">
      <formula>"PMS"</formula>
    </cfRule>
    <cfRule type="containsText" dxfId="11941" priority="366" operator="containsText" text="CMS">
      <formula>NOT(ISERROR(SEARCH("CMS",F82)))</formula>
    </cfRule>
    <cfRule type="cellIs" dxfId="11940" priority="367" operator="equal">
      <formula>0</formula>
    </cfRule>
    <cfRule type="cellIs" dxfId="11939" priority="368" operator="greaterThan">
      <formula>0</formula>
    </cfRule>
    <cfRule type="cellIs" dxfId="11938" priority="369" operator="equal">
      <formula>"PMS"</formula>
    </cfRule>
    <cfRule type="containsText" dxfId="11937" priority="370" operator="containsText" text="CMS">
      <formula>NOT(ISERROR(SEARCH("CMS",F82)))</formula>
    </cfRule>
    <cfRule type="cellIs" dxfId="11936" priority="371" operator="equal">
      <formula>0</formula>
    </cfRule>
    <cfRule type="cellIs" dxfId="11935" priority="372" operator="greaterThan">
      <formula>0</formula>
    </cfRule>
  </conditionalFormatting>
  <conditionalFormatting sqref="F82">
    <cfRule type="cellIs" dxfId="11934" priority="361" operator="equal">
      <formula>"PMS"</formula>
    </cfRule>
    <cfRule type="containsText" dxfId="11933" priority="362" operator="containsText" text="CMS">
      <formula>NOT(ISERROR(SEARCH("CMS",F82)))</formula>
    </cfRule>
    <cfRule type="cellIs" dxfId="11932" priority="363" operator="equal">
      <formula>0</formula>
    </cfRule>
    <cfRule type="cellIs" dxfId="11931" priority="364" operator="greaterThan">
      <formula>0</formula>
    </cfRule>
  </conditionalFormatting>
  <conditionalFormatting sqref="H15">
    <cfRule type="cellIs" dxfId="11930" priority="353" operator="equal">
      <formula>"PMS"</formula>
    </cfRule>
    <cfRule type="containsText" dxfId="11929" priority="354" operator="containsText" text="CMS">
      <formula>NOT(ISERROR(SEARCH("CMS",H15)))</formula>
    </cfRule>
    <cfRule type="cellIs" dxfId="11928" priority="355" operator="equal">
      <formula>0</formula>
    </cfRule>
    <cfRule type="cellIs" dxfId="11927" priority="356" operator="greaterThan">
      <formula>0</formula>
    </cfRule>
    <cfRule type="cellIs" dxfId="11926" priority="357" operator="equal">
      <formula>"PMS"</formula>
    </cfRule>
    <cfRule type="containsText" dxfId="11925" priority="358" operator="containsText" text="CMS">
      <formula>NOT(ISERROR(SEARCH("CMS",H15)))</formula>
    </cfRule>
    <cfRule type="cellIs" dxfId="11924" priority="359" operator="equal">
      <formula>0</formula>
    </cfRule>
    <cfRule type="cellIs" dxfId="11923" priority="360" operator="greaterThan">
      <formula>0</formula>
    </cfRule>
  </conditionalFormatting>
  <conditionalFormatting sqref="H15">
    <cfRule type="cellIs" dxfId="11922" priority="349" operator="equal">
      <formula>"PMS"</formula>
    </cfRule>
    <cfRule type="containsText" dxfId="11921" priority="350" operator="containsText" text="CMS">
      <formula>NOT(ISERROR(SEARCH("CMS",H15)))</formula>
    </cfRule>
    <cfRule type="cellIs" dxfId="11920" priority="351" operator="equal">
      <formula>0</formula>
    </cfRule>
    <cfRule type="cellIs" dxfId="11919" priority="352" operator="greaterThan">
      <formula>0</formula>
    </cfRule>
  </conditionalFormatting>
  <conditionalFormatting sqref="G14">
    <cfRule type="cellIs" dxfId="11918" priority="341" operator="equal">
      <formula>"PMS"</formula>
    </cfRule>
    <cfRule type="containsText" dxfId="11917" priority="342" operator="containsText" text="CMS">
      <formula>NOT(ISERROR(SEARCH("CMS",G14)))</formula>
    </cfRule>
    <cfRule type="cellIs" dxfId="11916" priority="343" operator="equal">
      <formula>0</formula>
    </cfRule>
    <cfRule type="cellIs" dxfId="11915" priority="344" operator="greaterThan">
      <formula>0</formula>
    </cfRule>
    <cfRule type="cellIs" dxfId="11914" priority="345" operator="equal">
      <formula>"PMS"</formula>
    </cfRule>
    <cfRule type="containsText" dxfId="11913" priority="346" operator="containsText" text="CMS">
      <formula>NOT(ISERROR(SEARCH("CMS",G14)))</formula>
    </cfRule>
    <cfRule type="cellIs" dxfId="11912" priority="347" operator="equal">
      <formula>0</formula>
    </cfRule>
    <cfRule type="cellIs" dxfId="11911" priority="348" operator="greaterThan">
      <formula>0</formula>
    </cfRule>
  </conditionalFormatting>
  <conditionalFormatting sqref="G14">
    <cfRule type="cellIs" dxfId="11910" priority="337" operator="equal">
      <formula>"PMS"</formula>
    </cfRule>
    <cfRule type="containsText" dxfId="11909" priority="338" operator="containsText" text="CMS">
      <formula>NOT(ISERROR(SEARCH("CMS",G14)))</formula>
    </cfRule>
    <cfRule type="cellIs" dxfId="11908" priority="339" operator="equal">
      <formula>0</formula>
    </cfRule>
    <cfRule type="cellIs" dxfId="11907" priority="340" operator="greaterThan">
      <formula>0</formula>
    </cfRule>
  </conditionalFormatting>
  <conditionalFormatting sqref="N56">
    <cfRule type="cellIs" dxfId="11906" priority="329" operator="equal">
      <formula>"PMS"</formula>
    </cfRule>
    <cfRule type="containsText" dxfId="11905" priority="330" operator="containsText" text="CMS">
      <formula>NOT(ISERROR(SEARCH("CMS",N56)))</formula>
    </cfRule>
    <cfRule type="cellIs" dxfId="11904" priority="331" operator="equal">
      <formula>0</formula>
    </cfRule>
    <cfRule type="cellIs" dxfId="11903" priority="332" operator="greaterThan">
      <formula>0</formula>
    </cfRule>
    <cfRule type="cellIs" dxfId="11902" priority="333" operator="equal">
      <formula>"PMS"</formula>
    </cfRule>
    <cfRule type="containsText" dxfId="11901" priority="334" operator="containsText" text="CMS">
      <formula>NOT(ISERROR(SEARCH("CMS",N56)))</formula>
    </cfRule>
    <cfRule type="cellIs" dxfId="11900" priority="335" operator="equal">
      <formula>0</formula>
    </cfRule>
    <cfRule type="cellIs" dxfId="11899" priority="336" operator="greaterThan">
      <formula>0</formula>
    </cfRule>
  </conditionalFormatting>
  <conditionalFormatting sqref="N56">
    <cfRule type="cellIs" dxfId="11898" priority="325" operator="equal">
      <formula>"PMS"</formula>
    </cfRule>
    <cfRule type="containsText" dxfId="11897" priority="326" operator="containsText" text="CMS">
      <formula>NOT(ISERROR(SEARCH("CMS",N56)))</formula>
    </cfRule>
    <cfRule type="cellIs" dxfId="11896" priority="327" operator="equal">
      <formula>0</formula>
    </cfRule>
    <cfRule type="cellIs" dxfId="11895" priority="328" operator="greaterThan">
      <formula>0</formula>
    </cfRule>
  </conditionalFormatting>
  <conditionalFormatting sqref="N63">
    <cfRule type="cellIs" dxfId="11894" priority="317" operator="equal">
      <formula>"PMS"</formula>
    </cfRule>
    <cfRule type="containsText" dxfId="11893" priority="318" operator="containsText" text="CMS">
      <formula>NOT(ISERROR(SEARCH("CMS",N63)))</formula>
    </cfRule>
    <cfRule type="cellIs" dxfId="11892" priority="319" operator="equal">
      <formula>0</formula>
    </cfRule>
    <cfRule type="cellIs" dxfId="11891" priority="320" operator="greaterThan">
      <formula>0</formula>
    </cfRule>
    <cfRule type="cellIs" dxfId="11890" priority="321" operator="equal">
      <formula>"PMS"</formula>
    </cfRule>
    <cfRule type="containsText" dxfId="11889" priority="322" operator="containsText" text="CMS">
      <formula>NOT(ISERROR(SEARCH("CMS",N63)))</formula>
    </cfRule>
    <cfRule type="cellIs" dxfId="11888" priority="323" operator="equal">
      <formula>0</formula>
    </cfRule>
    <cfRule type="cellIs" dxfId="11887" priority="324" operator="greaterThan">
      <formula>0</formula>
    </cfRule>
  </conditionalFormatting>
  <conditionalFormatting sqref="N63">
    <cfRule type="cellIs" dxfId="11886" priority="313" operator="equal">
      <formula>"PMS"</formula>
    </cfRule>
    <cfRule type="containsText" dxfId="11885" priority="314" operator="containsText" text="CMS">
      <formula>NOT(ISERROR(SEARCH("CMS",N63)))</formula>
    </cfRule>
    <cfRule type="cellIs" dxfId="11884" priority="315" operator="equal">
      <formula>0</formula>
    </cfRule>
    <cfRule type="cellIs" dxfId="11883" priority="316" operator="greaterThan">
      <formula>0</formula>
    </cfRule>
  </conditionalFormatting>
  <conditionalFormatting sqref="G78:K78">
    <cfRule type="cellIs" dxfId="11882" priority="305" operator="equal">
      <formula>"PMS"</formula>
    </cfRule>
    <cfRule type="containsText" dxfId="11881" priority="306" operator="containsText" text="CMS">
      <formula>NOT(ISERROR(SEARCH("CMS",G78)))</formula>
    </cfRule>
    <cfRule type="cellIs" dxfId="11880" priority="307" operator="equal">
      <formula>0</formula>
    </cfRule>
    <cfRule type="cellIs" dxfId="11879" priority="308" operator="greaterThan">
      <formula>0</formula>
    </cfRule>
    <cfRule type="cellIs" dxfId="11878" priority="309" operator="equal">
      <formula>"PMS"</formula>
    </cfRule>
    <cfRule type="containsText" dxfId="11877" priority="310" operator="containsText" text="CMS">
      <formula>NOT(ISERROR(SEARCH("CMS",G78)))</formula>
    </cfRule>
    <cfRule type="cellIs" dxfId="11876" priority="311" operator="equal">
      <formula>0</formula>
    </cfRule>
    <cfRule type="cellIs" dxfId="11875" priority="312" operator="greaterThan">
      <formula>0</formula>
    </cfRule>
  </conditionalFormatting>
  <conditionalFormatting sqref="G78:K78">
    <cfRule type="cellIs" dxfId="11874" priority="301" operator="equal">
      <formula>"PMS"</formula>
    </cfRule>
    <cfRule type="containsText" dxfId="11873" priority="302" operator="containsText" text="CMS">
      <formula>NOT(ISERROR(SEARCH("CMS",G78)))</formula>
    </cfRule>
    <cfRule type="cellIs" dxfId="11872" priority="303" operator="equal">
      <formula>0</formula>
    </cfRule>
    <cfRule type="cellIs" dxfId="11871" priority="304" operator="greaterThan">
      <formula>0</formula>
    </cfRule>
  </conditionalFormatting>
  <conditionalFormatting sqref="L78:L79">
    <cfRule type="cellIs" dxfId="11870" priority="293" operator="equal">
      <formula>"PMS"</formula>
    </cfRule>
    <cfRule type="containsText" dxfId="11869" priority="294" operator="containsText" text="CMS">
      <formula>NOT(ISERROR(SEARCH("CMS",L78)))</formula>
    </cfRule>
    <cfRule type="cellIs" dxfId="11868" priority="295" operator="equal">
      <formula>0</formula>
    </cfRule>
    <cfRule type="cellIs" dxfId="11867" priority="296" operator="greaterThan">
      <formula>0</formula>
    </cfRule>
    <cfRule type="cellIs" dxfId="11866" priority="297" operator="equal">
      <formula>"PMS"</formula>
    </cfRule>
    <cfRule type="containsText" dxfId="11865" priority="298" operator="containsText" text="CMS">
      <formula>NOT(ISERROR(SEARCH("CMS",L78)))</formula>
    </cfRule>
    <cfRule type="cellIs" dxfId="11864" priority="299" operator="equal">
      <formula>0</formula>
    </cfRule>
    <cfRule type="cellIs" dxfId="11863" priority="300" operator="greaterThan">
      <formula>0</formula>
    </cfRule>
  </conditionalFormatting>
  <conditionalFormatting sqref="L78:L79">
    <cfRule type="cellIs" dxfId="11862" priority="289" operator="equal">
      <formula>"PMS"</formula>
    </cfRule>
    <cfRule type="containsText" dxfId="11861" priority="290" operator="containsText" text="CMS">
      <formula>NOT(ISERROR(SEARCH("CMS",L78)))</formula>
    </cfRule>
    <cfRule type="cellIs" dxfId="11860" priority="291" operator="equal">
      <formula>0</formula>
    </cfRule>
    <cfRule type="cellIs" dxfId="11859" priority="292" operator="greaterThan">
      <formula>0</formula>
    </cfRule>
  </conditionalFormatting>
  <conditionalFormatting sqref="R27:R28">
    <cfRule type="cellIs" dxfId="11858" priority="281" operator="equal">
      <formula>"PMS"</formula>
    </cfRule>
    <cfRule type="containsText" dxfId="11857" priority="282" operator="containsText" text="CMS">
      <formula>NOT(ISERROR(SEARCH("CMS",R27)))</formula>
    </cfRule>
    <cfRule type="cellIs" dxfId="11856" priority="283" operator="equal">
      <formula>0</formula>
    </cfRule>
    <cfRule type="cellIs" dxfId="11855" priority="284" operator="greaterThan">
      <formula>0</formula>
    </cfRule>
    <cfRule type="cellIs" dxfId="11854" priority="285" operator="equal">
      <formula>"PMS"</formula>
    </cfRule>
    <cfRule type="containsText" dxfId="11853" priority="286" operator="containsText" text="CMS">
      <formula>NOT(ISERROR(SEARCH("CMS",R27)))</formula>
    </cfRule>
    <cfRule type="cellIs" dxfId="11852" priority="287" operator="equal">
      <formula>0</formula>
    </cfRule>
    <cfRule type="cellIs" dxfId="11851" priority="288" operator="greaterThan">
      <formula>0</formula>
    </cfRule>
  </conditionalFormatting>
  <conditionalFormatting sqref="R27:R28">
    <cfRule type="cellIs" dxfId="11850" priority="277" operator="equal">
      <formula>"PMS"</formula>
    </cfRule>
    <cfRule type="containsText" dxfId="11849" priority="278" operator="containsText" text="CMS">
      <formula>NOT(ISERROR(SEARCH("CMS",R27)))</formula>
    </cfRule>
    <cfRule type="cellIs" dxfId="11848" priority="279" operator="equal">
      <formula>0</formula>
    </cfRule>
    <cfRule type="cellIs" dxfId="11847" priority="280" operator="greaterThan">
      <formula>0</formula>
    </cfRule>
  </conditionalFormatting>
  <conditionalFormatting sqref="W78">
    <cfRule type="cellIs" dxfId="11846" priority="269" operator="equal">
      <formula>"PMS"</formula>
    </cfRule>
    <cfRule type="containsText" dxfId="11845" priority="270" operator="containsText" text="CMS">
      <formula>NOT(ISERROR(SEARCH("CMS",W78)))</formula>
    </cfRule>
    <cfRule type="cellIs" dxfId="11844" priority="271" operator="equal">
      <formula>0</formula>
    </cfRule>
    <cfRule type="cellIs" dxfId="11843" priority="272" operator="greaterThan">
      <formula>0</formula>
    </cfRule>
    <cfRule type="cellIs" dxfId="11842" priority="273" operator="equal">
      <formula>"PMS"</formula>
    </cfRule>
    <cfRule type="containsText" dxfId="11841" priority="274" operator="containsText" text="CMS">
      <formula>NOT(ISERROR(SEARCH("CMS",W78)))</formula>
    </cfRule>
    <cfRule type="cellIs" dxfId="11840" priority="275" operator="equal">
      <formula>0</formula>
    </cfRule>
    <cfRule type="cellIs" dxfId="11839" priority="276" operator="greaterThan">
      <formula>0</formula>
    </cfRule>
  </conditionalFormatting>
  <conditionalFormatting sqref="W78">
    <cfRule type="cellIs" dxfId="11838" priority="265" operator="equal">
      <formula>"PMS"</formula>
    </cfRule>
    <cfRule type="containsText" dxfId="11837" priority="266" operator="containsText" text="CMS">
      <formula>NOT(ISERROR(SEARCH("CMS",W78)))</formula>
    </cfRule>
    <cfRule type="cellIs" dxfId="11836" priority="267" operator="equal">
      <formula>0</formula>
    </cfRule>
    <cfRule type="cellIs" dxfId="11835" priority="268" operator="greaterThan">
      <formula>0</formula>
    </cfRule>
  </conditionalFormatting>
  <conditionalFormatting sqref="AA79">
    <cfRule type="cellIs" dxfId="11834" priority="257" operator="equal">
      <formula>"PMS"</formula>
    </cfRule>
    <cfRule type="containsText" dxfId="11833" priority="258" operator="containsText" text="CMS">
      <formula>NOT(ISERROR(SEARCH("CMS",AA79)))</formula>
    </cfRule>
    <cfRule type="cellIs" dxfId="11832" priority="259" operator="equal">
      <formula>0</formula>
    </cfRule>
    <cfRule type="cellIs" dxfId="11831" priority="260" operator="greaterThan">
      <formula>0</formula>
    </cfRule>
    <cfRule type="cellIs" dxfId="11830" priority="261" operator="equal">
      <formula>"PMS"</formula>
    </cfRule>
    <cfRule type="containsText" dxfId="11829" priority="262" operator="containsText" text="CMS">
      <formula>NOT(ISERROR(SEARCH("CMS",AA79)))</formula>
    </cfRule>
    <cfRule type="cellIs" dxfId="11828" priority="263" operator="equal">
      <formula>0</formula>
    </cfRule>
    <cfRule type="cellIs" dxfId="11827" priority="264" operator="greaterThan">
      <formula>0</formula>
    </cfRule>
  </conditionalFormatting>
  <conditionalFormatting sqref="AA79">
    <cfRule type="cellIs" dxfId="11826" priority="253" operator="equal">
      <formula>"PMS"</formula>
    </cfRule>
    <cfRule type="containsText" dxfId="11825" priority="254" operator="containsText" text="CMS">
      <formula>NOT(ISERROR(SEARCH("CMS",AA79)))</formula>
    </cfRule>
    <cfRule type="cellIs" dxfId="11824" priority="255" operator="equal">
      <formula>0</formula>
    </cfRule>
    <cfRule type="cellIs" dxfId="11823" priority="256" operator="greaterThan">
      <formula>0</formula>
    </cfRule>
  </conditionalFormatting>
  <conditionalFormatting sqref="L30:M30">
    <cfRule type="cellIs" dxfId="11822" priority="245" operator="equal">
      <formula>"PMS"</formula>
    </cfRule>
    <cfRule type="containsText" dxfId="11821" priority="246" operator="containsText" text="CMS">
      <formula>NOT(ISERROR(SEARCH("CMS",L30)))</formula>
    </cfRule>
    <cfRule type="cellIs" dxfId="11820" priority="247" operator="equal">
      <formula>0</formula>
    </cfRule>
    <cfRule type="cellIs" dxfId="11819" priority="248" operator="greaterThan">
      <formula>0</formula>
    </cfRule>
    <cfRule type="cellIs" dxfId="11818" priority="249" operator="equal">
      <formula>"PMS"</formula>
    </cfRule>
    <cfRule type="containsText" dxfId="11817" priority="250" operator="containsText" text="CMS">
      <formula>NOT(ISERROR(SEARCH("CMS",L30)))</formula>
    </cfRule>
    <cfRule type="cellIs" dxfId="11816" priority="251" operator="equal">
      <formula>0</formula>
    </cfRule>
    <cfRule type="cellIs" dxfId="11815" priority="252" operator="greaterThan">
      <formula>0</formula>
    </cfRule>
  </conditionalFormatting>
  <conditionalFormatting sqref="L30:M30">
    <cfRule type="cellIs" dxfId="11814" priority="241" operator="equal">
      <formula>"PMS"</formula>
    </cfRule>
    <cfRule type="containsText" dxfId="11813" priority="242" operator="containsText" text="CMS">
      <formula>NOT(ISERROR(SEARCH("CMS",L30)))</formula>
    </cfRule>
    <cfRule type="cellIs" dxfId="11812" priority="243" operator="equal">
      <formula>0</formula>
    </cfRule>
    <cfRule type="cellIs" dxfId="11811" priority="244" operator="greaterThan">
      <formula>0</formula>
    </cfRule>
  </conditionalFormatting>
  <conditionalFormatting sqref="R78">
    <cfRule type="cellIs" dxfId="11810" priority="221" operator="equal">
      <formula>"PMS"</formula>
    </cfRule>
    <cfRule type="containsText" dxfId="11809" priority="222" operator="containsText" text="CMS">
      <formula>NOT(ISERROR(SEARCH("CMS",R78)))</formula>
    </cfRule>
    <cfRule type="cellIs" dxfId="11808" priority="223" operator="equal">
      <formula>0</formula>
    </cfRule>
    <cfRule type="cellIs" dxfId="11807" priority="224" operator="greaterThan">
      <formula>0</formula>
    </cfRule>
    <cfRule type="cellIs" dxfId="11806" priority="225" operator="equal">
      <formula>"PMS"</formula>
    </cfRule>
    <cfRule type="containsText" dxfId="11805" priority="226" operator="containsText" text="CMS">
      <formula>NOT(ISERROR(SEARCH("CMS",R78)))</formula>
    </cfRule>
    <cfRule type="cellIs" dxfId="11804" priority="227" operator="equal">
      <formula>0</formula>
    </cfRule>
    <cfRule type="cellIs" dxfId="11803" priority="228" operator="greaterThan">
      <formula>0</formula>
    </cfRule>
  </conditionalFormatting>
  <conditionalFormatting sqref="R78">
    <cfRule type="cellIs" dxfId="11802" priority="217" operator="equal">
      <formula>"PMS"</formula>
    </cfRule>
    <cfRule type="containsText" dxfId="11801" priority="218" operator="containsText" text="CMS">
      <formula>NOT(ISERROR(SEARCH("CMS",R78)))</formula>
    </cfRule>
    <cfRule type="cellIs" dxfId="11800" priority="219" operator="equal">
      <formula>0</formula>
    </cfRule>
    <cfRule type="cellIs" dxfId="11799" priority="220" operator="greaterThan">
      <formula>0</formula>
    </cfRule>
  </conditionalFormatting>
  <conditionalFormatting sqref="F36:F59 F62:F64">
    <cfRule type="cellIs" dxfId="11798" priority="209" operator="equal">
      <formula>"PMS"</formula>
    </cfRule>
    <cfRule type="containsText" dxfId="11797" priority="210" operator="containsText" text="CMS">
      <formula>NOT(ISERROR(SEARCH("CMS",F36)))</formula>
    </cfRule>
    <cfRule type="cellIs" dxfId="11796" priority="211" operator="equal">
      <formula>0</formula>
    </cfRule>
    <cfRule type="cellIs" dxfId="11795" priority="212" operator="greaterThan">
      <formula>0</formula>
    </cfRule>
    <cfRule type="cellIs" dxfId="11794" priority="213" operator="equal">
      <formula>"PMS"</formula>
    </cfRule>
    <cfRule type="containsText" dxfId="11793" priority="214" operator="containsText" text="CMS">
      <formula>NOT(ISERROR(SEARCH("CMS",F36)))</formula>
    </cfRule>
    <cfRule type="cellIs" dxfId="11792" priority="215" operator="equal">
      <formula>0</formula>
    </cfRule>
    <cfRule type="cellIs" dxfId="11791" priority="216" operator="greaterThan">
      <formula>0</formula>
    </cfRule>
  </conditionalFormatting>
  <conditionalFormatting sqref="F36:F59 F62:F64">
    <cfRule type="cellIs" dxfId="11790" priority="205" operator="equal">
      <formula>"PMS"</formula>
    </cfRule>
    <cfRule type="containsText" dxfId="11789" priority="206" operator="containsText" text="CMS">
      <formula>NOT(ISERROR(SEARCH("CMS",F36)))</formula>
    </cfRule>
    <cfRule type="cellIs" dxfId="11788" priority="207" operator="equal">
      <formula>0</formula>
    </cfRule>
    <cfRule type="cellIs" dxfId="11787" priority="208" operator="greaterThan">
      <formula>0</formula>
    </cfRule>
  </conditionalFormatting>
  <conditionalFormatting sqref="F67:F75">
    <cfRule type="cellIs" dxfId="11786" priority="197" operator="equal">
      <formula>"PMS"</formula>
    </cfRule>
    <cfRule type="containsText" dxfId="11785" priority="198" operator="containsText" text="CMS">
      <formula>NOT(ISERROR(SEARCH("CMS",F67)))</formula>
    </cfRule>
    <cfRule type="cellIs" dxfId="11784" priority="199" operator="equal">
      <formula>0</formula>
    </cfRule>
    <cfRule type="cellIs" dxfId="11783" priority="200" operator="greaterThan">
      <formula>0</formula>
    </cfRule>
    <cfRule type="cellIs" dxfId="11782" priority="201" operator="equal">
      <formula>"PMS"</formula>
    </cfRule>
    <cfRule type="containsText" dxfId="11781" priority="202" operator="containsText" text="CMS">
      <formula>NOT(ISERROR(SEARCH("CMS",F67)))</formula>
    </cfRule>
    <cfRule type="cellIs" dxfId="11780" priority="203" operator="equal">
      <formula>0</formula>
    </cfRule>
    <cfRule type="cellIs" dxfId="11779" priority="204" operator="greaterThan">
      <formula>0</formula>
    </cfRule>
  </conditionalFormatting>
  <conditionalFormatting sqref="F67:F75">
    <cfRule type="cellIs" dxfId="11778" priority="193" operator="equal">
      <formula>"PMS"</formula>
    </cfRule>
    <cfRule type="containsText" dxfId="11777" priority="194" operator="containsText" text="CMS">
      <formula>NOT(ISERROR(SEARCH("CMS",F67)))</formula>
    </cfRule>
    <cfRule type="cellIs" dxfId="11776" priority="195" operator="equal">
      <formula>0</formula>
    </cfRule>
    <cfRule type="cellIs" dxfId="11775" priority="196" operator="greaterThan">
      <formula>0</formula>
    </cfRule>
  </conditionalFormatting>
  <conditionalFormatting sqref="F33 F24">
    <cfRule type="cellIs" dxfId="11774" priority="185" operator="equal">
      <formula>"PMS"</formula>
    </cfRule>
    <cfRule type="containsText" dxfId="11773" priority="186" operator="containsText" text="CMS">
      <formula>NOT(ISERROR(SEARCH("CMS",F24)))</formula>
    </cfRule>
    <cfRule type="cellIs" dxfId="11772" priority="187" operator="equal">
      <formula>0</formula>
    </cfRule>
    <cfRule type="cellIs" dxfId="11771" priority="188" operator="greaterThan">
      <formula>0</formula>
    </cfRule>
    <cfRule type="cellIs" dxfId="11770" priority="189" operator="equal">
      <formula>"PMS"</formula>
    </cfRule>
    <cfRule type="containsText" dxfId="11769" priority="190" operator="containsText" text="CMS">
      <formula>NOT(ISERROR(SEARCH("CMS",F24)))</formula>
    </cfRule>
    <cfRule type="cellIs" dxfId="11768" priority="191" operator="equal">
      <formula>0</formula>
    </cfRule>
    <cfRule type="cellIs" dxfId="11767" priority="192" operator="greaterThan">
      <formula>0</formula>
    </cfRule>
  </conditionalFormatting>
  <conditionalFormatting sqref="F33 F24">
    <cfRule type="cellIs" dxfId="11766" priority="181" operator="equal">
      <formula>"PMS"</formula>
    </cfRule>
    <cfRule type="containsText" dxfId="11765" priority="182" operator="containsText" text="CMS">
      <formula>NOT(ISERROR(SEARCH("CMS",F24)))</formula>
    </cfRule>
    <cfRule type="cellIs" dxfId="11764" priority="183" operator="equal">
      <formula>0</formula>
    </cfRule>
    <cfRule type="cellIs" dxfId="11763" priority="184" operator="greaterThan">
      <formula>0</formula>
    </cfRule>
  </conditionalFormatting>
  <conditionalFormatting sqref="M16">
    <cfRule type="cellIs" dxfId="11762" priority="161" operator="equal">
      <formula>"PMS"</formula>
    </cfRule>
    <cfRule type="containsText" dxfId="11761" priority="162" operator="containsText" text="CMS">
      <formula>NOT(ISERROR(SEARCH("CMS",M16)))</formula>
    </cfRule>
    <cfRule type="cellIs" dxfId="11760" priority="163" operator="equal">
      <formula>0</formula>
    </cfRule>
    <cfRule type="cellIs" dxfId="11759" priority="164" operator="greaterThan">
      <formula>0</formula>
    </cfRule>
    <cfRule type="cellIs" dxfId="11758" priority="165" operator="equal">
      <formula>"PMS"</formula>
    </cfRule>
    <cfRule type="containsText" dxfId="11757" priority="166" operator="containsText" text="CMS">
      <formula>NOT(ISERROR(SEARCH("CMS",M16)))</formula>
    </cfRule>
    <cfRule type="cellIs" dxfId="11756" priority="167" operator="equal">
      <formula>0</formula>
    </cfRule>
    <cfRule type="cellIs" dxfId="11755" priority="168" operator="greaterThan">
      <formula>0</formula>
    </cfRule>
  </conditionalFormatting>
  <conditionalFormatting sqref="M16">
    <cfRule type="cellIs" dxfId="11754" priority="157" operator="equal">
      <formula>"PMS"</formula>
    </cfRule>
    <cfRule type="containsText" dxfId="11753" priority="158" operator="containsText" text="CMS">
      <formula>NOT(ISERROR(SEARCH("CMS",M16)))</formula>
    </cfRule>
    <cfRule type="cellIs" dxfId="11752" priority="159" operator="equal">
      <formula>0</formula>
    </cfRule>
    <cfRule type="cellIs" dxfId="11751" priority="160" operator="greaterThan">
      <formula>0</formula>
    </cfRule>
  </conditionalFormatting>
  <conditionalFormatting sqref="N48">
    <cfRule type="cellIs" dxfId="11750" priority="149" operator="equal">
      <formula>"PMS"</formula>
    </cfRule>
    <cfRule type="containsText" dxfId="11749" priority="150" operator="containsText" text="CMS">
      <formula>NOT(ISERROR(SEARCH("CMS",N48)))</formula>
    </cfRule>
    <cfRule type="cellIs" dxfId="11748" priority="151" operator="equal">
      <formula>0</formula>
    </cfRule>
    <cfRule type="cellIs" dxfId="11747" priority="152" operator="greaterThan">
      <formula>0</formula>
    </cfRule>
    <cfRule type="cellIs" dxfId="11746" priority="153" operator="equal">
      <formula>"PMS"</formula>
    </cfRule>
    <cfRule type="containsText" dxfId="11745" priority="154" operator="containsText" text="CMS">
      <formula>NOT(ISERROR(SEARCH("CMS",N48)))</formula>
    </cfRule>
    <cfRule type="cellIs" dxfId="11744" priority="155" operator="equal">
      <formula>0</formula>
    </cfRule>
    <cfRule type="cellIs" dxfId="11743" priority="156" operator="greaterThan">
      <formula>0</formula>
    </cfRule>
  </conditionalFormatting>
  <conditionalFormatting sqref="N48">
    <cfRule type="cellIs" dxfId="11742" priority="145" operator="equal">
      <formula>"PMS"</formula>
    </cfRule>
    <cfRule type="containsText" dxfId="11741" priority="146" operator="containsText" text="CMS">
      <formula>NOT(ISERROR(SEARCH("CMS",N48)))</formula>
    </cfRule>
    <cfRule type="cellIs" dxfId="11740" priority="147" operator="equal">
      <formula>0</formula>
    </cfRule>
    <cfRule type="cellIs" dxfId="11739" priority="148" operator="greaterThan">
      <formula>0</formula>
    </cfRule>
  </conditionalFormatting>
  <conditionalFormatting sqref="O51">
    <cfRule type="cellIs" dxfId="11738" priority="137" operator="equal">
      <formula>"PMS"</formula>
    </cfRule>
    <cfRule type="containsText" dxfId="11737" priority="138" operator="containsText" text="CMS">
      <formula>NOT(ISERROR(SEARCH("CMS",O51)))</formula>
    </cfRule>
    <cfRule type="cellIs" dxfId="11736" priority="139" operator="equal">
      <formula>0</formula>
    </cfRule>
    <cfRule type="cellIs" dxfId="11735" priority="140" operator="greaterThan">
      <formula>0</formula>
    </cfRule>
    <cfRule type="cellIs" dxfId="11734" priority="141" operator="equal">
      <formula>"PMS"</formula>
    </cfRule>
    <cfRule type="containsText" dxfId="11733" priority="142" operator="containsText" text="CMS">
      <formula>NOT(ISERROR(SEARCH("CMS",O51)))</formula>
    </cfRule>
    <cfRule type="cellIs" dxfId="11732" priority="143" operator="equal">
      <formula>0</formula>
    </cfRule>
    <cfRule type="cellIs" dxfId="11731" priority="144" operator="greaterThan">
      <formula>0</formula>
    </cfRule>
  </conditionalFormatting>
  <conditionalFormatting sqref="O51">
    <cfRule type="cellIs" dxfId="11730" priority="133" operator="equal">
      <formula>"PMS"</formula>
    </cfRule>
    <cfRule type="containsText" dxfId="11729" priority="134" operator="containsText" text="CMS">
      <formula>NOT(ISERROR(SEARCH("CMS",O51)))</formula>
    </cfRule>
    <cfRule type="cellIs" dxfId="11728" priority="135" operator="equal">
      <formula>0</formula>
    </cfRule>
    <cfRule type="cellIs" dxfId="11727" priority="136" operator="greaterThan">
      <formula>0</formula>
    </cfRule>
  </conditionalFormatting>
  <conditionalFormatting sqref="O40">
    <cfRule type="cellIs" dxfId="11726" priority="125" operator="equal">
      <formula>"PMS"</formula>
    </cfRule>
    <cfRule type="containsText" dxfId="11725" priority="126" operator="containsText" text="CMS">
      <formula>NOT(ISERROR(SEARCH("CMS",O40)))</formula>
    </cfRule>
    <cfRule type="cellIs" dxfId="11724" priority="127" operator="equal">
      <formula>0</formula>
    </cfRule>
    <cfRule type="cellIs" dxfId="11723" priority="128" operator="greaterThan">
      <formula>0</formula>
    </cfRule>
    <cfRule type="cellIs" dxfId="11722" priority="129" operator="equal">
      <formula>"PMS"</formula>
    </cfRule>
    <cfRule type="containsText" dxfId="11721" priority="130" operator="containsText" text="CMS">
      <formula>NOT(ISERROR(SEARCH("CMS",O40)))</formula>
    </cfRule>
    <cfRule type="cellIs" dxfId="11720" priority="131" operator="equal">
      <formula>0</formula>
    </cfRule>
    <cfRule type="cellIs" dxfId="11719" priority="132" operator="greaterThan">
      <formula>0</formula>
    </cfRule>
  </conditionalFormatting>
  <conditionalFormatting sqref="O40">
    <cfRule type="cellIs" dxfId="11718" priority="121" operator="equal">
      <formula>"PMS"</formula>
    </cfRule>
    <cfRule type="containsText" dxfId="11717" priority="122" operator="containsText" text="CMS">
      <formula>NOT(ISERROR(SEARCH("CMS",O40)))</formula>
    </cfRule>
    <cfRule type="cellIs" dxfId="11716" priority="123" operator="equal">
      <formula>0</formula>
    </cfRule>
    <cfRule type="cellIs" dxfId="11715" priority="124" operator="greaterThan">
      <formula>0</formula>
    </cfRule>
  </conditionalFormatting>
  <conditionalFormatting sqref="P21">
    <cfRule type="cellIs" dxfId="11714" priority="113" operator="equal">
      <formula>"PMS"</formula>
    </cfRule>
    <cfRule type="containsText" dxfId="11713" priority="114" operator="containsText" text="CMS">
      <formula>NOT(ISERROR(SEARCH("CMS",P21)))</formula>
    </cfRule>
    <cfRule type="cellIs" dxfId="11712" priority="115" operator="equal">
      <formula>0</formula>
    </cfRule>
    <cfRule type="cellIs" dxfId="11711" priority="116" operator="greaterThan">
      <formula>0</formula>
    </cfRule>
    <cfRule type="cellIs" dxfId="11710" priority="117" operator="equal">
      <formula>"PMS"</formula>
    </cfRule>
    <cfRule type="containsText" dxfId="11709" priority="118" operator="containsText" text="CMS">
      <formula>NOT(ISERROR(SEARCH("CMS",P21)))</formula>
    </cfRule>
    <cfRule type="cellIs" dxfId="11708" priority="119" operator="equal">
      <formula>0</formula>
    </cfRule>
    <cfRule type="cellIs" dxfId="11707" priority="120" operator="greaterThan">
      <formula>0</formula>
    </cfRule>
  </conditionalFormatting>
  <conditionalFormatting sqref="P21">
    <cfRule type="cellIs" dxfId="11706" priority="109" operator="equal">
      <formula>"PMS"</formula>
    </cfRule>
    <cfRule type="containsText" dxfId="11705" priority="110" operator="containsText" text="CMS">
      <formula>NOT(ISERROR(SEARCH("CMS",P21)))</formula>
    </cfRule>
    <cfRule type="cellIs" dxfId="11704" priority="111" operator="equal">
      <formula>0</formula>
    </cfRule>
    <cfRule type="cellIs" dxfId="11703" priority="112" operator="greaterThan">
      <formula>0</formula>
    </cfRule>
  </conditionalFormatting>
  <conditionalFormatting sqref="M78:M79">
    <cfRule type="cellIs" dxfId="11702" priority="101" operator="equal">
      <formula>"PMS"</formula>
    </cfRule>
    <cfRule type="containsText" dxfId="11701" priority="102" operator="containsText" text="CMS">
      <formula>NOT(ISERROR(SEARCH("CMS",M78)))</formula>
    </cfRule>
    <cfRule type="cellIs" dxfId="11700" priority="103" operator="equal">
      <formula>0</formula>
    </cfRule>
    <cfRule type="cellIs" dxfId="11699" priority="104" operator="greaterThan">
      <formula>0</formula>
    </cfRule>
    <cfRule type="cellIs" dxfId="11698" priority="105" operator="equal">
      <formula>"PMS"</formula>
    </cfRule>
    <cfRule type="containsText" dxfId="11697" priority="106" operator="containsText" text="CMS">
      <formula>NOT(ISERROR(SEARCH("CMS",M78)))</formula>
    </cfRule>
    <cfRule type="cellIs" dxfId="11696" priority="107" operator="equal">
      <formula>0</formula>
    </cfRule>
    <cfRule type="cellIs" dxfId="11695" priority="108" operator="greaterThan">
      <formula>0</formula>
    </cfRule>
  </conditionalFormatting>
  <conditionalFormatting sqref="M78:M79">
    <cfRule type="cellIs" dxfId="11694" priority="97" operator="equal">
      <formula>"PMS"</formula>
    </cfRule>
    <cfRule type="containsText" dxfId="11693" priority="98" operator="containsText" text="CMS">
      <formula>NOT(ISERROR(SEARCH("CMS",M78)))</formula>
    </cfRule>
    <cfRule type="cellIs" dxfId="11692" priority="99" operator="equal">
      <formula>0</formula>
    </cfRule>
    <cfRule type="cellIs" dxfId="11691" priority="100" operator="greaterThan">
      <formula>0</formula>
    </cfRule>
  </conditionalFormatting>
  <conditionalFormatting sqref="F13:F16">
    <cfRule type="cellIs" dxfId="11690" priority="89" operator="equal">
      <formula>"PMS"</formula>
    </cfRule>
    <cfRule type="containsText" dxfId="11689" priority="90" operator="containsText" text="CMS">
      <formula>NOT(ISERROR(SEARCH("CMS",F13)))</formula>
    </cfRule>
    <cfRule type="cellIs" dxfId="11688" priority="91" operator="equal">
      <formula>0</formula>
    </cfRule>
    <cfRule type="cellIs" dxfId="11687" priority="92" operator="greaterThan">
      <formula>0</formula>
    </cfRule>
    <cfRule type="cellIs" dxfId="11686" priority="93" operator="equal">
      <formula>"PMS"</formula>
    </cfRule>
    <cfRule type="containsText" dxfId="11685" priority="94" operator="containsText" text="CMS">
      <formula>NOT(ISERROR(SEARCH("CMS",F13)))</formula>
    </cfRule>
    <cfRule type="cellIs" dxfId="11684" priority="95" operator="equal">
      <formula>0</formula>
    </cfRule>
    <cfRule type="cellIs" dxfId="11683" priority="96" operator="greaterThan">
      <formula>0</formula>
    </cfRule>
  </conditionalFormatting>
  <conditionalFormatting sqref="F13:F16">
    <cfRule type="cellIs" dxfId="11682" priority="85" operator="equal">
      <formula>"PMS"</formula>
    </cfRule>
    <cfRule type="containsText" dxfId="11681" priority="86" operator="containsText" text="CMS">
      <formula>NOT(ISERROR(SEARCH("CMS",F13)))</formula>
    </cfRule>
    <cfRule type="cellIs" dxfId="11680" priority="87" operator="equal">
      <formula>0</formula>
    </cfRule>
    <cfRule type="cellIs" dxfId="11679" priority="88" operator="greaterThan">
      <formula>0</formula>
    </cfRule>
  </conditionalFormatting>
  <conditionalFormatting sqref="F19:F21">
    <cfRule type="cellIs" dxfId="11678" priority="77" operator="equal">
      <formula>"PMS"</formula>
    </cfRule>
    <cfRule type="containsText" dxfId="11677" priority="78" operator="containsText" text="CMS">
      <formula>NOT(ISERROR(SEARCH("CMS",F19)))</formula>
    </cfRule>
    <cfRule type="cellIs" dxfId="11676" priority="79" operator="equal">
      <formula>0</formula>
    </cfRule>
    <cfRule type="cellIs" dxfId="11675" priority="80" operator="greaterThan">
      <formula>0</formula>
    </cfRule>
    <cfRule type="cellIs" dxfId="11674" priority="81" operator="equal">
      <formula>"PMS"</formula>
    </cfRule>
    <cfRule type="containsText" dxfId="11673" priority="82" operator="containsText" text="CMS">
      <formula>NOT(ISERROR(SEARCH("CMS",F19)))</formula>
    </cfRule>
    <cfRule type="cellIs" dxfId="11672" priority="83" operator="equal">
      <formula>0</formula>
    </cfRule>
    <cfRule type="cellIs" dxfId="11671" priority="84" operator="greaterThan">
      <formula>0</formula>
    </cfRule>
  </conditionalFormatting>
  <conditionalFormatting sqref="F19:F21">
    <cfRule type="cellIs" dxfId="11670" priority="73" operator="equal">
      <formula>"PMS"</formula>
    </cfRule>
    <cfRule type="containsText" dxfId="11669" priority="74" operator="containsText" text="CMS">
      <formula>NOT(ISERROR(SEARCH("CMS",F19)))</formula>
    </cfRule>
    <cfRule type="cellIs" dxfId="11668" priority="75" operator="equal">
      <formula>0</formula>
    </cfRule>
    <cfRule type="cellIs" dxfId="11667" priority="76" operator="greaterThan">
      <formula>0</formula>
    </cfRule>
  </conditionalFormatting>
  <conditionalFormatting sqref="F28:F30">
    <cfRule type="cellIs" dxfId="11666" priority="65" operator="equal">
      <formula>"PMS"</formula>
    </cfRule>
    <cfRule type="containsText" dxfId="11665" priority="66" operator="containsText" text="CMS">
      <formula>NOT(ISERROR(SEARCH("CMS",F28)))</formula>
    </cfRule>
    <cfRule type="cellIs" dxfId="11664" priority="67" operator="equal">
      <formula>0</formula>
    </cfRule>
    <cfRule type="cellIs" dxfId="11663" priority="68" operator="greaterThan">
      <formula>0</formula>
    </cfRule>
    <cfRule type="cellIs" dxfId="11662" priority="69" operator="equal">
      <formula>"PMS"</formula>
    </cfRule>
    <cfRule type="containsText" dxfId="11661" priority="70" operator="containsText" text="CMS">
      <formula>NOT(ISERROR(SEARCH("CMS",F28)))</formula>
    </cfRule>
    <cfRule type="cellIs" dxfId="11660" priority="71" operator="equal">
      <formula>0</formula>
    </cfRule>
    <cfRule type="cellIs" dxfId="11659" priority="72" operator="greaterThan">
      <formula>0</formula>
    </cfRule>
  </conditionalFormatting>
  <conditionalFormatting sqref="F28:F30">
    <cfRule type="cellIs" dxfId="11658" priority="61" operator="equal">
      <formula>"PMS"</formula>
    </cfRule>
    <cfRule type="containsText" dxfId="11657" priority="62" operator="containsText" text="CMS">
      <formula>NOT(ISERROR(SEARCH("CMS",F28)))</formula>
    </cfRule>
    <cfRule type="cellIs" dxfId="11656" priority="63" operator="equal">
      <formula>0</formula>
    </cfRule>
    <cfRule type="cellIs" dxfId="11655" priority="64" operator="greaterThan">
      <formula>0</formula>
    </cfRule>
  </conditionalFormatting>
  <conditionalFormatting sqref="F27">
    <cfRule type="cellIs" dxfId="11654" priority="53" operator="equal">
      <formula>"PMS"</formula>
    </cfRule>
    <cfRule type="containsText" dxfId="11653" priority="54" operator="containsText" text="CMS">
      <formula>NOT(ISERROR(SEARCH("CMS",F27)))</formula>
    </cfRule>
    <cfRule type="cellIs" dxfId="11652" priority="55" operator="equal">
      <formula>0</formula>
    </cfRule>
    <cfRule type="cellIs" dxfId="11651" priority="56" operator="greaterThan">
      <formula>0</formula>
    </cfRule>
    <cfRule type="cellIs" dxfId="11650" priority="57" operator="equal">
      <formula>"PMS"</formula>
    </cfRule>
    <cfRule type="containsText" dxfId="11649" priority="58" operator="containsText" text="CMS">
      <formula>NOT(ISERROR(SEARCH("CMS",F27)))</formula>
    </cfRule>
    <cfRule type="cellIs" dxfId="11648" priority="59" operator="equal">
      <formula>0</formula>
    </cfRule>
    <cfRule type="cellIs" dxfId="11647" priority="60" operator="greaterThan">
      <formula>0</formula>
    </cfRule>
  </conditionalFormatting>
  <conditionalFormatting sqref="F27">
    <cfRule type="cellIs" dxfId="11646" priority="49" operator="equal">
      <formula>"PMS"</formula>
    </cfRule>
    <cfRule type="containsText" dxfId="11645" priority="50" operator="containsText" text="CMS">
      <formula>NOT(ISERROR(SEARCH("CMS",F27)))</formula>
    </cfRule>
    <cfRule type="cellIs" dxfId="11644" priority="51" operator="equal">
      <formula>0</formula>
    </cfRule>
    <cfRule type="cellIs" dxfId="11643" priority="52" operator="greaterThan">
      <formula>0</formula>
    </cfRule>
  </conditionalFormatting>
  <conditionalFormatting sqref="F78:F79">
    <cfRule type="cellIs" dxfId="11642" priority="41" operator="equal">
      <formula>"PMS"</formula>
    </cfRule>
    <cfRule type="containsText" dxfId="11641" priority="42" operator="containsText" text="CMS">
      <formula>NOT(ISERROR(SEARCH("CMS",F78)))</formula>
    </cfRule>
    <cfRule type="cellIs" dxfId="11640" priority="43" operator="equal">
      <formula>0</formula>
    </cfRule>
    <cfRule type="cellIs" dxfId="11639" priority="44" operator="greaterThan">
      <formula>0</formula>
    </cfRule>
    <cfRule type="cellIs" dxfId="11638" priority="45" operator="equal">
      <formula>"PMS"</formula>
    </cfRule>
    <cfRule type="containsText" dxfId="11637" priority="46" operator="containsText" text="CMS">
      <formula>NOT(ISERROR(SEARCH("CMS",F78)))</formula>
    </cfRule>
    <cfRule type="cellIs" dxfId="11636" priority="47" operator="equal">
      <formula>0</formula>
    </cfRule>
    <cfRule type="cellIs" dxfId="11635" priority="48" operator="greaterThan">
      <formula>0</formula>
    </cfRule>
  </conditionalFormatting>
  <conditionalFormatting sqref="F78:F79">
    <cfRule type="cellIs" dxfId="11634" priority="37" operator="equal">
      <formula>"PMS"</formula>
    </cfRule>
    <cfRule type="containsText" dxfId="11633" priority="38" operator="containsText" text="CMS">
      <formula>NOT(ISERROR(SEARCH("CMS",F78)))</formula>
    </cfRule>
    <cfRule type="cellIs" dxfId="11632" priority="39" operator="equal">
      <formula>0</formula>
    </cfRule>
    <cfRule type="cellIs" dxfId="11631" priority="40" operator="greaterThan">
      <formula>0</formula>
    </cfRule>
  </conditionalFormatting>
  <conditionalFormatting sqref="G79:K79">
    <cfRule type="cellIs" dxfId="11630" priority="29" operator="equal">
      <formula>"PMS"</formula>
    </cfRule>
    <cfRule type="containsText" dxfId="11629" priority="30" operator="containsText" text="CMS">
      <formula>NOT(ISERROR(SEARCH("CMS",G79)))</formula>
    </cfRule>
    <cfRule type="cellIs" dxfId="11628" priority="31" operator="equal">
      <formula>0</formula>
    </cfRule>
    <cfRule type="cellIs" dxfId="11627" priority="32" operator="greaterThan">
      <formula>0</formula>
    </cfRule>
    <cfRule type="cellIs" dxfId="11626" priority="33" operator="equal">
      <formula>"PMS"</formula>
    </cfRule>
    <cfRule type="containsText" dxfId="11625" priority="34" operator="containsText" text="CMS">
      <formula>NOT(ISERROR(SEARCH("CMS",G79)))</formula>
    </cfRule>
    <cfRule type="cellIs" dxfId="11624" priority="35" operator="equal">
      <formula>0</formula>
    </cfRule>
    <cfRule type="cellIs" dxfId="11623" priority="36" operator="greaterThan">
      <formula>0</formula>
    </cfRule>
  </conditionalFormatting>
  <conditionalFormatting sqref="G79:K79">
    <cfRule type="cellIs" dxfId="11622" priority="25" operator="equal">
      <formula>"PMS"</formula>
    </cfRule>
    <cfRule type="containsText" dxfId="11621" priority="26" operator="containsText" text="CMS">
      <formula>NOT(ISERROR(SEARCH("CMS",G79)))</formula>
    </cfRule>
    <cfRule type="cellIs" dxfId="11620" priority="27" operator="equal">
      <formula>0</formula>
    </cfRule>
    <cfRule type="cellIs" dxfId="11619" priority="28" operator="greaterThan">
      <formula>0</formula>
    </cfRule>
  </conditionalFormatting>
  <conditionalFormatting sqref="M14:N14">
    <cfRule type="cellIs" dxfId="11618" priority="17" operator="equal">
      <formula>"PMS"</formula>
    </cfRule>
    <cfRule type="containsText" dxfId="11617" priority="18" operator="containsText" text="CMS">
      <formula>NOT(ISERROR(SEARCH("CMS",M14)))</formula>
    </cfRule>
    <cfRule type="cellIs" dxfId="11616" priority="19" operator="equal">
      <formula>0</formula>
    </cfRule>
    <cfRule type="cellIs" dxfId="11615" priority="20" operator="greaterThan">
      <formula>0</formula>
    </cfRule>
    <cfRule type="cellIs" dxfId="11614" priority="21" operator="equal">
      <formula>"PMS"</formula>
    </cfRule>
    <cfRule type="containsText" dxfId="11613" priority="22" operator="containsText" text="CMS">
      <formula>NOT(ISERROR(SEARCH("CMS",M14)))</formula>
    </cfRule>
    <cfRule type="cellIs" dxfId="11612" priority="23" operator="equal">
      <formula>0</formula>
    </cfRule>
    <cfRule type="cellIs" dxfId="11611" priority="24" operator="greaterThan">
      <formula>0</formula>
    </cfRule>
  </conditionalFormatting>
  <conditionalFormatting sqref="M14:N14">
    <cfRule type="cellIs" dxfId="11610" priority="13" operator="equal">
      <formula>"PMS"</formula>
    </cfRule>
    <cfRule type="containsText" dxfId="11609" priority="14" operator="containsText" text="CMS">
      <formula>NOT(ISERROR(SEARCH("CMS",M14)))</formula>
    </cfRule>
    <cfRule type="cellIs" dxfId="11608" priority="15" operator="equal">
      <formula>0</formula>
    </cfRule>
    <cfRule type="cellIs" dxfId="11607" priority="16" operator="greaterThan">
      <formula>0</formula>
    </cfRule>
  </conditionalFormatting>
  <conditionalFormatting sqref="N64:R64">
    <cfRule type="cellIs" dxfId="11606" priority="5" operator="equal">
      <formula>"PMS"</formula>
    </cfRule>
    <cfRule type="containsText" dxfId="11605" priority="6" operator="containsText" text="CMS">
      <formula>NOT(ISERROR(SEARCH("CMS",N64)))</formula>
    </cfRule>
    <cfRule type="cellIs" dxfId="11604" priority="7" operator="equal">
      <formula>0</formula>
    </cfRule>
    <cfRule type="cellIs" dxfId="11603" priority="8" operator="greaterThan">
      <formula>0</formula>
    </cfRule>
    <cfRule type="cellIs" dxfId="11602" priority="9" operator="equal">
      <formula>"PMS"</formula>
    </cfRule>
    <cfRule type="containsText" dxfId="11601" priority="10" operator="containsText" text="CMS">
      <formula>NOT(ISERROR(SEARCH("CMS",N64)))</formula>
    </cfRule>
    <cfRule type="cellIs" dxfId="11600" priority="11" operator="equal">
      <formula>0</formula>
    </cfRule>
    <cfRule type="cellIs" dxfId="11599" priority="12" operator="greaterThan">
      <formula>0</formula>
    </cfRule>
  </conditionalFormatting>
  <conditionalFormatting sqref="N64:R64">
    <cfRule type="cellIs" dxfId="11598" priority="1" operator="equal">
      <formula>"PMS"</formula>
    </cfRule>
    <cfRule type="containsText" dxfId="11597" priority="2" operator="containsText" text="CMS">
      <formula>NOT(ISERROR(SEARCH("CMS",N64)))</formula>
    </cfRule>
    <cfRule type="cellIs" dxfId="11596" priority="3" operator="equal">
      <formula>0</formula>
    </cfRule>
    <cfRule type="cellIs" dxfId="1159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81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0AC41-C7F3-4C8E-B717-96C7D2AAC273}">
  <sheetPr codeName="Sheet236"/>
  <dimension ref="A2:DT141"/>
  <sheetViews>
    <sheetView zoomScale="70" zoomScaleNormal="70" workbookViewId="0">
      <pane xSplit="5" ySplit="11" topLeftCell="F12" activePane="bottomRight" state="frozen"/>
      <selection pane="bottomRight" activeCell="L14" sqref="L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315.40000000000003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7" t="s">
        <v>9</v>
      </c>
      <c r="L14" s="357">
        <v>1.5</v>
      </c>
      <c r="M14" s="357" t="s">
        <v>9</v>
      </c>
      <c r="N14" s="357" t="s">
        <v>9</v>
      </c>
      <c r="O14" s="357" t="s">
        <v>9</v>
      </c>
      <c r="P14" s="357" t="s">
        <v>9</v>
      </c>
      <c r="Q14" s="357">
        <v>1.2</v>
      </c>
      <c r="R14" s="357" t="s">
        <v>9</v>
      </c>
      <c r="S14" s="462" t="s">
        <v>9</v>
      </c>
      <c r="T14" s="462" t="s">
        <v>9</v>
      </c>
      <c r="U14" s="357" t="s">
        <v>9</v>
      </c>
      <c r="V14" s="357" t="s">
        <v>9</v>
      </c>
      <c r="W14" s="357" t="s">
        <v>9</v>
      </c>
      <c r="X14" s="357" t="s">
        <v>9</v>
      </c>
      <c r="Y14" s="357" t="s">
        <v>9</v>
      </c>
      <c r="Z14" s="462" t="s">
        <v>9</v>
      </c>
      <c r="AA14" s="462" t="s">
        <v>9</v>
      </c>
      <c r="AB14" s="357" t="s">
        <v>9</v>
      </c>
      <c r="AC14" s="357" t="s">
        <v>9</v>
      </c>
      <c r="AD14" s="41"/>
      <c r="AE14" s="41"/>
      <c r="AF14" s="11">
        <f>COUNTIF(F14:AC14,$AJ$8)</f>
        <v>22</v>
      </c>
      <c r="AG14" s="11">
        <f>COUNTIF(F14:AD14,$AJ$7)</f>
        <v>0</v>
      </c>
      <c r="AH14" s="11">
        <f>COUNT(F14:AC14)</f>
        <v>2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6.4</v>
      </c>
      <c r="G15" s="357">
        <v>6.7</v>
      </c>
      <c r="H15" s="357">
        <v>6.7</v>
      </c>
      <c r="I15" s="357">
        <v>6.8</v>
      </c>
      <c r="J15" s="357">
        <v>6.8</v>
      </c>
      <c r="K15" s="359">
        <v>6.9</v>
      </c>
      <c r="L15" s="359">
        <v>6.1</v>
      </c>
      <c r="M15" s="359">
        <v>6.5</v>
      </c>
      <c r="N15" s="357">
        <v>7</v>
      </c>
      <c r="O15" s="357">
        <v>6.7</v>
      </c>
      <c r="P15" s="357">
        <v>6.8</v>
      </c>
      <c r="Q15" s="357">
        <v>6.2</v>
      </c>
      <c r="R15" s="357">
        <v>6.5</v>
      </c>
      <c r="S15" s="462">
        <v>6.9</v>
      </c>
      <c r="T15" s="462">
        <v>6.7</v>
      </c>
      <c r="U15" s="357">
        <v>6.8</v>
      </c>
      <c r="V15" s="462">
        <v>6.6</v>
      </c>
      <c r="W15" s="357">
        <v>6.6</v>
      </c>
      <c r="X15" s="357">
        <v>6.6</v>
      </c>
      <c r="Y15" s="357">
        <v>6.6</v>
      </c>
      <c r="Z15" s="462">
        <v>6.7</v>
      </c>
      <c r="AA15" s="462">
        <v>6.6</v>
      </c>
      <c r="AB15" s="357">
        <v>6.7</v>
      </c>
      <c r="AC15" s="46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6.7</v>
      </c>
      <c r="H16" s="357">
        <v>6.7</v>
      </c>
      <c r="I16" s="357">
        <v>6.8</v>
      </c>
      <c r="J16" s="357">
        <v>6.8</v>
      </c>
      <c r="K16" s="359">
        <v>6.7</v>
      </c>
      <c r="L16" s="359">
        <v>6.1</v>
      </c>
      <c r="M16" s="357">
        <v>6.7</v>
      </c>
      <c r="N16" s="359">
        <v>7</v>
      </c>
      <c r="O16" s="357">
        <v>6.7</v>
      </c>
      <c r="P16" s="357">
        <v>6.8</v>
      </c>
      <c r="Q16" s="357">
        <v>6.2</v>
      </c>
      <c r="R16" s="357">
        <v>6.5</v>
      </c>
      <c r="S16" s="462">
        <v>6.9</v>
      </c>
      <c r="T16" s="462">
        <v>6.7</v>
      </c>
      <c r="U16" s="357">
        <v>6.8</v>
      </c>
      <c r="V16" s="462">
        <v>6.6</v>
      </c>
      <c r="W16" s="357">
        <v>6.6</v>
      </c>
      <c r="X16" s="357">
        <v>6.6</v>
      </c>
      <c r="Y16" s="357">
        <v>6.6</v>
      </c>
      <c r="Z16" s="462">
        <v>6.7</v>
      </c>
      <c r="AA16" s="462">
        <v>6.6</v>
      </c>
      <c r="AB16" s="462" t="s">
        <v>9</v>
      </c>
      <c r="AC16" s="462">
        <v>6.7</v>
      </c>
      <c r="AD16" s="41"/>
      <c r="AE16" s="41"/>
      <c r="AF16" s="11">
        <f>COUNTIF(F16:AC16,$AJ$8)</f>
        <v>1</v>
      </c>
      <c r="AG16" s="11">
        <f>COUNTIF(G16:AD16,$AJ$7)</f>
        <v>0</v>
      </c>
      <c r="AH16" s="11">
        <f>COUNT(F16:AC16)</f>
        <v>23</v>
      </c>
      <c r="AL16">
        <f>6.3*3-6.7-5.2*2</f>
        <v>1.7999999999999989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13.6</v>
      </c>
      <c r="J17" s="19">
        <f t="shared" si="1"/>
        <v>13.6</v>
      </c>
      <c r="K17" s="19">
        <f t="shared" si="1"/>
        <v>13.600000000000001</v>
      </c>
      <c r="L17" s="19">
        <f t="shared" si="1"/>
        <v>13.7</v>
      </c>
      <c r="M17" s="19">
        <f t="shared" si="1"/>
        <v>13.2</v>
      </c>
      <c r="N17" s="19">
        <f t="shared" si="1"/>
        <v>14</v>
      </c>
      <c r="O17" s="19">
        <f t="shared" si="1"/>
        <v>13.4</v>
      </c>
      <c r="P17" s="19">
        <f t="shared" si="1"/>
        <v>13.6</v>
      </c>
      <c r="Q17" s="19">
        <f t="shared" si="1"/>
        <v>13.600000000000001</v>
      </c>
      <c r="R17" s="19">
        <f t="shared" si="1"/>
        <v>13</v>
      </c>
      <c r="S17" s="463">
        <f t="shared" si="1"/>
        <v>13.8</v>
      </c>
      <c r="T17" s="463">
        <f t="shared" si="1"/>
        <v>13.4</v>
      </c>
      <c r="U17" s="19">
        <f t="shared" si="1"/>
        <v>13.6</v>
      </c>
      <c r="V17" s="19">
        <f t="shared" si="1"/>
        <v>13.2</v>
      </c>
      <c r="W17" s="19">
        <f t="shared" si="1"/>
        <v>13.2</v>
      </c>
      <c r="X17" s="19">
        <f t="shared" si="1"/>
        <v>13.2</v>
      </c>
      <c r="Y17" s="19">
        <f t="shared" si="1"/>
        <v>13.2</v>
      </c>
      <c r="Z17" s="463">
        <f t="shared" si="1"/>
        <v>13.4</v>
      </c>
      <c r="AA17" s="463">
        <f t="shared" si="1"/>
        <v>13.2</v>
      </c>
      <c r="AB17" s="463">
        <f>SUM(AB13:AB16)</f>
        <v>6.7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43.999999999999993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2.8</v>
      </c>
      <c r="P19" s="357">
        <v>2.8</v>
      </c>
      <c r="Q19" s="357">
        <v>2.8</v>
      </c>
      <c r="R19" s="357">
        <v>2.8</v>
      </c>
      <c r="S19" s="462">
        <v>2.8</v>
      </c>
      <c r="T19" s="462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2.8</v>
      </c>
      <c r="AC19" s="357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15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>
        <v>2.8</v>
      </c>
      <c r="G21" s="357"/>
      <c r="H21" s="357"/>
      <c r="I21" s="357"/>
      <c r="J21" s="357"/>
      <c r="K21" s="357"/>
      <c r="L21" s="359"/>
      <c r="M21" s="359"/>
      <c r="N21" s="357"/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15</v>
      </c>
      <c r="AG21" s="11">
        <f>COUNTIF(G21:AD21,$AJ$7)</f>
        <v>0</v>
      </c>
      <c r="AH21" s="11">
        <f>COUNT(F21:AC21)</f>
        <v>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2.8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2.8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463">
        <f>SUM(S19:S21)</f>
        <v>2.8</v>
      </c>
      <c r="T22" s="463">
        <f t="shared" ref="T22" si="4">SUM(T19:T21)</f>
        <v>2.8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463">
        <f>SUM(Z19:Z21)</f>
        <v>2.8</v>
      </c>
      <c r="AA22" s="463">
        <f t="shared" si="3"/>
        <v>2.8</v>
      </c>
      <c r="AB22" s="463">
        <f>SUM(AB19:AB21)</f>
        <v>2.8</v>
      </c>
      <c r="AC22" s="19">
        <f t="shared" si="3"/>
        <v>2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56.199999999999989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3.8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>
        <v>3.8</v>
      </c>
      <c r="AA24" s="357">
        <v>3.8</v>
      </c>
      <c r="AB24" s="357">
        <v>3.8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463">
        <f t="shared" si="6"/>
        <v>3.8</v>
      </c>
      <c r="AA25" s="463">
        <f t="shared" si="6"/>
        <v>3.8</v>
      </c>
      <c r="AB25" s="463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86.300000000000011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3.8</v>
      </c>
      <c r="M27" s="357">
        <v>3</v>
      </c>
      <c r="N27" s="357">
        <v>3.8</v>
      </c>
      <c r="O27" s="357">
        <v>3.7</v>
      </c>
      <c r="P27" s="357">
        <v>3.7</v>
      </c>
      <c r="Q27" s="357">
        <v>2</v>
      </c>
      <c r="R27" s="357">
        <v>2</v>
      </c>
      <c r="S27" s="462">
        <v>2.7</v>
      </c>
      <c r="T27" s="462">
        <v>3.5</v>
      </c>
      <c r="U27" s="357">
        <v>3.2</v>
      </c>
      <c r="V27" s="359">
        <v>3</v>
      </c>
      <c r="W27" s="357">
        <v>2.9</v>
      </c>
      <c r="X27" s="357">
        <v>2</v>
      </c>
      <c r="Y27" s="357">
        <v>2</v>
      </c>
      <c r="Z27" s="357">
        <v>2.5</v>
      </c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1.5</v>
      </c>
      <c r="H28" s="357">
        <v>1.5</v>
      </c>
      <c r="I28" s="357">
        <v>0</v>
      </c>
      <c r="J28" s="359">
        <v>0</v>
      </c>
      <c r="K28" s="357">
        <v>0</v>
      </c>
      <c r="L28" s="359"/>
      <c r="M28" s="357"/>
      <c r="N28" s="357"/>
      <c r="O28" s="357"/>
      <c r="P28" s="357"/>
      <c r="Q28" s="357">
        <v>2</v>
      </c>
      <c r="R28" s="357">
        <v>2</v>
      </c>
      <c r="S28" s="462">
        <v>2.7</v>
      </c>
      <c r="T28" s="359">
        <v>3.5</v>
      </c>
      <c r="U28" s="359">
        <v>3.2</v>
      </c>
      <c r="V28" s="359">
        <v>3</v>
      </c>
      <c r="W28" s="357">
        <v>2.9</v>
      </c>
      <c r="X28" s="357">
        <v>2.4</v>
      </c>
      <c r="Y28" s="357">
        <v>2.4</v>
      </c>
      <c r="Z28" s="357">
        <v>2.5</v>
      </c>
      <c r="AA28" s="357">
        <v>3.8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  <c r="AI28" s="159">
        <f>SUM(F29:AC30)</f>
        <v>243.32999999999998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>
        <v>3.8</v>
      </c>
      <c r="P29" s="357">
        <v>7.1</v>
      </c>
      <c r="Q29" s="357">
        <v>6.6</v>
      </c>
      <c r="R29" s="357">
        <v>6.9</v>
      </c>
      <c r="S29" s="462">
        <v>7</v>
      </c>
      <c r="T29" s="359">
        <v>6.4</v>
      </c>
      <c r="U29" s="357">
        <v>6</v>
      </c>
      <c r="V29" s="357">
        <v>5.9</v>
      </c>
      <c r="W29" s="359">
        <v>4.4000000000000004</v>
      </c>
      <c r="X29" s="357">
        <v>5</v>
      </c>
      <c r="Y29" s="359">
        <v>6.5</v>
      </c>
      <c r="Z29" s="357">
        <v>6.1</v>
      </c>
      <c r="AA29" s="357">
        <v>2.8</v>
      </c>
      <c r="AB29" s="357">
        <v>4.9000000000000004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9">
        <v>6.5</v>
      </c>
      <c r="H30" s="357">
        <v>5.04</v>
      </c>
      <c r="I30" s="357">
        <v>6.1</v>
      </c>
      <c r="J30" s="357">
        <v>5.7</v>
      </c>
      <c r="K30" s="357">
        <v>7.4</v>
      </c>
      <c r="L30" s="357">
        <v>7.38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9">
        <v>6.81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8.5</v>
      </c>
      <c r="G31" s="19">
        <f>SUM(G27:G30)</f>
        <v>8</v>
      </c>
      <c r="H31" s="19">
        <v>6</v>
      </c>
      <c r="I31" s="19">
        <f t="shared" ref="I31:X31" si="8">SUM(I27:I30)</f>
        <v>6.1</v>
      </c>
      <c r="J31" s="19">
        <f t="shared" si="8"/>
        <v>5.7</v>
      </c>
      <c r="K31" s="19">
        <f t="shared" si="8"/>
        <v>7.4</v>
      </c>
      <c r="L31" s="19">
        <f t="shared" si="8"/>
        <v>11.18</v>
      </c>
      <c r="M31" s="19">
        <f t="shared" si="8"/>
        <v>10</v>
      </c>
      <c r="N31" s="19">
        <f t="shared" si="8"/>
        <v>10.8</v>
      </c>
      <c r="O31" s="19">
        <f t="shared" si="8"/>
        <v>14.5</v>
      </c>
      <c r="P31" s="19">
        <f t="shared" si="8"/>
        <v>17.8</v>
      </c>
      <c r="Q31" s="19">
        <f t="shared" si="8"/>
        <v>17.600000000000001</v>
      </c>
      <c r="R31" s="19">
        <f t="shared" si="8"/>
        <v>17.899999999999999</v>
      </c>
      <c r="S31" s="463">
        <f t="shared" si="8"/>
        <v>19.399999999999999</v>
      </c>
      <c r="T31" s="463">
        <f t="shared" si="8"/>
        <v>20.399999999999999</v>
      </c>
      <c r="U31" s="19">
        <f t="shared" si="8"/>
        <v>19.399999999999999</v>
      </c>
      <c r="V31" s="19">
        <f t="shared" si="8"/>
        <v>18.899999999999999</v>
      </c>
      <c r="W31" s="19">
        <f t="shared" si="8"/>
        <v>17.2</v>
      </c>
      <c r="X31" s="19">
        <f t="shared" si="8"/>
        <v>16.399999999999999</v>
      </c>
      <c r="Y31" s="19">
        <f>SUM(Y27:Y30)</f>
        <v>17.899999999999999</v>
      </c>
      <c r="Z31" s="19">
        <f t="shared" ref="Z31:AC31" si="9">SUM(Z27:Z30)</f>
        <v>18.100000000000001</v>
      </c>
      <c r="AA31" s="19">
        <f t="shared" si="9"/>
        <v>13.6</v>
      </c>
      <c r="AB31" s="19">
        <f t="shared" si="9"/>
        <v>15.7</v>
      </c>
      <c r="AC31" s="19">
        <f t="shared" si="9"/>
        <v>10.61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342.29999999999995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14.27</v>
      </c>
      <c r="H33" s="357">
        <v>14.27</v>
      </c>
      <c r="I33" s="359">
        <v>14.26</v>
      </c>
      <c r="J33" s="357">
        <v>14.26</v>
      </c>
      <c r="K33" s="357">
        <v>14.25</v>
      </c>
      <c r="L33" s="359">
        <v>14.26</v>
      </c>
      <c r="M33" s="357">
        <v>14.25</v>
      </c>
      <c r="N33" s="357">
        <v>14.25</v>
      </c>
      <c r="O33" s="357">
        <v>14.23</v>
      </c>
      <c r="P33" s="357">
        <v>14.27</v>
      </c>
      <c r="Q33" s="359">
        <v>14.23</v>
      </c>
      <c r="R33" s="357">
        <v>14.27</v>
      </c>
      <c r="S33" s="462">
        <v>14.29</v>
      </c>
      <c r="T33" s="462">
        <v>14.24</v>
      </c>
      <c r="U33" s="357">
        <v>14.28</v>
      </c>
      <c r="V33" s="359">
        <v>14.26</v>
      </c>
      <c r="W33" s="357">
        <v>14.29</v>
      </c>
      <c r="X33" s="357">
        <v>14.25</v>
      </c>
      <c r="Y33" s="357">
        <v>14.27</v>
      </c>
      <c r="Z33" s="357">
        <v>14.29</v>
      </c>
      <c r="AA33" s="357">
        <v>14.26</v>
      </c>
      <c r="AB33" s="357">
        <v>14.26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14.27</v>
      </c>
      <c r="G34" s="19">
        <f t="shared" ref="G34:AC34" si="11">SUM(G33)</f>
        <v>14.27</v>
      </c>
      <c r="H34" s="19">
        <f t="shared" si="11"/>
        <v>14.27</v>
      </c>
      <c r="I34" s="19">
        <f t="shared" si="11"/>
        <v>14.26</v>
      </c>
      <c r="J34" s="19">
        <f t="shared" si="11"/>
        <v>14.26</v>
      </c>
      <c r="K34" s="19">
        <f t="shared" si="11"/>
        <v>14.25</v>
      </c>
      <c r="L34" s="19">
        <f t="shared" si="11"/>
        <v>14.26</v>
      </c>
      <c r="M34" s="19">
        <f t="shared" si="11"/>
        <v>14.25</v>
      </c>
      <c r="N34" s="19">
        <f t="shared" si="11"/>
        <v>14.25</v>
      </c>
      <c r="O34" s="19">
        <f t="shared" si="11"/>
        <v>14.23</v>
      </c>
      <c r="P34" s="19">
        <f t="shared" si="11"/>
        <v>14.27</v>
      </c>
      <c r="Q34" s="19">
        <f t="shared" si="11"/>
        <v>14.23</v>
      </c>
      <c r="R34" s="19">
        <f t="shared" si="11"/>
        <v>14.27</v>
      </c>
      <c r="S34" s="19">
        <f t="shared" si="11"/>
        <v>14.29</v>
      </c>
      <c r="T34" s="463">
        <f t="shared" si="11"/>
        <v>14.24</v>
      </c>
      <c r="U34" s="19">
        <f t="shared" si="11"/>
        <v>14.28</v>
      </c>
      <c r="V34" s="19">
        <f t="shared" si="11"/>
        <v>14.26</v>
      </c>
      <c r="W34" s="19">
        <f t="shared" si="11"/>
        <v>14.29</v>
      </c>
      <c r="X34" s="19">
        <f t="shared" si="11"/>
        <v>14.25</v>
      </c>
      <c r="Y34" s="19">
        <f t="shared" si="11"/>
        <v>14.27</v>
      </c>
      <c r="Z34" s="19">
        <f t="shared" si="11"/>
        <v>14.29</v>
      </c>
      <c r="AA34" s="19">
        <f t="shared" si="11"/>
        <v>14.26</v>
      </c>
      <c r="AB34" s="19">
        <f t="shared" si="11"/>
        <v>14.26</v>
      </c>
      <c r="AC34" s="19">
        <f t="shared" si="11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5.3999999999999995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66.97999999999999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>
        <v>0.8</v>
      </c>
      <c r="Q40" s="357">
        <v>0.8</v>
      </c>
      <c r="R40" s="357">
        <v>0.8</v>
      </c>
      <c r="S40" s="462">
        <v>0.8</v>
      </c>
      <c r="T40" s="462">
        <v>0.8</v>
      </c>
      <c r="U40" s="357">
        <v>0.8</v>
      </c>
      <c r="V40" s="357">
        <v>0.8</v>
      </c>
      <c r="W40" s="357">
        <v>0.7</v>
      </c>
      <c r="X40" s="357">
        <v>0.75</v>
      </c>
      <c r="Y40" s="357">
        <v>0.73333333333333339</v>
      </c>
      <c r="Z40" s="357">
        <v>0.74333333333333329</v>
      </c>
      <c r="AA40" s="357"/>
      <c r="AB40" s="357">
        <v>0.8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13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>
        <v>0.8</v>
      </c>
      <c r="R42" s="357">
        <v>0.7</v>
      </c>
      <c r="S42" s="462">
        <v>0.8</v>
      </c>
      <c r="T42" s="462">
        <v>0.8</v>
      </c>
      <c r="U42" s="357">
        <v>0.8</v>
      </c>
      <c r="V42" s="357">
        <v>0.75</v>
      </c>
      <c r="W42" s="357">
        <v>0.75</v>
      </c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7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0.75</v>
      </c>
      <c r="M47" s="357"/>
      <c r="N47" s="357">
        <f>3.1/4</f>
        <v>0.77500000000000002</v>
      </c>
      <c r="O47" s="357">
        <f>2.92/4</f>
        <v>0.73</v>
      </c>
      <c r="P47" s="359">
        <v>0.75</v>
      </c>
      <c r="Q47" s="357">
        <v>0.75</v>
      </c>
      <c r="R47" s="357">
        <v>0.75</v>
      </c>
      <c r="S47" s="462">
        <v>0.8</v>
      </c>
      <c r="T47" s="462">
        <v>0.8</v>
      </c>
      <c r="U47" s="462">
        <v>0.8</v>
      </c>
      <c r="V47" s="462">
        <v>0.75</v>
      </c>
      <c r="W47" s="357">
        <v>0.75</v>
      </c>
      <c r="X47" s="357">
        <v>0.75</v>
      </c>
      <c r="Y47" s="357">
        <v>0.73333333333333339</v>
      </c>
      <c r="Z47" s="357">
        <v>0.74333333333333329</v>
      </c>
      <c r="AA47" s="357">
        <f>3.9/5</f>
        <v>0.78</v>
      </c>
      <c r="AB47" s="357">
        <v>0.75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>
        <v>0.8</v>
      </c>
      <c r="L48" s="359"/>
      <c r="M48" s="357"/>
      <c r="N48" s="357">
        <f>3.1/4</f>
        <v>0.77500000000000002</v>
      </c>
      <c r="O48" s="357">
        <f>2.92/4</f>
        <v>0.73</v>
      </c>
      <c r="P48" s="359">
        <v>0.75</v>
      </c>
      <c r="Q48" s="357">
        <v>0.75</v>
      </c>
      <c r="R48" s="357">
        <v>0.75</v>
      </c>
      <c r="S48" s="462">
        <v>0.8</v>
      </c>
      <c r="T48" s="462">
        <v>0.75</v>
      </c>
      <c r="U48" s="357">
        <v>0.8</v>
      </c>
      <c r="V48" s="462">
        <v>0.75</v>
      </c>
      <c r="W48" s="357">
        <v>0.75</v>
      </c>
      <c r="X48" s="357">
        <v>0.75</v>
      </c>
      <c r="Y48" s="357">
        <v>0.73333333333333339</v>
      </c>
      <c r="Z48" s="357">
        <v>0.74333333333333329</v>
      </c>
      <c r="AA48" s="357">
        <v>0.78</v>
      </c>
      <c r="AB48" s="357">
        <v>0.75</v>
      </c>
      <c r="AC48" s="357">
        <v>0</v>
      </c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 t="s">
        <v>9</v>
      </c>
      <c r="G50" s="357" t="s">
        <v>9</v>
      </c>
      <c r="H50" s="357" t="s">
        <v>9</v>
      </c>
      <c r="I50" s="357" t="s">
        <v>9</v>
      </c>
      <c r="J50" s="357" t="s">
        <v>9</v>
      </c>
      <c r="K50" s="357" t="s">
        <v>9</v>
      </c>
      <c r="L50" s="359" t="s">
        <v>9</v>
      </c>
      <c r="M50" s="359" t="s">
        <v>9</v>
      </c>
      <c r="N50" s="359" t="s">
        <v>9</v>
      </c>
      <c r="O50" s="359" t="s">
        <v>9</v>
      </c>
      <c r="P50" s="359">
        <v>0.8</v>
      </c>
      <c r="Q50" s="357">
        <v>0.8</v>
      </c>
      <c r="R50" s="357">
        <v>0.8</v>
      </c>
      <c r="S50" s="462">
        <v>0.8</v>
      </c>
      <c r="T50" s="357">
        <v>0.75</v>
      </c>
      <c r="U50" s="462">
        <v>0.8</v>
      </c>
      <c r="V50" s="462">
        <v>0.75</v>
      </c>
      <c r="W50" s="357">
        <v>0.75</v>
      </c>
      <c r="X50" s="357">
        <v>0.75</v>
      </c>
      <c r="Y50" s="357">
        <v>0.73333333333333339</v>
      </c>
      <c r="Z50" s="357">
        <v>0.74333333333333329</v>
      </c>
      <c r="AA50" s="357">
        <v>0.78</v>
      </c>
      <c r="AB50" s="357">
        <v>0.75</v>
      </c>
      <c r="AC50" s="357">
        <v>0</v>
      </c>
      <c r="AD50" s="41"/>
      <c r="AE50" s="41"/>
      <c r="AF50" s="11">
        <f t="shared" si="12"/>
        <v>10</v>
      </c>
      <c r="AG50" s="11">
        <f t="shared" si="13"/>
        <v>0</v>
      </c>
      <c r="AH50" s="11">
        <f t="shared" si="14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>
        <f>3.1/4</f>
        <v>0.77500000000000002</v>
      </c>
      <c r="O51" s="357">
        <f>2.92/4</f>
        <v>0.73</v>
      </c>
      <c r="P51" s="359">
        <v>0.75</v>
      </c>
      <c r="Q51" s="359">
        <v>0.75</v>
      </c>
      <c r="R51" s="357">
        <v>0.75</v>
      </c>
      <c r="S51" s="462">
        <v>0.75</v>
      </c>
      <c r="T51" s="462">
        <v>0.75</v>
      </c>
      <c r="U51" s="462">
        <v>0.75</v>
      </c>
      <c r="V51" s="462">
        <v>0.75</v>
      </c>
      <c r="W51" s="357">
        <v>0.75</v>
      </c>
      <c r="X51" s="357">
        <v>0.75</v>
      </c>
      <c r="Y51" s="357">
        <v>0.73333333333333339</v>
      </c>
      <c r="Z51" s="357">
        <v>0.74333333333333329</v>
      </c>
      <c r="AA51" s="357">
        <v>0.78</v>
      </c>
      <c r="AB51" s="357">
        <v>0.75</v>
      </c>
      <c r="AC51" s="357">
        <v>0</v>
      </c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16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>
        <v>0</v>
      </c>
      <c r="AC52" s="357">
        <v>0</v>
      </c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>
        <v>0</v>
      </c>
      <c r="AC53" s="357">
        <v>0</v>
      </c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>
        <v>0</v>
      </c>
      <c r="AC54" s="357">
        <v>0</v>
      </c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>
        <v>0</v>
      </c>
      <c r="AC55" s="357">
        <v>0</v>
      </c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0.75</v>
      </c>
      <c r="M56" s="357"/>
      <c r="N56" s="357">
        <f>3.1/4</f>
        <v>0.77500000000000002</v>
      </c>
      <c r="O56" s="357">
        <f>2.92/4</f>
        <v>0.73</v>
      </c>
      <c r="P56" s="359">
        <v>0.75</v>
      </c>
      <c r="Q56" s="357">
        <v>0.75</v>
      </c>
      <c r="R56" s="357">
        <v>0.75</v>
      </c>
      <c r="S56" s="462">
        <v>0.75</v>
      </c>
      <c r="T56" s="462">
        <v>0.75</v>
      </c>
      <c r="U56" s="462">
        <v>0.75</v>
      </c>
      <c r="V56" s="462">
        <v>0.75</v>
      </c>
      <c r="W56" s="357">
        <v>0.75</v>
      </c>
      <c r="X56" s="357">
        <v>0.75</v>
      </c>
      <c r="Y56" s="357">
        <v>0.73333333333333339</v>
      </c>
      <c r="Z56" s="357">
        <v>0.74333333333333329</v>
      </c>
      <c r="AA56" s="357">
        <v>0.78</v>
      </c>
      <c r="AB56" s="357">
        <v>0.8</v>
      </c>
      <c r="AC56" s="357">
        <v>0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17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0.8</v>
      </c>
      <c r="L60" s="19">
        <f t="shared" si="16"/>
        <v>1.5</v>
      </c>
      <c r="M60" s="19">
        <f t="shared" si="16"/>
        <v>0</v>
      </c>
      <c r="N60" s="19">
        <f t="shared" si="16"/>
        <v>3.1</v>
      </c>
      <c r="O60" s="19">
        <f t="shared" si="16"/>
        <v>2.92</v>
      </c>
      <c r="P60" s="19">
        <f t="shared" si="16"/>
        <v>4.5999999999999996</v>
      </c>
      <c r="Q60" s="19">
        <f t="shared" si="16"/>
        <v>5.4</v>
      </c>
      <c r="R60" s="19">
        <f t="shared" si="16"/>
        <v>5.3</v>
      </c>
      <c r="S60" s="19">
        <f t="shared" si="16"/>
        <v>5.5</v>
      </c>
      <c r="T60" s="19">
        <f t="shared" si="16"/>
        <v>5.4</v>
      </c>
      <c r="U60" s="19">
        <f t="shared" si="16"/>
        <v>5.5</v>
      </c>
      <c r="V60" s="19">
        <f t="shared" si="16"/>
        <v>5.3</v>
      </c>
      <c r="W60" s="19">
        <f t="shared" si="16"/>
        <v>5.2</v>
      </c>
      <c r="X60" s="19">
        <f t="shared" si="16"/>
        <v>4.5</v>
      </c>
      <c r="Y60" s="19">
        <f>SUM(Y36:Y59)</f>
        <v>4.4000000000000004</v>
      </c>
      <c r="Z60" s="19">
        <f t="shared" si="16"/>
        <v>4.46</v>
      </c>
      <c r="AA60" s="19">
        <f t="shared" si="16"/>
        <v>3.9000000000000004</v>
      </c>
      <c r="AB60" s="19">
        <f t="shared" si="16"/>
        <v>4.5999999999999996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30.504999999999995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1.1/2</f>
        <v>0.55000000000000004</v>
      </c>
      <c r="G62" s="357">
        <f>1.01/2</f>
        <v>0.505</v>
      </c>
      <c r="H62" s="357">
        <f>0.99/2</f>
        <v>0.495</v>
      </c>
      <c r="I62" s="359">
        <f>0.98/2</f>
        <v>0.49</v>
      </c>
      <c r="J62" s="357">
        <f>0.8/2</f>
        <v>0.4</v>
      </c>
      <c r="K62" s="357">
        <f>0.91/2</f>
        <v>0.45500000000000002</v>
      </c>
      <c r="L62" s="357">
        <f>1.11/2</f>
        <v>0.55500000000000005</v>
      </c>
      <c r="M62" s="357"/>
      <c r="N62" s="357"/>
      <c r="O62" s="357"/>
      <c r="P62" s="357"/>
      <c r="Q62" s="357"/>
      <c r="R62" s="357">
        <v>0.52</v>
      </c>
      <c r="S62" s="462">
        <f>1.55/3</f>
        <v>0.51666666666666672</v>
      </c>
      <c r="T62" s="357">
        <f>1.56/3</f>
        <v>0.52</v>
      </c>
      <c r="U62" s="357">
        <f>1.56/3</f>
        <v>0.52</v>
      </c>
      <c r="V62" s="462">
        <f>1.5/3</f>
        <v>0.5</v>
      </c>
      <c r="W62" s="357">
        <f>1.43/2</f>
        <v>0.71499999999999997</v>
      </c>
      <c r="X62" s="357">
        <f>1.36/2</f>
        <v>0.68</v>
      </c>
      <c r="Y62" s="357">
        <v>0.74</v>
      </c>
      <c r="Z62" s="357">
        <v>0.54</v>
      </c>
      <c r="AA62" s="357">
        <v>0.51</v>
      </c>
      <c r="AB62" s="357">
        <f>1.37/2</f>
        <v>0.68500000000000005</v>
      </c>
      <c r="AC62" s="357">
        <f>1.24/2</f>
        <v>0.62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>
        <v>0.51</v>
      </c>
      <c r="H63" s="357">
        <f>0.99/2</f>
        <v>0.495</v>
      </c>
      <c r="I63" s="359">
        <f>0.98/2</f>
        <v>0.49</v>
      </c>
      <c r="J63" s="357">
        <v>0.4</v>
      </c>
      <c r="K63" s="357">
        <f>0.91/2</f>
        <v>0.45500000000000002</v>
      </c>
      <c r="L63" s="357">
        <f>1.11/2</f>
        <v>0.55500000000000005</v>
      </c>
      <c r="M63" s="357">
        <v>0.45500000000000002</v>
      </c>
      <c r="N63" s="357">
        <v>0.5</v>
      </c>
      <c r="O63" s="357">
        <v>0.56000000000000005</v>
      </c>
      <c r="P63" s="357">
        <v>0.66</v>
      </c>
      <c r="Q63" s="357">
        <v>0.745</v>
      </c>
      <c r="R63" s="357">
        <v>0.52</v>
      </c>
      <c r="S63" s="462">
        <v>0.51666666666666672</v>
      </c>
      <c r="T63" s="357">
        <f t="shared" ref="T63:T64" si="17">1.56/3</f>
        <v>0.52</v>
      </c>
      <c r="U63" s="357">
        <f>1.56/3</f>
        <v>0.52</v>
      </c>
      <c r="V63" s="462">
        <f t="shared" ref="V63:V64" si="18">1.5/3</f>
        <v>0.5</v>
      </c>
      <c r="W63" s="357"/>
      <c r="X63" s="357"/>
      <c r="Y63" s="357"/>
      <c r="Z63" s="357">
        <v>0.54</v>
      </c>
      <c r="AA63" s="357">
        <v>0.51</v>
      </c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1.1/2</f>
        <v>0.55000000000000004</v>
      </c>
      <c r="G64" s="357">
        <v>0</v>
      </c>
      <c r="H64" s="357"/>
      <c r="I64" s="359"/>
      <c r="J64" s="357"/>
      <c r="K64" s="357"/>
      <c r="L64" s="357"/>
      <c r="M64" s="357">
        <v>0.45500000000000002</v>
      </c>
      <c r="N64" s="357">
        <v>0.5</v>
      </c>
      <c r="O64" s="357">
        <v>0.56000000000000005</v>
      </c>
      <c r="P64" s="357">
        <v>0.66</v>
      </c>
      <c r="Q64" s="357">
        <v>0.745</v>
      </c>
      <c r="R64" s="357">
        <v>0.52</v>
      </c>
      <c r="S64" s="462">
        <v>0.51666666666666672</v>
      </c>
      <c r="T64" s="357">
        <f t="shared" si="17"/>
        <v>0.52</v>
      </c>
      <c r="U64" s="357">
        <f>1.56/3</f>
        <v>0.52</v>
      </c>
      <c r="V64" s="462">
        <f t="shared" si="18"/>
        <v>0.5</v>
      </c>
      <c r="W64" s="357">
        <f>1.43/2</f>
        <v>0.71499999999999997</v>
      </c>
      <c r="X64" s="357">
        <f>1.36/2</f>
        <v>0.68</v>
      </c>
      <c r="Y64" s="357">
        <v>0.74</v>
      </c>
      <c r="Z64" s="357">
        <v>0.54</v>
      </c>
      <c r="AA64" s="357">
        <v>0.51</v>
      </c>
      <c r="AB64" s="357">
        <f>1.37/2</f>
        <v>0.68500000000000005</v>
      </c>
      <c r="AC64" s="357">
        <f>1.24/2</f>
        <v>0.62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1.1000000000000001</v>
      </c>
      <c r="G65" s="19">
        <f t="shared" ref="G65:AB65" si="19">SUM(G62:G64)</f>
        <v>1.0150000000000001</v>
      </c>
      <c r="H65" s="19">
        <f t="shared" si="19"/>
        <v>0.99</v>
      </c>
      <c r="I65" s="19">
        <f t="shared" si="19"/>
        <v>0.98</v>
      </c>
      <c r="J65" s="19">
        <f t="shared" si="19"/>
        <v>0.8</v>
      </c>
      <c r="K65" s="19">
        <f t="shared" si="19"/>
        <v>0.91</v>
      </c>
      <c r="L65" s="19">
        <f t="shared" si="19"/>
        <v>1.1100000000000001</v>
      </c>
      <c r="M65" s="19">
        <f t="shared" si="19"/>
        <v>0.91</v>
      </c>
      <c r="N65" s="19">
        <f t="shared" si="19"/>
        <v>1</v>
      </c>
      <c r="O65" s="19">
        <f t="shared" si="19"/>
        <v>1.1200000000000001</v>
      </c>
      <c r="P65" s="19">
        <f t="shared" si="19"/>
        <v>1.32</v>
      </c>
      <c r="Q65" s="19">
        <f t="shared" si="19"/>
        <v>1.49</v>
      </c>
      <c r="R65" s="19">
        <f t="shared" si="19"/>
        <v>1.56</v>
      </c>
      <c r="S65" s="463">
        <f t="shared" si="19"/>
        <v>1.5500000000000003</v>
      </c>
      <c r="T65" s="463">
        <f t="shared" si="19"/>
        <v>1.56</v>
      </c>
      <c r="U65" s="463">
        <f t="shared" si="19"/>
        <v>1.56</v>
      </c>
      <c r="V65" s="19">
        <f>SUM(V62:V64)</f>
        <v>1.5</v>
      </c>
      <c r="W65" s="19">
        <f t="shared" si="19"/>
        <v>1.43</v>
      </c>
      <c r="X65" s="19">
        <f t="shared" si="19"/>
        <v>1.36</v>
      </c>
      <c r="Y65" s="19">
        <f>SUM(Y62:Y64)</f>
        <v>1.48</v>
      </c>
      <c r="Z65" s="19">
        <f>SUM(Z62:Z64)</f>
        <v>1.62</v>
      </c>
      <c r="AA65" s="19">
        <f t="shared" si="19"/>
        <v>1.53</v>
      </c>
      <c r="AB65" s="19">
        <f t="shared" si="19"/>
        <v>1.37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0">COUNTIF(F67:AC67,$AF$11)</f>
        <v>0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463">
        <f t="shared" si="24"/>
        <v>0</v>
      </c>
      <c r="T76" s="463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19.669999999999998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0.73</v>
      </c>
      <c r="N78" s="357">
        <v>0.7</v>
      </c>
      <c r="O78" s="357">
        <v>0.76</v>
      </c>
      <c r="P78" s="357">
        <v>0.82</v>
      </c>
      <c r="Q78" s="357">
        <v>0.85</v>
      </c>
      <c r="R78" s="357">
        <v>0.86</v>
      </c>
      <c r="S78" s="357">
        <v>0.88</v>
      </c>
      <c r="T78" s="357">
        <v>0.83</v>
      </c>
      <c r="U78" s="357">
        <v>0.86</v>
      </c>
      <c r="V78" s="357">
        <v>0.87</v>
      </c>
      <c r="W78" s="357">
        <v>0.85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0.77</v>
      </c>
      <c r="G79" s="357">
        <v>0.76</v>
      </c>
      <c r="H79" s="357">
        <v>0.73</v>
      </c>
      <c r="I79" s="357">
        <v>0.72</v>
      </c>
      <c r="J79" s="357">
        <v>0.7</v>
      </c>
      <c r="K79" s="357">
        <v>0.69</v>
      </c>
      <c r="L79" s="359">
        <v>0.79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0.93</v>
      </c>
      <c r="Z79" s="357">
        <v>0.99</v>
      </c>
      <c r="AA79" s="357">
        <v>0.94</v>
      </c>
      <c r="AB79" s="357">
        <v>0.9</v>
      </c>
      <c r="AC79" s="357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0.77</v>
      </c>
      <c r="G80" s="19">
        <f t="shared" ref="G80" si="26">SUM(G78:G79)</f>
        <v>0.76</v>
      </c>
      <c r="H80" s="19">
        <f>SUM(H78:H79)</f>
        <v>0.73</v>
      </c>
      <c r="I80" s="19">
        <f>SUM(I78:I79)</f>
        <v>0.72</v>
      </c>
      <c r="J80" s="19">
        <f t="shared" ref="J80:AC80" si="27">SUM(J78:J79)</f>
        <v>0.7</v>
      </c>
      <c r="K80" s="19">
        <f t="shared" si="27"/>
        <v>0.69</v>
      </c>
      <c r="L80" s="19">
        <f>SUM(L78:L79)</f>
        <v>0.79</v>
      </c>
      <c r="M80" s="19">
        <f t="shared" si="27"/>
        <v>0.73</v>
      </c>
      <c r="N80" s="19">
        <f t="shared" si="27"/>
        <v>0.7</v>
      </c>
      <c r="O80" s="19">
        <f>SUM(O78:O79)</f>
        <v>0.76</v>
      </c>
      <c r="P80" s="19">
        <f>SUM(P78:P79)</f>
        <v>0.82</v>
      </c>
      <c r="Q80" s="19">
        <f t="shared" si="27"/>
        <v>0.85</v>
      </c>
      <c r="R80" s="19">
        <f t="shared" si="27"/>
        <v>0.86</v>
      </c>
      <c r="S80" s="463">
        <f t="shared" si="27"/>
        <v>0.88</v>
      </c>
      <c r="T80" s="463">
        <f t="shared" si="27"/>
        <v>0.83</v>
      </c>
      <c r="U80" s="19">
        <f t="shared" si="27"/>
        <v>0.86</v>
      </c>
      <c r="V80" s="19">
        <f t="shared" si="27"/>
        <v>0.87</v>
      </c>
      <c r="W80" s="19">
        <f t="shared" si="27"/>
        <v>0.85</v>
      </c>
      <c r="X80" s="19">
        <f t="shared" si="27"/>
        <v>0.85</v>
      </c>
      <c r="Y80" s="19">
        <f t="shared" si="27"/>
        <v>0.93</v>
      </c>
      <c r="Z80" s="19">
        <f t="shared" si="27"/>
        <v>0.99</v>
      </c>
      <c r="AA80" s="19">
        <f t="shared" si="27"/>
        <v>0.94</v>
      </c>
      <c r="AB80" s="19">
        <f t="shared" si="27"/>
        <v>0.9</v>
      </c>
      <c r="AC80" s="19">
        <f t="shared" si="27"/>
        <v>0.89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8">SUM(F17,F22,F25,F31,F34,F60,F65,F76,F80,F82)</f>
        <v>40.440000000000005</v>
      </c>
      <c r="G83" s="28">
        <f>SUM(G17,G22,G25,G31,G34,G60,G65,G76,G80,G82)</f>
        <v>37.445</v>
      </c>
      <c r="H83" s="28">
        <f t="shared" si="28"/>
        <v>35.39</v>
      </c>
      <c r="I83" s="28">
        <f t="shared" si="28"/>
        <v>35.659999999999997</v>
      </c>
      <c r="J83" s="28">
        <f t="shared" si="28"/>
        <v>35.06</v>
      </c>
      <c r="K83" s="28">
        <f t="shared" si="28"/>
        <v>37.649999999999991</v>
      </c>
      <c r="L83" s="28">
        <f t="shared" si="28"/>
        <v>42.54</v>
      </c>
      <c r="M83" s="28">
        <f t="shared" si="28"/>
        <v>39.089999999999996</v>
      </c>
      <c r="N83" s="28">
        <f t="shared" si="28"/>
        <v>43.85</v>
      </c>
      <c r="O83" s="28">
        <f t="shared" si="28"/>
        <v>53.53</v>
      </c>
      <c r="P83" s="28">
        <f t="shared" si="28"/>
        <v>59.01</v>
      </c>
      <c r="Q83" s="28">
        <f t="shared" si="28"/>
        <v>59.77</v>
      </c>
      <c r="R83" s="28">
        <f t="shared" si="28"/>
        <v>59.489999999999995</v>
      </c>
      <c r="S83" s="518">
        <f t="shared" si="28"/>
        <v>62.019999999999996</v>
      </c>
      <c r="T83" s="518">
        <f t="shared" si="28"/>
        <v>62.43</v>
      </c>
      <c r="U83" s="518">
        <f t="shared" si="28"/>
        <v>61.8</v>
      </c>
      <c r="V83" s="28">
        <f t="shared" si="28"/>
        <v>60.629999999999995</v>
      </c>
      <c r="W83" s="28">
        <f t="shared" si="28"/>
        <v>58.77</v>
      </c>
      <c r="X83" s="28">
        <f t="shared" si="28"/>
        <v>57.160000000000004</v>
      </c>
      <c r="Y83" s="28">
        <f t="shared" si="28"/>
        <v>58.779999999999994</v>
      </c>
      <c r="Z83" s="28">
        <f t="shared" si="28"/>
        <v>59.46</v>
      </c>
      <c r="AA83" s="28">
        <f t="shared" si="28"/>
        <v>54.029999999999994</v>
      </c>
      <c r="AB83" s="28">
        <f t="shared" si="28"/>
        <v>50.129999999999995</v>
      </c>
      <c r="AC83" s="28">
        <f t="shared" si="28"/>
        <v>45.410000000000004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9">SUM(F22,F25)</f>
        <v>2.8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0</v>
      </c>
      <c r="O89" s="64">
        <f t="shared" si="29"/>
        <v>6.6</v>
      </c>
      <c r="P89" s="64">
        <f t="shared" si="29"/>
        <v>6.6</v>
      </c>
      <c r="Q89" s="64">
        <f t="shared" si="29"/>
        <v>6.6</v>
      </c>
      <c r="R89" s="64">
        <f t="shared" si="29"/>
        <v>6.6</v>
      </c>
      <c r="S89" s="64">
        <f t="shared" si="29"/>
        <v>6.6</v>
      </c>
      <c r="T89" s="64">
        <f t="shared" si="29"/>
        <v>6.6</v>
      </c>
      <c r="U89" s="64">
        <f t="shared" si="29"/>
        <v>6.6</v>
      </c>
      <c r="V89" s="64">
        <f t="shared" si="29"/>
        <v>6.6</v>
      </c>
      <c r="W89" s="64">
        <f t="shared" si="29"/>
        <v>6.6</v>
      </c>
      <c r="X89" s="64">
        <f t="shared" si="29"/>
        <v>6.6</v>
      </c>
      <c r="Y89" s="64">
        <f t="shared" si="29"/>
        <v>6.6</v>
      </c>
      <c r="Z89" s="64">
        <f t="shared" si="29"/>
        <v>6.6</v>
      </c>
      <c r="AA89" s="64">
        <f t="shared" si="29"/>
        <v>6.6</v>
      </c>
      <c r="AB89" s="64">
        <f t="shared" si="29"/>
        <v>6.6</v>
      </c>
      <c r="AC89" s="64">
        <f t="shared" si="29"/>
        <v>5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0.23699999999999999</v>
      </c>
      <c r="P90" s="68">
        <v>0.2</v>
      </c>
      <c r="Q90" s="68">
        <v>0.25</v>
      </c>
      <c r="R90" s="68">
        <v>0.221</v>
      </c>
      <c r="S90" s="68">
        <v>0.251</v>
      </c>
      <c r="T90" s="68">
        <v>0.25900000000000001</v>
      </c>
      <c r="U90" s="68">
        <v>0.22800000000000001</v>
      </c>
      <c r="V90" s="68">
        <v>0.219</v>
      </c>
      <c r="W90" s="68">
        <v>0.251</v>
      </c>
      <c r="X90" s="68">
        <v>0.184</v>
      </c>
      <c r="Y90" s="68">
        <v>0.27800000000000002</v>
      </c>
      <c r="Z90" s="68">
        <v>0.28299999999999997</v>
      </c>
      <c r="AA90" s="68">
        <v>0.23499999999999999</v>
      </c>
      <c r="AB90" s="68">
        <v>0.19700000000000001</v>
      </c>
      <c r="AC90" s="68">
        <v>0.11700000000000001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30">F17</f>
        <v>13</v>
      </c>
      <c r="G91" s="64">
        <f t="shared" si="30"/>
        <v>13.4</v>
      </c>
      <c r="H91" s="64">
        <f t="shared" si="30"/>
        <v>13.4</v>
      </c>
      <c r="I91" s="64">
        <f t="shared" si="30"/>
        <v>13.6</v>
      </c>
      <c r="J91" s="64">
        <f t="shared" si="30"/>
        <v>13.6</v>
      </c>
      <c r="K91" s="64">
        <f t="shared" si="30"/>
        <v>13.600000000000001</v>
      </c>
      <c r="L91" s="64">
        <f t="shared" si="30"/>
        <v>13.7</v>
      </c>
      <c r="M91" s="64">
        <f t="shared" si="30"/>
        <v>13.2</v>
      </c>
      <c r="N91" s="64">
        <f t="shared" si="30"/>
        <v>14</v>
      </c>
      <c r="O91" s="64">
        <f t="shared" si="30"/>
        <v>13.4</v>
      </c>
      <c r="P91" s="64">
        <f t="shared" si="30"/>
        <v>13.6</v>
      </c>
      <c r="Q91" s="64">
        <f t="shared" si="30"/>
        <v>13.600000000000001</v>
      </c>
      <c r="R91" s="64">
        <f t="shared" si="30"/>
        <v>13</v>
      </c>
      <c r="S91" s="64">
        <f t="shared" si="30"/>
        <v>13.8</v>
      </c>
      <c r="T91" s="64">
        <f t="shared" si="30"/>
        <v>13.4</v>
      </c>
      <c r="U91" s="64">
        <f t="shared" si="30"/>
        <v>13.6</v>
      </c>
      <c r="V91" s="64">
        <f t="shared" si="30"/>
        <v>13.2</v>
      </c>
      <c r="W91" s="64">
        <f t="shared" si="30"/>
        <v>13.2</v>
      </c>
      <c r="X91" s="64">
        <f t="shared" si="30"/>
        <v>13.2</v>
      </c>
      <c r="Y91" s="64">
        <f t="shared" si="30"/>
        <v>13.2</v>
      </c>
      <c r="Z91" s="64">
        <f t="shared" si="30"/>
        <v>13.4</v>
      </c>
      <c r="AA91" s="64">
        <f t="shared" si="30"/>
        <v>13.2</v>
      </c>
      <c r="AB91" s="64">
        <f t="shared" si="30"/>
        <v>6.7</v>
      </c>
      <c r="AC91" s="64">
        <f t="shared" si="30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0.51200000000000001</v>
      </c>
      <c r="G92" s="68">
        <v>0.625</v>
      </c>
      <c r="H92" s="68">
        <v>0.61299999999999999</v>
      </c>
      <c r="I92" s="68">
        <v>0.629</v>
      </c>
      <c r="J92" s="68">
        <v>0.69799999999999995</v>
      </c>
      <c r="K92" s="68">
        <v>0.73699999999999999</v>
      </c>
      <c r="L92" s="68">
        <v>0.85199999999999998</v>
      </c>
      <c r="M92" s="68">
        <v>0.73799999999999999</v>
      </c>
      <c r="N92" s="68">
        <v>0.57599999999999996</v>
      </c>
      <c r="O92" s="68">
        <v>0.88200000000000001</v>
      </c>
      <c r="P92" s="68">
        <v>0.26200000000000001</v>
      </c>
      <c r="Q92" s="68">
        <v>0.88700000000000001</v>
      </c>
      <c r="R92" s="68">
        <v>0.59199999999999997</v>
      </c>
      <c r="S92" s="68">
        <v>0.54100000000000004</v>
      </c>
      <c r="T92" s="68">
        <v>0.53700000000000003</v>
      </c>
      <c r="U92" s="68">
        <v>0.52600000000000002</v>
      </c>
      <c r="V92" s="68">
        <v>0.52600000000000002</v>
      </c>
      <c r="W92" s="68">
        <v>0.67600000000000005</v>
      </c>
      <c r="X92" s="68">
        <v>0.85099999999999998</v>
      </c>
      <c r="Y92" s="68">
        <v>0.621</v>
      </c>
      <c r="Z92" s="68">
        <v>0.58199999999999996</v>
      </c>
      <c r="AA92" s="68">
        <v>0.59199999999999997</v>
      </c>
      <c r="AB92" s="68">
        <v>0.48399999999999999</v>
      </c>
      <c r="AC92" s="68">
        <v>0.48799999999999999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1">F31</f>
        <v>8.5</v>
      </c>
      <c r="G93" s="65">
        <f t="shared" si="31"/>
        <v>8</v>
      </c>
      <c r="H93" s="65">
        <f t="shared" si="31"/>
        <v>6</v>
      </c>
      <c r="I93" s="65">
        <f t="shared" si="31"/>
        <v>6.1</v>
      </c>
      <c r="J93" s="65">
        <f t="shared" si="31"/>
        <v>5.7</v>
      </c>
      <c r="K93" s="65">
        <f t="shared" si="31"/>
        <v>7.4</v>
      </c>
      <c r="L93" s="65">
        <f t="shared" si="31"/>
        <v>11.18</v>
      </c>
      <c r="M93" s="65">
        <f t="shared" si="31"/>
        <v>10</v>
      </c>
      <c r="N93" s="65">
        <f t="shared" si="31"/>
        <v>10.8</v>
      </c>
      <c r="O93" s="65">
        <f t="shared" si="31"/>
        <v>14.5</v>
      </c>
      <c r="P93" s="65">
        <f t="shared" si="31"/>
        <v>17.8</v>
      </c>
      <c r="Q93" s="65">
        <f t="shared" si="31"/>
        <v>17.600000000000001</v>
      </c>
      <c r="R93" s="65">
        <f t="shared" si="31"/>
        <v>17.899999999999999</v>
      </c>
      <c r="S93" s="65">
        <f t="shared" si="31"/>
        <v>19.399999999999999</v>
      </c>
      <c r="T93" s="65">
        <f t="shared" si="31"/>
        <v>20.399999999999999</v>
      </c>
      <c r="U93" s="65">
        <f t="shared" si="31"/>
        <v>19.399999999999999</v>
      </c>
      <c r="V93" s="65">
        <f t="shared" si="31"/>
        <v>18.899999999999999</v>
      </c>
      <c r="W93" s="65">
        <f t="shared" si="31"/>
        <v>17.2</v>
      </c>
      <c r="X93" s="65">
        <f t="shared" si="31"/>
        <v>16.399999999999999</v>
      </c>
      <c r="Y93" s="65">
        <f t="shared" si="31"/>
        <v>17.899999999999999</v>
      </c>
      <c r="Z93" s="65">
        <f t="shared" si="31"/>
        <v>18.100000000000001</v>
      </c>
      <c r="AA93" s="65">
        <f t="shared" si="31"/>
        <v>13.6</v>
      </c>
      <c r="AB93" s="65">
        <f t="shared" si="31"/>
        <v>15.7</v>
      </c>
      <c r="AC93" s="65">
        <f t="shared" si="31"/>
        <v>10.61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0.17199999999999999</v>
      </c>
      <c r="G94" s="68">
        <v>0.182</v>
      </c>
      <c r="H94" s="68">
        <v>0.17399999999999999</v>
      </c>
      <c r="I94" s="68">
        <v>8.5999999999999993E-2</v>
      </c>
      <c r="J94" s="68">
        <v>8.6999999999999994E-2</v>
      </c>
      <c r="K94" s="68">
        <v>0.16600000000000001</v>
      </c>
      <c r="L94" s="68">
        <v>0.161</v>
      </c>
      <c r="M94" s="68">
        <v>0.218</v>
      </c>
      <c r="N94" s="68">
        <v>0.19</v>
      </c>
      <c r="O94" s="68">
        <v>0.18</v>
      </c>
      <c r="P94" s="68">
        <v>0.26200000000000001</v>
      </c>
      <c r="Q94" s="68">
        <v>0.255</v>
      </c>
      <c r="R94" s="68">
        <v>0.27500000000000002</v>
      </c>
      <c r="S94" s="68">
        <v>0.255</v>
      </c>
      <c r="T94" s="68">
        <v>0.245</v>
      </c>
      <c r="U94" s="68">
        <v>0.252</v>
      </c>
      <c r="V94" s="68">
        <v>0.255</v>
      </c>
      <c r="W94" s="68">
        <v>0.25900000000000001</v>
      </c>
      <c r="X94" s="68">
        <v>0.26700000000000002</v>
      </c>
      <c r="Y94" s="68">
        <v>0.307</v>
      </c>
      <c r="Z94" s="68">
        <v>0.26800000000000002</v>
      </c>
      <c r="AA94" s="68">
        <v>0.16600000000000001</v>
      </c>
      <c r="AB94" s="68">
        <v>0.191</v>
      </c>
      <c r="AC94" s="68">
        <v>0.186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0.224</v>
      </c>
      <c r="G95" s="68">
        <v>0.22059999999999999</v>
      </c>
      <c r="H95" s="68">
        <v>0.20899999999999999</v>
      </c>
      <c r="I95" s="68">
        <v>0.215</v>
      </c>
      <c r="J95" s="68">
        <v>0.215</v>
      </c>
      <c r="K95" s="68">
        <v>0.22800000000000001</v>
      </c>
      <c r="L95" s="68">
        <v>0.29380000000000001</v>
      </c>
      <c r="M95" s="68">
        <v>0.26529999999999998</v>
      </c>
      <c r="N95" s="68">
        <v>0.21129999999999999</v>
      </c>
      <c r="O95" s="68">
        <v>0.38679999999999998</v>
      </c>
      <c r="P95" s="68">
        <v>0.4</v>
      </c>
      <c r="Q95" s="68">
        <v>0.40699999999999997</v>
      </c>
      <c r="R95" s="68">
        <v>0.221</v>
      </c>
      <c r="S95" s="68">
        <v>0.38519999999999999</v>
      </c>
      <c r="T95" s="68">
        <v>0.36</v>
      </c>
      <c r="U95" s="68">
        <v>0.35549999999999998</v>
      </c>
      <c r="V95" s="68">
        <v>0.3679</v>
      </c>
      <c r="W95" s="68">
        <v>0.35589999999999999</v>
      </c>
      <c r="X95" s="68">
        <v>0.3589</v>
      </c>
      <c r="Y95" s="68">
        <v>0.36120000000000002</v>
      </c>
      <c r="Z95" s="68">
        <v>0.38</v>
      </c>
      <c r="AA95" s="68">
        <v>0.37080000000000002</v>
      </c>
      <c r="AB95" s="68">
        <v>0.37140000000000001</v>
      </c>
      <c r="AC95" s="68">
        <v>0.25559999999999999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2">F34</f>
        <v>14.27</v>
      </c>
      <c r="G96" s="65">
        <f t="shared" si="32"/>
        <v>14.27</v>
      </c>
      <c r="H96" s="65">
        <f t="shared" si="32"/>
        <v>14.27</v>
      </c>
      <c r="I96" s="65">
        <f t="shared" si="32"/>
        <v>14.26</v>
      </c>
      <c r="J96" s="65">
        <f t="shared" si="32"/>
        <v>14.26</v>
      </c>
      <c r="K96" s="65">
        <f t="shared" si="32"/>
        <v>14.25</v>
      </c>
      <c r="L96" s="65">
        <f t="shared" si="32"/>
        <v>14.26</v>
      </c>
      <c r="M96" s="65">
        <f t="shared" si="32"/>
        <v>14.25</v>
      </c>
      <c r="N96" s="65">
        <f t="shared" si="32"/>
        <v>14.25</v>
      </c>
      <c r="O96" s="65">
        <f t="shared" si="32"/>
        <v>14.23</v>
      </c>
      <c r="P96" s="65">
        <f t="shared" si="32"/>
        <v>14.27</v>
      </c>
      <c r="Q96" s="65">
        <f t="shared" si="32"/>
        <v>14.23</v>
      </c>
      <c r="R96" s="65">
        <f t="shared" si="32"/>
        <v>14.27</v>
      </c>
      <c r="S96" s="65">
        <f t="shared" si="32"/>
        <v>14.29</v>
      </c>
      <c r="T96" s="65">
        <f t="shared" si="32"/>
        <v>14.24</v>
      </c>
      <c r="U96" s="65">
        <f t="shared" si="32"/>
        <v>14.28</v>
      </c>
      <c r="V96" s="65">
        <f t="shared" si="32"/>
        <v>14.26</v>
      </c>
      <c r="W96" s="65">
        <f t="shared" si="32"/>
        <v>14.29</v>
      </c>
      <c r="X96" s="65">
        <f t="shared" si="32"/>
        <v>14.25</v>
      </c>
      <c r="Y96" s="65">
        <f t="shared" si="32"/>
        <v>14.27</v>
      </c>
      <c r="Z96" s="65">
        <f t="shared" si="32"/>
        <v>14.29</v>
      </c>
      <c r="AA96" s="65">
        <f t="shared" si="32"/>
        <v>14.26</v>
      </c>
      <c r="AB96" s="65">
        <f t="shared" si="32"/>
        <v>14.26</v>
      </c>
      <c r="AC96" s="65">
        <f t="shared" si="32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0.73</v>
      </c>
      <c r="G97" s="68">
        <v>0.73</v>
      </c>
      <c r="H97" s="68">
        <v>0.73</v>
      </c>
      <c r="I97" s="68">
        <v>0.74</v>
      </c>
      <c r="J97" s="68">
        <v>0.74</v>
      </c>
      <c r="K97" s="68">
        <v>0.75</v>
      </c>
      <c r="L97" s="68">
        <v>0.74</v>
      </c>
      <c r="M97" s="68">
        <v>0.75</v>
      </c>
      <c r="N97" s="68">
        <v>0.75</v>
      </c>
      <c r="O97" s="68">
        <v>0.77</v>
      </c>
      <c r="P97" s="68">
        <v>0.73</v>
      </c>
      <c r="Q97" s="68">
        <v>0.77</v>
      </c>
      <c r="R97" s="68">
        <v>0.73</v>
      </c>
      <c r="S97" s="68">
        <v>0.71</v>
      </c>
      <c r="T97" s="68">
        <v>0.76</v>
      </c>
      <c r="U97" s="68">
        <v>0.72</v>
      </c>
      <c r="V97" s="68">
        <v>0.74</v>
      </c>
      <c r="W97" s="68">
        <v>0.71</v>
      </c>
      <c r="X97" s="68">
        <v>0.75</v>
      </c>
      <c r="Y97" s="68">
        <v>0.73</v>
      </c>
      <c r="Z97" s="68">
        <v>0.71</v>
      </c>
      <c r="AA97" s="68">
        <v>0.74</v>
      </c>
      <c r="AB97" s="68">
        <v>0.74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3">F60</f>
        <v>0</v>
      </c>
      <c r="G98" s="64">
        <f t="shared" si="33"/>
        <v>0</v>
      </c>
      <c r="H98" s="64">
        <f t="shared" si="33"/>
        <v>0</v>
      </c>
      <c r="I98" s="64">
        <f t="shared" si="33"/>
        <v>0</v>
      </c>
      <c r="J98" s="64">
        <f t="shared" si="33"/>
        <v>0</v>
      </c>
      <c r="K98" s="64">
        <f t="shared" si="33"/>
        <v>0.8</v>
      </c>
      <c r="L98" s="64">
        <f t="shared" si="33"/>
        <v>1.5</v>
      </c>
      <c r="M98" s="64">
        <f t="shared" si="33"/>
        <v>0</v>
      </c>
      <c r="N98" s="64">
        <f t="shared" si="33"/>
        <v>3.1</v>
      </c>
      <c r="O98" s="64">
        <f t="shared" si="33"/>
        <v>2.92</v>
      </c>
      <c r="P98" s="64">
        <f t="shared" si="33"/>
        <v>4.5999999999999996</v>
      </c>
      <c r="Q98" s="64">
        <f t="shared" si="33"/>
        <v>5.4</v>
      </c>
      <c r="R98" s="64">
        <f t="shared" si="33"/>
        <v>5.3</v>
      </c>
      <c r="S98" s="64">
        <f t="shared" si="33"/>
        <v>5.5</v>
      </c>
      <c r="T98" s="64">
        <f t="shared" si="33"/>
        <v>5.4</v>
      </c>
      <c r="U98" s="64">
        <f t="shared" si="33"/>
        <v>5.5</v>
      </c>
      <c r="V98" s="64">
        <f t="shared" si="33"/>
        <v>5.3</v>
      </c>
      <c r="W98" s="64">
        <f t="shared" si="33"/>
        <v>5.2</v>
      </c>
      <c r="X98" s="64">
        <f t="shared" si="33"/>
        <v>4.5</v>
      </c>
      <c r="Y98" s="64">
        <f t="shared" si="33"/>
        <v>4.4000000000000004</v>
      </c>
      <c r="Z98" s="64">
        <f t="shared" si="33"/>
        <v>4.46</v>
      </c>
      <c r="AA98" s="64">
        <f t="shared" si="33"/>
        <v>3.9000000000000004</v>
      </c>
      <c r="AB98" s="64">
        <f t="shared" si="33"/>
        <v>4.5999999999999996</v>
      </c>
      <c r="AC98" s="64">
        <f t="shared" si="33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4">F65</f>
        <v>1.1000000000000001</v>
      </c>
      <c r="G99" s="64">
        <f t="shared" si="34"/>
        <v>1.0150000000000001</v>
      </c>
      <c r="H99" s="64">
        <f t="shared" si="34"/>
        <v>0.99</v>
      </c>
      <c r="I99" s="64">
        <f t="shared" si="34"/>
        <v>0.98</v>
      </c>
      <c r="J99" s="64">
        <f t="shared" si="34"/>
        <v>0.8</v>
      </c>
      <c r="K99" s="64">
        <f t="shared" si="34"/>
        <v>0.91</v>
      </c>
      <c r="L99" s="64">
        <f t="shared" si="34"/>
        <v>1.1100000000000001</v>
      </c>
      <c r="M99" s="64">
        <f t="shared" si="34"/>
        <v>0.91</v>
      </c>
      <c r="N99" s="64">
        <f t="shared" si="34"/>
        <v>1</v>
      </c>
      <c r="O99" s="64">
        <f t="shared" si="34"/>
        <v>1.1200000000000001</v>
      </c>
      <c r="P99" s="64">
        <f t="shared" si="34"/>
        <v>1.32</v>
      </c>
      <c r="Q99" s="64">
        <f t="shared" si="34"/>
        <v>1.49</v>
      </c>
      <c r="R99" s="64">
        <f t="shared" si="34"/>
        <v>1.56</v>
      </c>
      <c r="S99" s="64">
        <f t="shared" si="34"/>
        <v>1.5500000000000003</v>
      </c>
      <c r="T99" s="64">
        <f t="shared" si="34"/>
        <v>1.56</v>
      </c>
      <c r="U99" s="64">
        <f t="shared" si="34"/>
        <v>1.56</v>
      </c>
      <c r="V99" s="64">
        <f t="shared" si="34"/>
        <v>1.5</v>
      </c>
      <c r="W99" s="64">
        <f t="shared" si="34"/>
        <v>1.43</v>
      </c>
      <c r="X99" s="64">
        <f t="shared" si="34"/>
        <v>1.36</v>
      </c>
      <c r="Y99" s="64">
        <f t="shared" si="34"/>
        <v>1.48</v>
      </c>
      <c r="Z99" s="64">
        <f t="shared" si="34"/>
        <v>1.62</v>
      </c>
      <c r="AA99" s="64">
        <f t="shared" si="34"/>
        <v>1.53</v>
      </c>
      <c r="AB99" s="64">
        <f t="shared" si="34"/>
        <v>1.37</v>
      </c>
      <c r="AC99" s="64">
        <f t="shared" si="34"/>
        <v>1.24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5">F76</f>
        <v>0</v>
      </c>
      <c r="G100" s="64">
        <f t="shared" si="35"/>
        <v>0</v>
      </c>
      <c r="H100" s="64">
        <f t="shared" si="35"/>
        <v>0</v>
      </c>
      <c r="I100" s="64">
        <f t="shared" si="35"/>
        <v>0</v>
      </c>
      <c r="J100" s="64">
        <f t="shared" si="35"/>
        <v>0</v>
      </c>
      <c r="K100" s="64">
        <f t="shared" si="35"/>
        <v>0</v>
      </c>
      <c r="L100" s="64">
        <f t="shared" si="35"/>
        <v>0</v>
      </c>
      <c r="M100" s="64">
        <f t="shared" si="35"/>
        <v>0</v>
      </c>
      <c r="N100" s="64">
        <f t="shared" si="35"/>
        <v>0</v>
      </c>
      <c r="O100" s="64">
        <f t="shared" si="35"/>
        <v>0</v>
      </c>
      <c r="P100" s="64">
        <f t="shared" si="35"/>
        <v>0</v>
      </c>
      <c r="Q100" s="64">
        <f t="shared" si="35"/>
        <v>0</v>
      </c>
      <c r="R100" s="64">
        <f t="shared" si="35"/>
        <v>0</v>
      </c>
      <c r="S100" s="64">
        <f t="shared" si="35"/>
        <v>0</v>
      </c>
      <c r="T100" s="64">
        <f t="shared" si="35"/>
        <v>0</v>
      </c>
      <c r="U100" s="64">
        <f t="shared" si="35"/>
        <v>0</v>
      </c>
      <c r="V100" s="64">
        <f t="shared" si="35"/>
        <v>0</v>
      </c>
      <c r="W100" s="64">
        <f t="shared" si="35"/>
        <v>0</v>
      </c>
      <c r="X100" s="64">
        <f t="shared" si="35"/>
        <v>0</v>
      </c>
      <c r="Y100" s="64">
        <f t="shared" si="35"/>
        <v>0</v>
      </c>
      <c r="Z100" s="64">
        <f t="shared" si="35"/>
        <v>0</v>
      </c>
      <c r="AA100" s="64">
        <f t="shared" si="35"/>
        <v>0</v>
      </c>
      <c r="AB100" s="64">
        <f t="shared" si="35"/>
        <v>0</v>
      </c>
      <c r="AC100" s="64">
        <f t="shared" si="35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6">F80</f>
        <v>0.77</v>
      </c>
      <c r="G101" s="64">
        <f t="shared" si="36"/>
        <v>0.76</v>
      </c>
      <c r="H101" s="64">
        <f t="shared" si="36"/>
        <v>0.73</v>
      </c>
      <c r="I101" s="64">
        <f t="shared" si="36"/>
        <v>0.72</v>
      </c>
      <c r="J101" s="64">
        <f t="shared" si="36"/>
        <v>0.7</v>
      </c>
      <c r="K101" s="64">
        <f t="shared" si="36"/>
        <v>0.69</v>
      </c>
      <c r="L101" s="64">
        <f t="shared" si="36"/>
        <v>0.79</v>
      </c>
      <c r="M101" s="64">
        <f t="shared" si="36"/>
        <v>0.73</v>
      </c>
      <c r="N101" s="64">
        <f t="shared" si="36"/>
        <v>0.7</v>
      </c>
      <c r="O101" s="64">
        <f t="shared" si="36"/>
        <v>0.76</v>
      </c>
      <c r="P101" s="64">
        <f t="shared" si="36"/>
        <v>0.82</v>
      </c>
      <c r="Q101" s="64">
        <f t="shared" si="36"/>
        <v>0.85</v>
      </c>
      <c r="R101" s="64">
        <f t="shared" si="36"/>
        <v>0.86</v>
      </c>
      <c r="S101" s="64">
        <f t="shared" si="36"/>
        <v>0.88</v>
      </c>
      <c r="T101" s="64">
        <f t="shared" si="36"/>
        <v>0.83</v>
      </c>
      <c r="U101" s="64">
        <f t="shared" si="36"/>
        <v>0.86</v>
      </c>
      <c r="V101" s="64">
        <f t="shared" si="36"/>
        <v>0.87</v>
      </c>
      <c r="W101" s="64">
        <f t="shared" si="36"/>
        <v>0.85</v>
      </c>
      <c r="X101" s="64">
        <f t="shared" si="36"/>
        <v>0.85</v>
      </c>
      <c r="Y101" s="64">
        <f t="shared" si="36"/>
        <v>0.93</v>
      </c>
      <c r="Z101" s="64">
        <f t="shared" si="36"/>
        <v>0.99</v>
      </c>
      <c r="AA101" s="64">
        <f t="shared" si="36"/>
        <v>0.94</v>
      </c>
      <c r="AB101" s="64">
        <f t="shared" si="36"/>
        <v>0.9</v>
      </c>
      <c r="AC101" s="64">
        <f t="shared" si="36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7">F82</f>
        <v>0</v>
      </c>
      <c r="G102" s="64">
        <f t="shared" si="37"/>
        <v>0</v>
      </c>
      <c r="H102" s="64">
        <f t="shared" si="37"/>
        <v>0</v>
      </c>
      <c r="I102" s="64">
        <f t="shared" si="37"/>
        <v>0</v>
      </c>
      <c r="J102" s="64">
        <f t="shared" si="37"/>
        <v>0</v>
      </c>
      <c r="K102" s="64">
        <f t="shared" si="37"/>
        <v>0</v>
      </c>
      <c r="L102" s="64">
        <f t="shared" si="37"/>
        <v>0</v>
      </c>
      <c r="M102" s="64">
        <f t="shared" si="37"/>
        <v>0</v>
      </c>
      <c r="N102" s="64">
        <f t="shared" si="37"/>
        <v>0</v>
      </c>
      <c r="O102" s="64">
        <f t="shared" si="37"/>
        <v>0</v>
      </c>
      <c r="P102" s="64">
        <f t="shared" si="37"/>
        <v>0</v>
      </c>
      <c r="Q102" s="64">
        <f t="shared" si="37"/>
        <v>0</v>
      </c>
      <c r="R102" s="64">
        <f t="shared" si="37"/>
        <v>0</v>
      </c>
      <c r="S102" s="64">
        <f t="shared" si="37"/>
        <v>0</v>
      </c>
      <c r="T102" s="64">
        <f t="shared" si="37"/>
        <v>0</v>
      </c>
      <c r="U102" s="64">
        <f t="shared" si="37"/>
        <v>0</v>
      </c>
      <c r="V102" s="64">
        <f t="shared" si="37"/>
        <v>0</v>
      </c>
      <c r="W102" s="64">
        <f t="shared" si="37"/>
        <v>0</v>
      </c>
      <c r="X102" s="64">
        <f t="shared" si="37"/>
        <v>0</v>
      </c>
      <c r="Y102" s="64">
        <f t="shared" si="37"/>
        <v>0</v>
      </c>
      <c r="Z102" s="64">
        <f t="shared" si="37"/>
        <v>0</v>
      </c>
      <c r="AA102" s="64">
        <f t="shared" si="37"/>
        <v>0</v>
      </c>
      <c r="AB102" s="64">
        <f t="shared" si="37"/>
        <v>0</v>
      </c>
      <c r="AC102" s="64">
        <f t="shared" si="37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8">SUM(F89,F91,F93,F96,F98:F102,F81)</f>
        <v>40.440000000000005</v>
      </c>
      <c r="G103" s="61">
        <f t="shared" si="38"/>
        <v>37.445</v>
      </c>
      <c r="H103" s="61">
        <f t="shared" si="38"/>
        <v>35.39</v>
      </c>
      <c r="I103" s="61">
        <f t="shared" si="38"/>
        <v>35.659999999999997</v>
      </c>
      <c r="J103" s="61">
        <f t="shared" si="38"/>
        <v>35.06</v>
      </c>
      <c r="K103" s="61">
        <f t="shared" si="38"/>
        <v>37.649999999999991</v>
      </c>
      <c r="L103" s="61">
        <f t="shared" si="38"/>
        <v>42.54</v>
      </c>
      <c r="M103" s="61">
        <f t="shared" si="38"/>
        <v>39.089999999999996</v>
      </c>
      <c r="N103" s="61">
        <f t="shared" si="38"/>
        <v>43.85</v>
      </c>
      <c r="O103" s="61">
        <f t="shared" si="38"/>
        <v>53.53</v>
      </c>
      <c r="P103" s="61">
        <f t="shared" si="38"/>
        <v>59.01</v>
      </c>
      <c r="Q103" s="61">
        <f t="shared" si="38"/>
        <v>59.77</v>
      </c>
      <c r="R103" s="61">
        <f t="shared" si="38"/>
        <v>59.489999999999995</v>
      </c>
      <c r="S103" s="61">
        <f t="shared" si="38"/>
        <v>62.019999999999996</v>
      </c>
      <c r="T103" s="61">
        <f t="shared" si="38"/>
        <v>62.43</v>
      </c>
      <c r="U103" s="61">
        <f t="shared" si="38"/>
        <v>61.8</v>
      </c>
      <c r="V103" s="61">
        <f t="shared" si="38"/>
        <v>60.629999999999988</v>
      </c>
      <c r="W103" s="61">
        <f t="shared" si="38"/>
        <v>58.77</v>
      </c>
      <c r="X103" s="61">
        <f t="shared" si="38"/>
        <v>57.16</v>
      </c>
      <c r="Y103" s="61">
        <f t="shared" si="38"/>
        <v>58.779999999999994</v>
      </c>
      <c r="Z103" s="61">
        <f t="shared" si="38"/>
        <v>59.46</v>
      </c>
      <c r="AA103" s="61">
        <f t="shared" si="38"/>
        <v>54.029999999999994</v>
      </c>
      <c r="AB103" s="61">
        <f t="shared" si="38"/>
        <v>50.129999999999995</v>
      </c>
      <c r="AC103" s="61">
        <f t="shared" si="38"/>
        <v>45.410000000000004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>
        <v>2</v>
      </c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9">SUM(F104:F106)</f>
        <v>0</v>
      </c>
      <c r="G107" s="61">
        <f t="shared" si="39"/>
        <v>0</v>
      </c>
      <c r="H107" s="61">
        <f t="shared" si="39"/>
        <v>0</v>
      </c>
      <c r="I107" s="61">
        <f t="shared" si="39"/>
        <v>0</v>
      </c>
      <c r="J107" s="61">
        <f t="shared" si="39"/>
        <v>0</v>
      </c>
      <c r="K107" s="61">
        <f t="shared" si="39"/>
        <v>0</v>
      </c>
      <c r="L107" s="61">
        <f t="shared" si="39"/>
        <v>0</v>
      </c>
      <c r="M107" s="61">
        <f t="shared" si="39"/>
        <v>0</v>
      </c>
      <c r="N107" s="61">
        <f t="shared" si="39"/>
        <v>0</v>
      </c>
      <c r="O107" s="61">
        <f t="shared" si="39"/>
        <v>0</v>
      </c>
      <c r="P107" s="61">
        <f t="shared" si="39"/>
        <v>0</v>
      </c>
      <c r="Q107" s="61">
        <f t="shared" si="39"/>
        <v>0</v>
      </c>
      <c r="R107" s="61">
        <f t="shared" si="39"/>
        <v>0</v>
      </c>
      <c r="S107" s="61">
        <f t="shared" si="39"/>
        <v>0</v>
      </c>
      <c r="T107" s="61">
        <f t="shared" si="39"/>
        <v>0</v>
      </c>
      <c r="U107" s="61">
        <f t="shared" si="39"/>
        <v>0</v>
      </c>
      <c r="V107" s="61">
        <f t="shared" si="39"/>
        <v>0</v>
      </c>
      <c r="W107" s="61">
        <f t="shared" si="39"/>
        <v>0</v>
      </c>
      <c r="X107" s="61">
        <f t="shared" si="39"/>
        <v>0</v>
      </c>
      <c r="Y107" s="61">
        <f t="shared" si="39"/>
        <v>2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40">F103+F107</f>
        <v>40.440000000000005</v>
      </c>
      <c r="G108" s="62">
        <f t="shared" si="40"/>
        <v>37.445</v>
      </c>
      <c r="H108" s="62">
        <f t="shared" si="40"/>
        <v>35.39</v>
      </c>
      <c r="I108" s="62">
        <f t="shared" si="40"/>
        <v>35.659999999999997</v>
      </c>
      <c r="J108" s="62">
        <f t="shared" si="40"/>
        <v>35.06</v>
      </c>
      <c r="K108" s="62">
        <f t="shared" si="40"/>
        <v>37.649999999999991</v>
      </c>
      <c r="L108" s="62">
        <f t="shared" si="40"/>
        <v>42.54</v>
      </c>
      <c r="M108" s="62">
        <f t="shared" si="40"/>
        <v>39.089999999999996</v>
      </c>
      <c r="N108" s="62">
        <f>N103+N107</f>
        <v>43.85</v>
      </c>
      <c r="O108" s="62">
        <f t="shared" si="40"/>
        <v>53.53</v>
      </c>
      <c r="P108" s="62">
        <f>P103+P107</f>
        <v>59.01</v>
      </c>
      <c r="Q108" s="62">
        <f t="shared" si="40"/>
        <v>59.77</v>
      </c>
      <c r="R108" s="62">
        <f t="shared" si="40"/>
        <v>59.489999999999995</v>
      </c>
      <c r="S108" s="62">
        <f t="shared" si="40"/>
        <v>62.019999999999996</v>
      </c>
      <c r="T108" s="62">
        <f>T103+T107</f>
        <v>62.43</v>
      </c>
      <c r="U108" s="62">
        <f t="shared" si="40"/>
        <v>61.8</v>
      </c>
      <c r="V108" s="62">
        <f t="shared" si="40"/>
        <v>60.629999999999988</v>
      </c>
      <c r="W108" s="62">
        <f>W103+W107</f>
        <v>58.77</v>
      </c>
      <c r="X108" s="62">
        <f t="shared" si="40"/>
        <v>57.16</v>
      </c>
      <c r="Y108" s="62">
        <f t="shared" si="40"/>
        <v>60.779999999999994</v>
      </c>
      <c r="Z108" s="62">
        <f t="shared" si="40"/>
        <v>59.46</v>
      </c>
      <c r="AA108" s="62">
        <f t="shared" si="40"/>
        <v>54.029999999999994</v>
      </c>
      <c r="AB108" s="62">
        <f t="shared" si="40"/>
        <v>50.129999999999995</v>
      </c>
      <c r="AC108" s="62">
        <f t="shared" si="40"/>
        <v>45.410000000000004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1">(COUNT(F13:F16))*7.2+(COUNT(F27:F28)*4.9)+(COUNT(F19:F21)*4.5)-F91-F93</f>
        <v>2.3000000000000007</v>
      </c>
      <c r="G109" s="63">
        <f t="shared" si="41"/>
        <v>-2.0999999999999996</v>
      </c>
      <c r="H109" s="63">
        <f t="shared" si="41"/>
        <v>-9.9999999999999645E-2</v>
      </c>
      <c r="I109" s="63">
        <f t="shared" si="41"/>
        <v>-0.39999999999999858</v>
      </c>
      <c r="J109" s="63">
        <f t="shared" si="41"/>
        <v>0</v>
      </c>
      <c r="K109" s="63">
        <f t="shared" si="41"/>
        <v>-1.7000000000000011</v>
      </c>
      <c r="L109" s="63">
        <f t="shared" si="41"/>
        <v>1.620000000000001</v>
      </c>
      <c r="M109" s="63">
        <f t="shared" si="41"/>
        <v>-3.8999999999999986</v>
      </c>
      <c r="N109" s="63">
        <f t="shared" si="41"/>
        <v>-5.5</v>
      </c>
      <c r="O109" s="63">
        <f t="shared" si="41"/>
        <v>-4.0999999999999996</v>
      </c>
      <c r="P109" s="63">
        <f t="shared" si="41"/>
        <v>-7.6</v>
      </c>
      <c r="Q109" s="63">
        <f t="shared" si="41"/>
        <v>4.7000000000000028</v>
      </c>
      <c r="R109" s="63">
        <f t="shared" si="41"/>
        <v>-2.1999999999999957</v>
      </c>
      <c r="S109" s="63">
        <f t="shared" si="41"/>
        <v>-4.4999999999999964</v>
      </c>
      <c r="T109" s="63">
        <f t="shared" si="41"/>
        <v>-5.0999999999999961</v>
      </c>
      <c r="U109" s="63">
        <f t="shared" si="41"/>
        <v>-4.2999999999999954</v>
      </c>
      <c r="V109" s="63">
        <f t="shared" si="41"/>
        <v>-3.399999999999995</v>
      </c>
      <c r="W109" s="63">
        <f t="shared" si="41"/>
        <v>-1.6999999999999957</v>
      </c>
      <c r="X109" s="63">
        <f t="shared" si="41"/>
        <v>-0.89999999999999503</v>
      </c>
      <c r="Y109" s="63">
        <f t="shared" si="41"/>
        <v>-2.399999999999995</v>
      </c>
      <c r="Z109" s="63">
        <f t="shared" si="41"/>
        <v>-2.7999999999999989</v>
      </c>
      <c r="AA109" s="63">
        <f t="shared" si="41"/>
        <v>-2.9999999999999982</v>
      </c>
      <c r="AB109" s="63">
        <f t="shared" si="41"/>
        <v>-5.7999999999999972</v>
      </c>
      <c r="AC109" s="63">
        <f t="shared" si="41"/>
        <v>-0.20999999999999908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-1.8999999999999995</v>
      </c>
      <c r="G110" s="205">
        <f t="shared" si="42"/>
        <v>-3.5</v>
      </c>
      <c r="H110" s="205">
        <f t="shared" si="42"/>
        <v>-1.5</v>
      </c>
      <c r="I110" s="205">
        <f t="shared" si="42"/>
        <v>-5.2999999999999989</v>
      </c>
      <c r="J110" s="205">
        <f t="shared" si="42"/>
        <v>-4.8999999999999995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-6.6000000000000014</v>
      </c>
      <c r="L110" s="205">
        <f t="shared" si="42"/>
        <v>1.6200000000000028</v>
      </c>
      <c r="M110" s="205">
        <f t="shared" si="42"/>
        <v>-3.8999999999999986</v>
      </c>
      <c r="N110" s="205">
        <f t="shared" si="42"/>
        <v>-5.5</v>
      </c>
      <c r="O110" s="205">
        <f t="shared" si="42"/>
        <v>-7.1999999999999993</v>
      </c>
      <c r="P110" s="205">
        <f t="shared" si="42"/>
        <v>-10.7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1.5999999999999996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-6.0999999999999979</v>
      </c>
      <c r="S110" s="205">
        <f t="shared" si="43"/>
        <v>-8.3999999999999986</v>
      </c>
      <c r="T110" s="205">
        <f t="shared" si="43"/>
        <v>-9</v>
      </c>
      <c r="U110" s="205">
        <f t="shared" si="43"/>
        <v>-8.1999999999999993</v>
      </c>
      <c r="V110" s="205">
        <f t="shared" si="43"/>
        <v>-7.2999999999999972</v>
      </c>
      <c r="W110" s="205">
        <f t="shared" si="43"/>
        <v>-5.5999999999999979</v>
      </c>
      <c r="X110" s="205">
        <f t="shared" si="43"/>
        <v>-4.7999999999999972</v>
      </c>
      <c r="Y110" s="205">
        <f t="shared" si="43"/>
        <v>-6.2999999999999972</v>
      </c>
      <c r="Z110" s="205">
        <f t="shared" si="43"/>
        <v>-6.7000000000000011</v>
      </c>
      <c r="AA110" s="205">
        <f t="shared" si="43"/>
        <v>-6.4999999999999982</v>
      </c>
      <c r="AB110" s="205">
        <f t="shared" si="43"/>
        <v>-9.3000000000000007</v>
      </c>
      <c r="AC110" s="205">
        <f t="shared" si="43"/>
        <v>-2.1099999999999994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60.24</v>
      </c>
      <c r="G111" s="456">
        <v>60.17</v>
      </c>
      <c r="H111" s="456">
        <v>60.19</v>
      </c>
      <c r="I111" s="456">
        <v>60.05</v>
      </c>
      <c r="J111" s="456">
        <v>60.1</v>
      </c>
      <c r="K111" s="456">
        <v>60.1</v>
      </c>
      <c r="L111" s="456">
        <v>60.05</v>
      </c>
      <c r="M111" s="456">
        <v>60.15</v>
      </c>
      <c r="N111" s="456">
        <v>60.06</v>
      </c>
      <c r="O111" s="456">
        <v>60.22</v>
      </c>
      <c r="P111" s="457">
        <v>60.08</v>
      </c>
      <c r="Q111" s="457">
        <v>60.23</v>
      </c>
      <c r="R111" s="457">
        <v>60.15</v>
      </c>
      <c r="S111" s="457">
        <v>60.12</v>
      </c>
      <c r="T111" s="457">
        <v>60.23</v>
      </c>
      <c r="U111" s="456">
        <v>60.16</v>
      </c>
      <c r="V111" s="456">
        <v>60.16</v>
      </c>
      <c r="W111" s="456">
        <v>60.2</v>
      </c>
      <c r="X111" s="456">
        <v>60.2</v>
      </c>
      <c r="Y111" s="456">
        <v>60.15</v>
      </c>
      <c r="Z111" s="456">
        <v>60.19</v>
      </c>
      <c r="AA111" s="456">
        <v>60.15</v>
      </c>
      <c r="AB111" s="456">
        <v>60.15</v>
      </c>
      <c r="AC111" s="456">
        <v>60.09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 t="s">
        <v>113</v>
      </c>
      <c r="G115" s="520"/>
      <c r="H115" s="520"/>
      <c r="I115" s="520"/>
      <c r="J115" s="520"/>
      <c r="K115" s="520"/>
      <c r="L115" s="520" t="s">
        <v>113</v>
      </c>
      <c r="M115" s="520" t="s">
        <v>113</v>
      </c>
      <c r="N115" s="520" t="s">
        <v>113</v>
      </c>
      <c r="O115" s="520" t="s">
        <v>113</v>
      </c>
      <c r="P115" s="520" t="s">
        <v>113</v>
      </c>
      <c r="Q115" s="520" t="s">
        <v>113</v>
      </c>
      <c r="R115" s="520" t="s">
        <v>113</v>
      </c>
      <c r="S115" s="520" t="s">
        <v>113</v>
      </c>
      <c r="T115" s="520" t="s">
        <v>114</v>
      </c>
      <c r="U115" s="520" t="s">
        <v>114</v>
      </c>
      <c r="V115" s="520" t="s">
        <v>114</v>
      </c>
      <c r="W115" s="520" t="s">
        <v>114</v>
      </c>
      <c r="X115" s="520" t="s">
        <v>114</v>
      </c>
      <c r="Y115" s="520" t="s">
        <v>113</v>
      </c>
      <c r="Z115" s="520" t="s">
        <v>113</v>
      </c>
      <c r="AA115" s="520" t="s">
        <v>113</v>
      </c>
      <c r="AB115" s="520" t="s">
        <v>113</v>
      </c>
      <c r="AC115" s="520" t="s">
        <v>113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1:AC111">
    <cfRule type="cellIs" dxfId="11594" priority="738" operator="greaterThan">
      <formula>60.3</formula>
    </cfRule>
  </conditionalFormatting>
  <conditionalFormatting sqref="F111">
    <cfRule type="cellIs" dxfId="11593" priority="737" operator="greaterThan">
      <formula>60.3</formula>
    </cfRule>
  </conditionalFormatting>
  <conditionalFormatting sqref="H13:J13 N13:O13 D42:E42 N36:AC39 N57:AC59 O14:O16 L51:M55 L36:L50 P40:AC40 N41:AC46 M50:O50 H36:J59 L56:L59 I15:N15 I16:L16 N16 L13:L14 O52:AA55 P62:AC62 H14:K14 S64 H62:L64 P63:S63 P56:AA56 P47:AC51 AB52:AC56 P13:AC16 T63:AC64">
    <cfRule type="cellIs" dxfId="11592" priority="729" operator="equal">
      <formula>"PMS"</formula>
    </cfRule>
    <cfRule type="containsText" dxfId="11591" priority="730" operator="containsText" text="CMS">
      <formula>NOT(ISERROR(SEARCH("CMS",D13)))</formula>
    </cfRule>
    <cfRule type="cellIs" dxfId="11590" priority="731" operator="equal">
      <formula>0</formula>
    </cfRule>
    <cfRule type="cellIs" dxfId="11589" priority="732" operator="greaterThan">
      <formula>0</formula>
    </cfRule>
    <cfRule type="cellIs" dxfId="11588" priority="733" operator="equal">
      <formula>"PMS"</formula>
    </cfRule>
    <cfRule type="containsText" dxfId="11587" priority="734" operator="containsText" text="CMS">
      <formula>NOT(ISERROR(SEARCH("CMS",D13)))</formula>
    </cfRule>
    <cfRule type="cellIs" dxfId="11586" priority="735" operator="equal">
      <formula>0</formula>
    </cfRule>
    <cfRule type="cellIs" dxfId="11585" priority="736" operator="greaterThan">
      <formula>0</formula>
    </cfRule>
  </conditionalFormatting>
  <conditionalFormatting sqref="H13:J13 N13:O13 D42:E42 N36:AC39 N57:AC59 O14:O16 L51:M55 L36:L50 P40:AC40 N41:AC46 M50:O50 H36:J59 L56:L59 I15:N15 I16:L16 N16 L13:L14 O52:AA55 P62:AC62 H14:K14 S64 H62:L64 P63:S63 P56:AA56 P47:AC51 AB52:AC56 P13:AC16 T63:AC64">
    <cfRule type="cellIs" dxfId="11584" priority="725" operator="equal">
      <formula>"PMS"</formula>
    </cfRule>
    <cfRule type="containsText" dxfId="11583" priority="726" operator="containsText" text="CMS">
      <formula>NOT(ISERROR(SEARCH("CMS",D13)))</formula>
    </cfRule>
    <cfRule type="cellIs" dxfId="11582" priority="727" operator="equal">
      <formula>0</formula>
    </cfRule>
    <cfRule type="cellIs" dxfId="11581" priority="728" operator="greaterThan">
      <formula>0</formula>
    </cfRule>
  </conditionalFormatting>
  <conditionalFormatting sqref="G67:AC75">
    <cfRule type="cellIs" dxfId="11580" priority="717" operator="equal">
      <formula>"PMS"</formula>
    </cfRule>
    <cfRule type="containsText" dxfId="11579" priority="718" operator="containsText" text="CMS">
      <formula>NOT(ISERROR(SEARCH("CMS",G67)))</formula>
    </cfRule>
    <cfRule type="cellIs" dxfId="11578" priority="719" operator="equal">
      <formula>0</formula>
    </cfRule>
    <cfRule type="cellIs" dxfId="11577" priority="720" operator="greaterThan">
      <formula>0</formula>
    </cfRule>
    <cfRule type="cellIs" dxfId="11576" priority="721" operator="equal">
      <formula>"PMS"</formula>
    </cfRule>
    <cfRule type="containsText" dxfId="11575" priority="722" operator="containsText" text="CMS">
      <formula>NOT(ISERROR(SEARCH("CMS",G67)))</formula>
    </cfRule>
    <cfRule type="cellIs" dxfId="11574" priority="723" operator="equal">
      <formula>0</formula>
    </cfRule>
    <cfRule type="cellIs" dxfId="11573" priority="724" operator="greaterThan">
      <formula>0</formula>
    </cfRule>
  </conditionalFormatting>
  <conditionalFormatting sqref="G67:AC75">
    <cfRule type="cellIs" dxfId="11572" priority="713" operator="equal">
      <formula>"PMS"</formula>
    </cfRule>
    <cfRule type="containsText" dxfId="11571" priority="714" operator="containsText" text="CMS">
      <formula>NOT(ISERROR(SEARCH("CMS",G67)))</formula>
    </cfRule>
    <cfRule type="cellIs" dxfId="11570" priority="715" operator="equal">
      <formula>0</formula>
    </cfRule>
    <cfRule type="cellIs" dxfId="11569" priority="716" operator="greaterThan">
      <formula>0</formula>
    </cfRule>
  </conditionalFormatting>
  <conditionalFormatting sqref="G82:AC82">
    <cfRule type="cellIs" dxfId="11568" priority="705" operator="equal">
      <formula>"PMS"</formula>
    </cfRule>
    <cfRule type="containsText" dxfId="11567" priority="706" operator="containsText" text="CMS">
      <formula>NOT(ISERROR(SEARCH("CMS",G82)))</formula>
    </cfRule>
    <cfRule type="cellIs" dxfId="11566" priority="707" operator="equal">
      <formula>0</formula>
    </cfRule>
    <cfRule type="cellIs" dxfId="11565" priority="708" operator="greaterThan">
      <formula>0</formula>
    </cfRule>
    <cfRule type="cellIs" dxfId="11564" priority="709" operator="equal">
      <formula>"PMS"</formula>
    </cfRule>
    <cfRule type="containsText" dxfId="11563" priority="710" operator="containsText" text="CMS">
      <formula>NOT(ISERROR(SEARCH("CMS",G82)))</formula>
    </cfRule>
    <cfRule type="cellIs" dxfId="11562" priority="711" operator="equal">
      <formula>0</formula>
    </cfRule>
    <cfRule type="cellIs" dxfId="11561" priority="712" operator="greaterThan">
      <formula>0</formula>
    </cfRule>
  </conditionalFormatting>
  <conditionalFormatting sqref="G82:AC82">
    <cfRule type="cellIs" dxfId="11560" priority="701" operator="equal">
      <formula>"PMS"</formula>
    </cfRule>
    <cfRule type="containsText" dxfId="11559" priority="702" operator="containsText" text="CMS">
      <formula>NOT(ISERROR(SEARCH("CMS",G82)))</formula>
    </cfRule>
    <cfRule type="cellIs" dxfId="11558" priority="703" operator="equal">
      <formula>0</formula>
    </cfRule>
    <cfRule type="cellIs" dxfId="11557" priority="704" operator="greaterThan">
      <formula>0</formula>
    </cfRule>
  </conditionalFormatting>
  <conditionalFormatting sqref="G13">
    <cfRule type="cellIs" dxfId="11556" priority="693" operator="equal">
      <formula>"PMS"</formula>
    </cfRule>
    <cfRule type="containsText" dxfId="11555" priority="694" operator="containsText" text="CMS">
      <formula>NOT(ISERROR(SEARCH("CMS",G13)))</formula>
    </cfRule>
    <cfRule type="cellIs" dxfId="11554" priority="695" operator="equal">
      <formula>0</formula>
    </cfRule>
    <cfRule type="cellIs" dxfId="11553" priority="696" operator="greaterThan">
      <formula>0</formula>
    </cfRule>
    <cfRule type="cellIs" dxfId="11552" priority="697" operator="equal">
      <formula>"PMS"</formula>
    </cfRule>
    <cfRule type="containsText" dxfId="11551" priority="698" operator="containsText" text="CMS">
      <formula>NOT(ISERROR(SEARCH("CMS",G13)))</formula>
    </cfRule>
    <cfRule type="cellIs" dxfId="11550" priority="699" operator="equal">
      <formula>0</formula>
    </cfRule>
    <cfRule type="cellIs" dxfId="11549" priority="700" operator="greaterThan">
      <formula>0</formula>
    </cfRule>
  </conditionalFormatting>
  <conditionalFormatting sqref="G13">
    <cfRule type="cellIs" dxfId="11548" priority="689" operator="equal">
      <formula>"PMS"</formula>
    </cfRule>
    <cfRule type="containsText" dxfId="11547" priority="690" operator="containsText" text="CMS">
      <formula>NOT(ISERROR(SEARCH("CMS",G13)))</formula>
    </cfRule>
    <cfRule type="cellIs" dxfId="11546" priority="691" operator="equal">
      <formula>0</formula>
    </cfRule>
    <cfRule type="cellIs" dxfId="11545" priority="692" operator="greaterThan">
      <formula>0</formula>
    </cfRule>
  </conditionalFormatting>
  <conditionalFormatting sqref="M13">
    <cfRule type="cellIs" dxfId="11544" priority="681" operator="equal">
      <formula>"PMS"</formula>
    </cfRule>
    <cfRule type="containsText" dxfId="11543" priority="682" operator="containsText" text="CMS">
      <formula>NOT(ISERROR(SEARCH("CMS",M13)))</formula>
    </cfRule>
    <cfRule type="cellIs" dxfId="11542" priority="683" operator="equal">
      <formula>0</formula>
    </cfRule>
    <cfRule type="cellIs" dxfId="11541" priority="684" operator="greaterThan">
      <formula>0</formula>
    </cfRule>
    <cfRule type="cellIs" dxfId="11540" priority="685" operator="equal">
      <formula>"PMS"</formula>
    </cfRule>
    <cfRule type="containsText" dxfId="11539" priority="686" operator="containsText" text="CMS">
      <formula>NOT(ISERROR(SEARCH("CMS",M13)))</formula>
    </cfRule>
    <cfRule type="cellIs" dxfId="11538" priority="687" operator="equal">
      <formula>0</formula>
    </cfRule>
    <cfRule type="cellIs" dxfId="11537" priority="688" operator="greaterThan">
      <formula>0</formula>
    </cfRule>
  </conditionalFormatting>
  <conditionalFormatting sqref="M13">
    <cfRule type="cellIs" dxfId="11536" priority="677" operator="equal">
      <formula>"PMS"</formula>
    </cfRule>
    <cfRule type="containsText" dxfId="11535" priority="678" operator="containsText" text="CMS">
      <formula>NOT(ISERROR(SEARCH("CMS",M13)))</formula>
    </cfRule>
    <cfRule type="cellIs" dxfId="11534" priority="679" operator="equal">
      <formula>0</formula>
    </cfRule>
    <cfRule type="cellIs" dxfId="11533" priority="680" operator="greaterThan">
      <formula>0</formula>
    </cfRule>
  </conditionalFormatting>
  <conditionalFormatting sqref="K13">
    <cfRule type="cellIs" dxfId="11532" priority="669" operator="equal">
      <formula>"PMS"</formula>
    </cfRule>
    <cfRule type="containsText" dxfId="11531" priority="670" operator="containsText" text="CMS">
      <formula>NOT(ISERROR(SEARCH("CMS",K13)))</formula>
    </cfRule>
    <cfRule type="cellIs" dxfId="11530" priority="671" operator="equal">
      <formula>0</formula>
    </cfRule>
    <cfRule type="cellIs" dxfId="11529" priority="672" operator="greaterThan">
      <formula>0</formula>
    </cfRule>
    <cfRule type="cellIs" dxfId="11528" priority="673" operator="equal">
      <formula>"PMS"</formula>
    </cfRule>
    <cfRule type="containsText" dxfId="11527" priority="674" operator="containsText" text="CMS">
      <formula>NOT(ISERROR(SEARCH("CMS",K13)))</formula>
    </cfRule>
    <cfRule type="cellIs" dxfId="11526" priority="675" operator="equal">
      <formula>0</formula>
    </cfRule>
    <cfRule type="cellIs" dxfId="11525" priority="676" operator="greaterThan">
      <formula>0</formula>
    </cfRule>
  </conditionalFormatting>
  <conditionalFormatting sqref="K13">
    <cfRule type="cellIs" dxfId="11524" priority="665" operator="equal">
      <formula>"PMS"</formula>
    </cfRule>
    <cfRule type="containsText" dxfId="11523" priority="666" operator="containsText" text="CMS">
      <formula>NOT(ISERROR(SEARCH("CMS",K13)))</formula>
    </cfRule>
    <cfRule type="cellIs" dxfId="11522" priority="667" operator="equal">
      <formula>0</formula>
    </cfRule>
    <cfRule type="cellIs" dxfId="11521" priority="668" operator="greaterThan">
      <formula>0</formula>
    </cfRule>
  </conditionalFormatting>
  <conditionalFormatting sqref="G113:AC113">
    <cfRule type="cellIs" dxfId="11520" priority="664" operator="greaterThan">
      <formula>60.3</formula>
    </cfRule>
  </conditionalFormatting>
  <conditionalFormatting sqref="H112:M112">
    <cfRule type="cellIs" dxfId="11519" priority="663" operator="greaterThan">
      <formula>60.3</formula>
    </cfRule>
  </conditionalFormatting>
  <conditionalFormatting sqref="F112:G112">
    <cfRule type="cellIs" dxfId="11518" priority="662" operator="greaterThan">
      <formula>60.3</formula>
    </cfRule>
  </conditionalFormatting>
  <conditionalFormatting sqref="N112:AC112">
    <cfRule type="cellIs" dxfId="11517" priority="661" operator="greaterThan">
      <formula>60.3</formula>
    </cfRule>
  </conditionalFormatting>
  <conditionalFormatting sqref="G15:G16">
    <cfRule type="cellIs" dxfId="11516" priority="653" operator="equal">
      <formula>"PMS"</formula>
    </cfRule>
    <cfRule type="containsText" dxfId="11515" priority="654" operator="containsText" text="CMS">
      <formula>NOT(ISERROR(SEARCH("CMS",G15)))</formula>
    </cfRule>
    <cfRule type="cellIs" dxfId="11514" priority="655" operator="equal">
      <formula>0</formula>
    </cfRule>
    <cfRule type="cellIs" dxfId="11513" priority="656" operator="greaterThan">
      <formula>0</formula>
    </cfRule>
    <cfRule type="cellIs" dxfId="11512" priority="657" operator="equal">
      <formula>"PMS"</formula>
    </cfRule>
    <cfRule type="containsText" dxfId="11511" priority="658" operator="containsText" text="CMS">
      <formula>NOT(ISERROR(SEARCH("CMS",G15)))</formula>
    </cfRule>
    <cfRule type="cellIs" dxfId="11510" priority="659" operator="equal">
      <formula>0</formula>
    </cfRule>
    <cfRule type="cellIs" dxfId="11509" priority="660" operator="greaterThan">
      <formula>0</formula>
    </cfRule>
  </conditionalFormatting>
  <conditionalFormatting sqref="G15:G16">
    <cfRule type="cellIs" dxfId="11508" priority="649" operator="equal">
      <formula>"PMS"</formula>
    </cfRule>
    <cfRule type="containsText" dxfId="11507" priority="650" operator="containsText" text="CMS">
      <formula>NOT(ISERROR(SEARCH("CMS",G15)))</formula>
    </cfRule>
    <cfRule type="cellIs" dxfId="11506" priority="651" operator="equal">
      <formula>0</formula>
    </cfRule>
    <cfRule type="cellIs" dxfId="11505" priority="652" operator="greaterThan">
      <formula>0</formula>
    </cfRule>
  </conditionalFormatting>
  <conditionalFormatting sqref="H16">
    <cfRule type="cellIs" dxfId="11504" priority="641" operator="equal">
      <formula>"PMS"</formula>
    </cfRule>
    <cfRule type="containsText" dxfId="11503" priority="642" operator="containsText" text="CMS">
      <formula>NOT(ISERROR(SEARCH("CMS",H16)))</formula>
    </cfRule>
    <cfRule type="cellIs" dxfId="11502" priority="643" operator="equal">
      <formula>0</formula>
    </cfRule>
    <cfRule type="cellIs" dxfId="11501" priority="644" operator="greaterThan">
      <formula>0</formula>
    </cfRule>
    <cfRule type="cellIs" dxfId="11500" priority="645" operator="equal">
      <formula>"PMS"</formula>
    </cfRule>
    <cfRule type="containsText" dxfId="11499" priority="646" operator="containsText" text="CMS">
      <formula>NOT(ISERROR(SEARCH("CMS",H16)))</formula>
    </cfRule>
    <cfRule type="cellIs" dxfId="11498" priority="647" operator="equal">
      <formula>0</formula>
    </cfRule>
    <cfRule type="cellIs" dxfId="11497" priority="648" operator="greaterThan">
      <formula>0</formula>
    </cfRule>
  </conditionalFormatting>
  <conditionalFormatting sqref="H16">
    <cfRule type="cellIs" dxfId="11496" priority="637" operator="equal">
      <formula>"PMS"</formula>
    </cfRule>
    <cfRule type="containsText" dxfId="11495" priority="638" operator="containsText" text="CMS">
      <formula>NOT(ISERROR(SEARCH("CMS",H16)))</formula>
    </cfRule>
    <cfRule type="cellIs" dxfId="11494" priority="639" operator="equal">
      <formula>0</formula>
    </cfRule>
    <cfRule type="cellIs" dxfId="11493" priority="640" operator="greaterThan">
      <formula>0</formula>
    </cfRule>
  </conditionalFormatting>
  <conditionalFormatting sqref="G36:G38 G57:G59">
    <cfRule type="cellIs" dxfId="11492" priority="629" operator="equal">
      <formula>"PMS"</formula>
    </cfRule>
    <cfRule type="containsText" dxfId="11491" priority="630" operator="containsText" text="CMS">
      <formula>NOT(ISERROR(SEARCH("CMS",G36)))</formula>
    </cfRule>
    <cfRule type="cellIs" dxfId="11490" priority="631" operator="equal">
      <formula>0</formula>
    </cfRule>
    <cfRule type="cellIs" dxfId="11489" priority="632" operator="greaterThan">
      <formula>0</formula>
    </cfRule>
    <cfRule type="cellIs" dxfId="11488" priority="633" operator="equal">
      <formula>"PMS"</formula>
    </cfRule>
    <cfRule type="containsText" dxfId="11487" priority="634" operator="containsText" text="CMS">
      <formula>NOT(ISERROR(SEARCH("CMS",G36)))</formula>
    </cfRule>
    <cfRule type="cellIs" dxfId="11486" priority="635" operator="equal">
      <formula>0</formula>
    </cfRule>
    <cfRule type="cellIs" dxfId="11485" priority="636" operator="greaterThan">
      <formula>0</formula>
    </cfRule>
  </conditionalFormatting>
  <conditionalFormatting sqref="G36:G38 G57:G59">
    <cfRule type="cellIs" dxfId="11484" priority="625" operator="equal">
      <formula>"PMS"</formula>
    </cfRule>
    <cfRule type="containsText" dxfId="11483" priority="626" operator="containsText" text="CMS">
      <formula>NOT(ISERROR(SEARCH("CMS",G36)))</formula>
    </cfRule>
    <cfRule type="cellIs" dxfId="11482" priority="627" operator="equal">
      <formula>0</formula>
    </cfRule>
    <cfRule type="cellIs" dxfId="11481" priority="628" operator="greaterThan">
      <formula>0</formula>
    </cfRule>
  </conditionalFormatting>
  <conditionalFormatting sqref="M36:M38 M57:M59">
    <cfRule type="cellIs" dxfId="11480" priority="617" operator="equal">
      <formula>"PMS"</formula>
    </cfRule>
    <cfRule type="containsText" dxfId="11479" priority="618" operator="containsText" text="CMS">
      <formula>NOT(ISERROR(SEARCH("CMS",M36)))</formula>
    </cfRule>
    <cfRule type="cellIs" dxfId="11478" priority="619" operator="equal">
      <formula>0</formula>
    </cfRule>
    <cfRule type="cellIs" dxfId="11477" priority="620" operator="greaterThan">
      <formula>0</formula>
    </cfRule>
    <cfRule type="cellIs" dxfId="11476" priority="621" operator="equal">
      <formula>"PMS"</formula>
    </cfRule>
    <cfRule type="containsText" dxfId="11475" priority="622" operator="containsText" text="CMS">
      <formula>NOT(ISERROR(SEARCH("CMS",M36)))</formula>
    </cfRule>
    <cfRule type="cellIs" dxfId="11474" priority="623" operator="equal">
      <formula>0</formula>
    </cfRule>
    <cfRule type="cellIs" dxfId="11473" priority="624" operator="greaterThan">
      <formula>0</formula>
    </cfRule>
  </conditionalFormatting>
  <conditionalFormatting sqref="M36:M38 M57:M59">
    <cfRule type="cellIs" dxfId="11472" priority="613" operator="equal">
      <formula>"PMS"</formula>
    </cfRule>
    <cfRule type="containsText" dxfId="11471" priority="614" operator="containsText" text="CMS">
      <formula>NOT(ISERROR(SEARCH("CMS",M36)))</formula>
    </cfRule>
    <cfRule type="cellIs" dxfId="11470" priority="615" operator="equal">
      <formula>0</formula>
    </cfRule>
    <cfRule type="cellIs" dxfId="11469" priority="616" operator="greaterThan">
      <formula>0</formula>
    </cfRule>
  </conditionalFormatting>
  <conditionalFormatting sqref="K36:K38 K57:K59">
    <cfRule type="cellIs" dxfId="11468" priority="605" operator="equal">
      <formula>"PMS"</formula>
    </cfRule>
    <cfRule type="containsText" dxfId="11467" priority="606" operator="containsText" text="CMS">
      <formula>NOT(ISERROR(SEARCH("CMS",K36)))</formula>
    </cfRule>
    <cfRule type="cellIs" dxfId="11466" priority="607" operator="equal">
      <formula>0</formula>
    </cfRule>
    <cfRule type="cellIs" dxfId="11465" priority="608" operator="greaterThan">
      <formula>0</formula>
    </cfRule>
    <cfRule type="cellIs" dxfId="11464" priority="609" operator="equal">
      <formula>"PMS"</formula>
    </cfRule>
    <cfRule type="containsText" dxfId="11463" priority="610" operator="containsText" text="CMS">
      <formula>NOT(ISERROR(SEARCH("CMS",K36)))</formula>
    </cfRule>
    <cfRule type="cellIs" dxfId="11462" priority="611" operator="equal">
      <formula>0</formula>
    </cfRule>
    <cfRule type="cellIs" dxfId="11461" priority="612" operator="greaterThan">
      <formula>0</formula>
    </cfRule>
  </conditionalFormatting>
  <conditionalFormatting sqref="K36:K38 K57:K59">
    <cfRule type="cellIs" dxfId="11460" priority="601" operator="equal">
      <formula>"PMS"</formula>
    </cfRule>
    <cfRule type="containsText" dxfId="11459" priority="602" operator="containsText" text="CMS">
      <formula>NOT(ISERROR(SEARCH("CMS",K36)))</formula>
    </cfRule>
    <cfRule type="cellIs" dxfId="11458" priority="603" operator="equal">
      <formula>0</formula>
    </cfRule>
    <cfRule type="cellIs" dxfId="11457" priority="604" operator="greaterThan">
      <formula>0</formula>
    </cfRule>
  </conditionalFormatting>
  <conditionalFormatting sqref="G49">
    <cfRule type="cellIs" dxfId="11456" priority="593" operator="equal">
      <formula>"PMS"</formula>
    </cfRule>
    <cfRule type="containsText" dxfId="11455" priority="594" operator="containsText" text="CMS">
      <formula>NOT(ISERROR(SEARCH("CMS",G49)))</formula>
    </cfRule>
    <cfRule type="cellIs" dxfId="11454" priority="595" operator="equal">
      <formula>0</formula>
    </cfRule>
    <cfRule type="cellIs" dxfId="11453" priority="596" operator="greaterThan">
      <formula>0</formula>
    </cfRule>
    <cfRule type="cellIs" dxfId="11452" priority="597" operator="equal">
      <formula>"PMS"</formula>
    </cfRule>
    <cfRule type="containsText" dxfId="11451" priority="598" operator="containsText" text="CMS">
      <formula>NOT(ISERROR(SEARCH("CMS",G49)))</formula>
    </cfRule>
    <cfRule type="cellIs" dxfId="11450" priority="599" operator="equal">
      <formula>0</formula>
    </cfRule>
    <cfRule type="cellIs" dxfId="11449" priority="600" operator="greaterThan">
      <formula>0</formula>
    </cfRule>
  </conditionalFormatting>
  <conditionalFormatting sqref="G49">
    <cfRule type="cellIs" dxfId="11448" priority="589" operator="equal">
      <formula>"PMS"</formula>
    </cfRule>
    <cfRule type="containsText" dxfId="11447" priority="590" operator="containsText" text="CMS">
      <formula>NOT(ISERROR(SEARCH("CMS",G49)))</formula>
    </cfRule>
    <cfRule type="cellIs" dxfId="11446" priority="591" operator="equal">
      <formula>0</formula>
    </cfRule>
    <cfRule type="cellIs" dxfId="11445" priority="592" operator="greaterThan">
      <formula>0</formula>
    </cfRule>
  </conditionalFormatting>
  <conditionalFormatting sqref="M49:N49">
    <cfRule type="cellIs" dxfId="11444" priority="581" operator="equal">
      <formula>"PMS"</formula>
    </cfRule>
    <cfRule type="containsText" dxfId="11443" priority="582" operator="containsText" text="CMS">
      <formula>NOT(ISERROR(SEARCH("CMS",M49)))</formula>
    </cfRule>
    <cfRule type="cellIs" dxfId="11442" priority="583" operator="equal">
      <formula>0</formula>
    </cfRule>
    <cfRule type="cellIs" dxfId="11441" priority="584" operator="greaterThan">
      <formula>0</formula>
    </cfRule>
    <cfRule type="cellIs" dxfId="11440" priority="585" operator="equal">
      <formula>"PMS"</formula>
    </cfRule>
    <cfRule type="containsText" dxfId="11439" priority="586" operator="containsText" text="CMS">
      <formula>NOT(ISERROR(SEARCH("CMS",M49)))</formula>
    </cfRule>
    <cfRule type="cellIs" dxfId="11438" priority="587" operator="equal">
      <formula>0</formula>
    </cfRule>
    <cfRule type="cellIs" dxfId="11437" priority="588" operator="greaterThan">
      <formula>0</formula>
    </cfRule>
  </conditionalFormatting>
  <conditionalFormatting sqref="M49:N49">
    <cfRule type="cellIs" dxfId="11436" priority="577" operator="equal">
      <formula>"PMS"</formula>
    </cfRule>
    <cfRule type="containsText" dxfId="11435" priority="578" operator="containsText" text="CMS">
      <formula>NOT(ISERROR(SEARCH("CMS",M49)))</formula>
    </cfRule>
    <cfRule type="cellIs" dxfId="11434" priority="579" operator="equal">
      <formula>0</formula>
    </cfRule>
    <cfRule type="cellIs" dxfId="11433" priority="580" operator="greaterThan">
      <formula>0</formula>
    </cfRule>
  </conditionalFormatting>
  <conditionalFormatting sqref="K49">
    <cfRule type="cellIs" dxfId="11432" priority="569" operator="equal">
      <formula>"PMS"</formula>
    </cfRule>
    <cfRule type="containsText" dxfId="11431" priority="570" operator="containsText" text="CMS">
      <formula>NOT(ISERROR(SEARCH("CMS",K49)))</formula>
    </cfRule>
    <cfRule type="cellIs" dxfId="11430" priority="571" operator="equal">
      <formula>0</formula>
    </cfRule>
    <cfRule type="cellIs" dxfId="11429" priority="572" operator="greaterThan">
      <formula>0</formula>
    </cfRule>
    <cfRule type="cellIs" dxfId="11428" priority="573" operator="equal">
      <formula>"PMS"</formula>
    </cfRule>
    <cfRule type="containsText" dxfId="11427" priority="574" operator="containsText" text="CMS">
      <formula>NOT(ISERROR(SEARCH("CMS",K49)))</formula>
    </cfRule>
    <cfRule type="cellIs" dxfId="11426" priority="575" operator="equal">
      <formula>0</formula>
    </cfRule>
    <cfRule type="cellIs" dxfId="11425" priority="576" operator="greaterThan">
      <formula>0</formula>
    </cfRule>
  </conditionalFormatting>
  <conditionalFormatting sqref="K49">
    <cfRule type="cellIs" dxfId="11424" priority="565" operator="equal">
      <formula>"PMS"</formula>
    </cfRule>
    <cfRule type="containsText" dxfId="11423" priority="566" operator="containsText" text="CMS">
      <formula>NOT(ISERROR(SEARCH("CMS",K49)))</formula>
    </cfRule>
    <cfRule type="cellIs" dxfId="11422" priority="567" operator="equal">
      <formula>0</formula>
    </cfRule>
    <cfRule type="cellIs" dxfId="11421" priority="568" operator="greaterThan">
      <formula>0</formula>
    </cfRule>
  </conditionalFormatting>
  <conditionalFormatting sqref="H33:J33 L33 L27:L29 H24:J24 H19:J20 L20:L21 V28:AC28 Q28 N28:P29 P30 H27:J30 I21:K21 K19:M19 N30 S28:T28 O78:Q78 X78:AC78 AB79:AC79 S78:V78 N33:AC33 M21:O21 Q21:AC21 N19:AC20 L24:AC24 Q29:AC30 N79:Z79">
    <cfRule type="cellIs" dxfId="11420" priority="557" operator="equal">
      <formula>"PMS"</formula>
    </cfRule>
    <cfRule type="containsText" dxfId="11419" priority="558" operator="containsText" text="CMS">
      <formula>NOT(ISERROR(SEARCH("CMS",H19)))</formula>
    </cfRule>
    <cfRule type="cellIs" dxfId="11418" priority="559" operator="equal">
      <formula>0</formula>
    </cfRule>
    <cfRule type="cellIs" dxfId="11417" priority="560" operator="greaterThan">
      <formula>0</formula>
    </cfRule>
    <cfRule type="cellIs" dxfId="11416" priority="561" operator="equal">
      <formula>"PMS"</formula>
    </cfRule>
    <cfRule type="containsText" dxfId="11415" priority="562" operator="containsText" text="CMS">
      <formula>NOT(ISERROR(SEARCH("CMS",H19)))</formula>
    </cfRule>
    <cfRule type="cellIs" dxfId="11414" priority="563" operator="equal">
      <formula>0</formula>
    </cfRule>
    <cfRule type="cellIs" dxfId="11413" priority="564" operator="greaterThan">
      <formula>0</formula>
    </cfRule>
  </conditionalFormatting>
  <conditionalFormatting sqref="H33:J33 L33 L27:L29 H24:J24 H19:J20 L20:L21 V28:AC28 Q28 N28:P29 P30 H27:J30 I21:K21 K19:M19 N30 S28:T28 O78:Q78 X78:AC78 AB79:AC79 S78:V78 N33:AC33 M21:O21 Q21:AC21 N19:AC20 L24:AC24 Q29:AC30 N79:Z79">
    <cfRule type="cellIs" dxfId="11412" priority="553" operator="equal">
      <formula>"PMS"</formula>
    </cfRule>
    <cfRule type="containsText" dxfId="11411" priority="554" operator="containsText" text="CMS">
      <formula>NOT(ISERROR(SEARCH("CMS",H19)))</formula>
    </cfRule>
    <cfRule type="cellIs" dxfId="11410" priority="555" operator="equal">
      <formula>0</formula>
    </cfRule>
    <cfRule type="cellIs" dxfId="11409" priority="556" operator="greaterThan">
      <formula>0</formula>
    </cfRule>
  </conditionalFormatting>
  <conditionalFormatting sqref="G33 G27:G30 G24 G39:G48 G50:G56 G19:G21 H21">
    <cfRule type="cellIs" dxfId="11408" priority="545" operator="equal">
      <formula>"PMS"</formula>
    </cfRule>
    <cfRule type="containsText" dxfId="11407" priority="546" operator="containsText" text="CMS">
      <formula>NOT(ISERROR(SEARCH("CMS",G19)))</formula>
    </cfRule>
    <cfRule type="cellIs" dxfId="11406" priority="547" operator="equal">
      <formula>0</formula>
    </cfRule>
    <cfRule type="cellIs" dxfId="11405" priority="548" operator="greaterThan">
      <formula>0</formula>
    </cfRule>
    <cfRule type="cellIs" dxfId="11404" priority="549" operator="equal">
      <formula>"PMS"</formula>
    </cfRule>
    <cfRule type="containsText" dxfId="11403" priority="550" operator="containsText" text="CMS">
      <formula>NOT(ISERROR(SEARCH("CMS",G19)))</formula>
    </cfRule>
    <cfRule type="cellIs" dxfId="11402" priority="551" operator="equal">
      <formula>0</formula>
    </cfRule>
    <cfRule type="cellIs" dxfId="11401" priority="552" operator="greaterThan">
      <formula>0</formula>
    </cfRule>
  </conditionalFormatting>
  <conditionalFormatting sqref="G33 G27:G30 G24 G39:G48 G50:G56 G19:G21 H21">
    <cfRule type="cellIs" dxfId="11400" priority="541" operator="equal">
      <formula>"PMS"</formula>
    </cfRule>
    <cfRule type="containsText" dxfId="11399" priority="542" operator="containsText" text="CMS">
      <formula>NOT(ISERROR(SEARCH("CMS",G19)))</formula>
    </cfRule>
    <cfRule type="cellIs" dxfId="11398" priority="543" operator="equal">
      <formula>0</formula>
    </cfRule>
    <cfRule type="cellIs" dxfId="11397" priority="544" operator="greaterThan">
      <formula>0</formula>
    </cfRule>
  </conditionalFormatting>
  <conditionalFormatting sqref="M39:M48 M33 M27:M29 M20 AB27:AC27 N27:Q27 M56 N78 S27:X27 M62:M64 N47:N48 N51:N56">
    <cfRule type="cellIs" dxfId="11396" priority="533" operator="equal">
      <formula>"PMS"</formula>
    </cfRule>
    <cfRule type="containsText" dxfId="11395" priority="534" operator="containsText" text="CMS">
      <formula>NOT(ISERROR(SEARCH("CMS",M20)))</formula>
    </cfRule>
    <cfRule type="cellIs" dxfId="11394" priority="535" operator="equal">
      <formula>0</formula>
    </cfRule>
    <cfRule type="cellIs" dxfId="11393" priority="536" operator="greaterThan">
      <formula>0</formula>
    </cfRule>
    <cfRule type="cellIs" dxfId="11392" priority="537" operator="equal">
      <formula>"PMS"</formula>
    </cfRule>
    <cfRule type="containsText" dxfId="11391" priority="538" operator="containsText" text="CMS">
      <formula>NOT(ISERROR(SEARCH("CMS",M20)))</formula>
    </cfRule>
    <cfRule type="cellIs" dxfId="11390" priority="539" operator="equal">
      <formula>0</formula>
    </cfRule>
    <cfRule type="cellIs" dxfId="11389" priority="540" operator="greaterThan">
      <formula>0</formula>
    </cfRule>
  </conditionalFormatting>
  <conditionalFormatting sqref="M39:M48 M33 M27:M29 M20 AB27:AC27 N27:Q27 M56 N78 S27:X27 M62:M64 N47:N48 N51:N56">
    <cfRule type="cellIs" dxfId="11388" priority="529" operator="equal">
      <formula>"PMS"</formula>
    </cfRule>
    <cfRule type="containsText" dxfId="11387" priority="530" operator="containsText" text="CMS">
      <formula>NOT(ISERROR(SEARCH("CMS",M20)))</formula>
    </cfRule>
    <cfRule type="cellIs" dxfId="11386" priority="531" operator="equal">
      <formula>0</formula>
    </cfRule>
    <cfRule type="cellIs" dxfId="11385" priority="532" operator="greaterThan">
      <formula>0</formula>
    </cfRule>
  </conditionalFormatting>
  <conditionalFormatting sqref="K50:K56 K39:K48 K33 K27 K24 K20 K29:K30">
    <cfRule type="cellIs" dxfId="11384" priority="521" operator="equal">
      <formula>"PMS"</formula>
    </cfRule>
    <cfRule type="containsText" dxfId="11383" priority="522" operator="containsText" text="CMS">
      <formula>NOT(ISERROR(SEARCH("CMS",K20)))</formula>
    </cfRule>
    <cfRule type="cellIs" dxfId="11382" priority="523" operator="equal">
      <formula>0</formula>
    </cfRule>
    <cfRule type="cellIs" dxfId="11381" priority="524" operator="greaterThan">
      <formula>0</formula>
    </cfRule>
    <cfRule type="cellIs" dxfId="11380" priority="525" operator="equal">
      <formula>"PMS"</formula>
    </cfRule>
    <cfRule type="containsText" dxfId="11379" priority="526" operator="containsText" text="CMS">
      <formula>NOT(ISERROR(SEARCH("CMS",K20)))</formula>
    </cfRule>
    <cfRule type="cellIs" dxfId="11378" priority="527" operator="equal">
      <formula>0</formula>
    </cfRule>
    <cfRule type="cellIs" dxfId="11377" priority="528" operator="greaterThan">
      <formula>0</formula>
    </cfRule>
  </conditionalFormatting>
  <conditionalFormatting sqref="K50:K56 K39:K48 K33 K27 K24 K20 K29:K30">
    <cfRule type="cellIs" dxfId="11376" priority="517" operator="equal">
      <formula>"PMS"</formula>
    </cfRule>
    <cfRule type="containsText" dxfId="11375" priority="518" operator="containsText" text="CMS">
      <formula>NOT(ISERROR(SEARCH("CMS",K20)))</formula>
    </cfRule>
    <cfRule type="cellIs" dxfId="11374" priority="519" operator="equal">
      <formula>0</formula>
    </cfRule>
    <cfRule type="cellIs" dxfId="11373" priority="520" operator="greaterThan">
      <formula>0</formula>
    </cfRule>
  </conditionalFormatting>
  <conditionalFormatting sqref="K28">
    <cfRule type="cellIs" dxfId="11372" priority="509" operator="equal">
      <formula>"PMS"</formula>
    </cfRule>
    <cfRule type="containsText" dxfId="11371" priority="510" operator="containsText" text="CMS">
      <formula>NOT(ISERROR(SEARCH("CMS",K28)))</formula>
    </cfRule>
    <cfRule type="cellIs" dxfId="11370" priority="511" operator="equal">
      <formula>0</formula>
    </cfRule>
    <cfRule type="cellIs" dxfId="11369" priority="512" operator="greaterThan">
      <formula>0</formula>
    </cfRule>
    <cfRule type="cellIs" dxfId="11368" priority="513" operator="equal">
      <formula>"PMS"</formula>
    </cfRule>
    <cfRule type="containsText" dxfId="11367" priority="514" operator="containsText" text="CMS">
      <formula>NOT(ISERROR(SEARCH("CMS",K28)))</formula>
    </cfRule>
    <cfRule type="cellIs" dxfId="11366" priority="515" operator="equal">
      <formula>0</formula>
    </cfRule>
    <cfRule type="cellIs" dxfId="11365" priority="516" operator="greaterThan">
      <formula>0</formula>
    </cfRule>
  </conditionalFormatting>
  <conditionalFormatting sqref="K28">
    <cfRule type="cellIs" dxfId="11364" priority="505" operator="equal">
      <formula>"PMS"</formula>
    </cfRule>
    <cfRule type="containsText" dxfId="11363" priority="506" operator="containsText" text="CMS">
      <formula>NOT(ISERROR(SEARCH("CMS",K28)))</formula>
    </cfRule>
    <cfRule type="cellIs" dxfId="11362" priority="507" operator="equal">
      <formula>0</formula>
    </cfRule>
    <cfRule type="cellIs" dxfId="11361" priority="508" operator="greaterThan">
      <formula>0</formula>
    </cfRule>
  </conditionalFormatting>
  <conditionalFormatting sqref="N62:O62 O63">
    <cfRule type="cellIs" dxfId="11360" priority="497" operator="equal">
      <formula>"PMS"</formula>
    </cfRule>
    <cfRule type="containsText" dxfId="11359" priority="498" operator="containsText" text="CMS">
      <formula>NOT(ISERROR(SEARCH("CMS",N62)))</formula>
    </cfRule>
    <cfRule type="cellIs" dxfId="11358" priority="499" operator="equal">
      <formula>0</formula>
    </cfRule>
    <cfRule type="cellIs" dxfId="11357" priority="500" operator="greaterThan">
      <formula>0</formula>
    </cfRule>
    <cfRule type="cellIs" dxfId="11356" priority="501" operator="equal">
      <formula>"PMS"</formula>
    </cfRule>
    <cfRule type="containsText" dxfId="11355" priority="502" operator="containsText" text="CMS">
      <formula>NOT(ISERROR(SEARCH("CMS",N62)))</formula>
    </cfRule>
    <cfRule type="cellIs" dxfId="11354" priority="503" operator="equal">
      <formula>0</formula>
    </cfRule>
    <cfRule type="cellIs" dxfId="11353" priority="504" operator="greaterThan">
      <formula>0</formula>
    </cfRule>
  </conditionalFormatting>
  <conditionalFormatting sqref="N62:O62 O63">
    <cfRule type="cellIs" dxfId="11352" priority="493" operator="equal">
      <formula>"PMS"</formula>
    </cfRule>
    <cfRule type="containsText" dxfId="11351" priority="494" operator="containsText" text="CMS">
      <formula>NOT(ISERROR(SEARCH("CMS",N62)))</formula>
    </cfRule>
    <cfRule type="cellIs" dxfId="11350" priority="495" operator="equal">
      <formula>0</formula>
    </cfRule>
    <cfRule type="cellIs" dxfId="11349" priority="496" operator="greaterThan">
      <formula>0</formula>
    </cfRule>
  </conditionalFormatting>
  <conditionalFormatting sqref="U28">
    <cfRule type="cellIs" dxfId="11348" priority="485" operator="equal">
      <formula>"PMS"</formula>
    </cfRule>
    <cfRule type="containsText" dxfId="11347" priority="486" operator="containsText" text="CMS">
      <formula>NOT(ISERROR(SEARCH("CMS",U28)))</formula>
    </cfRule>
    <cfRule type="cellIs" dxfId="11346" priority="487" operator="equal">
      <formula>0</formula>
    </cfRule>
    <cfRule type="cellIs" dxfId="11345" priority="488" operator="greaterThan">
      <formula>0</formula>
    </cfRule>
    <cfRule type="cellIs" dxfId="11344" priority="489" operator="equal">
      <formula>"PMS"</formula>
    </cfRule>
    <cfRule type="containsText" dxfId="11343" priority="490" operator="containsText" text="CMS">
      <formula>NOT(ISERROR(SEARCH("CMS",U28)))</formula>
    </cfRule>
    <cfRule type="cellIs" dxfId="11342" priority="491" operator="equal">
      <formula>0</formula>
    </cfRule>
    <cfRule type="cellIs" dxfId="11341" priority="492" operator="greaterThan">
      <formula>0</formula>
    </cfRule>
  </conditionalFormatting>
  <conditionalFormatting sqref="U28">
    <cfRule type="cellIs" dxfId="11340" priority="481" operator="equal">
      <formula>"PMS"</formula>
    </cfRule>
    <cfRule type="containsText" dxfId="11339" priority="482" operator="containsText" text="CMS">
      <formula>NOT(ISERROR(SEARCH("CMS",U28)))</formula>
    </cfRule>
    <cfRule type="cellIs" dxfId="11338" priority="483" operator="equal">
      <formula>0</formula>
    </cfRule>
    <cfRule type="cellIs" dxfId="11337" priority="484" operator="greaterThan">
      <formula>0</formula>
    </cfRule>
  </conditionalFormatting>
  <conditionalFormatting sqref="Y27:AA27">
    <cfRule type="cellIs" dxfId="11336" priority="473" operator="equal">
      <formula>"PMS"</formula>
    </cfRule>
    <cfRule type="containsText" dxfId="11335" priority="474" operator="containsText" text="CMS">
      <formula>NOT(ISERROR(SEARCH("CMS",Y27)))</formula>
    </cfRule>
    <cfRule type="cellIs" dxfId="11334" priority="475" operator="equal">
      <formula>0</formula>
    </cfRule>
    <cfRule type="cellIs" dxfId="11333" priority="476" operator="greaterThan">
      <formula>0</formula>
    </cfRule>
    <cfRule type="cellIs" dxfId="11332" priority="477" operator="equal">
      <formula>"PMS"</formula>
    </cfRule>
    <cfRule type="containsText" dxfId="11331" priority="478" operator="containsText" text="CMS">
      <formula>NOT(ISERROR(SEARCH("CMS",Y27)))</formula>
    </cfRule>
    <cfRule type="cellIs" dxfId="11330" priority="479" operator="equal">
      <formula>0</formula>
    </cfRule>
    <cfRule type="cellIs" dxfId="11329" priority="480" operator="greaterThan">
      <formula>0</formula>
    </cfRule>
  </conditionalFormatting>
  <conditionalFormatting sqref="Y27:AA27">
    <cfRule type="cellIs" dxfId="11328" priority="469" operator="equal">
      <formula>"PMS"</formula>
    </cfRule>
    <cfRule type="containsText" dxfId="11327" priority="470" operator="containsText" text="CMS">
      <formula>NOT(ISERROR(SEARCH("CMS",Y27)))</formula>
    </cfRule>
    <cfRule type="cellIs" dxfId="11326" priority="471" operator="equal">
      <formula>0</formula>
    </cfRule>
    <cfRule type="cellIs" dxfId="11325" priority="472" operator="greaterThan">
      <formula>0</formula>
    </cfRule>
  </conditionalFormatting>
  <conditionalFormatting sqref="G62:G64">
    <cfRule type="cellIs" dxfId="11324" priority="461" operator="equal">
      <formula>"PMS"</formula>
    </cfRule>
    <cfRule type="containsText" dxfId="11323" priority="462" operator="containsText" text="CMS">
      <formula>NOT(ISERROR(SEARCH("CMS",G62)))</formula>
    </cfRule>
    <cfRule type="cellIs" dxfId="11322" priority="463" operator="equal">
      <formula>0</formula>
    </cfRule>
    <cfRule type="cellIs" dxfId="11321" priority="464" operator="greaterThan">
      <formula>0</formula>
    </cfRule>
    <cfRule type="cellIs" dxfId="11320" priority="465" operator="equal">
      <formula>"PMS"</formula>
    </cfRule>
    <cfRule type="containsText" dxfId="11319" priority="466" operator="containsText" text="CMS">
      <formula>NOT(ISERROR(SEARCH("CMS",G62)))</formula>
    </cfRule>
    <cfRule type="cellIs" dxfId="11318" priority="467" operator="equal">
      <formula>0</formula>
    </cfRule>
    <cfRule type="cellIs" dxfId="11317" priority="468" operator="greaterThan">
      <formula>0</formula>
    </cfRule>
  </conditionalFormatting>
  <conditionalFormatting sqref="G62:G64">
    <cfRule type="cellIs" dxfId="11316" priority="457" operator="equal">
      <formula>"PMS"</formula>
    </cfRule>
    <cfRule type="containsText" dxfId="11315" priority="458" operator="containsText" text="CMS">
      <formula>NOT(ISERROR(SEARCH("CMS",G62)))</formula>
    </cfRule>
    <cfRule type="cellIs" dxfId="11314" priority="459" operator="equal">
      <formula>0</formula>
    </cfRule>
    <cfRule type="cellIs" dxfId="11313" priority="460" operator="greaterThan">
      <formula>0</formula>
    </cfRule>
  </conditionalFormatting>
  <conditionalFormatting sqref="N40">
    <cfRule type="cellIs" dxfId="11312" priority="449" operator="equal">
      <formula>"PMS"</formula>
    </cfRule>
    <cfRule type="containsText" dxfId="11311" priority="450" operator="containsText" text="CMS">
      <formula>NOT(ISERROR(SEARCH("CMS",N40)))</formula>
    </cfRule>
    <cfRule type="cellIs" dxfId="11310" priority="451" operator="equal">
      <formula>0</formula>
    </cfRule>
    <cfRule type="cellIs" dxfId="11309" priority="452" operator="greaterThan">
      <formula>0</formula>
    </cfRule>
    <cfRule type="cellIs" dxfId="11308" priority="453" operator="equal">
      <formula>"PMS"</formula>
    </cfRule>
    <cfRule type="containsText" dxfId="11307" priority="454" operator="containsText" text="CMS">
      <formula>NOT(ISERROR(SEARCH("CMS",N40)))</formula>
    </cfRule>
    <cfRule type="cellIs" dxfId="11306" priority="455" operator="equal">
      <formula>0</formula>
    </cfRule>
    <cfRule type="cellIs" dxfId="11305" priority="456" operator="greaterThan">
      <formula>0</formula>
    </cfRule>
  </conditionalFormatting>
  <conditionalFormatting sqref="N40">
    <cfRule type="cellIs" dxfId="11304" priority="445" operator="equal">
      <formula>"PMS"</formula>
    </cfRule>
    <cfRule type="containsText" dxfId="11303" priority="446" operator="containsText" text="CMS">
      <formula>NOT(ISERROR(SEARCH("CMS",N40)))</formula>
    </cfRule>
    <cfRule type="cellIs" dxfId="11302" priority="447" operator="equal">
      <formula>0</formula>
    </cfRule>
    <cfRule type="cellIs" dxfId="11301" priority="448" operator="greaterThan">
      <formula>0</formula>
    </cfRule>
  </conditionalFormatting>
  <conditionalFormatting sqref="O30">
    <cfRule type="cellIs" dxfId="11300" priority="437" operator="equal">
      <formula>"PMS"</formula>
    </cfRule>
    <cfRule type="containsText" dxfId="11299" priority="438" operator="containsText" text="CMS">
      <formula>NOT(ISERROR(SEARCH("CMS",O30)))</formula>
    </cfRule>
    <cfRule type="cellIs" dxfId="11298" priority="439" operator="equal">
      <formula>0</formula>
    </cfRule>
    <cfRule type="cellIs" dxfId="11297" priority="440" operator="greaterThan">
      <formula>0</formula>
    </cfRule>
    <cfRule type="cellIs" dxfId="11296" priority="441" operator="equal">
      <formula>"PMS"</formula>
    </cfRule>
    <cfRule type="containsText" dxfId="11295" priority="442" operator="containsText" text="CMS">
      <formula>NOT(ISERROR(SEARCH("CMS",O30)))</formula>
    </cfRule>
    <cfRule type="cellIs" dxfId="11294" priority="443" operator="equal">
      <formula>0</formula>
    </cfRule>
    <cfRule type="cellIs" dxfId="11293" priority="444" operator="greaterThan">
      <formula>0</formula>
    </cfRule>
  </conditionalFormatting>
  <conditionalFormatting sqref="O30">
    <cfRule type="cellIs" dxfId="11292" priority="433" operator="equal">
      <formula>"PMS"</formula>
    </cfRule>
    <cfRule type="containsText" dxfId="11291" priority="434" operator="containsText" text="CMS">
      <formula>NOT(ISERROR(SEARCH("CMS",O30)))</formula>
    </cfRule>
    <cfRule type="cellIs" dxfId="11290" priority="435" operator="equal">
      <formula>0</formula>
    </cfRule>
    <cfRule type="cellIs" dxfId="11289" priority="436" operator="greaterThan">
      <formula>0</formula>
    </cfRule>
  </conditionalFormatting>
  <conditionalFormatting sqref="O47:O49">
    <cfRule type="cellIs" dxfId="11288" priority="425" operator="equal">
      <formula>"PMS"</formula>
    </cfRule>
    <cfRule type="containsText" dxfId="11287" priority="426" operator="containsText" text="CMS">
      <formula>NOT(ISERROR(SEARCH("CMS",O47)))</formula>
    </cfRule>
    <cfRule type="cellIs" dxfId="11286" priority="427" operator="equal">
      <formula>0</formula>
    </cfRule>
    <cfRule type="cellIs" dxfId="11285" priority="428" operator="greaterThan">
      <formula>0</formula>
    </cfRule>
    <cfRule type="cellIs" dxfId="11284" priority="429" operator="equal">
      <formula>"PMS"</formula>
    </cfRule>
    <cfRule type="containsText" dxfId="11283" priority="430" operator="containsText" text="CMS">
      <formula>NOT(ISERROR(SEARCH("CMS",O47)))</formula>
    </cfRule>
    <cfRule type="cellIs" dxfId="11282" priority="431" operator="equal">
      <formula>0</formula>
    </cfRule>
    <cfRule type="cellIs" dxfId="11281" priority="432" operator="greaterThan">
      <formula>0</formula>
    </cfRule>
  </conditionalFormatting>
  <conditionalFormatting sqref="O47:O49">
    <cfRule type="cellIs" dxfId="11280" priority="421" operator="equal">
      <formula>"PMS"</formula>
    </cfRule>
    <cfRule type="containsText" dxfId="11279" priority="422" operator="containsText" text="CMS">
      <formula>NOT(ISERROR(SEARCH("CMS",O47)))</formula>
    </cfRule>
    <cfRule type="cellIs" dxfId="11278" priority="423" operator="equal">
      <formula>0</formula>
    </cfRule>
    <cfRule type="cellIs" dxfId="11277" priority="424" operator="greaterThan">
      <formula>0</formula>
    </cfRule>
  </conditionalFormatting>
  <conditionalFormatting sqref="F82">
    <cfRule type="cellIs" dxfId="11276" priority="413" operator="equal">
      <formula>"PMS"</formula>
    </cfRule>
    <cfRule type="containsText" dxfId="11275" priority="414" operator="containsText" text="CMS">
      <formula>NOT(ISERROR(SEARCH("CMS",F82)))</formula>
    </cfRule>
    <cfRule type="cellIs" dxfId="11274" priority="415" operator="equal">
      <formula>0</formula>
    </cfRule>
    <cfRule type="cellIs" dxfId="11273" priority="416" operator="greaterThan">
      <formula>0</formula>
    </cfRule>
    <cfRule type="cellIs" dxfId="11272" priority="417" operator="equal">
      <formula>"PMS"</formula>
    </cfRule>
    <cfRule type="containsText" dxfId="11271" priority="418" operator="containsText" text="CMS">
      <formula>NOT(ISERROR(SEARCH("CMS",F82)))</formula>
    </cfRule>
    <cfRule type="cellIs" dxfId="11270" priority="419" operator="equal">
      <formula>0</formula>
    </cfRule>
    <cfRule type="cellIs" dxfId="11269" priority="420" operator="greaterThan">
      <formula>0</formula>
    </cfRule>
  </conditionalFormatting>
  <conditionalFormatting sqref="F82">
    <cfRule type="cellIs" dxfId="11268" priority="409" operator="equal">
      <formula>"PMS"</formula>
    </cfRule>
    <cfRule type="containsText" dxfId="11267" priority="410" operator="containsText" text="CMS">
      <formula>NOT(ISERROR(SEARCH("CMS",F82)))</formula>
    </cfRule>
    <cfRule type="cellIs" dxfId="11266" priority="411" operator="equal">
      <formula>0</formula>
    </cfRule>
    <cfRule type="cellIs" dxfId="11265" priority="412" operator="greaterThan">
      <formula>0</formula>
    </cfRule>
  </conditionalFormatting>
  <conditionalFormatting sqref="H15">
    <cfRule type="cellIs" dxfId="11264" priority="401" operator="equal">
      <formula>"PMS"</formula>
    </cfRule>
    <cfRule type="containsText" dxfId="11263" priority="402" operator="containsText" text="CMS">
      <formula>NOT(ISERROR(SEARCH("CMS",H15)))</formula>
    </cfRule>
    <cfRule type="cellIs" dxfId="11262" priority="403" operator="equal">
      <formula>0</formula>
    </cfRule>
    <cfRule type="cellIs" dxfId="11261" priority="404" operator="greaterThan">
      <formula>0</formula>
    </cfRule>
    <cfRule type="cellIs" dxfId="11260" priority="405" operator="equal">
      <formula>"PMS"</formula>
    </cfRule>
    <cfRule type="containsText" dxfId="11259" priority="406" operator="containsText" text="CMS">
      <formula>NOT(ISERROR(SEARCH("CMS",H15)))</formula>
    </cfRule>
    <cfRule type="cellIs" dxfId="11258" priority="407" operator="equal">
      <formula>0</formula>
    </cfRule>
    <cfRule type="cellIs" dxfId="11257" priority="408" operator="greaterThan">
      <formula>0</formula>
    </cfRule>
  </conditionalFormatting>
  <conditionalFormatting sqref="H15">
    <cfRule type="cellIs" dxfId="11256" priority="397" operator="equal">
      <formula>"PMS"</formula>
    </cfRule>
    <cfRule type="containsText" dxfId="11255" priority="398" operator="containsText" text="CMS">
      <formula>NOT(ISERROR(SEARCH("CMS",H15)))</formula>
    </cfRule>
    <cfRule type="cellIs" dxfId="11254" priority="399" operator="equal">
      <formula>0</formula>
    </cfRule>
    <cfRule type="cellIs" dxfId="11253" priority="400" operator="greaterThan">
      <formula>0</formula>
    </cfRule>
  </conditionalFormatting>
  <conditionalFormatting sqref="G14">
    <cfRule type="cellIs" dxfId="11252" priority="389" operator="equal">
      <formula>"PMS"</formula>
    </cfRule>
    <cfRule type="containsText" dxfId="11251" priority="390" operator="containsText" text="CMS">
      <formula>NOT(ISERROR(SEARCH("CMS",G14)))</formula>
    </cfRule>
    <cfRule type="cellIs" dxfId="11250" priority="391" operator="equal">
      <formula>0</formula>
    </cfRule>
    <cfRule type="cellIs" dxfId="11249" priority="392" operator="greaterThan">
      <formula>0</formula>
    </cfRule>
    <cfRule type="cellIs" dxfId="11248" priority="393" operator="equal">
      <formula>"PMS"</formula>
    </cfRule>
    <cfRule type="containsText" dxfId="11247" priority="394" operator="containsText" text="CMS">
      <formula>NOT(ISERROR(SEARCH("CMS",G14)))</formula>
    </cfRule>
    <cfRule type="cellIs" dxfId="11246" priority="395" operator="equal">
      <formula>0</formula>
    </cfRule>
    <cfRule type="cellIs" dxfId="11245" priority="396" operator="greaterThan">
      <formula>0</formula>
    </cfRule>
  </conditionalFormatting>
  <conditionalFormatting sqref="G14">
    <cfRule type="cellIs" dxfId="11244" priority="385" operator="equal">
      <formula>"PMS"</formula>
    </cfRule>
    <cfRule type="containsText" dxfId="11243" priority="386" operator="containsText" text="CMS">
      <formula>NOT(ISERROR(SEARCH("CMS",G14)))</formula>
    </cfRule>
    <cfRule type="cellIs" dxfId="11242" priority="387" operator="equal">
      <formula>0</formula>
    </cfRule>
    <cfRule type="cellIs" dxfId="11241" priority="388" operator="greaterThan">
      <formula>0</formula>
    </cfRule>
  </conditionalFormatting>
  <conditionalFormatting sqref="N63">
    <cfRule type="cellIs" dxfId="11240" priority="365" operator="equal">
      <formula>"PMS"</formula>
    </cfRule>
    <cfRule type="containsText" dxfId="11239" priority="366" operator="containsText" text="CMS">
      <formula>NOT(ISERROR(SEARCH("CMS",N63)))</formula>
    </cfRule>
    <cfRule type="cellIs" dxfId="11238" priority="367" operator="equal">
      <formula>0</formula>
    </cfRule>
    <cfRule type="cellIs" dxfId="11237" priority="368" operator="greaterThan">
      <formula>0</formula>
    </cfRule>
    <cfRule type="cellIs" dxfId="11236" priority="369" operator="equal">
      <formula>"PMS"</formula>
    </cfRule>
    <cfRule type="containsText" dxfId="11235" priority="370" operator="containsText" text="CMS">
      <formula>NOT(ISERROR(SEARCH("CMS",N63)))</formula>
    </cfRule>
    <cfRule type="cellIs" dxfId="11234" priority="371" operator="equal">
      <formula>0</formula>
    </cfRule>
    <cfRule type="cellIs" dxfId="11233" priority="372" operator="greaterThan">
      <formula>0</formula>
    </cfRule>
  </conditionalFormatting>
  <conditionalFormatting sqref="N63">
    <cfRule type="cellIs" dxfId="11232" priority="361" operator="equal">
      <formula>"PMS"</formula>
    </cfRule>
    <cfRule type="containsText" dxfId="11231" priority="362" operator="containsText" text="CMS">
      <formula>NOT(ISERROR(SEARCH("CMS",N63)))</formula>
    </cfRule>
    <cfRule type="cellIs" dxfId="11230" priority="363" operator="equal">
      <formula>0</formula>
    </cfRule>
    <cfRule type="cellIs" dxfId="11229" priority="364" operator="greaterThan">
      <formula>0</formula>
    </cfRule>
  </conditionalFormatting>
  <conditionalFormatting sqref="G78:K78">
    <cfRule type="cellIs" dxfId="11228" priority="353" operator="equal">
      <formula>"PMS"</formula>
    </cfRule>
    <cfRule type="containsText" dxfId="11227" priority="354" operator="containsText" text="CMS">
      <formula>NOT(ISERROR(SEARCH("CMS",G78)))</formula>
    </cfRule>
    <cfRule type="cellIs" dxfId="11226" priority="355" operator="equal">
      <formula>0</formula>
    </cfRule>
    <cfRule type="cellIs" dxfId="11225" priority="356" operator="greaterThan">
      <formula>0</formula>
    </cfRule>
    <cfRule type="cellIs" dxfId="11224" priority="357" operator="equal">
      <formula>"PMS"</formula>
    </cfRule>
    <cfRule type="containsText" dxfId="11223" priority="358" operator="containsText" text="CMS">
      <formula>NOT(ISERROR(SEARCH("CMS",G78)))</formula>
    </cfRule>
    <cfRule type="cellIs" dxfId="11222" priority="359" operator="equal">
      <formula>0</formula>
    </cfRule>
    <cfRule type="cellIs" dxfId="11221" priority="360" operator="greaterThan">
      <formula>0</formula>
    </cfRule>
  </conditionalFormatting>
  <conditionalFormatting sqref="G78:K78">
    <cfRule type="cellIs" dxfId="11220" priority="349" operator="equal">
      <formula>"PMS"</formula>
    </cfRule>
    <cfRule type="containsText" dxfId="11219" priority="350" operator="containsText" text="CMS">
      <formula>NOT(ISERROR(SEARCH("CMS",G78)))</formula>
    </cfRule>
    <cfRule type="cellIs" dxfId="11218" priority="351" operator="equal">
      <formula>0</formula>
    </cfRule>
    <cfRule type="cellIs" dxfId="11217" priority="352" operator="greaterThan">
      <formula>0</formula>
    </cfRule>
  </conditionalFormatting>
  <conditionalFormatting sqref="L78:L79">
    <cfRule type="cellIs" dxfId="11216" priority="341" operator="equal">
      <formula>"PMS"</formula>
    </cfRule>
    <cfRule type="containsText" dxfId="11215" priority="342" operator="containsText" text="CMS">
      <formula>NOT(ISERROR(SEARCH("CMS",L78)))</formula>
    </cfRule>
    <cfRule type="cellIs" dxfId="11214" priority="343" operator="equal">
      <formula>0</formula>
    </cfRule>
    <cfRule type="cellIs" dxfId="11213" priority="344" operator="greaterThan">
      <formula>0</formula>
    </cfRule>
    <cfRule type="cellIs" dxfId="11212" priority="345" operator="equal">
      <formula>"PMS"</formula>
    </cfRule>
    <cfRule type="containsText" dxfId="11211" priority="346" operator="containsText" text="CMS">
      <formula>NOT(ISERROR(SEARCH("CMS",L78)))</formula>
    </cfRule>
    <cfRule type="cellIs" dxfId="11210" priority="347" operator="equal">
      <formula>0</formula>
    </cfRule>
    <cfRule type="cellIs" dxfId="11209" priority="348" operator="greaterThan">
      <formula>0</formula>
    </cfRule>
  </conditionalFormatting>
  <conditionalFormatting sqref="L78:L79">
    <cfRule type="cellIs" dxfId="11208" priority="337" operator="equal">
      <formula>"PMS"</formula>
    </cfRule>
    <cfRule type="containsText" dxfId="11207" priority="338" operator="containsText" text="CMS">
      <formula>NOT(ISERROR(SEARCH("CMS",L78)))</formula>
    </cfRule>
    <cfRule type="cellIs" dxfId="11206" priority="339" operator="equal">
      <formula>0</formula>
    </cfRule>
    <cfRule type="cellIs" dxfId="11205" priority="340" operator="greaterThan">
      <formula>0</formula>
    </cfRule>
  </conditionalFormatting>
  <conditionalFormatting sqref="R27:R28">
    <cfRule type="cellIs" dxfId="11204" priority="329" operator="equal">
      <formula>"PMS"</formula>
    </cfRule>
    <cfRule type="containsText" dxfId="11203" priority="330" operator="containsText" text="CMS">
      <formula>NOT(ISERROR(SEARCH("CMS",R27)))</formula>
    </cfRule>
    <cfRule type="cellIs" dxfId="11202" priority="331" operator="equal">
      <formula>0</formula>
    </cfRule>
    <cfRule type="cellIs" dxfId="11201" priority="332" operator="greaterThan">
      <formula>0</formula>
    </cfRule>
    <cfRule type="cellIs" dxfId="11200" priority="333" operator="equal">
      <formula>"PMS"</formula>
    </cfRule>
    <cfRule type="containsText" dxfId="11199" priority="334" operator="containsText" text="CMS">
      <formula>NOT(ISERROR(SEARCH("CMS",R27)))</formula>
    </cfRule>
    <cfRule type="cellIs" dxfId="11198" priority="335" operator="equal">
      <formula>0</formula>
    </cfRule>
    <cfRule type="cellIs" dxfId="11197" priority="336" operator="greaterThan">
      <formula>0</formula>
    </cfRule>
  </conditionalFormatting>
  <conditionalFormatting sqref="R27:R28">
    <cfRule type="cellIs" dxfId="11196" priority="325" operator="equal">
      <formula>"PMS"</formula>
    </cfRule>
    <cfRule type="containsText" dxfId="11195" priority="326" operator="containsText" text="CMS">
      <formula>NOT(ISERROR(SEARCH("CMS",R27)))</formula>
    </cfRule>
    <cfRule type="cellIs" dxfId="11194" priority="327" operator="equal">
      <formula>0</formula>
    </cfRule>
    <cfRule type="cellIs" dxfId="11193" priority="328" operator="greaterThan">
      <formula>0</formula>
    </cfRule>
  </conditionalFormatting>
  <conditionalFormatting sqref="W78">
    <cfRule type="cellIs" dxfId="11192" priority="317" operator="equal">
      <formula>"PMS"</formula>
    </cfRule>
    <cfRule type="containsText" dxfId="11191" priority="318" operator="containsText" text="CMS">
      <formula>NOT(ISERROR(SEARCH("CMS",W78)))</formula>
    </cfRule>
    <cfRule type="cellIs" dxfId="11190" priority="319" operator="equal">
      <formula>0</formula>
    </cfRule>
    <cfRule type="cellIs" dxfId="11189" priority="320" operator="greaterThan">
      <formula>0</formula>
    </cfRule>
    <cfRule type="cellIs" dxfId="11188" priority="321" operator="equal">
      <formula>"PMS"</formula>
    </cfRule>
    <cfRule type="containsText" dxfId="11187" priority="322" operator="containsText" text="CMS">
      <formula>NOT(ISERROR(SEARCH("CMS",W78)))</formula>
    </cfRule>
    <cfRule type="cellIs" dxfId="11186" priority="323" operator="equal">
      <formula>0</formula>
    </cfRule>
    <cfRule type="cellIs" dxfId="11185" priority="324" operator="greaterThan">
      <formula>0</formula>
    </cfRule>
  </conditionalFormatting>
  <conditionalFormatting sqref="W78">
    <cfRule type="cellIs" dxfId="11184" priority="313" operator="equal">
      <formula>"PMS"</formula>
    </cfRule>
    <cfRule type="containsText" dxfId="11183" priority="314" operator="containsText" text="CMS">
      <formula>NOT(ISERROR(SEARCH("CMS",W78)))</formula>
    </cfRule>
    <cfRule type="cellIs" dxfId="11182" priority="315" operator="equal">
      <formula>0</formula>
    </cfRule>
    <cfRule type="cellIs" dxfId="11181" priority="316" operator="greaterThan">
      <formula>0</formula>
    </cfRule>
  </conditionalFormatting>
  <conditionalFormatting sqref="AA79">
    <cfRule type="cellIs" dxfId="11180" priority="305" operator="equal">
      <formula>"PMS"</formula>
    </cfRule>
    <cfRule type="containsText" dxfId="11179" priority="306" operator="containsText" text="CMS">
      <formula>NOT(ISERROR(SEARCH("CMS",AA79)))</formula>
    </cfRule>
    <cfRule type="cellIs" dxfId="11178" priority="307" operator="equal">
      <formula>0</formula>
    </cfRule>
    <cfRule type="cellIs" dxfId="11177" priority="308" operator="greaterThan">
      <formula>0</formula>
    </cfRule>
    <cfRule type="cellIs" dxfId="11176" priority="309" operator="equal">
      <formula>"PMS"</formula>
    </cfRule>
    <cfRule type="containsText" dxfId="11175" priority="310" operator="containsText" text="CMS">
      <formula>NOT(ISERROR(SEARCH("CMS",AA79)))</formula>
    </cfRule>
    <cfRule type="cellIs" dxfId="11174" priority="311" operator="equal">
      <formula>0</formula>
    </cfRule>
    <cfRule type="cellIs" dxfId="11173" priority="312" operator="greaterThan">
      <formula>0</formula>
    </cfRule>
  </conditionalFormatting>
  <conditionalFormatting sqref="AA79">
    <cfRule type="cellIs" dxfId="11172" priority="301" operator="equal">
      <formula>"PMS"</formula>
    </cfRule>
    <cfRule type="containsText" dxfId="11171" priority="302" operator="containsText" text="CMS">
      <formula>NOT(ISERROR(SEARCH("CMS",AA79)))</formula>
    </cfRule>
    <cfRule type="cellIs" dxfId="11170" priority="303" operator="equal">
      <formula>0</formula>
    </cfRule>
    <cfRule type="cellIs" dxfId="11169" priority="304" operator="greaterThan">
      <formula>0</formula>
    </cfRule>
  </conditionalFormatting>
  <conditionalFormatting sqref="L30:M30">
    <cfRule type="cellIs" dxfId="11168" priority="293" operator="equal">
      <formula>"PMS"</formula>
    </cfRule>
    <cfRule type="containsText" dxfId="11167" priority="294" operator="containsText" text="CMS">
      <formula>NOT(ISERROR(SEARCH("CMS",L30)))</formula>
    </cfRule>
    <cfRule type="cellIs" dxfId="11166" priority="295" operator="equal">
      <formula>0</formula>
    </cfRule>
    <cfRule type="cellIs" dxfId="11165" priority="296" operator="greaterThan">
      <formula>0</formula>
    </cfRule>
    <cfRule type="cellIs" dxfId="11164" priority="297" operator="equal">
      <formula>"PMS"</formula>
    </cfRule>
    <cfRule type="containsText" dxfId="11163" priority="298" operator="containsText" text="CMS">
      <formula>NOT(ISERROR(SEARCH("CMS",L30)))</formula>
    </cfRule>
    <cfRule type="cellIs" dxfId="11162" priority="299" operator="equal">
      <formula>0</formula>
    </cfRule>
    <cfRule type="cellIs" dxfId="11161" priority="300" operator="greaterThan">
      <formula>0</formula>
    </cfRule>
  </conditionalFormatting>
  <conditionalFormatting sqref="L30:M30">
    <cfRule type="cellIs" dxfId="11160" priority="289" operator="equal">
      <formula>"PMS"</formula>
    </cfRule>
    <cfRule type="containsText" dxfId="11159" priority="290" operator="containsText" text="CMS">
      <formula>NOT(ISERROR(SEARCH("CMS",L30)))</formula>
    </cfRule>
    <cfRule type="cellIs" dxfId="11158" priority="291" operator="equal">
      <formula>0</formula>
    </cfRule>
    <cfRule type="cellIs" dxfId="11157" priority="292" operator="greaterThan">
      <formula>0</formula>
    </cfRule>
  </conditionalFormatting>
  <conditionalFormatting sqref="R78">
    <cfRule type="cellIs" dxfId="11156" priority="281" operator="equal">
      <formula>"PMS"</formula>
    </cfRule>
    <cfRule type="containsText" dxfId="11155" priority="282" operator="containsText" text="CMS">
      <formula>NOT(ISERROR(SEARCH("CMS",R78)))</formula>
    </cfRule>
    <cfRule type="cellIs" dxfId="11154" priority="283" operator="equal">
      <formula>0</formula>
    </cfRule>
    <cfRule type="cellIs" dxfId="11153" priority="284" operator="greaterThan">
      <formula>0</formula>
    </cfRule>
    <cfRule type="cellIs" dxfId="11152" priority="285" operator="equal">
      <formula>"PMS"</formula>
    </cfRule>
    <cfRule type="containsText" dxfId="11151" priority="286" operator="containsText" text="CMS">
      <formula>NOT(ISERROR(SEARCH("CMS",R78)))</formula>
    </cfRule>
    <cfRule type="cellIs" dxfId="11150" priority="287" operator="equal">
      <formula>0</formula>
    </cfRule>
    <cfRule type="cellIs" dxfId="11149" priority="288" operator="greaterThan">
      <formula>0</formula>
    </cfRule>
  </conditionalFormatting>
  <conditionalFormatting sqref="R78">
    <cfRule type="cellIs" dxfId="11148" priority="277" operator="equal">
      <formula>"PMS"</formula>
    </cfRule>
    <cfRule type="containsText" dxfId="11147" priority="278" operator="containsText" text="CMS">
      <formula>NOT(ISERROR(SEARCH("CMS",R78)))</formula>
    </cfRule>
    <cfRule type="cellIs" dxfId="11146" priority="279" operator="equal">
      <formula>0</formula>
    </cfRule>
    <cfRule type="cellIs" dxfId="11145" priority="280" operator="greaterThan">
      <formula>0</formula>
    </cfRule>
  </conditionalFormatting>
  <conditionalFormatting sqref="M16">
    <cfRule type="cellIs" dxfId="11144" priority="233" operator="equal">
      <formula>"PMS"</formula>
    </cfRule>
    <cfRule type="containsText" dxfId="11143" priority="234" operator="containsText" text="CMS">
      <formula>NOT(ISERROR(SEARCH("CMS",M16)))</formula>
    </cfRule>
    <cfRule type="cellIs" dxfId="11142" priority="235" operator="equal">
      <formula>0</formula>
    </cfRule>
    <cfRule type="cellIs" dxfId="11141" priority="236" operator="greaterThan">
      <formula>0</formula>
    </cfRule>
    <cfRule type="cellIs" dxfId="11140" priority="237" operator="equal">
      <formula>"PMS"</formula>
    </cfRule>
    <cfRule type="containsText" dxfId="11139" priority="238" operator="containsText" text="CMS">
      <formula>NOT(ISERROR(SEARCH("CMS",M16)))</formula>
    </cfRule>
    <cfRule type="cellIs" dxfId="11138" priority="239" operator="equal">
      <formula>0</formula>
    </cfRule>
    <cfRule type="cellIs" dxfId="11137" priority="240" operator="greaterThan">
      <formula>0</formula>
    </cfRule>
  </conditionalFormatting>
  <conditionalFormatting sqref="M16">
    <cfRule type="cellIs" dxfId="11136" priority="229" operator="equal">
      <formula>"PMS"</formula>
    </cfRule>
    <cfRule type="containsText" dxfId="11135" priority="230" operator="containsText" text="CMS">
      <formula>NOT(ISERROR(SEARCH("CMS",M16)))</formula>
    </cfRule>
    <cfRule type="cellIs" dxfId="11134" priority="231" operator="equal">
      <formula>0</formula>
    </cfRule>
    <cfRule type="cellIs" dxfId="11133" priority="232" operator="greaterThan">
      <formula>0</formula>
    </cfRule>
  </conditionalFormatting>
  <conditionalFormatting sqref="O40">
    <cfRule type="cellIs" dxfId="11132" priority="197" operator="equal">
      <formula>"PMS"</formula>
    </cfRule>
    <cfRule type="containsText" dxfId="11131" priority="198" operator="containsText" text="CMS">
      <formula>NOT(ISERROR(SEARCH("CMS",O40)))</formula>
    </cfRule>
    <cfRule type="cellIs" dxfId="11130" priority="199" operator="equal">
      <formula>0</formula>
    </cfRule>
    <cfRule type="cellIs" dxfId="11129" priority="200" operator="greaterThan">
      <formula>0</formula>
    </cfRule>
    <cfRule type="cellIs" dxfId="11128" priority="201" operator="equal">
      <formula>"PMS"</formula>
    </cfRule>
    <cfRule type="containsText" dxfId="11127" priority="202" operator="containsText" text="CMS">
      <formula>NOT(ISERROR(SEARCH("CMS",O40)))</formula>
    </cfRule>
    <cfRule type="cellIs" dxfId="11126" priority="203" operator="equal">
      <formula>0</formula>
    </cfRule>
    <cfRule type="cellIs" dxfId="11125" priority="204" operator="greaterThan">
      <formula>0</formula>
    </cfRule>
  </conditionalFormatting>
  <conditionalFormatting sqref="O40">
    <cfRule type="cellIs" dxfId="11124" priority="193" operator="equal">
      <formula>"PMS"</formula>
    </cfRule>
    <cfRule type="containsText" dxfId="11123" priority="194" operator="containsText" text="CMS">
      <formula>NOT(ISERROR(SEARCH("CMS",O40)))</formula>
    </cfRule>
    <cfRule type="cellIs" dxfId="11122" priority="195" operator="equal">
      <formula>0</formula>
    </cfRule>
    <cfRule type="cellIs" dxfId="11121" priority="196" operator="greaterThan">
      <formula>0</formula>
    </cfRule>
  </conditionalFormatting>
  <conditionalFormatting sqref="P21">
    <cfRule type="cellIs" dxfId="11120" priority="185" operator="equal">
      <formula>"PMS"</formula>
    </cfRule>
    <cfRule type="containsText" dxfId="11119" priority="186" operator="containsText" text="CMS">
      <formula>NOT(ISERROR(SEARCH("CMS",P21)))</formula>
    </cfRule>
    <cfRule type="cellIs" dxfId="11118" priority="187" operator="equal">
      <formula>0</formula>
    </cfRule>
    <cfRule type="cellIs" dxfId="11117" priority="188" operator="greaterThan">
      <formula>0</formula>
    </cfRule>
    <cfRule type="cellIs" dxfId="11116" priority="189" operator="equal">
      <formula>"PMS"</formula>
    </cfRule>
    <cfRule type="containsText" dxfId="11115" priority="190" operator="containsText" text="CMS">
      <formula>NOT(ISERROR(SEARCH("CMS",P21)))</formula>
    </cfRule>
    <cfRule type="cellIs" dxfId="11114" priority="191" operator="equal">
      <formula>0</formula>
    </cfRule>
    <cfRule type="cellIs" dxfId="11113" priority="192" operator="greaterThan">
      <formula>0</formula>
    </cfRule>
  </conditionalFormatting>
  <conditionalFormatting sqref="P21">
    <cfRule type="cellIs" dxfId="11112" priority="181" operator="equal">
      <formula>"PMS"</formula>
    </cfRule>
    <cfRule type="containsText" dxfId="11111" priority="182" operator="containsText" text="CMS">
      <formula>NOT(ISERROR(SEARCH("CMS",P21)))</formula>
    </cfRule>
    <cfRule type="cellIs" dxfId="11110" priority="183" operator="equal">
      <formula>0</formula>
    </cfRule>
    <cfRule type="cellIs" dxfId="11109" priority="184" operator="greaterThan">
      <formula>0</formula>
    </cfRule>
  </conditionalFormatting>
  <conditionalFormatting sqref="M78:M79">
    <cfRule type="cellIs" dxfId="11108" priority="173" operator="equal">
      <formula>"PMS"</formula>
    </cfRule>
    <cfRule type="containsText" dxfId="11107" priority="174" operator="containsText" text="CMS">
      <formula>NOT(ISERROR(SEARCH("CMS",M78)))</formula>
    </cfRule>
    <cfRule type="cellIs" dxfId="11106" priority="175" operator="equal">
      <formula>0</formula>
    </cfRule>
    <cfRule type="cellIs" dxfId="11105" priority="176" operator="greaterThan">
      <formula>0</formula>
    </cfRule>
    <cfRule type="cellIs" dxfId="11104" priority="177" operator="equal">
      <formula>"PMS"</formula>
    </cfRule>
    <cfRule type="containsText" dxfId="11103" priority="178" operator="containsText" text="CMS">
      <formula>NOT(ISERROR(SEARCH("CMS",M78)))</formula>
    </cfRule>
    <cfRule type="cellIs" dxfId="11102" priority="179" operator="equal">
      <formula>0</formula>
    </cfRule>
    <cfRule type="cellIs" dxfId="11101" priority="180" operator="greaterThan">
      <formula>0</formula>
    </cfRule>
  </conditionalFormatting>
  <conditionalFormatting sqref="M78:M79">
    <cfRule type="cellIs" dxfId="11100" priority="169" operator="equal">
      <formula>"PMS"</formula>
    </cfRule>
    <cfRule type="containsText" dxfId="11099" priority="170" operator="containsText" text="CMS">
      <formula>NOT(ISERROR(SEARCH("CMS",M78)))</formula>
    </cfRule>
    <cfRule type="cellIs" dxfId="11098" priority="171" operator="equal">
      <formula>0</formula>
    </cfRule>
    <cfRule type="cellIs" dxfId="11097" priority="172" operator="greaterThan">
      <formula>0</formula>
    </cfRule>
  </conditionalFormatting>
  <conditionalFormatting sqref="G79:K79">
    <cfRule type="cellIs" dxfId="11096" priority="101" operator="equal">
      <formula>"PMS"</formula>
    </cfRule>
    <cfRule type="containsText" dxfId="11095" priority="102" operator="containsText" text="CMS">
      <formula>NOT(ISERROR(SEARCH("CMS",G79)))</formula>
    </cfRule>
    <cfRule type="cellIs" dxfId="11094" priority="103" operator="equal">
      <formula>0</formula>
    </cfRule>
    <cfRule type="cellIs" dxfId="11093" priority="104" operator="greaterThan">
      <formula>0</formula>
    </cfRule>
    <cfRule type="cellIs" dxfId="11092" priority="105" operator="equal">
      <formula>"PMS"</formula>
    </cfRule>
    <cfRule type="containsText" dxfId="11091" priority="106" operator="containsText" text="CMS">
      <formula>NOT(ISERROR(SEARCH("CMS",G79)))</formula>
    </cfRule>
    <cfRule type="cellIs" dxfId="11090" priority="107" operator="equal">
      <formula>0</formula>
    </cfRule>
    <cfRule type="cellIs" dxfId="11089" priority="108" operator="greaterThan">
      <formula>0</formula>
    </cfRule>
  </conditionalFormatting>
  <conditionalFormatting sqref="G79:K79">
    <cfRule type="cellIs" dxfId="11088" priority="97" operator="equal">
      <formula>"PMS"</formula>
    </cfRule>
    <cfRule type="containsText" dxfId="11087" priority="98" operator="containsText" text="CMS">
      <formula>NOT(ISERROR(SEARCH("CMS",G79)))</formula>
    </cfRule>
    <cfRule type="cellIs" dxfId="11086" priority="99" operator="equal">
      <formula>0</formula>
    </cfRule>
    <cfRule type="cellIs" dxfId="11085" priority="100" operator="greaterThan">
      <formula>0</formula>
    </cfRule>
  </conditionalFormatting>
  <conditionalFormatting sqref="M14:N14">
    <cfRule type="cellIs" dxfId="11084" priority="89" operator="equal">
      <formula>"PMS"</formula>
    </cfRule>
    <cfRule type="containsText" dxfId="11083" priority="90" operator="containsText" text="CMS">
      <formula>NOT(ISERROR(SEARCH("CMS",M14)))</formula>
    </cfRule>
    <cfRule type="cellIs" dxfId="11082" priority="91" operator="equal">
      <formula>0</formula>
    </cfRule>
    <cfRule type="cellIs" dxfId="11081" priority="92" operator="greaterThan">
      <formula>0</formula>
    </cfRule>
    <cfRule type="cellIs" dxfId="11080" priority="93" operator="equal">
      <formula>"PMS"</formula>
    </cfRule>
    <cfRule type="containsText" dxfId="11079" priority="94" operator="containsText" text="CMS">
      <formula>NOT(ISERROR(SEARCH("CMS",M14)))</formula>
    </cfRule>
    <cfRule type="cellIs" dxfId="11078" priority="95" operator="equal">
      <formula>0</formula>
    </cfRule>
    <cfRule type="cellIs" dxfId="11077" priority="96" operator="greaterThan">
      <formula>0</formula>
    </cfRule>
  </conditionalFormatting>
  <conditionalFormatting sqref="M14:N14">
    <cfRule type="cellIs" dxfId="11076" priority="85" operator="equal">
      <formula>"PMS"</formula>
    </cfRule>
    <cfRule type="containsText" dxfId="11075" priority="86" operator="containsText" text="CMS">
      <formula>NOT(ISERROR(SEARCH("CMS",M14)))</formula>
    </cfRule>
    <cfRule type="cellIs" dxfId="11074" priority="87" operator="equal">
      <formula>0</formula>
    </cfRule>
    <cfRule type="cellIs" dxfId="11073" priority="88" operator="greaterThan">
      <formula>0</formula>
    </cfRule>
  </conditionalFormatting>
  <conditionalFormatting sqref="N64:R64">
    <cfRule type="cellIs" dxfId="11072" priority="77" operator="equal">
      <formula>"PMS"</formula>
    </cfRule>
    <cfRule type="containsText" dxfId="11071" priority="78" operator="containsText" text="CMS">
      <formula>NOT(ISERROR(SEARCH("CMS",N64)))</formula>
    </cfRule>
    <cfRule type="cellIs" dxfId="11070" priority="79" operator="equal">
      <formula>0</formula>
    </cfRule>
    <cfRule type="cellIs" dxfId="11069" priority="80" operator="greaterThan">
      <formula>0</formula>
    </cfRule>
    <cfRule type="cellIs" dxfId="11068" priority="81" operator="equal">
      <formula>"PMS"</formula>
    </cfRule>
    <cfRule type="containsText" dxfId="11067" priority="82" operator="containsText" text="CMS">
      <formula>NOT(ISERROR(SEARCH("CMS",N64)))</formula>
    </cfRule>
    <cfRule type="cellIs" dxfId="11066" priority="83" operator="equal">
      <formula>0</formula>
    </cfRule>
    <cfRule type="cellIs" dxfId="11065" priority="84" operator="greaterThan">
      <formula>0</formula>
    </cfRule>
  </conditionalFormatting>
  <conditionalFormatting sqref="N64:R64">
    <cfRule type="cellIs" dxfId="11064" priority="73" operator="equal">
      <formula>"PMS"</formula>
    </cfRule>
    <cfRule type="containsText" dxfId="11063" priority="74" operator="containsText" text="CMS">
      <formula>NOT(ISERROR(SEARCH("CMS",N64)))</formula>
    </cfRule>
    <cfRule type="cellIs" dxfId="11062" priority="75" operator="equal">
      <formula>0</formula>
    </cfRule>
    <cfRule type="cellIs" dxfId="11061" priority="76" operator="greaterThan">
      <formula>0</formula>
    </cfRule>
  </conditionalFormatting>
  <conditionalFormatting sqref="F13:F16 F36:F59 F62:F64">
    <cfRule type="cellIs" dxfId="11060" priority="65" operator="equal">
      <formula>"PMS"</formula>
    </cfRule>
    <cfRule type="containsText" dxfId="11059" priority="66" operator="containsText" text="CMS">
      <formula>NOT(ISERROR(SEARCH("CMS",F13)))</formula>
    </cfRule>
    <cfRule type="cellIs" dxfId="11058" priority="67" operator="equal">
      <formula>0</formula>
    </cfRule>
    <cfRule type="cellIs" dxfId="11057" priority="68" operator="greaterThan">
      <formula>0</formula>
    </cfRule>
    <cfRule type="cellIs" dxfId="11056" priority="69" operator="equal">
      <formula>"PMS"</formula>
    </cfRule>
    <cfRule type="containsText" dxfId="11055" priority="70" operator="containsText" text="CMS">
      <formula>NOT(ISERROR(SEARCH("CMS",F13)))</formula>
    </cfRule>
    <cfRule type="cellIs" dxfId="11054" priority="71" operator="equal">
      <formula>0</formula>
    </cfRule>
    <cfRule type="cellIs" dxfId="11053" priority="72" operator="greaterThan">
      <formula>0</formula>
    </cfRule>
  </conditionalFormatting>
  <conditionalFormatting sqref="F13:F16 F36:F59 F62:F64">
    <cfRule type="cellIs" dxfId="11052" priority="61" operator="equal">
      <formula>"PMS"</formula>
    </cfRule>
    <cfRule type="containsText" dxfId="11051" priority="62" operator="containsText" text="CMS">
      <formula>NOT(ISERROR(SEARCH("CMS",F13)))</formula>
    </cfRule>
    <cfRule type="cellIs" dxfId="11050" priority="63" operator="equal">
      <formula>0</formula>
    </cfRule>
    <cfRule type="cellIs" dxfId="11049" priority="64" operator="greaterThan">
      <formula>0</formula>
    </cfRule>
  </conditionalFormatting>
  <conditionalFormatting sqref="F67:F75">
    <cfRule type="cellIs" dxfId="11048" priority="53" operator="equal">
      <formula>"PMS"</formula>
    </cfRule>
    <cfRule type="containsText" dxfId="11047" priority="54" operator="containsText" text="CMS">
      <formula>NOT(ISERROR(SEARCH("CMS",F67)))</formula>
    </cfRule>
    <cfRule type="cellIs" dxfId="11046" priority="55" operator="equal">
      <formula>0</formula>
    </cfRule>
    <cfRule type="cellIs" dxfId="11045" priority="56" operator="greaterThan">
      <formula>0</formula>
    </cfRule>
    <cfRule type="cellIs" dxfId="11044" priority="57" operator="equal">
      <formula>"PMS"</formula>
    </cfRule>
    <cfRule type="containsText" dxfId="11043" priority="58" operator="containsText" text="CMS">
      <formula>NOT(ISERROR(SEARCH("CMS",F67)))</formula>
    </cfRule>
    <cfRule type="cellIs" dxfId="11042" priority="59" operator="equal">
      <formula>0</formula>
    </cfRule>
    <cfRule type="cellIs" dxfId="11041" priority="60" operator="greaterThan">
      <formula>0</formula>
    </cfRule>
  </conditionalFormatting>
  <conditionalFormatting sqref="F67:F75">
    <cfRule type="cellIs" dxfId="11040" priority="49" operator="equal">
      <formula>"PMS"</formula>
    </cfRule>
    <cfRule type="containsText" dxfId="11039" priority="50" operator="containsText" text="CMS">
      <formula>NOT(ISERROR(SEARCH("CMS",F67)))</formula>
    </cfRule>
    <cfRule type="cellIs" dxfId="11038" priority="51" operator="equal">
      <formula>0</formula>
    </cfRule>
    <cfRule type="cellIs" dxfId="11037" priority="52" operator="greaterThan">
      <formula>0</formula>
    </cfRule>
  </conditionalFormatting>
  <conditionalFormatting sqref="F28:F30 F24 F78:F79 F33 F19:F21">
    <cfRule type="cellIs" dxfId="11036" priority="41" operator="equal">
      <formula>"PMS"</formula>
    </cfRule>
    <cfRule type="containsText" dxfId="11035" priority="42" operator="containsText" text="CMS">
      <formula>NOT(ISERROR(SEARCH("CMS",F19)))</formula>
    </cfRule>
    <cfRule type="cellIs" dxfId="11034" priority="43" operator="equal">
      <formula>0</formula>
    </cfRule>
    <cfRule type="cellIs" dxfId="11033" priority="44" operator="greaterThan">
      <formula>0</formula>
    </cfRule>
    <cfRule type="cellIs" dxfId="11032" priority="45" operator="equal">
      <formula>"PMS"</formula>
    </cfRule>
    <cfRule type="containsText" dxfId="11031" priority="46" operator="containsText" text="CMS">
      <formula>NOT(ISERROR(SEARCH("CMS",F19)))</formula>
    </cfRule>
    <cfRule type="cellIs" dxfId="11030" priority="47" operator="equal">
      <formula>0</formula>
    </cfRule>
    <cfRule type="cellIs" dxfId="11029" priority="48" operator="greaterThan">
      <formula>0</formula>
    </cfRule>
  </conditionalFormatting>
  <conditionalFormatting sqref="F28:F30 F24 F78:F79 F33 F19:F21">
    <cfRule type="cellIs" dxfId="11028" priority="37" operator="equal">
      <formula>"PMS"</formula>
    </cfRule>
    <cfRule type="containsText" dxfId="11027" priority="38" operator="containsText" text="CMS">
      <formula>NOT(ISERROR(SEARCH("CMS",F19)))</formula>
    </cfRule>
    <cfRule type="cellIs" dxfId="11026" priority="39" operator="equal">
      <formula>0</formula>
    </cfRule>
    <cfRule type="cellIs" dxfId="11025" priority="40" operator="greaterThan">
      <formula>0</formula>
    </cfRule>
  </conditionalFormatting>
  <conditionalFormatting sqref="F27">
    <cfRule type="cellIs" dxfId="11024" priority="29" operator="equal">
      <formula>"PMS"</formula>
    </cfRule>
    <cfRule type="containsText" dxfId="11023" priority="30" operator="containsText" text="CMS">
      <formula>NOT(ISERROR(SEARCH("CMS",F27)))</formula>
    </cfRule>
    <cfRule type="cellIs" dxfId="11022" priority="31" operator="equal">
      <formula>0</formula>
    </cfRule>
    <cfRule type="cellIs" dxfId="11021" priority="32" operator="greaterThan">
      <formula>0</formula>
    </cfRule>
    <cfRule type="cellIs" dxfId="11020" priority="33" operator="equal">
      <formula>"PMS"</formula>
    </cfRule>
    <cfRule type="containsText" dxfId="11019" priority="34" operator="containsText" text="CMS">
      <formula>NOT(ISERROR(SEARCH("CMS",F27)))</formula>
    </cfRule>
    <cfRule type="cellIs" dxfId="11018" priority="35" operator="equal">
      <formula>0</formula>
    </cfRule>
    <cfRule type="cellIs" dxfId="11017" priority="36" operator="greaterThan">
      <formula>0</formula>
    </cfRule>
  </conditionalFormatting>
  <conditionalFormatting sqref="F27">
    <cfRule type="cellIs" dxfId="11016" priority="25" operator="equal">
      <formula>"PMS"</formula>
    </cfRule>
    <cfRule type="containsText" dxfId="11015" priority="26" operator="containsText" text="CMS">
      <formula>NOT(ISERROR(SEARCH("CMS",F27)))</formula>
    </cfRule>
    <cfRule type="cellIs" dxfId="11014" priority="27" operator="equal">
      <formula>0</formula>
    </cfRule>
    <cfRule type="cellIs" dxfId="11013" priority="28" operator="greaterThan">
      <formula>0</formula>
    </cfRule>
  </conditionalFormatting>
  <conditionalFormatting sqref="O51">
    <cfRule type="cellIs" dxfId="11012" priority="17" operator="equal">
      <formula>"PMS"</formula>
    </cfRule>
    <cfRule type="containsText" dxfId="11011" priority="18" operator="containsText" text="CMS">
      <formula>NOT(ISERROR(SEARCH("CMS",O51)))</formula>
    </cfRule>
    <cfRule type="cellIs" dxfId="11010" priority="19" operator="equal">
      <formula>0</formula>
    </cfRule>
    <cfRule type="cellIs" dxfId="11009" priority="20" operator="greaterThan">
      <formula>0</formula>
    </cfRule>
    <cfRule type="cellIs" dxfId="11008" priority="21" operator="equal">
      <formula>"PMS"</formula>
    </cfRule>
    <cfRule type="containsText" dxfId="11007" priority="22" operator="containsText" text="CMS">
      <formula>NOT(ISERROR(SEARCH("CMS",O51)))</formula>
    </cfRule>
    <cfRule type="cellIs" dxfId="11006" priority="23" operator="equal">
      <formula>0</formula>
    </cfRule>
    <cfRule type="cellIs" dxfId="11005" priority="24" operator="greaterThan">
      <formula>0</formula>
    </cfRule>
  </conditionalFormatting>
  <conditionalFormatting sqref="O51">
    <cfRule type="cellIs" dxfId="11004" priority="13" operator="equal">
      <formula>"PMS"</formula>
    </cfRule>
    <cfRule type="containsText" dxfId="11003" priority="14" operator="containsText" text="CMS">
      <formula>NOT(ISERROR(SEARCH("CMS",O51)))</formula>
    </cfRule>
    <cfRule type="cellIs" dxfId="11002" priority="15" operator="equal">
      <formula>0</formula>
    </cfRule>
    <cfRule type="cellIs" dxfId="11001" priority="16" operator="greaterThan">
      <formula>0</formula>
    </cfRule>
  </conditionalFormatting>
  <conditionalFormatting sqref="O56">
    <cfRule type="cellIs" dxfId="11000" priority="5" operator="equal">
      <formula>"PMS"</formula>
    </cfRule>
    <cfRule type="containsText" dxfId="10999" priority="6" operator="containsText" text="CMS">
      <formula>NOT(ISERROR(SEARCH("CMS",O56)))</formula>
    </cfRule>
    <cfRule type="cellIs" dxfId="10998" priority="7" operator="equal">
      <formula>0</formula>
    </cfRule>
    <cfRule type="cellIs" dxfId="10997" priority="8" operator="greaterThan">
      <formula>0</formula>
    </cfRule>
    <cfRule type="cellIs" dxfId="10996" priority="9" operator="equal">
      <formula>"PMS"</formula>
    </cfRule>
    <cfRule type="containsText" dxfId="10995" priority="10" operator="containsText" text="CMS">
      <formula>NOT(ISERROR(SEARCH("CMS",O56)))</formula>
    </cfRule>
    <cfRule type="cellIs" dxfId="10994" priority="11" operator="equal">
      <formula>0</formula>
    </cfRule>
    <cfRule type="cellIs" dxfId="10993" priority="12" operator="greaterThan">
      <formula>0</formula>
    </cfRule>
  </conditionalFormatting>
  <conditionalFormatting sqref="O56">
    <cfRule type="cellIs" dxfId="10992" priority="1" operator="equal">
      <formula>"PMS"</formula>
    </cfRule>
    <cfRule type="containsText" dxfId="10991" priority="2" operator="containsText" text="CMS">
      <formula>NOT(ISERROR(SEARCH("CMS",O56)))</formula>
    </cfRule>
    <cfRule type="cellIs" dxfId="10990" priority="3" operator="equal">
      <formula>0</formula>
    </cfRule>
    <cfRule type="cellIs" dxfId="1098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9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7255B-FD60-423F-A26B-2FB9C6B4344B}">
  <sheetPr codeName="Sheet237"/>
  <dimension ref="A2:DT141"/>
  <sheetViews>
    <sheetView zoomScale="70" zoomScaleNormal="70" workbookViewId="0">
      <pane xSplit="5" ySplit="11" topLeftCell="F12" activePane="bottomRight" state="frozen"/>
      <selection pane="bottomRight" activeCell="U14" sqref="U1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345.20000000000005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7" t="s">
        <v>9</v>
      </c>
      <c r="L14" s="357" t="s">
        <v>9</v>
      </c>
      <c r="M14" s="357" t="s">
        <v>9</v>
      </c>
      <c r="N14" s="357" t="s">
        <v>9</v>
      </c>
      <c r="O14" s="357" t="s">
        <v>9</v>
      </c>
      <c r="P14" s="357">
        <v>6.5</v>
      </c>
      <c r="Q14" s="357">
        <v>6</v>
      </c>
      <c r="R14" s="357">
        <v>6</v>
      </c>
      <c r="S14" s="462">
        <v>5.8</v>
      </c>
      <c r="T14" s="462">
        <v>5.5</v>
      </c>
      <c r="U14" s="357">
        <v>4.0999999999999996</v>
      </c>
      <c r="V14" s="357" t="s">
        <v>9</v>
      </c>
      <c r="W14" s="357" t="s">
        <v>9</v>
      </c>
      <c r="X14" s="357" t="s">
        <v>9</v>
      </c>
      <c r="Y14" s="357" t="s">
        <v>9</v>
      </c>
      <c r="Z14" s="462" t="s">
        <v>9</v>
      </c>
      <c r="AA14" s="462" t="s">
        <v>9</v>
      </c>
      <c r="AB14" s="357" t="s">
        <v>9</v>
      </c>
      <c r="AC14" s="357" t="s">
        <v>9</v>
      </c>
      <c r="AD14" s="41"/>
      <c r="AE14" s="41"/>
      <c r="AF14" s="11">
        <f>COUNTIF(F14:AC14,$AJ$8)</f>
        <v>18</v>
      </c>
      <c r="AG14" s="11">
        <f>COUNTIF(F14:AD14,$AJ$7)</f>
        <v>0</v>
      </c>
      <c r="AH14" s="11">
        <f>COUNT(F14:AC14)</f>
        <v>6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6.8</v>
      </c>
      <c r="G15" s="357">
        <v>6.8</v>
      </c>
      <c r="H15" s="357">
        <v>6.7</v>
      </c>
      <c r="I15" s="357">
        <v>6.6</v>
      </c>
      <c r="J15" s="357">
        <v>6.8</v>
      </c>
      <c r="K15" s="359">
        <v>6.6</v>
      </c>
      <c r="L15" s="359">
        <v>6.5</v>
      </c>
      <c r="M15" s="359">
        <v>6.6</v>
      </c>
      <c r="N15" s="357">
        <v>6.9</v>
      </c>
      <c r="O15" s="357">
        <v>6.8</v>
      </c>
      <c r="P15" s="357">
        <v>3.6</v>
      </c>
      <c r="Q15" s="357">
        <v>6</v>
      </c>
      <c r="R15" s="357">
        <v>6.5</v>
      </c>
      <c r="S15" s="462">
        <v>6.6</v>
      </c>
      <c r="T15" s="462">
        <v>6.4</v>
      </c>
      <c r="U15" s="357">
        <v>6.5</v>
      </c>
      <c r="V15" s="462">
        <v>6.6</v>
      </c>
      <c r="W15" s="357">
        <v>6.4</v>
      </c>
      <c r="X15" s="357">
        <v>6.5</v>
      </c>
      <c r="Y15" s="357">
        <v>6.8</v>
      </c>
      <c r="Z15" s="462">
        <v>6.6</v>
      </c>
      <c r="AA15" s="462">
        <v>6.6</v>
      </c>
      <c r="AB15" s="357">
        <v>6.6</v>
      </c>
      <c r="AC15" s="462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6.8</v>
      </c>
      <c r="G16" s="357">
        <v>6.7</v>
      </c>
      <c r="H16" s="357">
        <v>6.7</v>
      </c>
      <c r="I16" s="357">
        <v>6.6</v>
      </c>
      <c r="J16" s="357">
        <v>6.8</v>
      </c>
      <c r="K16" s="359">
        <v>6.7</v>
      </c>
      <c r="L16" s="359">
        <v>6.6</v>
      </c>
      <c r="M16" s="357">
        <v>6.6</v>
      </c>
      <c r="N16" s="359">
        <v>6.9</v>
      </c>
      <c r="O16" s="357">
        <v>6.8</v>
      </c>
      <c r="P16" s="357">
        <v>3.6</v>
      </c>
      <c r="Q16" s="357">
        <v>6</v>
      </c>
      <c r="R16" s="357">
        <v>6.5</v>
      </c>
      <c r="S16" s="462">
        <v>6.6</v>
      </c>
      <c r="T16" s="462">
        <v>6.4</v>
      </c>
      <c r="U16" s="357">
        <v>6.5</v>
      </c>
      <c r="V16" s="462">
        <v>6.6</v>
      </c>
      <c r="W16" s="357">
        <v>6.4</v>
      </c>
      <c r="X16" s="357">
        <v>6.5</v>
      </c>
      <c r="Y16" s="357">
        <v>6.8</v>
      </c>
      <c r="Z16" s="462">
        <v>6.6</v>
      </c>
      <c r="AA16" s="462">
        <v>6.6</v>
      </c>
      <c r="AB16" s="462">
        <v>6.6</v>
      </c>
      <c r="AC16" s="357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  <c r="AL16">
        <f>6.3*3-6.7-5.2*2</f>
        <v>1.7999999999999989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13.5</v>
      </c>
      <c r="H17" s="19">
        <f t="shared" si="0"/>
        <v>13.4</v>
      </c>
      <c r="I17" s="19">
        <f t="shared" si="0"/>
        <v>13.2</v>
      </c>
      <c r="J17" s="19">
        <f t="shared" si="0"/>
        <v>13.6</v>
      </c>
      <c r="K17" s="19">
        <f t="shared" si="0"/>
        <v>13.3</v>
      </c>
      <c r="L17" s="19">
        <f t="shared" si="0"/>
        <v>13.1</v>
      </c>
      <c r="M17" s="19">
        <f t="shared" si="0"/>
        <v>13.2</v>
      </c>
      <c r="N17" s="19">
        <f t="shared" si="0"/>
        <v>13.8</v>
      </c>
      <c r="O17" s="19">
        <f t="shared" si="0"/>
        <v>13.6</v>
      </c>
      <c r="P17" s="19">
        <f t="shared" si="0"/>
        <v>13.7</v>
      </c>
      <c r="Q17" s="19">
        <f t="shared" si="0"/>
        <v>18</v>
      </c>
      <c r="R17" s="19">
        <f t="shared" si="0"/>
        <v>19</v>
      </c>
      <c r="S17" s="463">
        <f t="shared" si="0"/>
        <v>19</v>
      </c>
      <c r="T17" s="463">
        <f t="shared" si="0"/>
        <v>18.3</v>
      </c>
      <c r="U17" s="19">
        <f t="shared" si="0"/>
        <v>17.100000000000001</v>
      </c>
      <c r="V17" s="19">
        <f t="shared" si="0"/>
        <v>13.2</v>
      </c>
      <c r="W17" s="19">
        <f t="shared" si="0"/>
        <v>12.8</v>
      </c>
      <c r="X17" s="19">
        <f t="shared" si="0"/>
        <v>13</v>
      </c>
      <c r="Y17" s="19">
        <f t="shared" si="0"/>
        <v>13.6</v>
      </c>
      <c r="Z17" s="463">
        <f t="shared" si="0"/>
        <v>13.2</v>
      </c>
      <c r="AA17" s="463">
        <f t="shared" si="0"/>
        <v>13.2</v>
      </c>
      <c r="AB17" s="463">
        <f>SUM(AB13:AB16)</f>
        <v>13.2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67.899999999999977</v>
      </c>
    </row>
    <row r="19" spans="1:51">
      <c r="A19" s="14" t="s">
        <v>22</v>
      </c>
      <c r="B19" s="15"/>
      <c r="C19" s="15">
        <v>3</v>
      </c>
      <c r="D19" s="15"/>
      <c r="E19" s="15"/>
      <c r="F19" s="357">
        <v>0</v>
      </c>
      <c r="G19" s="357">
        <v>0</v>
      </c>
      <c r="H19" s="357">
        <v>0</v>
      </c>
      <c r="I19" s="357">
        <v>0</v>
      </c>
      <c r="J19" s="357">
        <v>0</v>
      </c>
      <c r="K19" s="357">
        <v>0</v>
      </c>
      <c r="L19" s="359">
        <v>1.2</v>
      </c>
      <c r="M19" s="359">
        <v>1.5</v>
      </c>
      <c r="N19" s="357">
        <v>2.8</v>
      </c>
      <c r="O19" s="357">
        <v>2.8</v>
      </c>
      <c r="P19" s="357">
        <v>2.8</v>
      </c>
      <c r="Q19" s="357">
        <v>2.6</v>
      </c>
      <c r="R19" s="357">
        <v>2.8</v>
      </c>
      <c r="S19" s="462">
        <v>2.8</v>
      </c>
      <c r="T19" s="462">
        <v>2.8</v>
      </c>
      <c r="U19" s="357">
        <v>2.8</v>
      </c>
      <c r="V19" s="357">
        <v>2.8</v>
      </c>
      <c r="W19" s="357">
        <v>1.5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2.8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23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>
        <v>1</v>
      </c>
      <c r="W21" s="357">
        <f>3.8-1.5</f>
        <v>2.2999999999999998</v>
      </c>
      <c r="X21" s="357">
        <v>3.8</v>
      </c>
      <c r="Y21" s="357">
        <v>3.8</v>
      </c>
      <c r="Z21" s="357">
        <v>3.5</v>
      </c>
      <c r="AA21" s="357">
        <v>3.8</v>
      </c>
      <c r="AB21" s="357">
        <v>3</v>
      </c>
      <c r="AC21" s="357">
        <v>3.5</v>
      </c>
      <c r="AD21" s="41"/>
      <c r="AE21" s="41"/>
      <c r="AF21" s="11">
        <f>COUNTIF(F21:AC21,$AJ$8)</f>
        <v>16</v>
      </c>
      <c r="AG21" s="11">
        <f>COUNTIF(G21:AD21,$AJ$7)</f>
        <v>0</v>
      </c>
      <c r="AH21" s="11">
        <f>COUNT(F21:AC21)</f>
        <v>8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1.2</v>
      </c>
      <c r="M22" s="19">
        <f t="shared" si="1"/>
        <v>1.5</v>
      </c>
      <c r="N22" s="19">
        <f t="shared" si="1"/>
        <v>2.8</v>
      </c>
      <c r="O22" s="19">
        <f t="shared" si="1"/>
        <v>2.8</v>
      </c>
      <c r="P22" s="19">
        <f t="shared" si="1"/>
        <v>2.8</v>
      </c>
      <c r="Q22" s="19">
        <f t="shared" si="1"/>
        <v>2.6</v>
      </c>
      <c r="R22" s="19">
        <f t="shared" si="1"/>
        <v>2.8</v>
      </c>
      <c r="S22" s="463">
        <f>SUM(S19:S21)</f>
        <v>2.8</v>
      </c>
      <c r="T22" s="463">
        <f t="shared" ref="T22" si="2">SUM(T19:T21)</f>
        <v>2.8</v>
      </c>
      <c r="U22" s="19">
        <f t="shared" si="1"/>
        <v>2.8</v>
      </c>
      <c r="V22" s="19">
        <f t="shared" si="1"/>
        <v>3.8</v>
      </c>
      <c r="W22" s="19">
        <f t="shared" si="1"/>
        <v>3.8</v>
      </c>
      <c r="X22" s="19">
        <f t="shared" si="1"/>
        <v>6.6</v>
      </c>
      <c r="Y22" s="19">
        <f t="shared" si="1"/>
        <v>6.6</v>
      </c>
      <c r="Z22" s="463">
        <f>SUM(Z19:Z21)</f>
        <v>6.3</v>
      </c>
      <c r="AA22" s="463">
        <f t="shared" si="1"/>
        <v>6.6</v>
      </c>
      <c r="AB22" s="463">
        <f>SUM(AB19:AB21)</f>
        <v>5.8</v>
      </c>
      <c r="AC22" s="19">
        <f t="shared" si="1"/>
        <v>3.5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57.199999999999989</v>
      </c>
    </row>
    <row r="24" spans="1:51">
      <c r="A24" s="14" t="s">
        <v>22</v>
      </c>
      <c r="B24" s="20"/>
      <c r="C24" s="15">
        <v>4.5</v>
      </c>
      <c r="D24" s="15"/>
      <c r="E24" s="15"/>
      <c r="F24" s="357">
        <v>3</v>
      </c>
      <c r="G24" s="357">
        <v>0</v>
      </c>
      <c r="H24" s="357">
        <v>0</v>
      </c>
      <c r="I24" s="357">
        <v>0</v>
      </c>
      <c r="J24" s="357">
        <v>0</v>
      </c>
      <c r="K24" s="357">
        <v>0</v>
      </c>
      <c r="L24" s="359">
        <v>0</v>
      </c>
      <c r="M24" s="359">
        <v>0</v>
      </c>
      <c r="N24" s="359">
        <v>0.5</v>
      </c>
      <c r="O24" s="357">
        <v>3.8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2.9</v>
      </c>
      <c r="X24" s="357">
        <v>3</v>
      </c>
      <c r="Y24" s="357">
        <v>3.8</v>
      </c>
      <c r="Z24" s="357">
        <v>3.8</v>
      </c>
      <c r="AA24" s="357">
        <v>3.8</v>
      </c>
      <c r="AB24" s="357">
        <v>3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0.5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463">
        <f t="shared" si="4"/>
        <v>3.8</v>
      </c>
      <c r="T25" s="463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2.9</v>
      </c>
      <c r="X25" s="19">
        <f t="shared" si="4"/>
        <v>3</v>
      </c>
      <c r="Y25" s="19">
        <f t="shared" si="4"/>
        <v>3.8</v>
      </c>
      <c r="Z25" s="463">
        <f t="shared" si="4"/>
        <v>3.8</v>
      </c>
      <c r="AA25" s="463">
        <f t="shared" si="4"/>
        <v>3.8</v>
      </c>
      <c r="AB25" s="463">
        <f t="shared" si="4"/>
        <v>3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81.800000000000026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>
        <v>1.8</v>
      </c>
      <c r="L27" s="359">
        <v>3.8</v>
      </c>
      <c r="M27" s="357">
        <v>3</v>
      </c>
      <c r="N27" s="357">
        <v>3.8</v>
      </c>
      <c r="O27" s="357">
        <v>3.8</v>
      </c>
      <c r="P27" s="357">
        <v>3.9</v>
      </c>
      <c r="Q27" s="357"/>
      <c r="R27" s="357"/>
      <c r="S27" s="462"/>
      <c r="T27" s="462"/>
      <c r="U27" s="357"/>
      <c r="V27" s="359">
        <v>3.3</v>
      </c>
      <c r="W27" s="357">
        <v>3</v>
      </c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2.5</v>
      </c>
      <c r="H28" s="357">
        <v>1.5</v>
      </c>
      <c r="I28" s="357"/>
      <c r="J28" s="359"/>
      <c r="K28" s="357"/>
      <c r="L28" s="359"/>
      <c r="M28" s="357"/>
      <c r="N28" s="357"/>
      <c r="O28" s="357">
        <v>1.5</v>
      </c>
      <c r="P28" s="357">
        <v>3.9</v>
      </c>
      <c r="Q28" s="357">
        <v>3.7</v>
      </c>
      <c r="R28" s="357">
        <v>3.7</v>
      </c>
      <c r="S28" s="462">
        <v>3.7</v>
      </c>
      <c r="T28" s="359">
        <v>3.7</v>
      </c>
      <c r="U28" s="359">
        <v>3.7</v>
      </c>
      <c r="V28" s="359">
        <v>3.3</v>
      </c>
      <c r="W28" s="357">
        <v>3</v>
      </c>
      <c r="X28" s="357">
        <v>3.7</v>
      </c>
      <c r="Y28" s="357">
        <v>3.7</v>
      </c>
      <c r="Z28" s="357">
        <v>3.7</v>
      </c>
      <c r="AA28" s="357">
        <v>3.7</v>
      </c>
      <c r="AB28" s="357">
        <v>3.2</v>
      </c>
      <c r="AC28" s="357">
        <v>1.7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18</v>
      </c>
      <c r="AI28" s="159">
        <f>SUM(F29:AC30)</f>
        <v>219.52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 t="s">
        <v>9</v>
      </c>
      <c r="P29" s="357" t="s">
        <v>9</v>
      </c>
      <c r="Q29" s="357">
        <v>3</v>
      </c>
      <c r="R29" s="357">
        <v>3.3</v>
      </c>
      <c r="S29" s="462">
        <v>5.0999999999999996</v>
      </c>
      <c r="T29" s="359">
        <v>5</v>
      </c>
      <c r="U29" s="357">
        <v>6.8</v>
      </c>
      <c r="V29" s="357">
        <v>6.8</v>
      </c>
      <c r="W29" s="359">
        <v>4.5</v>
      </c>
      <c r="X29" s="357">
        <v>3.9</v>
      </c>
      <c r="Y29" s="359">
        <v>7.1</v>
      </c>
      <c r="Z29" s="357">
        <v>5.5</v>
      </c>
      <c r="AA29" s="357">
        <v>3.8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6.5</v>
      </c>
      <c r="G30" s="359">
        <v>7</v>
      </c>
      <c r="H30" s="357">
        <v>6.4</v>
      </c>
      <c r="I30" s="357">
        <v>6.87</v>
      </c>
      <c r="J30" s="357">
        <v>6.2</v>
      </c>
      <c r="K30" s="357">
        <v>6.23</v>
      </c>
      <c r="L30" s="357">
        <v>7</v>
      </c>
      <c r="M30" s="357">
        <v>6.8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6.72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5">SUM(F27:F30)</f>
        <v>8</v>
      </c>
      <c r="G31" s="19">
        <f>SUM(G27:G30)</f>
        <v>9.5</v>
      </c>
      <c r="H31" s="19">
        <v>6</v>
      </c>
      <c r="I31" s="19">
        <f t="shared" ref="I31:X31" si="6">SUM(I27:I30)</f>
        <v>6.87</v>
      </c>
      <c r="J31" s="19">
        <f t="shared" si="6"/>
        <v>6.2</v>
      </c>
      <c r="K31" s="19">
        <f t="shared" si="6"/>
        <v>8.0300000000000011</v>
      </c>
      <c r="L31" s="19">
        <f t="shared" si="6"/>
        <v>10.8</v>
      </c>
      <c r="M31" s="19">
        <f t="shared" si="6"/>
        <v>9.8000000000000007</v>
      </c>
      <c r="N31" s="19">
        <f t="shared" si="6"/>
        <v>10.8</v>
      </c>
      <c r="O31" s="19">
        <f t="shared" si="6"/>
        <v>12.3</v>
      </c>
      <c r="P31" s="19">
        <f t="shared" si="6"/>
        <v>14.8</v>
      </c>
      <c r="Q31" s="19">
        <f t="shared" si="6"/>
        <v>13.7</v>
      </c>
      <c r="R31" s="19">
        <f t="shared" si="6"/>
        <v>14</v>
      </c>
      <c r="S31" s="463">
        <f t="shared" si="6"/>
        <v>15.8</v>
      </c>
      <c r="T31" s="463">
        <f t="shared" si="6"/>
        <v>15.7</v>
      </c>
      <c r="U31" s="19">
        <f t="shared" si="6"/>
        <v>17.5</v>
      </c>
      <c r="V31" s="19">
        <f t="shared" si="6"/>
        <v>20.399999999999999</v>
      </c>
      <c r="W31" s="19">
        <f t="shared" si="6"/>
        <v>17.5</v>
      </c>
      <c r="X31" s="19">
        <f t="shared" si="6"/>
        <v>14.6</v>
      </c>
      <c r="Y31" s="19">
        <f>SUM(Y27:Y30)</f>
        <v>17.8</v>
      </c>
      <c r="Z31" s="19">
        <f t="shared" ref="Z31:AC31" si="7">SUM(Z27:Z30)</f>
        <v>16.2</v>
      </c>
      <c r="AA31" s="19">
        <f t="shared" si="7"/>
        <v>14.5</v>
      </c>
      <c r="AB31" s="19">
        <f t="shared" si="7"/>
        <v>9.92</v>
      </c>
      <c r="AC31" s="19">
        <f t="shared" si="7"/>
        <v>8.6999999999999993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342.25999999999993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14.26</v>
      </c>
      <c r="G33" s="357">
        <v>14.27</v>
      </c>
      <c r="H33" s="357">
        <v>14.27</v>
      </c>
      <c r="I33" s="359">
        <v>14.27</v>
      </c>
      <c r="J33" s="357">
        <v>14.26</v>
      </c>
      <c r="K33" s="357">
        <v>14.26</v>
      </c>
      <c r="L33" s="359">
        <v>14.24</v>
      </c>
      <c r="M33" s="357">
        <v>14.26</v>
      </c>
      <c r="N33" s="357">
        <v>14.26</v>
      </c>
      <c r="O33" s="357">
        <v>14.29</v>
      </c>
      <c r="P33" s="357">
        <v>14.23</v>
      </c>
      <c r="Q33" s="359">
        <v>14.19</v>
      </c>
      <c r="R33" s="357">
        <v>14.28</v>
      </c>
      <c r="S33" s="462">
        <v>14.26</v>
      </c>
      <c r="T33" s="462">
        <v>14.3</v>
      </c>
      <c r="U33" s="357">
        <v>14.25</v>
      </c>
      <c r="V33" s="359">
        <v>14.29</v>
      </c>
      <c r="W33" s="357">
        <v>14.2</v>
      </c>
      <c r="X33" s="357">
        <v>14.26</v>
      </c>
      <c r="Y33" s="357">
        <v>14.31</v>
      </c>
      <c r="Z33" s="357">
        <v>14.27</v>
      </c>
      <c r="AA33" s="357">
        <v>14.26</v>
      </c>
      <c r="AB33" s="357">
        <v>14.25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14.26</v>
      </c>
      <c r="G34" s="19">
        <f t="shared" ref="G34:AC34" si="9">SUM(G33)</f>
        <v>14.27</v>
      </c>
      <c r="H34" s="19">
        <f t="shared" si="9"/>
        <v>14.27</v>
      </c>
      <c r="I34" s="19">
        <f t="shared" si="9"/>
        <v>14.27</v>
      </c>
      <c r="J34" s="19">
        <f t="shared" si="9"/>
        <v>14.26</v>
      </c>
      <c r="K34" s="19">
        <f t="shared" si="9"/>
        <v>14.26</v>
      </c>
      <c r="L34" s="19">
        <f t="shared" si="9"/>
        <v>14.24</v>
      </c>
      <c r="M34" s="19">
        <f t="shared" si="9"/>
        <v>14.26</v>
      </c>
      <c r="N34" s="19">
        <f t="shared" si="9"/>
        <v>14.26</v>
      </c>
      <c r="O34" s="19">
        <f t="shared" si="9"/>
        <v>14.29</v>
      </c>
      <c r="P34" s="19">
        <f t="shared" si="9"/>
        <v>14.23</v>
      </c>
      <c r="Q34" s="19">
        <f t="shared" si="9"/>
        <v>14.19</v>
      </c>
      <c r="R34" s="19">
        <f t="shared" si="9"/>
        <v>14.28</v>
      </c>
      <c r="S34" s="19">
        <f t="shared" si="9"/>
        <v>14.26</v>
      </c>
      <c r="T34" s="463">
        <f t="shared" si="9"/>
        <v>14.3</v>
      </c>
      <c r="U34" s="19">
        <f t="shared" si="9"/>
        <v>14.25</v>
      </c>
      <c r="V34" s="19">
        <f t="shared" si="9"/>
        <v>14.29</v>
      </c>
      <c r="W34" s="19">
        <f t="shared" si="9"/>
        <v>14.2</v>
      </c>
      <c r="X34" s="19">
        <f t="shared" si="9"/>
        <v>14.26</v>
      </c>
      <c r="Y34" s="19">
        <f t="shared" si="9"/>
        <v>14.31</v>
      </c>
      <c r="Z34" s="19">
        <f t="shared" si="9"/>
        <v>14.27</v>
      </c>
      <c r="AA34" s="19">
        <f t="shared" si="9"/>
        <v>14.26</v>
      </c>
      <c r="AB34" s="19">
        <f t="shared" si="9"/>
        <v>14.25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1.65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9">
        <f>SUM(F36:AC38,F40:AC40,F45:AC59)</f>
        <v>38.949999999999989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>
        <v>0.8</v>
      </c>
      <c r="P40" s="359">
        <v>0.75</v>
      </c>
      <c r="Q40" s="357"/>
      <c r="R40" s="357"/>
      <c r="S40" s="462"/>
      <c r="T40" s="462"/>
      <c r="U40" s="357"/>
      <c r="V40" s="462">
        <f>4.8/6</f>
        <v>0.79999999999999993</v>
      </c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>
        <v>0.8</v>
      </c>
      <c r="P42" s="357">
        <v>0.85</v>
      </c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2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0.7</v>
      </c>
      <c r="M47" s="357"/>
      <c r="N47" s="357">
        <v>0.7</v>
      </c>
      <c r="O47" s="357">
        <v>0.75</v>
      </c>
      <c r="P47" s="359">
        <v>0.75</v>
      </c>
      <c r="Q47" s="357">
        <f>3.1/4</f>
        <v>0.77500000000000002</v>
      </c>
      <c r="R47" s="357"/>
      <c r="S47" s="462"/>
      <c r="T47" s="357">
        <f>3.1/4</f>
        <v>0.77500000000000002</v>
      </c>
      <c r="U47" s="462">
        <f>3.1/4</f>
        <v>0.77500000000000002</v>
      </c>
      <c r="V47" s="462">
        <f>4.8/6</f>
        <v>0.79999999999999993</v>
      </c>
      <c r="W47" s="357">
        <f>3.8/5</f>
        <v>0.76</v>
      </c>
      <c r="X47" s="357"/>
      <c r="Y47" s="357"/>
      <c r="Z47" s="357"/>
      <c r="AA47" s="357"/>
      <c r="AB47" s="357"/>
      <c r="AC47" s="357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>
        <v>0.75</v>
      </c>
      <c r="O48" s="357">
        <v>0.75</v>
      </c>
      <c r="P48" s="359">
        <v>0.75</v>
      </c>
      <c r="Q48" s="357"/>
      <c r="R48" s="357"/>
      <c r="S48" s="462">
        <v>0.8</v>
      </c>
      <c r="T48" s="357">
        <f>3.1/4</f>
        <v>0.77500000000000002</v>
      </c>
      <c r="U48" s="357">
        <f>3.1/4</f>
        <v>0.77500000000000002</v>
      </c>
      <c r="V48" s="462">
        <f>4.8/6</f>
        <v>0.79999999999999993</v>
      </c>
      <c r="W48" s="357">
        <f>3.8/5</f>
        <v>0.76</v>
      </c>
      <c r="X48" s="357"/>
      <c r="Y48" s="357">
        <v>0.73333333333333339</v>
      </c>
      <c r="Z48" s="357">
        <v>0.75</v>
      </c>
      <c r="AA48" s="357"/>
      <c r="AB48" s="357"/>
      <c r="AC48" s="357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0.7</v>
      </c>
      <c r="M50" s="359"/>
      <c r="N50" s="359"/>
      <c r="O50" s="359">
        <v>0.75</v>
      </c>
      <c r="P50" s="359">
        <v>0.75</v>
      </c>
      <c r="Q50" s="357">
        <f>3.1/4</f>
        <v>0.77500000000000002</v>
      </c>
      <c r="R50" s="357">
        <v>0.75</v>
      </c>
      <c r="S50" s="462"/>
      <c r="T50" s="357">
        <f>3.1/4</f>
        <v>0.77500000000000002</v>
      </c>
      <c r="U50" s="462">
        <f>3.1/4</f>
        <v>0.77500000000000002</v>
      </c>
      <c r="V50" s="462">
        <f>4.8/6</f>
        <v>0.79999999999999993</v>
      </c>
      <c r="W50" s="357">
        <f>3.8/5</f>
        <v>0.76</v>
      </c>
      <c r="X50" s="357">
        <v>0.75</v>
      </c>
      <c r="Y50" s="357">
        <v>0.73333333333333339</v>
      </c>
      <c r="Z50" s="357"/>
      <c r="AA50" s="357"/>
      <c r="AB50" s="357"/>
      <c r="AC50" s="357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>
        <v>0.75</v>
      </c>
      <c r="O51" s="357">
        <v>0.75</v>
      </c>
      <c r="P51" s="359">
        <v>0.75</v>
      </c>
      <c r="Q51" s="357">
        <f>3.1/4</f>
        <v>0.77500000000000002</v>
      </c>
      <c r="R51" s="357"/>
      <c r="S51" s="462"/>
      <c r="T51" s="357">
        <f>3.1/4</f>
        <v>0.77500000000000002</v>
      </c>
      <c r="U51" s="462">
        <f>3.1/4</f>
        <v>0.77500000000000002</v>
      </c>
      <c r="V51" s="462">
        <f>4.8/6</f>
        <v>0.79999999999999993</v>
      </c>
      <c r="W51" s="357">
        <f>3.8/5</f>
        <v>0.76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8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0.8</v>
      </c>
      <c r="M56" s="357"/>
      <c r="N56" s="357"/>
      <c r="O56" s="357">
        <v>0.8</v>
      </c>
      <c r="P56" s="359">
        <v>0.8</v>
      </c>
      <c r="Q56" s="357">
        <f>3.1/4</f>
        <v>0.77500000000000002</v>
      </c>
      <c r="R56" s="357">
        <v>0.75</v>
      </c>
      <c r="S56" s="462"/>
      <c r="T56" s="462"/>
      <c r="U56" s="462"/>
      <c r="V56" s="462">
        <f>4.8/6</f>
        <v>0.79999999999999993</v>
      </c>
      <c r="W56" s="357">
        <f>3.8/5</f>
        <v>0.76</v>
      </c>
      <c r="X56" s="357">
        <v>0.75</v>
      </c>
      <c r="Y56" s="357">
        <v>0.73333333333333339</v>
      </c>
      <c r="Z56" s="357">
        <v>0.75</v>
      </c>
      <c r="AA56" s="357"/>
      <c r="AB56" s="357"/>
      <c r="AC56" s="357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10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2.2000000000000002</v>
      </c>
      <c r="M60" s="19">
        <f t="shared" si="13"/>
        <v>0</v>
      </c>
      <c r="N60" s="19">
        <f t="shared" si="13"/>
        <v>2.2000000000000002</v>
      </c>
      <c r="O60" s="19">
        <f t="shared" si="13"/>
        <v>5.3999999999999995</v>
      </c>
      <c r="P60" s="19">
        <f t="shared" si="13"/>
        <v>5.3999999999999995</v>
      </c>
      <c r="Q60" s="19">
        <f t="shared" si="13"/>
        <v>3.1</v>
      </c>
      <c r="R60" s="19">
        <f t="shared" si="13"/>
        <v>1.5</v>
      </c>
      <c r="S60" s="19">
        <f t="shared" si="13"/>
        <v>0.8</v>
      </c>
      <c r="T60" s="19">
        <f t="shared" si="13"/>
        <v>3.1</v>
      </c>
      <c r="U60" s="19">
        <f t="shared" si="13"/>
        <v>3.1</v>
      </c>
      <c r="V60" s="19">
        <f t="shared" si="13"/>
        <v>4.8</v>
      </c>
      <c r="W60" s="19">
        <f t="shared" si="13"/>
        <v>3.8</v>
      </c>
      <c r="X60" s="19">
        <f t="shared" si="13"/>
        <v>1.5</v>
      </c>
      <c r="Y60" s="19">
        <f>SUM(Y36:Y59)</f>
        <v>2.2000000000000002</v>
      </c>
      <c r="Z60" s="19">
        <f t="shared" si="13"/>
        <v>1.5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29.82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1.14/2</f>
        <v>0.56999999999999995</v>
      </c>
      <c r="G62" s="357">
        <f>1.06/2</f>
        <v>0.53</v>
      </c>
      <c r="H62" s="357">
        <f>1.03/2</f>
        <v>0.51500000000000001</v>
      </c>
      <c r="I62" s="359">
        <f>1.01/2</f>
        <v>0.505</v>
      </c>
      <c r="J62" s="357">
        <f>0.97/2</f>
        <v>0.48499999999999999</v>
      </c>
      <c r="K62" s="357">
        <v>0.5</v>
      </c>
      <c r="L62" s="357">
        <v>0.64500000000000002</v>
      </c>
      <c r="M62" s="357">
        <v>0.58499999999999996</v>
      </c>
      <c r="N62" s="357">
        <v>0.6</v>
      </c>
      <c r="O62" s="357">
        <v>0.63</v>
      </c>
      <c r="P62" s="357">
        <f>1.27/2</f>
        <v>0.63500000000000001</v>
      </c>
      <c r="Q62" s="357">
        <f>1.38/2</f>
        <v>0.69</v>
      </c>
      <c r="R62" s="357">
        <f>1.38/2</f>
        <v>0.69</v>
      </c>
      <c r="S62" s="462"/>
      <c r="T62" s="357"/>
      <c r="U62" s="357"/>
      <c r="V62" s="462"/>
      <c r="W62" s="357"/>
      <c r="X62" s="357"/>
      <c r="Y62" s="357">
        <v>0.69499999999999995</v>
      </c>
      <c r="Z62" s="357">
        <v>0.71499999999999997</v>
      </c>
      <c r="AA62" s="357">
        <v>0.67500000000000004</v>
      </c>
      <c r="AB62" s="357">
        <f>1.22/2</f>
        <v>0.61</v>
      </c>
      <c r="AC62" s="357">
        <f>0.96/2</f>
        <v>0.48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/>
      <c r="H63" s="357"/>
      <c r="I63" s="359"/>
      <c r="J63" s="357"/>
      <c r="K63" s="357">
        <v>0.5</v>
      </c>
      <c r="L63" s="357">
        <v>0.64500000000000002</v>
      </c>
      <c r="M63" s="357">
        <v>0.58499999999999996</v>
      </c>
      <c r="N63" s="357">
        <v>0.6</v>
      </c>
      <c r="O63" s="357">
        <v>0.63</v>
      </c>
      <c r="P63" s="357">
        <f>1.27/2</f>
        <v>0.63500000000000001</v>
      </c>
      <c r="Q63" s="357">
        <f>1.38/2</f>
        <v>0.69</v>
      </c>
      <c r="R63" s="357">
        <f>1.38/2</f>
        <v>0.69</v>
      </c>
      <c r="S63" s="462">
        <v>0.69499999999999995</v>
      </c>
      <c r="T63" s="357">
        <f>1.42/2</f>
        <v>0.71</v>
      </c>
      <c r="U63" s="357">
        <f>1.39/2</f>
        <v>0.69499999999999995</v>
      </c>
      <c r="V63" s="462">
        <f>1.39/2</f>
        <v>0.69499999999999995</v>
      </c>
      <c r="W63" s="357">
        <f>1.32/2</f>
        <v>0.66</v>
      </c>
      <c r="X63" s="357">
        <v>0.7</v>
      </c>
      <c r="Y63" s="357"/>
      <c r="Z63" s="357"/>
      <c r="AA63" s="357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1.14/2</f>
        <v>0.56999999999999995</v>
      </c>
      <c r="G64" s="357">
        <f>1.06/2</f>
        <v>0.53</v>
      </c>
      <c r="H64" s="357">
        <f>1.03/2</f>
        <v>0.51500000000000001</v>
      </c>
      <c r="I64" s="359">
        <f>1.01/2</f>
        <v>0.505</v>
      </c>
      <c r="J64" s="357">
        <f>0.97/2</f>
        <v>0.48499999999999999</v>
      </c>
      <c r="K64" s="357"/>
      <c r="L64" s="357"/>
      <c r="M64" s="357"/>
      <c r="N64" s="357"/>
      <c r="O64" s="357"/>
      <c r="P64" s="357"/>
      <c r="Q64" s="357"/>
      <c r="R64" s="357"/>
      <c r="S64" s="462">
        <v>0.69499999999999995</v>
      </c>
      <c r="T64" s="357">
        <f>1.42/2</f>
        <v>0.71</v>
      </c>
      <c r="U64" s="357">
        <f>1.39/2</f>
        <v>0.69499999999999995</v>
      </c>
      <c r="V64" s="462">
        <f>1.39/2</f>
        <v>0.69499999999999995</v>
      </c>
      <c r="W64" s="357">
        <f>1.32/2</f>
        <v>0.66</v>
      </c>
      <c r="X64" s="357">
        <v>0.7</v>
      </c>
      <c r="Y64" s="357">
        <v>0.69499999999999995</v>
      </c>
      <c r="Z64" s="357">
        <v>0.71499999999999997</v>
      </c>
      <c r="AA64" s="357">
        <v>0.67500000000000004</v>
      </c>
      <c r="AB64" s="357">
        <f>1.22/2</f>
        <v>0.61</v>
      </c>
      <c r="AC64" s="357">
        <f>0.96/2</f>
        <v>0.48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1.1399999999999999</v>
      </c>
      <c r="G65" s="19">
        <f t="shared" ref="G65:AB65" si="14">SUM(G62:G64)</f>
        <v>1.06</v>
      </c>
      <c r="H65" s="19">
        <f t="shared" si="14"/>
        <v>1.03</v>
      </c>
      <c r="I65" s="19">
        <f t="shared" si="14"/>
        <v>1.01</v>
      </c>
      <c r="J65" s="19">
        <f t="shared" si="14"/>
        <v>0.97</v>
      </c>
      <c r="K65" s="19">
        <f t="shared" si="14"/>
        <v>1</v>
      </c>
      <c r="L65" s="19">
        <f t="shared" si="14"/>
        <v>1.29</v>
      </c>
      <c r="M65" s="19">
        <f t="shared" si="14"/>
        <v>1.17</v>
      </c>
      <c r="N65" s="19">
        <f t="shared" si="14"/>
        <v>1.2</v>
      </c>
      <c r="O65" s="19">
        <f t="shared" si="14"/>
        <v>1.26</v>
      </c>
      <c r="P65" s="19">
        <f t="shared" si="14"/>
        <v>1.27</v>
      </c>
      <c r="Q65" s="19">
        <f t="shared" si="14"/>
        <v>1.38</v>
      </c>
      <c r="R65" s="19">
        <f t="shared" si="14"/>
        <v>1.38</v>
      </c>
      <c r="S65" s="463">
        <f t="shared" si="14"/>
        <v>1.39</v>
      </c>
      <c r="T65" s="463">
        <f t="shared" si="14"/>
        <v>1.42</v>
      </c>
      <c r="U65" s="463">
        <f t="shared" si="14"/>
        <v>1.39</v>
      </c>
      <c r="V65" s="19">
        <f>SUM(V62:V64)</f>
        <v>1.39</v>
      </c>
      <c r="W65" s="19">
        <f t="shared" si="14"/>
        <v>1.32</v>
      </c>
      <c r="X65" s="19">
        <f t="shared" si="14"/>
        <v>1.4</v>
      </c>
      <c r="Y65" s="19">
        <f>SUM(Y62:Y64)</f>
        <v>1.39</v>
      </c>
      <c r="Z65" s="19">
        <f>SUM(Z62:Z64)</f>
        <v>1.43</v>
      </c>
      <c r="AA65" s="19">
        <f t="shared" si="14"/>
        <v>1.35</v>
      </c>
      <c r="AB65" s="19">
        <f t="shared" si="14"/>
        <v>1.22</v>
      </c>
      <c r="AC65" s="19">
        <f>SUM(AC62:AC64)</f>
        <v>0.96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3">
        <f t="shared" si="18"/>
        <v>0</v>
      </c>
      <c r="T76" s="463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19.36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0.72</v>
      </c>
      <c r="N78" s="357">
        <v>0.74</v>
      </c>
      <c r="O78" s="357">
        <v>0.79</v>
      </c>
      <c r="P78" s="357">
        <v>0.73</v>
      </c>
      <c r="Q78" s="357">
        <v>0.76</v>
      </c>
      <c r="R78" s="357">
        <v>0.76</v>
      </c>
      <c r="S78" s="357">
        <v>0.78</v>
      </c>
      <c r="T78" s="357">
        <v>0.79</v>
      </c>
      <c r="U78" s="357">
        <v>0.83</v>
      </c>
      <c r="V78" s="357">
        <v>0.84</v>
      </c>
      <c r="W78" s="357">
        <v>0.84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0.87</v>
      </c>
      <c r="G79" s="357">
        <v>0.85</v>
      </c>
      <c r="H79" s="357">
        <v>0.8</v>
      </c>
      <c r="I79" s="357">
        <v>0.79</v>
      </c>
      <c r="J79" s="357">
        <v>0.76</v>
      </c>
      <c r="K79" s="357">
        <v>0.73</v>
      </c>
      <c r="L79" s="359">
        <v>0.71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0.91</v>
      </c>
      <c r="Z79" s="357">
        <v>0.93</v>
      </c>
      <c r="AA79" s="357">
        <v>0.91</v>
      </c>
      <c r="AB79" s="357">
        <v>0.85</v>
      </c>
      <c r="AC79" s="357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0.87</v>
      </c>
      <c r="G80" s="19">
        <f t="shared" si="19"/>
        <v>0.85</v>
      </c>
      <c r="H80" s="19">
        <f>SUM(H78:H79)</f>
        <v>0.8</v>
      </c>
      <c r="I80" s="19">
        <f>SUM(I78:I79)</f>
        <v>0.79</v>
      </c>
      <c r="J80" s="19">
        <f t="shared" ref="J80:AC80" si="20">SUM(J78:J79)</f>
        <v>0.76</v>
      </c>
      <c r="K80" s="19">
        <f t="shared" si="20"/>
        <v>0.73</v>
      </c>
      <c r="L80" s="19">
        <f>SUM(L78:L79)</f>
        <v>0.71</v>
      </c>
      <c r="M80" s="19">
        <f t="shared" si="20"/>
        <v>0.72</v>
      </c>
      <c r="N80" s="19">
        <f t="shared" si="20"/>
        <v>0.74</v>
      </c>
      <c r="O80" s="19">
        <f>SUM(O78:O79)</f>
        <v>0.79</v>
      </c>
      <c r="P80" s="19">
        <f>SUM(P78:P79)</f>
        <v>0.73</v>
      </c>
      <c r="Q80" s="19">
        <f t="shared" si="20"/>
        <v>0.76</v>
      </c>
      <c r="R80" s="19">
        <f t="shared" si="20"/>
        <v>0.76</v>
      </c>
      <c r="S80" s="463">
        <f t="shared" si="20"/>
        <v>0.78</v>
      </c>
      <c r="T80" s="463">
        <f t="shared" si="20"/>
        <v>0.79</v>
      </c>
      <c r="U80" s="19">
        <f t="shared" si="20"/>
        <v>0.83</v>
      </c>
      <c r="V80" s="19">
        <f t="shared" si="20"/>
        <v>0.84</v>
      </c>
      <c r="W80" s="19">
        <f t="shared" si="20"/>
        <v>0.84</v>
      </c>
      <c r="X80" s="19">
        <f t="shared" si="20"/>
        <v>0.83</v>
      </c>
      <c r="Y80" s="19">
        <f t="shared" si="20"/>
        <v>0.91</v>
      </c>
      <c r="Z80" s="19">
        <f t="shared" si="20"/>
        <v>0.93</v>
      </c>
      <c r="AA80" s="19">
        <f t="shared" si="20"/>
        <v>0.91</v>
      </c>
      <c r="AB80" s="19">
        <f t="shared" si="20"/>
        <v>0.85</v>
      </c>
      <c r="AC80" s="19">
        <f t="shared" si="20"/>
        <v>0.84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1">SUM(F17,F22,F25,F31,F34,F60,F65,F76,F80,F82)</f>
        <v>40.869999999999997</v>
      </c>
      <c r="G83" s="28">
        <f>SUM(G17,G22,G25,G31,G34,G60,G65,G76,G80,G82)</f>
        <v>39.18</v>
      </c>
      <c r="H83" s="28">
        <f t="shared" si="21"/>
        <v>35.5</v>
      </c>
      <c r="I83" s="28">
        <f t="shared" si="21"/>
        <v>36.14</v>
      </c>
      <c r="J83" s="28">
        <f t="shared" si="21"/>
        <v>35.79</v>
      </c>
      <c r="K83" s="28">
        <f t="shared" si="21"/>
        <v>37.32</v>
      </c>
      <c r="L83" s="28">
        <f t="shared" si="21"/>
        <v>43.540000000000006</v>
      </c>
      <c r="M83" s="28">
        <f t="shared" si="21"/>
        <v>40.65</v>
      </c>
      <c r="N83" s="28">
        <f t="shared" si="21"/>
        <v>46.300000000000011</v>
      </c>
      <c r="O83" s="28">
        <f t="shared" si="21"/>
        <v>54.239999999999995</v>
      </c>
      <c r="P83" s="28">
        <f t="shared" si="21"/>
        <v>56.73</v>
      </c>
      <c r="Q83" s="28">
        <f t="shared" si="21"/>
        <v>57.53</v>
      </c>
      <c r="R83" s="28">
        <f t="shared" si="21"/>
        <v>57.52</v>
      </c>
      <c r="S83" s="518">
        <f t="shared" si="21"/>
        <v>58.63</v>
      </c>
      <c r="T83" s="518">
        <f t="shared" si="21"/>
        <v>60.210000000000008</v>
      </c>
      <c r="U83" s="518">
        <f t="shared" si="21"/>
        <v>60.77</v>
      </c>
      <c r="V83" s="28">
        <f t="shared" si="21"/>
        <v>62.52</v>
      </c>
      <c r="W83" s="28">
        <f t="shared" si="21"/>
        <v>57.160000000000004</v>
      </c>
      <c r="X83" s="28">
        <f t="shared" si="21"/>
        <v>55.19</v>
      </c>
      <c r="Y83" s="28">
        <f t="shared" si="21"/>
        <v>60.61</v>
      </c>
      <c r="Z83" s="28">
        <f t="shared" si="21"/>
        <v>57.629999999999995</v>
      </c>
      <c r="AA83" s="28">
        <f t="shared" si="21"/>
        <v>54.61999999999999</v>
      </c>
      <c r="AB83" s="28">
        <f t="shared" si="21"/>
        <v>48.24</v>
      </c>
      <c r="AC83" s="28">
        <f t="shared" si="21"/>
        <v>44.870000000000005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2">SUM(F22,F25)</f>
        <v>3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1.2</v>
      </c>
      <c r="M89" s="64">
        <f t="shared" si="22"/>
        <v>1.5</v>
      </c>
      <c r="N89" s="64">
        <f t="shared" si="22"/>
        <v>3.3</v>
      </c>
      <c r="O89" s="64">
        <f t="shared" si="22"/>
        <v>6.6</v>
      </c>
      <c r="P89" s="64">
        <f t="shared" si="22"/>
        <v>6.6</v>
      </c>
      <c r="Q89" s="64">
        <f t="shared" si="22"/>
        <v>6.4</v>
      </c>
      <c r="R89" s="64">
        <f t="shared" si="22"/>
        <v>6.6</v>
      </c>
      <c r="S89" s="64">
        <f t="shared" si="22"/>
        <v>6.6</v>
      </c>
      <c r="T89" s="64">
        <f t="shared" si="22"/>
        <v>6.6</v>
      </c>
      <c r="U89" s="64">
        <f t="shared" si="22"/>
        <v>6.6</v>
      </c>
      <c r="V89" s="64">
        <f t="shared" si="22"/>
        <v>7.6</v>
      </c>
      <c r="W89" s="64">
        <f t="shared" si="22"/>
        <v>6.6999999999999993</v>
      </c>
      <c r="X89" s="64">
        <f t="shared" si="22"/>
        <v>9.6</v>
      </c>
      <c r="Y89" s="64">
        <f t="shared" si="22"/>
        <v>10.399999999999999</v>
      </c>
      <c r="Z89" s="64">
        <f t="shared" si="22"/>
        <v>10.1</v>
      </c>
      <c r="AA89" s="64">
        <f t="shared" si="22"/>
        <v>10.399999999999999</v>
      </c>
      <c r="AB89" s="64">
        <f t="shared" si="22"/>
        <v>8.8000000000000007</v>
      </c>
      <c r="AC89" s="64">
        <f t="shared" si="22"/>
        <v>6.5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>
        <v>0.187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0.16600000000000001</v>
      </c>
      <c r="O90" s="68">
        <v>0.27700000000000002</v>
      </c>
      <c r="P90" s="68">
        <v>0.3</v>
      </c>
      <c r="Q90" s="68">
        <v>0.158</v>
      </c>
      <c r="R90" s="68">
        <v>0.224</v>
      </c>
      <c r="S90" s="68">
        <v>0.158</v>
      </c>
      <c r="T90" s="68">
        <v>0.26300000000000001</v>
      </c>
      <c r="U90" s="68">
        <v>0.20899999999999999</v>
      </c>
      <c r="V90" s="68">
        <v>0.184</v>
      </c>
      <c r="W90" s="68">
        <v>0.245</v>
      </c>
      <c r="X90" s="68">
        <v>0.20499999999999999</v>
      </c>
      <c r="Y90" s="68">
        <v>0.27</v>
      </c>
      <c r="Z90" s="68">
        <v>0.218</v>
      </c>
      <c r="AA90" s="68">
        <v>0.251</v>
      </c>
      <c r="AB90" s="68">
        <v>0.23200000000000001</v>
      </c>
      <c r="AC90" s="68">
        <v>0.24199999999999999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3">F17</f>
        <v>13.6</v>
      </c>
      <c r="G91" s="64">
        <f t="shared" si="23"/>
        <v>13.5</v>
      </c>
      <c r="H91" s="64">
        <f t="shared" si="23"/>
        <v>13.4</v>
      </c>
      <c r="I91" s="64">
        <f t="shared" si="23"/>
        <v>13.2</v>
      </c>
      <c r="J91" s="64">
        <f t="shared" si="23"/>
        <v>13.6</v>
      </c>
      <c r="K91" s="64">
        <f t="shared" si="23"/>
        <v>13.3</v>
      </c>
      <c r="L91" s="64">
        <f t="shared" si="23"/>
        <v>13.1</v>
      </c>
      <c r="M91" s="64">
        <f t="shared" si="23"/>
        <v>13.2</v>
      </c>
      <c r="N91" s="64">
        <f t="shared" si="23"/>
        <v>13.8</v>
      </c>
      <c r="O91" s="64">
        <f t="shared" si="23"/>
        <v>13.6</v>
      </c>
      <c r="P91" s="64">
        <f t="shared" si="23"/>
        <v>13.7</v>
      </c>
      <c r="Q91" s="64">
        <f t="shared" si="23"/>
        <v>18</v>
      </c>
      <c r="R91" s="64">
        <f t="shared" si="23"/>
        <v>19</v>
      </c>
      <c r="S91" s="64">
        <f t="shared" si="23"/>
        <v>19</v>
      </c>
      <c r="T91" s="64">
        <f t="shared" si="23"/>
        <v>18.3</v>
      </c>
      <c r="U91" s="64">
        <f t="shared" si="23"/>
        <v>17.100000000000001</v>
      </c>
      <c r="V91" s="64">
        <f t="shared" si="23"/>
        <v>13.2</v>
      </c>
      <c r="W91" s="64">
        <f t="shared" si="23"/>
        <v>12.8</v>
      </c>
      <c r="X91" s="64">
        <f t="shared" si="23"/>
        <v>13</v>
      </c>
      <c r="Y91" s="64">
        <f t="shared" si="23"/>
        <v>13.6</v>
      </c>
      <c r="Z91" s="64">
        <f t="shared" si="23"/>
        <v>13.2</v>
      </c>
      <c r="AA91" s="64">
        <f t="shared" si="23"/>
        <v>13.2</v>
      </c>
      <c r="AB91" s="64">
        <f t="shared" si="23"/>
        <v>13.2</v>
      </c>
      <c r="AC91" s="64">
        <f t="shared" si="23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0.45900000000000002</v>
      </c>
      <c r="G92" s="68">
        <v>0.61099999999999999</v>
      </c>
      <c r="H92" s="68">
        <v>0.63300000000000001</v>
      </c>
      <c r="I92" s="68">
        <v>0.67500000000000004</v>
      </c>
      <c r="J92" s="68">
        <v>0.69499999999999995</v>
      </c>
      <c r="K92" s="68">
        <v>0.66800000000000004</v>
      </c>
      <c r="L92" s="68">
        <v>0.54300000000000004</v>
      </c>
      <c r="M92" s="68">
        <v>0.63200000000000001</v>
      </c>
      <c r="N92" s="68">
        <v>0.57099999999999995</v>
      </c>
      <c r="O92" s="68">
        <v>0.79400000000000004</v>
      </c>
      <c r="P92" s="68">
        <v>0.79700000000000004</v>
      </c>
      <c r="Q92" s="68">
        <v>0.79500000000000004</v>
      </c>
      <c r="R92" s="68">
        <v>0.78300000000000003</v>
      </c>
      <c r="S92" s="68">
        <v>0.63500000000000001</v>
      </c>
      <c r="T92" s="68">
        <v>0.63</v>
      </c>
      <c r="U92" s="68">
        <v>0.77</v>
      </c>
      <c r="V92" s="68">
        <v>0.77500000000000002</v>
      </c>
      <c r="W92" s="68">
        <v>0.66</v>
      </c>
      <c r="X92" s="68">
        <v>0.48</v>
      </c>
      <c r="Y92" s="68">
        <v>0.58599999999999997</v>
      </c>
      <c r="Z92" s="68">
        <v>0.45900000000000002</v>
      </c>
      <c r="AA92" s="68">
        <v>0.46800000000000003</v>
      </c>
      <c r="AB92" s="68">
        <v>0.63400000000000001</v>
      </c>
      <c r="AC92" s="68">
        <v>0.52200000000000002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4">F31</f>
        <v>8</v>
      </c>
      <c r="G93" s="65">
        <f t="shared" si="24"/>
        <v>9.5</v>
      </c>
      <c r="H93" s="65">
        <f t="shared" si="24"/>
        <v>6</v>
      </c>
      <c r="I93" s="65">
        <f t="shared" si="24"/>
        <v>6.87</v>
      </c>
      <c r="J93" s="65">
        <f t="shared" si="24"/>
        <v>6.2</v>
      </c>
      <c r="K93" s="65">
        <f t="shared" si="24"/>
        <v>8.0300000000000011</v>
      </c>
      <c r="L93" s="65">
        <f t="shared" si="24"/>
        <v>10.8</v>
      </c>
      <c r="M93" s="65">
        <f t="shared" si="24"/>
        <v>9.8000000000000007</v>
      </c>
      <c r="N93" s="65">
        <f t="shared" si="24"/>
        <v>10.8</v>
      </c>
      <c r="O93" s="65">
        <f t="shared" si="24"/>
        <v>12.3</v>
      </c>
      <c r="P93" s="65">
        <f t="shared" si="24"/>
        <v>14.8</v>
      </c>
      <c r="Q93" s="65">
        <f t="shared" si="24"/>
        <v>13.7</v>
      </c>
      <c r="R93" s="65">
        <f t="shared" si="24"/>
        <v>14</v>
      </c>
      <c r="S93" s="65">
        <f t="shared" si="24"/>
        <v>15.8</v>
      </c>
      <c r="T93" s="65">
        <f t="shared" si="24"/>
        <v>15.7</v>
      </c>
      <c r="U93" s="65">
        <f t="shared" si="24"/>
        <v>17.5</v>
      </c>
      <c r="V93" s="65">
        <f t="shared" si="24"/>
        <v>20.399999999999999</v>
      </c>
      <c r="W93" s="65">
        <f t="shared" si="24"/>
        <v>17.5</v>
      </c>
      <c r="X93" s="65">
        <f t="shared" si="24"/>
        <v>14.6</v>
      </c>
      <c r="Y93" s="65">
        <f t="shared" si="24"/>
        <v>17.8</v>
      </c>
      <c r="Z93" s="65">
        <f t="shared" si="24"/>
        <v>16.2</v>
      </c>
      <c r="AA93" s="65">
        <f t="shared" si="24"/>
        <v>14.5</v>
      </c>
      <c r="AB93" s="65">
        <f t="shared" si="24"/>
        <v>9.92</v>
      </c>
      <c r="AC93" s="65">
        <f t="shared" si="24"/>
        <v>8.6999999999999993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0.185</v>
      </c>
      <c r="G94" s="68">
        <v>0.17499999999999999</v>
      </c>
      <c r="H94" s="68">
        <v>0.18099999999999999</v>
      </c>
      <c r="I94" s="68">
        <v>0.107</v>
      </c>
      <c r="J94" s="68">
        <v>8.7999999999999995E-2</v>
      </c>
      <c r="K94" s="68">
        <v>0.217</v>
      </c>
      <c r="L94" s="68">
        <v>0.21299999999999999</v>
      </c>
      <c r="M94" s="68">
        <v>0.24199999999999999</v>
      </c>
      <c r="N94" s="68">
        <v>0.20100000000000001</v>
      </c>
      <c r="O94" s="68">
        <v>0.18099999999999999</v>
      </c>
      <c r="P94" s="68">
        <v>0.25800000000000001</v>
      </c>
      <c r="Q94" s="68">
        <v>0.192</v>
      </c>
      <c r="R94" s="68">
        <v>0.16600000000000001</v>
      </c>
      <c r="S94" s="68">
        <v>0.108</v>
      </c>
      <c r="T94" s="68">
        <v>0.17299999999999999</v>
      </c>
      <c r="U94" s="68">
        <v>0.17499999999999999</v>
      </c>
      <c r="V94" s="68">
        <v>0.26500000000000001</v>
      </c>
      <c r="W94" s="68">
        <v>0.27500000000000002</v>
      </c>
      <c r="X94" s="68">
        <v>0.19700000000000001</v>
      </c>
      <c r="Y94" s="68">
        <v>0.189</v>
      </c>
      <c r="Z94" s="68">
        <v>0.20699999999999999</v>
      </c>
      <c r="AA94" s="68">
        <v>0.2</v>
      </c>
      <c r="AB94" s="68">
        <v>0.189</v>
      </c>
      <c r="AC94" s="68">
        <v>0.193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0.22040000000000001</v>
      </c>
      <c r="G95" s="68">
        <v>0.21970000000000001</v>
      </c>
      <c r="H95" s="68">
        <v>0.20910000000000001</v>
      </c>
      <c r="I95" s="68">
        <v>0.2009</v>
      </c>
      <c r="J95" s="68">
        <v>0.22020000000000001</v>
      </c>
      <c r="K95" s="68">
        <v>0.20910000000000001</v>
      </c>
      <c r="L95" s="68">
        <v>0.21560000000000001</v>
      </c>
      <c r="M95" s="68">
        <v>0.22</v>
      </c>
      <c r="N95" s="68">
        <v>0.25</v>
      </c>
      <c r="O95" s="68">
        <v>0.2135</v>
      </c>
      <c r="P95" s="68">
        <v>0.2248</v>
      </c>
      <c r="Q95" s="68">
        <v>0.37330000000000002</v>
      </c>
      <c r="R95" s="68">
        <v>0.378</v>
      </c>
      <c r="S95" s="68">
        <v>0.38059999999999999</v>
      </c>
      <c r="T95" s="68">
        <v>0.39839999999999998</v>
      </c>
      <c r="U95" s="68">
        <v>0.37909999999999999</v>
      </c>
      <c r="V95" s="68">
        <v>0.38929999999999998</v>
      </c>
      <c r="W95" s="68">
        <v>0.39269999999999999</v>
      </c>
      <c r="X95" s="68">
        <v>0.3</v>
      </c>
      <c r="Y95" s="68">
        <v>0.37230000000000002</v>
      </c>
      <c r="Z95" s="68">
        <v>0.37619999999999998</v>
      </c>
      <c r="AA95" s="68">
        <v>0.38019999999999998</v>
      </c>
      <c r="AB95" s="68">
        <v>0.26450000000000001</v>
      </c>
      <c r="AC95" s="68">
        <v>0.22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5">F34</f>
        <v>14.26</v>
      </c>
      <c r="G96" s="65">
        <f t="shared" si="25"/>
        <v>14.27</v>
      </c>
      <c r="H96" s="65">
        <f t="shared" si="25"/>
        <v>14.27</v>
      </c>
      <c r="I96" s="65">
        <f t="shared" si="25"/>
        <v>14.27</v>
      </c>
      <c r="J96" s="65">
        <f t="shared" si="25"/>
        <v>14.26</v>
      </c>
      <c r="K96" s="65">
        <f t="shared" si="25"/>
        <v>14.26</v>
      </c>
      <c r="L96" s="65">
        <f t="shared" si="25"/>
        <v>14.24</v>
      </c>
      <c r="M96" s="65">
        <f t="shared" si="25"/>
        <v>14.26</v>
      </c>
      <c r="N96" s="65">
        <f t="shared" si="25"/>
        <v>14.26</v>
      </c>
      <c r="O96" s="65">
        <f t="shared" si="25"/>
        <v>14.29</v>
      </c>
      <c r="P96" s="65">
        <f t="shared" si="25"/>
        <v>14.23</v>
      </c>
      <c r="Q96" s="65">
        <f t="shared" si="25"/>
        <v>14.19</v>
      </c>
      <c r="R96" s="65">
        <f t="shared" si="25"/>
        <v>14.28</v>
      </c>
      <c r="S96" s="65">
        <f t="shared" si="25"/>
        <v>14.26</v>
      </c>
      <c r="T96" s="65">
        <f t="shared" si="25"/>
        <v>14.3</v>
      </c>
      <c r="U96" s="65">
        <f t="shared" si="25"/>
        <v>14.25</v>
      </c>
      <c r="V96" s="65">
        <f t="shared" si="25"/>
        <v>14.29</v>
      </c>
      <c r="W96" s="65">
        <f t="shared" si="25"/>
        <v>14.2</v>
      </c>
      <c r="X96" s="65">
        <f t="shared" si="25"/>
        <v>14.26</v>
      </c>
      <c r="Y96" s="65">
        <f t="shared" si="25"/>
        <v>14.31</v>
      </c>
      <c r="Z96" s="65">
        <f t="shared" si="25"/>
        <v>14.27</v>
      </c>
      <c r="AA96" s="65">
        <f t="shared" si="25"/>
        <v>14.26</v>
      </c>
      <c r="AB96" s="65">
        <f t="shared" si="25"/>
        <v>14.25</v>
      </c>
      <c r="AC96" s="65">
        <f t="shared" si="25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0.74</v>
      </c>
      <c r="G97" s="68">
        <v>0.73</v>
      </c>
      <c r="H97" s="68">
        <v>0.73</v>
      </c>
      <c r="I97" s="68">
        <v>0.73</v>
      </c>
      <c r="J97" s="68">
        <v>0.73</v>
      </c>
      <c r="K97" s="68">
        <v>0.75</v>
      </c>
      <c r="L97" s="68">
        <v>0.76</v>
      </c>
      <c r="M97" s="68">
        <v>0.74</v>
      </c>
      <c r="N97" s="68">
        <v>0.74</v>
      </c>
      <c r="O97" s="68">
        <v>0.71</v>
      </c>
      <c r="P97" s="68">
        <v>0.77</v>
      </c>
      <c r="Q97" s="68">
        <v>0.81</v>
      </c>
      <c r="R97" s="68">
        <v>0.72</v>
      </c>
      <c r="S97" s="68">
        <v>0.74</v>
      </c>
      <c r="T97" s="68">
        <v>0.7</v>
      </c>
      <c r="U97" s="68">
        <v>0.75</v>
      </c>
      <c r="V97" s="68">
        <v>0.71</v>
      </c>
      <c r="W97" s="68">
        <v>0.8</v>
      </c>
      <c r="X97" s="68">
        <v>0.74</v>
      </c>
      <c r="Y97" s="68">
        <v>0.69</v>
      </c>
      <c r="Z97" s="68">
        <v>0.73</v>
      </c>
      <c r="AA97" s="68">
        <v>0.74</v>
      </c>
      <c r="AB97" s="68">
        <v>0.75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2.2000000000000002</v>
      </c>
      <c r="M98" s="64">
        <f t="shared" si="26"/>
        <v>0</v>
      </c>
      <c r="N98" s="64">
        <f t="shared" si="26"/>
        <v>2.2000000000000002</v>
      </c>
      <c r="O98" s="64">
        <f t="shared" si="26"/>
        <v>5.3999999999999995</v>
      </c>
      <c r="P98" s="64">
        <f t="shared" si="26"/>
        <v>5.3999999999999995</v>
      </c>
      <c r="Q98" s="64">
        <f t="shared" si="26"/>
        <v>3.1</v>
      </c>
      <c r="R98" s="64">
        <f t="shared" si="26"/>
        <v>1.5</v>
      </c>
      <c r="S98" s="64">
        <f t="shared" si="26"/>
        <v>0.8</v>
      </c>
      <c r="T98" s="64">
        <f t="shared" si="26"/>
        <v>3.1</v>
      </c>
      <c r="U98" s="64">
        <f t="shared" si="26"/>
        <v>3.1</v>
      </c>
      <c r="V98" s="64">
        <f t="shared" si="26"/>
        <v>4.8</v>
      </c>
      <c r="W98" s="64">
        <f t="shared" si="26"/>
        <v>3.8</v>
      </c>
      <c r="X98" s="64">
        <f t="shared" si="26"/>
        <v>1.5</v>
      </c>
      <c r="Y98" s="64">
        <f t="shared" si="26"/>
        <v>2.2000000000000002</v>
      </c>
      <c r="Z98" s="64">
        <f t="shared" si="26"/>
        <v>1.5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7">F65</f>
        <v>1.1399999999999999</v>
      </c>
      <c r="G99" s="64">
        <f t="shared" si="27"/>
        <v>1.06</v>
      </c>
      <c r="H99" s="64">
        <f t="shared" si="27"/>
        <v>1.03</v>
      </c>
      <c r="I99" s="64">
        <f t="shared" si="27"/>
        <v>1.01</v>
      </c>
      <c r="J99" s="64">
        <f t="shared" si="27"/>
        <v>0.97</v>
      </c>
      <c r="K99" s="64">
        <f t="shared" si="27"/>
        <v>1</v>
      </c>
      <c r="L99" s="64">
        <f t="shared" si="27"/>
        <v>1.29</v>
      </c>
      <c r="M99" s="64">
        <f t="shared" si="27"/>
        <v>1.17</v>
      </c>
      <c r="N99" s="64">
        <f t="shared" si="27"/>
        <v>1.2</v>
      </c>
      <c r="O99" s="64">
        <f t="shared" si="27"/>
        <v>1.26</v>
      </c>
      <c r="P99" s="64">
        <f t="shared" si="27"/>
        <v>1.27</v>
      </c>
      <c r="Q99" s="64">
        <f t="shared" si="27"/>
        <v>1.38</v>
      </c>
      <c r="R99" s="64">
        <f t="shared" si="27"/>
        <v>1.38</v>
      </c>
      <c r="S99" s="64">
        <f t="shared" si="27"/>
        <v>1.39</v>
      </c>
      <c r="T99" s="64">
        <f t="shared" si="27"/>
        <v>1.42</v>
      </c>
      <c r="U99" s="64">
        <f t="shared" si="27"/>
        <v>1.39</v>
      </c>
      <c r="V99" s="64">
        <f t="shared" si="27"/>
        <v>1.39</v>
      </c>
      <c r="W99" s="64">
        <f t="shared" si="27"/>
        <v>1.32</v>
      </c>
      <c r="X99" s="64">
        <f t="shared" si="27"/>
        <v>1.4</v>
      </c>
      <c r="Y99" s="64">
        <f t="shared" si="27"/>
        <v>1.39</v>
      </c>
      <c r="Z99" s="64">
        <f t="shared" si="27"/>
        <v>1.43</v>
      </c>
      <c r="AA99" s="64">
        <f t="shared" si="27"/>
        <v>1.35</v>
      </c>
      <c r="AB99" s="64">
        <f t="shared" si="27"/>
        <v>1.22</v>
      </c>
      <c r="AC99" s="64">
        <f t="shared" si="27"/>
        <v>0.96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9">F80</f>
        <v>0.87</v>
      </c>
      <c r="G101" s="64">
        <f t="shared" si="29"/>
        <v>0.85</v>
      </c>
      <c r="H101" s="64">
        <f t="shared" si="29"/>
        <v>0.8</v>
      </c>
      <c r="I101" s="64">
        <f t="shared" si="29"/>
        <v>0.79</v>
      </c>
      <c r="J101" s="64">
        <f t="shared" si="29"/>
        <v>0.76</v>
      </c>
      <c r="K101" s="64">
        <f t="shared" si="29"/>
        <v>0.73</v>
      </c>
      <c r="L101" s="64">
        <f t="shared" si="29"/>
        <v>0.71</v>
      </c>
      <c r="M101" s="64">
        <f t="shared" si="29"/>
        <v>0.72</v>
      </c>
      <c r="N101" s="64">
        <f t="shared" si="29"/>
        <v>0.74</v>
      </c>
      <c r="O101" s="64">
        <f t="shared" si="29"/>
        <v>0.79</v>
      </c>
      <c r="P101" s="64">
        <f t="shared" si="29"/>
        <v>0.73</v>
      </c>
      <c r="Q101" s="64">
        <f t="shared" si="29"/>
        <v>0.76</v>
      </c>
      <c r="R101" s="64">
        <f t="shared" si="29"/>
        <v>0.76</v>
      </c>
      <c r="S101" s="64">
        <f t="shared" si="29"/>
        <v>0.78</v>
      </c>
      <c r="T101" s="64">
        <f t="shared" si="29"/>
        <v>0.79</v>
      </c>
      <c r="U101" s="64">
        <f t="shared" si="29"/>
        <v>0.83</v>
      </c>
      <c r="V101" s="64">
        <f t="shared" si="29"/>
        <v>0.84</v>
      </c>
      <c r="W101" s="64">
        <f t="shared" si="29"/>
        <v>0.84</v>
      </c>
      <c r="X101" s="64">
        <f t="shared" si="29"/>
        <v>0.83</v>
      </c>
      <c r="Y101" s="64">
        <f t="shared" si="29"/>
        <v>0.91</v>
      </c>
      <c r="Z101" s="64">
        <f t="shared" si="29"/>
        <v>0.93</v>
      </c>
      <c r="AA101" s="64">
        <f t="shared" si="29"/>
        <v>0.91</v>
      </c>
      <c r="AB101" s="64">
        <f t="shared" si="29"/>
        <v>0.85</v>
      </c>
      <c r="AC101" s="64">
        <f t="shared" si="29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1">SUM(F89,F91,F93,F96,F98:F102,F81)</f>
        <v>40.869999999999997</v>
      </c>
      <c r="G103" s="61">
        <f t="shared" si="31"/>
        <v>39.18</v>
      </c>
      <c r="H103" s="61">
        <f t="shared" si="31"/>
        <v>35.5</v>
      </c>
      <c r="I103" s="61">
        <f t="shared" si="31"/>
        <v>36.14</v>
      </c>
      <c r="J103" s="61">
        <f t="shared" si="31"/>
        <v>35.79</v>
      </c>
      <c r="K103" s="61">
        <f t="shared" si="31"/>
        <v>37.32</v>
      </c>
      <c r="L103" s="61">
        <f t="shared" si="31"/>
        <v>43.540000000000006</v>
      </c>
      <c r="M103" s="61">
        <f t="shared" si="31"/>
        <v>40.65</v>
      </c>
      <c r="N103" s="61">
        <f t="shared" si="31"/>
        <v>46.300000000000011</v>
      </c>
      <c r="O103" s="61">
        <f t="shared" si="31"/>
        <v>54.239999999999995</v>
      </c>
      <c r="P103" s="61">
        <f t="shared" si="31"/>
        <v>56.73</v>
      </c>
      <c r="Q103" s="61">
        <f t="shared" si="31"/>
        <v>57.529999999999994</v>
      </c>
      <c r="R103" s="61">
        <f t="shared" si="31"/>
        <v>57.52</v>
      </c>
      <c r="S103" s="61">
        <f t="shared" si="31"/>
        <v>58.63</v>
      </c>
      <c r="T103" s="61">
        <f t="shared" si="31"/>
        <v>60.209999999999994</v>
      </c>
      <c r="U103" s="61">
        <f t="shared" si="31"/>
        <v>60.77</v>
      </c>
      <c r="V103" s="61">
        <f t="shared" si="31"/>
        <v>62.519999999999996</v>
      </c>
      <c r="W103" s="61">
        <f t="shared" si="31"/>
        <v>57.160000000000004</v>
      </c>
      <c r="X103" s="61">
        <f t="shared" si="31"/>
        <v>55.19</v>
      </c>
      <c r="Y103" s="61">
        <f t="shared" si="31"/>
        <v>60.61</v>
      </c>
      <c r="Z103" s="61">
        <f t="shared" si="31"/>
        <v>57.629999999999995</v>
      </c>
      <c r="AA103" s="61">
        <f t="shared" si="31"/>
        <v>54.61999999999999</v>
      </c>
      <c r="AB103" s="61">
        <f t="shared" si="31"/>
        <v>48.24</v>
      </c>
      <c r="AC103" s="61">
        <f t="shared" si="31"/>
        <v>44.870000000000005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1.27</v>
      </c>
      <c r="Q105" s="76">
        <v>1.27</v>
      </c>
      <c r="R105" s="76">
        <v>1.27</v>
      </c>
      <c r="S105" s="76">
        <v>1.27</v>
      </c>
      <c r="T105" s="76">
        <v>1.27</v>
      </c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>
        <v>1</v>
      </c>
      <c r="J106" s="76">
        <v>1</v>
      </c>
      <c r="K106" s="76">
        <v>1</v>
      </c>
      <c r="L106" s="76"/>
      <c r="M106" s="76"/>
      <c r="N106" s="76"/>
      <c r="O106" s="76"/>
      <c r="P106" s="76"/>
      <c r="Q106" s="76">
        <v>0.6</v>
      </c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1</v>
      </c>
      <c r="J107" s="61">
        <f t="shared" si="32"/>
        <v>1</v>
      </c>
      <c r="K107" s="61">
        <f t="shared" si="32"/>
        <v>1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0</v>
      </c>
      <c r="P107" s="61">
        <f t="shared" si="32"/>
        <v>1.27</v>
      </c>
      <c r="Q107" s="61">
        <f t="shared" si="32"/>
        <v>1.87</v>
      </c>
      <c r="R107" s="61">
        <f t="shared" si="32"/>
        <v>1.27</v>
      </c>
      <c r="S107" s="61">
        <f t="shared" si="32"/>
        <v>1.27</v>
      </c>
      <c r="T107" s="61">
        <f t="shared" si="32"/>
        <v>1.27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3">F103+F107</f>
        <v>40.869999999999997</v>
      </c>
      <c r="G108" s="62">
        <f t="shared" si="33"/>
        <v>39.18</v>
      </c>
      <c r="H108" s="62">
        <f t="shared" si="33"/>
        <v>35.5</v>
      </c>
      <c r="I108" s="62">
        <f t="shared" si="33"/>
        <v>37.14</v>
      </c>
      <c r="J108" s="62">
        <f t="shared" si="33"/>
        <v>36.79</v>
      </c>
      <c r="K108" s="62">
        <f t="shared" si="33"/>
        <v>38.32</v>
      </c>
      <c r="L108" s="62">
        <f t="shared" si="33"/>
        <v>43.540000000000006</v>
      </c>
      <c r="M108" s="62">
        <f t="shared" si="33"/>
        <v>40.65</v>
      </c>
      <c r="N108" s="62">
        <f>N103+N107</f>
        <v>46.300000000000011</v>
      </c>
      <c r="O108" s="62">
        <f t="shared" si="33"/>
        <v>54.239999999999995</v>
      </c>
      <c r="P108" s="62">
        <f>P103+P107</f>
        <v>58</v>
      </c>
      <c r="Q108" s="62">
        <f t="shared" si="33"/>
        <v>59.399999999999991</v>
      </c>
      <c r="R108" s="62">
        <f t="shared" si="33"/>
        <v>58.790000000000006</v>
      </c>
      <c r="S108" s="62">
        <f t="shared" si="33"/>
        <v>59.900000000000006</v>
      </c>
      <c r="T108" s="62">
        <f>T103+T107</f>
        <v>61.48</v>
      </c>
      <c r="U108" s="62">
        <f t="shared" si="33"/>
        <v>60.77</v>
      </c>
      <c r="V108" s="62">
        <f t="shared" si="33"/>
        <v>62.519999999999996</v>
      </c>
      <c r="W108" s="62">
        <f>W103+W107</f>
        <v>57.160000000000004</v>
      </c>
      <c r="X108" s="62">
        <f t="shared" si="33"/>
        <v>55.19</v>
      </c>
      <c r="Y108" s="62">
        <f t="shared" si="33"/>
        <v>60.61</v>
      </c>
      <c r="Z108" s="62">
        <f t="shared" si="33"/>
        <v>57.629999999999995</v>
      </c>
      <c r="AA108" s="62">
        <f t="shared" si="33"/>
        <v>54.61999999999999</v>
      </c>
      <c r="AB108" s="62">
        <f t="shared" si="33"/>
        <v>48.24</v>
      </c>
      <c r="AC108" s="62">
        <f t="shared" si="33"/>
        <v>44.870000000000005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4">(COUNT(F13:F16))*7.2+(COUNT(F27:F28)*4.9)+(COUNT(F19:F21)*4.5)-F91-F93</f>
        <v>2.2000000000000011</v>
      </c>
      <c r="G109" s="63">
        <f t="shared" si="34"/>
        <v>0.80000000000000071</v>
      </c>
      <c r="H109" s="63">
        <f t="shared" si="34"/>
        <v>4.4000000000000004</v>
      </c>
      <c r="I109" s="63">
        <f t="shared" si="34"/>
        <v>-1.1700000000000008</v>
      </c>
      <c r="J109" s="63">
        <f t="shared" si="34"/>
        <v>-0.90000000000000124</v>
      </c>
      <c r="K109" s="63">
        <f t="shared" si="34"/>
        <v>2.4699999999999989</v>
      </c>
      <c r="L109" s="63">
        <f t="shared" si="34"/>
        <v>-9.9999999999999645E-2</v>
      </c>
      <c r="M109" s="63">
        <f t="shared" si="34"/>
        <v>0.80000000000000071</v>
      </c>
      <c r="N109" s="63">
        <f t="shared" si="34"/>
        <v>-0.80000000000000071</v>
      </c>
      <c r="O109" s="63">
        <f t="shared" si="34"/>
        <v>2.8000000000000025</v>
      </c>
      <c r="P109" s="63">
        <f t="shared" si="34"/>
        <v>7.4000000000000057</v>
      </c>
      <c r="Q109" s="63">
        <f t="shared" si="34"/>
        <v>-0.69999999999999929</v>
      </c>
      <c r="R109" s="63">
        <f t="shared" si="34"/>
        <v>-2</v>
      </c>
      <c r="S109" s="63">
        <f t="shared" si="34"/>
        <v>-3.8000000000000007</v>
      </c>
      <c r="T109" s="63">
        <f t="shared" si="34"/>
        <v>-3</v>
      </c>
      <c r="U109" s="63">
        <f t="shared" si="34"/>
        <v>-3.6000000000000014</v>
      </c>
      <c r="V109" s="63">
        <f t="shared" si="34"/>
        <v>-0.39999999999999503</v>
      </c>
      <c r="W109" s="63">
        <f t="shared" si="34"/>
        <v>2.9000000000000021</v>
      </c>
      <c r="X109" s="63">
        <f t="shared" si="34"/>
        <v>0.70000000000000107</v>
      </c>
      <c r="Y109" s="63">
        <f t="shared" si="34"/>
        <v>-3.0999999999999996</v>
      </c>
      <c r="Z109" s="63">
        <f t="shared" si="34"/>
        <v>-1.0999999999999979</v>
      </c>
      <c r="AA109" s="63">
        <f t="shared" si="34"/>
        <v>0.60000000000000142</v>
      </c>
      <c r="AB109" s="63">
        <f t="shared" si="34"/>
        <v>5.1800000000000015</v>
      </c>
      <c r="AC109" s="63">
        <f t="shared" si="34"/>
        <v>1.5000000000000018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-2.1999999999999993</v>
      </c>
      <c r="G110" s="205">
        <f t="shared" si="35"/>
        <v>-5.0999999999999996</v>
      </c>
      <c r="H110" s="205">
        <f t="shared" si="35"/>
        <v>-1.5</v>
      </c>
      <c r="I110" s="205">
        <f t="shared" si="35"/>
        <v>-5.669999999999999</v>
      </c>
      <c r="J110" s="205">
        <f t="shared" si="35"/>
        <v>-5.3999999999999995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-2.0300000000000011</v>
      </c>
      <c r="L110" s="205">
        <f t="shared" si="35"/>
        <v>-2.2999999999999998</v>
      </c>
      <c r="M110" s="205">
        <f t="shared" si="35"/>
        <v>-1.6999999999999993</v>
      </c>
      <c r="N110" s="205">
        <f t="shared" si="35"/>
        <v>-0.60000000000000053</v>
      </c>
      <c r="O110" s="205">
        <f t="shared" si="35"/>
        <v>-1.6999999999999993</v>
      </c>
      <c r="P110" s="205">
        <f t="shared" si="35"/>
        <v>2.9000000000000039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-3.5999999999999974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-5.4999999999999982</v>
      </c>
      <c r="S110" s="205">
        <f t="shared" si="36"/>
        <v>-7.2999999999999989</v>
      </c>
      <c r="T110" s="205">
        <f t="shared" si="36"/>
        <v>-6.4999999999999982</v>
      </c>
      <c r="U110" s="205">
        <f t="shared" si="36"/>
        <v>-7.1</v>
      </c>
      <c r="V110" s="205">
        <f t="shared" si="36"/>
        <v>-5.2999999999999963</v>
      </c>
      <c r="W110" s="205">
        <f t="shared" si="36"/>
        <v>-1.1000000000000005</v>
      </c>
      <c r="X110" s="205">
        <f t="shared" si="36"/>
        <v>-5.7999999999999989</v>
      </c>
      <c r="Y110" s="205">
        <f t="shared" si="36"/>
        <v>-10.4</v>
      </c>
      <c r="Z110" s="205">
        <f t="shared" si="36"/>
        <v>-8.0999999999999979</v>
      </c>
      <c r="AA110" s="205">
        <f t="shared" si="36"/>
        <v>-6.6999999999999975</v>
      </c>
      <c r="AB110" s="205">
        <f t="shared" si="36"/>
        <v>-0.51999999999999869</v>
      </c>
      <c r="AC110" s="205">
        <f t="shared" si="36"/>
        <v>-0.89999999999999858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60.06</v>
      </c>
      <c r="G111" s="456">
        <v>60.08</v>
      </c>
      <c r="H111" s="456">
        <v>60.05</v>
      </c>
      <c r="I111" s="456">
        <v>60.14</v>
      </c>
      <c r="J111" s="456">
        <v>60.02</v>
      </c>
      <c r="K111" s="456">
        <v>60.17</v>
      </c>
      <c r="L111" s="456">
        <v>60.19</v>
      </c>
      <c r="M111" s="456">
        <v>60.23</v>
      </c>
      <c r="N111" s="456">
        <v>60.05</v>
      </c>
      <c r="O111" s="456">
        <v>60.21</v>
      </c>
      <c r="P111" s="457">
        <v>60.09</v>
      </c>
      <c r="Q111" s="457">
        <v>60.21</v>
      </c>
      <c r="R111" s="457">
        <v>60.12</v>
      </c>
      <c r="S111" s="457">
        <v>60.16</v>
      </c>
      <c r="T111" s="457">
        <v>60.21</v>
      </c>
      <c r="U111" s="456">
        <v>60.2</v>
      </c>
      <c r="V111" s="456">
        <v>60.14</v>
      </c>
      <c r="W111" s="456">
        <v>60.22</v>
      </c>
      <c r="X111" s="456">
        <v>60.11</v>
      </c>
      <c r="Y111" s="456">
        <v>60.04</v>
      </c>
      <c r="Z111" s="456">
        <v>60.14</v>
      </c>
      <c r="AA111" s="456">
        <v>60.09</v>
      </c>
      <c r="AB111" s="456">
        <v>60.2</v>
      </c>
      <c r="AC111" s="456">
        <v>60.15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113</v>
      </c>
      <c r="G115" s="520" t="s">
        <v>113</v>
      </c>
      <c r="H115" s="520" t="s">
        <v>113</v>
      </c>
      <c r="I115" s="520" t="s">
        <v>113</v>
      </c>
      <c r="J115" s="520" t="s">
        <v>113</v>
      </c>
      <c r="K115" s="520" t="s">
        <v>113</v>
      </c>
      <c r="L115" s="520" t="s">
        <v>113</v>
      </c>
      <c r="M115" s="520" t="s">
        <v>113</v>
      </c>
      <c r="N115" s="520" t="s">
        <v>113</v>
      </c>
      <c r="O115" s="520" t="s">
        <v>113</v>
      </c>
      <c r="P115" s="520" t="s">
        <v>113</v>
      </c>
      <c r="Q115" s="520" t="s">
        <v>113</v>
      </c>
      <c r="R115" s="520" t="s">
        <v>113</v>
      </c>
      <c r="S115" s="520" t="s">
        <v>113</v>
      </c>
      <c r="T115" s="520" t="s">
        <v>113</v>
      </c>
      <c r="U115" s="520" t="s">
        <v>113</v>
      </c>
      <c r="V115" s="520" t="s">
        <v>113</v>
      </c>
      <c r="W115" s="520" t="s">
        <v>113</v>
      </c>
      <c r="X115" s="520" t="s">
        <v>113</v>
      </c>
      <c r="Y115" s="520" t="s">
        <v>113</v>
      </c>
      <c r="Z115" s="520" t="s">
        <v>113</v>
      </c>
      <c r="AA115" s="520" t="s">
        <v>113</v>
      </c>
      <c r="AB115" s="520" t="s">
        <v>115</v>
      </c>
      <c r="AC115" s="520" t="s">
        <v>115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988" priority="630" operator="greaterThan">
      <formula>60.3</formula>
    </cfRule>
  </conditionalFormatting>
  <conditionalFormatting sqref="F111">
    <cfRule type="cellIs" dxfId="10987" priority="629" operator="greaterThan">
      <formula>60.3</formula>
    </cfRule>
  </conditionalFormatting>
  <conditionalFormatting sqref="H13:J13 N13:O13 D42:E42 N36:AC39 N57:AC59 O14:O16 L51:M55 L36:L50 N41:AC46 M50:O50 H36:J59 L56:L59 I15:N15 I16:L16 N16 L13:L14 O52:AA55 H14:K14 AB52:AC56 H62:L64 P63:S63 S64 P13:AC16 P40:AC40 P47:AC51 P56:AA56 P62:AC62 T63:AC64">
    <cfRule type="cellIs" dxfId="10986" priority="621" operator="equal">
      <formula>"PMS"</formula>
    </cfRule>
    <cfRule type="containsText" dxfId="10985" priority="622" operator="containsText" text="CMS">
      <formula>NOT(ISERROR(SEARCH("CMS",D13)))</formula>
    </cfRule>
    <cfRule type="cellIs" dxfId="10984" priority="623" operator="equal">
      <formula>0</formula>
    </cfRule>
    <cfRule type="cellIs" dxfId="10983" priority="624" operator="greaterThan">
      <formula>0</formula>
    </cfRule>
    <cfRule type="cellIs" dxfId="10982" priority="625" operator="equal">
      <formula>"PMS"</formula>
    </cfRule>
    <cfRule type="containsText" dxfId="10981" priority="626" operator="containsText" text="CMS">
      <formula>NOT(ISERROR(SEARCH("CMS",D13)))</formula>
    </cfRule>
    <cfRule type="cellIs" dxfId="10980" priority="627" operator="equal">
      <formula>0</formula>
    </cfRule>
    <cfRule type="cellIs" dxfId="10979" priority="628" operator="greaterThan">
      <formula>0</formula>
    </cfRule>
  </conditionalFormatting>
  <conditionalFormatting sqref="H13:J13 N13:O13 D42:E42 N36:AC39 N57:AC59 O14:O16 L51:M55 L36:L50 N41:AC46 M50:O50 H36:J59 L56:L59 I15:N15 I16:L16 N16 L13:L14 O52:AA55 H14:K14 AB52:AC56 H62:L64 P63:S63 S64 P13:AC16 P40:AC40 P47:AC51 P56:AA56 P62:AC62 T63:AC64">
    <cfRule type="cellIs" dxfId="10978" priority="617" operator="equal">
      <formula>"PMS"</formula>
    </cfRule>
    <cfRule type="containsText" dxfId="10977" priority="618" operator="containsText" text="CMS">
      <formula>NOT(ISERROR(SEARCH("CMS",D13)))</formula>
    </cfRule>
    <cfRule type="cellIs" dxfId="10976" priority="619" operator="equal">
      <formula>0</formula>
    </cfRule>
    <cfRule type="cellIs" dxfId="10975" priority="620" operator="greaterThan">
      <formula>0</formula>
    </cfRule>
  </conditionalFormatting>
  <conditionalFormatting sqref="G67:AC75">
    <cfRule type="cellIs" dxfId="10974" priority="609" operator="equal">
      <formula>"PMS"</formula>
    </cfRule>
    <cfRule type="containsText" dxfId="10973" priority="610" operator="containsText" text="CMS">
      <formula>NOT(ISERROR(SEARCH("CMS",G67)))</formula>
    </cfRule>
    <cfRule type="cellIs" dxfId="10972" priority="611" operator="equal">
      <formula>0</formula>
    </cfRule>
    <cfRule type="cellIs" dxfId="10971" priority="612" operator="greaterThan">
      <formula>0</formula>
    </cfRule>
    <cfRule type="cellIs" dxfId="10970" priority="613" operator="equal">
      <formula>"PMS"</formula>
    </cfRule>
    <cfRule type="containsText" dxfId="10969" priority="614" operator="containsText" text="CMS">
      <formula>NOT(ISERROR(SEARCH("CMS",G67)))</formula>
    </cfRule>
    <cfRule type="cellIs" dxfId="10968" priority="615" operator="equal">
      <formula>0</formula>
    </cfRule>
    <cfRule type="cellIs" dxfId="10967" priority="616" operator="greaterThan">
      <formula>0</formula>
    </cfRule>
  </conditionalFormatting>
  <conditionalFormatting sqref="G67:AC75">
    <cfRule type="cellIs" dxfId="10966" priority="605" operator="equal">
      <formula>"PMS"</formula>
    </cfRule>
    <cfRule type="containsText" dxfId="10965" priority="606" operator="containsText" text="CMS">
      <formula>NOT(ISERROR(SEARCH("CMS",G67)))</formula>
    </cfRule>
    <cfRule type="cellIs" dxfId="10964" priority="607" operator="equal">
      <formula>0</formula>
    </cfRule>
    <cfRule type="cellIs" dxfId="10963" priority="608" operator="greaterThan">
      <formula>0</formula>
    </cfRule>
  </conditionalFormatting>
  <conditionalFormatting sqref="G82:AC82">
    <cfRule type="cellIs" dxfId="10962" priority="597" operator="equal">
      <formula>"PMS"</formula>
    </cfRule>
    <cfRule type="containsText" dxfId="10961" priority="598" operator="containsText" text="CMS">
      <formula>NOT(ISERROR(SEARCH("CMS",G82)))</formula>
    </cfRule>
    <cfRule type="cellIs" dxfId="10960" priority="599" operator="equal">
      <formula>0</formula>
    </cfRule>
    <cfRule type="cellIs" dxfId="10959" priority="600" operator="greaterThan">
      <formula>0</formula>
    </cfRule>
    <cfRule type="cellIs" dxfId="10958" priority="601" operator="equal">
      <formula>"PMS"</formula>
    </cfRule>
    <cfRule type="containsText" dxfId="10957" priority="602" operator="containsText" text="CMS">
      <formula>NOT(ISERROR(SEARCH("CMS",G82)))</formula>
    </cfRule>
    <cfRule type="cellIs" dxfId="10956" priority="603" operator="equal">
      <formula>0</formula>
    </cfRule>
    <cfRule type="cellIs" dxfId="10955" priority="604" operator="greaterThan">
      <formula>0</formula>
    </cfRule>
  </conditionalFormatting>
  <conditionalFormatting sqref="G82:AC82">
    <cfRule type="cellIs" dxfId="10954" priority="593" operator="equal">
      <formula>"PMS"</formula>
    </cfRule>
    <cfRule type="containsText" dxfId="10953" priority="594" operator="containsText" text="CMS">
      <formula>NOT(ISERROR(SEARCH("CMS",G82)))</formula>
    </cfRule>
    <cfRule type="cellIs" dxfId="10952" priority="595" operator="equal">
      <formula>0</formula>
    </cfRule>
    <cfRule type="cellIs" dxfId="10951" priority="596" operator="greaterThan">
      <formula>0</formula>
    </cfRule>
  </conditionalFormatting>
  <conditionalFormatting sqref="G13">
    <cfRule type="cellIs" dxfId="10950" priority="585" operator="equal">
      <formula>"PMS"</formula>
    </cfRule>
    <cfRule type="containsText" dxfId="10949" priority="586" operator="containsText" text="CMS">
      <formula>NOT(ISERROR(SEARCH("CMS",G13)))</formula>
    </cfRule>
    <cfRule type="cellIs" dxfId="10948" priority="587" operator="equal">
      <formula>0</formula>
    </cfRule>
    <cfRule type="cellIs" dxfId="10947" priority="588" operator="greaterThan">
      <formula>0</formula>
    </cfRule>
    <cfRule type="cellIs" dxfId="10946" priority="589" operator="equal">
      <formula>"PMS"</formula>
    </cfRule>
    <cfRule type="containsText" dxfId="10945" priority="590" operator="containsText" text="CMS">
      <formula>NOT(ISERROR(SEARCH("CMS",G13)))</formula>
    </cfRule>
    <cfRule type="cellIs" dxfId="10944" priority="591" operator="equal">
      <formula>0</formula>
    </cfRule>
    <cfRule type="cellIs" dxfId="10943" priority="592" operator="greaterThan">
      <formula>0</formula>
    </cfRule>
  </conditionalFormatting>
  <conditionalFormatting sqref="G13">
    <cfRule type="cellIs" dxfId="10942" priority="581" operator="equal">
      <formula>"PMS"</formula>
    </cfRule>
    <cfRule type="containsText" dxfId="10941" priority="582" operator="containsText" text="CMS">
      <formula>NOT(ISERROR(SEARCH("CMS",G13)))</formula>
    </cfRule>
    <cfRule type="cellIs" dxfId="10940" priority="583" operator="equal">
      <formula>0</formula>
    </cfRule>
    <cfRule type="cellIs" dxfId="10939" priority="584" operator="greaterThan">
      <formula>0</formula>
    </cfRule>
  </conditionalFormatting>
  <conditionalFormatting sqref="M13">
    <cfRule type="cellIs" dxfId="10938" priority="573" operator="equal">
      <formula>"PMS"</formula>
    </cfRule>
    <cfRule type="containsText" dxfId="10937" priority="574" operator="containsText" text="CMS">
      <formula>NOT(ISERROR(SEARCH("CMS",M13)))</formula>
    </cfRule>
    <cfRule type="cellIs" dxfId="10936" priority="575" operator="equal">
      <formula>0</formula>
    </cfRule>
    <cfRule type="cellIs" dxfId="10935" priority="576" operator="greaterThan">
      <formula>0</formula>
    </cfRule>
    <cfRule type="cellIs" dxfId="10934" priority="577" operator="equal">
      <formula>"PMS"</formula>
    </cfRule>
    <cfRule type="containsText" dxfId="10933" priority="578" operator="containsText" text="CMS">
      <formula>NOT(ISERROR(SEARCH("CMS",M13)))</formula>
    </cfRule>
    <cfRule type="cellIs" dxfId="10932" priority="579" operator="equal">
      <formula>0</formula>
    </cfRule>
    <cfRule type="cellIs" dxfId="10931" priority="580" operator="greaterThan">
      <formula>0</formula>
    </cfRule>
  </conditionalFormatting>
  <conditionalFormatting sqref="M13">
    <cfRule type="cellIs" dxfId="10930" priority="569" operator="equal">
      <formula>"PMS"</formula>
    </cfRule>
    <cfRule type="containsText" dxfId="10929" priority="570" operator="containsText" text="CMS">
      <formula>NOT(ISERROR(SEARCH("CMS",M13)))</formula>
    </cfRule>
    <cfRule type="cellIs" dxfId="10928" priority="571" operator="equal">
      <formula>0</formula>
    </cfRule>
    <cfRule type="cellIs" dxfId="10927" priority="572" operator="greaterThan">
      <formula>0</formula>
    </cfRule>
  </conditionalFormatting>
  <conditionalFormatting sqref="K13">
    <cfRule type="cellIs" dxfId="10926" priority="561" operator="equal">
      <formula>"PMS"</formula>
    </cfRule>
    <cfRule type="containsText" dxfId="10925" priority="562" operator="containsText" text="CMS">
      <formula>NOT(ISERROR(SEARCH("CMS",K13)))</formula>
    </cfRule>
    <cfRule type="cellIs" dxfId="10924" priority="563" operator="equal">
      <formula>0</formula>
    </cfRule>
    <cfRule type="cellIs" dxfId="10923" priority="564" operator="greaterThan">
      <formula>0</formula>
    </cfRule>
    <cfRule type="cellIs" dxfId="10922" priority="565" operator="equal">
      <formula>"PMS"</formula>
    </cfRule>
    <cfRule type="containsText" dxfId="10921" priority="566" operator="containsText" text="CMS">
      <formula>NOT(ISERROR(SEARCH("CMS",K13)))</formula>
    </cfRule>
    <cfRule type="cellIs" dxfId="10920" priority="567" operator="equal">
      <formula>0</formula>
    </cfRule>
    <cfRule type="cellIs" dxfId="10919" priority="568" operator="greaterThan">
      <formula>0</formula>
    </cfRule>
  </conditionalFormatting>
  <conditionalFormatting sqref="K13">
    <cfRule type="cellIs" dxfId="10918" priority="557" operator="equal">
      <formula>"PMS"</formula>
    </cfRule>
    <cfRule type="containsText" dxfId="10917" priority="558" operator="containsText" text="CMS">
      <formula>NOT(ISERROR(SEARCH("CMS",K13)))</formula>
    </cfRule>
    <cfRule type="cellIs" dxfId="10916" priority="559" operator="equal">
      <formula>0</formula>
    </cfRule>
    <cfRule type="cellIs" dxfId="10915" priority="560" operator="greaterThan">
      <formula>0</formula>
    </cfRule>
  </conditionalFormatting>
  <conditionalFormatting sqref="G113:AC113">
    <cfRule type="cellIs" dxfId="10914" priority="556" operator="greaterThan">
      <formula>60.3</formula>
    </cfRule>
  </conditionalFormatting>
  <conditionalFormatting sqref="H112:M112">
    <cfRule type="cellIs" dxfId="10913" priority="555" operator="greaterThan">
      <formula>60.3</formula>
    </cfRule>
  </conditionalFormatting>
  <conditionalFormatting sqref="F112:G112">
    <cfRule type="cellIs" dxfId="10912" priority="554" operator="greaterThan">
      <formula>60.3</formula>
    </cfRule>
  </conditionalFormatting>
  <conditionalFormatting sqref="N112:AC112">
    <cfRule type="cellIs" dxfId="10911" priority="553" operator="greaterThan">
      <formula>60.3</formula>
    </cfRule>
  </conditionalFormatting>
  <conditionalFormatting sqref="G15:G16">
    <cfRule type="cellIs" dxfId="10910" priority="545" operator="equal">
      <formula>"PMS"</formula>
    </cfRule>
    <cfRule type="containsText" dxfId="10909" priority="546" operator="containsText" text="CMS">
      <formula>NOT(ISERROR(SEARCH("CMS",G15)))</formula>
    </cfRule>
    <cfRule type="cellIs" dxfId="10908" priority="547" operator="equal">
      <formula>0</formula>
    </cfRule>
    <cfRule type="cellIs" dxfId="10907" priority="548" operator="greaterThan">
      <formula>0</formula>
    </cfRule>
    <cfRule type="cellIs" dxfId="10906" priority="549" operator="equal">
      <formula>"PMS"</formula>
    </cfRule>
    <cfRule type="containsText" dxfId="10905" priority="550" operator="containsText" text="CMS">
      <formula>NOT(ISERROR(SEARCH("CMS",G15)))</formula>
    </cfRule>
    <cfRule type="cellIs" dxfId="10904" priority="551" operator="equal">
      <formula>0</formula>
    </cfRule>
    <cfRule type="cellIs" dxfId="10903" priority="552" operator="greaterThan">
      <formula>0</formula>
    </cfRule>
  </conditionalFormatting>
  <conditionalFormatting sqref="G15:G16">
    <cfRule type="cellIs" dxfId="10902" priority="541" operator="equal">
      <formula>"PMS"</formula>
    </cfRule>
    <cfRule type="containsText" dxfId="10901" priority="542" operator="containsText" text="CMS">
      <formula>NOT(ISERROR(SEARCH("CMS",G15)))</formula>
    </cfRule>
    <cfRule type="cellIs" dxfId="10900" priority="543" operator="equal">
      <formula>0</formula>
    </cfRule>
    <cfRule type="cellIs" dxfId="10899" priority="544" operator="greaterThan">
      <formula>0</formula>
    </cfRule>
  </conditionalFormatting>
  <conditionalFormatting sqref="H16">
    <cfRule type="cellIs" dxfId="10898" priority="533" operator="equal">
      <formula>"PMS"</formula>
    </cfRule>
    <cfRule type="containsText" dxfId="10897" priority="534" operator="containsText" text="CMS">
      <formula>NOT(ISERROR(SEARCH("CMS",H16)))</formula>
    </cfRule>
    <cfRule type="cellIs" dxfId="10896" priority="535" operator="equal">
      <formula>0</formula>
    </cfRule>
    <cfRule type="cellIs" dxfId="10895" priority="536" operator="greaterThan">
      <formula>0</formula>
    </cfRule>
    <cfRule type="cellIs" dxfId="10894" priority="537" operator="equal">
      <formula>"PMS"</formula>
    </cfRule>
    <cfRule type="containsText" dxfId="10893" priority="538" operator="containsText" text="CMS">
      <formula>NOT(ISERROR(SEARCH("CMS",H16)))</formula>
    </cfRule>
    <cfRule type="cellIs" dxfId="10892" priority="539" operator="equal">
      <formula>0</formula>
    </cfRule>
    <cfRule type="cellIs" dxfId="10891" priority="540" operator="greaterThan">
      <formula>0</formula>
    </cfRule>
  </conditionalFormatting>
  <conditionalFormatting sqref="H16">
    <cfRule type="cellIs" dxfId="10890" priority="529" operator="equal">
      <formula>"PMS"</formula>
    </cfRule>
    <cfRule type="containsText" dxfId="10889" priority="530" operator="containsText" text="CMS">
      <formula>NOT(ISERROR(SEARCH("CMS",H16)))</formula>
    </cfRule>
    <cfRule type="cellIs" dxfId="10888" priority="531" operator="equal">
      <formula>0</formula>
    </cfRule>
    <cfRule type="cellIs" dxfId="10887" priority="532" operator="greaterThan">
      <formula>0</formula>
    </cfRule>
  </conditionalFormatting>
  <conditionalFormatting sqref="G36:G38 G57:G59">
    <cfRule type="cellIs" dxfId="10886" priority="521" operator="equal">
      <formula>"PMS"</formula>
    </cfRule>
    <cfRule type="containsText" dxfId="10885" priority="522" operator="containsText" text="CMS">
      <formula>NOT(ISERROR(SEARCH("CMS",G36)))</formula>
    </cfRule>
    <cfRule type="cellIs" dxfId="10884" priority="523" operator="equal">
      <formula>0</formula>
    </cfRule>
    <cfRule type="cellIs" dxfId="10883" priority="524" operator="greaterThan">
      <formula>0</formula>
    </cfRule>
    <cfRule type="cellIs" dxfId="10882" priority="525" operator="equal">
      <formula>"PMS"</formula>
    </cfRule>
    <cfRule type="containsText" dxfId="10881" priority="526" operator="containsText" text="CMS">
      <formula>NOT(ISERROR(SEARCH("CMS",G36)))</formula>
    </cfRule>
    <cfRule type="cellIs" dxfId="10880" priority="527" operator="equal">
      <formula>0</formula>
    </cfRule>
    <cfRule type="cellIs" dxfId="10879" priority="528" operator="greaterThan">
      <formula>0</formula>
    </cfRule>
  </conditionalFormatting>
  <conditionalFormatting sqref="G36:G38 G57:G59">
    <cfRule type="cellIs" dxfId="10878" priority="517" operator="equal">
      <formula>"PMS"</formula>
    </cfRule>
    <cfRule type="containsText" dxfId="10877" priority="518" operator="containsText" text="CMS">
      <formula>NOT(ISERROR(SEARCH("CMS",G36)))</formula>
    </cfRule>
    <cfRule type="cellIs" dxfId="10876" priority="519" operator="equal">
      <formula>0</formula>
    </cfRule>
    <cfRule type="cellIs" dxfId="10875" priority="520" operator="greaterThan">
      <formula>0</formula>
    </cfRule>
  </conditionalFormatting>
  <conditionalFormatting sqref="M36:M38 M57:M59">
    <cfRule type="cellIs" dxfId="10874" priority="509" operator="equal">
      <formula>"PMS"</formula>
    </cfRule>
    <cfRule type="containsText" dxfId="10873" priority="510" operator="containsText" text="CMS">
      <formula>NOT(ISERROR(SEARCH("CMS",M36)))</formula>
    </cfRule>
    <cfRule type="cellIs" dxfId="10872" priority="511" operator="equal">
      <formula>0</formula>
    </cfRule>
    <cfRule type="cellIs" dxfId="10871" priority="512" operator="greaterThan">
      <formula>0</formula>
    </cfRule>
    <cfRule type="cellIs" dxfId="10870" priority="513" operator="equal">
      <formula>"PMS"</formula>
    </cfRule>
    <cfRule type="containsText" dxfId="10869" priority="514" operator="containsText" text="CMS">
      <formula>NOT(ISERROR(SEARCH("CMS",M36)))</formula>
    </cfRule>
    <cfRule type="cellIs" dxfId="10868" priority="515" operator="equal">
      <formula>0</formula>
    </cfRule>
    <cfRule type="cellIs" dxfId="10867" priority="516" operator="greaterThan">
      <formula>0</formula>
    </cfRule>
  </conditionalFormatting>
  <conditionalFormatting sqref="M36:M38 M57:M59">
    <cfRule type="cellIs" dxfId="10866" priority="505" operator="equal">
      <formula>"PMS"</formula>
    </cfRule>
    <cfRule type="containsText" dxfId="10865" priority="506" operator="containsText" text="CMS">
      <formula>NOT(ISERROR(SEARCH("CMS",M36)))</formula>
    </cfRule>
    <cfRule type="cellIs" dxfId="10864" priority="507" operator="equal">
      <formula>0</formula>
    </cfRule>
    <cfRule type="cellIs" dxfId="10863" priority="508" operator="greaterThan">
      <formula>0</formula>
    </cfRule>
  </conditionalFormatting>
  <conditionalFormatting sqref="K36:K38 K57:K59">
    <cfRule type="cellIs" dxfId="10862" priority="497" operator="equal">
      <formula>"PMS"</formula>
    </cfRule>
    <cfRule type="containsText" dxfId="10861" priority="498" operator="containsText" text="CMS">
      <formula>NOT(ISERROR(SEARCH("CMS",K36)))</formula>
    </cfRule>
    <cfRule type="cellIs" dxfId="10860" priority="499" operator="equal">
      <formula>0</formula>
    </cfRule>
    <cfRule type="cellIs" dxfId="10859" priority="500" operator="greaterThan">
      <formula>0</formula>
    </cfRule>
    <cfRule type="cellIs" dxfId="10858" priority="501" operator="equal">
      <formula>"PMS"</formula>
    </cfRule>
    <cfRule type="containsText" dxfId="10857" priority="502" operator="containsText" text="CMS">
      <formula>NOT(ISERROR(SEARCH("CMS",K36)))</formula>
    </cfRule>
    <cfRule type="cellIs" dxfId="10856" priority="503" operator="equal">
      <formula>0</formula>
    </cfRule>
    <cfRule type="cellIs" dxfId="10855" priority="504" operator="greaterThan">
      <formula>0</formula>
    </cfRule>
  </conditionalFormatting>
  <conditionalFormatting sqref="K36:K38 K57:K59">
    <cfRule type="cellIs" dxfId="10854" priority="493" operator="equal">
      <formula>"PMS"</formula>
    </cfRule>
    <cfRule type="containsText" dxfId="10853" priority="494" operator="containsText" text="CMS">
      <formula>NOT(ISERROR(SEARCH("CMS",K36)))</formula>
    </cfRule>
    <cfRule type="cellIs" dxfId="10852" priority="495" operator="equal">
      <formula>0</formula>
    </cfRule>
    <cfRule type="cellIs" dxfId="10851" priority="496" operator="greaterThan">
      <formula>0</formula>
    </cfRule>
  </conditionalFormatting>
  <conditionalFormatting sqref="G49">
    <cfRule type="cellIs" dxfId="10850" priority="485" operator="equal">
      <formula>"PMS"</formula>
    </cfRule>
    <cfRule type="containsText" dxfId="10849" priority="486" operator="containsText" text="CMS">
      <formula>NOT(ISERROR(SEARCH("CMS",G49)))</formula>
    </cfRule>
    <cfRule type="cellIs" dxfId="10848" priority="487" operator="equal">
      <formula>0</formula>
    </cfRule>
    <cfRule type="cellIs" dxfId="10847" priority="488" operator="greaterThan">
      <formula>0</formula>
    </cfRule>
    <cfRule type="cellIs" dxfId="10846" priority="489" operator="equal">
      <formula>"PMS"</formula>
    </cfRule>
    <cfRule type="containsText" dxfId="10845" priority="490" operator="containsText" text="CMS">
      <formula>NOT(ISERROR(SEARCH("CMS",G49)))</formula>
    </cfRule>
    <cfRule type="cellIs" dxfId="10844" priority="491" operator="equal">
      <formula>0</formula>
    </cfRule>
    <cfRule type="cellIs" dxfId="10843" priority="492" operator="greaterThan">
      <formula>0</formula>
    </cfRule>
  </conditionalFormatting>
  <conditionalFormatting sqref="G49">
    <cfRule type="cellIs" dxfId="10842" priority="481" operator="equal">
      <formula>"PMS"</formula>
    </cfRule>
    <cfRule type="containsText" dxfId="10841" priority="482" operator="containsText" text="CMS">
      <formula>NOT(ISERROR(SEARCH("CMS",G49)))</formula>
    </cfRule>
    <cfRule type="cellIs" dxfId="10840" priority="483" operator="equal">
      <formula>0</formula>
    </cfRule>
    <cfRule type="cellIs" dxfId="10839" priority="484" operator="greaterThan">
      <formula>0</formula>
    </cfRule>
  </conditionalFormatting>
  <conditionalFormatting sqref="M49:N49">
    <cfRule type="cellIs" dxfId="10838" priority="473" operator="equal">
      <formula>"PMS"</formula>
    </cfRule>
    <cfRule type="containsText" dxfId="10837" priority="474" operator="containsText" text="CMS">
      <formula>NOT(ISERROR(SEARCH("CMS",M49)))</formula>
    </cfRule>
    <cfRule type="cellIs" dxfId="10836" priority="475" operator="equal">
      <formula>0</formula>
    </cfRule>
    <cfRule type="cellIs" dxfId="10835" priority="476" operator="greaterThan">
      <formula>0</formula>
    </cfRule>
    <cfRule type="cellIs" dxfId="10834" priority="477" operator="equal">
      <formula>"PMS"</formula>
    </cfRule>
    <cfRule type="containsText" dxfId="10833" priority="478" operator="containsText" text="CMS">
      <formula>NOT(ISERROR(SEARCH("CMS",M49)))</formula>
    </cfRule>
    <cfRule type="cellIs" dxfId="10832" priority="479" operator="equal">
      <formula>0</formula>
    </cfRule>
    <cfRule type="cellIs" dxfId="10831" priority="480" operator="greaterThan">
      <formula>0</formula>
    </cfRule>
  </conditionalFormatting>
  <conditionalFormatting sqref="M49:N49">
    <cfRule type="cellIs" dxfId="10830" priority="469" operator="equal">
      <formula>"PMS"</formula>
    </cfRule>
    <cfRule type="containsText" dxfId="10829" priority="470" operator="containsText" text="CMS">
      <formula>NOT(ISERROR(SEARCH("CMS",M49)))</formula>
    </cfRule>
    <cfRule type="cellIs" dxfId="10828" priority="471" operator="equal">
      <formula>0</formula>
    </cfRule>
    <cfRule type="cellIs" dxfId="10827" priority="472" operator="greaterThan">
      <formula>0</formula>
    </cfRule>
  </conditionalFormatting>
  <conditionalFormatting sqref="K49">
    <cfRule type="cellIs" dxfId="10826" priority="461" operator="equal">
      <formula>"PMS"</formula>
    </cfRule>
    <cfRule type="containsText" dxfId="10825" priority="462" operator="containsText" text="CMS">
      <formula>NOT(ISERROR(SEARCH("CMS",K49)))</formula>
    </cfRule>
    <cfRule type="cellIs" dxfId="10824" priority="463" operator="equal">
      <formula>0</formula>
    </cfRule>
    <cfRule type="cellIs" dxfId="10823" priority="464" operator="greaterThan">
      <formula>0</formula>
    </cfRule>
    <cfRule type="cellIs" dxfId="10822" priority="465" operator="equal">
      <formula>"PMS"</formula>
    </cfRule>
    <cfRule type="containsText" dxfId="10821" priority="466" operator="containsText" text="CMS">
      <formula>NOT(ISERROR(SEARCH("CMS",K49)))</formula>
    </cfRule>
    <cfRule type="cellIs" dxfId="10820" priority="467" operator="equal">
      <formula>0</formula>
    </cfRule>
    <cfRule type="cellIs" dxfId="10819" priority="468" operator="greaterThan">
      <formula>0</formula>
    </cfRule>
  </conditionalFormatting>
  <conditionalFormatting sqref="K49">
    <cfRule type="cellIs" dxfId="10818" priority="457" operator="equal">
      <formula>"PMS"</formula>
    </cfRule>
    <cfRule type="containsText" dxfId="10817" priority="458" operator="containsText" text="CMS">
      <formula>NOT(ISERROR(SEARCH("CMS",K49)))</formula>
    </cfRule>
    <cfRule type="cellIs" dxfId="10816" priority="459" operator="equal">
      <formula>0</formula>
    </cfRule>
    <cfRule type="cellIs" dxfId="10815" priority="460" operator="greaterThan">
      <formula>0</formula>
    </cfRule>
  </conditionalFormatting>
  <conditionalFormatting sqref="H33:J33 L33 L27:L29 H24:J24 H19:J20 L20:L21 V28:AC28 Q28 N28:P29 P30 H27:J30 I21:K21 K19:M19 N30 S28:T28 O78:Q78 X78:AC78 AB79:AC79 S78:V78 N33:AC33 M21:O21 Q21:AC21 N19:AC20 L24:AC24 Q29:AC30 N79:Z79">
    <cfRule type="cellIs" dxfId="10814" priority="449" operator="equal">
      <formula>"PMS"</formula>
    </cfRule>
    <cfRule type="containsText" dxfId="10813" priority="450" operator="containsText" text="CMS">
      <formula>NOT(ISERROR(SEARCH("CMS",H19)))</formula>
    </cfRule>
    <cfRule type="cellIs" dxfId="10812" priority="451" operator="equal">
      <formula>0</formula>
    </cfRule>
    <cfRule type="cellIs" dxfId="10811" priority="452" operator="greaterThan">
      <formula>0</formula>
    </cfRule>
    <cfRule type="cellIs" dxfId="10810" priority="453" operator="equal">
      <formula>"PMS"</formula>
    </cfRule>
    <cfRule type="containsText" dxfId="10809" priority="454" operator="containsText" text="CMS">
      <formula>NOT(ISERROR(SEARCH("CMS",H19)))</formula>
    </cfRule>
    <cfRule type="cellIs" dxfId="10808" priority="455" operator="equal">
      <formula>0</formula>
    </cfRule>
    <cfRule type="cellIs" dxfId="10807" priority="456" operator="greaterThan">
      <formula>0</formula>
    </cfRule>
  </conditionalFormatting>
  <conditionalFormatting sqref="H33:J33 L33 L27:L29 H24:J24 H19:J20 L20:L21 V28:AC28 Q28 N28:P29 P30 H27:J30 I21:K21 K19:M19 N30 S28:T28 O78:Q78 X78:AC78 AB79:AC79 S78:V78 N33:AC33 M21:O21 Q21:AC21 N19:AC20 L24:AC24 Q29:AC30 N79:Z79">
    <cfRule type="cellIs" dxfId="10806" priority="445" operator="equal">
      <formula>"PMS"</formula>
    </cfRule>
    <cfRule type="containsText" dxfId="10805" priority="446" operator="containsText" text="CMS">
      <formula>NOT(ISERROR(SEARCH("CMS",H19)))</formula>
    </cfRule>
    <cfRule type="cellIs" dxfId="10804" priority="447" operator="equal">
      <formula>0</formula>
    </cfRule>
    <cfRule type="cellIs" dxfId="10803" priority="448" operator="greaterThan">
      <formula>0</formula>
    </cfRule>
  </conditionalFormatting>
  <conditionalFormatting sqref="G33 G27:G30 G24 G39:G48 G50:G56 G19:G21 H21">
    <cfRule type="cellIs" dxfId="10802" priority="437" operator="equal">
      <formula>"PMS"</formula>
    </cfRule>
    <cfRule type="containsText" dxfId="10801" priority="438" operator="containsText" text="CMS">
      <formula>NOT(ISERROR(SEARCH("CMS",G19)))</formula>
    </cfRule>
    <cfRule type="cellIs" dxfId="10800" priority="439" operator="equal">
      <formula>0</formula>
    </cfRule>
    <cfRule type="cellIs" dxfId="10799" priority="440" operator="greaterThan">
      <formula>0</formula>
    </cfRule>
    <cfRule type="cellIs" dxfId="10798" priority="441" operator="equal">
      <formula>"PMS"</formula>
    </cfRule>
    <cfRule type="containsText" dxfId="10797" priority="442" operator="containsText" text="CMS">
      <formula>NOT(ISERROR(SEARCH("CMS",G19)))</formula>
    </cfRule>
    <cfRule type="cellIs" dxfId="10796" priority="443" operator="equal">
      <formula>0</formula>
    </cfRule>
    <cfRule type="cellIs" dxfId="10795" priority="444" operator="greaterThan">
      <formula>0</formula>
    </cfRule>
  </conditionalFormatting>
  <conditionalFormatting sqref="G33 G27:G30 G24 G39:G48 G50:G56 G19:G21 H21">
    <cfRule type="cellIs" dxfId="10794" priority="433" operator="equal">
      <formula>"PMS"</formula>
    </cfRule>
    <cfRule type="containsText" dxfId="10793" priority="434" operator="containsText" text="CMS">
      <formula>NOT(ISERROR(SEARCH("CMS",G19)))</formula>
    </cfRule>
    <cfRule type="cellIs" dxfId="10792" priority="435" operator="equal">
      <formula>0</formula>
    </cfRule>
    <cfRule type="cellIs" dxfId="10791" priority="436" operator="greaterThan">
      <formula>0</formula>
    </cfRule>
  </conditionalFormatting>
  <conditionalFormatting sqref="M39:M48 M33 M27:M29 M20 AB27:AC27 N27:Q27 M56 N78 S27:X27 M62:M64 N47:N48 N51:N56">
    <cfRule type="cellIs" dxfId="10790" priority="425" operator="equal">
      <formula>"PMS"</formula>
    </cfRule>
    <cfRule type="containsText" dxfId="10789" priority="426" operator="containsText" text="CMS">
      <formula>NOT(ISERROR(SEARCH("CMS",M20)))</formula>
    </cfRule>
    <cfRule type="cellIs" dxfId="10788" priority="427" operator="equal">
      <formula>0</formula>
    </cfRule>
    <cfRule type="cellIs" dxfId="10787" priority="428" operator="greaterThan">
      <formula>0</formula>
    </cfRule>
    <cfRule type="cellIs" dxfId="10786" priority="429" operator="equal">
      <formula>"PMS"</formula>
    </cfRule>
    <cfRule type="containsText" dxfId="10785" priority="430" operator="containsText" text="CMS">
      <formula>NOT(ISERROR(SEARCH("CMS",M20)))</formula>
    </cfRule>
    <cfRule type="cellIs" dxfId="10784" priority="431" operator="equal">
      <formula>0</formula>
    </cfRule>
    <cfRule type="cellIs" dxfId="10783" priority="432" operator="greaterThan">
      <formula>0</formula>
    </cfRule>
  </conditionalFormatting>
  <conditionalFormatting sqref="M39:M48 M33 M27:M29 M20 AB27:AC27 N27:Q27 M56 N78 S27:X27 M62:M64 N47:N48 N51:N56">
    <cfRule type="cellIs" dxfId="10782" priority="421" operator="equal">
      <formula>"PMS"</formula>
    </cfRule>
    <cfRule type="containsText" dxfId="10781" priority="422" operator="containsText" text="CMS">
      <formula>NOT(ISERROR(SEARCH("CMS",M20)))</formula>
    </cfRule>
    <cfRule type="cellIs" dxfId="10780" priority="423" operator="equal">
      <formula>0</formula>
    </cfRule>
    <cfRule type="cellIs" dxfId="10779" priority="424" operator="greaterThan">
      <formula>0</formula>
    </cfRule>
  </conditionalFormatting>
  <conditionalFormatting sqref="K50:K56 K39:K48 K33 K27 K24 K20 K29:K30">
    <cfRule type="cellIs" dxfId="10778" priority="413" operator="equal">
      <formula>"PMS"</formula>
    </cfRule>
    <cfRule type="containsText" dxfId="10777" priority="414" operator="containsText" text="CMS">
      <formula>NOT(ISERROR(SEARCH("CMS",K20)))</formula>
    </cfRule>
    <cfRule type="cellIs" dxfId="10776" priority="415" operator="equal">
      <formula>0</formula>
    </cfRule>
    <cfRule type="cellIs" dxfId="10775" priority="416" operator="greaterThan">
      <formula>0</formula>
    </cfRule>
    <cfRule type="cellIs" dxfId="10774" priority="417" operator="equal">
      <formula>"PMS"</formula>
    </cfRule>
    <cfRule type="containsText" dxfId="10773" priority="418" operator="containsText" text="CMS">
      <formula>NOT(ISERROR(SEARCH("CMS",K20)))</formula>
    </cfRule>
    <cfRule type="cellIs" dxfId="10772" priority="419" operator="equal">
      <formula>0</formula>
    </cfRule>
    <cfRule type="cellIs" dxfId="10771" priority="420" operator="greaterThan">
      <formula>0</formula>
    </cfRule>
  </conditionalFormatting>
  <conditionalFormatting sqref="K50:K56 K39:K48 K33 K27 K24 K20 K29:K30">
    <cfRule type="cellIs" dxfId="10770" priority="409" operator="equal">
      <formula>"PMS"</formula>
    </cfRule>
    <cfRule type="containsText" dxfId="10769" priority="410" operator="containsText" text="CMS">
      <formula>NOT(ISERROR(SEARCH("CMS",K20)))</formula>
    </cfRule>
    <cfRule type="cellIs" dxfId="10768" priority="411" operator="equal">
      <formula>0</formula>
    </cfRule>
    <cfRule type="cellIs" dxfId="10767" priority="412" operator="greaterThan">
      <formula>0</formula>
    </cfRule>
  </conditionalFormatting>
  <conditionalFormatting sqref="K28">
    <cfRule type="cellIs" dxfId="10766" priority="401" operator="equal">
      <formula>"PMS"</formula>
    </cfRule>
    <cfRule type="containsText" dxfId="10765" priority="402" operator="containsText" text="CMS">
      <formula>NOT(ISERROR(SEARCH("CMS",K28)))</formula>
    </cfRule>
    <cfRule type="cellIs" dxfId="10764" priority="403" operator="equal">
      <formula>0</formula>
    </cfRule>
    <cfRule type="cellIs" dxfId="10763" priority="404" operator="greaterThan">
      <formula>0</formula>
    </cfRule>
    <cfRule type="cellIs" dxfId="10762" priority="405" operator="equal">
      <formula>"PMS"</formula>
    </cfRule>
    <cfRule type="containsText" dxfId="10761" priority="406" operator="containsText" text="CMS">
      <formula>NOT(ISERROR(SEARCH("CMS",K28)))</formula>
    </cfRule>
    <cfRule type="cellIs" dxfId="10760" priority="407" operator="equal">
      <formula>0</formula>
    </cfRule>
    <cfRule type="cellIs" dxfId="10759" priority="408" operator="greaterThan">
      <formula>0</formula>
    </cfRule>
  </conditionalFormatting>
  <conditionalFormatting sqref="K28">
    <cfRule type="cellIs" dxfId="10758" priority="397" operator="equal">
      <formula>"PMS"</formula>
    </cfRule>
    <cfRule type="containsText" dxfId="10757" priority="398" operator="containsText" text="CMS">
      <formula>NOT(ISERROR(SEARCH("CMS",K28)))</formula>
    </cfRule>
    <cfRule type="cellIs" dxfId="10756" priority="399" operator="equal">
      <formula>0</formula>
    </cfRule>
    <cfRule type="cellIs" dxfId="10755" priority="400" operator="greaterThan">
      <formula>0</formula>
    </cfRule>
  </conditionalFormatting>
  <conditionalFormatting sqref="N62:O62 O63">
    <cfRule type="cellIs" dxfId="10754" priority="389" operator="equal">
      <formula>"PMS"</formula>
    </cfRule>
    <cfRule type="containsText" dxfId="10753" priority="390" operator="containsText" text="CMS">
      <formula>NOT(ISERROR(SEARCH("CMS",N62)))</formula>
    </cfRule>
    <cfRule type="cellIs" dxfId="10752" priority="391" operator="equal">
      <formula>0</formula>
    </cfRule>
    <cfRule type="cellIs" dxfId="10751" priority="392" operator="greaterThan">
      <formula>0</formula>
    </cfRule>
    <cfRule type="cellIs" dxfId="10750" priority="393" operator="equal">
      <formula>"PMS"</formula>
    </cfRule>
    <cfRule type="containsText" dxfId="10749" priority="394" operator="containsText" text="CMS">
      <formula>NOT(ISERROR(SEARCH("CMS",N62)))</formula>
    </cfRule>
    <cfRule type="cellIs" dxfId="10748" priority="395" operator="equal">
      <formula>0</formula>
    </cfRule>
    <cfRule type="cellIs" dxfId="10747" priority="396" operator="greaterThan">
      <formula>0</formula>
    </cfRule>
  </conditionalFormatting>
  <conditionalFormatting sqref="N62:O62 O63">
    <cfRule type="cellIs" dxfId="10746" priority="385" operator="equal">
      <formula>"PMS"</formula>
    </cfRule>
    <cfRule type="containsText" dxfId="10745" priority="386" operator="containsText" text="CMS">
      <formula>NOT(ISERROR(SEARCH("CMS",N62)))</formula>
    </cfRule>
    <cfRule type="cellIs" dxfId="10744" priority="387" operator="equal">
      <formula>0</formula>
    </cfRule>
    <cfRule type="cellIs" dxfId="10743" priority="388" operator="greaterThan">
      <formula>0</formula>
    </cfRule>
  </conditionalFormatting>
  <conditionalFormatting sqref="U28">
    <cfRule type="cellIs" dxfId="10742" priority="377" operator="equal">
      <formula>"PMS"</formula>
    </cfRule>
    <cfRule type="containsText" dxfId="10741" priority="378" operator="containsText" text="CMS">
      <formula>NOT(ISERROR(SEARCH("CMS",U28)))</formula>
    </cfRule>
    <cfRule type="cellIs" dxfId="10740" priority="379" operator="equal">
      <formula>0</formula>
    </cfRule>
    <cfRule type="cellIs" dxfId="10739" priority="380" operator="greaterThan">
      <formula>0</formula>
    </cfRule>
    <cfRule type="cellIs" dxfId="10738" priority="381" operator="equal">
      <formula>"PMS"</formula>
    </cfRule>
    <cfRule type="containsText" dxfId="10737" priority="382" operator="containsText" text="CMS">
      <formula>NOT(ISERROR(SEARCH("CMS",U28)))</formula>
    </cfRule>
    <cfRule type="cellIs" dxfId="10736" priority="383" operator="equal">
      <formula>0</formula>
    </cfRule>
    <cfRule type="cellIs" dxfId="10735" priority="384" operator="greaterThan">
      <formula>0</formula>
    </cfRule>
  </conditionalFormatting>
  <conditionalFormatting sqref="U28">
    <cfRule type="cellIs" dxfId="10734" priority="373" operator="equal">
      <formula>"PMS"</formula>
    </cfRule>
    <cfRule type="containsText" dxfId="10733" priority="374" operator="containsText" text="CMS">
      <formula>NOT(ISERROR(SEARCH("CMS",U28)))</formula>
    </cfRule>
    <cfRule type="cellIs" dxfId="10732" priority="375" operator="equal">
      <formula>0</formula>
    </cfRule>
    <cfRule type="cellIs" dxfId="10731" priority="376" operator="greaterThan">
      <formula>0</formula>
    </cfRule>
  </conditionalFormatting>
  <conditionalFormatting sqref="Y27:AA27">
    <cfRule type="cellIs" dxfId="10730" priority="365" operator="equal">
      <formula>"PMS"</formula>
    </cfRule>
    <cfRule type="containsText" dxfId="10729" priority="366" operator="containsText" text="CMS">
      <formula>NOT(ISERROR(SEARCH("CMS",Y27)))</formula>
    </cfRule>
    <cfRule type="cellIs" dxfId="10728" priority="367" operator="equal">
      <formula>0</formula>
    </cfRule>
    <cfRule type="cellIs" dxfId="10727" priority="368" operator="greaterThan">
      <formula>0</formula>
    </cfRule>
    <cfRule type="cellIs" dxfId="10726" priority="369" operator="equal">
      <formula>"PMS"</formula>
    </cfRule>
    <cfRule type="containsText" dxfId="10725" priority="370" operator="containsText" text="CMS">
      <formula>NOT(ISERROR(SEARCH("CMS",Y27)))</formula>
    </cfRule>
    <cfRule type="cellIs" dxfId="10724" priority="371" operator="equal">
      <formula>0</formula>
    </cfRule>
    <cfRule type="cellIs" dxfId="10723" priority="372" operator="greaterThan">
      <formula>0</formula>
    </cfRule>
  </conditionalFormatting>
  <conditionalFormatting sqref="Y27:AA27">
    <cfRule type="cellIs" dxfId="10722" priority="361" operator="equal">
      <formula>"PMS"</formula>
    </cfRule>
    <cfRule type="containsText" dxfId="10721" priority="362" operator="containsText" text="CMS">
      <formula>NOT(ISERROR(SEARCH("CMS",Y27)))</formula>
    </cfRule>
    <cfRule type="cellIs" dxfId="10720" priority="363" operator="equal">
      <formula>0</formula>
    </cfRule>
    <cfRule type="cellIs" dxfId="10719" priority="364" operator="greaterThan">
      <formula>0</formula>
    </cfRule>
  </conditionalFormatting>
  <conditionalFormatting sqref="G62:G64">
    <cfRule type="cellIs" dxfId="10718" priority="353" operator="equal">
      <formula>"PMS"</formula>
    </cfRule>
    <cfRule type="containsText" dxfId="10717" priority="354" operator="containsText" text="CMS">
      <formula>NOT(ISERROR(SEARCH("CMS",G62)))</formula>
    </cfRule>
    <cfRule type="cellIs" dxfId="10716" priority="355" operator="equal">
      <formula>0</formula>
    </cfRule>
    <cfRule type="cellIs" dxfId="10715" priority="356" operator="greaterThan">
      <formula>0</formula>
    </cfRule>
    <cfRule type="cellIs" dxfId="10714" priority="357" operator="equal">
      <formula>"PMS"</formula>
    </cfRule>
    <cfRule type="containsText" dxfId="10713" priority="358" operator="containsText" text="CMS">
      <formula>NOT(ISERROR(SEARCH("CMS",G62)))</formula>
    </cfRule>
    <cfRule type="cellIs" dxfId="10712" priority="359" operator="equal">
      <formula>0</formula>
    </cfRule>
    <cfRule type="cellIs" dxfId="10711" priority="360" operator="greaterThan">
      <formula>0</formula>
    </cfRule>
  </conditionalFormatting>
  <conditionalFormatting sqref="G62:G64">
    <cfRule type="cellIs" dxfId="10710" priority="349" operator="equal">
      <formula>"PMS"</formula>
    </cfRule>
    <cfRule type="containsText" dxfId="10709" priority="350" operator="containsText" text="CMS">
      <formula>NOT(ISERROR(SEARCH("CMS",G62)))</formula>
    </cfRule>
    <cfRule type="cellIs" dxfId="10708" priority="351" operator="equal">
      <formula>0</formula>
    </cfRule>
    <cfRule type="cellIs" dxfId="10707" priority="352" operator="greaterThan">
      <formula>0</formula>
    </cfRule>
  </conditionalFormatting>
  <conditionalFormatting sqref="N40">
    <cfRule type="cellIs" dxfId="10706" priority="341" operator="equal">
      <formula>"PMS"</formula>
    </cfRule>
    <cfRule type="containsText" dxfId="10705" priority="342" operator="containsText" text="CMS">
      <formula>NOT(ISERROR(SEARCH("CMS",N40)))</formula>
    </cfRule>
    <cfRule type="cellIs" dxfId="10704" priority="343" operator="equal">
      <formula>0</formula>
    </cfRule>
    <cfRule type="cellIs" dxfId="10703" priority="344" operator="greaterThan">
      <formula>0</formula>
    </cfRule>
    <cfRule type="cellIs" dxfId="10702" priority="345" operator="equal">
      <formula>"PMS"</formula>
    </cfRule>
    <cfRule type="containsText" dxfId="10701" priority="346" operator="containsText" text="CMS">
      <formula>NOT(ISERROR(SEARCH("CMS",N40)))</formula>
    </cfRule>
    <cfRule type="cellIs" dxfId="10700" priority="347" operator="equal">
      <formula>0</formula>
    </cfRule>
    <cfRule type="cellIs" dxfId="10699" priority="348" operator="greaterThan">
      <formula>0</formula>
    </cfRule>
  </conditionalFormatting>
  <conditionalFormatting sqref="N40">
    <cfRule type="cellIs" dxfId="10698" priority="337" operator="equal">
      <formula>"PMS"</formula>
    </cfRule>
    <cfRule type="containsText" dxfId="10697" priority="338" operator="containsText" text="CMS">
      <formula>NOT(ISERROR(SEARCH("CMS",N40)))</formula>
    </cfRule>
    <cfRule type="cellIs" dxfId="10696" priority="339" operator="equal">
      <formula>0</formula>
    </cfRule>
    <cfRule type="cellIs" dxfId="10695" priority="340" operator="greaterThan">
      <formula>0</formula>
    </cfRule>
  </conditionalFormatting>
  <conditionalFormatting sqref="O30">
    <cfRule type="cellIs" dxfId="10694" priority="329" operator="equal">
      <formula>"PMS"</formula>
    </cfRule>
    <cfRule type="containsText" dxfId="10693" priority="330" operator="containsText" text="CMS">
      <formula>NOT(ISERROR(SEARCH("CMS",O30)))</formula>
    </cfRule>
    <cfRule type="cellIs" dxfId="10692" priority="331" operator="equal">
      <formula>0</formula>
    </cfRule>
    <cfRule type="cellIs" dxfId="10691" priority="332" operator="greaterThan">
      <formula>0</formula>
    </cfRule>
    <cfRule type="cellIs" dxfId="10690" priority="333" operator="equal">
      <formula>"PMS"</formula>
    </cfRule>
    <cfRule type="containsText" dxfId="10689" priority="334" operator="containsText" text="CMS">
      <formula>NOT(ISERROR(SEARCH("CMS",O30)))</formula>
    </cfRule>
    <cfRule type="cellIs" dxfId="10688" priority="335" operator="equal">
      <formula>0</formula>
    </cfRule>
    <cfRule type="cellIs" dxfId="10687" priority="336" operator="greaterThan">
      <formula>0</formula>
    </cfRule>
  </conditionalFormatting>
  <conditionalFormatting sqref="O30">
    <cfRule type="cellIs" dxfId="10686" priority="325" operator="equal">
      <formula>"PMS"</formula>
    </cfRule>
    <cfRule type="containsText" dxfId="10685" priority="326" operator="containsText" text="CMS">
      <formula>NOT(ISERROR(SEARCH("CMS",O30)))</formula>
    </cfRule>
    <cfRule type="cellIs" dxfId="10684" priority="327" operator="equal">
      <formula>0</formula>
    </cfRule>
    <cfRule type="cellIs" dxfId="10683" priority="328" operator="greaterThan">
      <formula>0</formula>
    </cfRule>
  </conditionalFormatting>
  <conditionalFormatting sqref="O47:O49">
    <cfRule type="cellIs" dxfId="10682" priority="317" operator="equal">
      <formula>"PMS"</formula>
    </cfRule>
    <cfRule type="containsText" dxfId="10681" priority="318" operator="containsText" text="CMS">
      <formula>NOT(ISERROR(SEARCH("CMS",O47)))</formula>
    </cfRule>
    <cfRule type="cellIs" dxfId="10680" priority="319" operator="equal">
      <formula>0</formula>
    </cfRule>
    <cfRule type="cellIs" dxfId="10679" priority="320" operator="greaterThan">
      <formula>0</formula>
    </cfRule>
    <cfRule type="cellIs" dxfId="10678" priority="321" operator="equal">
      <formula>"PMS"</formula>
    </cfRule>
    <cfRule type="containsText" dxfId="10677" priority="322" operator="containsText" text="CMS">
      <formula>NOT(ISERROR(SEARCH("CMS",O47)))</formula>
    </cfRule>
    <cfRule type="cellIs" dxfId="10676" priority="323" operator="equal">
      <formula>0</formula>
    </cfRule>
    <cfRule type="cellIs" dxfId="10675" priority="324" operator="greaterThan">
      <formula>0</formula>
    </cfRule>
  </conditionalFormatting>
  <conditionalFormatting sqref="O47:O49">
    <cfRule type="cellIs" dxfId="10674" priority="313" operator="equal">
      <formula>"PMS"</formula>
    </cfRule>
    <cfRule type="containsText" dxfId="10673" priority="314" operator="containsText" text="CMS">
      <formula>NOT(ISERROR(SEARCH("CMS",O47)))</formula>
    </cfRule>
    <cfRule type="cellIs" dxfId="10672" priority="315" operator="equal">
      <formula>0</formula>
    </cfRule>
    <cfRule type="cellIs" dxfId="10671" priority="316" operator="greaterThan">
      <formula>0</formula>
    </cfRule>
  </conditionalFormatting>
  <conditionalFormatting sqref="F82">
    <cfRule type="cellIs" dxfId="10670" priority="305" operator="equal">
      <formula>"PMS"</formula>
    </cfRule>
    <cfRule type="containsText" dxfId="10669" priority="306" operator="containsText" text="CMS">
      <formula>NOT(ISERROR(SEARCH("CMS",F82)))</formula>
    </cfRule>
    <cfRule type="cellIs" dxfId="10668" priority="307" operator="equal">
      <formula>0</formula>
    </cfRule>
    <cfRule type="cellIs" dxfId="10667" priority="308" operator="greaterThan">
      <formula>0</formula>
    </cfRule>
    <cfRule type="cellIs" dxfId="10666" priority="309" operator="equal">
      <formula>"PMS"</formula>
    </cfRule>
    <cfRule type="containsText" dxfId="10665" priority="310" operator="containsText" text="CMS">
      <formula>NOT(ISERROR(SEARCH("CMS",F82)))</formula>
    </cfRule>
    <cfRule type="cellIs" dxfId="10664" priority="311" operator="equal">
      <formula>0</formula>
    </cfRule>
    <cfRule type="cellIs" dxfId="10663" priority="312" operator="greaterThan">
      <formula>0</formula>
    </cfRule>
  </conditionalFormatting>
  <conditionalFormatting sqref="F82">
    <cfRule type="cellIs" dxfId="10662" priority="301" operator="equal">
      <formula>"PMS"</formula>
    </cfRule>
    <cfRule type="containsText" dxfId="10661" priority="302" operator="containsText" text="CMS">
      <formula>NOT(ISERROR(SEARCH("CMS",F82)))</formula>
    </cfRule>
    <cfRule type="cellIs" dxfId="10660" priority="303" operator="equal">
      <formula>0</formula>
    </cfRule>
    <cfRule type="cellIs" dxfId="10659" priority="304" operator="greaterThan">
      <formula>0</formula>
    </cfRule>
  </conditionalFormatting>
  <conditionalFormatting sqref="H15">
    <cfRule type="cellIs" dxfId="10658" priority="293" operator="equal">
      <formula>"PMS"</formula>
    </cfRule>
    <cfRule type="containsText" dxfId="10657" priority="294" operator="containsText" text="CMS">
      <formula>NOT(ISERROR(SEARCH("CMS",H15)))</formula>
    </cfRule>
    <cfRule type="cellIs" dxfId="10656" priority="295" operator="equal">
      <formula>0</formula>
    </cfRule>
    <cfRule type="cellIs" dxfId="10655" priority="296" operator="greaterThan">
      <formula>0</formula>
    </cfRule>
    <cfRule type="cellIs" dxfId="10654" priority="297" operator="equal">
      <formula>"PMS"</formula>
    </cfRule>
    <cfRule type="containsText" dxfId="10653" priority="298" operator="containsText" text="CMS">
      <formula>NOT(ISERROR(SEARCH("CMS",H15)))</formula>
    </cfRule>
    <cfRule type="cellIs" dxfId="10652" priority="299" operator="equal">
      <formula>0</formula>
    </cfRule>
    <cfRule type="cellIs" dxfId="10651" priority="300" operator="greaterThan">
      <formula>0</formula>
    </cfRule>
  </conditionalFormatting>
  <conditionalFormatting sqref="H15">
    <cfRule type="cellIs" dxfId="10650" priority="289" operator="equal">
      <formula>"PMS"</formula>
    </cfRule>
    <cfRule type="containsText" dxfId="10649" priority="290" operator="containsText" text="CMS">
      <formula>NOT(ISERROR(SEARCH("CMS",H15)))</formula>
    </cfRule>
    <cfRule type="cellIs" dxfId="10648" priority="291" operator="equal">
      <formula>0</formula>
    </cfRule>
    <cfRule type="cellIs" dxfId="10647" priority="292" operator="greaterThan">
      <formula>0</formula>
    </cfRule>
  </conditionalFormatting>
  <conditionalFormatting sqref="G14">
    <cfRule type="cellIs" dxfId="10646" priority="281" operator="equal">
      <formula>"PMS"</formula>
    </cfRule>
    <cfRule type="containsText" dxfId="10645" priority="282" operator="containsText" text="CMS">
      <formula>NOT(ISERROR(SEARCH("CMS",G14)))</formula>
    </cfRule>
    <cfRule type="cellIs" dxfId="10644" priority="283" operator="equal">
      <formula>0</formula>
    </cfRule>
    <cfRule type="cellIs" dxfId="10643" priority="284" operator="greaterThan">
      <formula>0</formula>
    </cfRule>
    <cfRule type="cellIs" dxfId="10642" priority="285" operator="equal">
      <formula>"PMS"</formula>
    </cfRule>
    <cfRule type="containsText" dxfId="10641" priority="286" operator="containsText" text="CMS">
      <formula>NOT(ISERROR(SEARCH("CMS",G14)))</formula>
    </cfRule>
    <cfRule type="cellIs" dxfId="10640" priority="287" operator="equal">
      <formula>0</formula>
    </cfRule>
    <cfRule type="cellIs" dxfId="10639" priority="288" operator="greaterThan">
      <formula>0</formula>
    </cfRule>
  </conditionalFormatting>
  <conditionalFormatting sqref="G14">
    <cfRule type="cellIs" dxfId="10638" priority="277" operator="equal">
      <formula>"PMS"</formula>
    </cfRule>
    <cfRule type="containsText" dxfId="10637" priority="278" operator="containsText" text="CMS">
      <formula>NOT(ISERROR(SEARCH("CMS",G14)))</formula>
    </cfRule>
    <cfRule type="cellIs" dxfId="10636" priority="279" operator="equal">
      <formula>0</formula>
    </cfRule>
    <cfRule type="cellIs" dxfId="10635" priority="280" operator="greaterThan">
      <formula>0</formula>
    </cfRule>
  </conditionalFormatting>
  <conditionalFormatting sqref="N63">
    <cfRule type="cellIs" dxfId="10634" priority="269" operator="equal">
      <formula>"PMS"</formula>
    </cfRule>
    <cfRule type="containsText" dxfId="10633" priority="270" operator="containsText" text="CMS">
      <formula>NOT(ISERROR(SEARCH("CMS",N63)))</formula>
    </cfRule>
    <cfRule type="cellIs" dxfId="10632" priority="271" operator="equal">
      <formula>0</formula>
    </cfRule>
    <cfRule type="cellIs" dxfId="10631" priority="272" operator="greaterThan">
      <formula>0</formula>
    </cfRule>
    <cfRule type="cellIs" dxfId="10630" priority="273" operator="equal">
      <formula>"PMS"</formula>
    </cfRule>
    <cfRule type="containsText" dxfId="10629" priority="274" operator="containsText" text="CMS">
      <formula>NOT(ISERROR(SEARCH("CMS",N63)))</formula>
    </cfRule>
    <cfRule type="cellIs" dxfId="10628" priority="275" operator="equal">
      <formula>0</formula>
    </cfRule>
    <cfRule type="cellIs" dxfId="10627" priority="276" operator="greaterThan">
      <formula>0</formula>
    </cfRule>
  </conditionalFormatting>
  <conditionalFormatting sqref="N63">
    <cfRule type="cellIs" dxfId="10626" priority="265" operator="equal">
      <formula>"PMS"</formula>
    </cfRule>
    <cfRule type="containsText" dxfId="10625" priority="266" operator="containsText" text="CMS">
      <formula>NOT(ISERROR(SEARCH("CMS",N63)))</formula>
    </cfRule>
    <cfRule type="cellIs" dxfId="10624" priority="267" operator="equal">
      <formula>0</formula>
    </cfRule>
    <cfRule type="cellIs" dxfId="10623" priority="268" operator="greaterThan">
      <formula>0</formula>
    </cfRule>
  </conditionalFormatting>
  <conditionalFormatting sqref="G78:K78">
    <cfRule type="cellIs" dxfId="10622" priority="257" operator="equal">
      <formula>"PMS"</formula>
    </cfRule>
    <cfRule type="containsText" dxfId="10621" priority="258" operator="containsText" text="CMS">
      <formula>NOT(ISERROR(SEARCH("CMS",G78)))</formula>
    </cfRule>
    <cfRule type="cellIs" dxfId="10620" priority="259" operator="equal">
      <formula>0</formula>
    </cfRule>
    <cfRule type="cellIs" dxfId="10619" priority="260" operator="greaterThan">
      <formula>0</formula>
    </cfRule>
    <cfRule type="cellIs" dxfId="10618" priority="261" operator="equal">
      <formula>"PMS"</formula>
    </cfRule>
    <cfRule type="containsText" dxfId="10617" priority="262" operator="containsText" text="CMS">
      <formula>NOT(ISERROR(SEARCH("CMS",G78)))</formula>
    </cfRule>
    <cfRule type="cellIs" dxfId="10616" priority="263" operator="equal">
      <formula>0</formula>
    </cfRule>
    <cfRule type="cellIs" dxfId="10615" priority="264" operator="greaterThan">
      <formula>0</formula>
    </cfRule>
  </conditionalFormatting>
  <conditionalFormatting sqref="G78:K78">
    <cfRule type="cellIs" dxfId="10614" priority="253" operator="equal">
      <formula>"PMS"</formula>
    </cfRule>
    <cfRule type="containsText" dxfId="10613" priority="254" operator="containsText" text="CMS">
      <formula>NOT(ISERROR(SEARCH("CMS",G78)))</formula>
    </cfRule>
    <cfRule type="cellIs" dxfId="10612" priority="255" operator="equal">
      <formula>0</formula>
    </cfRule>
    <cfRule type="cellIs" dxfId="10611" priority="256" operator="greaterThan">
      <formula>0</formula>
    </cfRule>
  </conditionalFormatting>
  <conditionalFormatting sqref="L78:L79">
    <cfRule type="cellIs" dxfId="10610" priority="245" operator="equal">
      <formula>"PMS"</formula>
    </cfRule>
    <cfRule type="containsText" dxfId="10609" priority="246" operator="containsText" text="CMS">
      <formula>NOT(ISERROR(SEARCH("CMS",L78)))</formula>
    </cfRule>
    <cfRule type="cellIs" dxfId="10608" priority="247" operator="equal">
      <formula>0</formula>
    </cfRule>
    <cfRule type="cellIs" dxfId="10607" priority="248" operator="greaterThan">
      <formula>0</formula>
    </cfRule>
    <cfRule type="cellIs" dxfId="10606" priority="249" operator="equal">
      <formula>"PMS"</formula>
    </cfRule>
    <cfRule type="containsText" dxfId="10605" priority="250" operator="containsText" text="CMS">
      <formula>NOT(ISERROR(SEARCH("CMS",L78)))</formula>
    </cfRule>
    <cfRule type="cellIs" dxfId="10604" priority="251" operator="equal">
      <formula>0</formula>
    </cfRule>
    <cfRule type="cellIs" dxfId="10603" priority="252" operator="greaterThan">
      <formula>0</formula>
    </cfRule>
  </conditionalFormatting>
  <conditionalFormatting sqref="L78:L79">
    <cfRule type="cellIs" dxfId="10602" priority="241" operator="equal">
      <formula>"PMS"</formula>
    </cfRule>
    <cfRule type="containsText" dxfId="10601" priority="242" operator="containsText" text="CMS">
      <formula>NOT(ISERROR(SEARCH("CMS",L78)))</formula>
    </cfRule>
    <cfRule type="cellIs" dxfId="10600" priority="243" operator="equal">
      <formula>0</formula>
    </cfRule>
    <cfRule type="cellIs" dxfId="10599" priority="244" operator="greaterThan">
      <formula>0</formula>
    </cfRule>
  </conditionalFormatting>
  <conditionalFormatting sqref="R27:R28">
    <cfRule type="cellIs" dxfId="10598" priority="233" operator="equal">
      <formula>"PMS"</formula>
    </cfRule>
    <cfRule type="containsText" dxfId="10597" priority="234" operator="containsText" text="CMS">
      <formula>NOT(ISERROR(SEARCH("CMS",R27)))</formula>
    </cfRule>
    <cfRule type="cellIs" dxfId="10596" priority="235" operator="equal">
      <formula>0</formula>
    </cfRule>
    <cfRule type="cellIs" dxfId="10595" priority="236" operator="greaterThan">
      <formula>0</formula>
    </cfRule>
    <cfRule type="cellIs" dxfId="10594" priority="237" operator="equal">
      <formula>"PMS"</formula>
    </cfRule>
    <cfRule type="containsText" dxfId="10593" priority="238" operator="containsText" text="CMS">
      <formula>NOT(ISERROR(SEARCH("CMS",R27)))</formula>
    </cfRule>
    <cfRule type="cellIs" dxfId="10592" priority="239" operator="equal">
      <formula>0</formula>
    </cfRule>
    <cfRule type="cellIs" dxfId="10591" priority="240" operator="greaterThan">
      <formula>0</formula>
    </cfRule>
  </conditionalFormatting>
  <conditionalFormatting sqref="R27:R28">
    <cfRule type="cellIs" dxfId="10590" priority="229" operator="equal">
      <formula>"PMS"</formula>
    </cfRule>
    <cfRule type="containsText" dxfId="10589" priority="230" operator="containsText" text="CMS">
      <formula>NOT(ISERROR(SEARCH("CMS",R27)))</formula>
    </cfRule>
    <cfRule type="cellIs" dxfId="10588" priority="231" operator="equal">
      <formula>0</formula>
    </cfRule>
    <cfRule type="cellIs" dxfId="10587" priority="232" operator="greaterThan">
      <formula>0</formula>
    </cfRule>
  </conditionalFormatting>
  <conditionalFormatting sqref="W78">
    <cfRule type="cellIs" dxfId="10586" priority="221" operator="equal">
      <formula>"PMS"</formula>
    </cfRule>
    <cfRule type="containsText" dxfId="10585" priority="222" operator="containsText" text="CMS">
      <formula>NOT(ISERROR(SEARCH("CMS",W78)))</formula>
    </cfRule>
    <cfRule type="cellIs" dxfId="10584" priority="223" operator="equal">
      <formula>0</formula>
    </cfRule>
    <cfRule type="cellIs" dxfId="10583" priority="224" operator="greaterThan">
      <formula>0</formula>
    </cfRule>
    <cfRule type="cellIs" dxfId="10582" priority="225" operator="equal">
      <formula>"PMS"</formula>
    </cfRule>
    <cfRule type="containsText" dxfId="10581" priority="226" operator="containsText" text="CMS">
      <formula>NOT(ISERROR(SEARCH("CMS",W78)))</formula>
    </cfRule>
    <cfRule type="cellIs" dxfId="10580" priority="227" operator="equal">
      <formula>0</formula>
    </cfRule>
    <cfRule type="cellIs" dxfId="10579" priority="228" operator="greaterThan">
      <formula>0</formula>
    </cfRule>
  </conditionalFormatting>
  <conditionalFormatting sqref="W78">
    <cfRule type="cellIs" dxfId="10578" priority="217" operator="equal">
      <formula>"PMS"</formula>
    </cfRule>
    <cfRule type="containsText" dxfId="10577" priority="218" operator="containsText" text="CMS">
      <formula>NOT(ISERROR(SEARCH("CMS",W78)))</formula>
    </cfRule>
    <cfRule type="cellIs" dxfId="10576" priority="219" operator="equal">
      <formula>0</formula>
    </cfRule>
    <cfRule type="cellIs" dxfId="10575" priority="220" operator="greaterThan">
      <formula>0</formula>
    </cfRule>
  </conditionalFormatting>
  <conditionalFormatting sqref="AA79">
    <cfRule type="cellIs" dxfId="10574" priority="209" operator="equal">
      <formula>"PMS"</formula>
    </cfRule>
    <cfRule type="containsText" dxfId="10573" priority="210" operator="containsText" text="CMS">
      <formula>NOT(ISERROR(SEARCH("CMS",AA79)))</formula>
    </cfRule>
    <cfRule type="cellIs" dxfId="10572" priority="211" operator="equal">
      <formula>0</formula>
    </cfRule>
    <cfRule type="cellIs" dxfId="10571" priority="212" operator="greaterThan">
      <formula>0</formula>
    </cfRule>
    <cfRule type="cellIs" dxfId="10570" priority="213" operator="equal">
      <formula>"PMS"</formula>
    </cfRule>
    <cfRule type="containsText" dxfId="10569" priority="214" operator="containsText" text="CMS">
      <formula>NOT(ISERROR(SEARCH("CMS",AA79)))</formula>
    </cfRule>
    <cfRule type="cellIs" dxfId="10568" priority="215" operator="equal">
      <formula>0</formula>
    </cfRule>
    <cfRule type="cellIs" dxfId="10567" priority="216" operator="greaterThan">
      <formula>0</formula>
    </cfRule>
  </conditionalFormatting>
  <conditionalFormatting sqref="AA79">
    <cfRule type="cellIs" dxfId="10566" priority="205" operator="equal">
      <formula>"PMS"</formula>
    </cfRule>
    <cfRule type="containsText" dxfId="10565" priority="206" operator="containsText" text="CMS">
      <formula>NOT(ISERROR(SEARCH("CMS",AA79)))</formula>
    </cfRule>
    <cfRule type="cellIs" dxfId="10564" priority="207" operator="equal">
      <formula>0</formula>
    </cfRule>
    <cfRule type="cellIs" dxfId="10563" priority="208" operator="greaterThan">
      <formula>0</formula>
    </cfRule>
  </conditionalFormatting>
  <conditionalFormatting sqref="L30:M30">
    <cfRule type="cellIs" dxfId="10562" priority="197" operator="equal">
      <formula>"PMS"</formula>
    </cfRule>
    <cfRule type="containsText" dxfId="10561" priority="198" operator="containsText" text="CMS">
      <formula>NOT(ISERROR(SEARCH("CMS",L30)))</formula>
    </cfRule>
    <cfRule type="cellIs" dxfId="10560" priority="199" operator="equal">
      <formula>0</formula>
    </cfRule>
    <cfRule type="cellIs" dxfId="10559" priority="200" operator="greaterThan">
      <formula>0</formula>
    </cfRule>
    <cfRule type="cellIs" dxfId="10558" priority="201" operator="equal">
      <formula>"PMS"</formula>
    </cfRule>
    <cfRule type="containsText" dxfId="10557" priority="202" operator="containsText" text="CMS">
      <formula>NOT(ISERROR(SEARCH("CMS",L30)))</formula>
    </cfRule>
    <cfRule type="cellIs" dxfId="10556" priority="203" operator="equal">
      <formula>0</formula>
    </cfRule>
    <cfRule type="cellIs" dxfId="10555" priority="204" operator="greaterThan">
      <formula>0</formula>
    </cfRule>
  </conditionalFormatting>
  <conditionalFormatting sqref="L30:M30">
    <cfRule type="cellIs" dxfId="10554" priority="193" operator="equal">
      <formula>"PMS"</formula>
    </cfRule>
    <cfRule type="containsText" dxfId="10553" priority="194" operator="containsText" text="CMS">
      <formula>NOT(ISERROR(SEARCH("CMS",L30)))</formula>
    </cfRule>
    <cfRule type="cellIs" dxfId="10552" priority="195" operator="equal">
      <formula>0</formula>
    </cfRule>
    <cfRule type="cellIs" dxfId="10551" priority="196" operator="greaterThan">
      <formula>0</formula>
    </cfRule>
  </conditionalFormatting>
  <conditionalFormatting sqref="R78">
    <cfRule type="cellIs" dxfId="10550" priority="185" operator="equal">
      <formula>"PMS"</formula>
    </cfRule>
    <cfRule type="containsText" dxfId="10549" priority="186" operator="containsText" text="CMS">
      <formula>NOT(ISERROR(SEARCH("CMS",R78)))</formula>
    </cfRule>
    <cfRule type="cellIs" dxfId="10548" priority="187" operator="equal">
      <formula>0</formula>
    </cfRule>
    <cfRule type="cellIs" dxfId="10547" priority="188" operator="greaterThan">
      <formula>0</formula>
    </cfRule>
    <cfRule type="cellIs" dxfId="10546" priority="189" operator="equal">
      <formula>"PMS"</formula>
    </cfRule>
    <cfRule type="containsText" dxfId="10545" priority="190" operator="containsText" text="CMS">
      <formula>NOT(ISERROR(SEARCH("CMS",R78)))</formula>
    </cfRule>
    <cfRule type="cellIs" dxfId="10544" priority="191" operator="equal">
      <formula>0</formula>
    </cfRule>
    <cfRule type="cellIs" dxfId="10543" priority="192" operator="greaterThan">
      <formula>0</formula>
    </cfRule>
  </conditionalFormatting>
  <conditionalFormatting sqref="R78">
    <cfRule type="cellIs" dxfId="10542" priority="181" operator="equal">
      <formula>"PMS"</formula>
    </cfRule>
    <cfRule type="containsText" dxfId="10541" priority="182" operator="containsText" text="CMS">
      <formula>NOT(ISERROR(SEARCH("CMS",R78)))</formula>
    </cfRule>
    <cfRule type="cellIs" dxfId="10540" priority="183" operator="equal">
      <formula>0</formula>
    </cfRule>
    <cfRule type="cellIs" dxfId="10539" priority="184" operator="greaterThan">
      <formula>0</formula>
    </cfRule>
  </conditionalFormatting>
  <conditionalFormatting sqref="M16">
    <cfRule type="cellIs" dxfId="10538" priority="173" operator="equal">
      <formula>"PMS"</formula>
    </cfRule>
    <cfRule type="containsText" dxfId="10537" priority="174" operator="containsText" text="CMS">
      <formula>NOT(ISERROR(SEARCH("CMS",M16)))</formula>
    </cfRule>
    <cfRule type="cellIs" dxfId="10536" priority="175" operator="equal">
      <formula>0</formula>
    </cfRule>
    <cfRule type="cellIs" dxfId="10535" priority="176" operator="greaterThan">
      <formula>0</formula>
    </cfRule>
    <cfRule type="cellIs" dxfId="10534" priority="177" operator="equal">
      <formula>"PMS"</formula>
    </cfRule>
    <cfRule type="containsText" dxfId="10533" priority="178" operator="containsText" text="CMS">
      <formula>NOT(ISERROR(SEARCH("CMS",M16)))</formula>
    </cfRule>
    <cfRule type="cellIs" dxfId="10532" priority="179" operator="equal">
      <formula>0</formula>
    </cfRule>
    <cfRule type="cellIs" dxfId="10531" priority="180" operator="greaterThan">
      <formula>0</formula>
    </cfRule>
  </conditionalFormatting>
  <conditionalFormatting sqref="M16">
    <cfRule type="cellIs" dxfId="10530" priority="169" operator="equal">
      <formula>"PMS"</formula>
    </cfRule>
    <cfRule type="containsText" dxfId="10529" priority="170" operator="containsText" text="CMS">
      <formula>NOT(ISERROR(SEARCH("CMS",M16)))</formula>
    </cfRule>
    <cfRule type="cellIs" dxfId="10528" priority="171" operator="equal">
      <formula>0</formula>
    </cfRule>
    <cfRule type="cellIs" dxfId="10527" priority="172" operator="greaterThan">
      <formula>0</formula>
    </cfRule>
  </conditionalFormatting>
  <conditionalFormatting sqref="O40">
    <cfRule type="cellIs" dxfId="10526" priority="161" operator="equal">
      <formula>"PMS"</formula>
    </cfRule>
    <cfRule type="containsText" dxfId="10525" priority="162" operator="containsText" text="CMS">
      <formula>NOT(ISERROR(SEARCH("CMS",O40)))</formula>
    </cfRule>
    <cfRule type="cellIs" dxfId="10524" priority="163" operator="equal">
      <formula>0</formula>
    </cfRule>
    <cfRule type="cellIs" dxfId="10523" priority="164" operator="greaterThan">
      <formula>0</formula>
    </cfRule>
    <cfRule type="cellIs" dxfId="10522" priority="165" operator="equal">
      <formula>"PMS"</formula>
    </cfRule>
    <cfRule type="containsText" dxfId="10521" priority="166" operator="containsText" text="CMS">
      <formula>NOT(ISERROR(SEARCH("CMS",O40)))</formula>
    </cfRule>
    <cfRule type="cellIs" dxfId="10520" priority="167" operator="equal">
      <formula>0</formula>
    </cfRule>
    <cfRule type="cellIs" dxfId="10519" priority="168" operator="greaterThan">
      <formula>0</formula>
    </cfRule>
  </conditionalFormatting>
  <conditionalFormatting sqref="O40">
    <cfRule type="cellIs" dxfId="10518" priority="157" operator="equal">
      <formula>"PMS"</formula>
    </cfRule>
    <cfRule type="containsText" dxfId="10517" priority="158" operator="containsText" text="CMS">
      <formula>NOT(ISERROR(SEARCH("CMS",O40)))</formula>
    </cfRule>
    <cfRule type="cellIs" dxfId="10516" priority="159" operator="equal">
      <formula>0</formula>
    </cfRule>
    <cfRule type="cellIs" dxfId="10515" priority="160" operator="greaterThan">
      <formula>0</formula>
    </cfRule>
  </conditionalFormatting>
  <conditionalFormatting sqref="P21">
    <cfRule type="cellIs" dxfId="10514" priority="149" operator="equal">
      <formula>"PMS"</formula>
    </cfRule>
    <cfRule type="containsText" dxfId="10513" priority="150" operator="containsText" text="CMS">
      <formula>NOT(ISERROR(SEARCH("CMS",P21)))</formula>
    </cfRule>
    <cfRule type="cellIs" dxfId="10512" priority="151" operator="equal">
      <formula>0</formula>
    </cfRule>
    <cfRule type="cellIs" dxfId="10511" priority="152" operator="greaterThan">
      <formula>0</formula>
    </cfRule>
    <cfRule type="cellIs" dxfId="10510" priority="153" operator="equal">
      <formula>"PMS"</formula>
    </cfRule>
    <cfRule type="containsText" dxfId="10509" priority="154" operator="containsText" text="CMS">
      <formula>NOT(ISERROR(SEARCH("CMS",P21)))</formula>
    </cfRule>
    <cfRule type="cellIs" dxfId="10508" priority="155" operator="equal">
      <formula>0</formula>
    </cfRule>
    <cfRule type="cellIs" dxfId="10507" priority="156" operator="greaterThan">
      <formula>0</formula>
    </cfRule>
  </conditionalFormatting>
  <conditionalFormatting sqref="P21">
    <cfRule type="cellIs" dxfId="10506" priority="145" operator="equal">
      <formula>"PMS"</formula>
    </cfRule>
    <cfRule type="containsText" dxfId="10505" priority="146" operator="containsText" text="CMS">
      <formula>NOT(ISERROR(SEARCH("CMS",P21)))</formula>
    </cfRule>
    <cfRule type="cellIs" dxfId="10504" priority="147" operator="equal">
      <formula>0</formula>
    </cfRule>
    <cfRule type="cellIs" dxfId="10503" priority="148" operator="greaterThan">
      <formula>0</formula>
    </cfRule>
  </conditionalFormatting>
  <conditionalFormatting sqref="M78:M79">
    <cfRule type="cellIs" dxfId="10502" priority="137" operator="equal">
      <formula>"PMS"</formula>
    </cfRule>
    <cfRule type="containsText" dxfId="10501" priority="138" operator="containsText" text="CMS">
      <formula>NOT(ISERROR(SEARCH("CMS",M78)))</formula>
    </cfRule>
    <cfRule type="cellIs" dxfId="10500" priority="139" operator="equal">
      <formula>0</formula>
    </cfRule>
    <cfRule type="cellIs" dxfId="10499" priority="140" operator="greaterThan">
      <formula>0</formula>
    </cfRule>
    <cfRule type="cellIs" dxfId="10498" priority="141" operator="equal">
      <formula>"PMS"</formula>
    </cfRule>
    <cfRule type="containsText" dxfId="10497" priority="142" operator="containsText" text="CMS">
      <formula>NOT(ISERROR(SEARCH("CMS",M78)))</formula>
    </cfRule>
    <cfRule type="cellIs" dxfId="10496" priority="143" operator="equal">
      <formula>0</formula>
    </cfRule>
    <cfRule type="cellIs" dxfId="10495" priority="144" operator="greaterThan">
      <formula>0</formula>
    </cfRule>
  </conditionalFormatting>
  <conditionalFormatting sqref="M78:M79">
    <cfRule type="cellIs" dxfId="10494" priority="133" operator="equal">
      <formula>"PMS"</formula>
    </cfRule>
    <cfRule type="containsText" dxfId="10493" priority="134" operator="containsText" text="CMS">
      <formula>NOT(ISERROR(SEARCH("CMS",M78)))</formula>
    </cfRule>
    <cfRule type="cellIs" dxfId="10492" priority="135" operator="equal">
      <formula>0</formula>
    </cfRule>
    <cfRule type="cellIs" dxfId="10491" priority="136" operator="greaterThan">
      <formula>0</formula>
    </cfRule>
  </conditionalFormatting>
  <conditionalFormatting sqref="G79:K79">
    <cfRule type="cellIs" dxfId="10490" priority="125" operator="equal">
      <formula>"PMS"</formula>
    </cfRule>
    <cfRule type="containsText" dxfId="10489" priority="126" operator="containsText" text="CMS">
      <formula>NOT(ISERROR(SEARCH("CMS",G79)))</formula>
    </cfRule>
    <cfRule type="cellIs" dxfId="10488" priority="127" operator="equal">
      <formula>0</formula>
    </cfRule>
    <cfRule type="cellIs" dxfId="10487" priority="128" operator="greaterThan">
      <formula>0</formula>
    </cfRule>
    <cfRule type="cellIs" dxfId="10486" priority="129" operator="equal">
      <formula>"PMS"</formula>
    </cfRule>
    <cfRule type="containsText" dxfId="10485" priority="130" operator="containsText" text="CMS">
      <formula>NOT(ISERROR(SEARCH("CMS",G79)))</formula>
    </cfRule>
    <cfRule type="cellIs" dxfId="10484" priority="131" operator="equal">
      <formula>0</formula>
    </cfRule>
    <cfRule type="cellIs" dxfId="10483" priority="132" operator="greaterThan">
      <formula>0</formula>
    </cfRule>
  </conditionalFormatting>
  <conditionalFormatting sqref="G79:K79">
    <cfRule type="cellIs" dxfId="10482" priority="121" operator="equal">
      <formula>"PMS"</formula>
    </cfRule>
    <cfRule type="containsText" dxfId="10481" priority="122" operator="containsText" text="CMS">
      <formula>NOT(ISERROR(SEARCH("CMS",G79)))</formula>
    </cfRule>
    <cfRule type="cellIs" dxfId="10480" priority="123" operator="equal">
      <formula>0</formula>
    </cfRule>
    <cfRule type="cellIs" dxfId="10479" priority="124" operator="greaterThan">
      <formula>0</formula>
    </cfRule>
  </conditionalFormatting>
  <conditionalFormatting sqref="M14:N14">
    <cfRule type="cellIs" dxfId="10478" priority="113" operator="equal">
      <formula>"PMS"</formula>
    </cfRule>
    <cfRule type="containsText" dxfId="10477" priority="114" operator="containsText" text="CMS">
      <formula>NOT(ISERROR(SEARCH("CMS",M14)))</formula>
    </cfRule>
    <cfRule type="cellIs" dxfId="10476" priority="115" operator="equal">
      <formula>0</formula>
    </cfRule>
    <cfRule type="cellIs" dxfId="10475" priority="116" operator="greaterThan">
      <formula>0</formula>
    </cfRule>
    <cfRule type="cellIs" dxfId="10474" priority="117" operator="equal">
      <formula>"PMS"</formula>
    </cfRule>
    <cfRule type="containsText" dxfId="10473" priority="118" operator="containsText" text="CMS">
      <formula>NOT(ISERROR(SEARCH("CMS",M14)))</formula>
    </cfRule>
    <cfRule type="cellIs" dxfId="10472" priority="119" operator="equal">
      <formula>0</formula>
    </cfRule>
    <cfRule type="cellIs" dxfId="10471" priority="120" operator="greaterThan">
      <formula>0</formula>
    </cfRule>
  </conditionalFormatting>
  <conditionalFormatting sqref="M14:N14">
    <cfRule type="cellIs" dxfId="10470" priority="109" operator="equal">
      <formula>"PMS"</formula>
    </cfRule>
    <cfRule type="containsText" dxfId="10469" priority="110" operator="containsText" text="CMS">
      <formula>NOT(ISERROR(SEARCH("CMS",M14)))</formula>
    </cfRule>
    <cfRule type="cellIs" dxfId="10468" priority="111" operator="equal">
      <formula>0</formula>
    </cfRule>
    <cfRule type="cellIs" dxfId="10467" priority="112" operator="greaterThan">
      <formula>0</formula>
    </cfRule>
  </conditionalFormatting>
  <conditionalFormatting sqref="N64:R64">
    <cfRule type="cellIs" dxfId="10466" priority="101" operator="equal">
      <formula>"PMS"</formula>
    </cfRule>
    <cfRule type="containsText" dxfId="10465" priority="102" operator="containsText" text="CMS">
      <formula>NOT(ISERROR(SEARCH("CMS",N64)))</formula>
    </cfRule>
    <cfRule type="cellIs" dxfId="10464" priority="103" operator="equal">
      <formula>0</formula>
    </cfRule>
    <cfRule type="cellIs" dxfId="10463" priority="104" operator="greaterThan">
      <formula>0</formula>
    </cfRule>
    <cfRule type="cellIs" dxfId="10462" priority="105" operator="equal">
      <formula>"PMS"</formula>
    </cfRule>
    <cfRule type="containsText" dxfId="10461" priority="106" operator="containsText" text="CMS">
      <formula>NOT(ISERROR(SEARCH("CMS",N64)))</formula>
    </cfRule>
    <cfRule type="cellIs" dxfId="10460" priority="107" operator="equal">
      <formula>0</formula>
    </cfRule>
    <cfRule type="cellIs" dxfId="10459" priority="108" operator="greaterThan">
      <formula>0</formula>
    </cfRule>
  </conditionalFormatting>
  <conditionalFormatting sqref="N64:R64">
    <cfRule type="cellIs" dxfId="10458" priority="97" operator="equal">
      <formula>"PMS"</formula>
    </cfRule>
    <cfRule type="containsText" dxfId="10457" priority="98" operator="containsText" text="CMS">
      <formula>NOT(ISERROR(SEARCH("CMS",N64)))</formula>
    </cfRule>
    <cfRule type="cellIs" dxfId="10456" priority="99" operator="equal">
      <formula>0</formula>
    </cfRule>
    <cfRule type="cellIs" dxfId="10455" priority="100" operator="greaterThan">
      <formula>0</formula>
    </cfRule>
  </conditionalFormatting>
  <conditionalFormatting sqref="F13:F16 F36:F59 F62:F64">
    <cfRule type="cellIs" dxfId="10454" priority="89" operator="equal">
      <formula>"PMS"</formula>
    </cfRule>
    <cfRule type="containsText" dxfId="10453" priority="90" operator="containsText" text="CMS">
      <formula>NOT(ISERROR(SEARCH("CMS",F13)))</formula>
    </cfRule>
    <cfRule type="cellIs" dxfId="10452" priority="91" operator="equal">
      <formula>0</formula>
    </cfRule>
    <cfRule type="cellIs" dxfId="10451" priority="92" operator="greaterThan">
      <formula>0</formula>
    </cfRule>
    <cfRule type="cellIs" dxfId="10450" priority="93" operator="equal">
      <formula>"PMS"</formula>
    </cfRule>
    <cfRule type="containsText" dxfId="10449" priority="94" operator="containsText" text="CMS">
      <formula>NOT(ISERROR(SEARCH("CMS",F13)))</formula>
    </cfRule>
    <cfRule type="cellIs" dxfId="10448" priority="95" operator="equal">
      <formula>0</formula>
    </cfRule>
    <cfRule type="cellIs" dxfId="10447" priority="96" operator="greaterThan">
      <formula>0</formula>
    </cfRule>
  </conditionalFormatting>
  <conditionalFormatting sqref="F13:F16 F36:F59 F62:F64">
    <cfRule type="cellIs" dxfId="10446" priority="85" operator="equal">
      <formula>"PMS"</formula>
    </cfRule>
    <cfRule type="containsText" dxfId="10445" priority="86" operator="containsText" text="CMS">
      <formula>NOT(ISERROR(SEARCH("CMS",F13)))</formula>
    </cfRule>
    <cfRule type="cellIs" dxfId="10444" priority="87" operator="equal">
      <formula>0</formula>
    </cfRule>
    <cfRule type="cellIs" dxfId="10443" priority="88" operator="greaterThan">
      <formula>0</formula>
    </cfRule>
  </conditionalFormatting>
  <conditionalFormatting sqref="F67:F75">
    <cfRule type="cellIs" dxfId="10442" priority="77" operator="equal">
      <formula>"PMS"</formula>
    </cfRule>
    <cfRule type="containsText" dxfId="10441" priority="78" operator="containsText" text="CMS">
      <formula>NOT(ISERROR(SEARCH("CMS",F67)))</formula>
    </cfRule>
    <cfRule type="cellIs" dxfId="10440" priority="79" operator="equal">
      <formula>0</formula>
    </cfRule>
    <cfRule type="cellIs" dxfId="10439" priority="80" operator="greaterThan">
      <formula>0</formula>
    </cfRule>
    <cfRule type="cellIs" dxfId="10438" priority="81" operator="equal">
      <formula>"PMS"</formula>
    </cfRule>
    <cfRule type="containsText" dxfId="10437" priority="82" operator="containsText" text="CMS">
      <formula>NOT(ISERROR(SEARCH("CMS",F67)))</formula>
    </cfRule>
    <cfRule type="cellIs" dxfId="10436" priority="83" operator="equal">
      <formula>0</formula>
    </cfRule>
    <cfRule type="cellIs" dxfId="10435" priority="84" operator="greaterThan">
      <formula>0</formula>
    </cfRule>
  </conditionalFormatting>
  <conditionalFormatting sqref="F67:F75">
    <cfRule type="cellIs" dxfId="10434" priority="73" operator="equal">
      <formula>"PMS"</formula>
    </cfRule>
    <cfRule type="containsText" dxfId="10433" priority="74" operator="containsText" text="CMS">
      <formula>NOT(ISERROR(SEARCH("CMS",F67)))</formula>
    </cfRule>
    <cfRule type="cellIs" dxfId="10432" priority="75" operator="equal">
      <formula>0</formula>
    </cfRule>
    <cfRule type="cellIs" dxfId="10431" priority="76" operator="greaterThan">
      <formula>0</formula>
    </cfRule>
  </conditionalFormatting>
  <conditionalFormatting sqref="F28:F30 F78:F79 F33">
    <cfRule type="cellIs" dxfId="10430" priority="65" operator="equal">
      <formula>"PMS"</formula>
    </cfRule>
    <cfRule type="containsText" dxfId="10429" priority="66" operator="containsText" text="CMS">
      <formula>NOT(ISERROR(SEARCH("CMS",F28)))</formula>
    </cfRule>
    <cfRule type="cellIs" dxfId="10428" priority="67" operator="equal">
      <formula>0</formula>
    </cfRule>
    <cfRule type="cellIs" dxfId="10427" priority="68" operator="greaterThan">
      <formula>0</formula>
    </cfRule>
    <cfRule type="cellIs" dxfId="10426" priority="69" operator="equal">
      <formula>"PMS"</formula>
    </cfRule>
    <cfRule type="containsText" dxfId="10425" priority="70" operator="containsText" text="CMS">
      <formula>NOT(ISERROR(SEARCH("CMS",F28)))</formula>
    </cfRule>
    <cfRule type="cellIs" dxfId="10424" priority="71" operator="equal">
      <formula>0</formula>
    </cfRule>
    <cfRule type="cellIs" dxfId="10423" priority="72" operator="greaterThan">
      <formula>0</formula>
    </cfRule>
  </conditionalFormatting>
  <conditionalFormatting sqref="F28:F30 F78:F79 F33">
    <cfRule type="cellIs" dxfId="10422" priority="61" operator="equal">
      <formula>"PMS"</formula>
    </cfRule>
    <cfRule type="containsText" dxfId="10421" priority="62" operator="containsText" text="CMS">
      <formula>NOT(ISERROR(SEARCH("CMS",F28)))</formula>
    </cfRule>
    <cfRule type="cellIs" dxfId="10420" priority="63" operator="equal">
      <formula>0</formula>
    </cfRule>
    <cfRule type="cellIs" dxfId="10419" priority="64" operator="greaterThan">
      <formula>0</formula>
    </cfRule>
  </conditionalFormatting>
  <conditionalFormatting sqref="F27">
    <cfRule type="cellIs" dxfId="10418" priority="53" operator="equal">
      <formula>"PMS"</formula>
    </cfRule>
    <cfRule type="containsText" dxfId="10417" priority="54" operator="containsText" text="CMS">
      <formula>NOT(ISERROR(SEARCH("CMS",F27)))</formula>
    </cfRule>
    <cfRule type="cellIs" dxfId="10416" priority="55" operator="equal">
      <formula>0</formula>
    </cfRule>
    <cfRule type="cellIs" dxfId="10415" priority="56" operator="greaterThan">
      <formula>0</formula>
    </cfRule>
    <cfRule type="cellIs" dxfId="10414" priority="57" operator="equal">
      <formula>"PMS"</formula>
    </cfRule>
    <cfRule type="containsText" dxfId="10413" priority="58" operator="containsText" text="CMS">
      <formula>NOT(ISERROR(SEARCH("CMS",F27)))</formula>
    </cfRule>
    <cfRule type="cellIs" dxfId="10412" priority="59" operator="equal">
      <formula>0</formula>
    </cfRule>
    <cfRule type="cellIs" dxfId="10411" priority="60" operator="greaterThan">
      <formula>0</formula>
    </cfRule>
  </conditionalFormatting>
  <conditionalFormatting sqref="F27">
    <cfRule type="cellIs" dxfId="10410" priority="49" operator="equal">
      <formula>"PMS"</formula>
    </cfRule>
    <cfRule type="containsText" dxfId="10409" priority="50" operator="containsText" text="CMS">
      <formula>NOT(ISERROR(SEARCH("CMS",F27)))</formula>
    </cfRule>
    <cfRule type="cellIs" dxfId="10408" priority="51" operator="equal">
      <formula>0</formula>
    </cfRule>
    <cfRule type="cellIs" dxfId="10407" priority="52" operator="greaterThan">
      <formula>0</formula>
    </cfRule>
  </conditionalFormatting>
  <conditionalFormatting sqref="O51">
    <cfRule type="cellIs" dxfId="10406" priority="41" operator="equal">
      <formula>"PMS"</formula>
    </cfRule>
    <cfRule type="containsText" dxfId="10405" priority="42" operator="containsText" text="CMS">
      <formula>NOT(ISERROR(SEARCH("CMS",O51)))</formula>
    </cfRule>
    <cfRule type="cellIs" dxfId="10404" priority="43" operator="equal">
      <formula>0</formula>
    </cfRule>
    <cfRule type="cellIs" dxfId="10403" priority="44" operator="greaterThan">
      <formula>0</formula>
    </cfRule>
    <cfRule type="cellIs" dxfId="10402" priority="45" operator="equal">
      <formula>"PMS"</formula>
    </cfRule>
    <cfRule type="containsText" dxfId="10401" priority="46" operator="containsText" text="CMS">
      <formula>NOT(ISERROR(SEARCH("CMS",O51)))</formula>
    </cfRule>
    <cfRule type="cellIs" dxfId="10400" priority="47" operator="equal">
      <formula>0</formula>
    </cfRule>
    <cfRule type="cellIs" dxfId="10399" priority="48" operator="greaterThan">
      <formula>0</formula>
    </cfRule>
  </conditionalFormatting>
  <conditionalFormatting sqref="O51">
    <cfRule type="cellIs" dxfId="10398" priority="37" operator="equal">
      <formula>"PMS"</formula>
    </cfRule>
    <cfRule type="containsText" dxfId="10397" priority="38" operator="containsText" text="CMS">
      <formula>NOT(ISERROR(SEARCH("CMS",O51)))</formula>
    </cfRule>
    <cfRule type="cellIs" dxfId="10396" priority="39" operator="equal">
      <formula>0</formula>
    </cfRule>
    <cfRule type="cellIs" dxfId="10395" priority="40" operator="greaterThan">
      <formula>0</formula>
    </cfRule>
  </conditionalFormatting>
  <conditionalFormatting sqref="O56">
    <cfRule type="cellIs" dxfId="10394" priority="29" operator="equal">
      <formula>"PMS"</formula>
    </cfRule>
    <cfRule type="containsText" dxfId="10393" priority="30" operator="containsText" text="CMS">
      <formula>NOT(ISERROR(SEARCH("CMS",O56)))</formula>
    </cfRule>
    <cfRule type="cellIs" dxfId="10392" priority="31" operator="equal">
      <formula>0</formula>
    </cfRule>
    <cfRule type="cellIs" dxfId="10391" priority="32" operator="greaterThan">
      <formula>0</formula>
    </cfRule>
    <cfRule type="cellIs" dxfId="10390" priority="33" operator="equal">
      <formula>"PMS"</formula>
    </cfRule>
    <cfRule type="containsText" dxfId="10389" priority="34" operator="containsText" text="CMS">
      <formula>NOT(ISERROR(SEARCH("CMS",O56)))</formula>
    </cfRule>
    <cfRule type="cellIs" dxfId="10388" priority="35" operator="equal">
      <formula>0</formula>
    </cfRule>
    <cfRule type="cellIs" dxfId="10387" priority="36" operator="greaterThan">
      <formula>0</formula>
    </cfRule>
  </conditionalFormatting>
  <conditionalFormatting sqref="O56">
    <cfRule type="cellIs" dxfId="10386" priority="25" operator="equal">
      <formula>"PMS"</formula>
    </cfRule>
    <cfRule type="containsText" dxfId="10385" priority="26" operator="containsText" text="CMS">
      <formula>NOT(ISERROR(SEARCH("CMS",O56)))</formula>
    </cfRule>
    <cfRule type="cellIs" dxfId="10384" priority="27" operator="equal">
      <formula>0</formula>
    </cfRule>
    <cfRule type="cellIs" dxfId="10383" priority="28" operator="greaterThan">
      <formula>0</formula>
    </cfRule>
  </conditionalFormatting>
  <conditionalFormatting sqref="F19:F21">
    <cfRule type="cellIs" dxfId="10382" priority="17" operator="equal">
      <formula>"PMS"</formula>
    </cfRule>
    <cfRule type="containsText" dxfId="10381" priority="18" operator="containsText" text="CMS">
      <formula>NOT(ISERROR(SEARCH("CMS",F19)))</formula>
    </cfRule>
    <cfRule type="cellIs" dxfId="10380" priority="19" operator="equal">
      <formula>0</formula>
    </cfRule>
    <cfRule type="cellIs" dxfId="10379" priority="20" operator="greaterThan">
      <formula>0</formula>
    </cfRule>
    <cfRule type="cellIs" dxfId="10378" priority="21" operator="equal">
      <formula>"PMS"</formula>
    </cfRule>
    <cfRule type="containsText" dxfId="10377" priority="22" operator="containsText" text="CMS">
      <formula>NOT(ISERROR(SEARCH("CMS",F19)))</formula>
    </cfRule>
    <cfRule type="cellIs" dxfId="10376" priority="23" operator="equal">
      <formula>0</formula>
    </cfRule>
    <cfRule type="cellIs" dxfId="10375" priority="24" operator="greaterThan">
      <formula>0</formula>
    </cfRule>
  </conditionalFormatting>
  <conditionalFormatting sqref="F19:F21">
    <cfRule type="cellIs" dxfId="10374" priority="13" operator="equal">
      <formula>"PMS"</formula>
    </cfRule>
    <cfRule type="containsText" dxfId="10373" priority="14" operator="containsText" text="CMS">
      <formula>NOT(ISERROR(SEARCH("CMS",F19)))</formula>
    </cfRule>
    <cfRule type="cellIs" dxfId="10372" priority="15" operator="equal">
      <formula>0</formula>
    </cfRule>
    <cfRule type="cellIs" dxfId="10371" priority="16" operator="greaterThan">
      <formula>0</formula>
    </cfRule>
  </conditionalFormatting>
  <conditionalFormatting sqref="F24">
    <cfRule type="cellIs" dxfId="10370" priority="5" operator="equal">
      <formula>"PMS"</formula>
    </cfRule>
    <cfRule type="containsText" dxfId="10369" priority="6" operator="containsText" text="CMS">
      <formula>NOT(ISERROR(SEARCH("CMS",F24)))</formula>
    </cfRule>
    <cfRule type="cellIs" dxfId="10368" priority="7" operator="equal">
      <formula>0</formula>
    </cfRule>
    <cfRule type="cellIs" dxfId="10367" priority="8" operator="greaterThan">
      <formula>0</formula>
    </cfRule>
    <cfRule type="cellIs" dxfId="10366" priority="9" operator="equal">
      <formula>"PMS"</formula>
    </cfRule>
    <cfRule type="containsText" dxfId="10365" priority="10" operator="containsText" text="CMS">
      <formula>NOT(ISERROR(SEARCH("CMS",F24)))</formula>
    </cfRule>
    <cfRule type="cellIs" dxfId="10364" priority="11" operator="equal">
      <formula>0</formula>
    </cfRule>
    <cfRule type="cellIs" dxfId="10363" priority="12" operator="greaterThan">
      <formula>0</formula>
    </cfRule>
  </conditionalFormatting>
  <conditionalFormatting sqref="F24">
    <cfRule type="cellIs" dxfId="10362" priority="1" operator="equal">
      <formula>"PMS"</formula>
    </cfRule>
    <cfRule type="containsText" dxfId="10361" priority="2" operator="containsText" text="CMS">
      <formula>NOT(ISERROR(SEARCH("CMS",F24)))</formula>
    </cfRule>
    <cfRule type="cellIs" dxfId="10360" priority="3" operator="equal">
      <formula>0</formula>
    </cfRule>
    <cfRule type="cellIs" dxfId="1035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76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3A9A0-E84D-4967-968A-7F9045F345BD}">
  <sheetPr codeName="Sheet238"/>
  <dimension ref="A2:DT141"/>
  <sheetViews>
    <sheetView zoomScale="70" zoomScaleNormal="70" workbookViewId="0">
      <pane xSplit="5" ySplit="11" topLeftCell="F84" activePane="bottomRight" state="frozen"/>
      <selection pane="bottomRight" activeCell="O108" sqref="O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336.99999999999994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 t="s">
        <v>9</v>
      </c>
      <c r="G14" s="357" t="s">
        <v>9</v>
      </c>
      <c r="H14" s="357" t="s">
        <v>9</v>
      </c>
      <c r="I14" s="357" t="s">
        <v>9</v>
      </c>
      <c r="J14" s="357" t="s">
        <v>9</v>
      </c>
      <c r="K14" s="357" t="s">
        <v>9</v>
      </c>
      <c r="L14" s="357" t="s">
        <v>9</v>
      </c>
      <c r="M14" s="357" t="s">
        <v>9</v>
      </c>
      <c r="N14" s="357">
        <v>4</v>
      </c>
      <c r="O14" s="357" t="s">
        <v>9</v>
      </c>
      <c r="P14" s="357" t="s">
        <v>9</v>
      </c>
      <c r="Q14" s="357" t="s">
        <v>9</v>
      </c>
      <c r="R14" s="357" t="s">
        <v>9</v>
      </c>
      <c r="S14" s="462" t="s">
        <v>9</v>
      </c>
      <c r="T14" s="462" t="s">
        <v>9</v>
      </c>
      <c r="U14" s="357" t="s">
        <v>9</v>
      </c>
      <c r="V14" s="357" t="s">
        <v>9</v>
      </c>
      <c r="W14" s="357" t="s">
        <v>9</v>
      </c>
      <c r="X14" s="357" t="s">
        <v>9</v>
      </c>
      <c r="Y14" s="357">
        <v>6</v>
      </c>
      <c r="Z14" s="462">
        <v>6.6</v>
      </c>
      <c r="AA14" s="462">
        <v>6.6</v>
      </c>
      <c r="AB14" s="357"/>
      <c r="AC14" s="357"/>
      <c r="AD14" s="41"/>
      <c r="AE14" s="41"/>
      <c r="AF14" s="11">
        <f>COUNTIF(F14:AC14,$AJ$8)</f>
        <v>18</v>
      </c>
      <c r="AG14" s="11">
        <f>COUNTIF(F14:AD14,$AJ$7)</f>
        <v>0</v>
      </c>
      <c r="AH14" s="11">
        <f>COUNT(F14:AC14)</f>
        <v>4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>
        <v>6.6</v>
      </c>
      <c r="H15" s="357">
        <v>6.7</v>
      </c>
      <c r="I15" s="357">
        <v>6.7</v>
      </c>
      <c r="J15" s="357">
        <v>6.7</v>
      </c>
      <c r="K15" s="359">
        <v>6.6</v>
      </c>
      <c r="L15" s="359">
        <v>6.6</v>
      </c>
      <c r="M15" s="359">
        <v>6.6</v>
      </c>
      <c r="N15" s="357">
        <v>5.7</v>
      </c>
      <c r="O15" s="357">
        <v>6.7</v>
      </c>
      <c r="P15" s="357">
        <v>6.5</v>
      </c>
      <c r="Q15" s="357">
        <v>6.8</v>
      </c>
      <c r="R15" s="357">
        <v>6.6</v>
      </c>
      <c r="S15" s="462">
        <v>6.5</v>
      </c>
      <c r="T15" s="462">
        <v>6.5</v>
      </c>
      <c r="U15" s="357">
        <v>6.8</v>
      </c>
      <c r="V15" s="462">
        <v>6.7</v>
      </c>
      <c r="W15" s="357">
        <v>6.7</v>
      </c>
      <c r="X15" s="357">
        <v>6.7</v>
      </c>
      <c r="Y15" s="357">
        <v>5.2</v>
      </c>
      <c r="Z15" s="462">
        <v>6.6</v>
      </c>
      <c r="AA15" s="462">
        <v>6.6</v>
      </c>
      <c r="AB15" s="357">
        <v>6.6</v>
      </c>
      <c r="AC15" s="46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6.7</v>
      </c>
      <c r="I16" s="357">
        <v>6.7</v>
      </c>
      <c r="J16" s="357">
        <v>6.7</v>
      </c>
      <c r="K16" s="359">
        <v>6.6</v>
      </c>
      <c r="L16" s="359">
        <v>6.6</v>
      </c>
      <c r="M16" s="357">
        <v>6.6</v>
      </c>
      <c r="N16" s="359">
        <v>5.7</v>
      </c>
      <c r="O16" s="357">
        <v>6.7</v>
      </c>
      <c r="P16" s="357">
        <v>6.5</v>
      </c>
      <c r="Q16" s="357">
        <v>6.8</v>
      </c>
      <c r="R16" s="357">
        <v>6.6</v>
      </c>
      <c r="S16" s="462">
        <v>6.5</v>
      </c>
      <c r="T16" s="462">
        <v>6.5</v>
      </c>
      <c r="U16" s="357">
        <v>6.8</v>
      </c>
      <c r="V16" s="462">
        <v>6.7</v>
      </c>
      <c r="W16" s="357">
        <v>6.7</v>
      </c>
      <c r="X16" s="357">
        <v>6.7</v>
      </c>
      <c r="Y16" s="357">
        <v>5.2</v>
      </c>
      <c r="Z16" s="462">
        <v>6.6</v>
      </c>
      <c r="AA16" s="462">
        <v>6.6</v>
      </c>
      <c r="AB16" s="462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  <c r="AL16">
        <f>6.3*3-6.7-5.2*2</f>
        <v>1.7999999999999989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13.4</v>
      </c>
      <c r="I17" s="19">
        <f t="shared" si="0"/>
        <v>13.4</v>
      </c>
      <c r="J17" s="19">
        <f t="shared" si="0"/>
        <v>13.4</v>
      </c>
      <c r="K17" s="19">
        <f t="shared" si="0"/>
        <v>13.2</v>
      </c>
      <c r="L17" s="19">
        <f t="shared" si="0"/>
        <v>13.2</v>
      </c>
      <c r="M17" s="19">
        <f t="shared" si="0"/>
        <v>13.2</v>
      </c>
      <c r="N17" s="19">
        <f t="shared" si="0"/>
        <v>15.399999999999999</v>
      </c>
      <c r="O17" s="19">
        <f t="shared" si="0"/>
        <v>13.4</v>
      </c>
      <c r="P17" s="19">
        <f t="shared" si="0"/>
        <v>13</v>
      </c>
      <c r="Q17" s="19">
        <f t="shared" si="0"/>
        <v>13.6</v>
      </c>
      <c r="R17" s="19">
        <f t="shared" si="0"/>
        <v>13.2</v>
      </c>
      <c r="S17" s="463">
        <f t="shared" si="0"/>
        <v>13</v>
      </c>
      <c r="T17" s="463">
        <f t="shared" si="0"/>
        <v>13</v>
      </c>
      <c r="U17" s="19">
        <f t="shared" si="0"/>
        <v>13.6</v>
      </c>
      <c r="V17" s="19">
        <f t="shared" si="0"/>
        <v>13.4</v>
      </c>
      <c r="W17" s="19">
        <f t="shared" si="0"/>
        <v>13.4</v>
      </c>
      <c r="X17" s="19">
        <f t="shared" si="0"/>
        <v>13.4</v>
      </c>
      <c r="Y17" s="19">
        <f t="shared" si="0"/>
        <v>16.399999999999999</v>
      </c>
      <c r="Z17" s="463">
        <f t="shared" si="0"/>
        <v>19.799999999999997</v>
      </c>
      <c r="AA17" s="463">
        <f t="shared" si="0"/>
        <v>19.799999999999997</v>
      </c>
      <c r="AB17" s="463">
        <f>SUM(AB13:AB16)</f>
        <v>13.2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74.399999999999991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2</v>
      </c>
      <c r="P19" s="357">
        <v>2.8</v>
      </c>
      <c r="Q19" s="357">
        <v>2.8</v>
      </c>
      <c r="R19" s="357">
        <v>2.8</v>
      </c>
      <c r="S19" s="462">
        <v>2.6</v>
      </c>
      <c r="T19" s="462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2.8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>
        <v>3</v>
      </c>
      <c r="O21" s="357">
        <v>3</v>
      </c>
      <c r="P21" s="357">
        <v>3.8</v>
      </c>
      <c r="Q21" s="357">
        <v>3.8</v>
      </c>
      <c r="R21" s="357">
        <v>3.6</v>
      </c>
      <c r="S21" s="462">
        <v>3.6</v>
      </c>
      <c r="T21" s="462">
        <v>3.6</v>
      </c>
      <c r="U21" s="357">
        <v>3.8</v>
      </c>
      <c r="V21" s="357">
        <v>3.8</v>
      </c>
      <c r="W21" s="357">
        <v>3.8</v>
      </c>
      <c r="X21" s="357">
        <v>3</v>
      </c>
      <c r="Y21" s="357">
        <v>3.8</v>
      </c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</v>
      </c>
      <c r="O22" s="19">
        <f t="shared" si="1"/>
        <v>5</v>
      </c>
      <c r="P22" s="19">
        <f t="shared" si="1"/>
        <v>6.6</v>
      </c>
      <c r="Q22" s="19">
        <f t="shared" si="1"/>
        <v>6.6</v>
      </c>
      <c r="R22" s="19">
        <f t="shared" si="1"/>
        <v>6.4</v>
      </c>
      <c r="S22" s="463">
        <f>SUM(S19:S21)</f>
        <v>6.2</v>
      </c>
      <c r="T22" s="463">
        <f t="shared" ref="T22" si="2">SUM(T19:T21)</f>
        <v>6.4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5</v>
      </c>
      <c r="Y22" s="19">
        <f t="shared" si="1"/>
        <v>6.6</v>
      </c>
      <c r="Z22" s="463">
        <f>SUM(Z19:Z21)</f>
        <v>2.8</v>
      </c>
      <c r="AA22" s="463">
        <f t="shared" si="1"/>
        <v>0</v>
      </c>
      <c r="AB22" s="463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41.8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3.8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463">
        <f t="shared" si="4"/>
        <v>3.8</v>
      </c>
      <c r="T25" s="463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463">
        <f t="shared" si="4"/>
        <v>0</v>
      </c>
      <c r="AA25" s="463">
        <f t="shared" si="4"/>
        <v>0</v>
      </c>
      <c r="AB25" s="463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75.59999999999998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>
        <v>2.5</v>
      </c>
      <c r="L27" s="359">
        <v>3.7</v>
      </c>
      <c r="M27" s="357">
        <v>3.6</v>
      </c>
      <c r="N27" s="357">
        <v>3.7</v>
      </c>
      <c r="O27" s="357">
        <v>3.7</v>
      </c>
      <c r="P27" s="357">
        <v>3.6</v>
      </c>
      <c r="Q27" s="357">
        <v>3.8</v>
      </c>
      <c r="R27" s="357">
        <v>3.5</v>
      </c>
      <c r="S27" s="462">
        <v>3.5</v>
      </c>
      <c r="T27" s="462">
        <v>3.8</v>
      </c>
      <c r="U27" s="357">
        <v>3.8</v>
      </c>
      <c r="V27" s="359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11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2.7</v>
      </c>
      <c r="H28" s="357">
        <v>1.5</v>
      </c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2"/>
      <c r="T28" s="359"/>
      <c r="U28" s="359"/>
      <c r="V28" s="359">
        <v>3.8</v>
      </c>
      <c r="W28" s="357">
        <v>3.8</v>
      </c>
      <c r="X28" s="357">
        <v>3.6</v>
      </c>
      <c r="Y28" s="357">
        <v>3.8</v>
      </c>
      <c r="Z28" s="357">
        <v>3.8</v>
      </c>
      <c r="AA28" s="357">
        <v>3.7</v>
      </c>
      <c r="AB28" s="357">
        <v>3.8</v>
      </c>
      <c r="AC28" s="357">
        <v>2.1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11</v>
      </c>
      <c r="AI28" s="159">
        <f>SUM(F29:AC30)</f>
        <v>184.32999999999998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3.3</v>
      </c>
      <c r="Q29" s="357">
        <v>4.8</v>
      </c>
      <c r="R29" s="357">
        <v>4.8</v>
      </c>
      <c r="S29" s="462">
        <v>3.5</v>
      </c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9">
        <v>7</v>
      </c>
      <c r="H30" s="357">
        <v>6.5</v>
      </c>
      <c r="I30" s="357">
        <v>7.43</v>
      </c>
      <c r="J30" s="357">
        <v>7.4</v>
      </c>
      <c r="K30" s="357">
        <v>7</v>
      </c>
      <c r="L30" s="357">
        <v>7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6.5</v>
      </c>
      <c r="AA30" s="357">
        <v>7</v>
      </c>
      <c r="AB30" s="359">
        <v>7.1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5">SUM(F27:F30)</f>
        <v>10.8</v>
      </c>
      <c r="G31" s="19">
        <f>SUM(G27:G30)</f>
        <v>9.6999999999999993</v>
      </c>
      <c r="H31" s="19">
        <v>6</v>
      </c>
      <c r="I31" s="19">
        <f t="shared" ref="I31:X31" si="6">SUM(I27:I30)</f>
        <v>7.43</v>
      </c>
      <c r="J31" s="19">
        <f t="shared" si="6"/>
        <v>7.4</v>
      </c>
      <c r="K31" s="19">
        <f t="shared" si="6"/>
        <v>9.5</v>
      </c>
      <c r="L31" s="19">
        <f t="shared" si="6"/>
        <v>10.7</v>
      </c>
      <c r="M31" s="19">
        <f t="shared" si="6"/>
        <v>10.6</v>
      </c>
      <c r="N31" s="19">
        <f t="shared" si="6"/>
        <v>10.7</v>
      </c>
      <c r="O31" s="19">
        <f t="shared" si="6"/>
        <v>10.7</v>
      </c>
      <c r="P31" s="19">
        <f t="shared" si="6"/>
        <v>13.9</v>
      </c>
      <c r="Q31" s="19">
        <f t="shared" si="6"/>
        <v>15.6</v>
      </c>
      <c r="R31" s="19">
        <f t="shared" si="6"/>
        <v>15.3</v>
      </c>
      <c r="S31" s="463">
        <f t="shared" si="6"/>
        <v>14</v>
      </c>
      <c r="T31" s="463">
        <f t="shared" si="6"/>
        <v>10.8</v>
      </c>
      <c r="U31" s="19">
        <f t="shared" si="6"/>
        <v>10.8</v>
      </c>
      <c r="V31" s="19">
        <f t="shared" si="6"/>
        <v>10.8</v>
      </c>
      <c r="W31" s="19">
        <f t="shared" si="6"/>
        <v>10.8</v>
      </c>
      <c r="X31" s="19">
        <f t="shared" si="6"/>
        <v>10.6</v>
      </c>
      <c r="Y31" s="19">
        <f>SUM(Y27:Y30)</f>
        <v>10.8</v>
      </c>
      <c r="Z31" s="19">
        <f t="shared" ref="Z31:AC31" si="7">SUM(Z27:Z30)</f>
        <v>10.3</v>
      </c>
      <c r="AA31" s="19">
        <f t="shared" si="7"/>
        <v>10.7</v>
      </c>
      <c r="AB31" s="19">
        <f t="shared" si="7"/>
        <v>10.899999999999999</v>
      </c>
      <c r="AC31" s="19">
        <f t="shared" si="7"/>
        <v>9.1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342.38000000000005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14.28</v>
      </c>
      <c r="H33" s="357">
        <v>14.28</v>
      </c>
      <c r="I33" s="359">
        <v>14.26</v>
      </c>
      <c r="J33" s="357">
        <v>14.27</v>
      </c>
      <c r="K33" s="357">
        <v>14.27</v>
      </c>
      <c r="L33" s="359">
        <v>14.26</v>
      </c>
      <c r="M33" s="357">
        <v>14.26</v>
      </c>
      <c r="N33" s="357">
        <v>14.28</v>
      </c>
      <c r="O33" s="357">
        <v>14.26</v>
      </c>
      <c r="P33" s="357">
        <v>14.24</v>
      </c>
      <c r="Q33" s="359">
        <v>14.27</v>
      </c>
      <c r="R33" s="357">
        <v>14.25</v>
      </c>
      <c r="S33" s="462">
        <v>14.29</v>
      </c>
      <c r="T33" s="462">
        <v>14.29</v>
      </c>
      <c r="U33" s="357">
        <v>14.27</v>
      </c>
      <c r="V33" s="359">
        <v>14.27</v>
      </c>
      <c r="W33" s="357">
        <v>14.27</v>
      </c>
      <c r="X33" s="357">
        <v>14.23</v>
      </c>
      <c r="Y33" s="357">
        <v>14.27</v>
      </c>
      <c r="Z33" s="357">
        <v>14.29</v>
      </c>
      <c r="AA33" s="357">
        <v>14.26</v>
      </c>
      <c r="AB33" s="357">
        <v>14.3</v>
      </c>
      <c r="AC33" s="357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14.27</v>
      </c>
      <c r="G34" s="19">
        <f t="shared" ref="G34:AC34" si="9">SUM(G33)</f>
        <v>14.28</v>
      </c>
      <c r="H34" s="19">
        <f t="shared" si="9"/>
        <v>14.28</v>
      </c>
      <c r="I34" s="19">
        <f t="shared" si="9"/>
        <v>14.26</v>
      </c>
      <c r="J34" s="19">
        <f t="shared" si="9"/>
        <v>14.27</v>
      </c>
      <c r="K34" s="19">
        <f t="shared" si="9"/>
        <v>14.27</v>
      </c>
      <c r="L34" s="19">
        <f t="shared" si="9"/>
        <v>14.26</v>
      </c>
      <c r="M34" s="19">
        <f t="shared" si="9"/>
        <v>14.26</v>
      </c>
      <c r="N34" s="19">
        <f t="shared" si="9"/>
        <v>14.28</v>
      </c>
      <c r="O34" s="19">
        <f t="shared" si="9"/>
        <v>14.26</v>
      </c>
      <c r="P34" s="19">
        <f t="shared" si="9"/>
        <v>14.24</v>
      </c>
      <c r="Q34" s="19">
        <f t="shared" si="9"/>
        <v>14.27</v>
      </c>
      <c r="R34" s="19">
        <f t="shared" si="9"/>
        <v>14.25</v>
      </c>
      <c r="S34" s="19">
        <f t="shared" si="9"/>
        <v>14.29</v>
      </c>
      <c r="T34" s="463">
        <f t="shared" si="9"/>
        <v>14.29</v>
      </c>
      <c r="U34" s="19">
        <f t="shared" si="9"/>
        <v>14.27</v>
      </c>
      <c r="V34" s="19">
        <f t="shared" si="9"/>
        <v>14.27</v>
      </c>
      <c r="W34" s="19">
        <f t="shared" si="9"/>
        <v>14.27</v>
      </c>
      <c r="X34" s="19">
        <f t="shared" si="9"/>
        <v>14.23</v>
      </c>
      <c r="Y34" s="19">
        <f t="shared" si="9"/>
        <v>14.27</v>
      </c>
      <c r="Z34" s="19">
        <f t="shared" si="9"/>
        <v>14.29</v>
      </c>
      <c r="AA34" s="19">
        <f t="shared" si="9"/>
        <v>14.26</v>
      </c>
      <c r="AB34" s="19">
        <f t="shared" si="9"/>
        <v>14.3</v>
      </c>
      <c r="AC34" s="19">
        <f t="shared" si="9"/>
        <v>14.19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9">
        <f>SUM(F36:AC38,F40:AC40,F45:AC59)</f>
        <v>18.000000000000004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462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>
        <v>0.7</v>
      </c>
      <c r="G47" s="357"/>
      <c r="H47" s="357"/>
      <c r="I47" s="357"/>
      <c r="J47" s="357"/>
      <c r="K47" s="357"/>
      <c r="L47" s="359"/>
      <c r="M47" s="357"/>
      <c r="N47" s="357"/>
      <c r="O47" s="357"/>
      <c r="P47" s="359"/>
      <c r="Q47" s="357"/>
      <c r="R47" s="357"/>
      <c r="S47" s="462"/>
      <c r="T47" s="357"/>
      <c r="U47" s="462"/>
      <c r="V47" s="462"/>
      <c r="W47" s="357"/>
      <c r="X47" s="357"/>
      <c r="Y47" s="357"/>
      <c r="Z47" s="357"/>
      <c r="AA47" s="357"/>
      <c r="AB47" s="357">
        <v>0.7</v>
      </c>
      <c r="AC47" s="357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f>2.2/3</f>
        <v>0.73333333333333339</v>
      </c>
      <c r="M48" s="357"/>
      <c r="N48" s="357"/>
      <c r="O48" s="357"/>
      <c r="P48" s="359">
        <f>3.1/4</f>
        <v>0.77500000000000002</v>
      </c>
      <c r="Q48" s="357">
        <f>3.1/4</f>
        <v>0.77500000000000002</v>
      </c>
      <c r="R48" s="357"/>
      <c r="S48" s="462"/>
      <c r="T48" s="357"/>
      <c r="U48" s="357"/>
      <c r="V48" s="462"/>
      <c r="W48" s="357"/>
      <c r="X48" s="357"/>
      <c r="Y48" s="357"/>
      <c r="Z48" s="357">
        <v>0.75</v>
      </c>
      <c r="AA48" s="357"/>
      <c r="AB48" s="357"/>
      <c r="AC48" s="357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4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f>2.2/3</f>
        <v>0.73333333333333339</v>
      </c>
      <c r="M50" s="359"/>
      <c r="N50" s="359"/>
      <c r="O50" s="359"/>
      <c r="P50" s="359">
        <f>3.1/4</f>
        <v>0.77500000000000002</v>
      </c>
      <c r="Q50" s="357">
        <f>3.1/4</f>
        <v>0.77500000000000002</v>
      </c>
      <c r="R50" s="357"/>
      <c r="S50" s="462"/>
      <c r="T50" s="357">
        <v>0.75</v>
      </c>
      <c r="U50" s="462">
        <v>0.75</v>
      </c>
      <c r="V50" s="462">
        <v>0.75</v>
      </c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>
        <v>0.7</v>
      </c>
      <c r="G51" s="357"/>
      <c r="H51" s="357"/>
      <c r="I51" s="357"/>
      <c r="J51" s="357"/>
      <c r="K51" s="357"/>
      <c r="L51" s="359"/>
      <c r="M51" s="359"/>
      <c r="N51" s="357">
        <v>0.7</v>
      </c>
      <c r="O51" s="357"/>
      <c r="P51" s="359">
        <f>3.1/4</f>
        <v>0.77500000000000002</v>
      </c>
      <c r="Q51" s="357">
        <f>3.1/4</f>
        <v>0.77500000000000002</v>
      </c>
      <c r="R51" s="357">
        <v>0.8</v>
      </c>
      <c r="S51" s="462"/>
      <c r="T51" s="357"/>
      <c r="U51" s="462"/>
      <c r="V51" s="462"/>
      <c r="W51" s="357"/>
      <c r="X51" s="357"/>
      <c r="Y51" s="357"/>
      <c r="Z51" s="357">
        <v>0.75</v>
      </c>
      <c r="AA51" s="357"/>
      <c r="AB51" s="357"/>
      <c r="AC51" s="357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6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f>2.2/3</f>
        <v>0.73333333333333339</v>
      </c>
      <c r="M56" s="357"/>
      <c r="N56" s="357"/>
      <c r="O56" s="357"/>
      <c r="P56" s="359">
        <f>3.1/4</f>
        <v>0.77500000000000002</v>
      </c>
      <c r="Q56" s="357">
        <f>3.1/4</f>
        <v>0.77500000000000002</v>
      </c>
      <c r="R56" s="357"/>
      <c r="S56" s="462"/>
      <c r="T56" s="357">
        <v>0.75</v>
      </c>
      <c r="U56" s="462">
        <v>0.75</v>
      </c>
      <c r="V56" s="462">
        <v>0.75</v>
      </c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6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3">SUM(F36:F59)</f>
        <v>1.4</v>
      </c>
      <c r="G60" s="19">
        <f t="shared" si="13"/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2.2000000000000002</v>
      </c>
      <c r="M60" s="19">
        <f t="shared" si="13"/>
        <v>0</v>
      </c>
      <c r="N60" s="19">
        <f t="shared" si="13"/>
        <v>0.7</v>
      </c>
      <c r="O60" s="19">
        <f t="shared" si="13"/>
        <v>0</v>
      </c>
      <c r="P60" s="19">
        <f t="shared" si="13"/>
        <v>3.1</v>
      </c>
      <c r="Q60" s="19">
        <f t="shared" si="13"/>
        <v>3.1</v>
      </c>
      <c r="R60" s="19">
        <f t="shared" si="13"/>
        <v>0.8</v>
      </c>
      <c r="S60" s="19">
        <f t="shared" si="13"/>
        <v>0</v>
      </c>
      <c r="T60" s="19">
        <f t="shared" si="13"/>
        <v>1.5</v>
      </c>
      <c r="U60" s="19">
        <f t="shared" si="13"/>
        <v>1.5</v>
      </c>
      <c r="V60" s="19">
        <f t="shared" si="13"/>
        <v>1.5</v>
      </c>
      <c r="W60" s="19">
        <f t="shared" si="13"/>
        <v>0</v>
      </c>
      <c r="X60" s="19">
        <f t="shared" si="13"/>
        <v>0</v>
      </c>
      <c r="Y60" s="19">
        <f>SUM(Y36:Y59)</f>
        <v>0</v>
      </c>
      <c r="Z60" s="19">
        <f t="shared" si="13"/>
        <v>1.5</v>
      </c>
      <c r="AA60" s="19">
        <f t="shared" si="13"/>
        <v>0</v>
      </c>
      <c r="AB60" s="19">
        <f t="shared" si="13"/>
        <v>0.7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21.65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0.89/2</f>
        <v>0.44500000000000001</v>
      </c>
      <c r="G62" s="357">
        <f>0.84/2</f>
        <v>0.42</v>
      </c>
      <c r="H62" s="357">
        <f>0.81/2</f>
        <v>0.40500000000000003</v>
      </c>
      <c r="I62" s="359">
        <f>0.8/2</f>
        <v>0.4</v>
      </c>
      <c r="J62" s="357">
        <f>0.79/2</f>
        <v>0.39500000000000002</v>
      </c>
      <c r="K62" s="357">
        <f>0.92/2</f>
        <v>0.46</v>
      </c>
      <c r="L62" s="357">
        <f>1.05/2</f>
        <v>0.52500000000000002</v>
      </c>
      <c r="M62" s="357"/>
      <c r="N62" s="357"/>
      <c r="O62" s="357"/>
      <c r="P62" s="357"/>
      <c r="Q62" s="357"/>
      <c r="R62" s="357">
        <v>0.5</v>
      </c>
      <c r="S62" s="462">
        <v>0.5</v>
      </c>
      <c r="T62" s="357">
        <v>0.5</v>
      </c>
      <c r="U62" s="357">
        <v>0.55500000000000005</v>
      </c>
      <c r="V62" s="462">
        <v>0.56000000000000005</v>
      </c>
      <c r="W62" s="357">
        <v>0.5</v>
      </c>
      <c r="X62" s="357">
        <v>0.55500000000000005</v>
      </c>
      <c r="Y62" s="357">
        <v>0.625</v>
      </c>
      <c r="Z62" s="357"/>
      <c r="AA62" s="357">
        <v>0.46</v>
      </c>
      <c r="AB62" s="357">
        <v>0.4</v>
      </c>
      <c r="AC62" s="357">
        <f>0.76/2</f>
        <v>0.38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>
        <f>0.84/2</f>
        <v>0.42</v>
      </c>
      <c r="H63" s="357">
        <f>0.81/2</f>
        <v>0.40500000000000003</v>
      </c>
      <c r="I63" s="359">
        <f>0.8/2</f>
        <v>0.4</v>
      </c>
      <c r="J63" s="357">
        <f>0.79/2</f>
        <v>0.39500000000000002</v>
      </c>
      <c r="K63" s="357">
        <f>0.92/2</f>
        <v>0.46</v>
      </c>
      <c r="L63" s="357">
        <f>1.05/2</f>
        <v>0.52500000000000002</v>
      </c>
      <c r="M63" s="357">
        <f>1.02/2</f>
        <v>0.51</v>
      </c>
      <c r="N63" s="357">
        <f>1.04/2</f>
        <v>0.52</v>
      </c>
      <c r="O63" s="357">
        <f>1.22/2</f>
        <v>0.61</v>
      </c>
      <c r="P63" s="357">
        <v>0.6</v>
      </c>
      <c r="Q63" s="357"/>
      <c r="R63" s="357"/>
      <c r="S63" s="462"/>
      <c r="T63" s="357"/>
      <c r="U63" s="357"/>
      <c r="V63" s="462"/>
      <c r="W63" s="357"/>
      <c r="X63" s="357"/>
      <c r="Y63" s="357">
        <v>0.625</v>
      </c>
      <c r="Z63" s="357"/>
      <c r="AA63" s="357">
        <v>0.46</v>
      </c>
      <c r="AB63" s="357">
        <v>0.4</v>
      </c>
      <c r="AC63" s="357">
        <f>0.76/2</f>
        <v>0.38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0.89/2</f>
        <v>0.44500000000000001</v>
      </c>
      <c r="G64" s="357"/>
      <c r="H64" s="357"/>
      <c r="I64" s="359"/>
      <c r="J64" s="357"/>
      <c r="K64" s="357"/>
      <c r="L64" s="357"/>
      <c r="M64" s="357">
        <f>1.02/2</f>
        <v>0.51</v>
      </c>
      <c r="N64" s="357">
        <f>1.04/2</f>
        <v>0.52</v>
      </c>
      <c r="O64" s="357">
        <f>1.22/2</f>
        <v>0.61</v>
      </c>
      <c r="P64" s="357">
        <v>0.6</v>
      </c>
      <c r="Q64" s="357"/>
      <c r="R64" s="357">
        <v>0.5</v>
      </c>
      <c r="S64" s="462">
        <v>0.5</v>
      </c>
      <c r="T64" s="357">
        <v>0.5</v>
      </c>
      <c r="U64" s="357">
        <v>0.55500000000000005</v>
      </c>
      <c r="V64" s="462">
        <v>0.56000000000000005</v>
      </c>
      <c r="W64" s="357">
        <v>0.5</v>
      </c>
      <c r="X64" s="357">
        <v>0.55500000000000005</v>
      </c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0.89</v>
      </c>
      <c r="G65" s="19">
        <f t="shared" ref="G65:AB65" si="14">SUM(G62:G64)</f>
        <v>0.84</v>
      </c>
      <c r="H65" s="19">
        <f t="shared" si="14"/>
        <v>0.81</v>
      </c>
      <c r="I65" s="19">
        <f t="shared" si="14"/>
        <v>0.8</v>
      </c>
      <c r="J65" s="19">
        <f t="shared" si="14"/>
        <v>0.79</v>
      </c>
      <c r="K65" s="19">
        <f t="shared" si="14"/>
        <v>0.92</v>
      </c>
      <c r="L65" s="19">
        <f t="shared" si="14"/>
        <v>1.05</v>
      </c>
      <c r="M65" s="19">
        <f t="shared" si="14"/>
        <v>1.02</v>
      </c>
      <c r="N65" s="19">
        <f t="shared" si="14"/>
        <v>1.04</v>
      </c>
      <c r="O65" s="19">
        <f t="shared" si="14"/>
        <v>1.22</v>
      </c>
      <c r="P65" s="19">
        <f t="shared" si="14"/>
        <v>1.2</v>
      </c>
      <c r="Q65" s="19">
        <f t="shared" si="14"/>
        <v>0</v>
      </c>
      <c r="R65" s="19">
        <f t="shared" si="14"/>
        <v>1</v>
      </c>
      <c r="S65" s="463">
        <f t="shared" si="14"/>
        <v>1</v>
      </c>
      <c r="T65" s="463">
        <f t="shared" si="14"/>
        <v>1</v>
      </c>
      <c r="U65" s="463">
        <f t="shared" si="14"/>
        <v>1.1100000000000001</v>
      </c>
      <c r="V65" s="19">
        <f>SUM(V62:V64)</f>
        <v>1.1200000000000001</v>
      </c>
      <c r="W65" s="19">
        <f t="shared" si="14"/>
        <v>1</v>
      </c>
      <c r="X65" s="19">
        <f t="shared" si="14"/>
        <v>1.1100000000000001</v>
      </c>
      <c r="Y65" s="19">
        <f>SUM(Y62:Y64)</f>
        <v>1.25</v>
      </c>
      <c r="Z65" s="19">
        <f>SUM(Z62:Z64)</f>
        <v>0</v>
      </c>
      <c r="AA65" s="19">
        <f t="shared" si="14"/>
        <v>0.92</v>
      </c>
      <c r="AB65" s="19">
        <f t="shared" si="14"/>
        <v>0.8</v>
      </c>
      <c r="AC65" s="19">
        <f>SUM(AC62:AC64)</f>
        <v>0.76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3">
        <f t="shared" si="18"/>
        <v>0</v>
      </c>
      <c r="T76" s="463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15.929999999999998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0.71</v>
      </c>
      <c r="N78" s="357">
        <v>0.72</v>
      </c>
      <c r="O78" s="357"/>
      <c r="P78" s="357">
        <v>0.67</v>
      </c>
      <c r="Q78" s="357">
        <v>0.66</v>
      </c>
      <c r="R78" s="357">
        <v>0.65</v>
      </c>
      <c r="S78" s="357">
        <v>0.6</v>
      </c>
      <c r="T78" s="357">
        <v>0.61</v>
      </c>
      <c r="U78" s="357">
        <v>0.56000000000000005</v>
      </c>
      <c r="V78" s="357">
        <v>0.55000000000000004</v>
      </c>
      <c r="W78" s="357">
        <v>0.56999999999999995</v>
      </c>
      <c r="X78" s="357">
        <v>0.68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0.76</v>
      </c>
      <c r="G79" s="357">
        <v>0.72</v>
      </c>
      <c r="H79" s="357">
        <v>0.71</v>
      </c>
      <c r="I79" s="357">
        <v>0.68</v>
      </c>
      <c r="J79" s="357">
        <v>0.67</v>
      </c>
      <c r="K79" s="357">
        <v>0.7</v>
      </c>
      <c r="L79" s="359">
        <v>0.8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0.62</v>
      </c>
      <c r="Z79" s="357">
        <v>0.85</v>
      </c>
      <c r="AA79" s="357">
        <v>0.81</v>
      </c>
      <c r="AB79" s="357">
        <v>0.83</v>
      </c>
      <c r="AC79" s="357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0.76</v>
      </c>
      <c r="G80" s="19">
        <f t="shared" si="19"/>
        <v>0.72</v>
      </c>
      <c r="H80" s="19">
        <f>SUM(H78:H79)</f>
        <v>0.71</v>
      </c>
      <c r="I80" s="19">
        <f>SUM(I78:I79)</f>
        <v>0.68</v>
      </c>
      <c r="J80" s="19">
        <f t="shared" ref="J80:AC80" si="20">SUM(J78:J79)</f>
        <v>0.67</v>
      </c>
      <c r="K80" s="19">
        <f t="shared" si="20"/>
        <v>0.7</v>
      </c>
      <c r="L80" s="19">
        <f>SUM(L78:L79)</f>
        <v>0.8</v>
      </c>
      <c r="M80" s="19">
        <f t="shared" si="20"/>
        <v>0.71</v>
      </c>
      <c r="N80" s="19">
        <f t="shared" si="20"/>
        <v>0.72</v>
      </c>
      <c r="O80" s="19">
        <f>SUM(O78:O79)</f>
        <v>0</v>
      </c>
      <c r="P80" s="19">
        <f>SUM(P78:P79)</f>
        <v>0.67</v>
      </c>
      <c r="Q80" s="19">
        <f t="shared" si="20"/>
        <v>0.66</v>
      </c>
      <c r="R80" s="19">
        <f t="shared" si="20"/>
        <v>0.65</v>
      </c>
      <c r="S80" s="463">
        <f t="shared" si="20"/>
        <v>0.6</v>
      </c>
      <c r="T80" s="463">
        <f t="shared" si="20"/>
        <v>0.61</v>
      </c>
      <c r="U80" s="19">
        <f t="shared" si="20"/>
        <v>0.56000000000000005</v>
      </c>
      <c r="V80" s="19">
        <f t="shared" si="20"/>
        <v>0.55000000000000004</v>
      </c>
      <c r="W80" s="19">
        <f t="shared" si="20"/>
        <v>0.56999999999999995</v>
      </c>
      <c r="X80" s="19">
        <f t="shared" si="20"/>
        <v>0.68</v>
      </c>
      <c r="Y80" s="19">
        <f t="shared" si="20"/>
        <v>0.62</v>
      </c>
      <c r="Z80" s="19">
        <f t="shared" si="20"/>
        <v>0.85</v>
      </c>
      <c r="AA80" s="19">
        <f t="shared" si="20"/>
        <v>0.81</v>
      </c>
      <c r="AB80" s="19">
        <f t="shared" si="20"/>
        <v>0.83</v>
      </c>
      <c r="AC80" s="19">
        <f t="shared" si="20"/>
        <v>0.8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1">SUM(F17,F22,F25,F31,F34,F60,F65,F76,F80,F82)</f>
        <v>41.319999999999993</v>
      </c>
      <c r="G83" s="28">
        <f>SUM(G17,G22,G25,G31,G34,G60,G65,G76,G80,G82)</f>
        <v>38.74</v>
      </c>
      <c r="H83" s="28">
        <f t="shared" si="21"/>
        <v>35.200000000000003</v>
      </c>
      <c r="I83" s="28">
        <f t="shared" si="21"/>
        <v>36.569999999999993</v>
      </c>
      <c r="J83" s="28">
        <f t="shared" si="21"/>
        <v>36.53</v>
      </c>
      <c r="K83" s="28">
        <f t="shared" si="21"/>
        <v>38.590000000000003</v>
      </c>
      <c r="L83" s="28">
        <f t="shared" si="21"/>
        <v>42.209999999999994</v>
      </c>
      <c r="M83" s="28">
        <f t="shared" si="21"/>
        <v>39.79</v>
      </c>
      <c r="N83" s="28">
        <f t="shared" si="21"/>
        <v>45.839999999999996</v>
      </c>
      <c r="O83" s="28">
        <f t="shared" si="21"/>
        <v>48.379999999999995</v>
      </c>
      <c r="P83" s="28">
        <f t="shared" si="21"/>
        <v>56.510000000000012</v>
      </c>
      <c r="Q83" s="28">
        <f t="shared" si="21"/>
        <v>57.63</v>
      </c>
      <c r="R83" s="28">
        <f t="shared" si="21"/>
        <v>55.4</v>
      </c>
      <c r="S83" s="518">
        <f t="shared" si="21"/>
        <v>52.89</v>
      </c>
      <c r="T83" s="518">
        <f t="shared" si="21"/>
        <v>51.4</v>
      </c>
      <c r="U83" s="518">
        <f t="shared" si="21"/>
        <v>52.239999999999995</v>
      </c>
      <c r="V83" s="28">
        <f t="shared" si="21"/>
        <v>52.04</v>
      </c>
      <c r="W83" s="28">
        <f t="shared" si="21"/>
        <v>50.440000000000005</v>
      </c>
      <c r="X83" s="28">
        <f t="shared" si="21"/>
        <v>48.82</v>
      </c>
      <c r="Y83" s="28">
        <f t="shared" si="21"/>
        <v>53.74</v>
      </c>
      <c r="Z83" s="28">
        <f t="shared" si="21"/>
        <v>49.54</v>
      </c>
      <c r="AA83" s="28">
        <f t="shared" si="21"/>
        <v>46.49</v>
      </c>
      <c r="AB83" s="28">
        <f t="shared" si="21"/>
        <v>40.729999999999997</v>
      </c>
      <c r="AC83" s="28">
        <f t="shared" si="21"/>
        <v>38.04999999999999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3</v>
      </c>
      <c r="O89" s="64">
        <f t="shared" si="22"/>
        <v>8.8000000000000007</v>
      </c>
      <c r="P89" s="64">
        <f t="shared" si="22"/>
        <v>10.399999999999999</v>
      </c>
      <c r="Q89" s="64">
        <f t="shared" si="22"/>
        <v>10.399999999999999</v>
      </c>
      <c r="R89" s="64">
        <f t="shared" si="22"/>
        <v>10.199999999999999</v>
      </c>
      <c r="S89" s="64">
        <f t="shared" si="22"/>
        <v>10</v>
      </c>
      <c r="T89" s="64">
        <f t="shared" si="22"/>
        <v>10.199999999999999</v>
      </c>
      <c r="U89" s="64">
        <f t="shared" si="22"/>
        <v>10.399999999999999</v>
      </c>
      <c r="V89" s="64">
        <f t="shared" si="22"/>
        <v>10.399999999999999</v>
      </c>
      <c r="W89" s="64">
        <f t="shared" si="22"/>
        <v>10.399999999999999</v>
      </c>
      <c r="X89" s="64">
        <f t="shared" si="22"/>
        <v>8.8000000000000007</v>
      </c>
      <c r="Y89" s="64">
        <f t="shared" si="22"/>
        <v>10.399999999999999</v>
      </c>
      <c r="Z89" s="64">
        <f t="shared" si="22"/>
        <v>2.8</v>
      </c>
      <c r="AA89" s="64">
        <f t="shared" si="22"/>
        <v>0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0.191</v>
      </c>
      <c r="P90" s="68">
        <v>0.19</v>
      </c>
      <c r="Q90" s="68">
        <v>0.17699999999999999</v>
      </c>
      <c r="R90" s="68">
        <v>0.17699999999999999</v>
      </c>
      <c r="S90" s="68">
        <v>0.23</v>
      </c>
      <c r="T90" s="68">
        <v>0.253</v>
      </c>
      <c r="U90" s="68">
        <v>0.23699999999999999</v>
      </c>
      <c r="V90" s="68">
        <v>0.28799999999999998</v>
      </c>
      <c r="W90" s="68">
        <v>0.23499999999999999</v>
      </c>
      <c r="X90" s="68">
        <v>0.192</v>
      </c>
      <c r="Y90" s="68">
        <v>0.28699999999999998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3">F17</f>
        <v>13.2</v>
      </c>
      <c r="G91" s="64">
        <f t="shared" si="23"/>
        <v>13.2</v>
      </c>
      <c r="H91" s="64">
        <f t="shared" si="23"/>
        <v>13.4</v>
      </c>
      <c r="I91" s="64">
        <f t="shared" si="23"/>
        <v>13.4</v>
      </c>
      <c r="J91" s="64">
        <f t="shared" si="23"/>
        <v>13.4</v>
      </c>
      <c r="K91" s="64">
        <f t="shared" si="23"/>
        <v>13.2</v>
      </c>
      <c r="L91" s="64">
        <f t="shared" si="23"/>
        <v>13.2</v>
      </c>
      <c r="M91" s="64">
        <f t="shared" si="23"/>
        <v>13.2</v>
      </c>
      <c r="N91" s="64">
        <f t="shared" si="23"/>
        <v>15.399999999999999</v>
      </c>
      <c r="O91" s="64">
        <f t="shared" si="23"/>
        <v>13.4</v>
      </c>
      <c r="P91" s="64">
        <f t="shared" si="23"/>
        <v>13</v>
      </c>
      <c r="Q91" s="64">
        <f t="shared" si="23"/>
        <v>13.6</v>
      </c>
      <c r="R91" s="64">
        <f t="shared" si="23"/>
        <v>13.2</v>
      </c>
      <c r="S91" s="64">
        <f t="shared" si="23"/>
        <v>13</v>
      </c>
      <c r="T91" s="64">
        <f t="shared" si="23"/>
        <v>13</v>
      </c>
      <c r="U91" s="64">
        <f t="shared" si="23"/>
        <v>13.6</v>
      </c>
      <c r="V91" s="64">
        <f t="shared" si="23"/>
        <v>13.4</v>
      </c>
      <c r="W91" s="64">
        <f t="shared" si="23"/>
        <v>13.4</v>
      </c>
      <c r="X91" s="64">
        <f t="shared" si="23"/>
        <v>13.4</v>
      </c>
      <c r="Y91" s="64">
        <f t="shared" si="23"/>
        <v>16.399999999999999</v>
      </c>
      <c r="Z91" s="64">
        <f t="shared" si="23"/>
        <v>19.799999999999997</v>
      </c>
      <c r="AA91" s="64">
        <f t="shared" si="23"/>
        <v>19.799999999999997</v>
      </c>
      <c r="AB91" s="64">
        <f t="shared" si="23"/>
        <v>13.2</v>
      </c>
      <c r="AC91" s="64">
        <f t="shared" si="23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0.51700000000000002</v>
      </c>
      <c r="G92" s="68">
        <v>0.55200000000000005</v>
      </c>
      <c r="H92" s="68">
        <v>0.503</v>
      </c>
      <c r="I92" s="68">
        <v>0.66500000000000004</v>
      </c>
      <c r="J92" s="68">
        <v>0.70599999999999996</v>
      </c>
      <c r="K92" s="68">
        <v>0.78900000000000003</v>
      </c>
      <c r="L92" s="68">
        <v>0.58399999999999996</v>
      </c>
      <c r="M92" s="68">
        <v>0.56599999999999995</v>
      </c>
      <c r="N92" s="68">
        <v>0.67900000000000005</v>
      </c>
      <c r="O92" s="68">
        <v>0.61799999999999999</v>
      </c>
      <c r="P92" s="68">
        <v>0.74399999999999999</v>
      </c>
      <c r="Q92" s="68">
        <v>0.76400000000000001</v>
      </c>
      <c r="R92" s="68">
        <v>0.60699999999999998</v>
      </c>
      <c r="S92" s="68">
        <v>0.495</v>
      </c>
      <c r="T92" s="68">
        <v>0.49299999999999999</v>
      </c>
      <c r="U92" s="68">
        <v>0.61499999999999999</v>
      </c>
      <c r="V92" s="68">
        <v>0.72099999999999997</v>
      </c>
      <c r="W92" s="68">
        <v>0.65300000000000002</v>
      </c>
      <c r="X92" s="68">
        <v>0.61899999999999999</v>
      </c>
      <c r="Y92" s="68">
        <v>0.63900000000000001</v>
      </c>
      <c r="Z92" s="68">
        <v>0.71299999999999997</v>
      </c>
      <c r="AA92" s="68">
        <v>0.84199999999999997</v>
      </c>
      <c r="AB92" s="68">
        <v>0.63</v>
      </c>
      <c r="AC92" s="68">
        <v>0.54300000000000004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4">F31</f>
        <v>10.8</v>
      </c>
      <c r="G93" s="65">
        <f t="shared" si="24"/>
        <v>9.6999999999999993</v>
      </c>
      <c r="H93" s="65">
        <f t="shared" si="24"/>
        <v>6</v>
      </c>
      <c r="I93" s="65">
        <f t="shared" si="24"/>
        <v>7.43</v>
      </c>
      <c r="J93" s="65">
        <f t="shared" si="24"/>
        <v>7.4</v>
      </c>
      <c r="K93" s="65">
        <f t="shared" si="24"/>
        <v>9.5</v>
      </c>
      <c r="L93" s="65">
        <f t="shared" si="24"/>
        <v>10.7</v>
      </c>
      <c r="M93" s="65">
        <f t="shared" si="24"/>
        <v>10.6</v>
      </c>
      <c r="N93" s="65">
        <f t="shared" si="24"/>
        <v>10.7</v>
      </c>
      <c r="O93" s="65">
        <f t="shared" si="24"/>
        <v>10.7</v>
      </c>
      <c r="P93" s="65">
        <f t="shared" si="24"/>
        <v>13.9</v>
      </c>
      <c r="Q93" s="65">
        <f t="shared" si="24"/>
        <v>15.6</v>
      </c>
      <c r="R93" s="65">
        <f t="shared" si="24"/>
        <v>15.3</v>
      </c>
      <c r="S93" s="65">
        <f t="shared" si="24"/>
        <v>14</v>
      </c>
      <c r="T93" s="65">
        <f t="shared" si="24"/>
        <v>10.8</v>
      </c>
      <c r="U93" s="65">
        <f t="shared" si="24"/>
        <v>10.8</v>
      </c>
      <c r="V93" s="65">
        <f t="shared" si="24"/>
        <v>10.8</v>
      </c>
      <c r="W93" s="65">
        <f t="shared" si="24"/>
        <v>10.8</v>
      </c>
      <c r="X93" s="65">
        <f t="shared" si="24"/>
        <v>10.6</v>
      </c>
      <c r="Y93" s="65">
        <f t="shared" si="24"/>
        <v>10.8</v>
      </c>
      <c r="Z93" s="65">
        <f t="shared" si="24"/>
        <v>10.3</v>
      </c>
      <c r="AA93" s="65">
        <f t="shared" si="24"/>
        <v>10.7</v>
      </c>
      <c r="AB93" s="65">
        <f t="shared" si="24"/>
        <v>10.899999999999999</v>
      </c>
      <c r="AC93" s="65">
        <f t="shared" si="24"/>
        <v>9.1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0.192</v>
      </c>
      <c r="G94" s="68">
        <v>0.19500000000000001</v>
      </c>
      <c r="H94" s="68">
        <v>0.19400000000000001</v>
      </c>
      <c r="I94" s="68">
        <v>9.4E-2</v>
      </c>
      <c r="J94" s="68">
        <v>0.115</v>
      </c>
      <c r="K94" s="68">
        <v>0.19800000000000001</v>
      </c>
      <c r="L94" s="68">
        <v>0.16500000000000001</v>
      </c>
      <c r="M94" s="68">
        <v>0.158</v>
      </c>
      <c r="N94" s="68">
        <v>0.20499999999999999</v>
      </c>
      <c r="O94" s="68">
        <v>0.20799999999999999</v>
      </c>
      <c r="P94" s="68">
        <v>0.192</v>
      </c>
      <c r="Q94" s="68">
        <v>0.193</v>
      </c>
      <c r="R94" s="68">
        <v>0.19500000000000001</v>
      </c>
      <c r="S94" s="68">
        <v>0.19800000000000001</v>
      </c>
      <c r="T94" s="68">
        <v>0.19800000000000001</v>
      </c>
      <c r="U94" s="68">
        <v>0.193</v>
      </c>
      <c r="V94" s="68">
        <v>0.16500000000000001</v>
      </c>
      <c r="W94" s="68">
        <v>0.16700000000000001</v>
      </c>
      <c r="X94" s="68">
        <v>0.17899999999999999</v>
      </c>
      <c r="Y94" s="68">
        <v>0.21199999999999999</v>
      </c>
      <c r="Z94" s="68">
        <v>0.188</v>
      </c>
      <c r="AA94" s="68">
        <v>0.185</v>
      </c>
      <c r="AB94" s="68">
        <v>0.17</v>
      </c>
      <c r="AC94" s="68">
        <v>0.17399999999999999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0.23280000000000001</v>
      </c>
      <c r="G95" s="68">
        <v>0.20610000000000001</v>
      </c>
      <c r="H95" s="68">
        <v>0.20399999999999999</v>
      </c>
      <c r="I95" s="68">
        <v>0.21</v>
      </c>
      <c r="J95" s="68">
        <v>0.21560000000000001</v>
      </c>
      <c r="K95" s="68">
        <v>0.2432</v>
      </c>
      <c r="L95" s="68">
        <v>0.24199999999999999</v>
      </c>
      <c r="M95" s="68">
        <v>0.21840000000000001</v>
      </c>
      <c r="N95" s="68">
        <v>0.20949999999999999</v>
      </c>
      <c r="O95" s="68">
        <v>0.21560000000000001</v>
      </c>
      <c r="P95" s="68">
        <v>0.39150000000000001</v>
      </c>
      <c r="Q95" s="68">
        <v>0.39500000000000002</v>
      </c>
      <c r="R95" s="68">
        <v>0.37769999999999998</v>
      </c>
      <c r="S95" s="68">
        <v>0.38979999999999998</v>
      </c>
      <c r="T95" s="68">
        <v>0.1991</v>
      </c>
      <c r="U95" s="68">
        <v>0.1956</v>
      </c>
      <c r="V95" s="68">
        <v>0.2208</v>
      </c>
      <c r="W95" s="68">
        <v>0.221</v>
      </c>
      <c r="X95" s="68">
        <v>0.23449999999999999</v>
      </c>
      <c r="Y95" s="68">
        <v>0.23019999999999999</v>
      </c>
      <c r="Z95" s="68">
        <v>0.27589999999999998</v>
      </c>
      <c r="AA95" s="68">
        <v>0.22459999999999999</v>
      </c>
      <c r="AB95" s="68">
        <v>0.222</v>
      </c>
      <c r="AC95" s="68">
        <v>0.20630000000000001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5">F34</f>
        <v>14.27</v>
      </c>
      <c r="G96" s="65">
        <f t="shared" si="25"/>
        <v>14.28</v>
      </c>
      <c r="H96" s="65">
        <f t="shared" si="25"/>
        <v>14.28</v>
      </c>
      <c r="I96" s="65">
        <f t="shared" si="25"/>
        <v>14.26</v>
      </c>
      <c r="J96" s="65">
        <f t="shared" si="25"/>
        <v>14.27</v>
      </c>
      <c r="K96" s="65">
        <f t="shared" si="25"/>
        <v>14.27</v>
      </c>
      <c r="L96" s="65">
        <f t="shared" si="25"/>
        <v>14.26</v>
      </c>
      <c r="M96" s="65">
        <f t="shared" si="25"/>
        <v>14.26</v>
      </c>
      <c r="N96" s="65">
        <f t="shared" si="25"/>
        <v>14.28</v>
      </c>
      <c r="O96" s="65">
        <f t="shared" si="25"/>
        <v>14.26</v>
      </c>
      <c r="P96" s="65">
        <f t="shared" si="25"/>
        <v>14.24</v>
      </c>
      <c r="Q96" s="65">
        <f t="shared" si="25"/>
        <v>14.27</v>
      </c>
      <c r="R96" s="65">
        <f t="shared" si="25"/>
        <v>14.25</v>
      </c>
      <c r="S96" s="65">
        <f t="shared" si="25"/>
        <v>14.29</v>
      </c>
      <c r="T96" s="65">
        <f t="shared" si="25"/>
        <v>14.29</v>
      </c>
      <c r="U96" s="65">
        <f t="shared" si="25"/>
        <v>14.27</v>
      </c>
      <c r="V96" s="65">
        <f t="shared" si="25"/>
        <v>14.27</v>
      </c>
      <c r="W96" s="65">
        <f t="shared" si="25"/>
        <v>14.27</v>
      </c>
      <c r="X96" s="65">
        <f t="shared" si="25"/>
        <v>14.23</v>
      </c>
      <c r="Y96" s="65">
        <f t="shared" si="25"/>
        <v>14.27</v>
      </c>
      <c r="Z96" s="65">
        <f t="shared" si="25"/>
        <v>14.29</v>
      </c>
      <c r="AA96" s="65">
        <f t="shared" si="25"/>
        <v>14.26</v>
      </c>
      <c r="AB96" s="65">
        <f t="shared" si="25"/>
        <v>14.3</v>
      </c>
      <c r="AC96" s="65">
        <f t="shared" si="25"/>
        <v>14.19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0.73</v>
      </c>
      <c r="G97" s="68">
        <v>0.72</v>
      </c>
      <c r="H97" s="68">
        <v>0.72</v>
      </c>
      <c r="I97" s="68">
        <v>0.74</v>
      </c>
      <c r="J97" s="68">
        <v>0.73</v>
      </c>
      <c r="K97" s="68">
        <v>0.73</v>
      </c>
      <c r="L97" s="68">
        <v>0.74</v>
      </c>
      <c r="M97" s="68">
        <v>0.74</v>
      </c>
      <c r="N97" s="68">
        <v>0.72</v>
      </c>
      <c r="O97" s="68">
        <v>0.74</v>
      </c>
      <c r="P97" s="68">
        <v>0.76</v>
      </c>
      <c r="Q97" s="68">
        <v>0.73</v>
      </c>
      <c r="R97" s="68">
        <v>0.75</v>
      </c>
      <c r="S97" s="68">
        <v>0.71</v>
      </c>
      <c r="T97" s="68">
        <v>0.76</v>
      </c>
      <c r="U97" s="68">
        <v>0.73</v>
      </c>
      <c r="V97" s="68">
        <v>0.73</v>
      </c>
      <c r="W97" s="68">
        <v>0.73</v>
      </c>
      <c r="X97" s="68">
        <v>0.77</v>
      </c>
      <c r="Y97" s="68">
        <v>0.73</v>
      </c>
      <c r="Z97" s="68">
        <v>0.71</v>
      </c>
      <c r="AA97" s="68">
        <v>0.74</v>
      </c>
      <c r="AB97" s="68">
        <v>0.7</v>
      </c>
      <c r="AC97" s="68">
        <v>0.81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6">F60</f>
        <v>1.4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2.2000000000000002</v>
      </c>
      <c r="M98" s="64">
        <f t="shared" si="26"/>
        <v>0</v>
      </c>
      <c r="N98" s="64">
        <f t="shared" si="26"/>
        <v>0.7</v>
      </c>
      <c r="O98" s="64">
        <f t="shared" si="26"/>
        <v>0</v>
      </c>
      <c r="P98" s="64">
        <f t="shared" si="26"/>
        <v>3.1</v>
      </c>
      <c r="Q98" s="64">
        <f t="shared" si="26"/>
        <v>3.1</v>
      </c>
      <c r="R98" s="64">
        <f t="shared" si="26"/>
        <v>0.8</v>
      </c>
      <c r="S98" s="64">
        <f t="shared" si="26"/>
        <v>0</v>
      </c>
      <c r="T98" s="64">
        <f t="shared" si="26"/>
        <v>1.5</v>
      </c>
      <c r="U98" s="64">
        <f t="shared" si="26"/>
        <v>1.5</v>
      </c>
      <c r="V98" s="64">
        <f t="shared" si="26"/>
        <v>1.5</v>
      </c>
      <c r="W98" s="64">
        <f t="shared" si="26"/>
        <v>0</v>
      </c>
      <c r="X98" s="64">
        <f t="shared" si="26"/>
        <v>0</v>
      </c>
      <c r="Y98" s="64">
        <f t="shared" si="26"/>
        <v>0</v>
      </c>
      <c r="Z98" s="64">
        <f t="shared" si="26"/>
        <v>1.5</v>
      </c>
      <c r="AA98" s="64">
        <f t="shared" si="26"/>
        <v>0</v>
      </c>
      <c r="AB98" s="64">
        <f t="shared" si="26"/>
        <v>0.7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7">F65</f>
        <v>0.89</v>
      </c>
      <c r="G99" s="64">
        <f t="shared" si="27"/>
        <v>0.84</v>
      </c>
      <c r="H99" s="64">
        <f t="shared" si="27"/>
        <v>0.81</v>
      </c>
      <c r="I99" s="64">
        <f t="shared" si="27"/>
        <v>0.8</v>
      </c>
      <c r="J99" s="64">
        <f t="shared" si="27"/>
        <v>0.79</v>
      </c>
      <c r="K99" s="64">
        <f t="shared" si="27"/>
        <v>0.92</v>
      </c>
      <c r="L99" s="64">
        <f t="shared" si="27"/>
        <v>1.05</v>
      </c>
      <c r="M99" s="64">
        <f t="shared" si="27"/>
        <v>1.02</v>
      </c>
      <c r="N99" s="64">
        <f t="shared" si="27"/>
        <v>1.04</v>
      </c>
      <c r="O99" s="64">
        <f t="shared" si="27"/>
        <v>1.22</v>
      </c>
      <c r="P99" s="64">
        <f t="shared" si="27"/>
        <v>1.2</v>
      </c>
      <c r="Q99" s="64">
        <f t="shared" si="27"/>
        <v>0</v>
      </c>
      <c r="R99" s="64">
        <f t="shared" si="27"/>
        <v>1</v>
      </c>
      <c r="S99" s="64">
        <f t="shared" si="27"/>
        <v>1</v>
      </c>
      <c r="T99" s="64">
        <f t="shared" si="27"/>
        <v>1</v>
      </c>
      <c r="U99" s="64">
        <f t="shared" si="27"/>
        <v>1.1100000000000001</v>
      </c>
      <c r="V99" s="64">
        <f t="shared" si="27"/>
        <v>1.1200000000000001</v>
      </c>
      <c r="W99" s="64">
        <f t="shared" si="27"/>
        <v>1</v>
      </c>
      <c r="X99" s="64">
        <f t="shared" si="27"/>
        <v>1.1100000000000001</v>
      </c>
      <c r="Y99" s="64">
        <f t="shared" si="27"/>
        <v>1.25</v>
      </c>
      <c r="Z99" s="64">
        <f t="shared" si="27"/>
        <v>0</v>
      </c>
      <c r="AA99" s="64">
        <f t="shared" si="27"/>
        <v>0.92</v>
      </c>
      <c r="AB99" s="64">
        <f t="shared" si="27"/>
        <v>0.8</v>
      </c>
      <c r="AC99" s="64">
        <f t="shared" si="27"/>
        <v>0.76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9">F80</f>
        <v>0.76</v>
      </c>
      <c r="G101" s="64">
        <f t="shared" si="29"/>
        <v>0.72</v>
      </c>
      <c r="H101" s="64">
        <f t="shared" si="29"/>
        <v>0.71</v>
      </c>
      <c r="I101" s="64">
        <f t="shared" si="29"/>
        <v>0.68</v>
      </c>
      <c r="J101" s="64">
        <f t="shared" si="29"/>
        <v>0.67</v>
      </c>
      <c r="K101" s="64">
        <f t="shared" si="29"/>
        <v>0.7</v>
      </c>
      <c r="L101" s="64">
        <f t="shared" si="29"/>
        <v>0.8</v>
      </c>
      <c r="M101" s="64">
        <f t="shared" si="29"/>
        <v>0.71</v>
      </c>
      <c r="N101" s="64">
        <f t="shared" si="29"/>
        <v>0.72</v>
      </c>
      <c r="O101" s="64">
        <f t="shared" si="29"/>
        <v>0</v>
      </c>
      <c r="P101" s="64">
        <f t="shared" si="29"/>
        <v>0.67</v>
      </c>
      <c r="Q101" s="64">
        <f t="shared" si="29"/>
        <v>0.66</v>
      </c>
      <c r="R101" s="64">
        <f t="shared" si="29"/>
        <v>0.65</v>
      </c>
      <c r="S101" s="64">
        <f t="shared" si="29"/>
        <v>0.6</v>
      </c>
      <c r="T101" s="64">
        <f t="shared" si="29"/>
        <v>0.61</v>
      </c>
      <c r="U101" s="64">
        <f t="shared" si="29"/>
        <v>0.56000000000000005</v>
      </c>
      <c r="V101" s="64">
        <f t="shared" si="29"/>
        <v>0.55000000000000004</v>
      </c>
      <c r="W101" s="64">
        <f t="shared" si="29"/>
        <v>0.56999999999999995</v>
      </c>
      <c r="X101" s="64">
        <f t="shared" si="29"/>
        <v>0.68</v>
      </c>
      <c r="Y101" s="64">
        <f t="shared" si="29"/>
        <v>0.62</v>
      </c>
      <c r="Z101" s="64">
        <f t="shared" si="29"/>
        <v>0.85</v>
      </c>
      <c r="AA101" s="64">
        <f t="shared" si="29"/>
        <v>0.81</v>
      </c>
      <c r="AB101" s="64">
        <f t="shared" si="29"/>
        <v>0.83</v>
      </c>
      <c r="AC101" s="64">
        <f t="shared" si="29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1">SUM(F89,F91,F93,F96,F98:F102,F81)</f>
        <v>41.319999999999993</v>
      </c>
      <c r="G103" s="61">
        <f t="shared" si="31"/>
        <v>38.74</v>
      </c>
      <c r="H103" s="61">
        <f t="shared" si="31"/>
        <v>35.200000000000003</v>
      </c>
      <c r="I103" s="61">
        <f t="shared" si="31"/>
        <v>36.569999999999993</v>
      </c>
      <c r="J103" s="61">
        <f t="shared" si="31"/>
        <v>36.53</v>
      </c>
      <c r="K103" s="61">
        <f t="shared" si="31"/>
        <v>38.590000000000003</v>
      </c>
      <c r="L103" s="61">
        <f t="shared" si="31"/>
        <v>42.209999999999994</v>
      </c>
      <c r="M103" s="61">
        <f t="shared" si="31"/>
        <v>39.79</v>
      </c>
      <c r="N103" s="61">
        <f t="shared" si="31"/>
        <v>45.839999999999996</v>
      </c>
      <c r="O103" s="61">
        <f t="shared" si="31"/>
        <v>48.38</v>
      </c>
      <c r="P103" s="61">
        <f t="shared" si="31"/>
        <v>56.510000000000005</v>
      </c>
      <c r="Q103" s="61">
        <f t="shared" si="31"/>
        <v>57.63</v>
      </c>
      <c r="R103" s="61">
        <f t="shared" si="31"/>
        <v>55.4</v>
      </c>
      <c r="S103" s="61">
        <f t="shared" si="31"/>
        <v>52.89</v>
      </c>
      <c r="T103" s="61">
        <f t="shared" si="31"/>
        <v>51.4</v>
      </c>
      <c r="U103" s="61">
        <f t="shared" si="31"/>
        <v>52.239999999999995</v>
      </c>
      <c r="V103" s="61">
        <f t="shared" si="31"/>
        <v>52.039999999999985</v>
      </c>
      <c r="W103" s="61">
        <f t="shared" si="31"/>
        <v>50.439999999999991</v>
      </c>
      <c r="X103" s="61">
        <f t="shared" si="31"/>
        <v>48.82</v>
      </c>
      <c r="Y103" s="61">
        <f t="shared" si="31"/>
        <v>53.739999999999988</v>
      </c>
      <c r="Z103" s="61">
        <f t="shared" si="31"/>
        <v>49.54</v>
      </c>
      <c r="AA103" s="61">
        <f t="shared" si="31"/>
        <v>46.49</v>
      </c>
      <c r="AB103" s="61">
        <f t="shared" si="31"/>
        <v>40.729999999999997</v>
      </c>
      <c r="AC103" s="61">
        <f t="shared" si="31"/>
        <v>38.04999999999999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0.3</v>
      </c>
      <c r="P105" s="76">
        <v>0.3</v>
      </c>
      <c r="Q105" s="76">
        <v>0.3</v>
      </c>
      <c r="R105" s="76">
        <v>0.3</v>
      </c>
      <c r="S105" s="76">
        <v>0.3</v>
      </c>
      <c r="T105" s="76">
        <v>0.3</v>
      </c>
      <c r="U105" s="76">
        <v>0.3</v>
      </c>
      <c r="V105" s="76">
        <v>0.3</v>
      </c>
      <c r="W105" s="76">
        <v>0.3</v>
      </c>
      <c r="X105" s="76">
        <v>0.3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>
        <f>0.72+1.36</f>
        <v>2.08</v>
      </c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>
        <v>1.25</v>
      </c>
      <c r="AA106" s="76"/>
      <c r="AB106" s="76">
        <v>0.56000000000000005</v>
      </c>
      <c r="AC106" s="76">
        <v>0.56000000000000005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0</v>
      </c>
      <c r="N107" s="61">
        <f t="shared" si="32"/>
        <v>0</v>
      </c>
      <c r="O107" s="61">
        <f t="shared" si="32"/>
        <v>2.38</v>
      </c>
      <c r="P107" s="61">
        <f t="shared" si="32"/>
        <v>0.3</v>
      </c>
      <c r="Q107" s="61">
        <f t="shared" si="32"/>
        <v>0.3</v>
      </c>
      <c r="R107" s="61">
        <f t="shared" si="32"/>
        <v>0.3</v>
      </c>
      <c r="S107" s="61">
        <f t="shared" si="32"/>
        <v>0.3</v>
      </c>
      <c r="T107" s="61">
        <f t="shared" si="32"/>
        <v>0.3</v>
      </c>
      <c r="U107" s="61">
        <f t="shared" si="32"/>
        <v>0.3</v>
      </c>
      <c r="V107" s="61">
        <f t="shared" si="32"/>
        <v>0.3</v>
      </c>
      <c r="W107" s="61">
        <f t="shared" si="32"/>
        <v>0.3</v>
      </c>
      <c r="X107" s="61">
        <f t="shared" si="32"/>
        <v>0.3</v>
      </c>
      <c r="Y107" s="61">
        <f t="shared" si="32"/>
        <v>0</v>
      </c>
      <c r="Z107" s="61">
        <f t="shared" si="32"/>
        <v>1.25</v>
      </c>
      <c r="AA107" s="61">
        <f t="shared" si="32"/>
        <v>0</v>
      </c>
      <c r="AB107" s="61">
        <f t="shared" si="32"/>
        <v>0.56000000000000005</v>
      </c>
      <c r="AC107" s="61">
        <f t="shared" si="32"/>
        <v>0.56000000000000005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3">F103+F107</f>
        <v>41.319999999999993</v>
      </c>
      <c r="G108" s="62">
        <f t="shared" si="33"/>
        <v>38.74</v>
      </c>
      <c r="H108" s="62">
        <f t="shared" si="33"/>
        <v>35.200000000000003</v>
      </c>
      <c r="I108" s="62">
        <f t="shared" si="33"/>
        <v>36.569999999999993</v>
      </c>
      <c r="J108" s="62">
        <f t="shared" si="33"/>
        <v>36.53</v>
      </c>
      <c r="K108" s="62">
        <f t="shared" si="33"/>
        <v>38.590000000000003</v>
      </c>
      <c r="L108" s="62">
        <f t="shared" si="33"/>
        <v>42.209999999999994</v>
      </c>
      <c r="M108" s="62">
        <f t="shared" si="33"/>
        <v>39.79</v>
      </c>
      <c r="N108" s="62">
        <f>N103+N107</f>
        <v>45.839999999999996</v>
      </c>
      <c r="O108" s="62">
        <f t="shared" si="33"/>
        <v>50.760000000000005</v>
      </c>
      <c r="P108" s="62">
        <f>P103+P107</f>
        <v>56.81</v>
      </c>
      <c r="Q108" s="62">
        <f t="shared" si="33"/>
        <v>57.93</v>
      </c>
      <c r="R108" s="62">
        <f t="shared" si="33"/>
        <v>55.699999999999996</v>
      </c>
      <c r="S108" s="62">
        <f t="shared" si="33"/>
        <v>53.19</v>
      </c>
      <c r="T108" s="62">
        <f>T103+T107</f>
        <v>51.699999999999996</v>
      </c>
      <c r="U108" s="62">
        <f t="shared" si="33"/>
        <v>52.539999999999992</v>
      </c>
      <c r="V108" s="62">
        <f t="shared" si="33"/>
        <v>52.339999999999982</v>
      </c>
      <c r="W108" s="62">
        <f>W103+W107</f>
        <v>50.739999999999988</v>
      </c>
      <c r="X108" s="62">
        <f t="shared" si="33"/>
        <v>49.12</v>
      </c>
      <c r="Y108" s="62">
        <f t="shared" si="33"/>
        <v>53.739999999999988</v>
      </c>
      <c r="Z108" s="62">
        <f t="shared" si="33"/>
        <v>50.79</v>
      </c>
      <c r="AA108" s="62">
        <f t="shared" si="33"/>
        <v>46.49</v>
      </c>
      <c r="AB108" s="62">
        <f t="shared" si="33"/>
        <v>41.29</v>
      </c>
      <c r="AC108" s="62">
        <f t="shared" si="33"/>
        <v>38.609999999999992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4">(COUNT(F13:F16))*7.2+(COUNT(F27:F28)*4.9)+(COUNT(F19:F21)*4.5)-F91-F93</f>
        <v>-4.6999999999999993</v>
      </c>
      <c r="G109" s="63">
        <f t="shared" si="34"/>
        <v>-3.5999999999999979</v>
      </c>
      <c r="H109" s="63">
        <f t="shared" si="34"/>
        <v>-9.9999999999999645E-2</v>
      </c>
      <c r="I109" s="63">
        <f t="shared" si="34"/>
        <v>-6.43</v>
      </c>
      <c r="J109" s="63">
        <f t="shared" si="34"/>
        <v>-6.4</v>
      </c>
      <c r="K109" s="63">
        <f t="shared" si="34"/>
        <v>-3.3999999999999986</v>
      </c>
      <c r="L109" s="63">
        <f t="shared" si="34"/>
        <v>-4.5999999999999979</v>
      </c>
      <c r="M109" s="63">
        <f t="shared" si="34"/>
        <v>-4.4999999999999982</v>
      </c>
      <c r="N109" s="63">
        <f t="shared" si="34"/>
        <v>4.9000000000000021</v>
      </c>
      <c r="O109" s="63">
        <f t="shared" si="34"/>
        <v>4.2000000000000011</v>
      </c>
      <c r="P109" s="63">
        <f t="shared" si="34"/>
        <v>1.4000000000000004</v>
      </c>
      <c r="Q109" s="63">
        <f t="shared" si="34"/>
        <v>-0.89999999999999858</v>
      </c>
      <c r="R109" s="63">
        <f t="shared" si="34"/>
        <v>-0.19999999999999929</v>
      </c>
      <c r="S109" s="63">
        <f t="shared" si="34"/>
        <v>1.3000000000000007</v>
      </c>
      <c r="T109" s="63">
        <f t="shared" si="34"/>
        <v>4.5</v>
      </c>
      <c r="U109" s="63">
        <f t="shared" si="34"/>
        <v>3.9000000000000004</v>
      </c>
      <c r="V109" s="63">
        <f t="shared" si="34"/>
        <v>4.0999999999999996</v>
      </c>
      <c r="W109" s="63">
        <f t="shared" si="34"/>
        <v>4.0999999999999996</v>
      </c>
      <c r="X109" s="63">
        <f t="shared" si="34"/>
        <v>4.3000000000000007</v>
      </c>
      <c r="Y109" s="63">
        <f t="shared" si="34"/>
        <v>8.3000000000000007</v>
      </c>
      <c r="Z109" s="63">
        <f t="shared" si="34"/>
        <v>0.90000000000000213</v>
      </c>
      <c r="AA109" s="63">
        <f t="shared" si="34"/>
        <v>-3.9999999999999964</v>
      </c>
      <c r="AB109" s="63">
        <f t="shared" si="34"/>
        <v>-4.7999999999999972</v>
      </c>
      <c r="AC109" s="63">
        <f t="shared" si="34"/>
        <v>-2.9999999999999982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-6.1</v>
      </c>
      <c r="G110" s="205">
        <f t="shared" si="35"/>
        <v>-4.9999999999999982</v>
      </c>
      <c r="H110" s="205">
        <f t="shared" si="35"/>
        <v>-1.5</v>
      </c>
      <c r="I110" s="205">
        <f t="shared" si="35"/>
        <v>-6.43</v>
      </c>
      <c r="J110" s="205">
        <f t="shared" si="35"/>
        <v>-6.4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-3.3999999999999986</v>
      </c>
      <c r="L110" s="205">
        <f t="shared" si="35"/>
        <v>-4.5999999999999979</v>
      </c>
      <c r="M110" s="205">
        <f t="shared" si="35"/>
        <v>-4.4999999999999982</v>
      </c>
      <c r="N110" s="205">
        <f t="shared" si="35"/>
        <v>1.9000000000000039</v>
      </c>
      <c r="O110" s="205">
        <f t="shared" si="35"/>
        <v>-1.0999999999999988</v>
      </c>
      <c r="P110" s="205">
        <f t="shared" si="35"/>
        <v>-5.4999999999999991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-7.7999999999999989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-7.2999999999999989</v>
      </c>
      <c r="S110" s="205">
        <f t="shared" si="36"/>
        <v>-5.6</v>
      </c>
      <c r="T110" s="205">
        <f t="shared" si="36"/>
        <v>-2.6000000000000005</v>
      </c>
      <c r="U110" s="205">
        <f t="shared" si="36"/>
        <v>-3.3999999999999995</v>
      </c>
      <c r="V110" s="205">
        <f t="shared" si="36"/>
        <v>-3.2</v>
      </c>
      <c r="W110" s="205">
        <f t="shared" si="36"/>
        <v>-3.2</v>
      </c>
      <c r="X110" s="205">
        <f t="shared" si="36"/>
        <v>-1.3999999999999995</v>
      </c>
      <c r="Y110" s="205">
        <f t="shared" si="36"/>
        <v>1.0000000000000027</v>
      </c>
      <c r="Z110" s="205">
        <f t="shared" si="36"/>
        <v>-3.2999999999999963</v>
      </c>
      <c r="AA110" s="205">
        <f t="shared" si="36"/>
        <v>-4.399999999999995</v>
      </c>
      <c r="AB110" s="205">
        <f t="shared" si="36"/>
        <v>-5.1999999999999975</v>
      </c>
      <c r="AC110" s="205">
        <f t="shared" si="36"/>
        <v>-3.3999999999999986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60.18</v>
      </c>
      <c r="G111" s="456">
        <v>60.08</v>
      </c>
      <c r="H111" s="456">
        <v>60.14</v>
      </c>
      <c r="I111" s="456">
        <v>60.08</v>
      </c>
      <c r="J111" s="456">
        <v>60.11</v>
      </c>
      <c r="K111" s="456">
        <v>60.19</v>
      </c>
      <c r="L111" s="456">
        <v>60.12</v>
      </c>
      <c r="M111" s="456">
        <v>60.17</v>
      </c>
      <c r="N111" s="456">
        <v>60.07</v>
      </c>
      <c r="O111" s="456">
        <v>60.17</v>
      </c>
      <c r="P111" s="457">
        <v>60.17</v>
      </c>
      <c r="Q111" s="457">
        <v>60.12</v>
      </c>
      <c r="R111" s="457">
        <v>60.18</v>
      </c>
      <c r="S111" s="457">
        <v>60.17</v>
      </c>
      <c r="T111" s="457">
        <v>60.17</v>
      </c>
      <c r="U111" s="456">
        <v>60.11</v>
      </c>
      <c r="V111" s="456">
        <v>60.12</v>
      </c>
      <c r="W111" s="456">
        <v>60.19</v>
      </c>
      <c r="X111" s="456">
        <v>60.16</v>
      </c>
      <c r="Y111" s="456">
        <v>60.18</v>
      </c>
      <c r="Z111" s="456">
        <v>60.14</v>
      </c>
      <c r="AA111" s="456">
        <v>60.09</v>
      </c>
      <c r="AB111" s="456">
        <v>60.09</v>
      </c>
      <c r="AC111" s="456">
        <v>60.09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 t="s">
        <v>103</v>
      </c>
      <c r="L115" s="520" t="s">
        <v>103</v>
      </c>
      <c r="M115" s="520" t="s">
        <v>101</v>
      </c>
      <c r="N115" s="520" t="s">
        <v>100</v>
      </c>
      <c r="O115" s="520" t="s">
        <v>100</v>
      </c>
      <c r="P115" s="520" t="s">
        <v>100</v>
      </c>
      <c r="Q115" s="520" t="s">
        <v>109</v>
      </c>
      <c r="R115" s="520" t="s">
        <v>103</v>
      </c>
      <c r="S115" s="520" t="s">
        <v>104</v>
      </c>
      <c r="T115" s="520" t="s">
        <v>104</v>
      </c>
      <c r="U115" s="520" t="s">
        <v>109</v>
      </c>
      <c r="V115" s="520" t="s">
        <v>109</v>
      </c>
      <c r="W115" s="520" t="s">
        <v>109</v>
      </c>
      <c r="X115" s="520" t="s">
        <v>109</v>
      </c>
      <c r="Y115" s="520" t="s">
        <v>100</v>
      </c>
      <c r="Z115" s="520" t="s">
        <v>100</v>
      </c>
      <c r="AA115" s="520" t="s">
        <v>100</v>
      </c>
      <c r="AB115" s="520" t="s">
        <v>109</v>
      </c>
      <c r="AC115" s="520" t="s">
        <v>100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10358" priority="738" operator="greaterThan">
      <formula>60.3</formula>
    </cfRule>
  </conditionalFormatting>
  <conditionalFormatting sqref="F111">
    <cfRule type="cellIs" dxfId="10357" priority="737" operator="greaterThan">
      <formula>60.3</formula>
    </cfRule>
  </conditionalFormatting>
  <conditionalFormatting sqref="H13:J13 N13:O13 D42:E42 N36:AC39 N57:AC59 O14:O16 L51:M55 L36:L50 N41:AC46 H36:J59 I15:N15 I16:L16 N16 L13:L14 O52:AA55 H14:K14 AB52:AC56 P63:S63 P13:AC16 P40:AC40 L56:L59 H62:L64 L50:P50 P62:AC62 R64:S64 P47:AC51 P56:AA56 T63:AC64">
    <cfRule type="cellIs" dxfId="10356" priority="729" operator="equal">
      <formula>"PMS"</formula>
    </cfRule>
    <cfRule type="containsText" dxfId="10355" priority="730" operator="containsText" text="CMS">
      <formula>NOT(ISERROR(SEARCH("CMS",D13)))</formula>
    </cfRule>
    <cfRule type="cellIs" dxfId="10354" priority="731" operator="equal">
      <formula>0</formula>
    </cfRule>
    <cfRule type="cellIs" dxfId="10353" priority="732" operator="greaterThan">
      <formula>0</formula>
    </cfRule>
    <cfRule type="cellIs" dxfId="10352" priority="733" operator="equal">
      <formula>"PMS"</formula>
    </cfRule>
    <cfRule type="containsText" dxfId="10351" priority="734" operator="containsText" text="CMS">
      <formula>NOT(ISERROR(SEARCH("CMS",D13)))</formula>
    </cfRule>
    <cfRule type="cellIs" dxfId="10350" priority="735" operator="equal">
      <formula>0</formula>
    </cfRule>
    <cfRule type="cellIs" dxfId="10349" priority="736" operator="greaterThan">
      <formula>0</formula>
    </cfRule>
  </conditionalFormatting>
  <conditionalFormatting sqref="H13:J13 N13:O13 D42:E42 N36:AC39 N57:AC59 O14:O16 L51:M55 L36:L50 N41:AC46 H36:J59 I15:N15 I16:L16 N16 L13:L14 O52:AA55 H14:K14 AB52:AC56 P63:S63 P13:AC16 P40:AC40 L56:L59 H62:L64 L50:P50 P62:AC62 R64:S64 P47:AC51 P56:AA56 T63:AC64">
    <cfRule type="cellIs" dxfId="10348" priority="725" operator="equal">
      <formula>"PMS"</formula>
    </cfRule>
    <cfRule type="containsText" dxfId="10347" priority="726" operator="containsText" text="CMS">
      <formula>NOT(ISERROR(SEARCH("CMS",D13)))</formula>
    </cfRule>
    <cfRule type="cellIs" dxfId="10346" priority="727" operator="equal">
      <formula>0</formula>
    </cfRule>
    <cfRule type="cellIs" dxfId="10345" priority="728" operator="greaterThan">
      <formula>0</formula>
    </cfRule>
  </conditionalFormatting>
  <conditionalFormatting sqref="G67:AC75">
    <cfRule type="cellIs" dxfId="10344" priority="717" operator="equal">
      <formula>"PMS"</formula>
    </cfRule>
    <cfRule type="containsText" dxfId="10343" priority="718" operator="containsText" text="CMS">
      <formula>NOT(ISERROR(SEARCH("CMS",G67)))</formula>
    </cfRule>
    <cfRule type="cellIs" dxfId="10342" priority="719" operator="equal">
      <formula>0</formula>
    </cfRule>
    <cfRule type="cellIs" dxfId="10341" priority="720" operator="greaterThan">
      <formula>0</formula>
    </cfRule>
    <cfRule type="cellIs" dxfId="10340" priority="721" operator="equal">
      <formula>"PMS"</formula>
    </cfRule>
    <cfRule type="containsText" dxfId="10339" priority="722" operator="containsText" text="CMS">
      <formula>NOT(ISERROR(SEARCH("CMS",G67)))</formula>
    </cfRule>
    <cfRule type="cellIs" dxfId="10338" priority="723" operator="equal">
      <formula>0</formula>
    </cfRule>
    <cfRule type="cellIs" dxfId="10337" priority="724" operator="greaterThan">
      <formula>0</formula>
    </cfRule>
  </conditionalFormatting>
  <conditionalFormatting sqref="G67:AC75">
    <cfRule type="cellIs" dxfId="10336" priority="713" operator="equal">
      <formula>"PMS"</formula>
    </cfRule>
    <cfRule type="containsText" dxfId="10335" priority="714" operator="containsText" text="CMS">
      <formula>NOT(ISERROR(SEARCH("CMS",G67)))</formula>
    </cfRule>
    <cfRule type="cellIs" dxfId="10334" priority="715" operator="equal">
      <formula>0</formula>
    </cfRule>
    <cfRule type="cellIs" dxfId="10333" priority="716" operator="greaterThan">
      <formula>0</formula>
    </cfRule>
  </conditionalFormatting>
  <conditionalFormatting sqref="G82:AC82">
    <cfRule type="cellIs" dxfId="10332" priority="705" operator="equal">
      <formula>"PMS"</formula>
    </cfRule>
    <cfRule type="containsText" dxfId="10331" priority="706" operator="containsText" text="CMS">
      <formula>NOT(ISERROR(SEARCH("CMS",G82)))</formula>
    </cfRule>
    <cfRule type="cellIs" dxfId="10330" priority="707" operator="equal">
      <formula>0</formula>
    </cfRule>
    <cfRule type="cellIs" dxfId="10329" priority="708" operator="greaterThan">
      <formula>0</formula>
    </cfRule>
    <cfRule type="cellIs" dxfId="10328" priority="709" operator="equal">
      <formula>"PMS"</formula>
    </cfRule>
    <cfRule type="containsText" dxfId="10327" priority="710" operator="containsText" text="CMS">
      <formula>NOT(ISERROR(SEARCH("CMS",G82)))</formula>
    </cfRule>
    <cfRule type="cellIs" dxfId="10326" priority="711" operator="equal">
      <formula>0</formula>
    </cfRule>
    <cfRule type="cellIs" dxfId="10325" priority="712" operator="greaterThan">
      <formula>0</formula>
    </cfRule>
  </conditionalFormatting>
  <conditionalFormatting sqref="G82:AC82">
    <cfRule type="cellIs" dxfId="10324" priority="701" operator="equal">
      <formula>"PMS"</formula>
    </cfRule>
    <cfRule type="containsText" dxfId="10323" priority="702" operator="containsText" text="CMS">
      <formula>NOT(ISERROR(SEARCH("CMS",G82)))</formula>
    </cfRule>
    <cfRule type="cellIs" dxfId="10322" priority="703" operator="equal">
      <formula>0</formula>
    </cfRule>
    <cfRule type="cellIs" dxfId="10321" priority="704" operator="greaterThan">
      <formula>0</formula>
    </cfRule>
  </conditionalFormatting>
  <conditionalFormatting sqref="G13">
    <cfRule type="cellIs" dxfId="10320" priority="693" operator="equal">
      <formula>"PMS"</formula>
    </cfRule>
    <cfRule type="containsText" dxfId="10319" priority="694" operator="containsText" text="CMS">
      <formula>NOT(ISERROR(SEARCH("CMS",G13)))</formula>
    </cfRule>
    <cfRule type="cellIs" dxfId="10318" priority="695" operator="equal">
      <formula>0</formula>
    </cfRule>
    <cfRule type="cellIs" dxfId="10317" priority="696" operator="greaterThan">
      <formula>0</formula>
    </cfRule>
    <cfRule type="cellIs" dxfId="10316" priority="697" operator="equal">
      <formula>"PMS"</formula>
    </cfRule>
    <cfRule type="containsText" dxfId="10315" priority="698" operator="containsText" text="CMS">
      <formula>NOT(ISERROR(SEARCH("CMS",G13)))</formula>
    </cfRule>
    <cfRule type="cellIs" dxfId="10314" priority="699" operator="equal">
      <formula>0</formula>
    </cfRule>
    <cfRule type="cellIs" dxfId="10313" priority="700" operator="greaterThan">
      <formula>0</formula>
    </cfRule>
  </conditionalFormatting>
  <conditionalFormatting sqref="G13">
    <cfRule type="cellIs" dxfId="10312" priority="689" operator="equal">
      <formula>"PMS"</formula>
    </cfRule>
    <cfRule type="containsText" dxfId="10311" priority="690" operator="containsText" text="CMS">
      <formula>NOT(ISERROR(SEARCH("CMS",G13)))</formula>
    </cfRule>
    <cfRule type="cellIs" dxfId="10310" priority="691" operator="equal">
      <formula>0</formula>
    </cfRule>
    <cfRule type="cellIs" dxfId="10309" priority="692" operator="greaterThan">
      <formula>0</formula>
    </cfRule>
  </conditionalFormatting>
  <conditionalFormatting sqref="M13">
    <cfRule type="cellIs" dxfId="10308" priority="681" operator="equal">
      <formula>"PMS"</formula>
    </cfRule>
    <cfRule type="containsText" dxfId="10307" priority="682" operator="containsText" text="CMS">
      <formula>NOT(ISERROR(SEARCH("CMS",M13)))</formula>
    </cfRule>
    <cfRule type="cellIs" dxfId="10306" priority="683" operator="equal">
      <formula>0</formula>
    </cfRule>
    <cfRule type="cellIs" dxfId="10305" priority="684" operator="greaterThan">
      <formula>0</formula>
    </cfRule>
    <cfRule type="cellIs" dxfId="10304" priority="685" operator="equal">
      <formula>"PMS"</formula>
    </cfRule>
    <cfRule type="containsText" dxfId="10303" priority="686" operator="containsText" text="CMS">
      <formula>NOT(ISERROR(SEARCH("CMS",M13)))</formula>
    </cfRule>
    <cfRule type="cellIs" dxfId="10302" priority="687" operator="equal">
      <formula>0</formula>
    </cfRule>
    <cfRule type="cellIs" dxfId="10301" priority="688" operator="greaterThan">
      <formula>0</formula>
    </cfRule>
  </conditionalFormatting>
  <conditionalFormatting sqref="M13">
    <cfRule type="cellIs" dxfId="10300" priority="677" operator="equal">
      <formula>"PMS"</formula>
    </cfRule>
    <cfRule type="containsText" dxfId="10299" priority="678" operator="containsText" text="CMS">
      <formula>NOT(ISERROR(SEARCH("CMS",M13)))</formula>
    </cfRule>
    <cfRule type="cellIs" dxfId="10298" priority="679" operator="equal">
      <formula>0</formula>
    </cfRule>
    <cfRule type="cellIs" dxfId="10297" priority="680" operator="greaterThan">
      <formula>0</formula>
    </cfRule>
  </conditionalFormatting>
  <conditionalFormatting sqref="K13">
    <cfRule type="cellIs" dxfId="10296" priority="669" operator="equal">
      <formula>"PMS"</formula>
    </cfRule>
    <cfRule type="containsText" dxfId="10295" priority="670" operator="containsText" text="CMS">
      <formula>NOT(ISERROR(SEARCH("CMS",K13)))</formula>
    </cfRule>
    <cfRule type="cellIs" dxfId="10294" priority="671" operator="equal">
      <formula>0</formula>
    </cfRule>
    <cfRule type="cellIs" dxfId="10293" priority="672" operator="greaterThan">
      <formula>0</formula>
    </cfRule>
    <cfRule type="cellIs" dxfId="10292" priority="673" operator="equal">
      <formula>"PMS"</formula>
    </cfRule>
    <cfRule type="containsText" dxfId="10291" priority="674" operator="containsText" text="CMS">
      <formula>NOT(ISERROR(SEARCH("CMS",K13)))</formula>
    </cfRule>
    <cfRule type="cellIs" dxfId="10290" priority="675" operator="equal">
      <formula>0</formula>
    </cfRule>
    <cfRule type="cellIs" dxfId="10289" priority="676" operator="greaterThan">
      <formula>0</formula>
    </cfRule>
  </conditionalFormatting>
  <conditionalFormatting sqref="K13">
    <cfRule type="cellIs" dxfId="10288" priority="665" operator="equal">
      <formula>"PMS"</formula>
    </cfRule>
    <cfRule type="containsText" dxfId="10287" priority="666" operator="containsText" text="CMS">
      <formula>NOT(ISERROR(SEARCH("CMS",K13)))</formula>
    </cfRule>
    <cfRule type="cellIs" dxfId="10286" priority="667" operator="equal">
      <formula>0</formula>
    </cfRule>
    <cfRule type="cellIs" dxfId="10285" priority="668" operator="greaterThan">
      <formula>0</formula>
    </cfRule>
  </conditionalFormatting>
  <conditionalFormatting sqref="G113:AC113">
    <cfRule type="cellIs" dxfId="10284" priority="664" operator="greaterThan">
      <formula>60.3</formula>
    </cfRule>
  </conditionalFormatting>
  <conditionalFormatting sqref="H112:M112">
    <cfRule type="cellIs" dxfId="10283" priority="663" operator="greaterThan">
      <formula>60.3</formula>
    </cfRule>
  </conditionalFormatting>
  <conditionalFormatting sqref="F112:G112">
    <cfRule type="cellIs" dxfId="10282" priority="662" operator="greaterThan">
      <formula>60.3</formula>
    </cfRule>
  </conditionalFormatting>
  <conditionalFormatting sqref="N112:AC112">
    <cfRule type="cellIs" dxfId="10281" priority="661" operator="greaterThan">
      <formula>60.3</formula>
    </cfRule>
  </conditionalFormatting>
  <conditionalFormatting sqref="G15:G16">
    <cfRule type="cellIs" dxfId="10280" priority="653" operator="equal">
      <formula>"PMS"</formula>
    </cfRule>
    <cfRule type="containsText" dxfId="10279" priority="654" operator="containsText" text="CMS">
      <formula>NOT(ISERROR(SEARCH("CMS",G15)))</formula>
    </cfRule>
    <cfRule type="cellIs" dxfId="10278" priority="655" operator="equal">
      <formula>0</formula>
    </cfRule>
    <cfRule type="cellIs" dxfId="10277" priority="656" operator="greaterThan">
      <formula>0</formula>
    </cfRule>
    <cfRule type="cellIs" dxfId="10276" priority="657" operator="equal">
      <formula>"PMS"</formula>
    </cfRule>
    <cfRule type="containsText" dxfId="10275" priority="658" operator="containsText" text="CMS">
      <formula>NOT(ISERROR(SEARCH("CMS",G15)))</formula>
    </cfRule>
    <cfRule type="cellIs" dxfId="10274" priority="659" operator="equal">
      <formula>0</formula>
    </cfRule>
    <cfRule type="cellIs" dxfId="10273" priority="660" operator="greaterThan">
      <formula>0</formula>
    </cfRule>
  </conditionalFormatting>
  <conditionalFormatting sqref="G15:G16">
    <cfRule type="cellIs" dxfId="10272" priority="649" operator="equal">
      <formula>"PMS"</formula>
    </cfRule>
    <cfRule type="containsText" dxfId="10271" priority="650" operator="containsText" text="CMS">
      <formula>NOT(ISERROR(SEARCH("CMS",G15)))</formula>
    </cfRule>
    <cfRule type="cellIs" dxfId="10270" priority="651" operator="equal">
      <formula>0</formula>
    </cfRule>
    <cfRule type="cellIs" dxfId="10269" priority="652" operator="greaterThan">
      <formula>0</formula>
    </cfRule>
  </conditionalFormatting>
  <conditionalFormatting sqref="H16">
    <cfRule type="cellIs" dxfId="10268" priority="641" operator="equal">
      <formula>"PMS"</formula>
    </cfRule>
    <cfRule type="containsText" dxfId="10267" priority="642" operator="containsText" text="CMS">
      <formula>NOT(ISERROR(SEARCH("CMS",H16)))</formula>
    </cfRule>
    <cfRule type="cellIs" dxfId="10266" priority="643" operator="equal">
      <formula>0</formula>
    </cfRule>
    <cfRule type="cellIs" dxfId="10265" priority="644" operator="greaterThan">
      <formula>0</formula>
    </cfRule>
    <cfRule type="cellIs" dxfId="10264" priority="645" operator="equal">
      <formula>"PMS"</formula>
    </cfRule>
    <cfRule type="containsText" dxfId="10263" priority="646" operator="containsText" text="CMS">
      <formula>NOT(ISERROR(SEARCH("CMS",H16)))</formula>
    </cfRule>
    <cfRule type="cellIs" dxfId="10262" priority="647" operator="equal">
      <formula>0</formula>
    </cfRule>
    <cfRule type="cellIs" dxfId="10261" priority="648" operator="greaterThan">
      <formula>0</formula>
    </cfRule>
  </conditionalFormatting>
  <conditionalFormatting sqref="H16">
    <cfRule type="cellIs" dxfId="10260" priority="637" operator="equal">
      <formula>"PMS"</formula>
    </cfRule>
    <cfRule type="containsText" dxfId="10259" priority="638" operator="containsText" text="CMS">
      <formula>NOT(ISERROR(SEARCH("CMS",H16)))</formula>
    </cfRule>
    <cfRule type="cellIs" dxfId="10258" priority="639" operator="equal">
      <formula>0</formula>
    </cfRule>
    <cfRule type="cellIs" dxfId="10257" priority="640" operator="greaterThan">
      <formula>0</formula>
    </cfRule>
  </conditionalFormatting>
  <conditionalFormatting sqref="G36:G38 G57:G59">
    <cfRule type="cellIs" dxfId="10256" priority="629" operator="equal">
      <formula>"PMS"</formula>
    </cfRule>
    <cfRule type="containsText" dxfId="10255" priority="630" operator="containsText" text="CMS">
      <formula>NOT(ISERROR(SEARCH("CMS",G36)))</formula>
    </cfRule>
    <cfRule type="cellIs" dxfId="10254" priority="631" operator="equal">
      <formula>0</formula>
    </cfRule>
    <cfRule type="cellIs" dxfId="10253" priority="632" operator="greaterThan">
      <formula>0</formula>
    </cfRule>
    <cfRule type="cellIs" dxfId="10252" priority="633" operator="equal">
      <formula>"PMS"</formula>
    </cfRule>
    <cfRule type="containsText" dxfId="10251" priority="634" operator="containsText" text="CMS">
      <formula>NOT(ISERROR(SEARCH("CMS",G36)))</formula>
    </cfRule>
    <cfRule type="cellIs" dxfId="10250" priority="635" operator="equal">
      <formula>0</formula>
    </cfRule>
    <cfRule type="cellIs" dxfId="10249" priority="636" operator="greaterThan">
      <formula>0</formula>
    </cfRule>
  </conditionalFormatting>
  <conditionalFormatting sqref="G36:G38 G57:G59">
    <cfRule type="cellIs" dxfId="10248" priority="625" operator="equal">
      <formula>"PMS"</formula>
    </cfRule>
    <cfRule type="containsText" dxfId="10247" priority="626" operator="containsText" text="CMS">
      <formula>NOT(ISERROR(SEARCH("CMS",G36)))</formula>
    </cfRule>
    <cfRule type="cellIs" dxfId="10246" priority="627" operator="equal">
      <formula>0</formula>
    </cfRule>
    <cfRule type="cellIs" dxfId="10245" priority="628" operator="greaterThan">
      <formula>0</formula>
    </cfRule>
  </conditionalFormatting>
  <conditionalFormatting sqref="M36:M38 M57:M59">
    <cfRule type="cellIs" dxfId="10244" priority="617" operator="equal">
      <formula>"PMS"</formula>
    </cfRule>
    <cfRule type="containsText" dxfId="10243" priority="618" operator="containsText" text="CMS">
      <formula>NOT(ISERROR(SEARCH("CMS",M36)))</formula>
    </cfRule>
    <cfRule type="cellIs" dxfId="10242" priority="619" operator="equal">
      <formula>0</formula>
    </cfRule>
    <cfRule type="cellIs" dxfId="10241" priority="620" operator="greaterThan">
      <formula>0</formula>
    </cfRule>
    <cfRule type="cellIs" dxfId="10240" priority="621" operator="equal">
      <formula>"PMS"</formula>
    </cfRule>
    <cfRule type="containsText" dxfId="10239" priority="622" operator="containsText" text="CMS">
      <formula>NOT(ISERROR(SEARCH("CMS",M36)))</formula>
    </cfRule>
    <cfRule type="cellIs" dxfId="10238" priority="623" operator="equal">
      <formula>0</formula>
    </cfRule>
    <cfRule type="cellIs" dxfId="10237" priority="624" operator="greaterThan">
      <formula>0</formula>
    </cfRule>
  </conditionalFormatting>
  <conditionalFormatting sqref="M36:M38 M57:M59">
    <cfRule type="cellIs" dxfId="10236" priority="613" operator="equal">
      <formula>"PMS"</formula>
    </cfRule>
    <cfRule type="containsText" dxfId="10235" priority="614" operator="containsText" text="CMS">
      <formula>NOT(ISERROR(SEARCH("CMS",M36)))</formula>
    </cfRule>
    <cfRule type="cellIs" dxfId="10234" priority="615" operator="equal">
      <formula>0</formula>
    </cfRule>
    <cfRule type="cellIs" dxfId="10233" priority="616" operator="greaterThan">
      <formula>0</formula>
    </cfRule>
  </conditionalFormatting>
  <conditionalFormatting sqref="K36:K38 K57:K59">
    <cfRule type="cellIs" dxfId="10232" priority="605" operator="equal">
      <formula>"PMS"</formula>
    </cfRule>
    <cfRule type="containsText" dxfId="10231" priority="606" operator="containsText" text="CMS">
      <formula>NOT(ISERROR(SEARCH("CMS",K36)))</formula>
    </cfRule>
    <cfRule type="cellIs" dxfId="10230" priority="607" operator="equal">
      <formula>0</formula>
    </cfRule>
    <cfRule type="cellIs" dxfId="10229" priority="608" operator="greaterThan">
      <formula>0</formula>
    </cfRule>
    <cfRule type="cellIs" dxfId="10228" priority="609" operator="equal">
      <formula>"PMS"</formula>
    </cfRule>
    <cfRule type="containsText" dxfId="10227" priority="610" operator="containsText" text="CMS">
      <formula>NOT(ISERROR(SEARCH("CMS",K36)))</formula>
    </cfRule>
    <cfRule type="cellIs" dxfId="10226" priority="611" operator="equal">
      <formula>0</formula>
    </cfRule>
    <cfRule type="cellIs" dxfId="10225" priority="612" operator="greaterThan">
      <formula>0</formula>
    </cfRule>
  </conditionalFormatting>
  <conditionalFormatting sqref="K36:K38 K57:K59">
    <cfRule type="cellIs" dxfId="10224" priority="601" operator="equal">
      <formula>"PMS"</formula>
    </cfRule>
    <cfRule type="containsText" dxfId="10223" priority="602" operator="containsText" text="CMS">
      <formula>NOT(ISERROR(SEARCH("CMS",K36)))</formula>
    </cfRule>
    <cfRule type="cellIs" dxfId="10222" priority="603" operator="equal">
      <formula>0</formula>
    </cfRule>
    <cfRule type="cellIs" dxfId="10221" priority="604" operator="greaterThan">
      <formula>0</formula>
    </cfRule>
  </conditionalFormatting>
  <conditionalFormatting sqref="G49">
    <cfRule type="cellIs" dxfId="10220" priority="593" operator="equal">
      <formula>"PMS"</formula>
    </cfRule>
    <cfRule type="containsText" dxfId="10219" priority="594" operator="containsText" text="CMS">
      <formula>NOT(ISERROR(SEARCH("CMS",G49)))</formula>
    </cfRule>
    <cfRule type="cellIs" dxfId="10218" priority="595" operator="equal">
      <formula>0</formula>
    </cfRule>
    <cfRule type="cellIs" dxfId="10217" priority="596" operator="greaterThan">
      <formula>0</formula>
    </cfRule>
    <cfRule type="cellIs" dxfId="10216" priority="597" operator="equal">
      <formula>"PMS"</formula>
    </cfRule>
    <cfRule type="containsText" dxfId="10215" priority="598" operator="containsText" text="CMS">
      <formula>NOT(ISERROR(SEARCH("CMS",G49)))</formula>
    </cfRule>
    <cfRule type="cellIs" dxfId="10214" priority="599" operator="equal">
      <formula>0</formula>
    </cfRule>
    <cfRule type="cellIs" dxfId="10213" priority="600" operator="greaterThan">
      <formula>0</formula>
    </cfRule>
  </conditionalFormatting>
  <conditionalFormatting sqref="G49">
    <cfRule type="cellIs" dxfId="10212" priority="589" operator="equal">
      <formula>"PMS"</formula>
    </cfRule>
    <cfRule type="containsText" dxfId="10211" priority="590" operator="containsText" text="CMS">
      <formula>NOT(ISERROR(SEARCH("CMS",G49)))</formula>
    </cfRule>
    <cfRule type="cellIs" dxfId="10210" priority="591" operator="equal">
      <formula>0</formula>
    </cfRule>
    <cfRule type="cellIs" dxfId="10209" priority="592" operator="greaterThan">
      <formula>0</formula>
    </cfRule>
  </conditionalFormatting>
  <conditionalFormatting sqref="M49:N49">
    <cfRule type="cellIs" dxfId="10208" priority="581" operator="equal">
      <formula>"PMS"</formula>
    </cfRule>
    <cfRule type="containsText" dxfId="10207" priority="582" operator="containsText" text="CMS">
      <formula>NOT(ISERROR(SEARCH("CMS",M49)))</formula>
    </cfRule>
    <cfRule type="cellIs" dxfId="10206" priority="583" operator="equal">
      <formula>0</formula>
    </cfRule>
    <cfRule type="cellIs" dxfId="10205" priority="584" operator="greaterThan">
      <formula>0</formula>
    </cfRule>
    <cfRule type="cellIs" dxfId="10204" priority="585" operator="equal">
      <formula>"PMS"</formula>
    </cfRule>
    <cfRule type="containsText" dxfId="10203" priority="586" operator="containsText" text="CMS">
      <formula>NOT(ISERROR(SEARCH("CMS",M49)))</formula>
    </cfRule>
    <cfRule type="cellIs" dxfId="10202" priority="587" operator="equal">
      <formula>0</formula>
    </cfRule>
    <cfRule type="cellIs" dxfId="10201" priority="588" operator="greaterThan">
      <formula>0</formula>
    </cfRule>
  </conditionalFormatting>
  <conditionalFormatting sqref="M49:N49">
    <cfRule type="cellIs" dxfId="10200" priority="577" operator="equal">
      <formula>"PMS"</formula>
    </cfRule>
    <cfRule type="containsText" dxfId="10199" priority="578" operator="containsText" text="CMS">
      <formula>NOT(ISERROR(SEARCH("CMS",M49)))</formula>
    </cfRule>
    <cfRule type="cellIs" dxfId="10198" priority="579" operator="equal">
      <formula>0</formula>
    </cfRule>
    <cfRule type="cellIs" dxfId="10197" priority="580" operator="greaterThan">
      <formula>0</formula>
    </cfRule>
  </conditionalFormatting>
  <conditionalFormatting sqref="K49">
    <cfRule type="cellIs" dxfId="10196" priority="569" operator="equal">
      <formula>"PMS"</formula>
    </cfRule>
    <cfRule type="containsText" dxfId="10195" priority="570" operator="containsText" text="CMS">
      <formula>NOT(ISERROR(SEARCH("CMS",K49)))</formula>
    </cfRule>
    <cfRule type="cellIs" dxfId="10194" priority="571" operator="equal">
      <formula>0</formula>
    </cfRule>
    <cfRule type="cellIs" dxfId="10193" priority="572" operator="greaterThan">
      <formula>0</formula>
    </cfRule>
    <cfRule type="cellIs" dxfId="10192" priority="573" operator="equal">
      <formula>"PMS"</formula>
    </cfRule>
    <cfRule type="containsText" dxfId="10191" priority="574" operator="containsText" text="CMS">
      <formula>NOT(ISERROR(SEARCH("CMS",K49)))</formula>
    </cfRule>
    <cfRule type="cellIs" dxfId="10190" priority="575" operator="equal">
      <formula>0</formula>
    </cfRule>
    <cfRule type="cellIs" dxfId="10189" priority="576" operator="greaterThan">
      <formula>0</formula>
    </cfRule>
  </conditionalFormatting>
  <conditionalFormatting sqref="K49">
    <cfRule type="cellIs" dxfId="10188" priority="565" operator="equal">
      <formula>"PMS"</formula>
    </cfRule>
    <cfRule type="containsText" dxfId="10187" priority="566" operator="containsText" text="CMS">
      <formula>NOT(ISERROR(SEARCH("CMS",K49)))</formula>
    </cfRule>
    <cfRule type="cellIs" dxfId="10186" priority="567" operator="equal">
      <formula>0</formula>
    </cfRule>
    <cfRule type="cellIs" dxfId="10185" priority="568" operator="greaterThan">
      <formula>0</formula>
    </cfRule>
  </conditionalFormatting>
  <conditionalFormatting sqref="H33:J33 L33 L27:L29 H24:J24 H19:J20 L20:L21 V28:AC28 Q28 N28:P29 P30 H27:J30 I21:K21 K19:M19 N30 S28:T28 O78:Q78 X78:AC78 AB79:AC79 S78:V78 N33:AC33 M21:O21 Q21:AC21 N19:AC20 L24:AC24 Q29:AC30 N79:Z79">
    <cfRule type="cellIs" dxfId="10184" priority="557" operator="equal">
      <formula>"PMS"</formula>
    </cfRule>
    <cfRule type="containsText" dxfId="10183" priority="558" operator="containsText" text="CMS">
      <formula>NOT(ISERROR(SEARCH("CMS",H19)))</formula>
    </cfRule>
    <cfRule type="cellIs" dxfId="10182" priority="559" operator="equal">
      <formula>0</formula>
    </cfRule>
    <cfRule type="cellIs" dxfId="10181" priority="560" operator="greaterThan">
      <formula>0</formula>
    </cfRule>
    <cfRule type="cellIs" dxfId="10180" priority="561" operator="equal">
      <formula>"PMS"</formula>
    </cfRule>
    <cfRule type="containsText" dxfId="10179" priority="562" operator="containsText" text="CMS">
      <formula>NOT(ISERROR(SEARCH("CMS",H19)))</formula>
    </cfRule>
    <cfRule type="cellIs" dxfId="10178" priority="563" operator="equal">
      <formula>0</formula>
    </cfRule>
    <cfRule type="cellIs" dxfId="10177" priority="564" operator="greaterThan">
      <formula>0</formula>
    </cfRule>
  </conditionalFormatting>
  <conditionalFormatting sqref="H33:J33 L33 L27:L29 H24:J24 H19:J20 L20:L21 V28:AC28 Q28 N28:P29 P30 H27:J30 I21:K21 K19:M19 N30 S28:T28 O78:Q78 X78:AC78 AB79:AC79 S78:V78 N33:AC33 M21:O21 Q21:AC21 N19:AC20 L24:AC24 Q29:AC30 N79:Z79">
    <cfRule type="cellIs" dxfId="10176" priority="553" operator="equal">
      <formula>"PMS"</formula>
    </cfRule>
    <cfRule type="containsText" dxfId="10175" priority="554" operator="containsText" text="CMS">
      <formula>NOT(ISERROR(SEARCH("CMS",H19)))</formula>
    </cfRule>
    <cfRule type="cellIs" dxfId="10174" priority="555" operator="equal">
      <formula>0</formula>
    </cfRule>
    <cfRule type="cellIs" dxfId="10173" priority="556" operator="greaterThan">
      <formula>0</formula>
    </cfRule>
  </conditionalFormatting>
  <conditionalFormatting sqref="G33 G27:G30 G24 G39:G48 G50:G56 G19:G21 H21">
    <cfRule type="cellIs" dxfId="10172" priority="545" operator="equal">
      <formula>"PMS"</formula>
    </cfRule>
    <cfRule type="containsText" dxfId="10171" priority="546" operator="containsText" text="CMS">
      <formula>NOT(ISERROR(SEARCH("CMS",G19)))</formula>
    </cfRule>
    <cfRule type="cellIs" dxfId="10170" priority="547" operator="equal">
      <formula>0</formula>
    </cfRule>
    <cfRule type="cellIs" dxfId="10169" priority="548" operator="greaterThan">
      <formula>0</formula>
    </cfRule>
    <cfRule type="cellIs" dxfId="10168" priority="549" operator="equal">
      <formula>"PMS"</formula>
    </cfRule>
    <cfRule type="containsText" dxfId="10167" priority="550" operator="containsText" text="CMS">
      <formula>NOT(ISERROR(SEARCH("CMS",G19)))</formula>
    </cfRule>
    <cfRule type="cellIs" dxfId="10166" priority="551" operator="equal">
      <formula>0</formula>
    </cfRule>
    <cfRule type="cellIs" dxfId="10165" priority="552" operator="greaterThan">
      <formula>0</formula>
    </cfRule>
  </conditionalFormatting>
  <conditionalFormatting sqref="G33 G27:G30 G24 G39:G48 G50:G56 G19:G21 H21">
    <cfRule type="cellIs" dxfId="10164" priority="541" operator="equal">
      <formula>"PMS"</formula>
    </cfRule>
    <cfRule type="containsText" dxfId="10163" priority="542" operator="containsText" text="CMS">
      <formula>NOT(ISERROR(SEARCH("CMS",G19)))</formula>
    </cfRule>
    <cfRule type="cellIs" dxfId="10162" priority="543" operator="equal">
      <formula>0</formula>
    </cfRule>
    <cfRule type="cellIs" dxfId="10161" priority="544" operator="greaterThan">
      <formula>0</formula>
    </cfRule>
  </conditionalFormatting>
  <conditionalFormatting sqref="M39:M48 M33 M27:M29 M20 AB27:AC27 N27:Q27 M56 N78 S27:X27 N47:N48 N51:N56 M62:M64">
    <cfRule type="cellIs" dxfId="10160" priority="533" operator="equal">
      <formula>"PMS"</formula>
    </cfRule>
    <cfRule type="containsText" dxfId="10159" priority="534" operator="containsText" text="CMS">
      <formula>NOT(ISERROR(SEARCH("CMS",M20)))</formula>
    </cfRule>
    <cfRule type="cellIs" dxfId="10158" priority="535" operator="equal">
      <formula>0</formula>
    </cfRule>
    <cfRule type="cellIs" dxfId="10157" priority="536" operator="greaterThan">
      <formula>0</formula>
    </cfRule>
    <cfRule type="cellIs" dxfId="10156" priority="537" operator="equal">
      <formula>"PMS"</formula>
    </cfRule>
    <cfRule type="containsText" dxfId="10155" priority="538" operator="containsText" text="CMS">
      <formula>NOT(ISERROR(SEARCH("CMS",M20)))</formula>
    </cfRule>
    <cfRule type="cellIs" dxfId="10154" priority="539" operator="equal">
      <formula>0</formula>
    </cfRule>
    <cfRule type="cellIs" dxfId="10153" priority="540" operator="greaterThan">
      <formula>0</formula>
    </cfRule>
  </conditionalFormatting>
  <conditionalFormatting sqref="M39:M48 M33 M27:M29 M20 AB27:AC27 N27:Q27 M56 N78 S27:X27 N47:N48 N51:N56 M62:M64">
    <cfRule type="cellIs" dxfId="10152" priority="529" operator="equal">
      <formula>"PMS"</formula>
    </cfRule>
    <cfRule type="containsText" dxfId="10151" priority="530" operator="containsText" text="CMS">
      <formula>NOT(ISERROR(SEARCH("CMS",M20)))</formula>
    </cfRule>
    <cfRule type="cellIs" dxfId="10150" priority="531" operator="equal">
      <formula>0</formula>
    </cfRule>
    <cfRule type="cellIs" dxfId="10149" priority="532" operator="greaterThan">
      <formula>0</formula>
    </cfRule>
  </conditionalFormatting>
  <conditionalFormatting sqref="K50:K56 K39:K48 K33 K27 K24 K20 K29:K30">
    <cfRule type="cellIs" dxfId="10148" priority="521" operator="equal">
      <formula>"PMS"</formula>
    </cfRule>
    <cfRule type="containsText" dxfId="10147" priority="522" operator="containsText" text="CMS">
      <formula>NOT(ISERROR(SEARCH("CMS",K20)))</formula>
    </cfRule>
    <cfRule type="cellIs" dxfId="10146" priority="523" operator="equal">
      <formula>0</formula>
    </cfRule>
    <cfRule type="cellIs" dxfId="10145" priority="524" operator="greaterThan">
      <formula>0</formula>
    </cfRule>
    <cfRule type="cellIs" dxfId="10144" priority="525" operator="equal">
      <formula>"PMS"</formula>
    </cfRule>
    <cfRule type="containsText" dxfId="10143" priority="526" operator="containsText" text="CMS">
      <formula>NOT(ISERROR(SEARCH("CMS",K20)))</formula>
    </cfRule>
    <cfRule type="cellIs" dxfId="10142" priority="527" operator="equal">
      <formula>0</formula>
    </cfRule>
    <cfRule type="cellIs" dxfId="10141" priority="528" operator="greaterThan">
      <formula>0</formula>
    </cfRule>
  </conditionalFormatting>
  <conditionalFormatting sqref="K50:K56 K39:K48 K33 K27 K24 K20 K29:K30">
    <cfRule type="cellIs" dxfId="10140" priority="517" operator="equal">
      <formula>"PMS"</formula>
    </cfRule>
    <cfRule type="containsText" dxfId="10139" priority="518" operator="containsText" text="CMS">
      <formula>NOT(ISERROR(SEARCH("CMS",K20)))</formula>
    </cfRule>
    <cfRule type="cellIs" dxfId="10138" priority="519" operator="equal">
      <formula>0</formula>
    </cfRule>
    <cfRule type="cellIs" dxfId="10137" priority="520" operator="greaterThan">
      <formula>0</formula>
    </cfRule>
  </conditionalFormatting>
  <conditionalFormatting sqref="K28">
    <cfRule type="cellIs" dxfId="10136" priority="509" operator="equal">
      <formula>"PMS"</formula>
    </cfRule>
    <cfRule type="containsText" dxfId="10135" priority="510" operator="containsText" text="CMS">
      <formula>NOT(ISERROR(SEARCH("CMS",K28)))</formula>
    </cfRule>
    <cfRule type="cellIs" dxfId="10134" priority="511" operator="equal">
      <formula>0</formula>
    </cfRule>
    <cfRule type="cellIs" dxfId="10133" priority="512" operator="greaterThan">
      <formula>0</formula>
    </cfRule>
    <cfRule type="cellIs" dxfId="10132" priority="513" operator="equal">
      <formula>"PMS"</formula>
    </cfRule>
    <cfRule type="containsText" dxfId="10131" priority="514" operator="containsText" text="CMS">
      <formula>NOT(ISERROR(SEARCH("CMS",K28)))</formula>
    </cfRule>
    <cfRule type="cellIs" dxfId="10130" priority="515" operator="equal">
      <formula>0</formula>
    </cfRule>
    <cfRule type="cellIs" dxfId="10129" priority="516" operator="greaterThan">
      <formula>0</formula>
    </cfRule>
  </conditionalFormatting>
  <conditionalFormatting sqref="K28">
    <cfRule type="cellIs" dxfId="10128" priority="505" operator="equal">
      <formula>"PMS"</formula>
    </cfRule>
    <cfRule type="containsText" dxfId="10127" priority="506" operator="containsText" text="CMS">
      <formula>NOT(ISERROR(SEARCH("CMS",K28)))</formula>
    </cfRule>
    <cfRule type="cellIs" dxfId="10126" priority="507" operator="equal">
      <formula>0</formula>
    </cfRule>
    <cfRule type="cellIs" dxfId="10125" priority="508" operator="greaterThan">
      <formula>0</formula>
    </cfRule>
  </conditionalFormatting>
  <conditionalFormatting sqref="N62:O62 O63:O64">
    <cfRule type="cellIs" dxfId="10124" priority="497" operator="equal">
      <formula>"PMS"</formula>
    </cfRule>
    <cfRule type="containsText" dxfId="10123" priority="498" operator="containsText" text="CMS">
      <formula>NOT(ISERROR(SEARCH("CMS",N62)))</formula>
    </cfRule>
    <cfRule type="cellIs" dxfId="10122" priority="499" operator="equal">
      <formula>0</formula>
    </cfRule>
    <cfRule type="cellIs" dxfId="10121" priority="500" operator="greaterThan">
      <formula>0</formula>
    </cfRule>
    <cfRule type="cellIs" dxfId="10120" priority="501" operator="equal">
      <formula>"PMS"</formula>
    </cfRule>
    <cfRule type="containsText" dxfId="10119" priority="502" operator="containsText" text="CMS">
      <formula>NOT(ISERROR(SEARCH("CMS",N62)))</formula>
    </cfRule>
    <cfRule type="cellIs" dxfId="10118" priority="503" operator="equal">
      <formula>0</formula>
    </cfRule>
    <cfRule type="cellIs" dxfId="10117" priority="504" operator="greaterThan">
      <formula>0</formula>
    </cfRule>
  </conditionalFormatting>
  <conditionalFormatting sqref="N62:O62 O63:O64">
    <cfRule type="cellIs" dxfId="10116" priority="493" operator="equal">
      <formula>"PMS"</formula>
    </cfRule>
    <cfRule type="containsText" dxfId="10115" priority="494" operator="containsText" text="CMS">
      <formula>NOT(ISERROR(SEARCH("CMS",N62)))</formula>
    </cfRule>
    <cfRule type="cellIs" dxfId="10114" priority="495" operator="equal">
      <formula>0</formula>
    </cfRule>
    <cfRule type="cellIs" dxfId="10113" priority="496" operator="greaterThan">
      <formula>0</formula>
    </cfRule>
  </conditionalFormatting>
  <conditionalFormatting sqref="U28">
    <cfRule type="cellIs" dxfId="10112" priority="485" operator="equal">
      <formula>"PMS"</formula>
    </cfRule>
    <cfRule type="containsText" dxfId="10111" priority="486" operator="containsText" text="CMS">
      <formula>NOT(ISERROR(SEARCH("CMS",U28)))</formula>
    </cfRule>
    <cfRule type="cellIs" dxfId="10110" priority="487" operator="equal">
      <formula>0</formula>
    </cfRule>
    <cfRule type="cellIs" dxfId="10109" priority="488" operator="greaterThan">
      <formula>0</formula>
    </cfRule>
    <cfRule type="cellIs" dxfId="10108" priority="489" operator="equal">
      <formula>"PMS"</formula>
    </cfRule>
    <cfRule type="containsText" dxfId="10107" priority="490" operator="containsText" text="CMS">
      <formula>NOT(ISERROR(SEARCH("CMS",U28)))</formula>
    </cfRule>
    <cfRule type="cellIs" dxfId="10106" priority="491" operator="equal">
      <formula>0</formula>
    </cfRule>
    <cfRule type="cellIs" dxfId="10105" priority="492" operator="greaterThan">
      <formula>0</formula>
    </cfRule>
  </conditionalFormatting>
  <conditionalFormatting sqref="U28">
    <cfRule type="cellIs" dxfId="10104" priority="481" operator="equal">
      <formula>"PMS"</formula>
    </cfRule>
    <cfRule type="containsText" dxfId="10103" priority="482" operator="containsText" text="CMS">
      <formula>NOT(ISERROR(SEARCH("CMS",U28)))</formula>
    </cfRule>
    <cfRule type="cellIs" dxfId="10102" priority="483" operator="equal">
      <formula>0</formula>
    </cfRule>
    <cfRule type="cellIs" dxfId="10101" priority="484" operator="greaterThan">
      <formula>0</formula>
    </cfRule>
  </conditionalFormatting>
  <conditionalFormatting sqref="Y27:AA27">
    <cfRule type="cellIs" dxfId="10100" priority="473" operator="equal">
      <formula>"PMS"</formula>
    </cfRule>
    <cfRule type="containsText" dxfId="10099" priority="474" operator="containsText" text="CMS">
      <formula>NOT(ISERROR(SEARCH("CMS",Y27)))</formula>
    </cfRule>
    <cfRule type="cellIs" dxfId="10098" priority="475" operator="equal">
      <formula>0</formula>
    </cfRule>
    <cfRule type="cellIs" dxfId="10097" priority="476" operator="greaterThan">
      <formula>0</formula>
    </cfRule>
    <cfRule type="cellIs" dxfId="10096" priority="477" operator="equal">
      <formula>"PMS"</formula>
    </cfRule>
    <cfRule type="containsText" dxfId="10095" priority="478" operator="containsText" text="CMS">
      <formula>NOT(ISERROR(SEARCH("CMS",Y27)))</formula>
    </cfRule>
    <cfRule type="cellIs" dxfId="10094" priority="479" operator="equal">
      <formula>0</formula>
    </cfRule>
    <cfRule type="cellIs" dxfId="10093" priority="480" operator="greaterThan">
      <formula>0</formula>
    </cfRule>
  </conditionalFormatting>
  <conditionalFormatting sqref="Y27:AA27">
    <cfRule type="cellIs" dxfId="10092" priority="469" operator="equal">
      <formula>"PMS"</formula>
    </cfRule>
    <cfRule type="containsText" dxfId="10091" priority="470" operator="containsText" text="CMS">
      <formula>NOT(ISERROR(SEARCH("CMS",Y27)))</formula>
    </cfRule>
    <cfRule type="cellIs" dxfId="10090" priority="471" operator="equal">
      <formula>0</formula>
    </cfRule>
    <cfRule type="cellIs" dxfId="10089" priority="472" operator="greaterThan">
      <formula>0</formula>
    </cfRule>
  </conditionalFormatting>
  <conditionalFormatting sqref="G62:G64">
    <cfRule type="cellIs" dxfId="10088" priority="461" operator="equal">
      <formula>"PMS"</formula>
    </cfRule>
    <cfRule type="containsText" dxfId="10087" priority="462" operator="containsText" text="CMS">
      <formula>NOT(ISERROR(SEARCH("CMS",G62)))</formula>
    </cfRule>
    <cfRule type="cellIs" dxfId="10086" priority="463" operator="equal">
      <formula>0</formula>
    </cfRule>
    <cfRule type="cellIs" dxfId="10085" priority="464" operator="greaterThan">
      <formula>0</formula>
    </cfRule>
    <cfRule type="cellIs" dxfId="10084" priority="465" operator="equal">
      <formula>"PMS"</formula>
    </cfRule>
    <cfRule type="containsText" dxfId="10083" priority="466" operator="containsText" text="CMS">
      <formula>NOT(ISERROR(SEARCH("CMS",G62)))</formula>
    </cfRule>
    <cfRule type="cellIs" dxfId="10082" priority="467" operator="equal">
      <formula>0</formula>
    </cfRule>
    <cfRule type="cellIs" dxfId="10081" priority="468" operator="greaterThan">
      <formula>0</formula>
    </cfRule>
  </conditionalFormatting>
  <conditionalFormatting sqref="G62:G64">
    <cfRule type="cellIs" dxfId="10080" priority="457" operator="equal">
      <formula>"PMS"</formula>
    </cfRule>
    <cfRule type="containsText" dxfId="10079" priority="458" operator="containsText" text="CMS">
      <formula>NOT(ISERROR(SEARCH("CMS",G62)))</formula>
    </cfRule>
    <cfRule type="cellIs" dxfId="10078" priority="459" operator="equal">
      <formula>0</formula>
    </cfRule>
    <cfRule type="cellIs" dxfId="10077" priority="460" operator="greaterThan">
      <formula>0</formula>
    </cfRule>
  </conditionalFormatting>
  <conditionalFormatting sqref="N40">
    <cfRule type="cellIs" dxfId="10076" priority="449" operator="equal">
      <formula>"PMS"</formula>
    </cfRule>
    <cfRule type="containsText" dxfId="10075" priority="450" operator="containsText" text="CMS">
      <formula>NOT(ISERROR(SEARCH("CMS",N40)))</formula>
    </cfRule>
    <cfRule type="cellIs" dxfId="10074" priority="451" operator="equal">
      <formula>0</formula>
    </cfRule>
    <cfRule type="cellIs" dxfId="10073" priority="452" operator="greaterThan">
      <formula>0</formula>
    </cfRule>
    <cfRule type="cellIs" dxfId="10072" priority="453" operator="equal">
      <formula>"PMS"</formula>
    </cfRule>
    <cfRule type="containsText" dxfId="10071" priority="454" operator="containsText" text="CMS">
      <formula>NOT(ISERROR(SEARCH("CMS",N40)))</formula>
    </cfRule>
    <cfRule type="cellIs" dxfId="10070" priority="455" operator="equal">
      <formula>0</formula>
    </cfRule>
    <cfRule type="cellIs" dxfId="10069" priority="456" operator="greaterThan">
      <formula>0</formula>
    </cfRule>
  </conditionalFormatting>
  <conditionalFormatting sqref="N40">
    <cfRule type="cellIs" dxfId="10068" priority="445" operator="equal">
      <formula>"PMS"</formula>
    </cfRule>
    <cfRule type="containsText" dxfId="10067" priority="446" operator="containsText" text="CMS">
      <formula>NOT(ISERROR(SEARCH("CMS",N40)))</formula>
    </cfRule>
    <cfRule type="cellIs" dxfId="10066" priority="447" operator="equal">
      <formula>0</formula>
    </cfRule>
    <cfRule type="cellIs" dxfId="10065" priority="448" operator="greaterThan">
      <formula>0</formula>
    </cfRule>
  </conditionalFormatting>
  <conditionalFormatting sqref="O30">
    <cfRule type="cellIs" dxfId="10064" priority="437" operator="equal">
      <formula>"PMS"</formula>
    </cfRule>
    <cfRule type="containsText" dxfId="10063" priority="438" operator="containsText" text="CMS">
      <formula>NOT(ISERROR(SEARCH("CMS",O30)))</formula>
    </cfRule>
    <cfRule type="cellIs" dxfId="10062" priority="439" operator="equal">
      <formula>0</formula>
    </cfRule>
    <cfRule type="cellIs" dxfId="10061" priority="440" operator="greaterThan">
      <formula>0</formula>
    </cfRule>
    <cfRule type="cellIs" dxfId="10060" priority="441" operator="equal">
      <formula>"PMS"</formula>
    </cfRule>
    <cfRule type="containsText" dxfId="10059" priority="442" operator="containsText" text="CMS">
      <formula>NOT(ISERROR(SEARCH("CMS",O30)))</formula>
    </cfRule>
    <cfRule type="cellIs" dxfId="10058" priority="443" operator="equal">
      <formula>0</formula>
    </cfRule>
    <cfRule type="cellIs" dxfId="10057" priority="444" operator="greaterThan">
      <formula>0</formula>
    </cfRule>
  </conditionalFormatting>
  <conditionalFormatting sqref="O30">
    <cfRule type="cellIs" dxfId="10056" priority="433" operator="equal">
      <formula>"PMS"</formula>
    </cfRule>
    <cfRule type="containsText" dxfId="10055" priority="434" operator="containsText" text="CMS">
      <formula>NOT(ISERROR(SEARCH("CMS",O30)))</formula>
    </cfRule>
    <cfRule type="cellIs" dxfId="10054" priority="435" operator="equal">
      <formula>0</formula>
    </cfRule>
    <cfRule type="cellIs" dxfId="10053" priority="436" operator="greaterThan">
      <formula>0</formula>
    </cfRule>
  </conditionalFormatting>
  <conditionalFormatting sqref="O47:O49">
    <cfRule type="cellIs" dxfId="10052" priority="425" operator="equal">
      <formula>"PMS"</formula>
    </cfRule>
    <cfRule type="containsText" dxfId="10051" priority="426" operator="containsText" text="CMS">
      <formula>NOT(ISERROR(SEARCH("CMS",O47)))</formula>
    </cfRule>
    <cfRule type="cellIs" dxfId="10050" priority="427" operator="equal">
      <formula>0</formula>
    </cfRule>
    <cfRule type="cellIs" dxfId="10049" priority="428" operator="greaterThan">
      <formula>0</formula>
    </cfRule>
    <cfRule type="cellIs" dxfId="10048" priority="429" operator="equal">
      <formula>"PMS"</formula>
    </cfRule>
    <cfRule type="containsText" dxfId="10047" priority="430" operator="containsText" text="CMS">
      <formula>NOT(ISERROR(SEARCH("CMS",O47)))</formula>
    </cfRule>
    <cfRule type="cellIs" dxfId="10046" priority="431" operator="equal">
      <formula>0</formula>
    </cfRule>
    <cfRule type="cellIs" dxfId="10045" priority="432" operator="greaterThan">
      <formula>0</formula>
    </cfRule>
  </conditionalFormatting>
  <conditionalFormatting sqref="O47:O49">
    <cfRule type="cellIs" dxfId="10044" priority="421" operator="equal">
      <formula>"PMS"</formula>
    </cfRule>
    <cfRule type="containsText" dxfId="10043" priority="422" operator="containsText" text="CMS">
      <formula>NOT(ISERROR(SEARCH("CMS",O47)))</formula>
    </cfRule>
    <cfRule type="cellIs" dxfId="10042" priority="423" operator="equal">
      <formula>0</formula>
    </cfRule>
    <cfRule type="cellIs" dxfId="10041" priority="424" operator="greaterThan">
      <formula>0</formula>
    </cfRule>
  </conditionalFormatting>
  <conditionalFormatting sqref="F82">
    <cfRule type="cellIs" dxfId="10040" priority="413" operator="equal">
      <formula>"PMS"</formula>
    </cfRule>
    <cfRule type="containsText" dxfId="10039" priority="414" operator="containsText" text="CMS">
      <formula>NOT(ISERROR(SEARCH("CMS",F82)))</formula>
    </cfRule>
    <cfRule type="cellIs" dxfId="10038" priority="415" operator="equal">
      <formula>0</formula>
    </cfRule>
    <cfRule type="cellIs" dxfId="10037" priority="416" operator="greaterThan">
      <formula>0</formula>
    </cfRule>
    <cfRule type="cellIs" dxfId="10036" priority="417" operator="equal">
      <formula>"PMS"</formula>
    </cfRule>
    <cfRule type="containsText" dxfId="10035" priority="418" operator="containsText" text="CMS">
      <formula>NOT(ISERROR(SEARCH("CMS",F82)))</formula>
    </cfRule>
    <cfRule type="cellIs" dxfId="10034" priority="419" operator="equal">
      <formula>0</formula>
    </cfRule>
    <cfRule type="cellIs" dxfId="10033" priority="420" operator="greaterThan">
      <formula>0</formula>
    </cfRule>
  </conditionalFormatting>
  <conditionalFormatting sqref="F82">
    <cfRule type="cellIs" dxfId="10032" priority="409" operator="equal">
      <formula>"PMS"</formula>
    </cfRule>
    <cfRule type="containsText" dxfId="10031" priority="410" operator="containsText" text="CMS">
      <formula>NOT(ISERROR(SEARCH("CMS",F82)))</formula>
    </cfRule>
    <cfRule type="cellIs" dxfId="10030" priority="411" operator="equal">
      <formula>0</formula>
    </cfRule>
    <cfRule type="cellIs" dxfId="10029" priority="412" operator="greaterThan">
      <formula>0</formula>
    </cfRule>
  </conditionalFormatting>
  <conditionalFormatting sqref="H15">
    <cfRule type="cellIs" dxfId="10028" priority="401" operator="equal">
      <formula>"PMS"</formula>
    </cfRule>
    <cfRule type="containsText" dxfId="10027" priority="402" operator="containsText" text="CMS">
      <formula>NOT(ISERROR(SEARCH("CMS",H15)))</formula>
    </cfRule>
    <cfRule type="cellIs" dxfId="10026" priority="403" operator="equal">
      <formula>0</formula>
    </cfRule>
    <cfRule type="cellIs" dxfId="10025" priority="404" operator="greaterThan">
      <formula>0</formula>
    </cfRule>
    <cfRule type="cellIs" dxfId="10024" priority="405" operator="equal">
      <formula>"PMS"</formula>
    </cfRule>
    <cfRule type="containsText" dxfId="10023" priority="406" operator="containsText" text="CMS">
      <formula>NOT(ISERROR(SEARCH("CMS",H15)))</formula>
    </cfRule>
    <cfRule type="cellIs" dxfId="10022" priority="407" operator="equal">
      <formula>0</formula>
    </cfRule>
    <cfRule type="cellIs" dxfId="10021" priority="408" operator="greaterThan">
      <formula>0</formula>
    </cfRule>
  </conditionalFormatting>
  <conditionalFormatting sqref="H15">
    <cfRule type="cellIs" dxfId="10020" priority="397" operator="equal">
      <formula>"PMS"</formula>
    </cfRule>
    <cfRule type="containsText" dxfId="10019" priority="398" operator="containsText" text="CMS">
      <formula>NOT(ISERROR(SEARCH("CMS",H15)))</formula>
    </cfRule>
    <cfRule type="cellIs" dxfId="10018" priority="399" operator="equal">
      <formula>0</formula>
    </cfRule>
    <cfRule type="cellIs" dxfId="10017" priority="400" operator="greaterThan">
      <formula>0</formula>
    </cfRule>
  </conditionalFormatting>
  <conditionalFormatting sqref="G14">
    <cfRule type="cellIs" dxfId="10016" priority="389" operator="equal">
      <formula>"PMS"</formula>
    </cfRule>
    <cfRule type="containsText" dxfId="10015" priority="390" operator="containsText" text="CMS">
      <formula>NOT(ISERROR(SEARCH("CMS",G14)))</formula>
    </cfRule>
    <cfRule type="cellIs" dxfId="10014" priority="391" operator="equal">
      <formula>0</formula>
    </cfRule>
    <cfRule type="cellIs" dxfId="10013" priority="392" operator="greaterThan">
      <formula>0</formula>
    </cfRule>
    <cfRule type="cellIs" dxfId="10012" priority="393" operator="equal">
      <formula>"PMS"</formula>
    </cfRule>
    <cfRule type="containsText" dxfId="10011" priority="394" operator="containsText" text="CMS">
      <formula>NOT(ISERROR(SEARCH("CMS",G14)))</formula>
    </cfRule>
    <cfRule type="cellIs" dxfId="10010" priority="395" operator="equal">
      <formula>0</formula>
    </cfRule>
    <cfRule type="cellIs" dxfId="10009" priority="396" operator="greaterThan">
      <formula>0</formula>
    </cfRule>
  </conditionalFormatting>
  <conditionalFormatting sqref="G14">
    <cfRule type="cellIs" dxfId="10008" priority="385" operator="equal">
      <formula>"PMS"</formula>
    </cfRule>
    <cfRule type="containsText" dxfId="10007" priority="386" operator="containsText" text="CMS">
      <formula>NOT(ISERROR(SEARCH("CMS",G14)))</formula>
    </cfRule>
    <cfRule type="cellIs" dxfId="10006" priority="387" operator="equal">
      <formula>0</formula>
    </cfRule>
    <cfRule type="cellIs" dxfId="10005" priority="388" operator="greaterThan">
      <formula>0</formula>
    </cfRule>
  </conditionalFormatting>
  <conditionalFormatting sqref="N63:N64">
    <cfRule type="cellIs" dxfId="10004" priority="377" operator="equal">
      <formula>"PMS"</formula>
    </cfRule>
    <cfRule type="containsText" dxfId="10003" priority="378" operator="containsText" text="CMS">
      <formula>NOT(ISERROR(SEARCH("CMS",N63)))</formula>
    </cfRule>
    <cfRule type="cellIs" dxfId="10002" priority="379" operator="equal">
      <formula>0</formula>
    </cfRule>
    <cfRule type="cellIs" dxfId="10001" priority="380" operator="greaterThan">
      <formula>0</formula>
    </cfRule>
    <cfRule type="cellIs" dxfId="10000" priority="381" operator="equal">
      <formula>"PMS"</formula>
    </cfRule>
    <cfRule type="containsText" dxfId="9999" priority="382" operator="containsText" text="CMS">
      <formula>NOT(ISERROR(SEARCH("CMS",N63)))</formula>
    </cfRule>
    <cfRule type="cellIs" dxfId="9998" priority="383" operator="equal">
      <formula>0</formula>
    </cfRule>
    <cfRule type="cellIs" dxfId="9997" priority="384" operator="greaterThan">
      <formula>0</formula>
    </cfRule>
  </conditionalFormatting>
  <conditionalFormatting sqref="N63:N64">
    <cfRule type="cellIs" dxfId="9996" priority="373" operator="equal">
      <formula>"PMS"</formula>
    </cfRule>
    <cfRule type="containsText" dxfId="9995" priority="374" operator="containsText" text="CMS">
      <formula>NOT(ISERROR(SEARCH("CMS",N63)))</formula>
    </cfRule>
    <cfRule type="cellIs" dxfId="9994" priority="375" operator="equal">
      <formula>0</formula>
    </cfRule>
    <cfRule type="cellIs" dxfId="9993" priority="376" operator="greaterThan">
      <formula>0</formula>
    </cfRule>
  </conditionalFormatting>
  <conditionalFormatting sqref="G78:K78">
    <cfRule type="cellIs" dxfId="9992" priority="365" operator="equal">
      <formula>"PMS"</formula>
    </cfRule>
    <cfRule type="containsText" dxfId="9991" priority="366" operator="containsText" text="CMS">
      <formula>NOT(ISERROR(SEARCH("CMS",G78)))</formula>
    </cfRule>
    <cfRule type="cellIs" dxfId="9990" priority="367" operator="equal">
      <formula>0</formula>
    </cfRule>
    <cfRule type="cellIs" dxfId="9989" priority="368" operator="greaterThan">
      <formula>0</formula>
    </cfRule>
    <cfRule type="cellIs" dxfId="9988" priority="369" operator="equal">
      <formula>"PMS"</formula>
    </cfRule>
    <cfRule type="containsText" dxfId="9987" priority="370" operator="containsText" text="CMS">
      <formula>NOT(ISERROR(SEARCH("CMS",G78)))</formula>
    </cfRule>
    <cfRule type="cellIs" dxfId="9986" priority="371" operator="equal">
      <formula>0</formula>
    </cfRule>
    <cfRule type="cellIs" dxfId="9985" priority="372" operator="greaterThan">
      <formula>0</formula>
    </cfRule>
  </conditionalFormatting>
  <conditionalFormatting sqref="G78:K78">
    <cfRule type="cellIs" dxfId="9984" priority="361" operator="equal">
      <formula>"PMS"</formula>
    </cfRule>
    <cfRule type="containsText" dxfId="9983" priority="362" operator="containsText" text="CMS">
      <formula>NOT(ISERROR(SEARCH("CMS",G78)))</formula>
    </cfRule>
    <cfRule type="cellIs" dxfId="9982" priority="363" operator="equal">
      <formula>0</formula>
    </cfRule>
    <cfRule type="cellIs" dxfId="9981" priority="364" operator="greaterThan">
      <formula>0</formula>
    </cfRule>
  </conditionalFormatting>
  <conditionalFormatting sqref="L78:L79">
    <cfRule type="cellIs" dxfId="9980" priority="353" operator="equal">
      <formula>"PMS"</formula>
    </cfRule>
    <cfRule type="containsText" dxfId="9979" priority="354" operator="containsText" text="CMS">
      <formula>NOT(ISERROR(SEARCH("CMS",L78)))</formula>
    </cfRule>
    <cfRule type="cellIs" dxfId="9978" priority="355" operator="equal">
      <formula>0</formula>
    </cfRule>
    <cfRule type="cellIs" dxfId="9977" priority="356" operator="greaterThan">
      <formula>0</formula>
    </cfRule>
    <cfRule type="cellIs" dxfId="9976" priority="357" operator="equal">
      <formula>"PMS"</formula>
    </cfRule>
    <cfRule type="containsText" dxfId="9975" priority="358" operator="containsText" text="CMS">
      <formula>NOT(ISERROR(SEARCH("CMS",L78)))</formula>
    </cfRule>
    <cfRule type="cellIs" dxfId="9974" priority="359" operator="equal">
      <formula>0</formula>
    </cfRule>
    <cfRule type="cellIs" dxfId="9973" priority="360" operator="greaterThan">
      <formula>0</formula>
    </cfRule>
  </conditionalFormatting>
  <conditionalFormatting sqref="L78:L79">
    <cfRule type="cellIs" dxfId="9972" priority="349" operator="equal">
      <formula>"PMS"</formula>
    </cfRule>
    <cfRule type="containsText" dxfId="9971" priority="350" operator="containsText" text="CMS">
      <formula>NOT(ISERROR(SEARCH("CMS",L78)))</formula>
    </cfRule>
    <cfRule type="cellIs" dxfId="9970" priority="351" operator="equal">
      <formula>0</formula>
    </cfRule>
    <cfRule type="cellIs" dxfId="9969" priority="352" operator="greaterThan">
      <formula>0</formula>
    </cfRule>
  </conditionalFormatting>
  <conditionalFormatting sqref="R27:R28">
    <cfRule type="cellIs" dxfId="9968" priority="341" operator="equal">
      <formula>"PMS"</formula>
    </cfRule>
    <cfRule type="containsText" dxfId="9967" priority="342" operator="containsText" text="CMS">
      <formula>NOT(ISERROR(SEARCH("CMS",R27)))</formula>
    </cfRule>
    <cfRule type="cellIs" dxfId="9966" priority="343" operator="equal">
      <formula>0</formula>
    </cfRule>
    <cfRule type="cellIs" dxfId="9965" priority="344" operator="greaterThan">
      <formula>0</formula>
    </cfRule>
    <cfRule type="cellIs" dxfId="9964" priority="345" operator="equal">
      <formula>"PMS"</formula>
    </cfRule>
    <cfRule type="containsText" dxfId="9963" priority="346" operator="containsText" text="CMS">
      <formula>NOT(ISERROR(SEARCH("CMS",R27)))</formula>
    </cfRule>
    <cfRule type="cellIs" dxfId="9962" priority="347" operator="equal">
      <formula>0</formula>
    </cfRule>
    <cfRule type="cellIs" dxfId="9961" priority="348" operator="greaterThan">
      <formula>0</formula>
    </cfRule>
  </conditionalFormatting>
  <conditionalFormatting sqref="R27:R28">
    <cfRule type="cellIs" dxfId="9960" priority="337" operator="equal">
      <formula>"PMS"</formula>
    </cfRule>
    <cfRule type="containsText" dxfId="9959" priority="338" operator="containsText" text="CMS">
      <formula>NOT(ISERROR(SEARCH("CMS",R27)))</formula>
    </cfRule>
    <cfRule type="cellIs" dxfId="9958" priority="339" operator="equal">
      <formula>0</formula>
    </cfRule>
    <cfRule type="cellIs" dxfId="9957" priority="340" operator="greaterThan">
      <formula>0</formula>
    </cfRule>
  </conditionalFormatting>
  <conditionalFormatting sqref="W78">
    <cfRule type="cellIs" dxfId="9956" priority="329" operator="equal">
      <formula>"PMS"</formula>
    </cfRule>
    <cfRule type="containsText" dxfId="9955" priority="330" operator="containsText" text="CMS">
      <formula>NOT(ISERROR(SEARCH("CMS",W78)))</formula>
    </cfRule>
    <cfRule type="cellIs" dxfId="9954" priority="331" operator="equal">
      <formula>0</formula>
    </cfRule>
    <cfRule type="cellIs" dxfId="9953" priority="332" operator="greaterThan">
      <formula>0</formula>
    </cfRule>
    <cfRule type="cellIs" dxfId="9952" priority="333" operator="equal">
      <formula>"PMS"</formula>
    </cfRule>
    <cfRule type="containsText" dxfId="9951" priority="334" operator="containsText" text="CMS">
      <formula>NOT(ISERROR(SEARCH("CMS",W78)))</formula>
    </cfRule>
    <cfRule type="cellIs" dxfId="9950" priority="335" operator="equal">
      <formula>0</formula>
    </cfRule>
    <cfRule type="cellIs" dxfId="9949" priority="336" operator="greaterThan">
      <formula>0</formula>
    </cfRule>
  </conditionalFormatting>
  <conditionalFormatting sqref="W78">
    <cfRule type="cellIs" dxfId="9948" priority="325" operator="equal">
      <formula>"PMS"</formula>
    </cfRule>
    <cfRule type="containsText" dxfId="9947" priority="326" operator="containsText" text="CMS">
      <formula>NOT(ISERROR(SEARCH("CMS",W78)))</formula>
    </cfRule>
    <cfRule type="cellIs" dxfId="9946" priority="327" operator="equal">
      <formula>0</formula>
    </cfRule>
    <cfRule type="cellIs" dxfId="9945" priority="328" operator="greaterThan">
      <formula>0</formula>
    </cfRule>
  </conditionalFormatting>
  <conditionalFormatting sqref="AA79">
    <cfRule type="cellIs" dxfId="9944" priority="317" operator="equal">
      <formula>"PMS"</formula>
    </cfRule>
    <cfRule type="containsText" dxfId="9943" priority="318" operator="containsText" text="CMS">
      <formula>NOT(ISERROR(SEARCH("CMS",AA79)))</formula>
    </cfRule>
    <cfRule type="cellIs" dxfId="9942" priority="319" operator="equal">
      <formula>0</formula>
    </cfRule>
    <cfRule type="cellIs" dxfId="9941" priority="320" operator="greaterThan">
      <formula>0</formula>
    </cfRule>
    <cfRule type="cellIs" dxfId="9940" priority="321" operator="equal">
      <formula>"PMS"</formula>
    </cfRule>
    <cfRule type="containsText" dxfId="9939" priority="322" operator="containsText" text="CMS">
      <formula>NOT(ISERROR(SEARCH("CMS",AA79)))</formula>
    </cfRule>
    <cfRule type="cellIs" dxfId="9938" priority="323" operator="equal">
      <formula>0</formula>
    </cfRule>
    <cfRule type="cellIs" dxfId="9937" priority="324" operator="greaterThan">
      <formula>0</formula>
    </cfRule>
  </conditionalFormatting>
  <conditionalFormatting sqref="AA79">
    <cfRule type="cellIs" dxfId="9936" priority="313" operator="equal">
      <formula>"PMS"</formula>
    </cfRule>
    <cfRule type="containsText" dxfId="9935" priority="314" operator="containsText" text="CMS">
      <formula>NOT(ISERROR(SEARCH("CMS",AA79)))</formula>
    </cfRule>
    <cfRule type="cellIs" dxfId="9934" priority="315" operator="equal">
      <formula>0</formula>
    </cfRule>
    <cfRule type="cellIs" dxfId="9933" priority="316" operator="greaterThan">
      <formula>0</formula>
    </cfRule>
  </conditionalFormatting>
  <conditionalFormatting sqref="L30:M30">
    <cfRule type="cellIs" dxfId="9932" priority="305" operator="equal">
      <formula>"PMS"</formula>
    </cfRule>
    <cfRule type="containsText" dxfId="9931" priority="306" operator="containsText" text="CMS">
      <formula>NOT(ISERROR(SEARCH("CMS",L30)))</formula>
    </cfRule>
    <cfRule type="cellIs" dxfId="9930" priority="307" operator="equal">
      <formula>0</formula>
    </cfRule>
    <cfRule type="cellIs" dxfId="9929" priority="308" operator="greaterThan">
      <formula>0</formula>
    </cfRule>
    <cfRule type="cellIs" dxfId="9928" priority="309" operator="equal">
      <formula>"PMS"</formula>
    </cfRule>
    <cfRule type="containsText" dxfId="9927" priority="310" operator="containsText" text="CMS">
      <formula>NOT(ISERROR(SEARCH("CMS",L30)))</formula>
    </cfRule>
    <cfRule type="cellIs" dxfId="9926" priority="311" operator="equal">
      <formula>0</formula>
    </cfRule>
    <cfRule type="cellIs" dxfId="9925" priority="312" operator="greaterThan">
      <formula>0</formula>
    </cfRule>
  </conditionalFormatting>
  <conditionalFormatting sqref="L30:M30">
    <cfRule type="cellIs" dxfId="9924" priority="301" operator="equal">
      <formula>"PMS"</formula>
    </cfRule>
    <cfRule type="containsText" dxfId="9923" priority="302" operator="containsText" text="CMS">
      <formula>NOT(ISERROR(SEARCH("CMS",L30)))</formula>
    </cfRule>
    <cfRule type="cellIs" dxfId="9922" priority="303" operator="equal">
      <formula>0</formula>
    </cfRule>
    <cfRule type="cellIs" dxfId="9921" priority="304" operator="greaterThan">
      <formula>0</formula>
    </cfRule>
  </conditionalFormatting>
  <conditionalFormatting sqref="R78">
    <cfRule type="cellIs" dxfId="9920" priority="293" operator="equal">
      <formula>"PMS"</formula>
    </cfRule>
    <cfRule type="containsText" dxfId="9919" priority="294" operator="containsText" text="CMS">
      <formula>NOT(ISERROR(SEARCH("CMS",R78)))</formula>
    </cfRule>
    <cfRule type="cellIs" dxfId="9918" priority="295" operator="equal">
      <formula>0</formula>
    </cfRule>
    <cfRule type="cellIs" dxfId="9917" priority="296" operator="greaterThan">
      <formula>0</formula>
    </cfRule>
    <cfRule type="cellIs" dxfId="9916" priority="297" operator="equal">
      <formula>"PMS"</formula>
    </cfRule>
    <cfRule type="containsText" dxfId="9915" priority="298" operator="containsText" text="CMS">
      <formula>NOT(ISERROR(SEARCH("CMS",R78)))</formula>
    </cfRule>
    <cfRule type="cellIs" dxfId="9914" priority="299" operator="equal">
      <formula>0</formula>
    </cfRule>
    <cfRule type="cellIs" dxfId="9913" priority="300" operator="greaterThan">
      <formula>0</formula>
    </cfRule>
  </conditionalFormatting>
  <conditionalFormatting sqref="R78">
    <cfRule type="cellIs" dxfId="9912" priority="289" operator="equal">
      <formula>"PMS"</formula>
    </cfRule>
    <cfRule type="containsText" dxfId="9911" priority="290" operator="containsText" text="CMS">
      <formula>NOT(ISERROR(SEARCH("CMS",R78)))</formula>
    </cfRule>
    <cfRule type="cellIs" dxfId="9910" priority="291" operator="equal">
      <formula>0</formula>
    </cfRule>
    <cfRule type="cellIs" dxfId="9909" priority="292" operator="greaterThan">
      <formula>0</formula>
    </cfRule>
  </conditionalFormatting>
  <conditionalFormatting sqref="M16">
    <cfRule type="cellIs" dxfId="9908" priority="281" operator="equal">
      <formula>"PMS"</formula>
    </cfRule>
    <cfRule type="containsText" dxfId="9907" priority="282" operator="containsText" text="CMS">
      <formula>NOT(ISERROR(SEARCH("CMS",M16)))</formula>
    </cfRule>
    <cfRule type="cellIs" dxfId="9906" priority="283" operator="equal">
      <formula>0</formula>
    </cfRule>
    <cfRule type="cellIs" dxfId="9905" priority="284" operator="greaterThan">
      <formula>0</formula>
    </cfRule>
    <cfRule type="cellIs" dxfId="9904" priority="285" operator="equal">
      <formula>"PMS"</formula>
    </cfRule>
    <cfRule type="containsText" dxfId="9903" priority="286" operator="containsText" text="CMS">
      <formula>NOT(ISERROR(SEARCH("CMS",M16)))</formula>
    </cfRule>
    <cfRule type="cellIs" dxfId="9902" priority="287" operator="equal">
      <formula>0</formula>
    </cfRule>
    <cfRule type="cellIs" dxfId="9901" priority="288" operator="greaterThan">
      <formula>0</formula>
    </cfRule>
  </conditionalFormatting>
  <conditionalFormatting sqref="M16">
    <cfRule type="cellIs" dxfId="9900" priority="277" operator="equal">
      <formula>"PMS"</formula>
    </cfRule>
    <cfRule type="containsText" dxfId="9899" priority="278" operator="containsText" text="CMS">
      <formula>NOT(ISERROR(SEARCH("CMS",M16)))</formula>
    </cfRule>
    <cfRule type="cellIs" dxfId="9898" priority="279" operator="equal">
      <formula>0</formula>
    </cfRule>
    <cfRule type="cellIs" dxfId="9897" priority="280" operator="greaterThan">
      <formula>0</formula>
    </cfRule>
  </conditionalFormatting>
  <conditionalFormatting sqref="O40">
    <cfRule type="cellIs" dxfId="9896" priority="269" operator="equal">
      <formula>"PMS"</formula>
    </cfRule>
    <cfRule type="containsText" dxfId="9895" priority="270" operator="containsText" text="CMS">
      <formula>NOT(ISERROR(SEARCH("CMS",O40)))</formula>
    </cfRule>
    <cfRule type="cellIs" dxfId="9894" priority="271" operator="equal">
      <formula>0</formula>
    </cfRule>
    <cfRule type="cellIs" dxfId="9893" priority="272" operator="greaterThan">
      <formula>0</formula>
    </cfRule>
    <cfRule type="cellIs" dxfId="9892" priority="273" operator="equal">
      <formula>"PMS"</formula>
    </cfRule>
    <cfRule type="containsText" dxfId="9891" priority="274" operator="containsText" text="CMS">
      <formula>NOT(ISERROR(SEARCH("CMS",O40)))</formula>
    </cfRule>
    <cfRule type="cellIs" dxfId="9890" priority="275" operator="equal">
      <formula>0</formula>
    </cfRule>
    <cfRule type="cellIs" dxfId="9889" priority="276" operator="greaterThan">
      <formula>0</formula>
    </cfRule>
  </conditionalFormatting>
  <conditionalFormatting sqref="O40">
    <cfRule type="cellIs" dxfId="9888" priority="265" operator="equal">
      <formula>"PMS"</formula>
    </cfRule>
    <cfRule type="containsText" dxfId="9887" priority="266" operator="containsText" text="CMS">
      <formula>NOT(ISERROR(SEARCH("CMS",O40)))</formula>
    </cfRule>
    <cfRule type="cellIs" dxfId="9886" priority="267" operator="equal">
      <formula>0</formula>
    </cfRule>
    <cfRule type="cellIs" dxfId="9885" priority="268" operator="greaterThan">
      <formula>0</formula>
    </cfRule>
  </conditionalFormatting>
  <conditionalFormatting sqref="P21">
    <cfRule type="cellIs" dxfId="9884" priority="257" operator="equal">
      <formula>"PMS"</formula>
    </cfRule>
    <cfRule type="containsText" dxfId="9883" priority="258" operator="containsText" text="CMS">
      <formula>NOT(ISERROR(SEARCH("CMS",P21)))</formula>
    </cfRule>
    <cfRule type="cellIs" dxfId="9882" priority="259" operator="equal">
      <formula>0</formula>
    </cfRule>
    <cfRule type="cellIs" dxfId="9881" priority="260" operator="greaterThan">
      <formula>0</formula>
    </cfRule>
    <cfRule type="cellIs" dxfId="9880" priority="261" operator="equal">
      <formula>"PMS"</formula>
    </cfRule>
    <cfRule type="containsText" dxfId="9879" priority="262" operator="containsText" text="CMS">
      <formula>NOT(ISERROR(SEARCH("CMS",P21)))</formula>
    </cfRule>
    <cfRule type="cellIs" dxfId="9878" priority="263" operator="equal">
      <formula>0</formula>
    </cfRule>
    <cfRule type="cellIs" dxfId="9877" priority="264" operator="greaterThan">
      <formula>0</formula>
    </cfRule>
  </conditionalFormatting>
  <conditionalFormatting sqref="P21">
    <cfRule type="cellIs" dxfId="9876" priority="253" operator="equal">
      <formula>"PMS"</formula>
    </cfRule>
    <cfRule type="containsText" dxfId="9875" priority="254" operator="containsText" text="CMS">
      <formula>NOT(ISERROR(SEARCH("CMS",P21)))</formula>
    </cfRule>
    <cfRule type="cellIs" dxfId="9874" priority="255" operator="equal">
      <formula>0</formula>
    </cfRule>
    <cfRule type="cellIs" dxfId="9873" priority="256" operator="greaterThan">
      <formula>0</formula>
    </cfRule>
  </conditionalFormatting>
  <conditionalFormatting sqref="M78:M79">
    <cfRule type="cellIs" dxfId="9872" priority="245" operator="equal">
      <formula>"PMS"</formula>
    </cfRule>
    <cfRule type="containsText" dxfId="9871" priority="246" operator="containsText" text="CMS">
      <formula>NOT(ISERROR(SEARCH("CMS",M78)))</formula>
    </cfRule>
    <cfRule type="cellIs" dxfId="9870" priority="247" operator="equal">
      <formula>0</formula>
    </cfRule>
    <cfRule type="cellIs" dxfId="9869" priority="248" operator="greaterThan">
      <formula>0</formula>
    </cfRule>
    <cfRule type="cellIs" dxfId="9868" priority="249" operator="equal">
      <formula>"PMS"</formula>
    </cfRule>
    <cfRule type="containsText" dxfId="9867" priority="250" operator="containsText" text="CMS">
      <formula>NOT(ISERROR(SEARCH("CMS",M78)))</formula>
    </cfRule>
    <cfRule type="cellIs" dxfId="9866" priority="251" operator="equal">
      <formula>0</formula>
    </cfRule>
    <cfRule type="cellIs" dxfId="9865" priority="252" operator="greaterThan">
      <formula>0</formula>
    </cfRule>
  </conditionalFormatting>
  <conditionalFormatting sqref="M78:M79">
    <cfRule type="cellIs" dxfId="9864" priority="241" operator="equal">
      <formula>"PMS"</formula>
    </cfRule>
    <cfRule type="containsText" dxfId="9863" priority="242" operator="containsText" text="CMS">
      <formula>NOT(ISERROR(SEARCH("CMS",M78)))</formula>
    </cfRule>
    <cfRule type="cellIs" dxfId="9862" priority="243" operator="equal">
      <formula>0</formula>
    </cfRule>
    <cfRule type="cellIs" dxfId="9861" priority="244" operator="greaterThan">
      <formula>0</formula>
    </cfRule>
  </conditionalFormatting>
  <conditionalFormatting sqref="G79:K79">
    <cfRule type="cellIs" dxfId="9860" priority="233" operator="equal">
      <formula>"PMS"</formula>
    </cfRule>
    <cfRule type="containsText" dxfId="9859" priority="234" operator="containsText" text="CMS">
      <formula>NOT(ISERROR(SEARCH("CMS",G79)))</formula>
    </cfRule>
    <cfRule type="cellIs" dxfId="9858" priority="235" operator="equal">
      <formula>0</formula>
    </cfRule>
    <cfRule type="cellIs" dxfId="9857" priority="236" operator="greaterThan">
      <formula>0</formula>
    </cfRule>
    <cfRule type="cellIs" dxfId="9856" priority="237" operator="equal">
      <formula>"PMS"</formula>
    </cfRule>
    <cfRule type="containsText" dxfId="9855" priority="238" operator="containsText" text="CMS">
      <formula>NOT(ISERROR(SEARCH("CMS",G79)))</formula>
    </cfRule>
    <cfRule type="cellIs" dxfId="9854" priority="239" operator="equal">
      <formula>0</formula>
    </cfRule>
    <cfRule type="cellIs" dxfId="9853" priority="240" operator="greaterThan">
      <formula>0</formula>
    </cfRule>
  </conditionalFormatting>
  <conditionalFormatting sqref="G79:K79">
    <cfRule type="cellIs" dxfId="9852" priority="229" operator="equal">
      <formula>"PMS"</formula>
    </cfRule>
    <cfRule type="containsText" dxfId="9851" priority="230" operator="containsText" text="CMS">
      <formula>NOT(ISERROR(SEARCH("CMS",G79)))</formula>
    </cfRule>
    <cfRule type="cellIs" dxfId="9850" priority="231" operator="equal">
      <formula>0</formula>
    </cfRule>
    <cfRule type="cellIs" dxfId="9849" priority="232" operator="greaterThan">
      <formula>0</formula>
    </cfRule>
  </conditionalFormatting>
  <conditionalFormatting sqref="N14">
    <cfRule type="cellIs" dxfId="9848" priority="221" operator="equal">
      <formula>"PMS"</formula>
    </cfRule>
    <cfRule type="containsText" dxfId="9847" priority="222" operator="containsText" text="CMS">
      <formula>NOT(ISERROR(SEARCH("CMS",N14)))</formula>
    </cfRule>
    <cfRule type="cellIs" dxfId="9846" priority="223" operator="equal">
      <formula>0</formula>
    </cfRule>
    <cfRule type="cellIs" dxfId="9845" priority="224" operator="greaterThan">
      <formula>0</formula>
    </cfRule>
    <cfRule type="cellIs" dxfId="9844" priority="225" operator="equal">
      <formula>"PMS"</formula>
    </cfRule>
    <cfRule type="containsText" dxfId="9843" priority="226" operator="containsText" text="CMS">
      <formula>NOT(ISERROR(SEARCH("CMS",N14)))</formula>
    </cfRule>
    <cfRule type="cellIs" dxfId="9842" priority="227" operator="equal">
      <formula>0</formula>
    </cfRule>
    <cfRule type="cellIs" dxfId="9841" priority="228" operator="greaterThan">
      <formula>0</formula>
    </cfRule>
  </conditionalFormatting>
  <conditionalFormatting sqref="N14">
    <cfRule type="cellIs" dxfId="9840" priority="217" operator="equal">
      <formula>"PMS"</formula>
    </cfRule>
    <cfRule type="containsText" dxfId="9839" priority="218" operator="containsText" text="CMS">
      <formula>NOT(ISERROR(SEARCH("CMS",N14)))</formula>
    </cfRule>
    <cfRule type="cellIs" dxfId="9838" priority="219" operator="equal">
      <formula>0</formula>
    </cfRule>
    <cfRule type="cellIs" dxfId="9837" priority="220" operator="greaterThan">
      <formula>0</formula>
    </cfRule>
  </conditionalFormatting>
  <conditionalFormatting sqref="P64:Q64">
    <cfRule type="cellIs" dxfId="9836" priority="209" operator="equal">
      <formula>"PMS"</formula>
    </cfRule>
    <cfRule type="containsText" dxfId="9835" priority="210" operator="containsText" text="CMS">
      <formula>NOT(ISERROR(SEARCH("CMS",P64)))</formula>
    </cfRule>
    <cfRule type="cellIs" dxfId="9834" priority="211" operator="equal">
      <formula>0</formula>
    </cfRule>
    <cfRule type="cellIs" dxfId="9833" priority="212" operator="greaterThan">
      <formula>0</formula>
    </cfRule>
    <cfRule type="cellIs" dxfId="9832" priority="213" operator="equal">
      <formula>"PMS"</formula>
    </cfRule>
    <cfRule type="containsText" dxfId="9831" priority="214" operator="containsText" text="CMS">
      <formula>NOT(ISERROR(SEARCH("CMS",P64)))</formula>
    </cfRule>
    <cfRule type="cellIs" dxfId="9830" priority="215" operator="equal">
      <formula>0</formula>
    </cfRule>
    <cfRule type="cellIs" dxfId="9829" priority="216" operator="greaterThan">
      <formula>0</formula>
    </cfRule>
  </conditionalFormatting>
  <conditionalFormatting sqref="P64:Q64">
    <cfRule type="cellIs" dxfId="9828" priority="205" operator="equal">
      <formula>"PMS"</formula>
    </cfRule>
    <cfRule type="containsText" dxfId="9827" priority="206" operator="containsText" text="CMS">
      <formula>NOT(ISERROR(SEARCH("CMS",P64)))</formula>
    </cfRule>
    <cfRule type="cellIs" dxfId="9826" priority="207" operator="equal">
      <formula>0</formula>
    </cfRule>
    <cfRule type="cellIs" dxfId="9825" priority="208" operator="greaterThan">
      <formula>0</formula>
    </cfRule>
  </conditionalFormatting>
  <conditionalFormatting sqref="F36:F59">
    <cfRule type="cellIs" dxfId="9824" priority="197" operator="equal">
      <formula>"PMS"</formula>
    </cfRule>
    <cfRule type="containsText" dxfId="9823" priority="198" operator="containsText" text="CMS">
      <formula>NOT(ISERROR(SEARCH("CMS",F36)))</formula>
    </cfRule>
    <cfRule type="cellIs" dxfId="9822" priority="199" operator="equal">
      <formula>0</formula>
    </cfRule>
    <cfRule type="cellIs" dxfId="9821" priority="200" operator="greaterThan">
      <formula>0</formula>
    </cfRule>
    <cfRule type="cellIs" dxfId="9820" priority="201" operator="equal">
      <formula>"PMS"</formula>
    </cfRule>
    <cfRule type="containsText" dxfId="9819" priority="202" operator="containsText" text="CMS">
      <formula>NOT(ISERROR(SEARCH("CMS",F36)))</formula>
    </cfRule>
    <cfRule type="cellIs" dxfId="9818" priority="203" operator="equal">
      <formula>0</formula>
    </cfRule>
    <cfRule type="cellIs" dxfId="9817" priority="204" operator="greaterThan">
      <formula>0</formula>
    </cfRule>
  </conditionalFormatting>
  <conditionalFormatting sqref="F36:F59">
    <cfRule type="cellIs" dxfId="9816" priority="193" operator="equal">
      <formula>"PMS"</formula>
    </cfRule>
    <cfRule type="containsText" dxfId="9815" priority="194" operator="containsText" text="CMS">
      <formula>NOT(ISERROR(SEARCH("CMS",F36)))</formula>
    </cfRule>
    <cfRule type="cellIs" dxfId="9814" priority="195" operator="equal">
      <formula>0</formula>
    </cfRule>
    <cfRule type="cellIs" dxfId="9813" priority="196" operator="greaterThan">
      <formula>0</formula>
    </cfRule>
  </conditionalFormatting>
  <conditionalFormatting sqref="F67:F75">
    <cfRule type="cellIs" dxfId="9812" priority="185" operator="equal">
      <formula>"PMS"</formula>
    </cfRule>
    <cfRule type="containsText" dxfId="9811" priority="186" operator="containsText" text="CMS">
      <formula>NOT(ISERROR(SEARCH("CMS",F67)))</formula>
    </cfRule>
    <cfRule type="cellIs" dxfId="9810" priority="187" operator="equal">
      <formula>0</formula>
    </cfRule>
    <cfRule type="cellIs" dxfId="9809" priority="188" operator="greaterThan">
      <formula>0</formula>
    </cfRule>
    <cfRule type="cellIs" dxfId="9808" priority="189" operator="equal">
      <formula>"PMS"</formula>
    </cfRule>
    <cfRule type="containsText" dxfId="9807" priority="190" operator="containsText" text="CMS">
      <formula>NOT(ISERROR(SEARCH("CMS",F67)))</formula>
    </cfRule>
    <cfRule type="cellIs" dxfId="9806" priority="191" operator="equal">
      <formula>0</formula>
    </cfRule>
    <cfRule type="cellIs" dxfId="9805" priority="192" operator="greaterThan">
      <formula>0</formula>
    </cfRule>
  </conditionalFormatting>
  <conditionalFormatting sqref="F67:F75">
    <cfRule type="cellIs" dxfId="9804" priority="181" operator="equal">
      <formula>"PMS"</formula>
    </cfRule>
    <cfRule type="containsText" dxfId="9803" priority="182" operator="containsText" text="CMS">
      <formula>NOT(ISERROR(SEARCH("CMS",F67)))</formula>
    </cfRule>
    <cfRule type="cellIs" dxfId="9802" priority="183" operator="equal">
      <formula>0</formula>
    </cfRule>
    <cfRule type="cellIs" dxfId="9801" priority="184" operator="greaterThan">
      <formula>0</formula>
    </cfRule>
  </conditionalFormatting>
  <conditionalFormatting sqref="O51">
    <cfRule type="cellIs" dxfId="9800" priority="149" operator="equal">
      <formula>"PMS"</formula>
    </cfRule>
    <cfRule type="containsText" dxfId="9799" priority="150" operator="containsText" text="CMS">
      <formula>NOT(ISERROR(SEARCH("CMS",O51)))</formula>
    </cfRule>
    <cfRule type="cellIs" dxfId="9798" priority="151" operator="equal">
      <formula>0</formula>
    </cfRule>
    <cfRule type="cellIs" dxfId="9797" priority="152" operator="greaterThan">
      <formula>0</formula>
    </cfRule>
    <cfRule type="cellIs" dxfId="9796" priority="153" operator="equal">
      <formula>"PMS"</formula>
    </cfRule>
    <cfRule type="containsText" dxfId="9795" priority="154" operator="containsText" text="CMS">
      <formula>NOT(ISERROR(SEARCH("CMS",O51)))</formula>
    </cfRule>
    <cfRule type="cellIs" dxfId="9794" priority="155" operator="equal">
      <formula>0</formula>
    </cfRule>
    <cfRule type="cellIs" dxfId="9793" priority="156" operator="greaterThan">
      <formula>0</formula>
    </cfRule>
  </conditionalFormatting>
  <conditionalFormatting sqref="O51">
    <cfRule type="cellIs" dxfId="9792" priority="145" operator="equal">
      <formula>"PMS"</formula>
    </cfRule>
    <cfRule type="containsText" dxfId="9791" priority="146" operator="containsText" text="CMS">
      <formula>NOT(ISERROR(SEARCH("CMS",O51)))</formula>
    </cfRule>
    <cfRule type="cellIs" dxfId="9790" priority="147" operator="equal">
      <formula>0</formula>
    </cfRule>
    <cfRule type="cellIs" dxfId="9789" priority="148" operator="greaterThan">
      <formula>0</formula>
    </cfRule>
  </conditionalFormatting>
  <conditionalFormatting sqref="O56">
    <cfRule type="cellIs" dxfId="9788" priority="137" operator="equal">
      <formula>"PMS"</formula>
    </cfRule>
    <cfRule type="containsText" dxfId="9787" priority="138" operator="containsText" text="CMS">
      <formula>NOT(ISERROR(SEARCH("CMS",O56)))</formula>
    </cfRule>
    <cfRule type="cellIs" dxfId="9786" priority="139" operator="equal">
      <formula>0</formula>
    </cfRule>
    <cfRule type="cellIs" dxfId="9785" priority="140" operator="greaterThan">
      <formula>0</formula>
    </cfRule>
    <cfRule type="cellIs" dxfId="9784" priority="141" operator="equal">
      <formula>"PMS"</formula>
    </cfRule>
    <cfRule type="containsText" dxfId="9783" priority="142" operator="containsText" text="CMS">
      <formula>NOT(ISERROR(SEARCH("CMS",O56)))</formula>
    </cfRule>
    <cfRule type="cellIs" dxfId="9782" priority="143" operator="equal">
      <formula>0</formula>
    </cfRule>
    <cfRule type="cellIs" dxfId="9781" priority="144" operator="greaterThan">
      <formula>0</formula>
    </cfRule>
  </conditionalFormatting>
  <conditionalFormatting sqref="O56">
    <cfRule type="cellIs" dxfId="9780" priority="133" operator="equal">
      <formula>"PMS"</formula>
    </cfRule>
    <cfRule type="containsText" dxfId="9779" priority="134" operator="containsText" text="CMS">
      <formula>NOT(ISERROR(SEARCH("CMS",O56)))</formula>
    </cfRule>
    <cfRule type="cellIs" dxfId="9778" priority="135" operator="equal">
      <formula>0</formula>
    </cfRule>
    <cfRule type="cellIs" dxfId="9777" priority="136" operator="greaterThan">
      <formula>0</formula>
    </cfRule>
  </conditionalFormatting>
  <conditionalFormatting sqref="F13:F16">
    <cfRule type="cellIs" dxfId="9776" priority="101" operator="equal">
      <formula>"PMS"</formula>
    </cfRule>
    <cfRule type="containsText" dxfId="9775" priority="102" operator="containsText" text="CMS">
      <formula>NOT(ISERROR(SEARCH("CMS",F13)))</formula>
    </cfRule>
    <cfRule type="cellIs" dxfId="9774" priority="103" operator="equal">
      <formula>0</formula>
    </cfRule>
    <cfRule type="cellIs" dxfId="9773" priority="104" operator="greaterThan">
      <formula>0</formula>
    </cfRule>
    <cfRule type="cellIs" dxfId="9772" priority="105" operator="equal">
      <formula>"PMS"</formula>
    </cfRule>
    <cfRule type="containsText" dxfId="9771" priority="106" operator="containsText" text="CMS">
      <formula>NOT(ISERROR(SEARCH("CMS",F13)))</formula>
    </cfRule>
    <cfRule type="cellIs" dxfId="9770" priority="107" operator="equal">
      <formula>0</formula>
    </cfRule>
    <cfRule type="cellIs" dxfId="9769" priority="108" operator="greaterThan">
      <formula>0</formula>
    </cfRule>
  </conditionalFormatting>
  <conditionalFormatting sqref="F13:F16">
    <cfRule type="cellIs" dxfId="9768" priority="97" operator="equal">
      <formula>"PMS"</formula>
    </cfRule>
    <cfRule type="containsText" dxfId="9767" priority="98" operator="containsText" text="CMS">
      <formula>NOT(ISERROR(SEARCH("CMS",F13)))</formula>
    </cfRule>
    <cfRule type="cellIs" dxfId="9766" priority="99" operator="equal">
      <formula>0</formula>
    </cfRule>
    <cfRule type="cellIs" dxfId="9765" priority="100" operator="greaterThan">
      <formula>0</formula>
    </cfRule>
  </conditionalFormatting>
  <conditionalFormatting sqref="F19:F21">
    <cfRule type="cellIs" dxfId="9764" priority="89" operator="equal">
      <formula>"PMS"</formula>
    </cfRule>
    <cfRule type="containsText" dxfId="9763" priority="90" operator="containsText" text="CMS">
      <formula>NOT(ISERROR(SEARCH("CMS",F19)))</formula>
    </cfRule>
    <cfRule type="cellIs" dxfId="9762" priority="91" operator="equal">
      <formula>0</formula>
    </cfRule>
    <cfRule type="cellIs" dxfId="9761" priority="92" operator="greaterThan">
      <formula>0</formula>
    </cfRule>
    <cfRule type="cellIs" dxfId="9760" priority="93" operator="equal">
      <formula>"PMS"</formula>
    </cfRule>
    <cfRule type="containsText" dxfId="9759" priority="94" operator="containsText" text="CMS">
      <formula>NOT(ISERROR(SEARCH("CMS",F19)))</formula>
    </cfRule>
    <cfRule type="cellIs" dxfId="9758" priority="95" operator="equal">
      <formula>0</formula>
    </cfRule>
    <cfRule type="cellIs" dxfId="9757" priority="96" operator="greaterThan">
      <formula>0</formula>
    </cfRule>
  </conditionalFormatting>
  <conditionalFormatting sqref="F19:F21">
    <cfRule type="cellIs" dxfId="9756" priority="85" operator="equal">
      <formula>"PMS"</formula>
    </cfRule>
    <cfRule type="containsText" dxfId="9755" priority="86" operator="containsText" text="CMS">
      <formula>NOT(ISERROR(SEARCH("CMS",F19)))</formula>
    </cfRule>
    <cfRule type="cellIs" dxfId="9754" priority="87" operator="equal">
      <formula>0</formula>
    </cfRule>
    <cfRule type="cellIs" dxfId="9753" priority="88" operator="greaterThan">
      <formula>0</formula>
    </cfRule>
  </conditionalFormatting>
  <conditionalFormatting sqref="F24">
    <cfRule type="cellIs" dxfId="9752" priority="77" operator="equal">
      <formula>"PMS"</formula>
    </cfRule>
    <cfRule type="containsText" dxfId="9751" priority="78" operator="containsText" text="CMS">
      <formula>NOT(ISERROR(SEARCH("CMS",F24)))</formula>
    </cfRule>
    <cfRule type="cellIs" dxfId="9750" priority="79" operator="equal">
      <formula>0</formula>
    </cfRule>
    <cfRule type="cellIs" dxfId="9749" priority="80" operator="greaterThan">
      <formula>0</formula>
    </cfRule>
    <cfRule type="cellIs" dxfId="9748" priority="81" operator="equal">
      <formula>"PMS"</formula>
    </cfRule>
    <cfRule type="containsText" dxfId="9747" priority="82" operator="containsText" text="CMS">
      <formula>NOT(ISERROR(SEARCH("CMS",F24)))</formula>
    </cfRule>
    <cfRule type="cellIs" dxfId="9746" priority="83" operator="equal">
      <formula>0</formula>
    </cfRule>
    <cfRule type="cellIs" dxfId="9745" priority="84" operator="greaterThan">
      <formula>0</formula>
    </cfRule>
  </conditionalFormatting>
  <conditionalFormatting sqref="F24">
    <cfRule type="cellIs" dxfId="9744" priority="73" operator="equal">
      <formula>"PMS"</formula>
    </cfRule>
    <cfRule type="containsText" dxfId="9743" priority="74" operator="containsText" text="CMS">
      <formula>NOT(ISERROR(SEARCH("CMS",F24)))</formula>
    </cfRule>
    <cfRule type="cellIs" dxfId="9742" priority="75" operator="equal">
      <formula>0</formula>
    </cfRule>
    <cfRule type="cellIs" dxfId="9741" priority="76" operator="greaterThan">
      <formula>0</formula>
    </cfRule>
  </conditionalFormatting>
  <conditionalFormatting sqref="F28:F30">
    <cfRule type="cellIs" dxfId="9740" priority="65" operator="equal">
      <formula>"PMS"</formula>
    </cfRule>
    <cfRule type="containsText" dxfId="9739" priority="66" operator="containsText" text="CMS">
      <formula>NOT(ISERROR(SEARCH("CMS",F28)))</formula>
    </cfRule>
    <cfRule type="cellIs" dxfId="9738" priority="67" operator="equal">
      <formula>0</formula>
    </cfRule>
    <cfRule type="cellIs" dxfId="9737" priority="68" operator="greaterThan">
      <formula>0</formula>
    </cfRule>
    <cfRule type="cellIs" dxfId="9736" priority="69" operator="equal">
      <formula>"PMS"</formula>
    </cfRule>
    <cfRule type="containsText" dxfId="9735" priority="70" operator="containsText" text="CMS">
      <formula>NOT(ISERROR(SEARCH("CMS",F28)))</formula>
    </cfRule>
    <cfRule type="cellIs" dxfId="9734" priority="71" operator="equal">
      <formula>0</formula>
    </cfRule>
    <cfRule type="cellIs" dxfId="9733" priority="72" operator="greaterThan">
      <formula>0</formula>
    </cfRule>
  </conditionalFormatting>
  <conditionalFormatting sqref="F28:F30">
    <cfRule type="cellIs" dxfId="9732" priority="61" operator="equal">
      <formula>"PMS"</formula>
    </cfRule>
    <cfRule type="containsText" dxfId="9731" priority="62" operator="containsText" text="CMS">
      <formula>NOT(ISERROR(SEARCH("CMS",F28)))</formula>
    </cfRule>
    <cfRule type="cellIs" dxfId="9730" priority="63" operator="equal">
      <formula>0</formula>
    </cfRule>
    <cfRule type="cellIs" dxfId="9729" priority="64" operator="greaterThan">
      <formula>0</formula>
    </cfRule>
  </conditionalFormatting>
  <conditionalFormatting sqref="F27">
    <cfRule type="cellIs" dxfId="9728" priority="53" operator="equal">
      <formula>"PMS"</formula>
    </cfRule>
    <cfRule type="containsText" dxfId="9727" priority="54" operator="containsText" text="CMS">
      <formula>NOT(ISERROR(SEARCH("CMS",F27)))</formula>
    </cfRule>
    <cfRule type="cellIs" dxfId="9726" priority="55" operator="equal">
      <formula>0</formula>
    </cfRule>
    <cfRule type="cellIs" dxfId="9725" priority="56" operator="greaterThan">
      <formula>0</formula>
    </cfRule>
    <cfRule type="cellIs" dxfId="9724" priority="57" operator="equal">
      <formula>"PMS"</formula>
    </cfRule>
    <cfRule type="containsText" dxfId="9723" priority="58" operator="containsText" text="CMS">
      <formula>NOT(ISERROR(SEARCH("CMS",F27)))</formula>
    </cfRule>
    <cfRule type="cellIs" dxfId="9722" priority="59" operator="equal">
      <formula>0</formula>
    </cfRule>
    <cfRule type="cellIs" dxfId="9721" priority="60" operator="greaterThan">
      <formula>0</formula>
    </cfRule>
  </conditionalFormatting>
  <conditionalFormatting sqref="F27">
    <cfRule type="cellIs" dxfId="9720" priority="49" operator="equal">
      <formula>"PMS"</formula>
    </cfRule>
    <cfRule type="containsText" dxfId="9719" priority="50" operator="containsText" text="CMS">
      <formula>NOT(ISERROR(SEARCH("CMS",F27)))</formula>
    </cfRule>
    <cfRule type="cellIs" dxfId="9718" priority="51" operator="equal">
      <formula>0</formula>
    </cfRule>
    <cfRule type="cellIs" dxfId="9717" priority="52" operator="greaterThan">
      <formula>0</formula>
    </cfRule>
  </conditionalFormatting>
  <conditionalFormatting sqref="F33">
    <cfRule type="cellIs" dxfId="9716" priority="41" operator="equal">
      <formula>"PMS"</formula>
    </cfRule>
    <cfRule type="containsText" dxfId="9715" priority="42" operator="containsText" text="CMS">
      <formula>NOT(ISERROR(SEARCH("CMS",F33)))</formula>
    </cfRule>
    <cfRule type="cellIs" dxfId="9714" priority="43" operator="equal">
      <formula>0</formula>
    </cfRule>
    <cfRule type="cellIs" dxfId="9713" priority="44" operator="greaterThan">
      <formula>0</formula>
    </cfRule>
    <cfRule type="cellIs" dxfId="9712" priority="45" operator="equal">
      <formula>"PMS"</formula>
    </cfRule>
    <cfRule type="containsText" dxfId="9711" priority="46" operator="containsText" text="CMS">
      <formula>NOT(ISERROR(SEARCH("CMS",F33)))</formula>
    </cfRule>
    <cfRule type="cellIs" dxfId="9710" priority="47" operator="equal">
      <formula>0</formula>
    </cfRule>
    <cfRule type="cellIs" dxfId="9709" priority="48" operator="greaterThan">
      <formula>0</formula>
    </cfRule>
  </conditionalFormatting>
  <conditionalFormatting sqref="F33">
    <cfRule type="cellIs" dxfId="9708" priority="37" operator="equal">
      <formula>"PMS"</formula>
    </cfRule>
    <cfRule type="containsText" dxfId="9707" priority="38" operator="containsText" text="CMS">
      <formula>NOT(ISERROR(SEARCH("CMS",F33)))</formula>
    </cfRule>
    <cfRule type="cellIs" dxfId="9706" priority="39" operator="equal">
      <formula>0</formula>
    </cfRule>
    <cfRule type="cellIs" dxfId="9705" priority="40" operator="greaterThan">
      <formula>0</formula>
    </cfRule>
  </conditionalFormatting>
  <conditionalFormatting sqref="F62:F64">
    <cfRule type="cellIs" dxfId="9704" priority="29" operator="equal">
      <formula>"PMS"</formula>
    </cfRule>
    <cfRule type="containsText" dxfId="9703" priority="30" operator="containsText" text="CMS">
      <formula>NOT(ISERROR(SEARCH("CMS",F62)))</formula>
    </cfRule>
    <cfRule type="cellIs" dxfId="9702" priority="31" operator="equal">
      <formula>0</formula>
    </cfRule>
    <cfRule type="cellIs" dxfId="9701" priority="32" operator="greaterThan">
      <formula>0</formula>
    </cfRule>
    <cfRule type="cellIs" dxfId="9700" priority="33" operator="equal">
      <formula>"PMS"</formula>
    </cfRule>
    <cfRule type="containsText" dxfId="9699" priority="34" operator="containsText" text="CMS">
      <formula>NOT(ISERROR(SEARCH("CMS",F62)))</formula>
    </cfRule>
    <cfRule type="cellIs" dxfId="9698" priority="35" operator="equal">
      <formula>0</formula>
    </cfRule>
    <cfRule type="cellIs" dxfId="9697" priority="36" operator="greaterThan">
      <formula>0</formula>
    </cfRule>
  </conditionalFormatting>
  <conditionalFormatting sqref="F62:F64">
    <cfRule type="cellIs" dxfId="9696" priority="25" operator="equal">
      <formula>"PMS"</formula>
    </cfRule>
    <cfRule type="containsText" dxfId="9695" priority="26" operator="containsText" text="CMS">
      <formula>NOT(ISERROR(SEARCH("CMS",F62)))</formula>
    </cfRule>
    <cfRule type="cellIs" dxfId="9694" priority="27" operator="equal">
      <formula>0</formula>
    </cfRule>
    <cfRule type="cellIs" dxfId="9693" priority="28" operator="greaterThan">
      <formula>0</formula>
    </cfRule>
  </conditionalFormatting>
  <conditionalFormatting sqref="F78:F79">
    <cfRule type="cellIs" dxfId="9692" priority="17" operator="equal">
      <formula>"PMS"</formula>
    </cfRule>
    <cfRule type="containsText" dxfId="9691" priority="18" operator="containsText" text="CMS">
      <formula>NOT(ISERROR(SEARCH("CMS",F78)))</formula>
    </cfRule>
    <cfRule type="cellIs" dxfId="9690" priority="19" operator="equal">
      <formula>0</formula>
    </cfRule>
    <cfRule type="cellIs" dxfId="9689" priority="20" operator="greaterThan">
      <formula>0</formula>
    </cfRule>
    <cfRule type="cellIs" dxfId="9688" priority="21" operator="equal">
      <formula>"PMS"</formula>
    </cfRule>
    <cfRule type="containsText" dxfId="9687" priority="22" operator="containsText" text="CMS">
      <formula>NOT(ISERROR(SEARCH("CMS",F78)))</formula>
    </cfRule>
    <cfRule type="cellIs" dxfId="9686" priority="23" operator="equal">
      <formula>0</formula>
    </cfRule>
    <cfRule type="cellIs" dxfId="9685" priority="24" operator="greaterThan">
      <formula>0</formula>
    </cfRule>
  </conditionalFormatting>
  <conditionalFormatting sqref="F78:F79">
    <cfRule type="cellIs" dxfId="9684" priority="13" operator="equal">
      <formula>"PMS"</formula>
    </cfRule>
    <cfRule type="containsText" dxfId="9683" priority="14" operator="containsText" text="CMS">
      <formula>NOT(ISERROR(SEARCH("CMS",F78)))</formula>
    </cfRule>
    <cfRule type="cellIs" dxfId="9682" priority="15" operator="equal">
      <formula>0</formula>
    </cfRule>
    <cfRule type="cellIs" dxfId="9681" priority="16" operator="greaterThan">
      <formula>0</formula>
    </cfRule>
  </conditionalFormatting>
  <conditionalFormatting sqref="M14">
    <cfRule type="cellIs" dxfId="9680" priority="5" operator="equal">
      <formula>"PMS"</formula>
    </cfRule>
    <cfRule type="containsText" dxfId="9679" priority="6" operator="containsText" text="CMS">
      <formula>NOT(ISERROR(SEARCH("CMS",M14)))</formula>
    </cfRule>
    <cfRule type="cellIs" dxfId="9678" priority="7" operator="equal">
      <formula>0</formula>
    </cfRule>
    <cfRule type="cellIs" dxfId="9677" priority="8" operator="greaterThan">
      <formula>0</formula>
    </cfRule>
    <cfRule type="cellIs" dxfId="9676" priority="9" operator="equal">
      <formula>"PMS"</formula>
    </cfRule>
    <cfRule type="containsText" dxfId="9675" priority="10" operator="containsText" text="CMS">
      <formula>NOT(ISERROR(SEARCH("CMS",M14)))</formula>
    </cfRule>
    <cfRule type="cellIs" dxfId="9674" priority="11" operator="equal">
      <formula>0</formula>
    </cfRule>
    <cfRule type="cellIs" dxfId="9673" priority="12" operator="greaterThan">
      <formula>0</formula>
    </cfRule>
  </conditionalFormatting>
  <conditionalFormatting sqref="M14">
    <cfRule type="cellIs" dxfId="9672" priority="1" operator="equal">
      <formula>"PMS"</formula>
    </cfRule>
    <cfRule type="containsText" dxfId="9671" priority="2" operator="containsText" text="CMS">
      <formula>NOT(ISERROR(SEARCH("CMS",M14)))</formula>
    </cfRule>
    <cfRule type="cellIs" dxfId="9670" priority="3" operator="equal">
      <formula>0</formula>
    </cfRule>
    <cfRule type="cellIs" dxfId="966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86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C9567-4A6D-4D98-9746-6B0657494702}">
  <sheetPr codeName="Sheet239"/>
  <dimension ref="A2:DT141"/>
  <sheetViews>
    <sheetView zoomScale="70" zoomScaleNormal="70" workbookViewId="0">
      <pane xSplit="5" ySplit="11" topLeftCell="F12" activePane="bottomRight" state="frozen"/>
      <selection pane="bottomRight" activeCell="V104" sqref="V10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400.50000000000017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>
        <v>6.6</v>
      </c>
      <c r="J14" s="357">
        <v>6.6</v>
      </c>
      <c r="K14" s="357">
        <v>6.1</v>
      </c>
      <c r="L14" s="357">
        <v>6.3</v>
      </c>
      <c r="M14" s="357">
        <v>6</v>
      </c>
      <c r="N14" s="357">
        <v>6.7</v>
      </c>
      <c r="O14" s="357">
        <v>6.6</v>
      </c>
      <c r="P14" s="357">
        <v>6.7</v>
      </c>
      <c r="Q14" s="357">
        <v>6.5</v>
      </c>
      <c r="R14" s="357">
        <v>6.7</v>
      </c>
      <c r="S14" s="462">
        <v>6.8</v>
      </c>
      <c r="T14" s="462">
        <v>6.5</v>
      </c>
      <c r="U14" s="357">
        <v>6.5</v>
      </c>
      <c r="V14" s="357">
        <v>6.7</v>
      </c>
      <c r="W14" s="357">
        <v>6.4</v>
      </c>
      <c r="X14" s="357">
        <v>6.5</v>
      </c>
      <c r="Y14" s="357">
        <v>6.8</v>
      </c>
      <c r="Z14" s="462">
        <v>6.6</v>
      </c>
      <c r="AA14" s="462">
        <v>6.8</v>
      </c>
      <c r="AB14" s="357"/>
      <c r="AC14" s="357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>
        <v>6.6</v>
      </c>
      <c r="H15" s="357">
        <v>6.3</v>
      </c>
      <c r="I15" s="357"/>
      <c r="J15" s="357"/>
      <c r="K15" s="359"/>
      <c r="L15" s="359"/>
      <c r="M15" s="359">
        <v>1.5</v>
      </c>
      <c r="N15" s="357">
        <v>6.7</v>
      </c>
      <c r="O15" s="357">
        <v>6.6</v>
      </c>
      <c r="P15" s="357">
        <v>6.7</v>
      </c>
      <c r="Q15" s="357">
        <v>6.5</v>
      </c>
      <c r="R15" s="357">
        <v>6.7</v>
      </c>
      <c r="S15" s="462">
        <v>6.8</v>
      </c>
      <c r="T15" s="462">
        <v>6.5</v>
      </c>
      <c r="U15" s="357">
        <v>6.5</v>
      </c>
      <c r="V15" s="462">
        <v>6.7</v>
      </c>
      <c r="W15" s="357">
        <v>6.4</v>
      </c>
      <c r="X15" s="357">
        <v>6.5</v>
      </c>
      <c r="Y15" s="357">
        <v>6.8</v>
      </c>
      <c r="Z15" s="462">
        <v>6.6</v>
      </c>
      <c r="AA15" s="462">
        <v>6.1</v>
      </c>
      <c r="AB15" s="357">
        <v>6.6</v>
      </c>
      <c r="AC15" s="462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6.6</v>
      </c>
      <c r="H16" s="357">
        <v>6.3</v>
      </c>
      <c r="I16" s="357">
        <v>6.6</v>
      </c>
      <c r="J16" s="357">
        <v>6.6</v>
      </c>
      <c r="K16" s="359">
        <v>6.1</v>
      </c>
      <c r="L16" s="359">
        <v>6.3</v>
      </c>
      <c r="M16" s="357">
        <v>6</v>
      </c>
      <c r="N16" s="359">
        <v>0</v>
      </c>
      <c r="O16" s="357">
        <v>6.3</v>
      </c>
      <c r="P16" s="357">
        <v>6.7</v>
      </c>
      <c r="Q16" s="357">
        <v>6.5</v>
      </c>
      <c r="R16" s="357">
        <v>6.7</v>
      </c>
      <c r="S16" s="462">
        <v>6.8</v>
      </c>
      <c r="T16" s="462">
        <v>6.5</v>
      </c>
      <c r="U16" s="357">
        <v>6.5</v>
      </c>
      <c r="V16" s="462">
        <v>6.7</v>
      </c>
      <c r="W16" s="357">
        <v>6.4</v>
      </c>
      <c r="X16" s="357">
        <v>6.5</v>
      </c>
      <c r="Y16" s="357">
        <v>6.8</v>
      </c>
      <c r="Z16" s="462">
        <v>6.6</v>
      </c>
      <c r="AA16" s="462">
        <v>6.1</v>
      </c>
      <c r="AB16" s="462">
        <v>6.6</v>
      </c>
      <c r="AC16" s="357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  <c r="AL16">
        <f>6.3*3-6.7-5.2*2</f>
        <v>1.7999999999999989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13.2</v>
      </c>
      <c r="H17" s="19">
        <f t="shared" si="0"/>
        <v>12.6</v>
      </c>
      <c r="I17" s="19">
        <f t="shared" si="0"/>
        <v>13.2</v>
      </c>
      <c r="J17" s="19">
        <f t="shared" si="0"/>
        <v>13.2</v>
      </c>
      <c r="K17" s="19">
        <f t="shared" si="0"/>
        <v>12.2</v>
      </c>
      <c r="L17" s="19">
        <f t="shared" si="0"/>
        <v>12.6</v>
      </c>
      <c r="M17" s="19">
        <f t="shared" si="0"/>
        <v>13.5</v>
      </c>
      <c r="N17" s="19">
        <f t="shared" si="0"/>
        <v>13.4</v>
      </c>
      <c r="O17" s="19">
        <f t="shared" si="0"/>
        <v>19.5</v>
      </c>
      <c r="P17" s="19">
        <f t="shared" si="0"/>
        <v>20.100000000000001</v>
      </c>
      <c r="Q17" s="19">
        <f t="shared" si="0"/>
        <v>19.5</v>
      </c>
      <c r="R17" s="19">
        <f t="shared" si="0"/>
        <v>20.100000000000001</v>
      </c>
      <c r="S17" s="463">
        <f t="shared" si="0"/>
        <v>20.399999999999999</v>
      </c>
      <c r="T17" s="463">
        <f t="shared" si="0"/>
        <v>19.5</v>
      </c>
      <c r="U17" s="19">
        <f t="shared" si="0"/>
        <v>19.5</v>
      </c>
      <c r="V17" s="19">
        <f t="shared" si="0"/>
        <v>20.100000000000001</v>
      </c>
      <c r="W17" s="19">
        <f t="shared" si="0"/>
        <v>19.200000000000003</v>
      </c>
      <c r="X17" s="19">
        <f t="shared" si="0"/>
        <v>19.5</v>
      </c>
      <c r="Y17" s="19">
        <f t="shared" si="0"/>
        <v>20.399999999999999</v>
      </c>
      <c r="Z17" s="463">
        <f t="shared" si="0"/>
        <v>19.799999999999997</v>
      </c>
      <c r="AA17" s="463">
        <f t="shared" si="0"/>
        <v>19</v>
      </c>
      <c r="AB17" s="463">
        <f>SUM(AB13:AB16)</f>
        <v>13.2</v>
      </c>
      <c r="AC17" s="19">
        <f t="shared" si="0"/>
        <v>13.6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4.8000000000000007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/>
      <c r="P19" s="357"/>
      <c r="Q19" s="357"/>
      <c r="R19" s="357"/>
      <c r="S19" s="462"/>
      <c r="T19" s="462"/>
      <c r="U19" s="357"/>
      <c r="V19" s="357"/>
      <c r="W19" s="357"/>
      <c r="X19" s="357"/>
      <c r="Y19" s="357"/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>
        <v>2.1</v>
      </c>
      <c r="Q21" s="357">
        <v>2.7</v>
      </c>
      <c r="R21" s="357"/>
      <c r="S21" s="462"/>
      <c r="T21" s="462"/>
      <c r="U21" s="357"/>
      <c r="V21" s="357"/>
      <c r="W21" s="357"/>
      <c r="X21" s="357"/>
      <c r="Y21" s="357"/>
      <c r="Z21" s="357"/>
      <c r="AA21" s="357"/>
      <c r="AB21" s="357"/>
      <c r="AC21" s="357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2.1</v>
      </c>
      <c r="Q22" s="19">
        <f t="shared" si="1"/>
        <v>2.7</v>
      </c>
      <c r="R22" s="19">
        <f t="shared" si="1"/>
        <v>0</v>
      </c>
      <c r="S22" s="463">
        <f>SUM(S19:S21)</f>
        <v>0</v>
      </c>
      <c r="T22" s="463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463">
        <f>SUM(Z19:Z21)</f>
        <v>0</v>
      </c>
      <c r="AA22" s="463">
        <f t="shared" si="1"/>
        <v>0</v>
      </c>
      <c r="AB22" s="463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463">
        <f t="shared" si="4"/>
        <v>0</v>
      </c>
      <c r="T25" s="463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0</v>
      </c>
      <c r="Z25" s="463">
        <f t="shared" si="4"/>
        <v>0</v>
      </c>
      <c r="AA25" s="463">
        <f t="shared" si="4"/>
        <v>0</v>
      </c>
      <c r="AB25" s="463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55.999999999999986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2.7</v>
      </c>
      <c r="O27" s="357">
        <v>3.8</v>
      </c>
      <c r="P27" s="357">
        <v>3.8</v>
      </c>
      <c r="Q27" s="357">
        <v>3</v>
      </c>
      <c r="R27" s="357">
        <v>2.8</v>
      </c>
      <c r="S27" s="462">
        <v>3</v>
      </c>
      <c r="T27" s="462">
        <v>3.8</v>
      </c>
      <c r="U27" s="357">
        <v>3.8</v>
      </c>
      <c r="V27" s="357">
        <v>3.8</v>
      </c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/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2"/>
      <c r="T28" s="359"/>
      <c r="U28" s="359"/>
      <c r="V28" s="359"/>
      <c r="W28" s="357">
        <v>3.8</v>
      </c>
      <c r="X28" s="357">
        <v>3.8</v>
      </c>
      <c r="Y28" s="357">
        <v>3.8</v>
      </c>
      <c r="Z28" s="357">
        <v>3.8</v>
      </c>
      <c r="AA28" s="357">
        <v>1.5</v>
      </c>
      <c r="AB28" s="357">
        <v>3.8</v>
      </c>
      <c r="AC28" s="357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8</v>
      </c>
      <c r="AI28" s="159">
        <f>SUM(F29:AC30)</f>
        <v>149.84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5.42</v>
      </c>
      <c r="G30" s="359">
        <v>5.74</v>
      </c>
      <c r="H30" s="357">
        <v>4.78</v>
      </c>
      <c r="I30" s="357">
        <v>4</v>
      </c>
      <c r="J30" s="357">
        <v>4.3</v>
      </c>
      <c r="K30" s="357">
        <v>4</v>
      </c>
      <c r="L30" s="357">
        <v>7</v>
      </c>
      <c r="M30" s="357">
        <v>5.4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6.5</v>
      </c>
      <c r="AB30" s="359">
        <v>6.9</v>
      </c>
      <c r="AC30" s="359">
        <v>4.8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5">SUM(F27:F30)</f>
        <v>6.92</v>
      </c>
      <c r="G31" s="19">
        <f>SUM(G27:G30)</f>
        <v>5.74</v>
      </c>
      <c r="H31" s="19">
        <v>6</v>
      </c>
      <c r="I31" s="19">
        <f t="shared" ref="I31:X31" si="6">SUM(I27:I30)</f>
        <v>4</v>
      </c>
      <c r="J31" s="19">
        <f t="shared" si="6"/>
        <v>4.3</v>
      </c>
      <c r="K31" s="19">
        <f t="shared" si="6"/>
        <v>4</v>
      </c>
      <c r="L31" s="19">
        <f t="shared" si="6"/>
        <v>7</v>
      </c>
      <c r="M31" s="19">
        <f t="shared" si="6"/>
        <v>5.4</v>
      </c>
      <c r="N31" s="19">
        <f t="shared" si="6"/>
        <v>9.6999999999999993</v>
      </c>
      <c r="O31" s="19">
        <f t="shared" si="6"/>
        <v>10.8</v>
      </c>
      <c r="P31" s="19">
        <f t="shared" si="6"/>
        <v>10.8</v>
      </c>
      <c r="Q31" s="19">
        <f t="shared" si="6"/>
        <v>10</v>
      </c>
      <c r="R31" s="19">
        <f t="shared" si="6"/>
        <v>9.8000000000000007</v>
      </c>
      <c r="S31" s="463">
        <f t="shared" si="6"/>
        <v>10</v>
      </c>
      <c r="T31" s="463">
        <f t="shared" si="6"/>
        <v>10.8</v>
      </c>
      <c r="U31" s="19">
        <f t="shared" si="6"/>
        <v>10.8</v>
      </c>
      <c r="V31" s="19">
        <f t="shared" si="6"/>
        <v>10.8</v>
      </c>
      <c r="W31" s="19">
        <f t="shared" si="6"/>
        <v>10.8</v>
      </c>
      <c r="X31" s="19">
        <f t="shared" si="6"/>
        <v>10.8</v>
      </c>
      <c r="Y31" s="19">
        <f>SUM(Y27:Y30)</f>
        <v>10.8</v>
      </c>
      <c r="Z31" s="19">
        <f t="shared" ref="Z31:AC31" si="7">SUM(Z27:Z30)</f>
        <v>10.8</v>
      </c>
      <c r="AA31" s="19">
        <f t="shared" si="7"/>
        <v>8</v>
      </c>
      <c r="AB31" s="19">
        <f t="shared" si="7"/>
        <v>10.7</v>
      </c>
      <c r="AC31" s="19">
        <f t="shared" si="7"/>
        <v>8.3000000000000007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342.47999999999996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14.21</v>
      </c>
      <c r="G33" s="357">
        <v>14.29</v>
      </c>
      <c r="H33" s="357">
        <v>14.25</v>
      </c>
      <c r="I33" s="359">
        <v>14.3</v>
      </c>
      <c r="J33" s="357">
        <v>14.27</v>
      </c>
      <c r="K33" s="357">
        <v>14.27</v>
      </c>
      <c r="L33" s="359">
        <v>14.22</v>
      </c>
      <c r="M33" s="357">
        <v>14.26</v>
      </c>
      <c r="N33" s="357">
        <v>14.27</v>
      </c>
      <c r="O33" s="357">
        <v>14.26</v>
      </c>
      <c r="P33" s="357">
        <v>14.29</v>
      </c>
      <c r="Q33" s="359">
        <v>14.3</v>
      </c>
      <c r="R33" s="357">
        <v>14.28</v>
      </c>
      <c r="S33" s="462">
        <v>14.25</v>
      </c>
      <c r="T33" s="462">
        <v>14.29</v>
      </c>
      <c r="U33" s="357">
        <v>14.31</v>
      </c>
      <c r="V33" s="359">
        <v>14.26</v>
      </c>
      <c r="W33" s="357">
        <v>14.3</v>
      </c>
      <c r="X33" s="357">
        <v>14.32</v>
      </c>
      <c r="Y33" s="357">
        <v>14.27</v>
      </c>
      <c r="Z33" s="357">
        <v>14.29</v>
      </c>
      <c r="AA33" s="357">
        <v>14.26</v>
      </c>
      <c r="AB33" s="357">
        <v>14.28</v>
      </c>
      <c r="AC33" s="357">
        <v>14.18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14.21</v>
      </c>
      <c r="G34" s="19">
        <f t="shared" ref="G34:AC34" si="9">SUM(G33)</f>
        <v>14.29</v>
      </c>
      <c r="H34" s="19">
        <f t="shared" si="9"/>
        <v>14.25</v>
      </c>
      <c r="I34" s="19">
        <f t="shared" si="9"/>
        <v>14.3</v>
      </c>
      <c r="J34" s="19">
        <f t="shared" si="9"/>
        <v>14.27</v>
      </c>
      <c r="K34" s="19">
        <f t="shared" si="9"/>
        <v>14.27</v>
      </c>
      <c r="L34" s="19">
        <f t="shared" si="9"/>
        <v>14.22</v>
      </c>
      <c r="M34" s="19">
        <f t="shared" si="9"/>
        <v>14.26</v>
      </c>
      <c r="N34" s="19">
        <f t="shared" si="9"/>
        <v>14.27</v>
      </c>
      <c r="O34" s="19">
        <f t="shared" si="9"/>
        <v>14.26</v>
      </c>
      <c r="P34" s="19">
        <f t="shared" si="9"/>
        <v>14.29</v>
      </c>
      <c r="Q34" s="19">
        <f t="shared" si="9"/>
        <v>14.3</v>
      </c>
      <c r="R34" s="19">
        <f t="shared" si="9"/>
        <v>14.28</v>
      </c>
      <c r="S34" s="19">
        <f t="shared" si="9"/>
        <v>14.25</v>
      </c>
      <c r="T34" s="463">
        <f t="shared" si="9"/>
        <v>14.29</v>
      </c>
      <c r="U34" s="19">
        <f t="shared" si="9"/>
        <v>14.31</v>
      </c>
      <c r="V34" s="19">
        <f t="shared" si="9"/>
        <v>14.26</v>
      </c>
      <c r="W34" s="19">
        <f t="shared" si="9"/>
        <v>14.3</v>
      </c>
      <c r="X34" s="19">
        <f t="shared" si="9"/>
        <v>14.32</v>
      </c>
      <c r="Y34" s="19">
        <f t="shared" si="9"/>
        <v>14.27</v>
      </c>
      <c r="Z34" s="19">
        <f t="shared" si="9"/>
        <v>14.29</v>
      </c>
      <c r="AA34" s="19">
        <f t="shared" si="9"/>
        <v>14.26</v>
      </c>
      <c r="AB34" s="19">
        <f t="shared" si="9"/>
        <v>14.28</v>
      </c>
      <c r="AC34" s="19">
        <f t="shared" si="9"/>
        <v>14.18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9">
        <f>SUM(F36:AC38,F40:AC40,F45:AC59)</f>
        <v>9.8000000000000007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462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9"/>
      <c r="Q47" s="357"/>
      <c r="R47" s="357"/>
      <c r="S47" s="462"/>
      <c r="T47" s="357">
        <v>0.75</v>
      </c>
      <c r="U47" s="462">
        <v>0.75</v>
      </c>
      <c r="V47" s="462">
        <v>0.75</v>
      </c>
      <c r="W47" s="357">
        <v>0.75</v>
      </c>
      <c r="X47" s="357"/>
      <c r="Y47" s="357">
        <v>0.75</v>
      </c>
      <c r="Z47" s="357"/>
      <c r="AA47" s="357"/>
      <c r="AB47" s="357"/>
      <c r="AC47" s="357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9">
        <v>0</v>
      </c>
      <c r="Q48" s="357">
        <v>0</v>
      </c>
      <c r="R48" s="357">
        <v>0</v>
      </c>
      <c r="S48" s="462">
        <v>0</v>
      </c>
      <c r="T48" s="357">
        <v>0</v>
      </c>
      <c r="U48" s="357">
        <v>0</v>
      </c>
      <c r="V48" s="462">
        <v>0</v>
      </c>
      <c r="W48" s="357">
        <v>0</v>
      </c>
      <c r="X48" s="357">
        <v>0.75</v>
      </c>
      <c r="Y48" s="357">
        <v>0.75</v>
      </c>
      <c r="Z48" s="357"/>
      <c r="AA48" s="357"/>
      <c r="AB48" s="357"/>
      <c r="AC48" s="357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9"/>
      <c r="N50" s="359"/>
      <c r="O50" s="359">
        <v>0</v>
      </c>
      <c r="P50" s="359">
        <v>0</v>
      </c>
      <c r="Q50" s="357">
        <v>0</v>
      </c>
      <c r="R50" s="357">
        <v>0</v>
      </c>
      <c r="S50" s="462">
        <v>0</v>
      </c>
      <c r="T50" s="357">
        <v>0</v>
      </c>
      <c r="U50" s="462">
        <v>0</v>
      </c>
      <c r="V50" s="462">
        <v>0</v>
      </c>
      <c r="W50" s="357">
        <v>0</v>
      </c>
      <c r="X50" s="357"/>
      <c r="Y50" s="357"/>
      <c r="Z50" s="357"/>
      <c r="AA50" s="357"/>
      <c r="AB50" s="357"/>
      <c r="AC50" s="357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/>
      <c r="P51" s="359"/>
      <c r="Q51" s="357"/>
      <c r="R51" s="357"/>
      <c r="S51" s="462"/>
      <c r="T51" s="357">
        <v>0.75</v>
      </c>
      <c r="U51" s="462">
        <v>0.75</v>
      </c>
      <c r="V51" s="462">
        <v>0.75</v>
      </c>
      <c r="W51" s="357">
        <v>0.75</v>
      </c>
      <c r="X51" s="357"/>
      <c r="Y51" s="357">
        <v>0.8</v>
      </c>
      <c r="Z51" s="357"/>
      <c r="AA51" s="357"/>
      <c r="AB51" s="357"/>
      <c r="AC51" s="357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</v>
      </c>
      <c r="P56" s="359">
        <v>0</v>
      </c>
      <c r="Q56" s="357">
        <v>0</v>
      </c>
      <c r="R56" s="357">
        <v>0</v>
      </c>
      <c r="S56" s="462">
        <v>0</v>
      </c>
      <c r="T56" s="357">
        <v>0</v>
      </c>
      <c r="U56" s="462">
        <v>0</v>
      </c>
      <c r="V56" s="462">
        <v>0</v>
      </c>
      <c r="W56" s="357">
        <v>0</v>
      </c>
      <c r="X56" s="357">
        <v>0.75</v>
      </c>
      <c r="Y56" s="357"/>
      <c r="Z56" s="357"/>
      <c r="AA56" s="357"/>
      <c r="AB56" s="357"/>
      <c r="AC56" s="357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10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0</v>
      </c>
      <c r="M60" s="19">
        <f t="shared" si="13"/>
        <v>0</v>
      </c>
      <c r="N60" s="19">
        <f t="shared" si="13"/>
        <v>0</v>
      </c>
      <c r="O60" s="19">
        <f t="shared" si="13"/>
        <v>0</v>
      </c>
      <c r="P60" s="19">
        <f t="shared" si="13"/>
        <v>0</v>
      </c>
      <c r="Q60" s="19">
        <f t="shared" si="13"/>
        <v>0</v>
      </c>
      <c r="R60" s="19">
        <f t="shared" si="13"/>
        <v>0</v>
      </c>
      <c r="S60" s="19">
        <f t="shared" si="13"/>
        <v>0</v>
      </c>
      <c r="T60" s="19">
        <f t="shared" si="13"/>
        <v>1.5</v>
      </c>
      <c r="U60" s="19">
        <f t="shared" si="13"/>
        <v>1.5</v>
      </c>
      <c r="V60" s="19">
        <f t="shared" si="13"/>
        <v>1.5</v>
      </c>
      <c r="W60" s="19">
        <f t="shared" si="13"/>
        <v>1.5</v>
      </c>
      <c r="X60" s="19">
        <f t="shared" si="13"/>
        <v>1.5</v>
      </c>
      <c r="Y60" s="19">
        <f>SUM(Y36:Y59)</f>
        <v>2.2999999999999998</v>
      </c>
      <c r="Z60" s="19">
        <f t="shared" si="13"/>
        <v>0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18.889999999999997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0.66/2</f>
        <v>0.33</v>
      </c>
      <c r="G62" s="357"/>
      <c r="H62" s="357"/>
      <c r="I62" s="359"/>
      <c r="J62" s="357"/>
      <c r="K62" s="357"/>
      <c r="L62" s="357"/>
      <c r="M62" s="357">
        <v>0.35</v>
      </c>
      <c r="N62" s="357">
        <v>0.35499999999999998</v>
      </c>
      <c r="O62" s="357">
        <v>0.39</v>
      </c>
      <c r="P62" s="357">
        <v>0.48499999999999999</v>
      </c>
      <c r="Q62" s="357">
        <v>0.56000000000000005</v>
      </c>
      <c r="R62" s="357">
        <v>0.54</v>
      </c>
      <c r="S62" s="462">
        <v>0.48</v>
      </c>
      <c r="T62" s="357">
        <f>1.15/2</f>
        <v>0.57499999999999996</v>
      </c>
      <c r="U62" s="357">
        <f>1.09/2</f>
        <v>0.54500000000000004</v>
      </c>
      <c r="V62" s="462">
        <f>1.19/2</f>
        <v>0.59499999999999997</v>
      </c>
      <c r="W62" s="357">
        <v>0.5</v>
      </c>
      <c r="X62" s="357"/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f>0.66/2</f>
        <v>0.33</v>
      </c>
      <c r="G63" s="357"/>
      <c r="H63" s="357"/>
      <c r="I63" s="359"/>
      <c r="J63" s="357"/>
      <c r="K63" s="357"/>
      <c r="L63" s="357"/>
      <c r="M63" s="357"/>
      <c r="N63" s="357"/>
      <c r="O63" s="357"/>
      <c r="P63" s="357"/>
      <c r="Q63" s="357"/>
      <c r="R63" s="357"/>
      <c r="S63" s="462">
        <v>0.48</v>
      </c>
      <c r="T63" s="357">
        <f>1.15/2</f>
        <v>0.57499999999999996</v>
      </c>
      <c r="U63" s="357">
        <f>1.09/2</f>
        <v>0.54500000000000004</v>
      </c>
      <c r="V63" s="462">
        <f>1.19/2</f>
        <v>0.59499999999999997</v>
      </c>
      <c r="W63" s="357">
        <v>0.5</v>
      </c>
      <c r="X63" s="357"/>
      <c r="Y63" s="357">
        <v>0.58499999999999996</v>
      </c>
      <c r="Z63" s="357">
        <v>0.53</v>
      </c>
      <c r="AA63" s="357">
        <v>0.495</v>
      </c>
      <c r="AB63" s="357">
        <f>0.9/2</f>
        <v>0.45</v>
      </c>
      <c r="AC63" s="357">
        <f>0.86/2</f>
        <v>0.43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>
        <v>0.65</v>
      </c>
      <c r="H64" s="357">
        <v>0.62</v>
      </c>
      <c r="I64" s="359">
        <v>0.61</v>
      </c>
      <c r="J64" s="357">
        <v>0.62</v>
      </c>
      <c r="K64" s="357"/>
      <c r="L64" s="357"/>
      <c r="M64" s="357">
        <v>0.35</v>
      </c>
      <c r="N64" s="357">
        <v>0.35499999999999998</v>
      </c>
      <c r="O64" s="357">
        <v>0.39</v>
      </c>
      <c r="P64" s="357">
        <v>0.48499999999999999</v>
      </c>
      <c r="Q64" s="357">
        <v>0.56000000000000005</v>
      </c>
      <c r="R64" s="357">
        <v>0.54</v>
      </c>
      <c r="S64" s="462"/>
      <c r="T64" s="357"/>
      <c r="U64" s="357"/>
      <c r="V64" s="462"/>
      <c r="W64" s="357"/>
      <c r="X64" s="357"/>
      <c r="Y64" s="357">
        <v>0.58499999999999996</v>
      </c>
      <c r="Z64" s="357">
        <v>0.53</v>
      </c>
      <c r="AA64" s="357">
        <v>0.495</v>
      </c>
      <c r="AB64" s="357">
        <f>0.9/2</f>
        <v>0.45</v>
      </c>
      <c r="AC64" s="357">
        <f>0.86/2</f>
        <v>0.43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0.66</v>
      </c>
      <c r="G65" s="19">
        <f t="shared" ref="G65:AB65" si="14">SUM(G62:G64)</f>
        <v>0.65</v>
      </c>
      <c r="H65" s="19">
        <f t="shared" si="14"/>
        <v>0.62</v>
      </c>
      <c r="I65" s="19">
        <f t="shared" si="14"/>
        <v>0.61</v>
      </c>
      <c r="J65" s="19">
        <f t="shared" si="14"/>
        <v>0.62</v>
      </c>
      <c r="K65" s="19">
        <f t="shared" si="14"/>
        <v>0</v>
      </c>
      <c r="L65" s="19">
        <f t="shared" si="14"/>
        <v>0</v>
      </c>
      <c r="M65" s="19">
        <f t="shared" si="14"/>
        <v>0.7</v>
      </c>
      <c r="N65" s="19">
        <f t="shared" si="14"/>
        <v>0.71</v>
      </c>
      <c r="O65" s="19">
        <f t="shared" si="14"/>
        <v>0.78</v>
      </c>
      <c r="P65" s="19">
        <f t="shared" si="14"/>
        <v>0.97</v>
      </c>
      <c r="Q65" s="19">
        <f t="shared" si="14"/>
        <v>1.1200000000000001</v>
      </c>
      <c r="R65" s="19">
        <f t="shared" si="14"/>
        <v>1.08</v>
      </c>
      <c r="S65" s="463">
        <f t="shared" si="14"/>
        <v>0.96</v>
      </c>
      <c r="T65" s="463">
        <f t="shared" si="14"/>
        <v>1.1499999999999999</v>
      </c>
      <c r="U65" s="463">
        <f t="shared" si="14"/>
        <v>1.0900000000000001</v>
      </c>
      <c r="V65" s="19">
        <f>SUM(V62:V64)</f>
        <v>1.19</v>
      </c>
      <c r="W65" s="19">
        <f t="shared" si="14"/>
        <v>1</v>
      </c>
      <c r="X65" s="19">
        <f t="shared" si="14"/>
        <v>0</v>
      </c>
      <c r="Y65" s="19">
        <f>SUM(Y62:Y64)</f>
        <v>1.17</v>
      </c>
      <c r="Z65" s="19">
        <f>SUM(Z62:Z64)</f>
        <v>1.06</v>
      </c>
      <c r="AA65" s="19">
        <f t="shared" si="14"/>
        <v>0.99</v>
      </c>
      <c r="AB65" s="19">
        <f t="shared" si="14"/>
        <v>0.9</v>
      </c>
      <c r="AC65" s="19">
        <f>SUM(AC62:AC64)</f>
        <v>0.86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3">
        <f t="shared" si="18"/>
        <v>0</v>
      </c>
      <c r="T76" s="463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12.160000000000002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</v>
      </c>
      <c r="N78" s="359">
        <v>0.36</v>
      </c>
      <c r="O78" s="357">
        <v>0.35</v>
      </c>
      <c r="P78" s="357">
        <v>0.36</v>
      </c>
      <c r="Q78" s="357">
        <v>0.56000000000000005</v>
      </c>
      <c r="R78" s="357">
        <v>0.55000000000000004</v>
      </c>
      <c r="S78" s="357">
        <v>0.53</v>
      </c>
      <c r="T78" s="357">
        <v>0.74</v>
      </c>
      <c r="U78" s="357">
        <v>0.73</v>
      </c>
      <c r="V78" s="357"/>
      <c r="W78" s="357">
        <v>0.54</v>
      </c>
      <c r="X78" s="357">
        <v>0.56000000000000005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0.75</v>
      </c>
      <c r="G79" s="357">
        <v>0.7</v>
      </c>
      <c r="H79" s="357">
        <v>0.65</v>
      </c>
      <c r="I79" s="357"/>
      <c r="J79" s="357">
        <v>0.67</v>
      </c>
      <c r="K79" s="357">
        <v>0.61</v>
      </c>
      <c r="L79" s="359">
        <v>0.65</v>
      </c>
      <c r="M79" s="359">
        <v>0</v>
      </c>
      <c r="N79" s="359">
        <v>0</v>
      </c>
      <c r="O79" s="357">
        <v>0</v>
      </c>
      <c r="P79" s="357">
        <v>0</v>
      </c>
      <c r="Q79" s="357"/>
      <c r="R79" s="357"/>
      <c r="S79" s="357"/>
      <c r="T79" s="357"/>
      <c r="U79" s="357"/>
      <c r="V79" s="357"/>
      <c r="W79" s="357"/>
      <c r="X79" s="357"/>
      <c r="Y79" s="357">
        <v>0.65</v>
      </c>
      <c r="Z79" s="357">
        <v>0.64</v>
      </c>
      <c r="AA79" s="357">
        <v>0.56000000000000005</v>
      </c>
      <c r="AB79" s="357">
        <v>0.49</v>
      </c>
      <c r="AC79" s="357">
        <v>0.51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0.75</v>
      </c>
      <c r="G80" s="19">
        <f t="shared" si="19"/>
        <v>0.7</v>
      </c>
      <c r="H80" s="19">
        <f>SUM(H78:H79)</f>
        <v>0.65</v>
      </c>
      <c r="I80" s="19">
        <f>SUM(I78:I79)</f>
        <v>0</v>
      </c>
      <c r="J80" s="19">
        <f t="shared" ref="J80:AC80" si="20">SUM(J78:J79)</f>
        <v>0.67</v>
      </c>
      <c r="K80" s="19">
        <f t="shared" si="20"/>
        <v>0.61</v>
      </c>
      <c r="L80" s="19">
        <f>SUM(L78:L79)</f>
        <v>0.65</v>
      </c>
      <c r="M80" s="19">
        <f t="shared" si="20"/>
        <v>0</v>
      </c>
      <c r="N80" s="19">
        <f t="shared" si="20"/>
        <v>0.36</v>
      </c>
      <c r="O80" s="19">
        <f>SUM(O78:O79)</f>
        <v>0.35</v>
      </c>
      <c r="P80" s="19">
        <f>SUM(P78:P79)</f>
        <v>0.36</v>
      </c>
      <c r="Q80" s="19">
        <f t="shared" si="20"/>
        <v>0.56000000000000005</v>
      </c>
      <c r="R80" s="19">
        <f t="shared" si="20"/>
        <v>0.55000000000000004</v>
      </c>
      <c r="S80" s="463">
        <f t="shared" si="20"/>
        <v>0.53</v>
      </c>
      <c r="T80" s="463">
        <f t="shared" si="20"/>
        <v>0.74</v>
      </c>
      <c r="U80" s="19">
        <f t="shared" si="20"/>
        <v>0.73</v>
      </c>
      <c r="V80" s="19">
        <f t="shared" si="20"/>
        <v>0</v>
      </c>
      <c r="W80" s="19">
        <f t="shared" si="20"/>
        <v>0.54</v>
      </c>
      <c r="X80" s="19">
        <f t="shared" si="20"/>
        <v>0.56000000000000005</v>
      </c>
      <c r="Y80" s="19">
        <f t="shared" si="20"/>
        <v>0.65</v>
      </c>
      <c r="Z80" s="19">
        <f t="shared" si="20"/>
        <v>0.64</v>
      </c>
      <c r="AA80" s="19">
        <f t="shared" si="20"/>
        <v>0.56000000000000005</v>
      </c>
      <c r="AB80" s="19">
        <f t="shared" si="20"/>
        <v>0.49</v>
      </c>
      <c r="AC80" s="19">
        <f t="shared" si="20"/>
        <v>0.51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1">SUM(F17,F22,F25,F31,F34,F60,F65,F76,F80,F82)</f>
        <v>35.739999999999995</v>
      </c>
      <c r="G83" s="28">
        <f>SUM(G17,G22,G25,G31,G34,G60,G65,G76,G80,G82)</f>
        <v>34.58</v>
      </c>
      <c r="H83" s="28">
        <f t="shared" si="21"/>
        <v>34.119999999999997</v>
      </c>
      <c r="I83" s="28">
        <f t="shared" si="21"/>
        <v>32.11</v>
      </c>
      <c r="J83" s="28">
        <f t="shared" si="21"/>
        <v>33.06</v>
      </c>
      <c r="K83" s="28">
        <f t="shared" si="21"/>
        <v>31.08</v>
      </c>
      <c r="L83" s="28">
        <f t="shared" si="21"/>
        <v>34.47</v>
      </c>
      <c r="M83" s="28">
        <f t="shared" si="21"/>
        <v>33.86</v>
      </c>
      <c r="N83" s="28">
        <f t="shared" si="21"/>
        <v>38.440000000000005</v>
      </c>
      <c r="O83" s="28">
        <f t="shared" si="21"/>
        <v>45.690000000000005</v>
      </c>
      <c r="P83" s="28">
        <f t="shared" si="21"/>
        <v>48.62</v>
      </c>
      <c r="Q83" s="28">
        <f t="shared" si="21"/>
        <v>48.18</v>
      </c>
      <c r="R83" s="28">
        <f t="shared" si="21"/>
        <v>45.809999999999995</v>
      </c>
      <c r="S83" s="518">
        <f t="shared" si="21"/>
        <v>46.14</v>
      </c>
      <c r="T83" s="518">
        <f t="shared" si="21"/>
        <v>47.980000000000004</v>
      </c>
      <c r="U83" s="518">
        <f t="shared" si="21"/>
        <v>47.93</v>
      </c>
      <c r="V83" s="28">
        <f t="shared" si="21"/>
        <v>47.85</v>
      </c>
      <c r="W83" s="28">
        <f t="shared" si="21"/>
        <v>47.34</v>
      </c>
      <c r="X83" s="28">
        <f t="shared" si="21"/>
        <v>46.680000000000007</v>
      </c>
      <c r="Y83" s="28">
        <f t="shared" si="21"/>
        <v>49.589999999999996</v>
      </c>
      <c r="Z83" s="28">
        <f t="shared" si="21"/>
        <v>46.59</v>
      </c>
      <c r="AA83" s="28">
        <f t="shared" si="21"/>
        <v>42.81</v>
      </c>
      <c r="AB83" s="28">
        <f t="shared" si="21"/>
        <v>39.57</v>
      </c>
      <c r="AC83" s="28">
        <f t="shared" si="21"/>
        <v>37.449999999999996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2.1</v>
      </c>
      <c r="Q89" s="64">
        <f t="shared" si="22"/>
        <v>2.7</v>
      </c>
      <c r="R89" s="64">
        <f t="shared" si="22"/>
        <v>0</v>
      </c>
      <c r="S89" s="64">
        <f t="shared" si="22"/>
        <v>0</v>
      </c>
      <c r="T89" s="64">
        <f t="shared" si="22"/>
        <v>0</v>
      </c>
      <c r="U89" s="64">
        <f t="shared" si="22"/>
        <v>0</v>
      </c>
      <c r="V89" s="64">
        <f t="shared" si="22"/>
        <v>0</v>
      </c>
      <c r="W89" s="64">
        <f t="shared" si="22"/>
        <v>0</v>
      </c>
      <c r="X89" s="64">
        <f t="shared" si="22"/>
        <v>0</v>
      </c>
      <c r="Y89" s="64">
        <f t="shared" si="22"/>
        <v>0</v>
      </c>
      <c r="Z89" s="64">
        <f t="shared" si="22"/>
        <v>0</v>
      </c>
      <c r="AA89" s="64">
        <f t="shared" si="22"/>
        <v>0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3">F17</f>
        <v>13.2</v>
      </c>
      <c r="G91" s="64">
        <f t="shared" si="23"/>
        <v>13.2</v>
      </c>
      <c r="H91" s="64">
        <f t="shared" si="23"/>
        <v>12.6</v>
      </c>
      <c r="I91" s="64">
        <f t="shared" si="23"/>
        <v>13.2</v>
      </c>
      <c r="J91" s="64">
        <f t="shared" si="23"/>
        <v>13.2</v>
      </c>
      <c r="K91" s="64">
        <f t="shared" si="23"/>
        <v>12.2</v>
      </c>
      <c r="L91" s="64">
        <f t="shared" si="23"/>
        <v>12.6</v>
      </c>
      <c r="M91" s="64">
        <f t="shared" si="23"/>
        <v>13.5</v>
      </c>
      <c r="N91" s="64">
        <f t="shared" si="23"/>
        <v>13.4</v>
      </c>
      <c r="O91" s="64">
        <f t="shared" si="23"/>
        <v>19.5</v>
      </c>
      <c r="P91" s="64">
        <f t="shared" si="23"/>
        <v>20.100000000000001</v>
      </c>
      <c r="Q91" s="64">
        <f t="shared" si="23"/>
        <v>19.5</v>
      </c>
      <c r="R91" s="64">
        <f t="shared" si="23"/>
        <v>20.100000000000001</v>
      </c>
      <c r="S91" s="64">
        <f t="shared" si="23"/>
        <v>20.399999999999999</v>
      </c>
      <c r="T91" s="64">
        <f t="shared" si="23"/>
        <v>19.5</v>
      </c>
      <c r="U91" s="64">
        <f t="shared" si="23"/>
        <v>19.5</v>
      </c>
      <c r="V91" s="64">
        <f t="shared" si="23"/>
        <v>20.100000000000001</v>
      </c>
      <c r="W91" s="64">
        <f t="shared" si="23"/>
        <v>19.200000000000003</v>
      </c>
      <c r="X91" s="64">
        <f t="shared" si="23"/>
        <v>19.5</v>
      </c>
      <c r="Y91" s="64">
        <f t="shared" si="23"/>
        <v>20.399999999999999</v>
      </c>
      <c r="Z91" s="64">
        <f t="shared" si="23"/>
        <v>19.799999999999997</v>
      </c>
      <c r="AA91" s="64">
        <f t="shared" si="23"/>
        <v>19</v>
      </c>
      <c r="AB91" s="64">
        <f t="shared" si="23"/>
        <v>13.2</v>
      </c>
      <c r="AC91" s="64">
        <f t="shared" si="23"/>
        <v>13.6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0.54600000000000004</v>
      </c>
      <c r="G92" s="68">
        <v>0.51270000000000004</v>
      </c>
      <c r="H92" s="68">
        <v>0.53100000000000003</v>
      </c>
      <c r="I92" s="68">
        <v>0.67500000000000004</v>
      </c>
      <c r="J92" s="68">
        <v>0.70599999999999996</v>
      </c>
      <c r="K92" s="68">
        <v>0.72099999999999997</v>
      </c>
      <c r="L92" s="68">
        <v>0.68200000000000005</v>
      </c>
      <c r="M92" s="68">
        <v>0.69</v>
      </c>
      <c r="N92" s="68">
        <v>0.69399999999999995</v>
      </c>
      <c r="O92" s="68">
        <v>0.74199999999999999</v>
      </c>
      <c r="P92" s="68">
        <v>0.80500000000000005</v>
      </c>
      <c r="Q92" s="68">
        <v>0.69799999999999995</v>
      </c>
      <c r="R92" s="68">
        <v>0.79</v>
      </c>
      <c r="S92" s="68">
        <v>0.54900000000000004</v>
      </c>
      <c r="T92" s="68">
        <v>0.61299999999999999</v>
      </c>
      <c r="U92" s="68">
        <v>0.65500000000000003</v>
      </c>
      <c r="V92" s="68">
        <v>0.61499999999999999</v>
      </c>
      <c r="W92" s="68">
        <v>0.71199999999999997</v>
      </c>
      <c r="X92" s="68">
        <v>0.71399999999999997</v>
      </c>
      <c r="Y92" s="68">
        <v>0.71599999999999997</v>
      </c>
      <c r="Z92" s="68">
        <v>0.74399999999999999</v>
      </c>
      <c r="AA92" s="68">
        <v>0.8</v>
      </c>
      <c r="AB92" s="68">
        <v>0.68</v>
      </c>
      <c r="AC92" s="68">
        <v>0.66400000000000003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4">F31</f>
        <v>6.92</v>
      </c>
      <c r="G93" s="65">
        <f t="shared" si="24"/>
        <v>5.74</v>
      </c>
      <c r="H93" s="65">
        <f t="shared" si="24"/>
        <v>6</v>
      </c>
      <c r="I93" s="65">
        <f t="shared" si="24"/>
        <v>4</v>
      </c>
      <c r="J93" s="65">
        <f t="shared" si="24"/>
        <v>4.3</v>
      </c>
      <c r="K93" s="65">
        <f t="shared" si="24"/>
        <v>4</v>
      </c>
      <c r="L93" s="65">
        <f t="shared" si="24"/>
        <v>7</v>
      </c>
      <c r="M93" s="65">
        <f t="shared" si="24"/>
        <v>5.4</v>
      </c>
      <c r="N93" s="65">
        <f t="shared" si="24"/>
        <v>9.6999999999999993</v>
      </c>
      <c r="O93" s="65">
        <f t="shared" si="24"/>
        <v>10.8</v>
      </c>
      <c r="P93" s="65">
        <f t="shared" si="24"/>
        <v>10.8</v>
      </c>
      <c r="Q93" s="65">
        <f t="shared" si="24"/>
        <v>10</v>
      </c>
      <c r="R93" s="65">
        <f t="shared" si="24"/>
        <v>9.8000000000000007</v>
      </c>
      <c r="S93" s="65">
        <f t="shared" si="24"/>
        <v>10</v>
      </c>
      <c r="T93" s="65">
        <f t="shared" si="24"/>
        <v>10.8</v>
      </c>
      <c r="U93" s="65">
        <f t="shared" si="24"/>
        <v>10.8</v>
      </c>
      <c r="V93" s="65">
        <f t="shared" si="24"/>
        <v>10.8</v>
      </c>
      <c r="W93" s="65">
        <f t="shared" si="24"/>
        <v>10.8</v>
      </c>
      <c r="X93" s="65">
        <f t="shared" si="24"/>
        <v>10.8</v>
      </c>
      <c r="Y93" s="65">
        <f t="shared" si="24"/>
        <v>10.8</v>
      </c>
      <c r="Z93" s="65">
        <f t="shared" si="24"/>
        <v>10.8</v>
      </c>
      <c r="AA93" s="65">
        <f t="shared" si="24"/>
        <v>8</v>
      </c>
      <c r="AB93" s="65">
        <f t="shared" si="24"/>
        <v>10.7</v>
      </c>
      <c r="AC93" s="65">
        <f t="shared" si="24"/>
        <v>8.3000000000000007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0.17499999999999999</v>
      </c>
      <c r="G94" s="68">
        <v>8.4000000000000005E-2</v>
      </c>
      <c r="H94" s="68">
        <v>9.1999999999999998E-2</v>
      </c>
      <c r="I94" s="68">
        <v>0.09</v>
      </c>
      <c r="J94" s="68">
        <v>9.4E-2</v>
      </c>
      <c r="K94" s="68">
        <v>9.1999999999999998E-2</v>
      </c>
      <c r="L94" s="68">
        <v>0.121</v>
      </c>
      <c r="M94" s="68">
        <v>0.11799999999999999</v>
      </c>
      <c r="N94" s="68">
        <v>0.21</v>
      </c>
      <c r="O94" s="68">
        <v>0.184</v>
      </c>
      <c r="P94" s="68">
        <v>0.17899999999999999</v>
      </c>
      <c r="Q94" s="68">
        <v>0.19700000000000001</v>
      </c>
      <c r="R94" s="68">
        <v>0.19900000000000001</v>
      </c>
      <c r="S94" s="68">
        <v>0.20799999999999999</v>
      </c>
      <c r="T94" s="68">
        <v>0.189</v>
      </c>
      <c r="U94" s="68">
        <v>0.189</v>
      </c>
      <c r="V94" s="68">
        <v>0.29099999999999998</v>
      </c>
      <c r="W94" s="68">
        <v>0.20699999999999999</v>
      </c>
      <c r="X94" s="68">
        <v>0.221</v>
      </c>
      <c r="Y94" s="68">
        <v>0.214</v>
      </c>
      <c r="Z94" s="68">
        <v>0.2</v>
      </c>
      <c r="AA94" s="68">
        <v>0.193</v>
      </c>
      <c r="AB94" s="68">
        <v>0.187</v>
      </c>
      <c r="AC94" s="68">
        <v>0.17299999999999999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0.20599999999999999</v>
      </c>
      <c r="G95" s="68">
        <v>0.2024</v>
      </c>
      <c r="H95" s="68">
        <v>0.20200000000000001</v>
      </c>
      <c r="I95" s="68">
        <v>0.20200000000000001</v>
      </c>
      <c r="J95" s="68">
        <v>0.1996</v>
      </c>
      <c r="K95" s="68">
        <v>0.20569999999999999</v>
      </c>
      <c r="L95" s="68">
        <v>0.25679999999999997</v>
      </c>
      <c r="M95" s="68">
        <v>0.21360000000000001</v>
      </c>
      <c r="N95" s="68">
        <v>0.28120000000000001</v>
      </c>
      <c r="O95" s="68">
        <v>0.26200000000000001</v>
      </c>
      <c r="P95" s="68">
        <v>0.221</v>
      </c>
      <c r="Q95" s="68">
        <v>0.22500000000000001</v>
      </c>
      <c r="R95" s="68">
        <v>0.21299999999999999</v>
      </c>
      <c r="S95" s="68">
        <v>0.219</v>
      </c>
      <c r="T95" s="68">
        <v>0.22500000000000001</v>
      </c>
      <c r="U95" s="68">
        <v>0.219</v>
      </c>
      <c r="V95" s="68">
        <v>0.223</v>
      </c>
      <c r="W95" s="68">
        <v>0.21099999999999999</v>
      </c>
      <c r="X95" s="68">
        <v>0.218</v>
      </c>
      <c r="Y95" s="68">
        <v>0.20599999999999999</v>
      </c>
      <c r="Z95" s="68">
        <v>0.21</v>
      </c>
      <c r="AA95" s="68">
        <v>0.21</v>
      </c>
      <c r="AB95" s="68">
        <v>0.22</v>
      </c>
      <c r="AC95" s="68">
        <v>0.21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5">F34</f>
        <v>14.21</v>
      </c>
      <c r="G96" s="65">
        <f t="shared" si="25"/>
        <v>14.29</v>
      </c>
      <c r="H96" s="65">
        <f t="shared" si="25"/>
        <v>14.25</v>
      </c>
      <c r="I96" s="65">
        <f t="shared" si="25"/>
        <v>14.3</v>
      </c>
      <c r="J96" s="65">
        <f t="shared" si="25"/>
        <v>14.27</v>
      </c>
      <c r="K96" s="65">
        <f t="shared" si="25"/>
        <v>14.27</v>
      </c>
      <c r="L96" s="65">
        <f t="shared" si="25"/>
        <v>14.22</v>
      </c>
      <c r="M96" s="65">
        <f t="shared" si="25"/>
        <v>14.26</v>
      </c>
      <c r="N96" s="65">
        <f t="shared" si="25"/>
        <v>14.27</v>
      </c>
      <c r="O96" s="65">
        <f t="shared" si="25"/>
        <v>14.26</v>
      </c>
      <c r="P96" s="65">
        <f t="shared" si="25"/>
        <v>14.29</v>
      </c>
      <c r="Q96" s="65">
        <f t="shared" si="25"/>
        <v>14.3</v>
      </c>
      <c r="R96" s="65">
        <f t="shared" si="25"/>
        <v>14.28</v>
      </c>
      <c r="S96" s="65">
        <f t="shared" si="25"/>
        <v>14.25</v>
      </c>
      <c r="T96" s="65">
        <f t="shared" si="25"/>
        <v>14.29</v>
      </c>
      <c r="U96" s="65">
        <f t="shared" si="25"/>
        <v>14.31</v>
      </c>
      <c r="V96" s="65">
        <f t="shared" si="25"/>
        <v>14.26</v>
      </c>
      <c r="W96" s="65">
        <f t="shared" si="25"/>
        <v>14.3</v>
      </c>
      <c r="X96" s="65">
        <f t="shared" si="25"/>
        <v>14.32</v>
      </c>
      <c r="Y96" s="65">
        <f t="shared" si="25"/>
        <v>14.27</v>
      </c>
      <c r="Z96" s="65">
        <f t="shared" si="25"/>
        <v>14.29</v>
      </c>
      <c r="AA96" s="65">
        <f t="shared" si="25"/>
        <v>14.26</v>
      </c>
      <c r="AB96" s="65">
        <f t="shared" si="25"/>
        <v>14.28</v>
      </c>
      <c r="AC96" s="65">
        <f t="shared" si="25"/>
        <v>14.18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0.79</v>
      </c>
      <c r="G97" s="68">
        <v>0.71</v>
      </c>
      <c r="H97" s="68">
        <v>0.75</v>
      </c>
      <c r="I97" s="68">
        <v>0.7</v>
      </c>
      <c r="J97" s="68">
        <v>0.73</v>
      </c>
      <c r="K97" s="68">
        <v>0.76</v>
      </c>
      <c r="L97" s="68">
        <v>0.78</v>
      </c>
      <c r="M97" s="68">
        <v>0.74</v>
      </c>
      <c r="N97" s="68">
        <v>0.73</v>
      </c>
      <c r="O97" s="68">
        <v>0.74</v>
      </c>
      <c r="P97" s="68">
        <v>0.71</v>
      </c>
      <c r="Q97" s="68">
        <v>0.7</v>
      </c>
      <c r="R97" s="68">
        <v>0.72</v>
      </c>
      <c r="S97" s="68">
        <v>0.75</v>
      </c>
      <c r="T97" s="68">
        <v>0.71</v>
      </c>
      <c r="U97" s="68">
        <v>0.69</v>
      </c>
      <c r="V97" s="68">
        <v>0.74</v>
      </c>
      <c r="W97" s="68">
        <v>0.7</v>
      </c>
      <c r="X97" s="68">
        <v>0.68</v>
      </c>
      <c r="Y97" s="68">
        <v>0.73</v>
      </c>
      <c r="Z97" s="68">
        <v>0.71</v>
      </c>
      <c r="AA97" s="68">
        <v>0.73</v>
      </c>
      <c r="AB97" s="68">
        <v>0.72</v>
      </c>
      <c r="AC97" s="68">
        <v>0.82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0</v>
      </c>
      <c r="Q98" s="64">
        <f t="shared" si="26"/>
        <v>0</v>
      </c>
      <c r="R98" s="64">
        <f t="shared" si="26"/>
        <v>0</v>
      </c>
      <c r="S98" s="64">
        <f t="shared" si="26"/>
        <v>0</v>
      </c>
      <c r="T98" s="64">
        <f t="shared" si="26"/>
        <v>1.5</v>
      </c>
      <c r="U98" s="64">
        <f t="shared" si="26"/>
        <v>1.5</v>
      </c>
      <c r="V98" s="64">
        <f t="shared" si="26"/>
        <v>1.5</v>
      </c>
      <c r="W98" s="64">
        <f t="shared" si="26"/>
        <v>1.5</v>
      </c>
      <c r="X98" s="64">
        <f t="shared" si="26"/>
        <v>1.5</v>
      </c>
      <c r="Y98" s="64">
        <f t="shared" si="26"/>
        <v>2.2999999999999998</v>
      </c>
      <c r="Z98" s="64">
        <f t="shared" si="26"/>
        <v>0</v>
      </c>
      <c r="AA98" s="64">
        <f t="shared" si="26"/>
        <v>0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7">F65</f>
        <v>0.66</v>
      </c>
      <c r="G99" s="64">
        <f t="shared" si="27"/>
        <v>0.65</v>
      </c>
      <c r="H99" s="64">
        <f t="shared" si="27"/>
        <v>0.62</v>
      </c>
      <c r="I99" s="64">
        <f t="shared" si="27"/>
        <v>0.61</v>
      </c>
      <c r="J99" s="64">
        <f t="shared" si="27"/>
        <v>0.62</v>
      </c>
      <c r="K99" s="64">
        <f t="shared" si="27"/>
        <v>0</v>
      </c>
      <c r="L99" s="64">
        <f t="shared" si="27"/>
        <v>0</v>
      </c>
      <c r="M99" s="64">
        <f t="shared" si="27"/>
        <v>0.7</v>
      </c>
      <c r="N99" s="64">
        <f t="shared" si="27"/>
        <v>0.71</v>
      </c>
      <c r="O99" s="64">
        <f t="shared" si="27"/>
        <v>0.78</v>
      </c>
      <c r="P99" s="64">
        <f t="shared" si="27"/>
        <v>0.97</v>
      </c>
      <c r="Q99" s="64">
        <f t="shared" si="27"/>
        <v>1.1200000000000001</v>
      </c>
      <c r="R99" s="64">
        <f t="shared" si="27"/>
        <v>1.08</v>
      </c>
      <c r="S99" s="64">
        <f t="shared" si="27"/>
        <v>0.96</v>
      </c>
      <c r="T99" s="64">
        <f t="shared" si="27"/>
        <v>1.1499999999999999</v>
      </c>
      <c r="U99" s="64">
        <f t="shared" si="27"/>
        <v>1.0900000000000001</v>
      </c>
      <c r="V99" s="64">
        <f t="shared" si="27"/>
        <v>1.19</v>
      </c>
      <c r="W99" s="64">
        <f t="shared" si="27"/>
        <v>1</v>
      </c>
      <c r="X99" s="64">
        <f t="shared" si="27"/>
        <v>0</v>
      </c>
      <c r="Y99" s="64">
        <f t="shared" si="27"/>
        <v>1.17</v>
      </c>
      <c r="Z99" s="64">
        <f t="shared" si="27"/>
        <v>1.06</v>
      </c>
      <c r="AA99" s="64">
        <f t="shared" si="27"/>
        <v>0.99</v>
      </c>
      <c r="AB99" s="64">
        <f t="shared" si="27"/>
        <v>0.9</v>
      </c>
      <c r="AC99" s="64">
        <f t="shared" si="27"/>
        <v>0.86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9">F80</f>
        <v>0.75</v>
      </c>
      <c r="G101" s="64">
        <f t="shared" si="29"/>
        <v>0.7</v>
      </c>
      <c r="H101" s="64">
        <f t="shared" si="29"/>
        <v>0.65</v>
      </c>
      <c r="I101" s="64">
        <f t="shared" si="29"/>
        <v>0</v>
      </c>
      <c r="J101" s="64">
        <f t="shared" si="29"/>
        <v>0.67</v>
      </c>
      <c r="K101" s="64">
        <f t="shared" si="29"/>
        <v>0.61</v>
      </c>
      <c r="L101" s="64">
        <f t="shared" si="29"/>
        <v>0.65</v>
      </c>
      <c r="M101" s="64">
        <f t="shared" si="29"/>
        <v>0</v>
      </c>
      <c r="N101" s="64">
        <f t="shared" si="29"/>
        <v>0.36</v>
      </c>
      <c r="O101" s="64">
        <f t="shared" si="29"/>
        <v>0.35</v>
      </c>
      <c r="P101" s="64">
        <f t="shared" si="29"/>
        <v>0.36</v>
      </c>
      <c r="Q101" s="64">
        <f t="shared" si="29"/>
        <v>0.56000000000000005</v>
      </c>
      <c r="R101" s="64">
        <f t="shared" si="29"/>
        <v>0.55000000000000004</v>
      </c>
      <c r="S101" s="64">
        <f t="shared" si="29"/>
        <v>0.53</v>
      </c>
      <c r="T101" s="64">
        <f t="shared" si="29"/>
        <v>0.74</v>
      </c>
      <c r="U101" s="64">
        <f t="shared" si="29"/>
        <v>0.73</v>
      </c>
      <c r="V101" s="64">
        <f t="shared" si="29"/>
        <v>0</v>
      </c>
      <c r="W101" s="64">
        <f t="shared" si="29"/>
        <v>0.54</v>
      </c>
      <c r="X101" s="64">
        <f t="shared" si="29"/>
        <v>0.56000000000000005</v>
      </c>
      <c r="Y101" s="64">
        <f t="shared" si="29"/>
        <v>0.65</v>
      </c>
      <c r="Z101" s="64">
        <f t="shared" si="29"/>
        <v>0.64</v>
      </c>
      <c r="AA101" s="64">
        <f t="shared" si="29"/>
        <v>0.56000000000000005</v>
      </c>
      <c r="AB101" s="64">
        <f t="shared" si="29"/>
        <v>0.49</v>
      </c>
      <c r="AC101" s="64">
        <f t="shared" si="29"/>
        <v>0.51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1">SUM(F89,F91,F93,F96,F98:F102,F81)</f>
        <v>35.739999999999995</v>
      </c>
      <c r="G103" s="61">
        <f t="shared" si="31"/>
        <v>34.58</v>
      </c>
      <c r="H103" s="61">
        <f t="shared" si="31"/>
        <v>34.119999999999997</v>
      </c>
      <c r="I103" s="61">
        <f t="shared" si="31"/>
        <v>32.11</v>
      </c>
      <c r="J103" s="61">
        <f t="shared" si="31"/>
        <v>33.06</v>
      </c>
      <c r="K103" s="61">
        <f t="shared" si="31"/>
        <v>31.08</v>
      </c>
      <c r="L103" s="61">
        <f t="shared" si="31"/>
        <v>34.47</v>
      </c>
      <c r="M103" s="61">
        <f t="shared" si="31"/>
        <v>33.86</v>
      </c>
      <c r="N103" s="61">
        <f t="shared" si="31"/>
        <v>38.440000000000005</v>
      </c>
      <c r="O103" s="61">
        <f t="shared" si="31"/>
        <v>45.690000000000005</v>
      </c>
      <c r="P103" s="61">
        <f t="shared" si="31"/>
        <v>48.62</v>
      </c>
      <c r="Q103" s="61">
        <f t="shared" si="31"/>
        <v>48.18</v>
      </c>
      <c r="R103" s="61">
        <f t="shared" si="31"/>
        <v>45.809999999999995</v>
      </c>
      <c r="S103" s="61">
        <f t="shared" si="31"/>
        <v>46.14</v>
      </c>
      <c r="T103" s="61">
        <f t="shared" si="31"/>
        <v>47.980000000000004</v>
      </c>
      <c r="U103" s="61">
        <f t="shared" si="31"/>
        <v>47.93</v>
      </c>
      <c r="V103" s="61">
        <f t="shared" si="31"/>
        <v>47.85</v>
      </c>
      <c r="W103" s="61">
        <f t="shared" si="31"/>
        <v>47.34</v>
      </c>
      <c r="X103" s="61">
        <f t="shared" si="31"/>
        <v>46.680000000000007</v>
      </c>
      <c r="Y103" s="61">
        <f t="shared" si="31"/>
        <v>49.589999999999996</v>
      </c>
      <c r="Z103" s="61">
        <f t="shared" si="31"/>
        <v>46.59</v>
      </c>
      <c r="AA103" s="61">
        <f t="shared" si="31"/>
        <v>42.81</v>
      </c>
      <c r="AB103" s="61">
        <f t="shared" si="31"/>
        <v>39.57</v>
      </c>
      <c r="AC103" s="61">
        <f t="shared" si="31"/>
        <v>37.449999999999996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>
        <v>0.56000000000000005</v>
      </c>
      <c r="G106" s="76"/>
      <c r="H106" s="76"/>
      <c r="I106" s="76">
        <v>0.65</v>
      </c>
      <c r="J106" s="76"/>
      <c r="K106" s="76">
        <f>0.62+0.37+3.7</f>
        <v>4.6900000000000004</v>
      </c>
      <c r="L106" s="76">
        <f>0.62+0.37+0.7</f>
        <v>1.69</v>
      </c>
      <c r="M106" s="76">
        <f>0.37+0.7+0.65</f>
        <v>1.7199999999999998</v>
      </c>
      <c r="N106" s="76">
        <f>0.37+0.7</f>
        <v>1.0699999999999998</v>
      </c>
      <c r="O106" s="76">
        <f>0.7</f>
        <v>0.7</v>
      </c>
      <c r="P106" s="76">
        <v>0.37</v>
      </c>
      <c r="Q106" s="76">
        <f>1.8+0.45</f>
        <v>2.25</v>
      </c>
      <c r="R106" s="76">
        <f>1.8+0.45</f>
        <v>2.25</v>
      </c>
      <c r="S106" s="76">
        <v>0.45</v>
      </c>
      <c r="T106" s="76">
        <v>0.45</v>
      </c>
      <c r="U106" s="76">
        <f>(0.5-0.11)+1.65</f>
        <v>2.04</v>
      </c>
      <c r="V106" s="536">
        <f>(0.5-0.11)+1.65+0.73</f>
        <v>2.77</v>
      </c>
      <c r="W106" s="536">
        <f>1.65+1.06</f>
        <v>2.71</v>
      </c>
      <c r="X106" s="536">
        <f>1.06+1</f>
        <v>2.06</v>
      </c>
      <c r="Y106" s="76"/>
      <c r="Z106" s="76">
        <v>0.94</v>
      </c>
      <c r="AA106" s="76">
        <v>1.07</v>
      </c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2">SUM(F104:F106)</f>
        <v>0.56000000000000005</v>
      </c>
      <c r="G107" s="61">
        <f t="shared" si="32"/>
        <v>0</v>
      </c>
      <c r="H107" s="61">
        <f t="shared" si="32"/>
        <v>0</v>
      </c>
      <c r="I107" s="61">
        <f t="shared" si="32"/>
        <v>0.65</v>
      </c>
      <c r="J107" s="61">
        <f t="shared" si="32"/>
        <v>0</v>
      </c>
      <c r="K107" s="61">
        <f t="shared" si="32"/>
        <v>4.6900000000000004</v>
      </c>
      <c r="L107" s="61">
        <f t="shared" si="32"/>
        <v>1.69</v>
      </c>
      <c r="M107" s="61">
        <f t="shared" si="32"/>
        <v>1.7199999999999998</v>
      </c>
      <c r="N107" s="61">
        <f t="shared" si="32"/>
        <v>1.0699999999999998</v>
      </c>
      <c r="O107" s="61">
        <f t="shared" si="32"/>
        <v>0.7</v>
      </c>
      <c r="P107" s="61">
        <f t="shared" si="32"/>
        <v>0.37</v>
      </c>
      <c r="Q107" s="61">
        <f t="shared" si="32"/>
        <v>2.25</v>
      </c>
      <c r="R107" s="61">
        <f t="shared" si="32"/>
        <v>2.25</v>
      </c>
      <c r="S107" s="61">
        <f t="shared" si="32"/>
        <v>0.45</v>
      </c>
      <c r="T107" s="61">
        <f t="shared" si="32"/>
        <v>0.45</v>
      </c>
      <c r="U107" s="61">
        <f t="shared" si="32"/>
        <v>2.04</v>
      </c>
      <c r="V107" s="61">
        <f t="shared" si="32"/>
        <v>2.77</v>
      </c>
      <c r="W107" s="61">
        <f t="shared" si="32"/>
        <v>2.71</v>
      </c>
      <c r="X107" s="61">
        <f t="shared" si="32"/>
        <v>2.06</v>
      </c>
      <c r="Y107" s="61">
        <f t="shared" si="32"/>
        <v>0</v>
      </c>
      <c r="Z107" s="61">
        <f t="shared" si="32"/>
        <v>0.94</v>
      </c>
      <c r="AA107" s="61">
        <f t="shared" si="32"/>
        <v>1.07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3">F103+F107</f>
        <v>36.299999999999997</v>
      </c>
      <c r="G108" s="62">
        <f t="shared" si="33"/>
        <v>34.58</v>
      </c>
      <c r="H108" s="62">
        <f t="shared" si="33"/>
        <v>34.119999999999997</v>
      </c>
      <c r="I108" s="62">
        <f t="shared" si="33"/>
        <v>32.76</v>
      </c>
      <c r="J108" s="62">
        <f t="shared" si="33"/>
        <v>33.06</v>
      </c>
      <c r="K108" s="62">
        <f t="shared" si="33"/>
        <v>35.769999999999996</v>
      </c>
      <c r="L108" s="62">
        <f t="shared" si="33"/>
        <v>36.159999999999997</v>
      </c>
      <c r="M108" s="62">
        <f t="shared" si="33"/>
        <v>35.58</v>
      </c>
      <c r="N108" s="62">
        <f>N103+N107</f>
        <v>39.510000000000005</v>
      </c>
      <c r="O108" s="62">
        <f t="shared" si="33"/>
        <v>46.390000000000008</v>
      </c>
      <c r="P108" s="62">
        <f>P103+P107</f>
        <v>48.989999999999995</v>
      </c>
      <c r="Q108" s="62">
        <f t="shared" si="33"/>
        <v>50.43</v>
      </c>
      <c r="R108" s="62">
        <f t="shared" si="33"/>
        <v>48.059999999999995</v>
      </c>
      <c r="S108" s="62">
        <f t="shared" si="33"/>
        <v>46.59</v>
      </c>
      <c r="T108" s="62">
        <f>T103+T107</f>
        <v>48.430000000000007</v>
      </c>
      <c r="U108" s="62">
        <f t="shared" si="33"/>
        <v>49.97</v>
      </c>
      <c r="V108" s="62">
        <f t="shared" si="33"/>
        <v>50.620000000000005</v>
      </c>
      <c r="W108" s="62">
        <f>W103+W107</f>
        <v>50.050000000000004</v>
      </c>
      <c r="X108" s="62">
        <f t="shared" si="33"/>
        <v>48.740000000000009</v>
      </c>
      <c r="Y108" s="62">
        <f t="shared" si="33"/>
        <v>49.589999999999996</v>
      </c>
      <c r="Z108" s="62">
        <f t="shared" si="33"/>
        <v>47.53</v>
      </c>
      <c r="AA108" s="62">
        <f t="shared" si="33"/>
        <v>43.88</v>
      </c>
      <c r="AB108" s="62">
        <f t="shared" si="33"/>
        <v>39.57</v>
      </c>
      <c r="AC108" s="62">
        <f t="shared" si="33"/>
        <v>37.449999999999996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4">(COUNT(F13:F16))*7.2+(COUNT(F27:F28)*4.9)+(COUNT(F19:F21)*4.5)-F91-F93</f>
        <v>-0.81999999999999851</v>
      </c>
      <c r="G109" s="63">
        <f t="shared" si="34"/>
        <v>-4.5399999999999991</v>
      </c>
      <c r="H109" s="63">
        <f t="shared" si="34"/>
        <v>-4.1999999999999993</v>
      </c>
      <c r="I109" s="63">
        <f t="shared" si="34"/>
        <v>-2.7999999999999989</v>
      </c>
      <c r="J109" s="63">
        <f t="shared" si="34"/>
        <v>-3.0999999999999988</v>
      </c>
      <c r="K109" s="63">
        <f t="shared" si="34"/>
        <v>-1.7999999999999989</v>
      </c>
      <c r="L109" s="63">
        <f t="shared" si="34"/>
        <v>-5.1999999999999993</v>
      </c>
      <c r="M109" s="63">
        <f t="shared" si="34"/>
        <v>2.7000000000000011</v>
      </c>
      <c r="N109" s="63">
        <f t="shared" si="34"/>
        <v>3.4000000000000004</v>
      </c>
      <c r="O109" s="63">
        <f t="shared" si="34"/>
        <v>-3.8000000000000007</v>
      </c>
      <c r="P109" s="63">
        <f t="shared" si="34"/>
        <v>9.9999999999997868E-2</v>
      </c>
      <c r="Q109" s="63">
        <f t="shared" si="34"/>
        <v>1.5</v>
      </c>
      <c r="R109" s="63">
        <f t="shared" si="34"/>
        <v>-3.4000000000000021</v>
      </c>
      <c r="S109" s="63">
        <f t="shared" si="34"/>
        <v>-3.8999999999999986</v>
      </c>
      <c r="T109" s="63">
        <f t="shared" si="34"/>
        <v>-3.8000000000000007</v>
      </c>
      <c r="U109" s="63">
        <f t="shared" si="34"/>
        <v>-3.8000000000000007</v>
      </c>
      <c r="V109" s="63">
        <f t="shared" si="34"/>
        <v>-4.4000000000000021</v>
      </c>
      <c r="W109" s="63">
        <f t="shared" si="34"/>
        <v>-3.5000000000000036</v>
      </c>
      <c r="X109" s="63">
        <f t="shared" si="34"/>
        <v>-3.8000000000000007</v>
      </c>
      <c r="Y109" s="63">
        <f t="shared" si="34"/>
        <v>-4.6999999999999993</v>
      </c>
      <c r="Z109" s="63">
        <f t="shared" si="34"/>
        <v>-4.0999999999999979</v>
      </c>
      <c r="AA109" s="63">
        <f t="shared" si="34"/>
        <v>-0.5</v>
      </c>
      <c r="AB109" s="63">
        <f t="shared" si="34"/>
        <v>-4.5999999999999979</v>
      </c>
      <c r="AC109" s="63">
        <f t="shared" si="34"/>
        <v>-2.5999999999999996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-2.2199999999999989</v>
      </c>
      <c r="G110" s="205">
        <f t="shared" si="35"/>
        <v>-4.5399999999999991</v>
      </c>
      <c r="H110" s="205">
        <f t="shared" si="35"/>
        <v>-4.1999999999999993</v>
      </c>
      <c r="I110" s="205">
        <f t="shared" si="35"/>
        <v>-2.7999999999999989</v>
      </c>
      <c r="J110" s="205">
        <f t="shared" si="35"/>
        <v>-3.0999999999999988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-1.7999999999999989</v>
      </c>
      <c r="L110" s="205">
        <f t="shared" si="35"/>
        <v>-5.1999999999999993</v>
      </c>
      <c r="M110" s="205">
        <f t="shared" si="35"/>
        <v>2.7000000000000011</v>
      </c>
      <c r="N110" s="205">
        <f t="shared" si="35"/>
        <v>-3.7999999999999989</v>
      </c>
      <c r="O110" s="205">
        <f t="shared" si="35"/>
        <v>-3.7999999999999989</v>
      </c>
      <c r="P110" s="205">
        <f t="shared" si="35"/>
        <v>-2.0000000000000004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-1.1999999999999984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-3.8000000000000007</v>
      </c>
      <c r="S110" s="205">
        <f t="shared" si="36"/>
        <v>-4.2999999999999972</v>
      </c>
      <c r="T110" s="205">
        <f t="shared" si="36"/>
        <v>-4.1999999999999993</v>
      </c>
      <c r="U110" s="205">
        <f t="shared" si="36"/>
        <v>-4.1999999999999993</v>
      </c>
      <c r="V110" s="205">
        <f t="shared" si="36"/>
        <v>-4.8000000000000007</v>
      </c>
      <c r="W110" s="205">
        <f t="shared" si="36"/>
        <v>-3.9000000000000021</v>
      </c>
      <c r="X110" s="205">
        <f t="shared" si="36"/>
        <v>-4.1999999999999993</v>
      </c>
      <c r="Y110" s="205">
        <f t="shared" si="36"/>
        <v>-5.0999999999999979</v>
      </c>
      <c r="Z110" s="205">
        <f t="shared" si="36"/>
        <v>-4.4999999999999964</v>
      </c>
      <c r="AA110" s="205">
        <f t="shared" si="36"/>
        <v>-0.89999999999999858</v>
      </c>
      <c r="AB110" s="205">
        <f t="shared" si="36"/>
        <v>-4.9999999999999982</v>
      </c>
      <c r="AC110" s="205">
        <f t="shared" si="36"/>
        <v>-3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60.13</v>
      </c>
      <c r="G111" s="456">
        <v>60.16</v>
      </c>
      <c r="H111" s="456">
        <v>60.21</v>
      </c>
      <c r="I111" s="456">
        <v>60.11</v>
      </c>
      <c r="J111" s="456">
        <v>60.11</v>
      </c>
      <c r="K111" s="456">
        <v>60.55</v>
      </c>
      <c r="L111" s="456">
        <v>60.27</v>
      </c>
      <c r="M111" s="456">
        <v>60.13</v>
      </c>
      <c r="N111" s="456">
        <v>60.07</v>
      </c>
      <c r="O111" s="456">
        <v>60.19</v>
      </c>
      <c r="P111" s="457">
        <v>60.14</v>
      </c>
      <c r="Q111" s="457">
        <v>60.3</v>
      </c>
      <c r="R111" s="457">
        <v>60.11</v>
      </c>
      <c r="S111" s="457">
        <v>60.08</v>
      </c>
      <c r="T111" s="457">
        <v>60.13</v>
      </c>
      <c r="U111" s="456">
        <v>60.22</v>
      </c>
      <c r="V111" s="456">
        <v>60.18</v>
      </c>
      <c r="W111" s="456">
        <v>60.14</v>
      </c>
      <c r="X111" s="456">
        <v>60.23</v>
      </c>
      <c r="Y111" s="456">
        <v>60.11</v>
      </c>
      <c r="Z111" s="456">
        <v>60.19</v>
      </c>
      <c r="AA111" s="456">
        <v>60.35</v>
      </c>
      <c r="AB111" s="456">
        <v>60.14</v>
      </c>
      <c r="AC111" s="456">
        <v>60.14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 t="s">
        <v>100</v>
      </c>
      <c r="G115" s="520" t="s">
        <v>100</v>
      </c>
      <c r="H115" s="520" t="s">
        <v>100</v>
      </c>
      <c r="I115" s="520" t="s">
        <v>100</v>
      </c>
      <c r="J115" s="520" t="s">
        <v>100</v>
      </c>
      <c r="K115" s="520" t="s">
        <v>103</v>
      </c>
      <c r="L115" s="520" t="s">
        <v>104</v>
      </c>
      <c r="M115" s="520" t="s">
        <v>104</v>
      </c>
      <c r="N115" s="520" t="s">
        <v>104</v>
      </c>
      <c r="O115" s="520" t="s">
        <v>103</v>
      </c>
      <c r="P115" s="520" t="s">
        <v>103</v>
      </c>
      <c r="Q115" s="520" t="s">
        <v>104</v>
      </c>
      <c r="R115" s="520" t="s">
        <v>104</v>
      </c>
      <c r="S115" s="520" t="s">
        <v>104</v>
      </c>
      <c r="T115" s="520" t="s">
        <v>103</v>
      </c>
      <c r="U115" s="520" t="s">
        <v>103</v>
      </c>
      <c r="V115" s="520" t="s">
        <v>104</v>
      </c>
      <c r="W115" s="520" t="s">
        <v>104</v>
      </c>
      <c r="X115" s="520" t="s">
        <v>104</v>
      </c>
      <c r="Y115" s="520" t="s">
        <v>104</v>
      </c>
      <c r="Z115" s="520" t="s">
        <v>104</v>
      </c>
      <c r="AA115" s="520" t="s">
        <v>104</v>
      </c>
      <c r="AB115" s="520" t="s">
        <v>104</v>
      </c>
      <c r="AC115" s="520" t="s">
        <v>104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9668" priority="774" operator="greaterThan">
      <formula>60.3</formula>
    </cfRule>
  </conditionalFormatting>
  <conditionalFormatting sqref="F111">
    <cfRule type="cellIs" dxfId="9667" priority="773" operator="greaterThan">
      <formula>60.3</formula>
    </cfRule>
  </conditionalFormatting>
  <conditionalFormatting sqref="H13:J13 N13:O13 D42:E42 N36:AC39 N57:AC59 O14:O16 L51:M55 L36:L50 N41:AC46 H36:J59 I15:N15 I16:L16 N16 L13:L14 O52:AA55 H14:K14 AB52:AC56 P13:AC16 P40:AC40 L56:L59 H62:L64 P62:AC62 R64:S64 P51:AC51 P63:V63 P47:AC49 M50:AC50 P56:AB56 T63:AC64">
    <cfRule type="cellIs" dxfId="9666" priority="765" operator="equal">
      <formula>"PMS"</formula>
    </cfRule>
    <cfRule type="containsText" dxfId="9665" priority="766" operator="containsText" text="CMS">
      <formula>NOT(ISERROR(SEARCH("CMS",D13)))</formula>
    </cfRule>
    <cfRule type="cellIs" dxfId="9664" priority="767" operator="equal">
      <formula>0</formula>
    </cfRule>
    <cfRule type="cellIs" dxfId="9663" priority="768" operator="greaterThan">
      <formula>0</formula>
    </cfRule>
    <cfRule type="cellIs" dxfId="9662" priority="769" operator="equal">
      <formula>"PMS"</formula>
    </cfRule>
    <cfRule type="containsText" dxfId="9661" priority="770" operator="containsText" text="CMS">
      <formula>NOT(ISERROR(SEARCH("CMS",D13)))</formula>
    </cfRule>
    <cfRule type="cellIs" dxfId="9660" priority="771" operator="equal">
      <formula>0</formula>
    </cfRule>
    <cfRule type="cellIs" dxfId="9659" priority="772" operator="greaterThan">
      <formula>0</formula>
    </cfRule>
  </conditionalFormatting>
  <conditionalFormatting sqref="H13:J13 N13:O13 D42:E42 N36:AC39 N57:AC59 O14:O16 L51:M55 L36:L50 N41:AC46 H36:J59 I15:N15 I16:L16 N16 L13:L14 O52:AA55 H14:K14 AB52:AC56 P13:AC16 P40:AC40 L56:L59 H62:L64 P62:AC62 R64:S64 P51:AC51 P63:V63 P47:AC49 M50:AC50 P56:AB56 T63:AC64">
    <cfRule type="cellIs" dxfId="9658" priority="761" operator="equal">
      <formula>"PMS"</formula>
    </cfRule>
    <cfRule type="containsText" dxfId="9657" priority="762" operator="containsText" text="CMS">
      <formula>NOT(ISERROR(SEARCH("CMS",D13)))</formula>
    </cfRule>
    <cfRule type="cellIs" dxfId="9656" priority="763" operator="equal">
      <formula>0</formula>
    </cfRule>
    <cfRule type="cellIs" dxfId="9655" priority="764" operator="greaterThan">
      <formula>0</formula>
    </cfRule>
  </conditionalFormatting>
  <conditionalFormatting sqref="G67:AC75">
    <cfRule type="cellIs" dxfId="9654" priority="753" operator="equal">
      <formula>"PMS"</formula>
    </cfRule>
    <cfRule type="containsText" dxfId="9653" priority="754" operator="containsText" text="CMS">
      <formula>NOT(ISERROR(SEARCH("CMS",G67)))</formula>
    </cfRule>
    <cfRule type="cellIs" dxfId="9652" priority="755" operator="equal">
      <formula>0</formula>
    </cfRule>
    <cfRule type="cellIs" dxfId="9651" priority="756" operator="greaterThan">
      <formula>0</formula>
    </cfRule>
    <cfRule type="cellIs" dxfId="9650" priority="757" operator="equal">
      <formula>"PMS"</formula>
    </cfRule>
    <cfRule type="containsText" dxfId="9649" priority="758" operator="containsText" text="CMS">
      <formula>NOT(ISERROR(SEARCH("CMS",G67)))</formula>
    </cfRule>
    <cfRule type="cellIs" dxfId="9648" priority="759" operator="equal">
      <formula>0</formula>
    </cfRule>
    <cfRule type="cellIs" dxfId="9647" priority="760" operator="greaterThan">
      <formula>0</formula>
    </cfRule>
  </conditionalFormatting>
  <conditionalFormatting sqref="G67:AC75">
    <cfRule type="cellIs" dxfId="9646" priority="749" operator="equal">
      <formula>"PMS"</formula>
    </cfRule>
    <cfRule type="containsText" dxfId="9645" priority="750" operator="containsText" text="CMS">
      <formula>NOT(ISERROR(SEARCH("CMS",G67)))</formula>
    </cfRule>
    <cfRule type="cellIs" dxfId="9644" priority="751" operator="equal">
      <formula>0</formula>
    </cfRule>
    <cfRule type="cellIs" dxfId="9643" priority="752" operator="greaterThan">
      <formula>0</formula>
    </cfRule>
  </conditionalFormatting>
  <conditionalFormatting sqref="G82:AC82">
    <cfRule type="cellIs" dxfId="9642" priority="741" operator="equal">
      <formula>"PMS"</formula>
    </cfRule>
    <cfRule type="containsText" dxfId="9641" priority="742" operator="containsText" text="CMS">
      <formula>NOT(ISERROR(SEARCH("CMS",G82)))</formula>
    </cfRule>
    <cfRule type="cellIs" dxfId="9640" priority="743" operator="equal">
      <formula>0</formula>
    </cfRule>
    <cfRule type="cellIs" dxfId="9639" priority="744" operator="greaterThan">
      <formula>0</formula>
    </cfRule>
    <cfRule type="cellIs" dxfId="9638" priority="745" operator="equal">
      <formula>"PMS"</formula>
    </cfRule>
    <cfRule type="containsText" dxfId="9637" priority="746" operator="containsText" text="CMS">
      <formula>NOT(ISERROR(SEARCH("CMS",G82)))</formula>
    </cfRule>
    <cfRule type="cellIs" dxfId="9636" priority="747" operator="equal">
      <formula>0</formula>
    </cfRule>
    <cfRule type="cellIs" dxfId="9635" priority="748" operator="greaterThan">
      <formula>0</formula>
    </cfRule>
  </conditionalFormatting>
  <conditionalFormatting sqref="G82:AC82">
    <cfRule type="cellIs" dxfId="9634" priority="737" operator="equal">
      <formula>"PMS"</formula>
    </cfRule>
    <cfRule type="containsText" dxfId="9633" priority="738" operator="containsText" text="CMS">
      <formula>NOT(ISERROR(SEARCH("CMS",G82)))</formula>
    </cfRule>
    <cfRule type="cellIs" dxfId="9632" priority="739" operator="equal">
      <formula>0</formula>
    </cfRule>
    <cfRule type="cellIs" dxfId="9631" priority="740" operator="greaterThan">
      <formula>0</formula>
    </cfRule>
  </conditionalFormatting>
  <conditionalFormatting sqref="G13">
    <cfRule type="cellIs" dxfId="9630" priority="729" operator="equal">
      <formula>"PMS"</formula>
    </cfRule>
    <cfRule type="containsText" dxfId="9629" priority="730" operator="containsText" text="CMS">
      <formula>NOT(ISERROR(SEARCH("CMS",G13)))</formula>
    </cfRule>
    <cfRule type="cellIs" dxfId="9628" priority="731" operator="equal">
      <formula>0</formula>
    </cfRule>
    <cfRule type="cellIs" dxfId="9627" priority="732" operator="greaterThan">
      <formula>0</formula>
    </cfRule>
    <cfRule type="cellIs" dxfId="9626" priority="733" operator="equal">
      <formula>"PMS"</formula>
    </cfRule>
    <cfRule type="containsText" dxfId="9625" priority="734" operator="containsText" text="CMS">
      <formula>NOT(ISERROR(SEARCH("CMS",G13)))</formula>
    </cfRule>
    <cfRule type="cellIs" dxfId="9624" priority="735" operator="equal">
      <formula>0</formula>
    </cfRule>
    <cfRule type="cellIs" dxfId="9623" priority="736" operator="greaterThan">
      <formula>0</formula>
    </cfRule>
  </conditionalFormatting>
  <conditionalFormatting sqref="G13">
    <cfRule type="cellIs" dxfId="9622" priority="725" operator="equal">
      <formula>"PMS"</formula>
    </cfRule>
    <cfRule type="containsText" dxfId="9621" priority="726" operator="containsText" text="CMS">
      <formula>NOT(ISERROR(SEARCH("CMS",G13)))</formula>
    </cfRule>
    <cfRule type="cellIs" dxfId="9620" priority="727" operator="equal">
      <formula>0</formula>
    </cfRule>
    <cfRule type="cellIs" dxfId="9619" priority="728" operator="greaterThan">
      <formula>0</formula>
    </cfRule>
  </conditionalFormatting>
  <conditionalFormatting sqref="M13">
    <cfRule type="cellIs" dxfId="9618" priority="717" operator="equal">
      <formula>"PMS"</formula>
    </cfRule>
    <cfRule type="containsText" dxfId="9617" priority="718" operator="containsText" text="CMS">
      <formula>NOT(ISERROR(SEARCH("CMS",M13)))</formula>
    </cfRule>
    <cfRule type="cellIs" dxfId="9616" priority="719" operator="equal">
      <formula>0</formula>
    </cfRule>
    <cfRule type="cellIs" dxfId="9615" priority="720" operator="greaterThan">
      <formula>0</formula>
    </cfRule>
    <cfRule type="cellIs" dxfId="9614" priority="721" operator="equal">
      <formula>"PMS"</formula>
    </cfRule>
    <cfRule type="containsText" dxfId="9613" priority="722" operator="containsText" text="CMS">
      <formula>NOT(ISERROR(SEARCH("CMS",M13)))</formula>
    </cfRule>
    <cfRule type="cellIs" dxfId="9612" priority="723" operator="equal">
      <formula>0</formula>
    </cfRule>
    <cfRule type="cellIs" dxfId="9611" priority="724" operator="greaterThan">
      <formula>0</formula>
    </cfRule>
  </conditionalFormatting>
  <conditionalFormatting sqref="M13">
    <cfRule type="cellIs" dxfId="9610" priority="713" operator="equal">
      <formula>"PMS"</formula>
    </cfRule>
    <cfRule type="containsText" dxfId="9609" priority="714" operator="containsText" text="CMS">
      <formula>NOT(ISERROR(SEARCH("CMS",M13)))</formula>
    </cfRule>
    <cfRule type="cellIs" dxfId="9608" priority="715" operator="equal">
      <formula>0</formula>
    </cfRule>
    <cfRule type="cellIs" dxfId="9607" priority="716" operator="greaterThan">
      <formula>0</formula>
    </cfRule>
  </conditionalFormatting>
  <conditionalFormatting sqref="K13">
    <cfRule type="cellIs" dxfId="9606" priority="705" operator="equal">
      <formula>"PMS"</formula>
    </cfRule>
    <cfRule type="containsText" dxfId="9605" priority="706" operator="containsText" text="CMS">
      <formula>NOT(ISERROR(SEARCH("CMS",K13)))</formula>
    </cfRule>
    <cfRule type="cellIs" dxfId="9604" priority="707" operator="equal">
      <formula>0</formula>
    </cfRule>
    <cfRule type="cellIs" dxfId="9603" priority="708" operator="greaterThan">
      <formula>0</formula>
    </cfRule>
    <cfRule type="cellIs" dxfId="9602" priority="709" operator="equal">
      <formula>"PMS"</formula>
    </cfRule>
    <cfRule type="containsText" dxfId="9601" priority="710" operator="containsText" text="CMS">
      <formula>NOT(ISERROR(SEARCH("CMS",K13)))</formula>
    </cfRule>
    <cfRule type="cellIs" dxfId="9600" priority="711" operator="equal">
      <formula>0</formula>
    </cfRule>
    <cfRule type="cellIs" dxfId="9599" priority="712" operator="greaterThan">
      <formula>0</formula>
    </cfRule>
  </conditionalFormatting>
  <conditionalFormatting sqref="K13">
    <cfRule type="cellIs" dxfId="9598" priority="701" operator="equal">
      <formula>"PMS"</formula>
    </cfRule>
    <cfRule type="containsText" dxfId="9597" priority="702" operator="containsText" text="CMS">
      <formula>NOT(ISERROR(SEARCH("CMS",K13)))</formula>
    </cfRule>
    <cfRule type="cellIs" dxfId="9596" priority="703" operator="equal">
      <formula>0</formula>
    </cfRule>
    <cfRule type="cellIs" dxfId="9595" priority="704" operator="greaterThan">
      <formula>0</formula>
    </cfRule>
  </conditionalFormatting>
  <conditionalFormatting sqref="G113:AC113">
    <cfRule type="cellIs" dxfId="9594" priority="700" operator="greaterThan">
      <formula>60.3</formula>
    </cfRule>
  </conditionalFormatting>
  <conditionalFormatting sqref="H112:M112">
    <cfRule type="cellIs" dxfId="9593" priority="699" operator="greaterThan">
      <formula>60.3</formula>
    </cfRule>
  </conditionalFormatting>
  <conditionalFormatting sqref="F112:G112">
    <cfRule type="cellIs" dxfId="9592" priority="698" operator="greaterThan">
      <formula>60.3</formula>
    </cfRule>
  </conditionalFormatting>
  <conditionalFormatting sqref="N112:AC112">
    <cfRule type="cellIs" dxfId="9591" priority="697" operator="greaterThan">
      <formula>60.3</formula>
    </cfRule>
  </conditionalFormatting>
  <conditionalFormatting sqref="G15:G16">
    <cfRule type="cellIs" dxfId="9590" priority="689" operator="equal">
      <formula>"PMS"</formula>
    </cfRule>
    <cfRule type="containsText" dxfId="9589" priority="690" operator="containsText" text="CMS">
      <formula>NOT(ISERROR(SEARCH("CMS",G15)))</formula>
    </cfRule>
    <cfRule type="cellIs" dxfId="9588" priority="691" operator="equal">
      <formula>0</formula>
    </cfRule>
    <cfRule type="cellIs" dxfId="9587" priority="692" operator="greaterThan">
      <formula>0</formula>
    </cfRule>
    <cfRule type="cellIs" dxfId="9586" priority="693" operator="equal">
      <formula>"PMS"</formula>
    </cfRule>
    <cfRule type="containsText" dxfId="9585" priority="694" operator="containsText" text="CMS">
      <formula>NOT(ISERROR(SEARCH("CMS",G15)))</formula>
    </cfRule>
    <cfRule type="cellIs" dxfId="9584" priority="695" operator="equal">
      <formula>0</formula>
    </cfRule>
    <cfRule type="cellIs" dxfId="9583" priority="696" operator="greaterThan">
      <formula>0</formula>
    </cfRule>
  </conditionalFormatting>
  <conditionalFormatting sqref="G15:G16">
    <cfRule type="cellIs" dxfId="9582" priority="685" operator="equal">
      <formula>"PMS"</formula>
    </cfRule>
    <cfRule type="containsText" dxfId="9581" priority="686" operator="containsText" text="CMS">
      <formula>NOT(ISERROR(SEARCH("CMS",G15)))</formula>
    </cfRule>
    <cfRule type="cellIs" dxfId="9580" priority="687" operator="equal">
      <formula>0</formula>
    </cfRule>
    <cfRule type="cellIs" dxfId="9579" priority="688" operator="greaterThan">
      <formula>0</formula>
    </cfRule>
  </conditionalFormatting>
  <conditionalFormatting sqref="H16">
    <cfRule type="cellIs" dxfId="9578" priority="677" operator="equal">
      <formula>"PMS"</formula>
    </cfRule>
    <cfRule type="containsText" dxfId="9577" priority="678" operator="containsText" text="CMS">
      <formula>NOT(ISERROR(SEARCH("CMS",H16)))</formula>
    </cfRule>
    <cfRule type="cellIs" dxfId="9576" priority="679" operator="equal">
      <formula>0</formula>
    </cfRule>
    <cfRule type="cellIs" dxfId="9575" priority="680" operator="greaterThan">
      <formula>0</formula>
    </cfRule>
    <cfRule type="cellIs" dxfId="9574" priority="681" operator="equal">
      <formula>"PMS"</formula>
    </cfRule>
    <cfRule type="containsText" dxfId="9573" priority="682" operator="containsText" text="CMS">
      <formula>NOT(ISERROR(SEARCH("CMS",H16)))</formula>
    </cfRule>
    <cfRule type="cellIs" dxfId="9572" priority="683" operator="equal">
      <formula>0</formula>
    </cfRule>
    <cfRule type="cellIs" dxfId="9571" priority="684" operator="greaterThan">
      <formula>0</formula>
    </cfRule>
  </conditionalFormatting>
  <conditionalFormatting sqref="H16">
    <cfRule type="cellIs" dxfId="9570" priority="673" operator="equal">
      <formula>"PMS"</formula>
    </cfRule>
    <cfRule type="containsText" dxfId="9569" priority="674" operator="containsText" text="CMS">
      <formula>NOT(ISERROR(SEARCH("CMS",H16)))</formula>
    </cfRule>
    <cfRule type="cellIs" dxfId="9568" priority="675" operator="equal">
      <formula>0</formula>
    </cfRule>
    <cfRule type="cellIs" dxfId="9567" priority="676" operator="greaterThan">
      <formula>0</formula>
    </cfRule>
  </conditionalFormatting>
  <conditionalFormatting sqref="G36:G38 G57:G59">
    <cfRule type="cellIs" dxfId="9566" priority="665" operator="equal">
      <formula>"PMS"</formula>
    </cfRule>
    <cfRule type="containsText" dxfId="9565" priority="666" operator="containsText" text="CMS">
      <formula>NOT(ISERROR(SEARCH("CMS",G36)))</formula>
    </cfRule>
    <cfRule type="cellIs" dxfId="9564" priority="667" operator="equal">
      <formula>0</formula>
    </cfRule>
    <cfRule type="cellIs" dxfId="9563" priority="668" operator="greaterThan">
      <formula>0</formula>
    </cfRule>
    <cfRule type="cellIs" dxfId="9562" priority="669" operator="equal">
      <formula>"PMS"</formula>
    </cfRule>
    <cfRule type="containsText" dxfId="9561" priority="670" operator="containsText" text="CMS">
      <formula>NOT(ISERROR(SEARCH("CMS",G36)))</formula>
    </cfRule>
    <cfRule type="cellIs" dxfId="9560" priority="671" operator="equal">
      <formula>0</formula>
    </cfRule>
    <cfRule type="cellIs" dxfId="9559" priority="672" operator="greaterThan">
      <formula>0</formula>
    </cfRule>
  </conditionalFormatting>
  <conditionalFormatting sqref="G36:G38 G57:G59">
    <cfRule type="cellIs" dxfId="9558" priority="661" operator="equal">
      <formula>"PMS"</formula>
    </cfRule>
    <cfRule type="containsText" dxfId="9557" priority="662" operator="containsText" text="CMS">
      <formula>NOT(ISERROR(SEARCH("CMS",G36)))</formula>
    </cfRule>
    <cfRule type="cellIs" dxfId="9556" priority="663" operator="equal">
      <formula>0</formula>
    </cfRule>
    <cfRule type="cellIs" dxfId="9555" priority="664" operator="greaterThan">
      <formula>0</formula>
    </cfRule>
  </conditionalFormatting>
  <conditionalFormatting sqref="M36:M38 M57:M59">
    <cfRule type="cellIs" dxfId="9554" priority="653" operator="equal">
      <formula>"PMS"</formula>
    </cfRule>
    <cfRule type="containsText" dxfId="9553" priority="654" operator="containsText" text="CMS">
      <formula>NOT(ISERROR(SEARCH("CMS",M36)))</formula>
    </cfRule>
    <cfRule type="cellIs" dxfId="9552" priority="655" operator="equal">
      <formula>0</formula>
    </cfRule>
    <cfRule type="cellIs" dxfId="9551" priority="656" operator="greaterThan">
      <formula>0</formula>
    </cfRule>
    <cfRule type="cellIs" dxfId="9550" priority="657" operator="equal">
      <formula>"PMS"</formula>
    </cfRule>
    <cfRule type="containsText" dxfId="9549" priority="658" operator="containsText" text="CMS">
      <formula>NOT(ISERROR(SEARCH("CMS",M36)))</formula>
    </cfRule>
    <cfRule type="cellIs" dxfId="9548" priority="659" operator="equal">
      <formula>0</formula>
    </cfRule>
    <cfRule type="cellIs" dxfId="9547" priority="660" operator="greaterThan">
      <formula>0</formula>
    </cfRule>
  </conditionalFormatting>
  <conditionalFormatting sqref="M36:M38 M57:M59">
    <cfRule type="cellIs" dxfId="9546" priority="649" operator="equal">
      <formula>"PMS"</formula>
    </cfRule>
    <cfRule type="containsText" dxfId="9545" priority="650" operator="containsText" text="CMS">
      <formula>NOT(ISERROR(SEARCH("CMS",M36)))</formula>
    </cfRule>
    <cfRule type="cellIs" dxfId="9544" priority="651" operator="equal">
      <formula>0</formula>
    </cfRule>
    <cfRule type="cellIs" dxfId="9543" priority="652" operator="greaterThan">
      <formula>0</formula>
    </cfRule>
  </conditionalFormatting>
  <conditionalFormatting sqref="K36:K38 K57:K59">
    <cfRule type="cellIs" dxfId="9542" priority="641" operator="equal">
      <formula>"PMS"</formula>
    </cfRule>
    <cfRule type="containsText" dxfId="9541" priority="642" operator="containsText" text="CMS">
      <formula>NOT(ISERROR(SEARCH("CMS",K36)))</formula>
    </cfRule>
    <cfRule type="cellIs" dxfId="9540" priority="643" operator="equal">
      <formula>0</formula>
    </cfRule>
    <cfRule type="cellIs" dxfId="9539" priority="644" operator="greaterThan">
      <formula>0</formula>
    </cfRule>
    <cfRule type="cellIs" dxfId="9538" priority="645" operator="equal">
      <formula>"PMS"</formula>
    </cfRule>
    <cfRule type="containsText" dxfId="9537" priority="646" operator="containsText" text="CMS">
      <formula>NOT(ISERROR(SEARCH("CMS",K36)))</formula>
    </cfRule>
    <cfRule type="cellIs" dxfId="9536" priority="647" operator="equal">
      <formula>0</formula>
    </cfRule>
    <cfRule type="cellIs" dxfId="9535" priority="648" operator="greaterThan">
      <formula>0</formula>
    </cfRule>
  </conditionalFormatting>
  <conditionalFormatting sqref="K36:K38 K57:K59">
    <cfRule type="cellIs" dxfId="9534" priority="637" operator="equal">
      <formula>"PMS"</formula>
    </cfRule>
    <cfRule type="containsText" dxfId="9533" priority="638" operator="containsText" text="CMS">
      <formula>NOT(ISERROR(SEARCH("CMS",K36)))</formula>
    </cfRule>
    <cfRule type="cellIs" dxfId="9532" priority="639" operator="equal">
      <formula>0</formula>
    </cfRule>
    <cfRule type="cellIs" dxfId="9531" priority="640" operator="greaterThan">
      <formula>0</formula>
    </cfRule>
  </conditionalFormatting>
  <conditionalFormatting sqref="G49">
    <cfRule type="cellIs" dxfId="9530" priority="629" operator="equal">
      <formula>"PMS"</formula>
    </cfRule>
    <cfRule type="containsText" dxfId="9529" priority="630" operator="containsText" text="CMS">
      <formula>NOT(ISERROR(SEARCH("CMS",G49)))</formula>
    </cfRule>
    <cfRule type="cellIs" dxfId="9528" priority="631" operator="equal">
      <formula>0</formula>
    </cfRule>
    <cfRule type="cellIs" dxfId="9527" priority="632" operator="greaterThan">
      <formula>0</formula>
    </cfRule>
    <cfRule type="cellIs" dxfId="9526" priority="633" operator="equal">
      <formula>"PMS"</formula>
    </cfRule>
    <cfRule type="containsText" dxfId="9525" priority="634" operator="containsText" text="CMS">
      <formula>NOT(ISERROR(SEARCH("CMS",G49)))</formula>
    </cfRule>
    <cfRule type="cellIs" dxfId="9524" priority="635" operator="equal">
      <formula>0</formula>
    </cfRule>
    <cfRule type="cellIs" dxfId="9523" priority="636" operator="greaterThan">
      <formula>0</formula>
    </cfRule>
  </conditionalFormatting>
  <conditionalFormatting sqref="G49">
    <cfRule type="cellIs" dxfId="9522" priority="625" operator="equal">
      <formula>"PMS"</formula>
    </cfRule>
    <cfRule type="containsText" dxfId="9521" priority="626" operator="containsText" text="CMS">
      <formula>NOT(ISERROR(SEARCH("CMS",G49)))</formula>
    </cfRule>
    <cfRule type="cellIs" dxfId="9520" priority="627" operator="equal">
      <formula>0</formula>
    </cfRule>
    <cfRule type="cellIs" dxfId="9519" priority="628" operator="greaterThan">
      <formula>0</formula>
    </cfRule>
  </conditionalFormatting>
  <conditionalFormatting sqref="M49:N49">
    <cfRule type="cellIs" dxfId="9518" priority="617" operator="equal">
      <formula>"PMS"</formula>
    </cfRule>
    <cfRule type="containsText" dxfId="9517" priority="618" operator="containsText" text="CMS">
      <formula>NOT(ISERROR(SEARCH("CMS",M49)))</formula>
    </cfRule>
    <cfRule type="cellIs" dxfId="9516" priority="619" operator="equal">
      <formula>0</formula>
    </cfRule>
    <cfRule type="cellIs" dxfId="9515" priority="620" operator="greaterThan">
      <formula>0</formula>
    </cfRule>
    <cfRule type="cellIs" dxfId="9514" priority="621" operator="equal">
      <formula>"PMS"</formula>
    </cfRule>
    <cfRule type="containsText" dxfId="9513" priority="622" operator="containsText" text="CMS">
      <formula>NOT(ISERROR(SEARCH("CMS",M49)))</formula>
    </cfRule>
    <cfRule type="cellIs" dxfId="9512" priority="623" operator="equal">
      <formula>0</formula>
    </cfRule>
    <cfRule type="cellIs" dxfId="9511" priority="624" operator="greaterThan">
      <formula>0</formula>
    </cfRule>
  </conditionalFormatting>
  <conditionalFormatting sqref="M49:N49">
    <cfRule type="cellIs" dxfId="9510" priority="613" operator="equal">
      <formula>"PMS"</formula>
    </cfRule>
    <cfRule type="containsText" dxfId="9509" priority="614" operator="containsText" text="CMS">
      <formula>NOT(ISERROR(SEARCH("CMS",M49)))</formula>
    </cfRule>
    <cfRule type="cellIs" dxfId="9508" priority="615" operator="equal">
      <formula>0</formula>
    </cfRule>
    <cfRule type="cellIs" dxfId="9507" priority="616" operator="greaterThan">
      <formula>0</formula>
    </cfRule>
  </conditionalFormatting>
  <conditionalFormatting sqref="K49">
    <cfRule type="cellIs" dxfId="9506" priority="605" operator="equal">
      <formula>"PMS"</formula>
    </cfRule>
    <cfRule type="containsText" dxfId="9505" priority="606" operator="containsText" text="CMS">
      <formula>NOT(ISERROR(SEARCH("CMS",K49)))</formula>
    </cfRule>
    <cfRule type="cellIs" dxfId="9504" priority="607" operator="equal">
      <formula>0</formula>
    </cfRule>
    <cfRule type="cellIs" dxfId="9503" priority="608" operator="greaterThan">
      <formula>0</formula>
    </cfRule>
    <cfRule type="cellIs" dxfId="9502" priority="609" operator="equal">
      <formula>"PMS"</formula>
    </cfRule>
    <cfRule type="containsText" dxfId="9501" priority="610" operator="containsText" text="CMS">
      <formula>NOT(ISERROR(SEARCH("CMS",K49)))</formula>
    </cfRule>
    <cfRule type="cellIs" dxfId="9500" priority="611" operator="equal">
      <formula>0</formula>
    </cfRule>
    <cfRule type="cellIs" dxfId="9499" priority="612" operator="greaterThan">
      <formula>0</formula>
    </cfRule>
  </conditionalFormatting>
  <conditionalFormatting sqref="K49">
    <cfRule type="cellIs" dxfId="9498" priority="601" operator="equal">
      <formula>"PMS"</formula>
    </cfRule>
    <cfRule type="containsText" dxfId="9497" priority="602" operator="containsText" text="CMS">
      <formula>NOT(ISERROR(SEARCH("CMS",K49)))</formula>
    </cfRule>
    <cfRule type="cellIs" dxfId="9496" priority="603" operator="equal">
      <formula>0</formula>
    </cfRule>
    <cfRule type="cellIs" dxfId="9495" priority="604" operator="greaterThan">
      <formula>0</formula>
    </cfRule>
  </conditionalFormatting>
  <conditionalFormatting sqref="L27:L29 H24:J24 H19:J20 L20:L21 V28:AC28 Q28 N28:P29 P30 H27:J30 I21:K21 K19:M19 N30 S28:T28 O78:Q78 AB79:AC79 N33:AC33 M21:O21 Q21:AC21 N19:AC20 L24:AC24 Q29:AC30 H33:L33 S78:AC78 O79:Z79">
    <cfRule type="cellIs" dxfId="9494" priority="593" operator="equal">
      <formula>"PMS"</formula>
    </cfRule>
    <cfRule type="containsText" dxfId="9493" priority="594" operator="containsText" text="CMS">
      <formula>NOT(ISERROR(SEARCH("CMS",H19)))</formula>
    </cfRule>
    <cfRule type="cellIs" dxfId="9492" priority="595" operator="equal">
      <formula>0</formula>
    </cfRule>
    <cfRule type="cellIs" dxfId="9491" priority="596" operator="greaterThan">
      <formula>0</formula>
    </cfRule>
    <cfRule type="cellIs" dxfId="9490" priority="597" operator="equal">
      <formula>"PMS"</formula>
    </cfRule>
    <cfRule type="containsText" dxfId="9489" priority="598" operator="containsText" text="CMS">
      <formula>NOT(ISERROR(SEARCH("CMS",H19)))</formula>
    </cfRule>
    <cfRule type="cellIs" dxfId="9488" priority="599" operator="equal">
      <formula>0</formula>
    </cfRule>
    <cfRule type="cellIs" dxfId="9487" priority="600" operator="greaterThan">
      <formula>0</formula>
    </cfRule>
  </conditionalFormatting>
  <conditionalFormatting sqref="L27:L29 H24:J24 H19:J20 L20:L21 V28:AC28 Q28 N28:P29 P30 H27:J30 I21:K21 K19:M19 N30 S28:T28 O78:Q78 AB79:AC79 N33:AC33 M21:O21 Q21:AC21 N19:AC20 L24:AC24 Q29:AC30 H33:L33 S78:AC78 O79:Z79">
    <cfRule type="cellIs" dxfId="9486" priority="589" operator="equal">
      <formula>"PMS"</formula>
    </cfRule>
    <cfRule type="containsText" dxfId="9485" priority="590" operator="containsText" text="CMS">
      <formula>NOT(ISERROR(SEARCH("CMS",H19)))</formula>
    </cfRule>
    <cfRule type="cellIs" dxfId="9484" priority="591" operator="equal">
      <formula>0</formula>
    </cfRule>
    <cfRule type="cellIs" dxfId="9483" priority="592" operator="greaterThan">
      <formula>0</formula>
    </cfRule>
  </conditionalFormatting>
  <conditionalFormatting sqref="G33 G27:G30 G24 G39:G48 G50:G56 G19:G21 H21">
    <cfRule type="cellIs" dxfId="9482" priority="581" operator="equal">
      <formula>"PMS"</formula>
    </cfRule>
    <cfRule type="containsText" dxfId="9481" priority="582" operator="containsText" text="CMS">
      <formula>NOT(ISERROR(SEARCH("CMS",G19)))</formula>
    </cfRule>
    <cfRule type="cellIs" dxfId="9480" priority="583" operator="equal">
      <formula>0</formula>
    </cfRule>
    <cfRule type="cellIs" dxfId="9479" priority="584" operator="greaterThan">
      <formula>0</formula>
    </cfRule>
    <cfRule type="cellIs" dxfId="9478" priority="585" operator="equal">
      <formula>"PMS"</formula>
    </cfRule>
    <cfRule type="containsText" dxfId="9477" priority="586" operator="containsText" text="CMS">
      <formula>NOT(ISERROR(SEARCH("CMS",G19)))</formula>
    </cfRule>
    <cfRule type="cellIs" dxfId="9476" priority="587" operator="equal">
      <formula>0</formula>
    </cfRule>
    <cfRule type="cellIs" dxfId="9475" priority="588" operator="greaterThan">
      <formula>0</formula>
    </cfRule>
  </conditionalFormatting>
  <conditionalFormatting sqref="G33 G27:G30 G24 G39:G48 G50:G56 G19:G21 H21">
    <cfRule type="cellIs" dxfId="9474" priority="577" operator="equal">
      <formula>"PMS"</formula>
    </cfRule>
    <cfRule type="containsText" dxfId="9473" priority="578" operator="containsText" text="CMS">
      <formula>NOT(ISERROR(SEARCH("CMS",G19)))</formula>
    </cfRule>
    <cfRule type="cellIs" dxfId="9472" priority="579" operator="equal">
      <formula>0</formula>
    </cfRule>
    <cfRule type="cellIs" dxfId="9471" priority="580" operator="greaterThan">
      <formula>0</formula>
    </cfRule>
  </conditionalFormatting>
  <conditionalFormatting sqref="M39:M48 M33 M27:M29 M20 AB27:AC27 N27:Q27 M56 N47:N48 N51:N56 M62:M64 S27:X27">
    <cfRule type="cellIs" dxfId="9470" priority="569" operator="equal">
      <formula>"PMS"</formula>
    </cfRule>
    <cfRule type="containsText" dxfId="9469" priority="570" operator="containsText" text="CMS">
      <formula>NOT(ISERROR(SEARCH("CMS",M20)))</formula>
    </cfRule>
    <cfRule type="cellIs" dxfId="9468" priority="571" operator="equal">
      <formula>0</formula>
    </cfRule>
    <cfRule type="cellIs" dxfId="9467" priority="572" operator="greaterThan">
      <formula>0</formula>
    </cfRule>
    <cfRule type="cellIs" dxfId="9466" priority="573" operator="equal">
      <formula>"PMS"</formula>
    </cfRule>
    <cfRule type="containsText" dxfId="9465" priority="574" operator="containsText" text="CMS">
      <formula>NOT(ISERROR(SEARCH("CMS",M20)))</formula>
    </cfRule>
    <cfRule type="cellIs" dxfId="9464" priority="575" operator="equal">
      <formula>0</formula>
    </cfRule>
    <cfRule type="cellIs" dxfId="9463" priority="576" operator="greaterThan">
      <formula>0</formula>
    </cfRule>
  </conditionalFormatting>
  <conditionalFormatting sqref="M39:M48 M33 M27:M29 M20 AB27:AC27 N27:Q27 M56 N47:N48 N51:N56 M62:M64 S27:X27">
    <cfRule type="cellIs" dxfId="9462" priority="565" operator="equal">
      <formula>"PMS"</formula>
    </cfRule>
    <cfRule type="containsText" dxfId="9461" priority="566" operator="containsText" text="CMS">
      <formula>NOT(ISERROR(SEARCH("CMS",M20)))</formula>
    </cfRule>
    <cfRule type="cellIs" dxfId="9460" priority="567" operator="equal">
      <formula>0</formula>
    </cfRule>
    <cfRule type="cellIs" dxfId="9459" priority="568" operator="greaterThan">
      <formula>0</formula>
    </cfRule>
  </conditionalFormatting>
  <conditionalFormatting sqref="K50:K56 K39:K48 K27 K24 K20 K29:K30">
    <cfRule type="cellIs" dxfId="9458" priority="557" operator="equal">
      <formula>"PMS"</formula>
    </cfRule>
    <cfRule type="containsText" dxfId="9457" priority="558" operator="containsText" text="CMS">
      <formula>NOT(ISERROR(SEARCH("CMS",K20)))</formula>
    </cfRule>
    <cfRule type="cellIs" dxfId="9456" priority="559" operator="equal">
      <formula>0</formula>
    </cfRule>
    <cfRule type="cellIs" dxfId="9455" priority="560" operator="greaterThan">
      <formula>0</formula>
    </cfRule>
    <cfRule type="cellIs" dxfId="9454" priority="561" operator="equal">
      <formula>"PMS"</formula>
    </cfRule>
    <cfRule type="containsText" dxfId="9453" priority="562" operator="containsText" text="CMS">
      <formula>NOT(ISERROR(SEARCH("CMS",K20)))</formula>
    </cfRule>
    <cfRule type="cellIs" dxfId="9452" priority="563" operator="equal">
      <formula>0</formula>
    </cfRule>
    <cfRule type="cellIs" dxfId="9451" priority="564" operator="greaterThan">
      <formula>0</formula>
    </cfRule>
  </conditionalFormatting>
  <conditionalFormatting sqref="K50:K56 K39:K48 K27 K24 K20 K29:K30">
    <cfRule type="cellIs" dxfId="9450" priority="553" operator="equal">
      <formula>"PMS"</formula>
    </cfRule>
    <cfRule type="containsText" dxfId="9449" priority="554" operator="containsText" text="CMS">
      <formula>NOT(ISERROR(SEARCH("CMS",K20)))</formula>
    </cfRule>
    <cfRule type="cellIs" dxfId="9448" priority="555" operator="equal">
      <formula>0</formula>
    </cfRule>
    <cfRule type="cellIs" dxfId="9447" priority="556" operator="greaterThan">
      <formula>0</formula>
    </cfRule>
  </conditionalFormatting>
  <conditionalFormatting sqref="K28">
    <cfRule type="cellIs" dxfId="9446" priority="545" operator="equal">
      <formula>"PMS"</formula>
    </cfRule>
    <cfRule type="containsText" dxfId="9445" priority="546" operator="containsText" text="CMS">
      <formula>NOT(ISERROR(SEARCH("CMS",K28)))</formula>
    </cfRule>
    <cfRule type="cellIs" dxfId="9444" priority="547" operator="equal">
      <formula>0</formula>
    </cfRule>
    <cfRule type="cellIs" dxfId="9443" priority="548" operator="greaterThan">
      <formula>0</formula>
    </cfRule>
    <cfRule type="cellIs" dxfId="9442" priority="549" operator="equal">
      <formula>"PMS"</formula>
    </cfRule>
    <cfRule type="containsText" dxfId="9441" priority="550" operator="containsText" text="CMS">
      <formula>NOT(ISERROR(SEARCH("CMS",K28)))</formula>
    </cfRule>
    <cfRule type="cellIs" dxfId="9440" priority="551" operator="equal">
      <formula>0</formula>
    </cfRule>
    <cfRule type="cellIs" dxfId="9439" priority="552" operator="greaterThan">
      <formula>0</formula>
    </cfRule>
  </conditionalFormatting>
  <conditionalFormatting sqref="K28">
    <cfRule type="cellIs" dxfId="9438" priority="541" operator="equal">
      <formula>"PMS"</formula>
    </cfRule>
    <cfRule type="containsText" dxfId="9437" priority="542" operator="containsText" text="CMS">
      <formula>NOT(ISERROR(SEARCH("CMS",K28)))</formula>
    </cfRule>
    <cfRule type="cellIs" dxfId="9436" priority="543" operator="equal">
      <formula>0</formula>
    </cfRule>
    <cfRule type="cellIs" dxfId="9435" priority="544" operator="greaterThan">
      <formula>0</formula>
    </cfRule>
  </conditionalFormatting>
  <conditionalFormatting sqref="N62:O62 O63:O64">
    <cfRule type="cellIs" dxfId="9434" priority="533" operator="equal">
      <formula>"PMS"</formula>
    </cfRule>
    <cfRule type="containsText" dxfId="9433" priority="534" operator="containsText" text="CMS">
      <formula>NOT(ISERROR(SEARCH("CMS",N62)))</formula>
    </cfRule>
    <cfRule type="cellIs" dxfId="9432" priority="535" operator="equal">
      <formula>0</formula>
    </cfRule>
    <cfRule type="cellIs" dxfId="9431" priority="536" operator="greaterThan">
      <formula>0</formula>
    </cfRule>
    <cfRule type="cellIs" dxfId="9430" priority="537" operator="equal">
      <formula>"PMS"</formula>
    </cfRule>
    <cfRule type="containsText" dxfId="9429" priority="538" operator="containsText" text="CMS">
      <formula>NOT(ISERROR(SEARCH("CMS",N62)))</formula>
    </cfRule>
    <cfRule type="cellIs" dxfId="9428" priority="539" operator="equal">
      <formula>0</formula>
    </cfRule>
    <cfRule type="cellIs" dxfId="9427" priority="540" operator="greaterThan">
      <formula>0</formula>
    </cfRule>
  </conditionalFormatting>
  <conditionalFormatting sqref="N62:O62 O63:O64">
    <cfRule type="cellIs" dxfId="9426" priority="529" operator="equal">
      <formula>"PMS"</formula>
    </cfRule>
    <cfRule type="containsText" dxfId="9425" priority="530" operator="containsText" text="CMS">
      <formula>NOT(ISERROR(SEARCH("CMS",N62)))</formula>
    </cfRule>
    <cfRule type="cellIs" dxfId="9424" priority="531" operator="equal">
      <formula>0</formula>
    </cfRule>
    <cfRule type="cellIs" dxfId="9423" priority="532" operator="greaterThan">
      <formula>0</formula>
    </cfRule>
  </conditionalFormatting>
  <conditionalFormatting sqref="U28">
    <cfRule type="cellIs" dxfId="9422" priority="521" operator="equal">
      <formula>"PMS"</formula>
    </cfRule>
    <cfRule type="containsText" dxfId="9421" priority="522" operator="containsText" text="CMS">
      <formula>NOT(ISERROR(SEARCH("CMS",U28)))</formula>
    </cfRule>
    <cfRule type="cellIs" dxfId="9420" priority="523" operator="equal">
      <formula>0</formula>
    </cfRule>
    <cfRule type="cellIs" dxfId="9419" priority="524" operator="greaterThan">
      <formula>0</formula>
    </cfRule>
    <cfRule type="cellIs" dxfId="9418" priority="525" operator="equal">
      <formula>"PMS"</formula>
    </cfRule>
    <cfRule type="containsText" dxfId="9417" priority="526" operator="containsText" text="CMS">
      <formula>NOT(ISERROR(SEARCH("CMS",U28)))</formula>
    </cfRule>
    <cfRule type="cellIs" dxfId="9416" priority="527" operator="equal">
      <formula>0</formula>
    </cfRule>
    <cfRule type="cellIs" dxfId="9415" priority="528" operator="greaterThan">
      <formula>0</formula>
    </cfRule>
  </conditionalFormatting>
  <conditionalFormatting sqref="U28">
    <cfRule type="cellIs" dxfId="9414" priority="517" operator="equal">
      <formula>"PMS"</formula>
    </cfRule>
    <cfRule type="containsText" dxfId="9413" priority="518" operator="containsText" text="CMS">
      <formula>NOT(ISERROR(SEARCH("CMS",U28)))</formula>
    </cfRule>
    <cfRule type="cellIs" dxfId="9412" priority="519" operator="equal">
      <formula>0</formula>
    </cfRule>
    <cfRule type="cellIs" dxfId="9411" priority="520" operator="greaterThan">
      <formula>0</formula>
    </cfRule>
  </conditionalFormatting>
  <conditionalFormatting sqref="Y27:AA27">
    <cfRule type="cellIs" dxfId="9410" priority="509" operator="equal">
      <formula>"PMS"</formula>
    </cfRule>
    <cfRule type="containsText" dxfId="9409" priority="510" operator="containsText" text="CMS">
      <formula>NOT(ISERROR(SEARCH("CMS",Y27)))</formula>
    </cfRule>
    <cfRule type="cellIs" dxfId="9408" priority="511" operator="equal">
      <formula>0</formula>
    </cfRule>
    <cfRule type="cellIs" dxfId="9407" priority="512" operator="greaterThan">
      <formula>0</formula>
    </cfRule>
    <cfRule type="cellIs" dxfId="9406" priority="513" operator="equal">
      <formula>"PMS"</formula>
    </cfRule>
    <cfRule type="containsText" dxfId="9405" priority="514" operator="containsText" text="CMS">
      <formula>NOT(ISERROR(SEARCH("CMS",Y27)))</formula>
    </cfRule>
    <cfRule type="cellIs" dxfId="9404" priority="515" operator="equal">
      <formula>0</formula>
    </cfRule>
    <cfRule type="cellIs" dxfId="9403" priority="516" operator="greaterThan">
      <formula>0</formula>
    </cfRule>
  </conditionalFormatting>
  <conditionalFormatting sqref="Y27:AA27">
    <cfRule type="cellIs" dxfId="9402" priority="505" operator="equal">
      <formula>"PMS"</formula>
    </cfRule>
    <cfRule type="containsText" dxfId="9401" priority="506" operator="containsText" text="CMS">
      <formula>NOT(ISERROR(SEARCH("CMS",Y27)))</formula>
    </cfRule>
    <cfRule type="cellIs" dxfId="9400" priority="507" operator="equal">
      <formula>0</formula>
    </cfRule>
    <cfRule type="cellIs" dxfId="9399" priority="508" operator="greaterThan">
      <formula>0</formula>
    </cfRule>
  </conditionalFormatting>
  <conditionalFormatting sqref="G62:G64">
    <cfRule type="cellIs" dxfId="9398" priority="497" operator="equal">
      <formula>"PMS"</formula>
    </cfRule>
    <cfRule type="containsText" dxfId="9397" priority="498" operator="containsText" text="CMS">
      <formula>NOT(ISERROR(SEARCH("CMS",G62)))</formula>
    </cfRule>
    <cfRule type="cellIs" dxfId="9396" priority="499" operator="equal">
      <formula>0</formula>
    </cfRule>
    <cfRule type="cellIs" dxfId="9395" priority="500" operator="greaterThan">
      <formula>0</formula>
    </cfRule>
    <cfRule type="cellIs" dxfId="9394" priority="501" operator="equal">
      <formula>"PMS"</formula>
    </cfRule>
    <cfRule type="containsText" dxfId="9393" priority="502" operator="containsText" text="CMS">
      <formula>NOT(ISERROR(SEARCH("CMS",G62)))</formula>
    </cfRule>
    <cfRule type="cellIs" dxfId="9392" priority="503" operator="equal">
      <formula>0</formula>
    </cfRule>
    <cfRule type="cellIs" dxfId="9391" priority="504" operator="greaterThan">
      <formula>0</formula>
    </cfRule>
  </conditionalFormatting>
  <conditionalFormatting sqref="G62:G64">
    <cfRule type="cellIs" dxfId="9390" priority="493" operator="equal">
      <formula>"PMS"</formula>
    </cfRule>
    <cfRule type="containsText" dxfId="9389" priority="494" operator="containsText" text="CMS">
      <formula>NOT(ISERROR(SEARCH("CMS",G62)))</formula>
    </cfRule>
    <cfRule type="cellIs" dxfId="9388" priority="495" operator="equal">
      <formula>0</formula>
    </cfRule>
    <cfRule type="cellIs" dxfId="9387" priority="496" operator="greaterThan">
      <formula>0</formula>
    </cfRule>
  </conditionalFormatting>
  <conditionalFormatting sqref="N40">
    <cfRule type="cellIs" dxfId="9386" priority="485" operator="equal">
      <formula>"PMS"</formula>
    </cfRule>
    <cfRule type="containsText" dxfId="9385" priority="486" operator="containsText" text="CMS">
      <formula>NOT(ISERROR(SEARCH("CMS",N40)))</formula>
    </cfRule>
    <cfRule type="cellIs" dxfId="9384" priority="487" operator="equal">
      <formula>0</formula>
    </cfRule>
    <cfRule type="cellIs" dxfId="9383" priority="488" operator="greaterThan">
      <formula>0</formula>
    </cfRule>
    <cfRule type="cellIs" dxfId="9382" priority="489" operator="equal">
      <formula>"PMS"</formula>
    </cfRule>
    <cfRule type="containsText" dxfId="9381" priority="490" operator="containsText" text="CMS">
      <formula>NOT(ISERROR(SEARCH("CMS",N40)))</formula>
    </cfRule>
    <cfRule type="cellIs" dxfId="9380" priority="491" operator="equal">
      <formula>0</formula>
    </cfRule>
    <cfRule type="cellIs" dxfId="9379" priority="492" operator="greaterThan">
      <formula>0</formula>
    </cfRule>
  </conditionalFormatting>
  <conditionalFormatting sqref="N40">
    <cfRule type="cellIs" dxfId="9378" priority="481" operator="equal">
      <formula>"PMS"</formula>
    </cfRule>
    <cfRule type="containsText" dxfId="9377" priority="482" operator="containsText" text="CMS">
      <formula>NOT(ISERROR(SEARCH("CMS",N40)))</formula>
    </cfRule>
    <cfRule type="cellIs" dxfId="9376" priority="483" operator="equal">
      <formula>0</formula>
    </cfRule>
    <cfRule type="cellIs" dxfId="9375" priority="484" operator="greaterThan">
      <formula>0</formula>
    </cfRule>
  </conditionalFormatting>
  <conditionalFormatting sqref="O30">
    <cfRule type="cellIs" dxfId="9374" priority="473" operator="equal">
      <formula>"PMS"</formula>
    </cfRule>
    <cfRule type="containsText" dxfId="9373" priority="474" operator="containsText" text="CMS">
      <formula>NOT(ISERROR(SEARCH("CMS",O30)))</formula>
    </cfRule>
    <cfRule type="cellIs" dxfId="9372" priority="475" operator="equal">
      <formula>0</formula>
    </cfRule>
    <cfRule type="cellIs" dxfId="9371" priority="476" operator="greaterThan">
      <formula>0</formula>
    </cfRule>
    <cfRule type="cellIs" dxfId="9370" priority="477" operator="equal">
      <formula>"PMS"</formula>
    </cfRule>
    <cfRule type="containsText" dxfId="9369" priority="478" operator="containsText" text="CMS">
      <formula>NOT(ISERROR(SEARCH("CMS",O30)))</formula>
    </cfRule>
    <cfRule type="cellIs" dxfId="9368" priority="479" operator="equal">
      <formula>0</formula>
    </cfRule>
    <cfRule type="cellIs" dxfId="9367" priority="480" operator="greaterThan">
      <formula>0</formula>
    </cfRule>
  </conditionalFormatting>
  <conditionalFormatting sqref="O30">
    <cfRule type="cellIs" dxfId="9366" priority="469" operator="equal">
      <formula>"PMS"</formula>
    </cfRule>
    <cfRule type="containsText" dxfId="9365" priority="470" operator="containsText" text="CMS">
      <formula>NOT(ISERROR(SEARCH("CMS",O30)))</formula>
    </cfRule>
    <cfRule type="cellIs" dxfId="9364" priority="471" operator="equal">
      <formula>0</formula>
    </cfRule>
    <cfRule type="cellIs" dxfId="9363" priority="472" operator="greaterThan">
      <formula>0</formula>
    </cfRule>
  </conditionalFormatting>
  <conditionalFormatting sqref="O47:O49">
    <cfRule type="cellIs" dxfId="9362" priority="461" operator="equal">
      <formula>"PMS"</formula>
    </cfRule>
    <cfRule type="containsText" dxfId="9361" priority="462" operator="containsText" text="CMS">
      <formula>NOT(ISERROR(SEARCH("CMS",O47)))</formula>
    </cfRule>
    <cfRule type="cellIs" dxfId="9360" priority="463" operator="equal">
      <formula>0</formula>
    </cfRule>
    <cfRule type="cellIs" dxfId="9359" priority="464" operator="greaterThan">
      <formula>0</formula>
    </cfRule>
    <cfRule type="cellIs" dxfId="9358" priority="465" operator="equal">
      <formula>"PMS"</formula>
    </cfRule>
    <cfRule type="containsText" dxfId="9357" priority="466" operator="containsText" text="CMS">
      <formula>NOT(ISERROR(SEARCH("CMS",O47)))</formula>
    </cfRule>
    <cfRule type="cellIs" dxfId="9356" priority="467" operator="equal">
      <formula>0</formula>
    </cfRule>
    <cfRule type="cellIs" dxfId="9355" priority="468" operator="greaterThan">
      <formula>0</formula>
    </cfRule>
  </conditionalFormatting>
  <conditionalFormatting sqref="O47:O49">
    <cfRule type="cellIs" dxfId="9354" priority="457" operator="equal">
      <formula>"PMS"</formula>
    </cfRule>
    <cfRule type="containsText" dxfId="9353" priority="458" operator="containsText" text="CMS">
      <formula>NOT(ISERROR(SEARCH("CMS",O47)))</formula>
    </cfRule>
    <cfRule type="cellIs" dxfId="9352" priority="459" operator="equal">
      <formula>0</formula>
    </cfRule>
    <cfRule type="cellIs" dxfId="9351" priority="460" operator="greaterThan">
      <formula>0</formula>
    </cfRule>
  </conditionalFormatting>
  <conditionalFormatting sqref="F82">
    <cfRule type="cellIs" dxfId="9350" priority="449" operator="equal">
      <formula>"PMS"</formula>
    </cfRule>
    <cfRule type="containsText" dxfId="9349" priority="450" operator="containsText" text="CMS">
      <formula>NOT(ISERROR(SEARCH("CMS",F82)))</formula>
    </cfRule>
    <cfRule type="cellIs" dxfId="9348" priority="451" operator="equal">
      <formula>0</formula>
    </cfRule>
    <cfRule type="cellIs" dxfId="9347" priority="452" operator="greaterThan">
      <formula>0</formula>
    </cfRule>
    <cfRule type="cellIs" dxfId="9346" priority="453" operator="equal">
      <formula>"PMS"</formula>
    </cfRule>
    <cfRule type="containsText" dxfId="9345" priority="454" operator="containsText" text="CMS">
      <formula>NOT(ISERROR(SEARCH("CMS",F82)))</formula>
    </cfRule>
    <cfRule type="cellIs" dxfId="9344" priority="455" operator="equal">
      <formula>0</formula>
    </cfRule>
    <cfRule type="cellIs" dxfId="9343" priority="456" operator="greaterThan">
      <formula>0</formula>
    </cfRule>
  </conditionalFormatting>
  <conditionalFormatting sqref="F82">
    <cfRule type="cellIs" dxfId="9342" priority="445" operator="equal">
      <formula>"PMS"</formula>
    </cfRule>
    <cfRule type="containsText" dxfId="9341" priority="446" operator="containsText" text="CMS">
      <formula>NOT(ISERROR(SEARCH("CMS",F82)))</formula>
    </cfRule>
    <cfRule type="cellIs" dxfId="9340" priority="447" operator="equal">
      <formula>0</formula>
    </cfRule>
    <cfRule type="cellIs" dxfId="9339" priority="448" operator="greaterThan">
      <formula>0</formula>
    </cfRule>
  </conditionalFormatting>
  <conditionalFormatting sqref="H15">
    <cfRule type="cellIs" dxfId="9338" priority="437" operator="equal">
      <formula>"PMS"</formula>
    </cfRule>
    <cfRule type="containsText" dxfId="9337" priority="438" operator="containsText" text="CMS">
      <formula>NOT(ISERROR(SEARCH("CMS",H15)))</formula>
    </cfRule>
    <cfRule type="cellIs" dxfId="9336" priority="439" operator="equal">
      <formula>0</formula>
    </cfRule>
    <cfRule type="cellIs" dxfId="9335" priority="440" operator="greaterThan">
      <formula>0</formula>
    </cfRule>
    <cfRule type="cellIs" dxfId="9334" priority="441" operator="equal">
      <formula>"PMS"</formula>
    </cfRule>
    <cfRule type="containsText" dxfId="9333" priority="442" operator="containsText" text="CMS">
      <formula>NOT(ISERROR(SEARCH("CMS",H15)))</formula>
    </cfRule>
    <cfRule type="cellIs" dxfId="9332" priority="443" operator="equal">
      <formula>0</formula>
    </cfRule>
    <cfRule type="cellIs" dxfId="9331" priority="444" operator="greaterThan">
      <formula>0</formula>
    </cfRule>
  </conditionalFormatting>
  <conditionalFormatting sqref="H15">
    <cfRule type="cellIs" dxfId="9330" priority="433" operator="equal">
      <formula>"PMS"</formula>
    </cfRule>
    <cfRule type="containsText" dxfId="9329" priority="434" operator="containsText" text="CMS">
      <formula>NOT(ISERROR(SEARCH("CMS",H15)))</formula>
    </cfRule>
    <cfRule type="cellIs" dxfId="9328" priority="435" operator="equal">
      <formula>0</formula>
    </cfRule>
    <cfRule type="cellIs" dxfId="9327" priority="436" operator="greaterThan">
      <formula>0</formula>
    </cfRule>
  </conditionalFormatting>
  <conditionalFormatting sqref="G14">
    <cfRule type="cellIs" dxfId="9326" priority="425" operator="equal">
      <formula>"PMS"</formula>
    </cfRule>
    <cfRule type="containsText" dxfId="9325" priority="426" operator="containsText" text="CMS">
      <formula>NOT(ISERROR(SEARCH("CMS",G14)))</formula>
    </cfRule>
    <cfRule type="cellIs" dxfId="9324" priority="427" operator="equal">
      <formula>0</formula>
    </cfRule>
    <cfRule type="cellIs" dxfId="9323" priority="428" operator="greaterThan">
      <formula>0</formula>
    </cfRule>
    <cfRule type="cellIs" dxfId="9322" priority="429" operator="equal">
      <formula>"PMS"</formula>
    </cfRule>
    <cfRule type="containsText" dxfId="9321" priority="430" operator="containsText" text="CMS">
      <formula>NOT(ISERROR(SEARCH("CMS",G14)))</formula>
    </cfRule>
    <cfRule type="cellIs" dxfId="9320" priority="431" operator="equal">
      <formula>0</formula>
    </cfRule>
    <cfRule type="cellIs" dxfId="9319" priority="432" operator="greaterThan">
      <formula>0</formula>
    </cfRule>
  </conditionalFormatting>
  <conditionalFormatting sqref="G14">
    <cfRule type="cellIs" dxfId="9318" priority="421" operator="equal">
      <formula>"PMS"</formula>
    </cfRule>
    <cfRule type="containsText" dxfId="9317" priority="422" operator="containsText" text="CMS">
      <formula>NOT(ISERROR(SEARCH("CMS",G14)))</formula>
    </cfRule>
    <cfRule type="cellIs" dxfId="9316" priority="423" operator="equal">
      <formula>0</formula>
    </cfRule>
    <cfRule type="cellIs" dxfId="9315" priority="424" operator="greaterThan">
      <formula>0</formula>
    </cfRule>
  </conditionalFormatting>
  <conditionalFormatting sqref="N63:N64">
    <cfRule type="cellIs" dxfId="9314" priority="413" operator="equal">
      <formula>"PMS"</formula>
    </cfRule>
    <cfRule type="containsText" dxfId="9313" priority="414" operator="containsText" text="CMS">
      <formula>NOT(ISERROR(SEARCH("CMS",N63)))</formula>
    </cfRule>
    <cfRule type="cellIs" dxfId="9312" priority="415" operator="equal">
      <formula>0</formula>
    </cfRule>
    <cfRule type="cellIs" dxfId="9311" priority="416" operator="greaterThan">
      <formula>0</formula>
    </cfRule>
    <cfRule type="cellIs" dxfId="9310" priority="417" operator="equal">
      <formula>"PMS"</formula>
    </cfRule>
    <cfRule type="containsText" dxfId="9309" priority="418" operator="containsText" text="CMS">
      <formula>NOT(ISERROR(SEARCH("CMS",N63)))</formula>
    </cfRule>
    <cfRule type="cellIs" dxfId="9308" priority="419" operator="equal">
      <formula>0</formula>
    </cfRule>
    <cfRule type="cellIs" dxfId="9307" priority="420" operator="greaterThan">
      <formula>0</formula>
    </cfRule>
  </conditionalFormatting>
  <conditionalFormatting sqref="N63:N64">
    <cfRule type="cellIs" dxfId="9306" priority="409" operator="equal">
      <formula>"PMS"</formula>
    </cfRule>
    <cfRule type="containsText" dxfId="9305" priority="410" operator="containsText" text="CMS">
      <formula>NOT(ISERROR(SEARCH("CMS",N63)))</formula>
    </cfRule>
    <cfRule type="cellIs" dxfId="9304" priority="411" operator="equal">
      <formula>0</formula>
    </cfRule>
    <cfRule type="cellIs" dxfId="9303" priority="412" operator="greaterThan">
      <formula>0</formula>
    </cfRule>
  </conditionalFormatting>
  <conditionalFormatting sqref="G78:K78">
    <cfRule type="cellIs" dxfId="9302" priority="401" operator="equal">
      <formula>"PMS"</formula>
    </cfRule>
    <cfRule type="containsText" dxfId="9301" priority="402" operator="containsText" text="CMS">
      <formula>NOT(ISERROR(SEARCH("CMS",G78)))</formula>
    </cfRule>
    <cfRule type="cellIs" dxfId="9300" priority="403" operator="equal">
      <formula>0</formula>
    </cfRule>
    <cfRule type="cellIs" dxfId="9299" priority="404" operator="greaterThan">
      <formula>0</formula>
    </cfRule>
    <cfRule type="cellIs" dxfId="9298" priority="405" operator="equal">
      <formula>"PMS"</formula>
    </cfRule>
    <cfRule type="containsText" dxfId="9297" priority="406" operator="containsText" text="CMS">
      <formula>NOT(ISERROR(SEARCH("CMS",G78)))</formula>
    </cfRule>
    <cfRule type="cellIs" dxfId="9296" priority="407" operator="equal">
      <formula>0</formula>
    </cfRule>
    <cfRule type="cellIs" dxfId="9295" priority="408" operator="greaterThan">
      <formula>0</formula>
    </cfRule>
  </conditionalFormatting>
  <conditionalFormatting sqref="G78:K78">
    <cfRule type="cellIs" dxfId="9294" priority="397" operator="equal">
      <formula>"PMS"</formula>
    </cfRule>
    <cfRule type="containsText" dxfId="9293" priority="398" operator="containsText" text="CMS">
      <formula>NOT(ISERROR(SEARCH("CMS",G78)))</formula>
    </cfRule>
    <cfRule type="cellIs" dxfId="9292" priority="399" operator="equal">
      <formula>0</formula>
    </cfRule>
    <cfRule type="cellIs" dxfId="9291" priority="400" operator="greaterThan">
      <formula>0</formula>
    </cfRule>
  </conditionalFormatting>
  <conditionalFormatting sqref="L78:L79">
    <cfRule type="cellIs" dxfId="9290" priority="389" operator="equal">
      <formula>"PMS"</formula>
    </cfRule>
    <cfRule type="containsText" dxfId="9289" priority="390" operator="containsText" text="CMS">
      <formula>NOT(ISERROR(SEARCH("CMS",L78)))</formula>
    </cfRule>
    <cfRule type="cellIs" dxfId="9288" priority="391" operator="equal">
      <formula>0</formula>
    </cfRule>
    <cfRule type="cellIs" dxfId="9287" priority="392" operator="greaterThan">
      <formula>0</formula>
    </cfRule>
    <cfRule type="cellIs" dxfId="9286" priority="393" operator="equal">
      <formula>"PMS"</formula>
    </cfRule>
    <cfRule type="containsText" dxfId="9285" priority="394" operator="containsText" text="CMS">
      <formula>NOT(ISERROR(SEARCH("CMS",L78)))</formula>
    </cfRule>
    <cfRule type="cellIs" dxfId="9284" priority="395" operator="equal">
      <formula>0</formula>
    </cfRule>
    <cfRule type="cellIs" dxfId="9283" priority="396" operator="greaterThan">
      <formula>0</formula>
    </cfRule>
  </conditionalFormatting>
  <conditionalFormatting sqref="L78:L79">
    <cfRule type="cellIs" dxfId="9282" priority="385" operator="equal">
      <formula>"PMS"</formula>
    </cfRule>
    <cfRule type="containsText" dxfId="9281" priority="386" operator="containsText" text="CMS">
      <formula>NOT(ISERROR(SEARCH("CMS",L78)))</formula>
    </cfRule>
    <cfRule type="cellIs" dxfId="9280" priority="387" operator="equal">
      <formula>0</formula>
    </cfRule>
    <cfRule type="cellIs" dxfId="9279" priority="388" operator="greaterThan">
      <formula>0</formula>
    </cfRule>
  </conditionalFormatting>
  <conditionalFormatting sqref="R27:R28">
    <cfRule type="cellIs" dxfId="9278" priority="377" operator="equal">
      <formula>"PMS"</formula>
    </cfRule>
    <cfRule type="containsText" dxfId="9277" priority="378" operator="containsText" text="CMS">
      <formula>NOT(ISERROR(SEARCH("CMS",R27)))</formula>
    </cfRule>
    <cfRule type="cellIs" dxfId="9276" priority="379" operator="equal">
      <formula>0</formula>
    </cfRule>
    <cfRule type="cellIs" dxfId="9275" priority="380" operator="greaterThan">
      <formula>0</formula>
    </cfRule>
    <cfRule type="cellIs" dxfId="9274" priority="381" operator="equal">
      <formula>"PMS"</formula>
    </cfRule>
    <cfRule type="containsText" dxfId="9273" priority="382" operator="containsText" text="CMS">
      <formula>NOT(ISERROR(SEARCH("CMS",R27)))</formula>
    </cfRule>
    <cfRule type="cellIs" dxfId="9272" priority="383" operator="equal">
      <formula>0</formula>
    </cfRule>
    <cfRule type="cellIs" dxfId="9271" priority="384" operator="greaterThan">
      <formula>0</formula>
    </cfRule>
  </conditionalFormatting>
  <conditionalFormatting sqref="R27:R28">
    <cfRule type="cellIs" dxfId="9270" priority="373" operator="equal">
      <formula>"PMS"</formula>
    </cfRule>
    <cfRule type="containsText" dxfId="9269" priority="374" operator="containsText" text="CMS">
      <formula>NOT(ISERROR(SEARCH("CMS",R27)))</formula>
    </cfRule>
    <cfRule type="cellIs" dxfId="9268" priority="375" operator="equal">
      <formula>0</formula>
    </cfRule>
    <cfRule type="cellIs" dxfId="9267" priority="376" operator="greaterThan">
      <formula>0</formula>
    </cfRule>
  </conditionalFormatting>
  <conditionalFormatting sqref="AA79">
    <cfRule type="cellIs" dxfId="9266" priority="353" operator="equal">
      <formula>"PMS"</formula>
    </cfRule>
    <cfRule type="containsText" dxfId="9265" priority="354" operator="containsText" text="CMS">
      <formula>NOT(ISERROR(SEARCH("CMS",AA79)))</formula>
    </cfRule>
    <cfRule type="cellIs" dxfId="9264" priority="355" operator="equal">
      <formula>0</formula>
    </cfRule>
    <cfRule type="cellIs" dxfId="9263" priority="356" operator="greaterThan">
      <formula>0</formula>
    </cfRule>
    <cfRule type="cellIs" dxfId="9262" priority="357" operator="equal">
      <formula>"PMS"</formula>
    </cfRule>
    <cfRule type="containsText" dxfId="9261" priority="358" operator="containsText" text="CMS">
      <formula>NOT(ISERROR(SEARCH("CMS",AA79)))</formula>
    </cfRule>
    <cfRule type="cellIs" dxfId="9260" priority="359" operator="equal">
      <formula>0</formula>
    </cfRule>
    <cfRule type="cellIs" dxfId="9259" priority="360" operator="greaterThan">
      <formula>0</formula>
    </cfRule>
  </conditionalFormatting>
  <conditionalFormatting sqref="AA79">
    <cfRule type="cellIs" dxfId="9258" priority="349" operator="equal">
      <formula>"PMS"</formula>
    </cfRule>
    <cfRule type="containsText" dxfId="9257" priority="350" operator="containsText" text="CMS">
      <formula>NOT(ISERROR(SEARCH("CMS",AA79)))</formula>
    </cfRule>
    <cfRule type="cellIs" dxfId="9256" priority="351" operator="equal">
      <formula>0</formula>
    </cfRule>
    <cfRule type="cellIs" dxfId="9255" priority="352" operator="greaterThan">
      <formula>0</formula>
    </cfRule>
  </conditionalFormatting>
  <conditionalFormatting sqref="L30:M30">
    <cfRule type="cellIs" dxfId="9254" priority="341" operator="equal">
      <formula>"PMS"</formula>
    </cfRule>
    <cfRule type="containsText" dxfId="9253" priority="342" operator="containsText" text="CMS">
      <formula>NOT(ISERROR(SEARCH("CMS",L30)))</formula>
    </cfRule>
    <cfRule type="cellIs" dxfId="9252" priority="343" operator="equal">
      <formula>0</formula>
    </cfRule>
    <cfRule type="cellIs" dxfId="9251" priority="344" operator="greaterThan">
      <formula>0</formula>
    </cfRule>
    <cfRule type="cellIs" dxfId="9250" priority="345" operator="equal">
      <formula>"PMS"</formula>
    </cfRule>
    <cfRule type="containsText" dxfId="9249" priority="346" operator="containsText" text="CMS">
      <formula>NOT(ISERROR(SEARCH("CMS",L30)))</formula>
    </cfRule>
    <cfRule type="cellIs" dxfId="9248" priority="347" operator="equal">
      <formula>0</formula>
    </cfRule>
    <cfRule type="cellIs" dxfId="9247" priority="348" operator="greaterThan">
      <formula>0</formula>
    </cfRule>
  </conditionalFormatting>
  <conditionalFormatting sqref="L30:M30">
    <cfRule type="cellIs" dxfId="9246" priority="337" operator="equal">
      <formula>"PMS"</formula>
    </cfRule>
    <cfRule type="containsText" dxfId="9245" priority="338" operator="containsText" text="CMS">
      <formula>NOT(ISERROR(SEARCH("CMS",L30)))</formula>
    </cfRule>
    <cfRule type="cellIs" dxfId="9244" priority="339" operator="equal">
      <formula>0</formula>
    </cfRule>
    <cfRule type="cellIs" dxfId="9243" priority="340" operator="greaterThan">
      <formula>0</formula>
    </cfRule>
  </conditionalFormatting>
  <conditionalFormatting sqref="R78">
    <cfRule type="cellIs" dxfId="9242" priority="329" operator="equal">
      <formula>"PMS"</formula>
    </cfRule>
    <cfRule type="containsText" dxfId="9241" priority="330" operator="containsText" text="CMS">
      <formula>NOT(ISERROR(SEARCH("CMS",R78)))</formula>
    </cfRule>
    <cfRule type="cellIs" dxfId="9240" priority="331" operator="equal">
      <formula>0</formula>
    </cfRule>
    <cfRule type="cellIs" dxfId="9239" priority="332" operator="greaterThan">
      <formula>0</formula>
    </cfRule>
    <cfRule type="cellIs" dxfId="9238" priority="333" operator="equal">
      <formula>"PMS"</formula>
    </cfRule>
    <cfRule type="containsText" dxfId="9237" priority="334" operator="containsText" text="CMS">
      <formula>NOT(ISERROR(SEARCH("CMS",R78)))</formula>
    </cfRule>
    <cfRule type="cellIs" dxfId="9236" priority="335" operator="equal">
      <formula>0</formula>
    </cfRule>
    <cfRule type="cellIs" dxfId="9235" priority="336" operator="greaterThan">
      <formula>0</formula>
    </cfRule>
  </conditionalFormatting>
  <conditionalFormatting sqref="R78">
    <cfRule type="cellIs" dxfId="9234" priority="325" operator="equal">
      <formula>"PMS"</formula>
    </cfRule>
    <cfRule type="containsText" dxfId="9233" priority="326" operator="containsText" text="CMS">
      <formula>NOT(ISERROR(SEARCH("CMS",R78)))</formula>
    </cfRule>
    <cfRule type="cellIs" dxfId="9232" priority="327" operator="equal">
      <formula>0</formula>
    </cfRule>
    <cfRule type="cellIs" dxfId="9231" priority="328" operator="greaterThan">
      <formula>0</formula>
    </cfRule>
  </conditionalFormatting>
  <conditionalFormatting sqref="M16">
    <cfRule type="cellIs" dxfId="9230" priority="317" operator="equal">
      <formula>"PMS"</formula>
    </cfRule>
    <cfRule type="containsText" dxfId="9229" priority="318" operator="containsText" text="CMS">
      <formula>NOT(ISERROR(SEARCH("CMS",M16)))</formula>
    </cfRule>
    <cfRule type="cellIs" dxfId="9228" priority="319" operator="equal">
      <formula>0</formula>
    </cfRule>
    <cfRule type="cellIs" dxfId="9227" priority="320" operator="greaterThan">
      <formula>0</formula>
    </cfRule>
    <cfRule type="cellIs" dxfId="9226" priority="321" operator="equal">
      <formula>"PMS"</formula>
    </cfRule>
    <cfRule type="containsText" dxfId="9225" priority="322" operator="containsText" text="CMS">
      <formula>NOT(ISERROR(SEARCH("CMS",M16)))</formula>
    </cfRule>
    <cfRule type="cellIs" dxfId="9224" priority="323" operator="equal">
      <formula>0</formula>
    </cfRule>
    <cfRule type="cellIs" dxfId="9223" priority="324" operator="greaterThan">
      <formula>0</formula>
    </cfRule>
  </conditionalFormatting>
  <conditionalFormatting sqref="M16">
    <cfRule type="cellIs" dxfId="9222" priority="313" operator="equal">
      <formula>"PMS"</formula>
    </cfRule>
    <cfRule type="containsText" dxfId="9221" priority="314" operator="containsText" text="CMS">
      <formula>NOT(ISERROR(SEARCH("CMS",M16)))</formula>
    </cfRule>
    <cfRule type="cellIs" dxfId="9220" priority="315" operator="equal">
      <formula>0</formula>
    </cfRule>
    <cfRule type="cellIs" dxfId="9219" priority="316" operator="greaterThan">
      <formula>0</formula>
    </cfRule>
  </conditionalFormatting>
  <conditionalFormatting sqref="O40">
    <cfRule type="cellIs" dxfId="9218" priority="305" operator="equal">
      <formula>"PMS"</formula>
    </cfRule>
    <cfRule type="containsText" dxfId="9217" priority="306" operator="containsText" text="CMS">
      <formula>NOT(ISERROR(SEARCH("CMS",O40)))</formula>
    </cfRule>
    <cfRule type="cellIs" dxfId="9216" priority="307" operator="equal">
      <formula>0</formula>
    </cfRule>
    <cfRule type="cellIs" dxfId="9215" priority="308" operator="greaterThan">
      <formula>0</formula>
    </cfRule>
    <cfRule type="cellIs" dxfId="9214" priority="309" operator="equal">
      <formula>"PMS"</formula>
    </cfRule>
    <cfRule type="containsText" dxfId="9213" priority="310" operator="containsText" text="CMS">
      <formula>NOT(ISERROR(SEARCH("CMS",O40)))</formula>
    </cfRule>
    <cfRule type="cellIs" dxfId="9212" priority="311" operator="equal">
      <formula>0</formula>
    </cfRule>
    <cfRule type="cellIs" dxfId="9211" priority="312" operator="greaterThan">
      <formula>0</formula>
    </cfRule>
  </conditionalFormatting>
  <conditionalFormatting sqref="O40">
    <cfRule type="cellIs" dxfId="9210" priority="301" operator="equal">
      <formula>"PMS"</formula>
    </cfRule>
    <cfRule type="containsText" dxfId="9209" priority="302" operator="containsText" text="CMS">
      <formula>NOT(ISERROR(SEARCH("CMS",O40)))</formula>
    </cfRule>
    <cfRule type="cellIs" dxfId="9208" priority="303" operator="equal">
      <formula>0</formula>
    </cfRule>
    <cfRule type="cellIs" dxfId="9207" priority="304" operator="greaterThan">
      <formula>0</formula>
    </cfRule>
  </conditionalFormatting>
  <conditionalFormatting sqref="P21">
    <cfRule type="cellIs" dxfId="9206" priority="293" operator="equal">
      <formula>"PMS"</formula>
    </cfRule>
    <cfRule type="containsText" dxfId="9205" priority="294" operator="containsText" text="CMS">
      <formula>NOT(ISERROR(SEARCH("CMS",P21)))</formula>
    </cfRule>
    <cfRule type="cellIs" dxfId="9204" priority="295" operator="equal">
      <formula>0</formula>
    </cfRule>
    <cfRule type="cellIs" dxfId="9203" priority="296" operator="greaterThan">
      <formula>0</formula>
    </cfRule>
    <cfRule type="cellIs" dxfId="9202" priority="297" operator="equal">
      <formula>"PMS"</formula>
    </cfRule>
    <cfRule type="containsText" dxfId="9201" priority="298" operator="containsText" text="CMS">
      <formula>NOT(ISERROR(SEARCH("CMS",P21)))</formula>
    </cfRule>
    <cfRule type="cellIs" dxfId="9200" priority="299" operator="equal">
      <formula>0</formula>
    </cfRule>
    <cfRule type="cellIs" dxfId="9199" priority="300" operator="greaterThan">
      <formula>0</formula>
    </cfRule>
  </conditionalFormatting>
  <conditionalFormatting sqref="P21">
    <cfRule type="cellIs" dxfId="9198" priority="289" operator="equal">
      <formula>"PMS"</formula>
    </cfRule>
    <cfRule type="containsText" dxfId="9197" priority="290" operator="containsText" text="CMS">
      <formula>NOT(ISERROR(SEARCH("CMS",P21)))</formula>
    </cfRule>
    <cfRule type="cellIs" dxfId="9196" priority="291" operator="equal">
      <formula>0</formula>
    </cfRule>
    <cfRule type="cellIs" dxfId="9195" priority="292" operator="greaterThan">
      <formula>0</formula>
    </cfRule>
  </conditionalFormatting>
  <conditionalFormatting sqref="M78:M79">
    <cfRule type="cellIs" dxfId="9194" priority="281" operator="equal">
      <formula>"PMS"</formula>
    </cfRule>
    <cfRule type="containsText" dxfId="9193" priority="282" operator="containsText" text="CMS">
      <formula>NOT(ISERROR(SEARCH("CMS",M78)))</formula>
    </cfRule>
    <cfRule type="cellIs" dxfId="9192" priority="283" operator="equal">
      <formula>0</formula>
    </cfRule>
    <cfRule type="cellIs" dxfId="9191" priority="284" operator="greaterThan">
      <formula>0</formula>
    </cfRule>
    <cfRule type="cellIs" dxfId="9190" priority="285" operator="equal">
      <formula>"PMS"</formula>
    </cfRule>
    <cfRule type="containsText" dxfId="9189" priority="286" operator="containsText" text="CMS">
      <formula>NOT(ISERROR(SEARCH("CMS",M78)))</formula>
    </cfRule>
    <cfRule type="cellIs" dxfId="9188" priority="287" operator="equal">
      <formula>0</formula>
    </cfRule>
    <cfRule type="cellIs" dxfId="9187" priority="288" operator="greaterThan">
      <formula>0</formula>
    </cfRule>
  </conditionalFormatting>
  <conditionalFormatting sqref="M78:M79">
    <cfRule type="cellIs" dxfId="9186" priority="277" operator="equal">
      <formula>"PMS"</formula>
    </cfRule>
    <cfRule type="containsText" dxfId="9185" priority="278" operator="containsText" text="CMS">
      <formula>NOT(ISERROR(SEARCH("CMS",M78)))</formula>
    </cfRule>
    <cfRule type="cellIs" dxfId="9184" priority="279" operator="equal">
      <formula>0</formula>
    </cfRule>
    <cfRule type="cellIs" dxfId="9183" priority="280" operator="greaterThan">
      <formula>0</formula>
    </cfRule>
  </conditionalFormatting>
  <conditionalFormatting sqref="G79:K79">
    <cfRule type="cellIs" dxfId="9182" priority="269" operator="equal">
      <formula>"PMS"</formula>
    </cfRule>
    <cfRule type="containsText" dxfId="9181" priority="270" operator="containsText" text="CMS">
      <formula>NOT(ISERROR(SEARCH("CMS",G79)))</formula>
    </cfRule>
    <cfRule type="cellIs" dxfId="9180" priority="271" operator="equal">
      <formula>0</formula>
    </cfRule>
    <cfRule type="cellIs" dxfId="9179" priority="272" operator="greaterThan">
      <formula>0</formula>
    </cfRule>
    <cfRule type="cellIs" dxfId="9178" priority="273" operator="equal">
      <formula>"PMS"</formula>
    </cfRule>
    <cfRule type="containsText" dxfId="9177" priority="274" operator="containsText" text="CMS">
      <formula>NOT(ISERROR(SEARCH("CMS",G79)))</formula>
    </cfRule>
    <cfRule type="cellIs" dxfId="9176" priority="275" operator="equal">
      <formula>0</formula>
    </cfRule>
    <cfRule type="cellIs" dxfId="9175" priority="276" operator="greaterThan">
      <formula>0</formula>
    </cfRule>
  </conditionalFormatting>
  <conditionalFormatting sqref="G79:K79">
    <cfRule type="cellIs" dxfId="9174" priority="265" operator="equal">
      <formula>"PMS"</formula>
    </cfRule>
    <cfRule type="containsText" dxfId="9173" priority="266" operator="containsText" text="CMS">
      <formula>NOT(ISERROR(SEARCH("CMS",G79)))</formula>
    </cfRule>
    <cfRule type="cellIs" dxfId="9172" priority="267" operator="equal">
      <formula>0</formula>
    </cfRule>
    <cfRule type="cellIs" dxfId="9171" priority="268" operator="greaterThan">
      <formula>0</formula>
    </cfRule>
  </conditionalFormatting>
  <conditionalFormatting sqref="N14">
    <cfRule type="cellIs" dxfId="9170" priority="257" operator="equal">
      <formula>"PMS"</formula>
    </cfRule>
    <cfRule type="containsText" dxfId="9169" priority="258" operator="containsText" text="CMS">
      <formula>NOT(ISERROR(SEARCH("CMS",N14)))</formula>
    </cfRule>
    <cfRule type="cellIs" dxfId="9168" priority="259" operator="equal">
      <formula>0</formula>
    </cfRule>
    <cfRule type="cellIs" dxfId="9167" priority="260" operator="greaterThan">
      <formula>0</formula>
    </cfRule>
    <cfRule type="cellIs" dxfId="9166" priority="261" operator="equal">
      <formula>"PMS"</formula>
    </cfRule>
    <cfRule type="containsText" dxfId="9165" priority="262" operator="containsText" text="CMS">
      <formula>NOT(ISERROR(SEARCH("CMS",N14)))</formula>
    </cfRule>
    <cfRule type="cellIs" dxfId="9164" priority="263" operator="equal">
      <formula>0</formula>
    </cfRule>
    <cfRule type="cellIs" dxfId="9163" priority="264" operator="greaterThan">
      <formula>0</formula>
    </cfRule>
  </conditionalFormatting>
  <conditionalFormatting sqref="N14">
    <cfRule type="cellIs" dxfId="9162" priority="253" operator="equal">
      <formula>"PMS"</formula>
    </cfRule>
    <cfRule type="containsText" dxfId="9161" priority="254" operator="containsText" text="CMS">
      <formula>NOT(ISERROR(SEARCH("CMS",N14)))</formula>
    </cfRule>
    <cfRule type="cellIs" dxfId="9160" priority="255" operator="equal">
      <formula>0</formula>
    </cfRule>
    <cfRule type="cellIs" dxfId="9159" priority="256" operator="greaterThan">
      <formula>0</formula>
    </cfRule>
  </conditionalFormatting>
  <conditionalFormatting sqref="P64:Q64">
    <cfRule type="cellIs" dxfId="9158" priority="245" operator="equal">
      <formula>"PMS"</formula>
    </cfRule>
    <cfRule type="containsText" dxfId="9157" priority="246" operator="containsText" text="CMS">
      <formula>NOT(ISERROR(SEARCH("CMS",P64)))</formula>
    </cfRule>
    <cfRule type="cellIs" dxfId="9156" priority="247" operator="equal">
      <formula>0</formula>
    </cfRule>
    <cfRule type="cellIs" dxfId="9155" priority="248" operator="greaterThan">
      <formula>0</formula>
    </cfRule>
    <cfRule type="cellIs" dxfId="9154" priority="249" operator="equal">
      <formula>"PMS"</formula>
    </cfRule>
    <cfRule type="containsText" dxfId="9153" priority="250" operator="containsText" text="CMS">
      <formula>NOT(ISERROR(SEARCH("CMS",P64)))</formula>
    </cfRule>
    <cfRule type="cellIs" dxfId="9152" priority="251" operator="equal">
      <formula>0</formula>
    </cfRule>
    <cfRule type="cellIs" dxfId="9151" priority="252" operator="greaterThan">
      <formula>0</formula>
    </cfRule>
  </conditionalFormatting>
  <conditionalFormatting sqref="P64:Q64">
    <cfRule type="cellIs" dxfId="9150" priority="241" operator="equal">
      <formula>"PMS"</formula>
    </cfRule>
    <cfRule type="containsText" dxfId="9149" priority="242" operator="containsText" text="CMS">
      <formula>NOT(ISERROR(SEARCH("CMS",P64)))</formula>
    </cfRule>
    <cfRule type="cellIs" dxfId="9148" priority="243" operator="equal">
      <formula>0</formula>
    </cfRule>
    <cfRule type="cellIs" dxfId="9147" priority="244" operator="greaterThan">
      <formula>0</formula>
    </cfRule>
  </conditionalFormatting>
  <conditionalFormatting sqref="F36:F59">
    <cfRule type="cellIs" dxfId="9146" priority="233" operator="equal">
      <formula>"PMS"</formula>
    </cfRule>
    <cfRule type="containsText" dxfId="9145" priority="234" operator="containsText" text="CMS">
      <formula>NOT(ISERROR(SEARCH("CMS",F36)))</formula>
    </cfRule>
    <cfRule type="cellIs" dxfId="9144" priority="235" operator="equal">
      <formula>0</formula>
    </cfRule>
    <cfRule type="cellIs" dxfId="9143" priority="236" operator="greaterThan">
      <formula>0</formula>
    </cfRule>
    <cfRule type="cellIs" dxfId="9142" priority="237" operator="equal">
      <formula>"PMS"</formula>
    </cfRule>
    <cfRule type="containsText" dxfId="9141" priority="238" operator="containsText" text="CMS">
      <formula>NOT(ISERROR(SEARCH("CMS",F36)))</formula>
    </cfRule>
    <cfRule type="cellIs" dxfId="9140" priority="239" operator="equal">
      <formula>0</formula>
    </cfRule>
    <cfRule type="cellIs" dxfId="9139" priority="240" operator="greaterThan">
      <formula>0</formula>
    </cfRule>
  </conditionalFormatting>
  <conditionalFormatting sqref="F36:F59">
    <cfRule type="cellIs" dxfId="9138" priority="229" operator="equal">
      <formula>"PMS"</formula>
    </cfRule>
    <cfRule type="containsText" dxfId="9137" priority="230" operator="containsText" text="CMS">
      <formula>NOT(ISERROR(SEARCH("CMS",F36)))</formula>
    </cfRule>
    <cfRule type="cellIs" dxfId="9136" priority="231" operator="equal">
      <formula>0</formula>
    </cfRule>
    <cfRule type="cellIs" dxfId="9135" priority="232" operator="greaterThan">
      <formula>0</formula>
    </cfRule>
  </conditionalFormatting>
  <conditionalFormatting sqref="F67:F75">
    <cfRule type="cellIs" dxfId="9134" priority="221" operator="equal">
      <formula>"PMS"</formula>
    </cfRule>
    <cfRule type="containsText" dxfId="9133" priority="222" operator="containsText" text="CMS">
      <formula>NOT(ISERROR(SEARCH("CMS",F67)))</formula>
    </cfRule>
    <cfRule type="cellIs" dxfId="9132" priority="223" operator="equal">
      <formula>0</formula>
    </cfRule>
    <cfRule type="cellIs" dxfId="9131" priority="224" operator="greaterThan">
      <formula>0</formula>
    </cfRule>
    <cfRule type="cellIs" dxfId="9130" priority="225" operator="equal">
      <formula>"PMS"</formula>
    </cfRule>
    <cfRule type="containsText" dxfId="9129" priority="226" operator="containsText" text="CMS">
      <formula>NOT(ISERROR(SEARCH("CMS",F67)))</formula>
    </cfRule>
    <cfRule type="cellIs" dxfId="9128" priority="227" operator="equal">
      <formula>0</formula>
    </cfRule>
    <cfRule type="cellIs" dxfId="9127" priority="228" operator="greaterThan">
      <formula>0</formula>
    </cfRule>
  </conditionalFormatting>
  <conditionalFormatting sqref="F67:F75">
    <cfRule type="cellIs" dxfId="9126" priority="217" operator="equal">
      <formula>"PMS"</formula>
    </cfRule>
    <cfRule type="containsText" dxfId="9125" priority="218" operator="containsText" text="CMS">
      <formula>NOT(ISERROR(SEARCH("CMS",F67)))</formula>
    </cfRule>
    <cfRule type="cellIs" dxfId="9124" priority="219" operator="equal">
      <formula>0</formula>
    </cfRule>
    <cfRule type="cellIs" dxfId="9123" priority="220" operator="greaterThan">
      <formula>0</formula>
    </cfRule>
  </conditionalFormatting>
  <conditionalFormatting sqref="O51">
    <cfRule type="cellIs" dxfId="9122" priority="209" operator="equal">
      <formula>"PMS"</formula>
    </cfRule>
    <cfRule type="containsText" dxfId="9121" priority="210" operator="containsText" text="CMS">
      <formula>NOT(ISERROR(SEARCH("CMS",O51)))</formula>
    </cfRule>
    <cfRule type="cellIs" dxfId="9120" priority="211" operator="equal">
      <formula>0</formula>
    </cfRule>
    <cfRule type="cellIs" dxfId="9119" priority="212" operator="greaterThan">
      <formula>0</formula>
    </cfRule>
    <cfRule type="cellIs" dxfId="9118" priority="213" operator="equal">
      <formula>"PMS"</formula>
    </cfRule>
    <cfRule type="containsText" dxfId="9117" priority="214" operator="containsText" text="CMS">
      <formula>NOT(ISERROR(SEARCH("CMS",O51)))</formula>
    </cfRule>
    <cfRule type="cellIs" dxfId="9116" priority="215" operator="equal">
      <formula>0</formula>
    </cfRule>
    <cfRule type="cellIs" dxfId="9115" priority="216" operator="greaterThan">
      <formula>0</formula>
    </cfRule>
  </conditionalFormatting>
  <conditionalFormatting sqref="O51">
    <cfRule type="cellIs" dxfId="9114" priority="205" operator="equal">
      <formula>"PMS"</formula>
    </cfRule>
    <cfRule type="containsText" dxfId="9113" priority="206" operator="containsText" text="CMS">
      <formula>NOT(ISERROR(SEARCH("CMS",O51)))</formula>
    </cfRule>
    <cfRule type="cellIs" dxfId="9112" priority="207" operator="equal">
      <formula>0</formula>
    </cfRule>
    <cfRule type="cellIs" dxfId="9111" priority="208" operator="greaterThan">
      <formula>0</formula>
    </cfRule>
  </conditionalFormatting>
  <conditionalFormatting sqref="O56">
    <cfRule type="cellIs" dxfId="9110" priority="197" operator="equal">
      <formula>"PMS"</formula>
    </cfRule>
    <cfRule type="containsText" dxfId="9109" priority="198" operator="containsText" text="CMS">
      <formula>NOT(ISERROR(SEARCH("CMS",O56)))</formula>
    </cfRule>
    <cfRule type="cellIs" dxfId="9108" priority="199" operator="equal">
      <formula>0</formula>
    </cfRule>
    <cfRule type="cellIs" dxfId="9107" priority="200" operator="greaterThan">
      <formula>0</formula>
    </cfRule>
    <cfRule type="cellIs" dxfId="9106" priority="201" operator="equal">
      <formula>"PMS"</formula>
    </cfRule>
    <cfRule type="containsText" dxfId="9105" priority="202" operator="containsText" text="CMS">
      <formula>NOT(ISERROR(SEARCH("CMS",O56)))</formula>
    </cfRule>
    <cfRule type="cellIs" dxfId="9104" priority="203" operator="equal">
      <formula>0</formula>
    </cfRule>
    <cfRule type="cellIs" dxfId="9103" priority="204" operator="greaterThan">
      <formula>0</formula>
    </cfRule>
  </conditionalFormatting>
  <conditionalFormatting sqref="O56">
    <cfRule type="cellIs" dxfId="9102" priority="193" operator="equal">
      <formula>"PMS"</formula>
    </cfRule>
    <cfRule type="containsText" dxfId="9101" priority="194" operator="containsText" text="CMS">
      <formula>NOT(ISERROR(SEARCH("CMS",O56)))</formula>
    </cfRule>
    <cfRule type="cellIs" dxfId="9100" priority="195" operator="equal">
      <formula>0</formula>
    </cfRule>
    <cfRule type="cellIs" dxfId="9099" priority="196" operator="greaterThan">
      <formula>0</formula>
    </cfRule>
  </conditionalFormatting>
  <conditionalFormatting sqref="F24">
    <cfRule type="cellIs" dxfId="9098" priority="161" operator="equal">
      <formula>"PMS"</formula>
    </cfRule>
    <cfRule type="containsText" dxfId="9097" priority="162" operator="containsText" text="CMS">
      <formula>NOT(ISERROR(SEARCH("CMS",F24)))</formula>
    </cfRule>
    <cfRule type="cellIs" dxfId="9096" priority="163" operator="equal">
      <formula>0</formula>
    </cfRule>
    <cfRule type="cellIs" dxfId="9095" priority="164" operator="greaterThan">
      <formula>0</formula>
    </cfRule>
    <cfRule type="cellIs" dxfId="9094" priority="165" operator="equal">
      <formula>"PMS"</formula>
    </cfRule>
    <cfRule type="containsText" dxfId="9093" priority="166" operator="containsText" text="CMS">
      <formula>NOT(ISERROR(SEARCH("CMS",F24)))</formula>
    </cfRule>
    <cfRule type="cellIs" dxfId="9092" priority="167" operator="equal">
      <formula>0</formula>
    </cfRule>
    <cfRule type="cellIs" dxfId="9091" priority="168" operator="greaterThan">
      <formula>0</formula>
    </cfRule>
  </conditionalFormatting>
  <conditionalFormatting sqref="F24">
    <cfRule type="cellIs" dxfId="9090" priority="157" operator="equal">
      <formula>"PMS"</formula>
    </cfRule>
    <cfRule type="containsText" dxfId="9089" priority="158" operator="containsText" text="CMS">
      <formula>NOT(ISERROR(SEARCH("CMS",F24)))</formula>
    </cfRule>
    <cfRule type="cellIs" dxfId="9088" priority="159" operator="equal">
      <formula>0</formula>
    </cfRule>
    <cfRule type="cellIs" dxfId="9087" priority="160" operator="greaterThan">
      <formula>0</formula>
    </cfRule>
  </conditionalFormatting>
  <conditionalFormatting sqref="F33">
    <cfRule type="cellIs" dxfId="9086" priority="125" operator="equal">
      <formula>"PMS"</formula>
    </cfRule>
    <cfRule type="containsText" dxfId="9085" priority="126" operator="containsText" text="CMS">
      <formula>NOT(ISERROR(SEARCH("CMS",F33)))</formula>
    </cfRule>
    <cfRule type="cellIs" dxfId="9084" priority="127" operator="equal">
      <formula>0</formula>
    </cfRule>
    <cfRule type="cellIs" dxfId="9083" priority="128" operator="greaterThan">
      <formula>0</formula>
    </cfRule>
    <cfRule type="cellIs" dxfId="9082" priority="129" operator="equal">
      <formula>"PMS"</formula>
    </cfRule>
    <cfRule type="containsText" dxfId="9081" priority="130" operator="containsText" text="CMS">
      <formula>NOT(ISERROR(SEARCH("CMS",F33)))</formula>
    </cfRule>
    <cfRule type="cellIs" dxfId="9080" priority="131" operator="equal">
      <formula>0</formula>
    </cfRule>
    <cfRule type="cellIs" dxfId="9079" priority="132" operator="greaterThan">
      <formula>0</formula>
    </cfRule>
  </conditionalFormatting>
  <conditionalFormatting sqref="F33">
    <cfRule type="cellIs" dxfId="9078" priority="121" operator="equal">
      <formula>"PMS"</formula>
    </cfRule>
    <cfRule type="containsText" dxfId="9077" priority="122" operator="containsText" text="CMS">
      <formula>NOT(ISERROR(SEARCH("CMS",F33)))</formula>
    </cfRule>
    <cfRule type="cellIs" dxfId="9076" priority="123" operator="equal">
      <formula>0</formula>
    </cfRule>
    <cfRule type="cellIs" dxfId="9075" priority="124" operator="greaterThan">
      <formula>0</formula>
    </cfRule>
  </conditionalFormatting>
  <conditionalFormatting sqref="F64">
    <cfRule type="cellIs" dxfId="9074" priority="113" operator="equal">
      <formula>"PMS"</formula>
    </cfRule>
    <cfRule type="containsText" dxfId="9073" priority="114" operator="containsText" text="CMS">
      <formula>NOT(ISERROR(SEARCH("CMS",F64)))</formula>
    </cfRule>
    <cfRule type="cellIs" dxfId="9072" priority="115" operator="equal">
      <formula>0</formula>
    </cfRule>
    <cfRule type="cellIs" dxfId="9071" priority="116" operator="greaterThan">
      <formula>0</formula>
    </cfRule>
    <cfRule type="cellIs" dxfId="9070" priority="117" operator="equal">
      <formula>"PMS"</formula>
    </cfRule>
    <cfRule type="containsText" dxfId="9069" priority="118" operator="containsText" text="CMS">
      <formula>NOT(ISERROR(SEARCH("CMS",F64)))</formula>
    </cfRule>
    <cfRule type="cellIs" dxfId="9068" priority="119" operator="equal">
      <formula>0</formula>
    </cfRule>
    <cfRule type="cellIs" dxfId="9067" priority="120" operator="greaterThan">
      <formula>0</formula>
    </cfRule>
  </conditionalFormatting>
  <conditionalFormatting sqref="F64">
    <cfRule type="cellIs" dxfId="9066" priority="109" operator="equal">
      <formula>"PMS"</formula>
    </cfRule>
    <cfRule type="containsText" dxfId="9065" priority="110" operator="containsText" text="CMS">
      <formula>NOT(ISERROR(SEARCH("CMS",F64)))</formula>
    </cfRule>
    <cfRule type="cellIs" dxfId="9064" priority="111" operator="equal">
      <formula>0</formula>
    </cfRule>
    <cfRule type="cellIs" dxfId="9063" priority="112" operator="greaterThan">
      <formula>0</formula>
    </cfRule>
  </conditionalFormatting>
  <conditionalFormatting sqref="F78">
    <cfRule type="cellIs" dxfId="9062" priority="101" operator="equal">
      <formula>"PMS"</formula>
    </cfRule>
    <cfRule type="containsText" dxfId="9061" priority="102" operator="containsText" text="CMS">
      <formula>NOT(ISERROR(SEARCH("CMS",F78)))</formula>
    </cfRule>
    <cfRule type="cellIs" dxfId="9060" priority="103" operator="equal">
      <formula>0</formula>
    </cfRule>
    <cfRule type="cellIs" dxfId="9059" priority="104" operator="greaterThan">
      <formula>0</formula>
    </cfRule>
    <cfRule type="cellIs" dxfId="9058" priority="105" operator="equal">
      <formula>"PMS"</formula>
    </cfRule>
    <cfRule type="containsText" dxfId="9057" priority="106" operator="containsText" text="CMS">
      <formula>NOT(ISERROR(SEARCH("CMS",F78)))</formula>
    </cfRule>
    <cfRule type="cellIs" dxfId="9056" priority="107" operator="equal">
      <formula>0</formula>
    </cfRule>
    <cfRule type="cellIs" dxfId="9055" priority="108" operator="greaterThan">
      <formula>0</formula>
    </cfRule>
  </conditionalFormatting>
  <conditionalFormatting sqref="F78">
    <cfRule type="cellIs" dxfId="9054" priority="97" operator="equal">
      <formula>"PMS"</formula>
    </cfRule>
    <cfRule type="containsText" dxfId="9053" priority="98" operator="containsText" text="CMS">
      <formula>NOT(ISERROR(SEARCH("CMS",F78)))</formula>
    </cfRule>
    <cfRule type="cellIs" dxfId="9052" priority="99" operator="equal">
      <formula>0</formula>
    </cfRule>
    <cfRule type="cellIs" dxfId="9051" priority="100" operator="greaterThan">
      <formula>0</formula>
    </cfRule>
  </conditionalFormatting>
  <conditionalFormatting sqref="M14">
    <cfRule type="cellIs" dxfId="9050" priority="89" operator="equal">
      <formula>"PMS"</formula>
    </cfRule>
    <cfRule type="containsText" dxfId="9049" priority="90" operator="containsText" text="CMS">
      <formula>NOT(ISERROR(SEARCH("CMS",M14)))</formula>
    </cfRule>
    <cfRule type="cellIs" dxfId="9048" priority="91" operator="equal">
      <formula>0</formula>
    </cfRule>
    <cfRule type="cellIs" dxfId="9047" priority="92" operator="greaterThan">
      <formula>0</formula>
    </cfRule>
    <cfRule type="cellIs" dxfId="9046" priority="93" operator="equal">
      <formula>"PMS"</formula>
    </cfRule>
    <cfRule type="containsText" dxfId="9045" priority="94" operator="containsText" text="CMS">
      <formula>NOT(ISERROR(SEARCH("CMS",M14)))</formula>
    </cfRule>
    <cfRule type="cellIs" dxfId="9044" priority="95" operator="equal">
      <formula>0</formula>
    </cfRule>
    <cfRule type="cellIs" dxfId="9043" priority="96" operator="greaterThan">
      <formula>0</formula>
    </cfRule>
  </conditionalFormatting>
  <conditionalFormatting sqref="M14">
    <cfRule type="cellIs" dxfId="9042" priority="85" operator="equal">
      <formula>"PMS"</formula>
    </cfRule>
    <cfRule type="containsText" dxfId="9041" priority="86" operator="containsText" text="CMS">
      <formula>NOT(ISERROR(SEARCH("CMS",M14)))</formula>
    </cfRule>
    <cfRule type="cellIs" dxfId="9040" priority="87" operator="equal">
      <formula>0</formula>
    </cfRule>
    <cfRule type="cellIs" dxfId="9039" priority="88" operator="greaterThan">
      <formula>0</formula>
    </cfRule>
  </conditionalFormatting>
  <conditionalFormatting sqref="F13:F16">
    <cfRule type="cellIs" dxfId="9038" priority="77" operator="equal">
      <formula>"PMS"</formula>
    </cfRule>
    <cfRule type="containsText" dxfId="9037" priority="78" operator="containsText" text="CMS">
      <formula>NOT(ISERROR(SEARCH("CMS",F13)))</formula>
    </cfRule>
    <cfRule type="cellIs" dxfId="9036" priority="79" operator="equal">
      <formula>0</formula>
    </cfRule>
    <cfRule type="cellIs" dxfId="9035" priority="80" operator="greaterThan">
      <formula>0</formula>
    </cfRule>
    <cfRule type="cellIs" dxfId="9034" priority="81" operator="equal">
      <formula>"PMS"</formula>
    </cfRule>
    <cfRule type="containsText" dxfId="9033" priority="82" operator="containsText" text="CMS">
      <formula>NOT(ISERROR(SEARCH("CMS",F13)))</formula>
    </cfRule>
    <cfRule type="cellIs" dxfId="9032" priority="83" operator="equal">
      <formula>0</formula>
    </cfRule>
    <cfRule type="cellIs" dxfId="9031" priority="84" operator="greaterThan">
      <formula>0</formula>
    </cfRule>
  </conditionalFormatting>
  <conditionalFormatting sqref="F13:F16">
    <cfRule type="cellIs" dxfId="9030" priority="73" operator="equal">
      <formula>"PMS"</formula>
    </cfRule>
    <cfRule type="containsText" dxfId="9029" priority="74" operator="containsText" text="CMS">
      <formula>NOT(ISERROR(SEARCH("CMS",F13)))</formula>
    </cfRule>
    <cfRule type="cellIs" dxfId="9028" priority="75" operator="equal">
      <formula>0</formula>
    </cfRule>
    <cfRule type="cellIs" dxfId="9027" priority="76" operator="greaterThan">
      <formula>0</formula>
    </cfRule>
  </conditionalFormatting>
  <conditionalFormatting sqref="F19:F21">
    <cfRule type="cellIs" dxfId="9026" priority="65" operator="equal">
      <formula>"PMS"</formula>
    </cfRule>
    <cfRule type="containsText" dxfId="9025" priority="66" operator="containsText" text="CMS">
      <formula>NOT(ISERROR(SEARCH("CMS",F19)))</formula>
    </cfRule>
    <cfRule type="cellIs" dxfId="9024" priority="67" operator="equal">
      <formula>0</formula>
    </cfRule>
    <cfRule type="cellIs" dxfId="9023" priority="68" operator="greaterThan">
      <formula>0</formula>
    </cfRule>
    <cfRule type="cellIs" dxfId="9022" priority="69" operator="equal">
      <formula>"PMS"</formula>
    </cfRule>
    <cfRule type="containsText" dxfId="9021" priority="70" operator="containsText" text="CMS">
      <formula>NOT(ISERROR(SEARCH("CMS",F19)))</formula>
    </cfRule>
    <cfRule type="cellIs" dxfId="9020" priority="71" operator="equal">
      <formula>0</formula>
    </cfRule>
    <cfRule type="cellIs" dxfId="9019" priority="72" operator="greaterThan">
      <formula>0</formula>
    </cfRule>
  </conditionalFormatting>
  <conditionalFormatting sqref="F19:F21">
    <cfRule type="cellIs" dxfId="9018" priority="61" operator="equal">
      <formula>"PMS"</formula>
    </cfRule>
    <cfRule type="containsText" dxfId="9017" priority="62" operator="containsText" text="CMS">
      <formula>NOT(ISERROR(SEARCH("CMS",F19)))</formula>
    </cfRule>
    <cfRule type="cellIs" dxfId="9016" priority="63" operator="equal">
      <formula>0</formula>
    </cfRule>
    <cfRule type="cellIs" dxfId="9015" priority="64" operator="greaterThan">
      <formula>0</formula>
    </cfRule>
  </conditionalFormatting>
  <conditionalFormatting sqref="F28:F30">
    <cfRule type="cellIs" dxfId="9014" priority="53" operator="equal">
      <formula>"PMS"</formula>
    </cfRule>
    <cfRule type="containsText" dxfId="9013" priority="54" operator="containsText" text="CMS">
      <formula>NOT(ISERROR(SEARCH("CMS",F28)))</formula>
    </cfRule>
    <cfRule type="cellIs" dxfId="9012" priority="55" operator="equal">
      <formula>0</formula>
    </cfRule>
    <cfRule type="cellIs" dxfId="9011" priority="56" operator="greaterThan">
      <formula>0</formula>
    </cfRule>
    <cfRule type="cellIs" dxfId="9010" priority="57" operator="equal">
      <formula>"PMS"</formula>
    </cfRule>
    <cfRule type="containsText" dxfId="9009" priority="58" operator="containsText" text="CMS">
      <formula>NOT(ISERROR(SEARCH("CMS",F28)))</formula>
    </cfRule>
    <cfRule type="cellIs" dxfId="9008" priority="59" operator="equal">
      <formula>0</formula>
    </cfRule>
    <cfRule type="cellIs" dxfId="9007" priority="60" operator="greaterThan">
      <formula>0</formula>
    </cfRule>
  </conditionalFormatting>
  <conditionalFormatting sqref="F28:F30">
    <cfRule type="cellIs" dxfId="9006" priority="49" operator="equal">
      <formula>"PMS"</formula>
    </cfRule>
    <cfRule type="containsText" dxfId="9005" priority="50" operator="containsText" text="CMS">
      <formula>NOT(ISERROR(SEARCH("CMS",F28)))</formula>
    </cfRule>
    <cfRule type="cellIs" dxfId="9004" priority="51" operator="equal">
      <formula>0</formula>
    </cfRule>
    <cfRule type="cellIs" dxfId="9003" priority="52" operator="greaterThan">
      <formula>0</formula>
    </cfRule>
  </conditionalFormatting>
  <conditionalFormatting sqref="F27">
    <cfRule type="cellIs" dxfId="9002" priority="41" operator="equal">
      <formula>"PMS"</formula>
    </cfRule>
    <cfRule type="containsText" dxfId="9001" priority="42" operator="containsText" text="CMS">
      <formula>NOT(ISERROR(SEARCH("CMS",F27)))</formula>
    </cfRule>
    <cfRule type="cellIs" dxfId="9000" priority="43" operator="equal">
      <formula>0</formula>
    </cfRule>
    <cfRule type="cellIs" dxfId="8999" priority="44" operator="greaterThan">
      <formula>0</formula>
    </cfRule>
    <cfRule type="cellIs" dxfId="8998" priority="45" operator="equal">
      <formula>"PMS"</formula>
    </cfRule>
    <cfRule type="containsText" dxfId="8997" priority="46" operator="containsText" text="CMS">
      <formula>NOT(ISERROR(SEARCH("CMS",F27)))</formula>
    </cfRule>
    <cfRule type="cellIs" dxfId="8996" priority="47" operator="equal">
      <formula>0</formula>
    </cfRule>
    <cfRule type="cellIs" dxfId="8995" priority="48" operator="greaterThan">
      <formula>0</formula>
    </cfRule>
  </conditionalFormatting>
  <conditionalFormatting sqref="F27">
    <cfRule type="cellIs" dxfId="8994" priority="37" operator="equal">
      <formula>"PMS"</formula>
    </cfRule>
    <cfRule type="containsText" dxfId="8993" priority="38" operator="containsText" text="CMS">
      <formula>NOT(ISERROR(SEARCH("CMS",F27)))</formula>
    </cfRule>
    <cfRule type="cellIs" dxfId="8992" priority="39" operator="equal">
      <formula>0</formula>
    </cfRule>
    <cfRule type="cellIs" dxfId="8991" priority="40" operator="greaterThan">
      <formula>0</formula>
    </cfRule>
  </conditionalFormatting>
  <conditionalFormatting sqref="F62:F63">
    <cfRule type="cellIs" dxfId="8990" priority="29" operator="equal">
      <formula>"PMS"</formula>
    </cfRule>
    <cfRule type="containsText" dxfId="8989" priority="30" operator="containsText" text="CMS">
      <formula>NOT(ISERROR(SEARCH("CMS",F62)))</formula>
    </cfRule>
    <cfRule type="cellIs" dxfId="8988" priority="31" operator="equal">
      <formula>0</formula>
    </cfRule>
    <cfRule type="cellIs" dxfId="8987" priority="32" operator="greaterThan">
      <formula>0</formula>
    </cfRule>
    <cfRule type="cellIs" dxfId="8986" priority="33" operator="equal">
      <formula>"PMS"</formula>
    </cfRule>
    <cfRule type="containsText" dxfId="8985" priority="34" operator="containsText" text="CMS">
      <formula>NOT(ISERROR(SEARCH("CMS",F62)))</formula>
    </cfRule>
    <cfRule type="cellIs" dxfId="8984" priority="35" operator="equal">
      <formula>0</formula>
    </cfRule>
    <cfRule type="cellIs" dxfId="8983" priority="36" operator="greaterThan">
      <formula>0</formula>
    </cfRule>
  </conditionalFormatting>
  <conditionalFormatting sqref="F62:F63">
    <cfRule type="cellIs" dxfId="8982" priority="25" operator="equal">
      <formula>"PMS"</formula>
    </cfRule>
    <cfRule type="containsText" dxfId="8981" priority="26" operator="containsText" text="CMS">
      <formula>NOT(ISERROR(SEARCH("CMS",F62)))</formula>
    </cfRule>
    <cfRule type="cellIs" dxfId="8980" priority="27" operator="equal">
      <formula>0</formula>
    </cfRule>
    <cfRule type="cellIs" dxfId="8979" priority="28" operator="greaterThan">
      <formula>0</formula>
    </cfRule>
  </conditionalFormatting>
  <conditionalFormatting sqref="F79">
    <cfRule type="cellIs" dxfId="8978" priority="17" operator="equal">
      <formula>"PMS"</formula>
    </cfRule>
    <cfRule type="containsText" dxfId="8977" priority="18" operator="containsText" text="CMS">
      <formula>NOT(ISERROR(SEARCH("CMS",F79)))</formula>
    </cfRule>
    <cfRule type="cellIs" dxfId="8976" priority="19" operator="equal">
      <formula>0</formula>
    </cfRule>
    <cfRule type="cellIs" dxfId="8975" priority="20" operator="greaterThan">
      <formula>0</formula>
    </cfRule>
    <cfRule type="cellIs" dxfId="8974" priority="21" operator="equal">
      <formula>"PMS"</formula>
    </cfRule>
    <cfRule type="containsText" dxfId="8973" priority="22" operator="containsText" text="CMS">
      <formula>NOT(ISERROR(SEARCH("CMS",F79)))</formula>
    </cfRule>
    <cfRule type="cellIs" dxfId="8972" priority="23" operator="equal">
      <formula>0</formula>
    </cfRule>
    <cfRule type="cellIs" dxfId="8971" priority="24" operator="greaterThan">
      <formula>0</formula>
    </cfRule>
  </conditionalFormatting>
  <conditionalFormatting sqref="F79">
    <cfRule type="cellIs" dxfId="8970" priority="13" operator="equal">
      <formula>"PMS"</formula>
    </cfRule>
    <cfRule type="containsText" dxfId="8969" priority="14" operator="containsText" text="CMS">
      <formula>NOT(ISERROR(SEARCH("CMS",F79)))</formula>
    </cfRule>
    <cfRule type="cellIs" dxfId="8968" priority="15" operator="equal">
      <formula>0</formula>
    </cfRule>
    <cfRule type="cellIs" dxfId="8967" priority="16" operator="greaterThan">
      <formula>0</formula>
    </cfRule>
  </conditionalFormatting>
  <conditionalFormatting sqref="N78:N79">
    <cfRule type="cellIs" dxfId="8966" priority="5" operator="equal">
      <formula>"PMS"</formula>
    </cfRule>
    <cfRule type="containsText" dxfId="8965" priority="6" operator="containsText" text="CMS">
      <formula>NOT(ISERROR(SEARCH("CMS",N78)))</formula>
    </cfRule>
    <cfRule type="cellIs" dxfId="8964" priority="7" operator="equal">
      <formula>0</formula>
    </cfRule>
    <cfRule type="cellIs" dxfId="8963" priority="8" operator="greaterThan">
      <formula>0</formula>
    </cfRule>
    <cfRule type="cellIs" dxfId="8962" priority="9" operator="equal">
      <formula>"PMS"</formula>
    </cfRule>
    <cfRule type="containsText" dxfId="8961" priority="10" operator="containsText" text="CMS">
      <formula>NOT(ISERROR(SEARCH("CMS",N78)))</formula>
    </cfRule>
    <cfRule type="cellIs" dxfId="8960" priority="11" operator="equal">
      <formula>0</formula>
    </cfRule>
    <cfRule type="cellIs" dxfId="8959" priority="12" operator="greaterThan">
      <formula>0</formula>
    </cfRule>
  </conditionalFormatting>
  <conditionalFormatting sqref="N78:N79">
    <cfRule type="cellIs" dxfId="8958" priority="1" operator="equal">
      <formula>"PMS"</formula>
    </cfRule>
    <cfRule type="containsText" dxfId="8957" priority="2" operator="containsText" text="CMS">
      <formula>NOT(ISERROR(SEARCH("CMS",N78)))</formula>
    </cfRule>
    <cfRule type="cellIs" dxfId="8956" priority="3" operator="equal">
      <formula>0</formula>
    </cfRule>
    <cfRule type="cellIs" dxfId="895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96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8790-7B04-4D5C-BBC7-A74B71E4307F}">
  <sheetPr codeName="Sheet240"/>
  <dimension ref="A2:DT141"/>
  <sheetViews>
    <sheetView zoomScale="70" zoomScaleNormal="70" workbookViewId="0">
      <pane xSplit="5" ySplit="11" topLeftCell="F12" activePane="bottomRight" state="frozen"/>
      <selection pane="bottomRight" activeCell="K44" sqref="K44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320.39999999999986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>
        <v>2</v>
      </c>
      <c r="J14" s="357">
        <v>6.7</v>
      </c>
      <c r="K14" s="357">
        <v>6.7</v>
      </c>
      <c r="L14" s="357">
        <v>6.4</v>
      </c>
      <c r="M14" s="357">
        <v>7.1</v>
      </c>
      <c r="N14" s="357">
        <v>6.6</v>
      </c>
      <c r="O14" s="357">
        <v>6.9</v>
      </c>
      <c r="P14" s="357">
        <v>6.8</v>
      </c>
      <c r="Q14" s="357">
        <v>6.6</v>
      </c>
      <c r="R14" s="357">
        <v>6.6</v>
      </c>
      <c r="S14" s="462">
        <v>6.7</v>
      </c>
      <c r="T14" s="462"/>
      <c r="U14" s="357"/>
      <c r="V14" s="357">
        <v>5.6</v>
      </c>
      <c r="W14" s="357">
        <v>6.2</v>
      </c>
      <c r="X14" s="357">
        <v>5.8</v>
      </c>
      <c r="Y14" s="357">
        <v>6.6</v>
      </c>
      <c r="Z14" s="462">
        <v>5.9</v>
      </c>
      <c r="AA14" s="462">
        <v>6.6</v>
      </c>
      <c r="AB14" s="462">
        <v>6.6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6.4</v>
      </c>
      <c r="G15" s="357">
        <v>6.7</v>
      </c>
      <c r="H15" s="357">
        <v>6.7</v>
      </c>
      <c r="I15" s="357">
        <v>6.7</v>
      </c>
      <c r="J15" s="357">
        <v>6.7</v>
      </c>
      <c r="K15" s="359">
        <v>6.7</v>
      </c>
      <c r="L15" s="359">
        <v>6.4</v>
      </c>
      <c r="M15" s="359">
        <v>7.2</v>
      </c>
      <c r="N15" s="357">
        <v>6.6</v>
      </c>
      <c r="O15" s="357">
        <v>6.9</v>
      </c>
      <c r="P15" s="357">
        <v>6.8</v>
      </c>
      <c r="Q15" s="357">
        <v>6.6</v>
      </c>
      <c r="R15" s="357">
        <v>6.6</v>
      </c>
      <c r="S15" s="462">
        <v>6.7</v>
      </c>
      <c r="T15" s="462"/>
      <c r="U15" s="357">
        <v>1.8</v>
      </c>
      <c r="V15" s="462">
        <v>5.8</v>
      </c>
      <c r="W15" s="357">
        <v>6.1</v>
      </c>
      <c r="X15" s="357">
        <v>5.8</v>
      </c>
      <c r="Y15" s="357">
        <v>6.5</v>
      </c>
      <c r="Z15" s="462">
        <v>5.9</v>
      </c>
      <c r="AA15" s="462">
        <v>6.6</v>
      </c>
      <c r="AB15" s="462">
        <v>6.6</v>
      </c>
      <c r="AC15" s="462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6.7</v>
      </c>
      <c r="H16" s="357">
        <v>6.7</v>
      </c>
      <c r="I16" s="357">
        <v>4.7</v>
      </c>
      <c r="J16" s="357"/>
      <c r="K16" s="359"/>
      <c r="L16" s="359"/>
      <c r="M16" s="357"/>
      <c r="N16" s="359"/>
      <c r="O16" s="357"/>
      <c r="P16" s="357"/>
      <c r="Q16" s="357"/>
      <c r="R16" s="357"/>
      <c r="S16" s="462"/>
      <c r="T16" s="462"/>
      <c r="U16" s="357">
        <v>1.6</v>
      </c>
      <c r="V16" s="462">
        <v>5.5</v>
      </c>
      <c r="W16" s="357">
        <v>6.3</v>
      </c>
      <c r="X16" s="357">
        <v>5.9</v>
      </c>
      <c r="Y16" s="357">
        <v>6.5</v>
      </c>
      <c r="Z16" s="462">
        <v>5.9</v>
      </c>
      <c r="AA16" s="462"/>
      <c r="AB16" s="462"/>
      <c r="AC16" s="357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10</v>
      </c>
      <c r="AL16">
        <f>6.3*3-6.7-5.2*2</f>
        <v>1.7999999999999989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13.4</v>
      </c>
      <c r="H17" s="19">
        <f t="shared" si="0"/>
        <v>13.4</v>
      </c>
      <c r="I17" s="19">
        <f t="shared" si="0"/>
        <v>13.399999999999999</v>
      </c>
      <c r="J17" s="19">
        <f t="shared" si="0"/>
        <v>13.4</v>
      </c>
      <c r="K17" s="19">
        <f t="shared" si="0"/>
        <v>13.4</v>
      </c>
      <c r="L17" s="19">
        <f t="shared" si="0"/>
        <v>12.8</v>
      </c>
      <c r="M17" s="19">
        <f t="shared" si="0"/>
        <v>14.3</v>
      </c>
      <c r="N17" s="19">
        <f t="shared" si="0"/>
        <v>13.2</v>
      </c>
      <c r="O17" s="19">
        <f t="shared" si="0"/>
        <v>13.8</v>
      </c>
      <c r="P17" s="19">
        <f t="shared" si="0"/>
        <v>13.6</v>
      </c>
      <c r="Q17" s="19">
        <f t="shared" si="0"/>
        <v>13.2</v>
      </c>
      <c r="R17" s="19">
        <f t="shared" si="0"/>
        <v>13.2</v>
      </c>
      <c r="S17" s="463">
        <f t="shared" si="0"/>
        <v>13.4</v>
      </c>
      <c r="T17" s="463">
        <f t="shared" si="0"/>
        <v>0</v>
      </c>
      <c r="U17" s="19">
        <f t="shared" si="0"/>
        <v>3.4000000000000004</v>
      </c>
      <c r="V17" s="19">
        <f t="shared" si="0"/>
        <v>16.899999999999999</v>
      </c>
      <c r="W17" s="19">
        <f t="shared" si="0"/>
        <v>18.600000000000001</v>
      </c>
      <c r="X17" s="19">
        <f t="shared" si="0"/>
        <v>17.5</v>
      </c>
      <c r="Y17" s="19">
        <f t="shared" si="0"/>
        <v>19.600000000000001</v>
      </c>
      <c r="Z17" s="463">
        <f t="shared" si="0"/>
        <v>17.700000000000003</v>
      </c>
      <c r="AA17" s="463">
        <f t="shared" si="0"/>
        <v>13.2</v>
      </c>
      <c r="AB17" s="463">
        <f>SUM(AB13:AB16)</f>
        <v>13.2</v>
      </c>
      <c r="AC17" s="19">
        <f t="shared" si="0"/>
        <v>13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13.6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/>
      <c r="P19" s="357"/>
      <c r="Q19" s="357"/>
      <c r="R19" s="357"/>
      <c r="S19" s="462"/>
      <c r="T19" s="462"/>
      <c r="U19" s="357"/>
      <c r="V19" s="357"/>
      <c r="W19" s="357"/>
      <c r="X19" s="357"/>
      <c r="Y19" s="357">
        <v>0.9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/>
      <c r="O21" s="357"/>
      <c r="P21" s="357"/>
      <c r="Q21" s="357"/>
      <c r="R21" s="357">
        <v>3</v>
      </c>
      <c r="S21" s="462">
        <v>3</v>
      </c>
      <c r="T21" s="462"/>
      <c r="U21" s="357"/>
      <c r="V21" s="357">
        <v>1.2</v>
      </c>
      <c r="W21" s="357">
        <v>3</v>
      </c>
      <c r="X21" s="357">
        <v>2.5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5</v>
      </c>
      <c r="AG21" s="11">
        <f>COUNTIF(G21:AD21,$AJ$7)</f>
        <v>0</v>
      </c>
      <c r="AH21" s="11">
        <f>COUNT(F21:AC21)</f>
        <v>5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3</v>
      </c>
      <c r="S22" s="463">
        <f>SUM(S19:S21)</f>
        <v>3</v>
      </c>
      <c r="T22" s="463">
        <f t="shared" ref="T22" si="2">SUM(T19:T21)</f>
        <v>0</v>
      </c>
      <c r="U22" s="19">
        <f t="shared" si="1"/>
        <v>0</v>
      </c>
      <c r="V22" s="19">
        <f t="shared" si="1"/>
        <v>1.2</v>
      </c>
      <c r="W22" s="19">
        <f t="shared" si="1"/>
        <v>3</v>
      </c>
      <c r="X22" s="19">
        <f t="shared" si="1"/>
        <v>2.5</v>
      </c>
      <c r="Y22" s="19">
        <f t="shared" si="1"/>
        <v>0.9</v>
      </c>
      <c r="Z22" s="463">
        <f>SUM(Z19:Z21)</f>
        <v>0</v>
      </c>
      <c r="AA22" s="463">
        <f t="shared" si="1"/>
        <v>0</v>
      </c>
      <c r="AB22" s="463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463">
        <f t="shared" si="4"/>
        <v>0</v>
      </c>
      <c r="T25" s="463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0</v>
      </c>
      <c r="Z25" s="463">
        <f t="shared" si="4"/>
        <v>0</v>
      </c>
      <c r="AA25" s="463">
        <f t="shared" si="4"/>
        <v>0</v>
      </c>
      <c r="AB25" s="463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53.9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1</v>
      </c>
      <c r="O27" s="357">
        <v>3.8</v>
      </c>
      <c r="P27" s="357">
        <v>3.9</v>
      </c>
      <c r="Q27" s="357">
        <v>3.5</v>
      </c>
      <c r="R27" s="357">
        <v>2</v>
      </c>
      <c r="S27" s="462">
        <v>2</v>
      </c>
      <c r="T27" s="462">
        <v>0</v>
      </c>
      <c r="U27" s="357">
        <v>0</v>
      </c>
      <c r="V27" s="357">
        <v>0</v>
      </c>
      <c r="W27" s="357">
        <v>0</v>
      </c>
      <c r="X27" s="357">
        <v>0</v>
      </c>
      <c r="Y27" s="357">
        <v>0</v>
      </c>
      <c r="Z27" s="357">
        <v>0</v>
      </c>
      <c r="AA27" s="357">
        <v>0</v>
      </c>
      <c r="AB27" s="357">
        <v>0</v>
      </c>
      <c r="AC27" s="357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2</v>
      </c>
      <c r="H28" s="357">
        <v>1.5</v>
      </c>
      <c r="I28" s="357">
        <v>2</v>
      </c>
      <c r="J28" s="359">
        <v>2</v>
      </c>
      <c r="K28" s="357">
        <v>2.7</v>
      </c>
      <c r="L28" s="359">
        <v>3</v>
      </c>
      <c r="M28" s="357">
        <v>4</v>
      </c>
      <c r="N28" s="357"/>
      <c r="O28" s="357"/>
      <c r="P28" s="357"/>
      <c r="Q28" s="357"/>
      <c r="R28" s="357"/>
      <c r="S28" s="462"/>
      <c r="T28" s="462"/>
      <c r="U28" s="359"/>
      <c r="V28" s="359">
        <v>2.6</v>
      </c>
      <c r="W28" s="357">
        <v>2.7</v>
      </c>
      <c r="X28" s="357">
        <v>2</v>
      </c>
      <c r="Y28" s="357">
        <v>3.6</v>
      </c>
      <c r="Z28" s="357">
        <v>2.8</v>
      </c>
      <c r="AA28" s="357">
        <v>3.8</v>
      </c>
      <c r="AB28" s="357">
        <v>1.5</v>
      </c>
      <c r="AC28" s="357">
        <v>0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85.100000000000009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2.6</v>
      </c>
      <c r="G30" s="357" t="s">
        <v>9</v>
      </c>
      <c r="H30" s="357" t="s">
        <v>9</v>
      </c>
      <c r="I30" s="357" t="s">
        <v>9</v>
      </c>
      <c r="J30" s="357" t="s">
        <v>9</v>
      </c>
      <c r="K30" s="357" t="s">
        <v>9</v>
      </c>
      <c r="L30" s="357" t="s">
        <v>9</v>
      </c>
      <c r="M30" s="357"/>
      <c r="N30" s="357">
        <v>5.8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/>
      <c r="U30" s="359"/>
      <c r="V30" s="357"/>
      <c r="W30" s="359">
        <v>5</v>
      </c>
      <c r="X30" s="357">
        <v>7</v>
      </c>
      <c r="Y30" s="359">
        <v>7</v>
      </c>
      <c r="Z30" s="357">
        <v>6</v>
      </c>
      <c r="AA30" s="357">
        <v>7</v>
      </c>
      <c r="AB30" s="359">
        <v>5.5</v>
      </c>
      <c r="AC30" s="359">
        <v>4.2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5">SUM(F27:F30)</f>
        <v>4.0999999999999996</v>
      </c>
      <c r="G31" s="19">
        <f>SUM(G27:G30)</f>
        <v>2</v>
      </c>
      <c r="H31" s="19">
        <v>6</v>
      </c>
      <c r="I31" s="19">
        <f t="shared" ref="I31:X31" si="6">SUM(I27:I30)</f>
        <v>2</v>
      </c>
      <c r="J31" s="19">
        <f t="shared" si="6"/>
        <v>2</v>
      </c>
      <c r="K31" s="19">
        <f t="shared" si="6"/>
        <v>2.7</v>
      </c>
      <c r="L31" s="19">
        <f t="shared" si="6"/>
        <v>3</v>
      </c>
      <c r="M31" s="19">
        <f t="shared" si="6"/>
        <v>4</v>
      </c>
      <c r="N31" s="19">
        <f t="shared" si="6"/>
        <v>6.8</v>
      </c>
      <c r="O31" s="19">
        <f t="shared" si="6"/>
        <v>10.8</v>
      </c>
      <c r="P31" s="19">
        <f t="shared" si="6"/>
        <v>10.9</v>
      </c>
      <c r="Q31" s="19">
        <f t="shared" si="6"/>
        <v>10.5</v>
      </c>
      <c r="R31" s="19">
        <f t="shared" si="6"/>
        <v>9</v>
      </c>
      <c r="S31" s="463">
        <f t="shared" si="6"/>
        <v>9</v>
      </c>
      <c r="T31" s="463">
        <f t="shared" si="6"/>
        <v>0</v>
      </c>
      <c r="U31" s="19">
        <f t="shared" si="6"/>
        <v>0</v>
      </c>
      <c r="V31" s="19">
        <f t="shared" si="6"/>
        <v>2.6</v>
      </c>
      <c r="W31" s="19">
        <f t="shared" si="6"/>
        <v>7.7</v>
      </c>
      <c r="X31" s="19">
        <f t="shared" si="6"/>
        <v>9</v>
      </c>
      <c r="Y31" s="19">
        <f>SUM(Y27:Y30)</f>
        <v>10.6</v>
      </c>
      <c r="Z31" s="19">
        <f t="shared" ref="Z31:AC31" si="7">SUM(Z27:Z30)</f>
        <v>8.8000000000000007</v>
      </c>
      <c r="AA31" s="19">
        <f t="shared" si="7"/>
        <v>10.8</v>
      </c>
      <c r="AB31" s="19">
        <f t="shared" si="7"/>
        <v>7</v>
      </c>
      <c r="AC31" s="19">
        <f t="shared" si="7"/>
        <v>4.2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238.93999999999997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14.21</v>
      </c>
      <c r="G33" s="357">
        <v>14.23</v>
      </c>
      <c r="H33" s="357">
        <v>13.29</v>
      </c>
      <c r="I33" s="359">
        <v>12.81</v>
      </c>
      <c r="J33" s="357">
        <v>12.8</v>
      </c>
      <c r="K33" s="357">
        <v>12.82</v>
      </c>
      <c r="L33" s="359">
        <v>14.24</v>
      </c>
      <c r="M33" s="357">
        <v>14.27</v>
      </c>
      <c r="N33" s="357">
        <v>14.29</v>
      </c>
      <c r="O33" s="357">
        <v>14.26</v>
      </c>
      <c r="P33" s="357">
        <v>14.31</v>
      </c>
      <c r="Q33" s="359">
        <v>14.29</v>
      </c>
      <c r="R33" s="357">
        <v>14.25</v>
      </c>
      <c r="S33" s="462">
        <v>14.22</v>
      </c>
      <c r="T33" s="462"/>
      <c r="U33" s="357"/>
      <c r="V33" s="359"/>
      <c r="W33" s="357"/>
      <c r="X33" s="357"/>
      <c r="Y33" s="357"/>
      <c r="Z33" s="357">
        <v>5.75</v>
      </c>
      <c r="AA33" s="357">
        <v>11.55</v>
      </c>
      <c r="AB33" s="357">
        <v>13.95</v>
      </c>
      <c r="AC33" s="357">
        <v>13.4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18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14.21</v>
      </c>
      <c r="G34" s="19">
        <f t="shared" ref="G34:AC34" si="9">SUM(G33)</f>
        <v>14.23</v>
      </c>
      <c r="H34" s="19">
        <f t="shared" si="9"/>
        <v>13.29</v>
      </c>
      <c r="I34" s="19">
        <f t="shared" si="9"/>
        <v>12.81</v>
      </c>
      <c r="J34" s="19">
        <f t="shared" si="9"/>
        <v>12.8</v>
      </c>
      <c r="K34" s="19">
        <f t="shared" si="9"/>
        <v>12.82</v>
      </c>
      <c r="L34" s="19">
        <f t="shared" si="9"/>
        <v>14.24</v>
      </c>
      <c r="M34" s="19">
        <f t="shared" si="9"/>
        <v>14.27</v>
      </c>
      <c r="N34" s="19">
        <f t="shared" si="9"/>
        <v>14.29</v>
      </c>
      <c r="O34" s="19">
        <f t="shared" si="9"/>
        <v>14.26</v>
      </c>
      <c r="P34" s="19">
        <f t="shared" si="9"/>
        <v>14.31</v>
      </c>
      <c r="Q34" s="19">
        <f t="shared" si="9"/>
        <v>14.29</v>
      </c>
      <c r="R34" s="19">
        <f t="shared" si="9"/>
        <v>14.25</v>
      </c>
      <c r="S34" s="19">
        <f t="shared" si="9"/>
        <v>14.22</v>
      </c>
      <c r="T34" s="463">
        <f t="shared" si="9"/>
        <v>0</v>
      </c>
      <c r="U34" s="19">
        <f t="shared" si="9"/>
        <v>0</v>
      </c>
      <c r="V34" s="19">
        <f t="shared" si="9"/>
        <v>0</v>
      </c>
      <c r="W34" s="19">
        <f t="shared" si="9"/>
        <v>0</v>
      </c>
      <c r="X34" s="19">
        <f t="shared" si="9"/>
        <v>0</v>
      </c>
      <c r="Y34" s="19">
        <f t="shared" si="9"/>
        <v>0</v>
      </c>
      <c r="Z34" s="19">
        <f t="shared" si="9"/>
        <v>5.75</v>
      </c>
      <c r="AA34" s="19">
        <f t="shared" si="9"/>
        <v>11.55</v>
      </c>
      <c r="AB34" s="19">
        <f t="shared" si="9"/>
        <v>13.95</v>
      </c>
      <c r="AC34" s="19">
        <f t="shared" si="9"/>
        <v>13.4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9">
        <f>SUM(F36:AC38,F40:AC40,F45:AC59)</f>
        <v>12.150000000000002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462"/>
      <c r="W40" s="357"/>
      <c r="X40" s="357"/>
      <c r="Y40" s="357">
        <v>0.6</v>
      </c>
      <c r="Z40" s="357"/>
      <c r="AA40" s="357"/>
      <c r="AB40" s="357"/>
      <c r="AC40" s="357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9">
        <v>0.75</v>
      </c>
      <c r="Q47" s="357">
        <v>0.8</v>
      </c>
      <c r="R47" s="357">
        <v>0</v>
      </c>
      <c r="S47" s="462">
        <v>0</v>
      </c>
      <c r="T47" s="357">
        <v>0</v>
      </c>
      <c r="U47" s="462">
        <v>0</v>
      </c>
      <c r="V47" s="462">
        <v>0</v>
      </c>
      <c r="W47" s="357"/>
      <c r="X47" s="357"/>
      <c r="Y47" s="357">
        <v>0.8</v>
      </c>
      <c r="Z47" s="357"/>
      <c r="AA47" s="357">
        <f>2.15/3</f>
        <v>0.71666666666666667</v>
      </c>
      <c r="AB47" s="357"/>
      <c r="AC47" s="357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9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9">
        <v>0</v>
      </c>
      <c r="Q48" s="357">
        <v>0</v>
      </c>
      <c r="R48" s="357">
        <v>0</v>
      </c>
      <c r="S48" s="462">
        <v>0</v>
      </c>
      <c r="T48" s="357">
        <v>0</v>
      </c>
      <c r="U48" s="357">
        <v>0</v>
      </c>
      <c r="V48" s="462">
        <v>0</v>
      </c>
      <c r="W48" s="357"/>
      <c r="X48" s="357"/>
      <c r="Y48" s="357">
        <v>0.8</v>
      </c>
      <c r="Z48" s="357"/>
      <c r="AA48" s="357">
        <f>2.15/3</f>
        <v>0.71666666666666667</v>
      </c>
      <c r="AB48" s="357"/>
      <c r="AC48" s="357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9"/>
      <c r="N50" s="359"/>
      <c r="O50" s="359"/>
      <c r="P50" s="359">
        <v>0.8</v>
      </c>
      <c r="Q50" s="357">
        <v>0.75</v>
      </c>
      <c r="R50" s="357">
        <v>0</v>
      </c>
      <c r="S50" s="462">
        <v>0</v>
      </c>
      <c r="T50" s="357">
        <v>0</v>
      </c>
      <c r="U50" s="462">
        <v>0</v>
      </c>
      <c r="V50" s="462">
        <v>0</v>
      </c>
      <c r="W50" s="357"/>
      <c r="X50" s="357"/>
      <c r="Y50" s="357">
        <v>0.8</v>
      </c>
      <c r="Z50" s="357"/>
      <c r="AA50" s="357"/>
      <c r="AB50" s="357"/>
      <c r="AC50" s="357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/>
      <c r="P51" s="359">
        <v>0.75</v>
      </c>
      <c r="Q51" s="357">
        <v>0.75</v>
      </c>
      <c r="R51" s="357">
        <v>0</v>
      </c>
      <c r="S51" s="462">
        <v>0</v>
      </c>
      <c r="T51" s="357">
        <v>0</v>
      </c>
      <c r="U51" s="462">
        <v>0</v>
      </c>
      <c r="V51" s="462">
        <v>0</v>
      </c>
      <c r="W51" s="357"/>
      <c r="X51" s="357"/>
      <c r="Y51" s="357">
        <v>0.8</v>
      </c>
      <c r="Z51" s="357"/>
      <c r="AA51" s="357">
        <f>2.15/3</f>
        <v>0.71666666666666667</v>
      </c>
      <c r="AB51" s="357"/>
      <c r="AC51" s="357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9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9"/>
      <c r="Q56" s="357">
        <v>0.8</v>
      </c>
      <c r="R56" s="357">
        <v>0</v>
      </c>
      <c r="S56" s="462">
        <v>0</v>
      </c>
      <c r="T56" s="357">
        <v>0</v>
      </c>
      <c r="U56" s="462">
        <v>0</v>
      </c>
      <c r="V56" s="462">
        <v>0</v>
      </c>
      <c r="W56" s="357"/>
      <c r="X56" s="357"/>
      <c r="Y56" s="357">
        <v>0.8</v>
      </c>
      <c r="Z56" s="357"/>
      <c r="AA56" s="357"/>
      <c r="AB56" s="357"/>
      <c r="AC56" s="357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7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0</v>
      </c>
      <c r="M60" s="19">
        <f t="shared" si="13"/>
        <v>0</v>
      </c>
      <c r="N60" s="19">
        <f t="shared" si="13"/>
        <v>0</v>
      </c>
      <c r="O60" s="19">
        <f t="shared" si="13"/>
        <v>0</v>
      </c>
      <c r="P60" s="19">
        <f t="shared" si="13"/>
        <v>2.2999999999999998</v>
      </c>
      <c r="Q60" s="19">
        <f t="shared" si="13"/>
        <v>3.0999999999999996</v>
      </c>
      <c r="R60" s="19">
        <f t="shared" si="13"/>
        <v>0</v>
      </c>
      <c r="S60" s="19">
        <f t="shared" si="13"/>
        <v>0</v>
      </c>
      <c r="T60" s="19">
        <f t="shared" si="13"/>
        <v>0</v>
      </c>
      <c r="U60" s="19">
        <f t="shared" si="13"/>
        <v>0</v>
      </c>
      <c r="V60" s="19">
        <f t="shared" si="13"/>
        <v>0</v>
      </c>
      <c r="W60" s="19">
        <f t="shared" si="13"/>
        <v>0</v>
      </c>
      <c r="X60" s="19">
        <f t="shared" si="13"/>
        <v>0</v>
      </c>
      <c r="Y60" s="19">
        <f>SUM(Y36:Y59)</f>
        <v>4.5999999999999996</v>
      </c>
      <c r="Z60" s="19">
        <f t="shared" si="13"/>
        <v>0</v>
      </c>
      <c r="AA60" s="19">
        <f t="shared" si="13"/>
        <v>2.15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13.61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>
        <v>0.7</v>
      </c>
      <c r="H62" s="357">
        <v>0.67</v>
      </c>
      <c r="I62" s="359">
        <v>0.67</v>
      </c>
      <c r="J62" s="357">
        <v>0.65</v>
      </c>
      <c r="K62" s="357">
        <v>0.67</v>
      </c>
      <c r="L62" s="357">
        <v>0.36499999999999999</v>
      </c>
      <c r="M62" s="357">
        <v>0.44</v>
      </c>
      <c r="N62" s="357"/>
      <c r="O62" s="357"/>
      <c r="P62" s="357"/>
      <c r="Q62" s="357"/>
      <c r="R62" s="357"/>
      <c r="S62" s="357"/>
      <c r="T62" s="357"/>
      <c r="U62" s="357"/>
      <c r="V62" s="357"/>
      <c r="W62" s="357"/>
      <c r="X62" s="357"/>
      <c r="Y62" s="357">
        <v>0.5</v>
      </c>
      <c r="Z62" s="357">
        <f>0.74/2</f>
        <v>0.37</v>
      </c>
      <c r="AA62" s="357">
        <v>0.40500000000000003</v>
      </c>
      <c r="AB62" s="357">
        <f>0.79/2</f>
        <v>0.39500000000000002</v>
      </c>
      <c r="AC62" s="357">
        <f>0.68/2</f>
        <v>0.34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f>0.73/2</f>
        <v>0.36499999999999999</v>
      </c>
      <c r="G63" s="357"/>
      <c r="H63" s="357"/>
      <c r="I63" s="359"/>
      <c r="J63" s="357"/>
      <c r="K63" s="357"/>
      <c r="L63" s="357">
        <v>0.36499999999999999</v>
      </c>
      <c r="M63" s="357">
        <v>0.44</v>
      </c>
      <c r="N63" s="357"/>
      <c r="O63" s="357">
        <v>0.51500000000000001</v>
      </c>
      <c r="P63" s="357">
        <f>0.99/2</f>
        <v>0.495</v>
      </c>
      <c r="Q63" s="357">
        <v>0.5</v>
      </c>
      <c r="R63" s="357">
        <v>0</v>
      </c>
      <c r="S63" s="357">
        <v>0.435</v>
      </c>
      <c r="T63" s="462"/>
      <c r="U63" s="462"/>
      <c r="V63" s="462"/>
      <c r="W63" s="462"/>
      <c r="X63" s="462"/>
      <c r="Y63" s="462"/>
      <c r="Z63" s="462"/>
      <c r="AA63" s="462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0.73/2</f>
        <v>0.36499999999999999</v>
      </c>
      <c r="G64" s="357"/>
      <c r="H64" s="357"/>
      <c r="I64" s="359"/>
      <c r="J64" s="357"/>
      <c r="K64" s="357"/>
      <c r="L64" s="357"/>
      <c r="M64" s="357"/>
      <c r="N64" s="357"/>
      <c r="O64" s="357">
        <v>0.51500000000000001</v>
      </c>
      <c r="P64" s="357">
        <f>0.99/2</f>
        <v>0.495</v>
      </c>
      <c r="Q64" s="357">
        <v>0.5</v>
      </c>
      <c r="R64" s="357">
        <v>0</v>
      </c>
      <c r="S64" s="357">
        <v>0.435</v>
      </c>
      <c r="T64" s="462"/>
      <c r="U64" s="462"/>
      <c r="V64" s="357"/>
      <c r="W64" s="357"/>
      <c r="X64" s="357"/>
      <c r="Y64" s="357">
        <v>0.5</v>
      </c>
      <c r="Z64" s="357">
        <f>0.74/2</f>
        <v>0.37</v>
      </c>
      <c r="AA64" s="357">
        <v>0.40500000000000003</v>
      </c>
      <c r="AB64" s="357">
        <f>AB62</f>
        <v>0.39500000000000002</v>
      </c>
      <c r="AC64" s="357">
        <f>AC62</f>
        <v>0.34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0.73</v>
      </c>
      <c r="G65" s="19">
        <f t="shared" ref="G65:AB65" si="14">SUM(G62:G64)</f>
        <v>0.7</v>
      </c>
      <c r="H65" s="19">
        <f t="shared" si="14"/>
        <v>0.67</v>
      </c>
      <c r="I65" s="19">
        <f t="shared" si="14"/>
        <v>0.67</v>
      </c>
      <c r="J65" s="19">
        <f t="shared" si="14"/>
        <v>0.65</v>
      </c>
      <c r="K65" s="19">
        <f t="shared" si="14"/>
        <v>0.67</v>
      </c>
      <c r="L65" s="19">
        <f t="shared" si="14"/>
        <v>0.73</v>
      </c>
      <c r="M65" s="19">
        <f t="shared" si="14"/>
        <v>0.88</v>
      </c>
      <c r="N65" s="19">
        <f t="shared" si="14"/>
        <v>0</v>
      </c>
      <c r="O65" s="19">
        <f t="shared" si="14"/>
        <v>1.03</v>
      </c>
      <c r="P65" s="19">
        <f t="shared" si="14"/>
        <v>0.99</v>
      </c>
      <c r="Q65" s="19">
        <f t="shared" si="14"/>
        <v>1</v>
      </c>
      <c r="R65" s="19">
        <f t="shared" si="14"/>
        <v>0</v>
      </c>
      <c r="S65" s="463">
        <f t="shared" si="14"/>
        <v>0.87</v>
      </c>
      <c r="T65" s="463">
        <f t="shared" si="14"/>
        <v>0</v>
      </c>
      <c r="U65" s="463">
        <f t="shared" si="14"/>
        <v>0</v>
      </c>
      <c r="V65" s="19">
        <f>SUM(V62:V64)</f>
        <v>0</v>
      </c>
      <c r="W65" s="19">
        <f t="shared" si="14"/>
        <v>0</v>
      </c>
      <c r="X65" s="19">
        <f t="shared" si="14"/>
        <v>0</v>
      </c>
      <c r="Y65" s="19">
        <f>SUM(Y62:Y64)</f>
        <v>1</v>
      </c>
      <c r="Z65" s="19">
        <f>SUM(Z62:Z64)</f>
        <v>0.74</v>
      </c>
      <c r="AA65" s="19">
        <f t="shared" si="14"/>
        <v>0.81</v>
      </c>
      <c r="AB65" s="19">
        <f t="shared" si="14"/>
        <v>0.79</v>
      </c>
      <c r="AC65" s="19">
        <f>SUM(AC62:AC64)</f>
        <v>0.68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3">
        <f t="shared" si="18"/>
        <v>0</v>
      </c>
      <c r="T76" s="463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12.129999999999999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0.49</v>
      </c>
      <c r="N78" s="359">
        <v>0.59</v>
      </c>
      <c r="O78" s="357">
        <v>0.5</v>
      </c>
      <c r="P78" s="357">
        <v>0.36</v>
      </c>
      <c r="Q78" s="357">
        <v>0.49</v>
      </c>
      <c r="R78" s="357">
        <v>0.45</v>
      </c>
      <c r="S78" s="357">
        <v>0</v>
      </c>
      <c r="T78" s="357">
        <v>0.52</v>
      </c>
      <c r="U78" s="357">
        <v>0.52</v>
      </c>
      <c r="V78" s="357">
        <v>0.53</v>
      </c>
      <c r="W78" s="357">
        <v>0.67</v>
      </c>
      <c r="X78" s="357"/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0.49</v>
      </c>
      <c r="G79" s="357">
        <v>0.48</v>
      </c>
      <c r="H79" s="357">
        <v>0.47</v>
      </c>
      <c r="I79" s="357">
        <v>0.47</v>
      </c>
      <c r="J79" s="357">
        <v>0.46</v>
      </c>
      <c r="K79" s="357">
        <v>0.45</v>
      </c>
      <c r="L79" s="359">
        <v>0.47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0.65</v>
      </c>
      <c r="Z79" s="357">
        <v>0.78</v>
      </c>
      <c r="AA79" s="357">
        <v>0.75</v>
      </c>
      <c r="AB79" s="357">
        <v>0.78</v>
      </c>
      <c r="AC79" s="357">
        <v>0.76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0.49</v>
      </c>
      <c r="G80" s="19">
        <f t="shared" si="19"/>
        <v>0.48</v>
      </c>
      <c r="H80" s="19">
        <f>SUM(H78:H79)</f>
        <v>0.47</v>
      </c>
      <c r="I80" s="19">
        <f>SUM(I78:I79)</f>
        <v>0.47</v>
      </c>
      <c r="J80" s="19">
        <f t="shared" ref="J80:AC80" si="20">SUM(J78:J79)</f>
        <v>0.46</v>
      </c>
      <c r="K80" s="19">
        <f t="shared" si="20"/>
        <v>0.45</v>
      </c>
      <c r="L80" s="19">
        <f>SUM(L78:L79)</f>
        <v>0.47</v>
      </c>
      <c r="M80" s="19">
        <f t="shared" si="20"/>
        <v>0.49</v>
      </c>
      <c r="N80" s="19">
        <f t="shared" si="20"/>
        <v>0.59</v>
      </c>
      <c r="O80" s="19">
        <f>SUM(O78:O79)</f>
        <v>0.5</v>
      </c>
      <c r="P80" s="19">
        <f>SUM(P78:P79)</f>
        <v>0.36</v>
      </c>
      <c r="Q80" s="19">
        <f t="shared" si="20"/>
        <v>0.49</v>
      </c>
      <c r="R80" s="19">
        <f t="shared" si="20"/>
        <v>0.45</v>
      </c>
      <c r="S80" s="463">
        <f t="shared" si="20"/>
        <v>0</v>
      </c>
      <c r="T80" s="463">
        <f t="shared" si="20"/>
        <v>0.52</v>
      </c>
      <c r="U80" s="19">
        <f t="shared" si="20"/>
        <v>0.52</v>
      </c>
      <c r="V80" s="19">
        <f t="shared" si="20"/>
        <v>0.53</v>
      </c>
      <c r="W80" s="19">
        <f t="shared" si="20"/>
        <v>0.67</v>
      </c>
      <c r="X80" s="19">
        <f t="shared" si="20"/>
        <v>0</v>
      </c>
      <c r="Y80" s="19">
        <f t="shared" si="20"/>
        <v>0.65</v>
      </c>
      <c r="Z80" s="19">
        <f t="shared" si="20"/>
        <v>0.78</v>
      </c>
      <c r="AA80" s="19">
        <f t="shared" si="20"/>
        <v>0.75</v>
      </c>
      <c r="AB80" s="19">
        <f t="shared" si="20"/>
        <v>0.78</v>
      </c>
      <c r="AC80" s="19">
        <f t="shared" si="20"/>
        <v>0.76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:AC83" si="21">SUM(F17,F22,F25,F31,F34,F60,F65,F76,F80,F82)</f>
        <v>32.33</v>
      </c>
      <c r="G83" s="28">
        <f>SUM(G17,G22,G25,G31,G34,G60,G65,G76,G80,G82)</f>
        <v>30.810000000000002</v>
      </c>
      <c r="H83" s="28">
        <f t="shared" si="21"/>
        <v>33.83</v>
      </c>
      <c r="I83" s="28">
        <f t="shared" si="21"/>
        <v>29.35</v>
      </c>
      <c r="J83" s="28">
        <f t="shared" si="21"/>
        <v>29.310000000000002</v>
      </c>
      <c r="K83" s="28">
        <f t="shared" si="21"/>
        <v>30.040000000000003</v>
      </c>
      <c r="L83" s="28">
        <f t="shared" si="21"/>
        <v>31.24</v>
      </c>
      <c r="M83" s="28">
        <f t="shared" si="21"/>
        <v>33.940000000000005</v>
      </c>
      <c r="N83" s="28">
        <f t="shared" si="21"/>
        <v>34.880000000000003</v>
      </c>
      <c r="O83" s="28">
        <f t="shared" si="21"/>
        <v>40.39</v>
      </c>
      <c r="P83" s="28">
        <f t="shared" si="21"/>
        <v>42.46</v>
      </c>
      <c r="Q83" s="28">
        <f t="shared" si="21"/>
        <v>42.58</v>
      </c>
      <c r="R83" s="28">
        <f t="shared" si="21"/>
        <v>39.900000000000006</v>
      </c>
      <c r="S83" s="518">
        <f t="shared" si="21"/>
        <v>40.489999999999995</v>
      </c>
      <c r="T83" s="518">
        <f t="shared" si="21"/>
        <v>0.52</v>
      </c>
      <c r="U83" s="518">
        <f t="shared" si="21"/>
        <v>3.9200000000000004</v>
      </c>
      <c r="V83" s="28">
        <f t="shared" si="21"/>
        <v>21.23</v>
      </c>
      <c r="W83" s="28">
        <f t="shared" si="21"/>
        <v>29.970000000000002</v>
      </c>
      <c r="X83" s="28">
        <f t="shared" si="21"/>
        <v>29</v>
      </c>
      <c r="Y83" s="28">
        <f t="shared" si="21"/>
        <v>37.35</v>
      </c>
      <c r="Z83" s="28">
        <f t="shared" si="21"/>
        <v>33.770000000000003</v>
      </c>
      <c r="AA83" s="28">
        <f t="shared" si="21"/>
        <v>39.26</v>
      </c>
      <c r="AB83" s="28">
        <f t="shared" si="21"/>
        <v>35.72</v>
      </c>
      <c r="AC83" s="28">
        <f t="shared" si="21"/>
        <v>32.04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0</v>
      </c>
      <c r="Q89" s="64">
        <f t="shared" si="22"/>
        <v>0</v>
      </c>
      <c r="R89" s="64">
        <f t="shared" si="22"/>
        <v>3</v>
      </c>
      <c r="S89" s="64">
        <f t="shared" si="22"/>
        <v>3</v>
      </c>
      <c r="T89" s="64">
        <f t="shared" si="22"/>
        <v>0</v>
      </c>
      <c r="U89" s="64">
        <f t="shared" si="22"/>
        <v>0</v>
      </c>
      <c r="V89" s="64">
        <f t="shared" si="22"/>
        <v>1.2</v>
      </c>
      <c r="W89" s="64">
        <f t="shared" si="22"/>
        <v>3</v>
      </c>
      <c r="X89" s="64">
        <f t="shared" si="22"/>
        <v>2.5</v>
      </c>
      <c r="Y89" s="64">
        <f t="shared" si="22"/>
        <v>0.9</v>
      </c>
      <c r="Z89" s="64">
        <f t="shared" si="22"/>
        <v>0</v>
      </c>
      <c r="AA89" s="64">
        <f t="shared" si="22"/>
        <v>0</v>
      </c>
      <c r="AB89" s="64">
        <f t="shared" si="22"/>
        <v>0</v>
      </c>
      <c r="AC89" s="64">
        <f t="shared" si="22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3">F17</f>
        <v>12.8</v>
      </c>
      <c r="G91" s="64">
        <f t="shared" si="23"/>
        <v>13.4</v>
      </c>
      <c r="H91" s="64">
        <f t="shared" si="23"/>
        <v>13.4</v>
      </c>
      <c r="I91" s="64">
        <f t="shared" si="23"/>
        <v>13.399999999999999</v>
      </c>
      <c r="J91" s="64">
        <f t="shared" si="23"/>
        <v>13.4</v>
      </c>
      <c r="K91" s="64">
        <f t="shared" si="23"/>
        <v>13.4</v>
      </c>
      <c r="L91" s="64">
        <f t="shared" si="23"/>
        <v>12.8</v>
      </c>
      <c r="M91" s="64">
        <f t="shared" si="23"/>
        <v>14.3</v>
      </c>
      <c r="N91" s="64">
        <f t="shared" si="23"/>
        <v>13.2</v>
      </c>
      <c r="O91" s="64">
        <f t="shared" si="23"/>
        <v>13.8</v>
      </c>
      <c r="P91" s="64">
        <f t="shared" si="23"/>
        <v>13.6</v>
      </c>
      <c r="Q91" s="64">
        <f t="shared" si="23"/>
        <v>13.2</v>
      </c>
      <c r="R91" s="64">
        <f t="shared" si="23"/>
        <v>13.2</v>
      </c>
      <c r="S91" s="64">
        <f t="shared" si="23"/>
        <v>13.4</v>
      </c>
      <c r="T91" s="64">
        <f t="shared" si="23"/>
        <v>0</v>
      </c>
      <c r="U91" s="64">
        <f t="shared" si="23"/>
        <v>3.4000000000000004</v>
      </c>
      <c r="V91" s="64">
        <f t="shared" si="23"/>
        <v>16.899999999999999</v>
      </c>
      <c r="W91" s="64">
        <f t="shared" si="23"/>
        <v>18.600000000000001</v>
      </c>
      <c r="X91" s="64">
        <f t="shared" si="23"/>
        <v>17.5</v>
      </c>
      <c r="Y91" s="64">
        <f t="shared" si="23"/>
        <v>19.600000000000001</v>
      </c>
      <c r="Z91" s="64">
        <f t="shared" si="23"/>
        <v>17.700000000000003</v>
      </c>
      <c r="AA91" s="64">
        <f t="shared" si="23"/>
        <v>13.2</v>
      </c>
      <c r="AB91" s="64">
        <f t="shared" si="23"/>
        <v>13.2</v>
      </c>
      <c r="AC91" s="64">
        <f t="shared" si="23"/>
        <v>13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0.68200000000000005</v>
      </c>
      <c r="G92" s="68">
        <v>0.60199999999999998</v>
      </c>
      <c r="H92" s="68">
        <v>0.625</v>
      </c>
      <c r="I92" s="68">
        <v>0.76900000000000002</v>
      </c>
      <c r="J92" s="68">
        <v>0.68799999999999994</v>
      </c>
      <c r="K92" s="68">
        <v>0.59899999999999998</v>
      </c>
      <c r="L92" s="68">
        <v>0.57799999999999996</v>
      </c>
      <c r="M92" s="68">
        <v>0.72199999999999998</v>
      </c>
      <c r="N92" s="68">
        <v>0.69399999999999995</v>
      </c>
      <c r="O92" s="68">
        <v>0.59699999999999998</v>
      </c>
      <c r="P92" s="68">
        <v>0.56699999999999995</v>
      </c>
      <c r="Q92" s="68">
        <v>0.56799999999999995</v>
      </c>
      <c r="R92" s="68">
        <v>0.64500000000000002</v>
      </c>
      <c r="S92" s="68">
        <v>0.73299999999999998</v>
      </c>
      <c r="T92" s="68" t="s">
        <v>1</v>
      </c>
      <c r="U92" s="68">
        <v>0.74099999999999999</v>
      </c>
      <c r="V92" s="68">
        <v>0.63100000000000001</v>
      </c>
      <c r="W92" s="68">
        <v>0.60199999999999998</v>
      </c>
      <c r="X92" s="68">
        <v>0.745</v>
      </c>
      <c r="Y92" s="68">
        <v>0.79800000000000004</v>
      </c>
      <c r="Z92" s="68">
        <v>0.79900000000000004</v>
      </c>
      <c r="AA92" s="68">
        <v>0.71599999999999997</v>
      </c>
      <c r="AB92" s="68">
        <v>0.60699999999999998</v>
      </c>
      <c r="AC92" s="68">
        <v>0.61599999999999999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4">F31</f>
        <v>4.0999999999999996</v>
      </c>
      <c r="G93" s="65">
        <f t="shared" si="24"/>
        <v>2</v>
      </c>
      <c r="H93" s="65">
        <f t="shared" si="24"/>
        <v>6</v>
      </c>
      <c r="I93" s="65">
        <f t="shared" si="24"/>
        <v>2</v>
      </c>
      <c r="J93" s="65">
        <f t="shared" si="24"/>
        <v>2</v>
      </c>
      <c r="K93" s="65">
        <f t="shared" si="24"/>
        <v>2.7</v>
      </c>
      <c r="L93" s="65">
        <f t="shared" si="24"/>
        <v>3</v>
      </c>
      <c r="M93" s="65">
        <f t="shared" si="24"/>
        <v>4</v>
      </c>
      <c r="N93" s="65">
        <f t="shared" si="24"/>
        <v>6.8</v>
      </c>
      <c r="O93" s="65">
        <f t="shared" si="24"/>
        <v>10.8</v>
      </c>
      <c r="P93" s="65">
        <f t="shared" si="24"/>
        <v>10.9</v>
      </c>
      <c r="Q93" s="65">
        <f t="shared" si="24"/>
        <v>10.5</v>
      </c>
      <c r="R93" s="65">
        <f t="shared" si="24"/>
        <v>9</v>
      </c>
      <c r="S93" s="65">
        <f t="shared" si="24"/>
        <v>9</v>
      </c>
      <c r="T93" s="65">
        <f t="shared" si="24"/>
        <v>0</v>
      </c>
      <c r="U93" s="65">
        <f t="shared" si="24"/>
        <v>0</v>
      </c>
      <c r="V93" s="65">
        <f t="shared" si="24"/>
        <v>2.6</v>
      </c>
      <c r="W93" s="65">
        <f t="shared" si="24"/>
        <v>7.7</v>
      </c>
      <c r="X93" s="65">
        <f t="shared" si="24"/>
        <v>9</v>
      </c>
      <c r="Y93" s="65">
        <f t="shared" si="24"/>
        <v>10.6</v>
      </c>
      <c r="Z93" s="65">
        <f t="shared" si="24"/>
        <v>8.8000000000000007</v>
      </c>
      <c r="AA93" s="65">
        <f t="shared" si="24"/>
        <v>10.8</v>
      </c>
      <c r="AB93" s="65">
        <f t="shared" si="24"/>
        <v>7</v>
      </c>
      <c r="AC93" s="65">
        <f t="shared" si="24"/>
        <v>4.2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0.18</v>
      </c>
      <c r="G94" s="68">
        <v>0.182</v>
      </c>
      <c r="H94" s="68">
        <v>0.17799999999999999</v>
      </c>
      <c r="I94" s="68">
        <v>0.17599999999999999</v>
      </c>
      <c r="J94" s="68">
        <v>0.182</v>
      </c>
      <c r="K94" s="68">
        <v>0.18099999999999999</v>
      </c>
      <c r="L94" s="68">
        <v>0.18099999999999999</v>
      </c>
      <c r="M94" s="68">
        <v>0.19400000000000001</v>
      </c>
      <c r="N94" s="68">
        <v>0.20499999999999999</v>
      </c>
      <c r="O94" s="68">
        <v>0.2</v>
      </c>
      <c r="P94" s="68">
        <v>0.19400000000000001</v>
      </c>
      <c r="Q94" s="68">
        <v>0.19600000000000001</v>
      </c>
      <c r="R94" s="68">
        <v>0.20699999999999999</v>
      </c>
      <c r="S94" s="68">
        <v>0.23300000000000001</v>
      </c>
      <c r="T94" s="68" t="s">
        <v>1</v>
      </c>
      <c r="U94" s="68" t="s">
        <v>1</v>
      </c>
      <c r="V94" s="68">
        <v>0.17599999999999999</v>
      </c>
      <c r="W94" s="68">
        <v>0.18099999999999999</v>
      </c>
      <c r="X94" s="68">
        <v>0.17100000000000001</v>
      </c>
      <c r="Y94" s="68">
        <v>0.189</v>
      </c>
      <c r="Z94" s="68">
        <v>0.17699999999999999</v>
      </c>
      <c r="AA94" s="68">
        <v>0.192</v>
      </c>
      <c r="AB94" s="68">
        <v>0.19900000000000001</v>
      </c>
      <c r="AC94" s="68">
        <v>0.10100000000000001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</v>
      </c>
      <c r="G95" s="68" t="s">
        <v>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 t="s">
        <v>1</v>
      </c>
      <c r="N95" s="68">
        <v>0.21099999999999999</v>
      </c>
      <c r="O95" s="68">
        <v>0.216</v>
      </c>
      <c r="P95" s="68">
        <v>0.222</v>
      </c>
      <c r="Q95" s="68">
        <v>0.219</v>
      </c>
      <c r="R95" s="68">
        <v>0.2</v>
      </c>
      <c r="S95" s="68">
        <v>0.20200000000000001</v>
      </c>
      <c r="T95" s="68" t="s">
        <v>1</v>
      </c>
      <c r="U95" s="68" t="s">
        <v>1</v>
      </c>
      <c r="V95" s="68" t="s">
        <v>1</v>
      </c>
      <c r="W95" s="68">
        <v>0.19800000000000001</v>
      </c>
      <c r="X95" s="68">
        <v>0.221</v>
      </c>
      <c r="Y95" s="68">
        <v>0.20100000000000001</v>
      </c>
      <c r="Z95" s="68">
        <v>0.20499999999999999</v>
      </c>
      <c r="AA95" s="68">
        <v>0.20399999999999999</v>
      </c>
      <c r="AB95" s="68">
        <v>0.216</v>
      </c>
      <c r="AC95" s="68">
        <v>0.20799999999999999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5">F34</f>
        <v>14.21</v>
      </c>
      <c r="G96" s="65">
        <f t="shared" si="25"/>
        <v>14.23</v>
      </c>
      <c r="H96" s="65">
        <f t="shared" si="25"/>
        <v>13.29</v>
      </c>
      <c r="I96" s="65">
        <f t="shared" si="25"/>
        <v>12.81</v>
      </c>
      <c r="J96" s="65">
        <f t="shared" si="25"/>
        <v>12.8</v>
      </c>
      <c r="K96" s="65">
        <f t="shared" si="25"/>
        <v>12.82</v>
      </c>
      <c r="L96" s="65">
        <f t="shared" si="25"/>
        <v>14.24</v>
      </c>
      <c r="M96" s="65">
        <f t="shared" si="25"/>
        <v>14.27</v>
      </c>
      <c r="N96" s="65">
        <f t="shared" si="25"/>
        <v>14.29</v>
      </c>
      <c r="O96" s="65">
        <f t="shared" si="25"/>
        <v>14.26</v>
      </c>
      <c r="P96" s="65">
        <f t="shared" si="25"/>
        <v>14.31</v>
      </c>
      <c r="Q96" s="65">
        <f t="shared" si="25"/>
        <v>14.29</v>
      </c>
      <c r="R96" s="65">
        <f t="shared" si="25"/>
        <v>14.25</v>
      </c>
      <c r="S96" s="65">
        <f t="shared" si="25"/>
        <v>14.22</v>
      </c>
      <c r="T96" s="65">
        <f t="shared" si="25"/>
        <v>0</v>
      </c>
      <c r="U96" s="65">
        <f t="shared" si="25"/>
        <v>0</v>
      </c>
      <c r="V96" s="65">
        <f t="shared" si="25"/>
        <v>0</v>
      </c>
      <c r="W96" s="65">
        <f t="shared" si="25"/>
        <v>0</v>
      </c>
      <c r="X96" s="65">
        <f t="shared" si="25"/>
        <v>0</v>
      </c>
      <c r="Y96" s="65">
        <f t="shared" si="25"/>
        <v>0</v>
      </c>
      <c r="Z96" s="65">
        <f t="shared" si="25"/>
        <v>5.75</v>
      </c>
      <c r="AA96" s="65">
        <f t="shared" si="25"/>
        <v>11.55</v>
      </c>
      <c r="AB96" s="65">
        <f t="shared" si="25"/>
        <v>13.95</v>
      </c>
      <c r="AC96" s="65">
        <f t="shared" si="25"/>
        <v>13.4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0.79</v>
      </c>
      <c r="G97" s="68">
        <v>0.77</v>
      </c>
      <c r="H97" s="68">
        <v>0.71</v>
      </c>
      <c r="I97" s="68">
        <v>0.69</v>
      </c>
      <c r="J97" s="68">
        <v>0.7</v>
      </c>
      <c r="K97" s="68">
        <v>0.68</v>
      </c>
      <c r="L97" s="68">
        <v>0.76</v>
      </c>
      <c r="M97" s="68">
        <v>0.73</v>
      </c>
      <c r="N97" s="68">
        <v>0.71</v>
      </c>
      <c r="O97" s="68">
        <v>0.74</v>
      </c>
      <c r="P97" s="68">
        <v>0.69</v>
      </c>
      <c r="Q97" s="68">
        <v>0.71</v>
      </c>
      <c r="R97" s="68">
        <v>0.75</v>
      </c>
      <c r="S97" s="68">
        <v>0.78</v>
      </c>
      <c r="T97" s="68" t="s">
        <v>1</v>
      </c>
      <c r="U97" s="68" t="s">
        <v>1</v>
      </c>
      <c r="V97" s="68" t="s">
        <v>1</v>
      </c>
      <c r="W97" s="68" t="s">
        <v>1</v>
      </c>
      <c r="X97" s="68" t="s">
        <v>1</v>
      </c>
      <c r="Y97" s="68" t="s">
        <v>1</v>
      </c>
      <c r="Z97" s="68">
        <v>1.25</v>
      </c>
      <c r="AA97" s="68">
        <v>1.1499999999999999</v>
      </c>
      <c r="AB97" s="68">
        <v>1.05</v>
      </c>
      <c r="AC97" s="68">
        <v>1.1000000000000001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</v>
      </c>
      <c r="P98" s="64">
        <f t="shared" si="26"/>
        <v>2.2999999999999998</v>
      </c>
      <c r="Q98" s="64">
        <f t="shared" si="26"/>
        <v>3.0999999999999996</v>
      </c>
      <c r="R98" s="64">
        <f t="shared" si="26"/>
        <v>0</v>
      </c>
      <c r="S98" s="64">
        <f t="shared" si="26"/>
        <v>0</v>
      </c>
      <c r="T98" s="64">
        <f t="shared" si="26"/>
        <v>0</v>
      </c>
      <c r="U98" s="64">
        <f t="shared" si="26"/>
        <v>0</v>
      </c>
      <c r="V98" s="64">
        <f t="shared" si="26"/>
        <v>0</v>
      </c>
      <c r="W98" s="64">
        <f t="shared" si="26"/>
        <v>0</v>
      </c>
      <c r="X98" s="64">
        <f t="shared" si="26"/>
        <v>0</v>
      </c>
      <c r="Y98" s="64">
        <f t="shared" si="26"/>
        <v>4.5999999999999996</v>
      </c>
      <c r="Z98" s="64">
        <f t="shared" si="26"/>
        <v>0</v>
      </c>
      <c r="AA98" s="64">
        <f t="shared" si="26"/>
        <v>2.15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7">F65</f>
        <v>0.73</v>
      </c>
      <c r="G99" s="64">
        <f t="shared" si="27"/>
        <v>0.7</v>
      </c>
      <c r="H99" s="64">
        <f t="shared" si="27"/>
        <v>0.67</v>
      </c>
      <c r="I99" s="64">
        <f t="shared" si="27"/>
        <v>0.67</v>
      </c>
      <c r="J99" s="64">
        <f t="shared" si="27"/>
        <v>0.65</v>
      </c>
      <c r="K99" s="64">
        <f t="shared" si="27"/>
        <v>0.67</v>
      </c>
      <c r="L99" s="64">
        <f t="shared" si="27"/>
        <v>0.73</v>
      </c>
      <c r="M99" s="64">
        <f t="shared" si="27"/>
        <v>0.88</v>
      </c>
      <c r="N99" s="64">
        <f t="shared" si="27"/>
        <v>0</v>
      </c>
      <c r="O99" s="64">
        <f t="shared" si="27"/>
        <v>1.03</v>
      </c>
      <c r="P99" s="64">
        <f t="shared" si="27"/>
        <v>0.99</v>
      </c>
      <c r="Q99" s="64">
        <f t="shared" si="27"/>
        <v>1</v>
      </c>
      <c r="R99" s="64">
        <f t="shared" si="27"/>
        <v>0</v>
      </c>
      <c r="S99" s="64">
        <f t="shared" si="27"/>
        <v>0.87</v>
      </c>
      <c r="T99" s="64">
        <f t="shared" si="27"/>
        <v>0</v>
      </c>
      <c r="U99" s="64">
        <f t="shared" si="27"/>
        <v>0</v>
      </c>
      <c r="V99" s="64">
        <f t="shared" si="27"/>
        <v>0</v>
      </c>
      <c r="W99" s="64">
        <f t="shared" si="27"/>
        <v>0</v>
      </c>
      <c r="X99" s="64">
        <f t="shared" si="27"/>
        <v>0</v>
      </c>
      <c r="Y99" s="64">
        <f t="shared" si="27"/>
        <v>1</v>
      </c>
      <c r="Z99" s="64">
        <f t="shared" si="27"/>
        <v>0.74</v>
      </c>
      <c r="AA99" s="64">
        <f t="shared" si="27"/>
        <v>0.81</v>
      </c>
      <c r="AB99" s="64">
        <f t="shared" si="27"/>
        <v>0.79</v>
      </c>
      <c r="AC99" s="64">
        <f t="shared" si="27"/>
        <v>0.68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9">F80</f>
        <v>0.49</v>
      </c>
      <c r="G101" s="64">
        <f t="shared" si="29"/>
        <v>0.48</v>
      </c>
      <c r="H101" s="64">
        <f t="shared" si="29"/>
        <v>0.47</v>
      </c>
      <c r="I101" s="64">
        <f t="shared" si="29"/>
        <v>0.47</v>
      </c>
      <c r="J101" s="64">
        <f t="shared" si="29"/>
        <v>0.46</v>
      </c>
      <c r="K101" s="64">
        <f t="shared" si="29"/>
        <v>0.45</v>
      </c>
      <c r="L101" s="64">
        <f t="shared" si="29"/>
        <v>0.47</v>
      </c>
      <c r="M101" s="64">
        <f t="shared" si="29"/>
        <v>0.49</v>
      </c>
      <c r="N101" s="64">
        <f t="shared" si="29"/>
        <v>0.59</v>
      </c>
      <c r="O101" s="64">
        <f t="shared" si="29"/>
        <v>0.5</v>
      </c>
      <c r="P101" s="64">
        <f t="shared" si="29"/>
        <v>0.36</v>
      </c>
      <c r="Q101" s="64">
        <f t="shared" si="29"/>
        <v>0.49</v>
      </c>
      <c r="R101" s="64">
        <f t="shared" si="29"/>
        <v>0.45</v>
      </c>
      <c r="S101" s="64">
        <f t="shared" si="29"/>
        <v>0</v>
      </c>
      <c r="T101" s="64">
        <f t="shared" si="29"/>
        <v>0.52</v>
      </c>
      <c r="U101" s="64">
        <f t="shared" si="29"/>
        <v>0.52</v>
      </c>
      <c r="V101" s="64">
        <f t="shared" si="29"/>
        <v>0.53</v>
      </c>
      <c r="W101" s="64">
        <f t="shared" si="29"/>
        <v>0.67</v>
      </c>
      <c r="X101" s="64">
        <f t="shared" si="29"/>
        <v>0</v>
      </c>
      <c r="Y101" s="64">
        <f t="shared" si="29"/>
        <v>0.65</v>
      </c>
      <c r="Z101" s="64">
        <f t="shared" si="29"/>
        <v>0.78</v>
      </c>
      <c r="AA101" s="64">
        <f t="shared" si="29"/>
        <v>0.75</v>
      </c>
      <c r="AB101" s="64">
        <f t="shared" si="29"/>
        <v>0.78</v>
      </c>
      <c r="AC101" s="64">
        <f t="shared" si="29"/>
        <v>0.76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1">SUM(F89,F91,F93,F96,F98:F102,F81)</f>
        <v>32.33</v>
      </c>
      <c r="G103" s="61">
        <f t="shared" si="31"/>
        <v>30.810000000000002</v>
      </c>
      <c r="H103" s="61">
        <f t="shared" si="31"/>
        <v>33.83</v>
      </c>
      <c r="I103" s="61">
        <f t="shared" si="31"/>
        <v>29.35</v>
      </c>
      <c r="J103" s="61">
        <f t="shared" si="31"/>
        <v>29.310000000000002</v>
      </c>
      <c r="K103" s="61">
        <f t="shared" si="31"/>
        <v>30.040000000000003</v>
      </c>
      <c r="L103" s="61">
        <f t="shared" si="31"/>
        <v>31.24</v>
      </c>
      <c r="M103" s="61">
        <f t="shared" si="31"/>
        <v>33.940000000000005</v>
      </c>
      <c r="N103" s="61">
        <f t="shared" si="31"/>
        <v>34.880000000000003</v>
      </c>
      <c r="O103" s="61">
        <f t="shared" si="31"/>
        <v>40.39</v>
      </c>
      <c r="P103" s="61">
        <f t="shared" si="31"/>
        <v>42.46</v>
      </c>
      <c r="Q103" s="61">
        <f t="shared" si="31"/>
        <v>42.58</v>
      </c>
      <c r="R103" s="61">
        <f t="shared" si="31"/>
        <v>39.900000000000006</v>
      </c>
      <c r="S103" s="61">
        <f t="shared" si="31"/>
        <v>40.489999999999995</v>
      </c>
      <c r="T103" s="61">
        <f t="shared" si="31"/>
        <v>0.52</v>
      </c>
      <c r="U103" s="61">
        <f t="shared" si="31"/>
        <v>3.9200000000000004</v>
      </c>
      <c r="V103" s="61">
        <f t="shared" si="31"/>
        <v>21.23</v>
      </c>
      <c r="W103" s="61">
        <f t="shared" si="31"/>
        <v>29.970000000000002</v>
      </c>
      <c r="X103" s="61">
        <f t="shared" si="31"/>
        <v>29</v>
      </c>
      <c r="Y103" s="61">
        <f t="shared" si="31"/>
        <v>37.35</v>
      </c>
      <c r="Z103" s="61">
        <f t="shared" si="31"/>
        <v>33.770000000000003</v>
      </c>
      <c r="AA103" s="61">
        <f t="shared" si="31"/>
        <v>39.26</v>
      </c>
      <c r="AB103" s="61">
        <f t="shared" si="31"/>
        <v>35.72</v>
      </c>
      <c r="AC103" s="61">
        <f t="shared" si="31"/>
        <v>32.04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>
        <v>0.93</v>
      </c>
      <c r="M106" s="76">
        <v>0.93</v>
      </c>
      <c r="N106" s="76">
        <f>0.93+1.2+0.88</f>
        <v>3.01</v>
      </c>
      <c r="O106" s="76">
        <f>0.93+1.2</f>
        <v>2.13</v>
      </c>
      <c r="P106" s="76">
        <f>0.93+1.2</f>
        <v>2.13</v>
      </c>
      <c r="Q106" s="76">
        <f>0.93+1.2</f>
        <v>2.13</v>
      </c>
      <c r="R106" s="76">
        <f>0.93+1+0.98</f>
        <v>2.91</v>
      </c>
      <c r="S106" s="76">
        <f>1+0.98+0.45</f>
        <v>2.4300000000000002</v>
      </c>
      <c r="T106" s="539"/>
      <c r="U106" s="539"/>
      <c r="V106" s="540"/>
      <c r="W106" s="540"/>
      <c r="X106" s="540"/>
      <c r="Y106" s="539"/>
      <c r="Z106" s="539"/>
      <c r="AA106" s="539"/>
      <c r="AB106" s="539"/>
      <c r="AC106" s="76">
        <v>1.9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0.93</v>
      </c>
      <c r="M107" s="61">
        <f t="shared" si="32"/>
        <v>0.93</v>
      </c>
      <c r="N107" s="61">
        <f t="shared" si="32"/>
        <v>3.01</v>
      </c>
      <c r="O107" s="61">
        <f t="shared" si="32"/>
        <v>2.13</v>
      </c>
      <c r="P107" s="61">
        <f t="shared" si="32"/>
        <v>2.13</v>
      </c>
      <c r="Q107" s="61">
        <f t="shared" si="32"/>
        <v>2.13</v>
      </c>
      <c r="R107" s="61">
        <f t="shared" si="32"/>
        <v>2.91</v>
      </c>
      <c r="S107" s="61">
        <f t="shared" si="32"/>
        <v>2.4300000000000002</v>
      </c>
      <c r="T107" s="61">
        <f t="shared" si="32"/>
        <v>0</v>
      </c>
      <c r="U107" s="61">
        <f t="shared" si="32"/>
        <v>0</v>
      </c>
      <c r="V107" s="61">
        <f t="shared" si="32"/>
        <v>0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1.9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3">F103+F107</f>
        <v>32.33</v>
      </c>
      <c r="G108" s="62">
        <f t="shared" si="33"/>
        <v>30.810000000000002</v>
      </c>
      <c r="H108" s="62">
        <f t="shared" si="33"/>
        <v>33.83</v>
      </c>
      <c r="I108" s="62">
        <f t="shared" si="33"/>
        <v>29.35</v>
      </c>
      <c r="J108" s="62">
        <f t="shared" si="33"/>
        <v>29.310000000000002</v>
      </c>
      <c r="K108" s="62">
        <f t="shared" si="33"/>
        <v>30.040000000000003</v>
      </c>
      <c r="L108" s="62">
        <f t="shared" si="33"/>
        <v>32.17</v>
      </c>
      <c r="M108" s="62">
        <f t="shared" si="33"/>
        <v>34.870000000000005</v>
      </c>
      <c r="N108" s="62">
        <f>N103+N107</f>
        <v>37.89</v>
      </c>
      <c r="O108" s="62">
        <f t="shared" si="33"/>
        <v>42.52</v>
      </c>
      <c r="P108" s="62">
        <f>P103+P107</f>
        <v>44.59</v>
      </c>
      <c r="Q108" s="62">
        <f t="shared" si="33"/>
        <v>44.71</v>
      </c>
      <c r="R108" s="62">
        <f t="shared" si="33"/>
        <v>42.81</v>
      </c>
      <c r="S108" s="62">
        <f t="shared" si="33"/>
        <v>42.919999999999995</v>
      </c>
      <c r="T108" s="62">
        <f>T103+T107</f>
        <v>0.52</v>
      </c>
      <c r="U108" s="62">
        <f t="shared" si="33"/>
        <v>3.9200000000000004</v>
      </c>
      <c r="V108" s="62">
        <f t="shared" si="33"/>
        <v>21.23</v>
      </c>
      <c r="W108" s="62">
        <f>W103+W107</f>
        <v>29.970000000000002</v>
      </c>
      <c r="X108" s="62">
        <f t="shared" si="33"/>
        <v>29</v>
      </c>
      <c r="Y108" s="62">
        <f t="shared" si="33"/>
        <v>37.35</v>
      </c>
      <c r="Z108" s="62">
        <f t="shared" si="33"/>
        <v>33.770000000000003</v>
      </c>
      <c r="AA108" s="62">
        <f t="shared" si="33"/>
        <v>39.26</v>
      </c>
      <c r="AB108" s="62">
        <f t="shared" si="33"/>
        <v>35.72</v>
      </c>
      <c r="AC108" s="62">
        <f t="shared" si="33"/>
        <v>33.94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4">(COUNT(F13:F16))*7.2+(COUNT(F27:F28)*4.9)+(COUNT(F19:F21)*4.5)-F91-F93</f>
        <v>2.4000000000000004</v>
      </c>
      <c r="G109" s="63">
        <f t="shared" si="34"/>
        <v>3.9000000000000004</v>
      </c>
      <c r="H109" s="63">
        <f t="shared" si="34"/>
        <v>-9.9999999999999645E-2</v>
      </c>
      <c r="I109" s="63">
        <f t="shared" si="34"/>
        <v>11.100000000000001</v>
      </c>
      <c r="J109" s="63">
        <f t="shared" si="34"/>
        <v>3.9000000000000004</v>
      </c>
      <c r="K109" s="63">
        <f t="shared" si="34"/>
        <v>3.2</v>
      </c>
      <c r="L109" s="63">
        <f t="shared" si="34"/>
        <v>3.5</v>
      </c>
      <c r="M109" s="63">
        <f t="shared" si="34"/>
        <v>1</v>
      </c>
      <c r="N109" s="63">
        <f t="shared" si="34"/>
        <v>-0.6999999999999984</v>
      </c>
      <c r="O109" s="63">
        <f t="shared" si="34"/>
        <v>-5.3000000000000007</v>
      </c>
      <c r="P109" s="63">
        <f t="shared" si="34"/>
        <v>-5.1999999999999993</v>
      </c>
      <c r="Q109" s="63">
        <f t="shared" si="34"/>
        <v>-4.3999999999999986</v>
      </c>
      <c r="R109" s="63">
        <f t="shared" si="34"/>
        <v>1.6000000000000014</v>
      </c>
      <c r="S109" s="63">
        <f t="shared" si="34"/>
        <v>1.4000000000000004</v>
      </c>
      <c r="T109" s="63">
        <f t="shared" si="34"/>
        <v>4.9000000000000004</v>
      </c>
      <c r="U109" s="63">
        <f t="shared" si="34"/>
        <v>15.9</v>
      </c>
      <c r="V109" s="63">
        <f t="shared" si="34"/>
        <v>16.400000000000006</v>
      </c>
      <c r="W109" s="63">
        <f t="shared" si="34"/>
        <v>9.600000000000005</v>
      </c>
      <c r="X109" s="63">
        <f t="shared" si="34"/>
        <v>9.4000000000000057</v>
      </c>
      <c r="Y109" s="63">
        <f t="shared" si="34"/>
        <v>5.7000000000000046</v>
      </c>
      <c r="Z109" s="63">
        <f t="shared" si="34"/>
        <v>4.8999999999999986</v>
      </c>
      <c r="AA109" s="63">
        <f t="shared" si="34"/>
        <v>0.20000000000000284</v>
      </c>
      <c r="AB109" s="63">
        <f t="shared" si="34"/>
        <v>4.0000000000000036</v>
      </c>
      <c r="AC109" s="63">
        <f t="shared" si="34"/>
        <v>7.0000000000000027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</v>
      </c>
      <c r="G110" s="205">
        <f t="shared" si="35"/>
        <v>2.5</v>
      </c>
      <c r="H110" s="205">
        <f t="shared" si="35"/>
        <v>-1.5</v>
      </c>
      <c r="I110" s="205">
        <f t="shared" si="35"/>
        <v>9.7000000000000028</v>
      </c>
      <c r="J110" s="205">
        <f t="shared" si="35"/>
        <v>2.5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1.7999999999999998</v>
      </c>
      <c r="L110" s="205">
        <f t="shared" si="35"/>
        <v>2.0999999999999996</v>
      </c>
      <c r="M110" s="205">
        <f t="shared" si="35"/>
        <v>-0.40000000000000036</v>
      </c>
      <c r="N110" s="205">
        <f t="shared" si="35"/>
        <v>-0.6999999999999984</v>
      </c>
      <c r="O110" s="205">
        <f t="shared" si="35"/>
        <v>-5.3000000000000007</v>
      </c>
      <c r="P110" s="205">
        <f t="shared" si="35"/>
        <v>-5.1999999999999993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-4.3999999999999986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-1.7999999999999989</v>
      </c>
      <c r="S110" s="205">
        <f t="shared" si="36"/>
        <v>-2</v>
      </c>
      <c r="T110" s="205">
        <f t="shared" si="36"/>
        <v>0</v>
      </c>
      <c r="U110" s="205">
        <f t="shared" si="36"/>
        <v>11</v>
      </c>
      <c r="V110" s="205">
        <f t="shared" si="36"/>
        <v>9.9000000000000039</v>
      </c>
      <c r="W110" s="205">
        <f t="shared" si="36"/>
        <v>1.2999999999999998</v>
      </c>
      <c r="X110" s="205">
        <f t="shared" si="36"/>
        <v>1.6000000000000014</v>
      </c>
      <c r="Y110" s="205">
        <f t="shared" si="36"/>
        <v>-1.4999999999999996</v>
      </c>
      <c r="Z110" s="205">
        <f t="shared" si="36"/>
        <v>-0.40000000000000213</v>
      </c>
      <c r="AA110" s="205">
        <f t="shared" si="36"/>
        <v>-5.0999999999999996</v>
      </c>
      <c r="AB110" s="205">
        <f t="shared" si="36"/>
        <v>-1.2999999999999989</v>
      </c>
      <c r="AC110" s="205">
        <f t="shared" si="36"/>
        <v>-2.8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60.12</v>
      </c>
      <c r="G111" s="456">
        <v>60.13</v>
      </c>
      <c r="H111" s="456">
        <v>60.13</v>
      </c>
      <c r="I111" s="456">
        <v>60.13</v>
      </c>
      <c r="J111" s="456">
        <v>60.12</v>
      </c>
      <c r="K111" s="456">
        <v>60.14</v>
      </c>
      <c r="L111" s="456">
        <v>60.27</v>
      </c>
      <c r="M111" s="456">
        <v>59.98</v>
      </c>
      <c r="N111" s="456">
        <v>60.24</v>
      </c>
      <c r="O111" s="456">
        <v>60.09</v>
      </c>
      <c r="P111" s="457">
        <v>60.02</v>
      </c>
      <c r="Q111" s="457">
        <v>60.12</v>
      </c>
      <c r="R111" s="457">
        <v>60.12</v>
      </c>
      <c r="S111" s="457">
        <v>60.12</v>
      </c>
      <c r="T111" s="457"/>
      <c r="U111" s="456">
        <v>60.93</v>
      </c>
      <c r="V111" s="456">
        <v>60.35</v>
      </c>
      <c r="W111" s="456">
        <v>60.39</v>
      </c>
      <c r="X111" s="456">
        <v>60.55</v>
      </c>
      <c r="Y111" s="456">
        <v>60.43</v>
      </c>
      <c r="Z111" s="456">
        <v>60.48</v>
      </c>
      <c r="AA111" s="456">
        <v>60.18</v>
      </c>
      <c r="AB111" s="456">
        <v>60.14</v>
      </c>
      <c r="AC111" s="456">
        <v>60.25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 t="s">
        <v>104</v>
      </c>
      <c r="G115" s="520" t="s">
        <v>104</v>
      </c>
      <c r="H115" s="520" t="s">
        <v>104</v>
      </c>
      <c r="I115" s="520" t="s">
        <v>104</v>
      </c>
      <c r="J115" s="520" t="s">
        <v>109</v>
      </c>
      <c r="K115" s="520" t="s">
        <v>109</v>
      </c>
      <c r="L115" s="520" t="s">
        <v>104</v>
      </c>
      <c r="M115" s="520" t="s">
        <v>116</v>
      </c>
      <c r="N115" s="520" t="s">
        <v>104</v>
      </c>
      <c r="O115" s="520" t="s">
        <v>104</v>
      </c>
      <c r="P115" s="520" t="s">
        <v>104</v>
      </c>
      <c r="Q115" s="520" t="s">
        <v>104</v>
      </c>
      <c r="R115" s="520" t="s">
        <v>104</v>
      </c>
      <c r="S115" s="520" t="s">
        <v>104</v>
      </c>
      <c r="T115" s="520" t="s">
        <v>104</v>
      </c>
      <c r="U115" s="520" t="s">
        <v>104</v>
      </c>
      <c r="V115" s="520" t="s">
        <v>104</v>
      </c>
      <c r="W115" s="520" t="s">
        <v>104</v>
      </c>
      <c r="X115" s="520" t="s">
        <v>104</v>
      </c>
      <c r="Y115" s="520" t="s">
        <v>104</v>
      </c>
      <c r="Z115" s="520" t="s">
        <v>104</v>
      </c>
      <c r="AA115" s="520" t="s">
        <v>104</v>
      </c>
      <c r="AB115" s="520" t="s">
        <v>104</v>
      </c>
      <c r="AC115" s="520" t="s">
        <v>104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G111:AC111">
    <cfRule type="cellIs" dxfId="8954" priority="846" operator="greaterThan">
      <formula>60.3</formula>
    </cfRule>
  </conditionalFormatting>
  <conditionalFormatting sqref="F111">
    <cfRule type="cellIs" dxfId="8953" priority="845" operator="greaterThan">
      <formula>60.3</formula>
    </cfRule>
  </conditionalFormatting>
  <conditionalFormatting sqref="H13:J13 N13:O13 D42:E42 N36:AC39 N57:AC59 O14:O16 L51:M55 L36:L50 N41:AC46 H36:J59 I15:N15 I16:L16 N16 L13:L14 O52:AA55 H14:K14 AB52:AC56 P40:AC40 L56:L59 M50:AC50 P56:AA56 H62:L64 P62:Z63 R64:Z64 P47:AC49 P51:AC51 P13:AC16 AA62:AC64">
    <cfRule type="cellIs" dxfId="8952" priority="837" operator="equal">
      <formula>"PMS"</formula>
    </cfRule>
    <cfRule type="containsText" dxfId="8951" priority="838" operator="containsText" text="CMS">
      <formula>NOT(ISERROR(SEARCH("CMS",D13)))</formula>
    </cfRule>
    <cfRule type="cellIs" dxfId="8950" priority="839" operator="equal">
      <formula>0</formula>
    </cfRule>
    <cfRule type="cellIs" dxfId="8949" priority="840" operator="greaterThan">
      <formula>0</formula>
    </cfRule>
    <cfRule type="cellIs" dxfId="8948" priority="841" operator="equal">
      <formula>"PMS"</formula>
    </cfRule>
    <cfRule type="containsText" dxfId="8947" priority="842" operator="containsText" text="CMS">
      <formula>NOT(ISERROR(SEARCH("CMS",D13)))</formula>
    </cfRule>
    <cfRule type="cellIs" dxfId="8946" priority="843" operator="equal">
      <formula>0</formula>
    </cfRule>
    <cfRule type="cellIs" dxfId="8945" priority="844" operator="greaterThan">
      <formula>0</formula>
    </cfRule>
  </conditionalFormatting>
  <conditionalFormatting sqref="H13:J13 N13:O13 D42:E42 N36:AC39 N57:AC59 O14:O16 L51:M55 L36:L50 N41:AC46 H36:J59 I15:N15 I16:L16 N16 L13:L14 O52:AA55 H14:K14 AB52:AC56 P40:AC40 L56:L59 M50:AC50 P56:AA56 H62:L64 P62:Z63 R64:Z64 P47:AC49 P51:AC51 P13:AC16 AA62:AC64">
    <cfRule type="cellIs" dxfId="8944" priority="833" operator="equal">
      <formula>"PMS"</formula>
    </cfRule>
    <cfRule type="containsText" dxfId="8943" priority="834" operator="containsText" text="CMS">
      <formula>NOT(ISERROR(SEARCH("CMS",D13)))</formula>
    </cfRule>
    <cfRule type="cellIs" dxfId="8942" priority="835" operator="equal">
      <formula>0</formula>
    </cfRule>
    <cfRule type="cellIs" dxfId="8941" priority="836" operator="greaterThan">
      <formula>0</formula>
    </cfRule>
  </conditionalFormatting>
  <conditionalFormatting sqref="G67:AC75">
    <cfRule type="cellIs" dxfId="8940" priority="825" operator="equal">
      <formula>"PMS"</formula>
    </cfRule>
    <cfRule type="containsText" dxfId="8939" priority="826" operator="containsText" text="CMS">
      <formula>NOT(ISERROR(SEARCH("CMS",G67)))</formula>
    </cfRule>
    <cfRule type="cellIs" dxfId="8938" priority="827" operator="equal">
      <formula>0</formula>
    </cfRule>
    <cfRule type="cellIs" dxfId="8937" priority="828" operator="greaterThan">
      <formula>0</formula>
    </cfRule>
    <cfRule type="cellIs" dxfId="8936" priority="829" operator="equal">
      <formula>"PMS"</formula>
    </cfRule>
    <cfRule type="containsText" dxfId="8935" priority="830" operator="containsText" text="CMS">
      <formula>NOT(ISERROR(SEARCH("CMS",G67)))</formula>
    </cfRule>
    <cfRule type="cellIs" dxfId="8934" priority="831" operator="equal">
      <formula>0</formula>
    </cfRule>
    <cfRule type="cellIs" dxfId="8933" priority="832" operator="greaterThan">
      <formula>0</formula>
    </cfRule>
  </conditionalFormatting>
  <conditionalFormatting sqref="G67:AC75">
    <cfRule type="cellIs" dxfId="8932" priority="821" operator="equal">
      <formula>"PMS"</formula>
    </cfRule>
    <cfRule type="containsText" dxfId="8931" priority="822" operator="containsText" text="CMS">
      <formula>NOT(ISERROR(SEARCH("CMS",G67)))</formula>
    </cfRule>
    <cfRule type="cellIs" dxfId="8930" priority="823" operator="equal">
      <formula>0</formula>
    </cfRule>
    <cfRule type="cellIs" dxfId="8929" priority="824" operator="greaterThan">
      <formula>0</formula>
    </cfRule>
  </conditionalFormatting>
  <conditionalFormatting sqref="G82:AC82">
    <cfRule type="cellIs" dxfId="8928" priority="813" operator="equal">
      <formula>"PMS"</formula>
    </cfRule>
    <cfRule type="containsText" dxfId="8927" priority="814" operator="containsText" text="CMS">
      <formula>NOT(ISERROR(SEARCH("CMS",G82)))</formula>
    </cfRule>
    <cfRule type="cellIs" dxfId="8926" priority="815" operator="equal">
      <formula>0</formula>
    </cfRule>
    <cfRule type="cellIs" dxfId="8925" priority="816" operator="greaterThan">
      <formula>0</formula>
    </cfRule>
    <cfRule type="cellIs" dxfId="8924" priority="817" operator="equal">
      <formula>"PMS"</formula>
    </cfRule>
    <cfRule type="containsText" dxfId="8923" priority="818" operator="containsText" text="CMS">
      <formula>NOT(ISERROR(SEARCH("CMS",G82)))</formula>
    </cfRule>
    <cfRule type="cellIs" dxfId="8922" priority="819" operator="equal">
      <formula>0</formula>
    </cfRule>
    <cfRule type="cellIs" dxfId="8921" priority="820" operator="greaterThan">
      <formula>0</formula>
    </cfRule>
  </conditionalFormatting>
  <conditionalFormatting sqref="G82:AC82">
    <cfRule type="cellIs" dxfId="8920" priority="809" operator="equal">
      <formula>"PMS"</formula>
    </cfRule>
    <cfRule type="containsText" dxfId="8919" priority="810" operator="containsText" text="CMS">
      <formula>NOT(ISERROR(SEARCH("CMS",G82)))</formula>
    </cfRule>
    <cfRule type="cellIs" dxfId="8918" priority="811" operator="equal">
      <formula>0</formula>
    </cfRule>
    <cfRule type="cellIs" dxfId="8917" priority="812" operator="greaterThan">
      <formula>0</formula>
    </cfRule>
  </conditionalFormatting>
  <conditionalFormatting sqref="G13">
    <cfRule type="cellIs" dxfId="8916" priority="801" operator="equal">
      <formula>"PMS"</formula>
    </cfRule>
    <cfRule type="containsText" dxfId="8915" priority="802" operator="containsText" text="CMS">
      <formula>NOT(ISERROR(SEARCH("CMS",G13)))</formula>
    </cfRule>
    <cfRule type="cellIs" dxfId="8914" priority="803" operator="equal">
      <formula>0</formula>
    </cfRule>
    <cfRule type="cellIs" dxfId="8913" priority="804" operator="greaterThan">
      <formula>0</formula>
    </cfRule>
    <cfRule type="cellIs" dxfId="8912" priority="805" operator="equal">
      <formula>"PMS"</formula>
    </cfRule>
    <cfRule type="containsText" dxfId="8911" priority="806" operator="containsText" text="CMS">
      <formula>NOT(ISERROR(SEARCH("CMS",G13)))</formula>
    </cfRule>
    <cfRule type="cellIs" dxfId="8910" priority="807" operator="equal">
      <formula>0</formula>
    </cfRule>
    <cfRule type="cellIs" dxfId="8909" priority="808" operator="greaterThan">
      <formula>0</formula>
    </cfRule>
  </conditionalFormatting>
  <conditionalFormatting sqref="G13">
    <cfRule type="cellIs" dxfId="8908" priority="797" operator="equal">
      <formula>"PMS"</formula>
    </cfRule>
    <cfRule type="containsText" dxfId="8907" priority="798" operator="containsText" text="CMS">
      <formula>NOT(ISERROR(SEARCH("CMS",G13)))</formula>
    </cfRule>
    <cfRule type="cellIs" dxfId="8906" priority="799" operator="equal">
      <formula>0</formula>
    </cfRule>
    <cfRule type="cellIs" dxfId="8905" priority="800" operator="greaterThan">
      <formula>0</formula>
    </cfRule>
  </conditionalFormatting>
  <conditionalFormatting sqref="M13">
    <cfRule type="cellIs" dxfId="8904" priority="789" operator="equal">
      <formula>"PMS"</formula>
    </cfRule>
    <cfRule type="containsText" dxfId="8903" priority="790" operator="containsText" text="CMS">
      <formula>NOT(ISERROR(SEARCH("CMS",M13)))</formula>
    </cfRule>
    <cfRule type="cellIs" dxfId="8902" priority="791" operator="equal">
      <formula>0</formula>
    </cfRule>
    <cfRule type="cellIs" dxfId="8901" priority="792" operator="greaterThan">
      <formula>0</formula>
    </cfRule>
    <cfRule type="cellIs" dxfId="8900" priority="793" operator="equal">
      <formula>"PMS"</formula>
    </cfRule>
    <cfRule type="containsText" dxfId="8899" priority="794" operator="containsText" text="CMS">
      <formula>NOT(ISERROR(SEARCH("CMS",M13)))</formula>
    </cfRule>
    <cfRule type="cellIs" dxfId="8898" priority="795" operator="equal">
      <formula>0</formula>
    </cfRule>
    <cfRule type="cellIs" dxfId="8897" priority="796" operator="greaterThan">
      <formula>0</formula>
    </cfRule>
  </conditionalFormatting>
  <conditionalFormatting sqref="M13">
    <cfRule type="cellIs" dxfId="8896" priority="785" operator="equal">
      <formula>"PMS"</formula>
    </cfRule>
    <cfRule type="containsText" dxfId="8895" priority="786" operator="containsText" text="CMS">
      <formula>NOT(ISERROR(SEARCH("CMS",M13)))</formula>
    </cfRule>
    <cfRule type="cellIs" dxfId="8894" priority="787" operator="equal">
      <formula>0</formula>
    </cfRule>
    <cfRule type="cellIs" dxfId="8893" priority="788" operator="greaterThan">
      <formula>0</formula>
    </cfRule>
  </conditionalFormatting>
  <conditionalFormatting sqref="K13">
    <cfRule type="cellIs" dxfId="8892" priority="777" operator="equal">
      <formula>"PMS"</formula>
    </cfRule>
    <cfRule type="containsText" dxfId="8891" priority="778" operator="containsText" text="CMS">
      <formula>NOT(ISERROR(SEARCH("CMS",K13)))</formula>
    </cfRule>
    <cfRule type="cellIs" dxfId="8890" priority="779" operator="equal">
      <formula>0</formula>
    </cfRule>
    <cfRule type="cellIs" dxfId="8889" priority="780" operator="greaterThan">
      <formula>0</formula>
    </cfRule>
    <cfRule type="cellIs" dxfId="8888" priority="781" operator="equal">
      <formula>"PMS"</formula>
    </cfRule>
    <cfRule type="containsText" dxfId="8887" priority="782" operator="containsText" text="CMS">
      <formula>NOT(ISERROR(SEARCH("CMS",K13)))</formula>
    </cfRule>
    <cfRule type="cellIs" dxfId="8886" priority="783" operator="equal">
      <formula>0</formula>
    </cfRule>
    <cfRule type="cellIs" dxfId="8885" priority="784" operator="greaterThan">
      <formula>0</formula>
    </cfRule>
  </conditionalFormatting>
  <conditionalFormatting sqref="K13">
    <cfRule type="cellIs" dxfId="8884" priority="773" operator="equal">
      <formula>"PMS"</formula>
    </cfRule>
    <cfRule type="containsText" dxfId="8883" priority="774" operator="containsText" text="CMS">
      <formula>NOT(ISERROR(SEARCH("CMS",K13)))</formula>
    </cfRule>
    <cfRule type="cellIs" dxfId="8882" priority="775" operator="equal">
      <formula>0</formula>
    </cfRule>
    <cfRule type="cellIs" dxfId="8881" priority="776" operator="greaterThan">
      <formula>0</formula>
    </cfRule>
  </conditionalFormatting>
  <conditionalFormatting sqref="G113:AC113">
    <cfRule type="cellIs" dxfId="8880" priority="772" operator="greaterThan">
      <formula>60.3</formula>
    </cfRule>
  </conditionalFormatting>
  <conditionalFormatting sqref="H112:M112">
    <cfRule type="cellIs" dxfId="8879" priority="771" operator="greaterThan">
      <formula>60.3</formula>
    </cfRule>
  </conditionalFormatting>
  <conditionalFormatting sqref="F112:G112">
    <cfRule type="cellIs" dxfId="8878" priority="770" operator="greaterThan">
      <formula>60.3</formula>
    </cfRule>
  </conditionalFormatting>
  <conditionalFormatting sqref="N112:AC112">
    <cfRule type="cellIs" dxfId="8877" priority="769" operator="greaterThan">
      <formula>60.3</formula>
    </cfRule>
  </conditionalFormatting>
  <conditionalFormatting sqref="G15:G16">
    <cfRule type="cellIs" dxfId="8876" priority="761" operator="equal">
      <formula>"PMS"</formula>
    </cfRule>
    <cfRule type="containsText" dxfId="8875" priority="762" operator="containsText" text="CMS">
      <formula>NOT(ISERROR(SEARCH("CMS",G15)))</formula>
    </cfRule>
    <cfRule type="cellIs" dxfId="8874" priority="763" operator="equal">
      <formula>0</formula>
    </cfRule>
    <cfRule type="cellIs" dxfId="8873" priority="764" operator="greaterThan">
      <formula>0</formula>
    </cfRule>
    <cfRule type="cellIs" dxfId="8872" priority="765" operator="equal">
      <formula>"PMS"</formula>
    </cfRule>
    <cfRule type="containsText" dxfId="8871" priority="766" operator="containsText" text="CMS">
      <formula>NOT(ISERROR(SEARCH("CMS",G15)))</formula>
    </cfRule>
    <cfRule type="cellIs" dxfId="8870" priority="767" operator="equal">
      <formula>0</formula>
    </cfRule>
    <cfRule type="cellIs" dxfId="8869" priority="768" operator="greaterThan">
      <formula>0</formula>
    </cfRule>
  </conditionalFormatting>
  <conditionalFormatting sqref="G15:G16">
    <cfRule type="cellIs" dxfId="8868" priority="757" operator="equal">
      <formula>"PMS"</formula>
    </cfRule>
    <cfRule type="containsText" dxfId="8867" priority="758" operator="containsText" text="CMS">
      <formula>NOT(ISERROR(SEARCH("CMS",G15)))</formula>
    </cfRule>
    <cfRule type="cellIs" dxfId="8866" priority="759" operator="equal">
      <formula>0</formula>
    </cfRule>
    <cfRule type="cellIs" dxfId="8865" priority="760" operator="greaterThan">
      <formula>0</formula>
    </cfRule>
  </conditionalFormatting>
  <conditionalFormatting sqref="H16">
    <cfRule type="cellIs" dxfId="8864" priority="749" operator="equal">
      <formula>"PMS"</formula>
    </cfRule>
    <cfRule type="containsText" dxfId="8863" priority="750" operator="containsText" text="CMS">
      <formula>NOT(ISERROR(SEARCH("CMS",H16)))</formula>
    </cfRule>
    <cfRule type="cellIs" dxfId="8862" priority="751" operator="equal">
      <formula>0</formula>
    </cfRule>
    <cfRule type="cellIs" dxfId="8861" priority="752" operator="greaterThan">
      <formula>0</formula>
    </cfRule>
    <cfRule type="cellIs" dxfId="8860" priority="753" operator="equal">
      <formula>"PMS"</formula>
    </cfRule>
    <cfRule type="containsText" dxfId="8859" priority="754" operator="containsText" text="CMS">
      <formula>NOT(ISERROR(SEARCH("CMS",H16)))</formula>
    </cfRule>
    <cfRule type="cellIs" dxfId="8858" priority="755" operator="equal">
      <formula>0</formula>
    </cfRule>
    <cfRule type="cellIs" dxfId="8857" priority="756" operator="greaterThan">
      <formula>0</formula>
    </cfRule>
  </conditionalFormatting>
  <conditionalFormatting sqref="H16">
    <cfRule type="cellIs" dxfId="8856" priority="745" operator="equal">
      <formula>"PMS"</formula>
    </cfRule>
    <cfRule type="containsText" dxfId="8855" priority="746" operator="containsText" text="CMS">
      <formula>NOT(ISERROR(SEARCH("CMS",H16)))</formula>
    </cfRule>
    <cfRule type="cellIs" dxfId="8854" priority="747" operator="equal">
      <formula>0</formula>
    </cfRule>
    <cfRule type="cellIs" dxfId="8853" priority="748" operator="greaterThan">
      <formula>0</formula>
    </cfRule>
  </conditionalFormatting>
  <conditionalFormatting sqref="G36:G38 G57:G59">
    <cfRule type="cellIs" dxfId="8852" priority="737" operator="equal">
      <formula>"PMS"</formula>
    </cfRule>
    <cfRule type="containsText" dxfId="8851" priority="738" operator="containsText" text="CMS">
      <formula>NOT(ISERROR(SEARCH("CMS",G36)))</formula>
    </cfRule>
    <cfRule type="cellIs" dxfId="8850" priority="739" operator="equal">
      <formula>0</formula>
    </cfRule>
    <cfRule type="cellIs" dxfId="8849" priority="740" operator="greaterThan">
      <formula>0</formula>
    </cfRule>
    <cfRule type="cellIs" dxfId="8848" priority="741" operator="equal">
      <formula>"PMS"</formula>
    </cfRule>
    <cfRule type="containsText" dxfId="8847" priority="742" operator="containsText" text="CMS">
      <formula>NOT(ISERROR(SEARCH("CMS",G36)))</formula>
    </cfRule>
    <cfRule type="cellIs" dxfId="8846" priority="743" operator="equal">
      <formula>0</formula>
    </cfRule>
    <cfRule type="cellIs" dxfId="8845" priority="744" operator="greaterThan">
      <formula>0</formula>
    </cfRule>
  </conditionalFormatting>
  <conditionalFormatting sqref="G36:G38 G57:G59">
    <cfRule type="cellIs" dxfId="8844" priority="733" operator="equal">
      <formula>"PMS"</formula>
    </cfRule>
    <cfRule type="containsText" dxfId="8843" priority="734" operator="containsText" text="CMS">
      <formula>NOT(ISERROR(SEARCH("CMS",G36)))</formula>
    </cfRule>
    <cfRule type="cellIs" dxfId="8842" priority="735" operator="equal">
      <formula>0</formula>
    </cfRule>
    <cfRule type="cellIs" dxfId="8841" priority="736" operator="greaterThan">
      <formula>0</formula>
    </cfRule>
  </conditionalFormatting>
  <conditionalFormatting sqref="M36:M38 M57:M59">
    <cfRule type="cellIs" dxfId="8840" priority="725" operator="equal">
      <formula>"PMS"</formula>
    </cfRule>
    <cfRule type="containsText" dxfId="8839" priority="726" operator="containsText" text="CMS">
      <formula>NOT(ISERROR(SEARCH("CMS",M36)))</formula>
    </cfRule>
    <cfRule type="cellIs" dxfId="8838" priority="727" operator="equal">
      <formula>0</formula>
    </cfRule>
    <cfRule type="cellIs" dxfId="8837" priority="728" operator="greaterThan">
      <formula>0</formula>
    </cfRule>
    <cfRule type="cellIs" dxfId="8836" priority="729" operator="equal">
      <formula>"PMS"</formula>
    </cfRule>
    <cfRule type="containsText" dxfId="8835" priority="730" operator="containsText" text="CMS">
      <formula>NOT(ISERROR(SEARCH("CMS",M36)))</formula>
    </cfRule>
    <cfRule type="cellIs" dxfId="8834" priority="731" operator="equal">
      <formula>0</formula>
    </cfRule>
    <cfRule type="cellIs" dxfId="8833" priority="732" operator="greaterThan">
      <formula>0</formula>
    </cfRule>
  </conditionalFormatting>
  <conditionalFormatting sqref="M36:M38 M57:M59">
    <cfRule type="cellIs" dxfId="8832" priority="721" operator="equal">
      <formula>"PMS"</formula>
    </cfRule>
    <cfRule type="containsText" dxfId="8831" priority="722" operator="containsText" text="CMS">
      <formula>NOT(ISERROR(SEARCH("CMS",M36)))</formula>
    </cfRule>
    <cfRule type="cellIs" dxfId="8830" priority="723" operator="equal">
      <formula>0</formula>
    </cfRule>
    <cfRule type="cellIs" dxfId="8829" priority="724" operator="greaterThan">
      <formula>0</formula>
    </cfRule>
  </conditionalFormatting>
  <conditionalFormatting sqref="K36:K38 K57:K59">
    <cfRule type="cellIs" dxfId="8828" priority="713" operator="equal">
      <formula>"PMS"</formula>
    </cfRule>
    <cfRule type="containsText" dxfId="8827" priority="714" operator="containsText" text="CMS">
      <formula>NOT(ISERROR(SEARCH("CMS",K36)))</formula>
    </cfRule>
    <cfRule type="cellIs" dxfId="8826" priority="715" operator="equal">
      <formula>0</formula>
    </cfRule>
    <cfRule type="cellIs" dxfId="8825" priority="716" operator="greaterThan">
      <formula>0</formula>
    </cfRule>
    <cfRule type="cellIs" dxfId="8824" priority="717" operator="equal">
      <formula>"PMS"</formula>
    </cfRule>
    <cfRule type="containsText" dxfId="8823" priority="718" operator="containsText" text="CMS">
      <formula>NOT(ISERROR(SEARCH("CMS",K36)))</formula>
    </cfRule>
    <cfRule type="cellIs" dxfId="8822" priority="719" operator="equal">
      <formula>0</formula>
    </cfRule>
    <cfRule type="cellIs" dxfId="8821" priority="720" operator="greaterThan">
      <formula>0</formula>
    </cfRule>
  </conditionalFormatting>
  <conditionalFormatting sqref="K36:K38 K57:K59">
    <cfRule type="cellIs" dxfId="8820" priority="709" operator="equal">
      <formula>"PMS"</formula>
    </cfRule>
    <cfRule type="containsText" dxfId="8819" priority="710" operator="containsText" text="CMS">
      <formula>NOT(ISERROR(SEARCH("CMS",K36)))</formula>
    </cfRule>
    <cfRule type="cellIs" dxfId="8818" priority="711" operator="equal">
      <formula>0</formula>
    </cfRule>
    <cfRule type="cellIs" dxfId="8817" priority="712" operator="greaterThan">
      <formula>0</formula>
    </cfRule>
  </conditionalFormatting>
  <conditionalFormatting sqref="G49">
    <cfRule type="cellIs" dxfId="8816" priority="701" operator="equal">
      <formula>"PMS"</formula>
    </cfRule>
    <cfRule type="containsText" dxfId="8815" priority="702" operator="containsText" text="CMS">
      <formula>NOT(ISERROR(SEARCH("CMS",G49)))</formula>
    </cfRule>
    <cfRule type="cellIs" dxfId="8814" priority="703" operator="equal">
      <formula>0</formula>
    </cfRule>
    <cfRule type="cellIs" dxfId="8813" priority="704" operator="greaterThan">
      <formula>0</formula>
    </cfRule>
    <cfRule type="cellIs" dxfId="8812" priority="705" operator="equal">
      <formula>"PMS"</formula>
    </cfRule>
    <cfRule type="containsText" dxfId="8811" priority="706" operator="containsText" text="CMS">
      <formula>NOT(ISERROR(SEARCH("CMS",G49)))</formula>
    </cfRule>
    <cfRule type="cellIs" dxfId="8810" priority="707" operator="equal">
      <formula>0</formula>
    </cfRule>
    <cfRule type="cellIs" dxfId="8809" priority="708" operator="greaterThan">
      <formula>0</formula>
    </cfRule>
  </conditionalFormatting>
  <conditionalFormatting sqref="G49">
    <cfRule type="cellIs" dxfId="8808" priority="697" operator="equal">
      <formula>"PMS"</formula>
    </cfRule>
    <cfRule type="containsText" dxfId="8807" priority="698" operator="containsText" text="CMS">
      <formula>NOT(ISERROR(SEARCH("CMS",G49)))</formula>
    </cfRule>
    <cfRule type="cellIs" dxfId="8806" priority="699" operator="equal">
      <formula>0</formula>
    </cfRule>
    <cfRule type="cellIs" dxfId="8805" priority="700" operator="greaterThan">
      <formula>0</formula>
    </cfRule>
  </conditionalFormatting>
  <conditionalFormatting sqref="M49:N49">
    <cfRule type="cellIs" dxfId="8804" priority="689" operator="equal">
      <formula>"PMS"</formula>
    </cfRule>
    <cfRule type="containsText" dxfId="8803" priority="690" operator="containsText" text="CMS">
      <formula>NOT(ISERROR(SEARCH("CMS",M49)))</formula>
    </cfRule>
    <cfRule type="cellIs" dxfId="8802" priority="691" operator="equal">
      <formula>0</formula>
    </cfRule>
    <cfRule type="cellIs" dxfId="8801" priority="692" operator="greaterThan">
      <formula>0</formula>
    </cfRule>
    <cfRule type="cellIs" dxfId="8800" priority="693" operator="equal">
      <formula>"PMS"</formula>
    </cfRule>
    <cfRule type="containsText" dxfId="8799" priority="694" operator="containsText" text="CMS">
      <formula>NOT(ISERROR(SEARCH("CMS",M49)))</formula>
    </cfRule>
    <cfRule type="cellIs" dxfId="8798" priority="695" operator="equal">
      <formula>0</formula>
    </cfRule>
    <cfRule type="cellIs" dxfId="8797" priority="696" operator="greaterThan">
      <formula>0</formula>
    </cfRule>
  </conditionalFormatting>
  <conditionalFormatting sqref="M49:N49">
    <cfRule type="cellIs" dxfId="8796" priority="685" operator="equal">
      <formula>"PMS"</formula>
    </cfRule>
    <cfRule type="containsText" dxfId="8795" priority="686" operator="containsText" text="CMS">
      <formula>NOT(ISERROR(SEARCH("CMS",M49)))</formula>
    </cfRule>
    <cfRule type="cellIs" dxfId="8794" priority="687" operator="equal">
      <formula>0</formula>
    </cfRule>
    <cfRule type="cellIs" dxfId="8793" priority="688" operator="greaterThan">
      <formula>0</formula>
    </cfRule>
  </conditionalFormatting>
  <conditionalFormatting sqref="K49">
    <cfRule type="cellIs" dxfId="8792" priority="677" operator="equal">
      <formula>"PMS"</formula>
    </cfRule>
    <cfRule type="containsText" dxfId="8791" priority="678" operator="containsText" text="CMS">
      <formula>NOT(ISERROR(SEARCH("CMS",K49)))</formula>
    </cfRule>
    <cfRule type="cellIs" dxfId="8790" priority="679" operator="equal">
      <formula>0</formula>
    </cfRule>
    <cfRule type="cellIs" dxfId="8789" priority="680" operator="greaterThan">
      <formula>0</formula>
    </cfRule>
    <cfRule type="cellIs" dxfId="8788" priority="681" operator="equal">
      <formula>"PMS"</formula>
    </cfRule>
    <cfRule type="containsText" dxfId="8787" priority="682" operator="containsText" text="CMS">
      <formula>NOT(ISERROR(SEARCH("CMS",K49)))</formula>
    </cfRule>
    <cfRule type="cellIs" dxfId="8786" priority="683" operator="equal">
      <formula>0</formula>
    </cfRule>
    <cfRule type="cellIs" dxfId="8785" priority="684" operator="greaterThan">
      <formula>0</formula>
    </cfRule>
  </conditionalFormatting>
  <conditionalFormatting sqref="K49">
    <cfRule type="cellIs" dxfId="8784" priority="673" operator="equal">
      <formula>"PMS"</formula>
    </cfRule>
    <cfRule type="containsText" dxfId="8783" priority="674" operator="containsText" text="CMS">
      <formula>NOT(ISERROR(SEARCH("CMS",K49)))</formula>
    </cfRule>
    <cfRule type="cellIs" dxfId="8782" priority="675" operator="equal">
      <formula>0</formula>
    </cfRule>
    <cfRule type="cellIs" dxfId="8781" priority="676" operator="greaterThan">
      <formula>0</formula>
    </cfRule>
  </conditionalFormatting>
  <conditionalFormatting sqref="L27:L29 H24:J24 H19:J20 L20:L21 V28:AC28 Q28 P30 H27:J30 I21:K21 K19:M19 N30 S28 AC79 M21:O21 Q21:AC21 N19:AC20 L24:AC24 Q29:AC30 H33:L33 S78 O79:Y79 N28:P29 O78:Q78 U78:AC78 N33:AC33">
    <cfRule type="cellIs" dxfId="8780" priority="665" operator="equal">
      <formula>"PMS"</formula>
    </cfRule>
    <cfRule type="containsText" dxfId="8779" priority="666" operator="containsText" text="CMS">
      <formula>NOT(ISERROR(SEARCH("CMS",H19)))</formula>
    </cfRule>
    <cfRule type="cellIs" dxfId="8778" priority="667" operator="equal">
      <formula>0</formula>
    </cfRule>
    <cfRule type="cellIs" dxfId="8777" priority="668" operator="greaterThan">
      <formula>0</formula>
    </cfRule>
    <cfRule type="cellIs" dxfId="8776" priority="669" operator="equal">
      <formula>"PMS"</formula>
    </cfRule>
    <cfRule type="containsText" dxfId="8775" priority="670" operator="containsText" text="CMS">
      <formula>NOT(ISERROR(SEARCH("CMS",H19)))</formula>
    </cfRule>
    <cfRule type="cellIs" dxfId="8774" priority="671" operator="equal">
      <formula>0</formula>
    </cfRule>
    <cfRule type="cellIs" dxfId="8773" priority="672" operator="greaterThan">
      <formula>0</formula>
    </cfRule>
  </conditionalFormatting>
  <conditionalFormatting sqref="L27:L29 H24:J24 H19:J20 L20:L21 V28:AC28 Q28 P30 H27:J30 I21:K21 K19:M19 N30 S28 AC79 M21:O21 Q21:AC21 N19:AC20 L24:AC24 Q29:AC30 H33:L33 S78 O79:Y79 N28:P29 O78:Q78 U78:AC78 N33:AC33">
    <cfRule type="cellIs" dxfId="8772" priority="661" operator="equal">
      <formula>"PMS"</formula>
    </cfRule>
    <cfRule type="containsText" dxfId="8771" priority="662" operator="containsText" text="CMS">
      <formula>NOT(ISERROR(SEARCH("CMS",H19)))</formula>
    </cfRule>
    <cfRule type="cellIs" dxfId="8770" priority="663" operator="equal">
      <formula>0</formula>
    </cfRule>
    <cfRule type="cellIs" dxfId="8769" priority="664" operator="greaterThan">
      <formula>0</formula>
    </cfRule>
  </conditionalFormatting>
  <conditionalFormatting sqref="G33 G24 G39:G48 G50:G56 G19:G21 H21 G27:G30">
    <cfRule type="cellIs" dxfId="8768" priority="653" operator="equal">
      <formula>"PMS"</formula>
    </cfRule>
    <cfRule type="containsText" dxfId="8767" priority="654" operator="containsText" text="CMS">
      <formula>NOT(ISERROR(SEARCH("CMS",G19)))</formula>
    </cfRule>
    <cfRule type="cellIs" dxfId="8766" priority="655" operator="equal">
      <formula>0</formula>
    </cfRule>
    <cfRule type="cellIs" dxfId="8765" priority="656" operator="greaterThan">
      <formula>0</formula>
    </cfRule>
    <cfRule type="cellIs" dxfId="8764" priority="657" operator="equal">
      <formula>"PMS"</formula>
    </cfRule>
    <cfRule type="containsText" dxfId="8763" priority="658" operator="containsText" text="CMS">
      <formula>NOT(ISERROR(SEARCH("CMS",G19)))</formula>
    </cfRule>
    <cfRule type="cellIs" dxfId="8762" priority="659" operator="equal">
      <formula>0</formula>
    </cfRule>
    <cfRule type="cellIs" dxfId="8761" priority="660" operator="greaterThan">
      <formula>0</formula>
    </cfRule>
  </conditionalFormatting>
  <conditionalFormatting sqref="G33 G24 G39:G48 G50:G56 G19:G21 H21 G27:G30">
    <cfRule type="cellIs" dxfId="8760" priority="649" operator="equal">
      <formula>"PMS"</formula>
    </cfRule>
    <cfRule type="containsText" dxfId="8759" priority="650" operator="containsText" text="CMS">
      <formula>NOT(ISERROR(SEARCH("CMS",G19)))</formula>
    </cfRule>
    <cfRule type="cellIs" dxfId="8758" priority="651" operator="equal">
      <formula>0</formula>
    </cfRule>
    <cfRule type="cellIs" dxfId="8757" priority="652" operator="greaterThan">
      <formula>0</formula>
    </cfRule>
  </conditionalFormatting>
  <conditionalFormatting sqref="M39:M48 M33 M27:M29 M20 AB27:AC27 M56 N47:N48 N51:N56 M62:M64 S27:X27 N27:Q27">
    <cfRule type="cellIs" dxfId="8756" priority="641" operator="equal">
      <formula>"PMS"</formula>
    </cfRule>
    <cfRule type="containsText" dxfId="8755" priority="642" operator="containsText" text="CMS">
      <formula>NOT(ISERROR(SEARCH("CMS",M20)))</formula>
    </cfRule>
    <cfRule type="cellIs" dxfId="8754" priority="643" operator="equal">
      <formula>0</formula>
    </cfRule>
    <cfRule type="cellIs" dxfId="8753" priority="644" operator="greaterThan">
      <formula>0</formula>
    </cfRule>
    <cfRule type="cellIs" dxfId="8752" priority="645" operator="equal">
      <formula>"PMS"</formula>
    </cfRule>
    <cfRule type="containsText" dxfId="8751" priority="646" operator="containsText" text="CMS">
      <formula>NOT(ISERROR(SEARCH("CMS",M20)))</formula>
    </cfRule>
    <cfRule type="cellIs" dxfId="8750" priority="647" operator="equal">
      <formula>0</formula>
    </cfRule>
    <cfRule type="cellIs" dxfId="8749" priority="648" operator="greaterThan">
      <formula>0</formula>
    </cfRule>
  </conditionalFormatting>
  <conditionalFormatting sqref="M39:M48 M33 M27:M29 M20 AB27:AC27 M56 N47:N48 N51:N56 M62:M64 S27:X27 N27:Q27">
    <cfRule type="cellIs" dxfId="8748" priority="637" operator="equal">
      <formula>"PMS"</formula>
    </cfRule>
    <cfRule type="containsText" dxfId="8747" priority="638" operator="containsText" text="CMS">
      <formula>NOT(ISERROR(SEARCH("CMS",M20)))</formula>
    </cfRule>
    <cfRule type="cellIs" dxfId="8746" priority="639" operator="equal">
      <formula>0</formula>
    </cfRule>
    <cfRule type="cellIs" dxfId="8745" priority="640" operator="greaterThan">
      <formula>0</formula>
    </cfRule>
  </conditionalFormatting>
  <conditionalFormatting sqref="K50:K56 K39:K48 K27 K24 K20 K29:K30 L30">
    <cfRule type="cellIs" dxfId="8744" priority="629" operator="equal">
      <formula>"PMS"</formula>
    </cfRule>
    <cfRule type="containsText" dxfId="8743" priority="630" operator="containsText" text="CMS">
      <formula>NOT(ISERROR(SEARCH("CMS",K20)))</formula>
    </cfRule>
    <cfRule type="cellIs" dxfId="8742" priority="631" operator="equal">
      <formula>0</formula>
    </cfRule>
    <cfRule type="cellIs" dxfId="8741" priority="632" operator="greaterThan">
      <formula>0</formula>
    </cfRule>
    <cfRule type="cellIs" dxfId="8740" priority="633" operator="equal">
      <formula>"PMS"</formula>
    </cfRule>
    <cfRule type="containsText" dxfId="8739" priority="634" operator="containsText" text="CMS">
      <formula>NOT(ISERROR(SEARCH("CMS",K20)))</formula>
    </cfRule>
    <cfRule type="cellIs" dxfId="8738" priority="635" operator="equal">
      <formula>0</formula>
    </cfRule>
    <cfRule type="cellIs" dxfId="8737" priority="636" operator="greaterThan">
      <formula>0</formula>
    </cfRule>
  </conditionalFormatting>
  <conditionalFormatting sqref="K50:K56 K39:K48 K27 K24 K20 K29:K30 L30">
    <cfRule type="cellIs" dxfId="8736" priority="625" operator="equal">
      <formula>"PMS"</formula>
    </cfRule>
    <cfRule type="containsText" dxfId="8735" priority="626" operator="containsText" text="CMS">
      <formula>NOT(ISERROR(SEARCH("CMS",K20)))</formula>
    </cfRule>
    <cfRule type="cellIs" dxfId="8734" priority="627" operator="equal">
      <formula>0</formula>
    </cfRule>
    <cfRule type="cellIs" dxfId="8733" priority="628" operator="greaterThan">
      <formula>0</formula>
    </cfRule>
  </conditionalFormatting>
  <conditionalFormatting sqref="K28">
    <cfRule type="cellIs" dxfId="8732" priority="617" operator="equal">
      <formula>"PMS"</formula>
    </cfRule>
    <cfRule type="containsText" dxfId="8731" priority="618" operator="containsText" text="CMS">
      <formula>NOT(ISERROR(SEARCH("CMS",K28)))</formula>
    </cfRule>
    <cfRule type="cellIs" dxfId="8730" priority="619" operator="equal">
      <formula>0</formula>
    </cfRule>
    <cfRule type="cellIs" dxfId="8729" priority="620" operator="greaterThan">
      <formula>0</formula>
    </cfRule>
    <cfRule type="cellIs" dxfId="8728" priority="621" operator="equal">
      <formula>"PMS"</formula>
    </cfRule>
    <cfRule type="containsText" dxfId="8727" priority="622" operator="containsText" text="CMS">
      <formula>NOT(ISERROR(SEARCH("CMS",K28)))</formula>
    </cfRule>
    <cfRule type="cellIs" dxfId="8726" priority="623" operator="equal">
      <formula>0</formula>
    </cfRule>
    <cfRule type="cellIs" dxfId="8725" priority="624" operator="greaterThan">
      <formula>0</formula>
    </cfRule>
  </conditionalFormatting>
  <conditionalFormatting sqref="K28">
    <cfRule type="cellIs" dxfId="8724" priority="613" operator="equal">
      <formula>"PMS"</formula>
    </cfRule>
    <cfRule type="containsText" dxfId="8723" priority="614" operator="containsText" text="CMS">
      <formula>NOT(ISERROR(SEARCH("CMS",K28)))</formula>
    </cfRule>
    <cfRule type="cellIs" dxfId="8722" priority="615" operator="equal">
      <formula>0</formula>
    </cfRule>
    <cfRule type="cellIs" dxfId="8721" priority="616" operator="greaterThan">
      <formula>0</formula>
    </cfRule>
  </conditionalFormatting>
  <conditionalFormatting sqref="N62:O62 O63:O64">
    <cfRule type="cellIs" dxfId="8720" priority="605" operator="equal">
      <formula>"PMS"</formula>
    </cfRule>
    <cfRule type="containsText" dxfId="8719" priority="606" operator="containsText" text="CMS">
      <formula>NOT(ISERROR(SEARCH("CMS",N62)))</formula>
    </cfRule>
    <cfRule type="cellIs" dxfId="8718" priority="607" operator="equal">
      <formula>0</formula>
    </cfRule>
    <cfRule type="cellIs" dxfId="8717" priority="608" operator="greaterThan">
      <formula>0</formula>
    </cfRule>
    <cfRule type="cellIs" dxfId="8716" priority="609" operator="equal">
      <formula>"PMS"</formula>
    </cfRule>
    <cfRule type="containsText" dxfId="8715" priority="610" operator="containsText" text="CMS">
      <formula>NOT(ISERROR(SEARCH("CMS",N62)))</formula>
    </cfRule>
    <cfRule type="cellIs" dxfId="8714" priority="611" operator="equal">
      <formula>0</formula>
    </cfRule>
    <cfRule type="cellIs" dxfId="8713" priority="612" operator="greaterThan">
      <formula>0</formula>
    </cfRule>
  </conditionalFormatting>
  <conditionalFormatting sqref="N62:O62 O63:O64">
    <cfRule type="cellIs" dxfId="8712" priority="601" operator="equal">
      <formula>"PMS"</formula>
    </cfRule>
    <cfRule type="containsText" dxfId="8711" priority="602" operator="containsText" text="CMS">
      <formula>NOT(ISERROR(SEARCH("CMS",N62)))</formula>
    </cfRule>
    <cfRule type="cellIs" dxfId="8710" priority="603" operator="equal">
      <formula>0</formula>
    </cfRule>
    <cfRule type="cellIs" dxfId="8709" priority="604" operator="greaterThan">
      <formula>0</formula>
    </cfRule>
  </conditionalFormatting>
  <conditionalFormatting sqref="U28">
    <cfRule type="cellIs" dxfId="8708" priority="593" operator="equal">
      <formula>"PMS"</formula>
    </cfRule>
    <cfRule type="containsText" dxfId="8707" priority="594" operator="containsText" text="CMS">
      <formula>NOT(ISERROR(SEARCH("CMS",U28)))</formula>
    </cfRule>
    <cfRule type="cellIs" dxfId="8706" priority="595" operator="equal">
      <formula>0</formula>
    </cfRule>
    <cfRule type="cellIs" dxfId="8705" priority="596" operator="greaterThan">
      <formula>0</formula>
    </cfRule>
    <cfRule type="cellIs" dxfId="8704" priority="597" operator="equal">
      <formula>"PMS"</formula>
    </cfRule>
    <cfRule type="containsText" dxfId="8703" priority="598" operator="containsText" text="CMS">
      <formula>NOT(ISERROR(SEARCH("CMS",U28)))</formula>
    </cfRule>
    <cfRule type="cellIs" dxfId="8702" priority="599" operator="equal">
      <formula>0</formula>
    </cfRule>
    <cfRule type="cellIs" dxfId="8701" priority="600" operator="greaterThan">
      <formula>0</formula>
    </cfRule>
  </conditionalFormatting>
  <conditionalFormatting sqref="U28">
    <cfRule type="cellIs" dxfId="8700" priority="589" operator="equal">
      <formula>"PMS"</formula>
    </cfRule>
    <cfRule type="containsText" dxfId="8699" priority="590" operator="containsText" text="CMS">
      <formula>NOT(ISERROR(SEARCH("CMS",U28)))</formula>
    </cfRule>
    <cfRule type="cellIs" dxfId="8698" priority="591" operator="equal">
      <formula>0</formula>
    </cfRule>
    <cfRule type="cellIs" dxfId="8697" priority="592" operator="greaterThan">
      <formula>0</formula>
    </cfRule>
  </conditionalFormatting>
  <conditionalFormatting sqref="Y27:AA27">
    <cfRule type="cellIs" dxfId="8696" priority="581" operator="equal">
      <formula>"PMS"</formula>
    </cfRule>
    <cfRule type="containsText" dxfId="8695" priority="582" operator="containsText" text="CMS">
      <formula>NOT(ISERROR(SEARCH("CMS",Y27)))</formula>
    </cfRule>
    <cfRule type="cellIs" dxfId="8694" priority="583" operator="equal">
      <formula>0</formula>
    </cfRule>
    <cfRule type="cellIs" dxfId="8693" priority="584" operator="greaterThan">
      <formula>0</formula>
    </cfRule>
    <cfRule type="cellIs" dxfId="8692" priority="585" operator="equal">
      <formula>"PMS"</formula>
    </cfRule>
    <cfRule type="containsText" dxfId="8691" priority="586" operator="containsText" text="CMS">
      <formula>NOT(ISERROR(SEARCH("CMS",Y27)))</formula>
    </cfRule>
    <cfRule type="cellIs" dxfId="8690" priority="587" operator="equal">
      <formula>0</formula>
    </cfRule>
    <cfRule type="cellIs" dxfId="8689" priority="588" operator="greaterThan">
      <formula>0</formula>
    </cfRule>
  </conditionalFormatting>
  <conditionalFormatting sqref="Y27:AA27">
    <cfRule type="cellIs" dxfId="8688" priority="577" operator="equal">
      <formula>"PMS"</formula>
    </cfRule>
    <cfRule type="containsText" dxfId="8687" priority="578" operator="containsText" text="CMS">
      <formula>NOT(ISERROR(SEARCH("CMS",Y27)))</formula>
    </cfRule>
    <cfRule type="cellIs" dxfId="8686" priority="579" operator="equal">
      <formula>0</formula>
    </cfRule>
    <cfRule type="cellIs" dxfId="8685" priority="580" operator="greaterThan">
      <formula>0</formula>
    </cfRule>
  </conditionalFormatting>
  <conditionalFormatting sqref="G62:G64">
    <cfRule type="cellIs" dxfId="8684" priority="569" operator="equal">
      <formula>"PMS"</formula>
    </cfRule>
    <cfRule type="containsText" dxfId="8683" priority="570" operator="containsText" text="CMS">
      <formula>NOT(ISERROR(SEARCH("CMS",G62)))</formula>
    </cfRule>
    <cfRule type="cellIs" dxfId="8682" priority="571" operator="equal">
      <formula>0</formula>
    </cfRule>
    <cfRule type="cellIs" dxfId="8681" priority="572" operator="greaterThan">
      <formula>0</formula>
    </cfRule>
    <cfRule type="cellIs" dxfId="8680" priority="573" operator="equal">
      <formula>"PMS"</formula>
    </cfRule>
    <cfRule type="containsText" dxfId="8679" priority="574" operator="containsText" text="CMS">
      <formula>NOT(ISERROR(SEARCH("CMS",G62)))</formula>
    </cfRule>
    <cfRule type="cellIs" dxfId="8678" priority="575" operator="equal">
      <formula>0</formula>
    </cfRule>
    <cfRule type="cellIs" dxfId="8677" priority="576" operator="greaterThan">
      <formula>0</formula>
    </cfRule>
  </conditionalFormatting>
  <conditionalFormatting sqref="G62:G64">
    <cfRule type="cellIs" dxfId="8676" priority="565" operator="equal">
      <formula>"PMS"</formula>
    </cfRule>
    <cfRule type="containsText" dxfId="8675" priority="566" operator="containsText" text="CMS">
      <formula>NOT(ISERROR(SEARCH("CMS",G62)))</formula>
    </cfRule>
    <cfRule type="cellIs" dxfId="8674" priority="567" operator="equal">
      <formula>0</formula>
    </cfRule>
    <cfRule type="cellIs" dxfId="8673" priority="568" operator="greaterThan">
      <formula>0</formula>
    </cfRule>
  </conditionalFormatting>
  <conditionalFormatting sqref="N40">
    <cfRule type="cellIs" dxfId="8672" priority="557" operator="equal">
      <formula>"PMS"</formula>
    </cfRule>
    <cfRule type="containsText" dxfId="8671" priority="558" operator="containsText" text="CMS">
      <formula>NOT(ISERROR(SEARCH("CMS",N40)))</formula>
    </cfRule>
    <cfRule type="cellIs" dxfId="8670" priority="559" operator="equal">
      <formula>0</formula>
    </cfRule>
    <cfRule type="cellIs" dxfId="8669" priority="560" operator="greaterThan">
      <formula>0</formula>
    </cfRule>
    <cfRule type="cellIs" dxfId="8668" priority="561" operator="equal">
      <formula>"PMS"</formula>
    </cfRule>
    <cfRule type="containsText" dxfId="8667" priority="562" operator="containsText" text="CMS">
      <formula>NOT(ISERROR(SEARCH("CMS",N40)))</formula>
    </cfRule>
    <cfRule type="cellIs" dxfId="8666" priority="563" operator="equal">
      <formula>0</formula>
    </cfRule>
    <cfRule type="cellIs" dxfId="8665" priority="564" operator="greaterThan">
      <formula>0</formula>
    </cfRule>
  </conditionalFormatting>
  <conditionalFormatting sqref="N40">
    <cfRule type="cellIs" dxfId="8664" priority="553" operator="equal">
      <formula>"PMS"</formula>
    </cfRule>
    <cfRule type="containsText" dxfId="8663" priority="554" operator="containsText" text="CMS">
      <formula>NOT(ISERROR(SEARCH("CMS",N40)))</formula>
    </cfRule>
    <cfRule type="cellIs" dxfId="8662" priority="555" operator="equal">
      <formula>0</formula>
    </cfRule>
    <cfRule type="cellIs" dxfId="8661" priority="556" operator="greaterThan">
      <formula>0</formula>
    </cfRule>
  </conditionalFormatting>
  <conditionalFormatting sqref="O30">
    <cfRule type="cellIs" dxfId="8660" priority="545" operator="equal">
      <formula>"PMS"</formula>
    </cfRule>
    <cfRule type="containsText" dxfId="8659" priority="546" operator="containsText" text="CMS">
      <formula>NOT(ISERROR(SEARCH("CMS",O30)))</formula>
    </cfRule>
    <cfRule type="cellIs" dxfId="8658" priority="547" operator="equal">
      <formula>0</formula>
    </cfRule>
    <cfRule type="cellIs" dxfId="8657" priority="548" operator="greaterThan">
      <formula>0</formula>
    </cfRule>
    <cfRule type="cellIs" dxfId="8656" priority="549" operator="equal">
      <formula>"PMS"</formula>
    </cfRule>
    <cfRule type="containsText" dxfId="8655" priority="550" operator="containsText" text="CMS">
      <formula>NOT(ISERROR(SEARCH("CMS",O30)))</formula>
    </cfRule>
    <cfRule type="cellIs" dxfId="8654" priority="551" operator="equal">
      <formula>0</formula>
    </cfRule>
    <cfRule type="cellIs" dxfId="8653" priority="552" operator="greaterThan">
      <formula>0</formula>
    </cfRule>
  </conditionalFormatting>
  <conditionalFormatting sqref="O30">
    <cfRule type="cellIs" dxfId="8652" priority="541" operator="equal">
      <formula>"PMS"</formula>
    </cfRule>
    <cfRule type="containsText" dxfId="8651" priority="542" operator="containsText" text="CMS">
      <formula>NOT(ISERROR(SEARCH("CMS",O30)))</formula>
    </cfRule>
    <cfRule type="cellIs" dxfId="8650" priority="543" operator="equal">
      <formula>0</formula>
    </cfRule>
    <cfRule type="cellIs" dxfId="8649" priority="544" operator="greaterThan">
      <formula>0</formula>
    </cfRule>
  </conditionalFormatting>
  <conditionalFormatting sqref="O47:O49">
    <cfRule type="cellIs" dxfId="8648" priority="533" operator="equal">
      <formula>"PMS"</formula>
    </cfRule>
    <cfRule type="containsText" dxfId="8647" priority="534" operator="containsText" text="CMS">
      <formula>NOT(ISERROR(SEARCH("CMS",O47)))</formula>
    </cfRule>
    <cfRule type="cellIs" dxfId="8646" priority="535" operator="equal">
      <formula>0</formula>
    </cfRule>
    <cfRule type="cellIs" dxfId="8645" priority="536" operator="greaterThan">
      <formula>0</formula>
    </cfRule>
    <cfRule type="cellIs" dxfId="8644" priority="537" operator="equal">
      <formula>"PMS"</formula>
    </cfRule>
    <cfRule type="containsText" dxfId="8643" priority="538" operator="containsText" text="CMS">
      <formula>NOT(ISERROR(SEARCH("CMS",O47)))</formula>
    </cfRule>
    <cfRule type="cellIs" dxfId="8642" priority="539" operator="equal">
      <formula>0</formula>
    </cfRule>
    <cfRule type="cellIs" dxfId="8641" priority="540" operator="greaterThan">
      <formula>0</formula>
    </cfRule>
  </conditionalFormatting>
  <conditionalFormatting sqref="O47:O49">
    <cfRule type="cellIs" dxfId="8640" priority="529" operator="equal">
      <formula>"PMS"</formula>
    </cfRule>
    <cfRule type="containsText" dxfId="8639" priority="530" operator="containsText" text="CMS">
      <formula>NOT(ISERROR(SEARCH("CMS",O47)))</formula>
    </cfRule>
    <cfRule type="cellIs" dxfId="8638" priority="531" operator="equal">
      <formula>0</formula>
    </cfRule>
    <cfRule type="cellIs" dxfId="8637" priority="532" operator="greaterThan">
      <formula>0</formula>
    </cfRule>
  </conditionalFormatting>
  <conditionalFormatting sqref="F82">
    <cfRule type="cellIs" dxfId="8636" priority="521" operator="equal">
      <formula>"PMS"</formula>
    </cfRule>
    <cfRule type="containsText" dxfId="8635" priority="522" operator="containsText" text="CMS">
      <formula>NOT(ISERROR(SEARCH("CMS",F82)))</formula>
    </cfRule>
    <cfRule type="cellIs" dxfId="8634" priority="523" operator="equal">
      <formula>0</formula>
    </cfRule>
    <cfRule type="cellIs" dxfId="8633" priority="524" operator="greaterThan">
      <formula>0</formula>
    </cfRule>
    <cfRule type="cellIs" dxfId="8632" priority="525" operator="equal">
      <formula>"PMS"</formula>
    </cfRule>
    <cfRule type="containsText" dxfId="8631" priority="526" operator="containsText" text="CMS">
      <formula>NOT(ISERROR(SEARCH("CMS",F82)))</formula>
    </cfRule>
    <cfRule type="cellIs" dxfId="8630" priority="527" operator="equal">
      <formula>0</formula>
    </cfRule>
    <cfRule type="cellIs" dxfId="8629" priority="528" operator="greaterThan">
      <formula>0</formula>
    </cfRule>
  </conditionalFormatting>
  <conditionalFormatting sqref="F82">
    <cfRule type="cellIs" dxfId="8628" priority="517" operator="equal">
      <formula>"PMS"</formula>
    </cfRule>
    <cfRule type="containsText" dxfId="8627" priority="518" operator="containsText" text="CMS">
      <formula>NOT(ISERROR(SEARCH("CMS",F82)))</formula>
    </cfRule>
    <cfRule type="cellIs" dxfId="8626" priority="519" operator="equal">
      <formula>0</formula>
    </cfRule>
    <cfRule type="cellIs" dxfId="8625" priority="520" operator="greaterThan">
      <formula>0</formula>
    </cfRule>
  </conditionalFormatting>
  <conditionalFormatting sqref="H15">
    <cfRule type="cellIs" dxfId="8624" priority="509" operator="equal">
      <formula>"PMS"</formula>
    </cfRule>
    <cfRule type="containsText" dxfId="8623" priority="510" operator="containsText" text="CMS">
      <formula>NOT(ISERROR(SEARCH("CMS",H15)))</formula>
    </cfRule>
    <cfRule type="cellIs" dxfId="8622" priority="511" operator="equal">
      <formula>0</formula>
    </cfRule>
    <cfRule type="cellIs" dxfId="8621" priority="512" operator="greaterThan">
      <formula>0</formula>
    </cfRule>
    <cfRule type="cellIs" dxfId="8620" priority="513" operator="equal">
      <formula>"PMS"</formula>
    </cfRule>
    <cfRule type="containsText" dxfId="8619" priority="514" operator="containsText" text="CMS">
      <formula>NOT(ISERROR(SEARCH("CMS",H15)))</formula>
    </cfRule>
    <cfRule type="cellIs" dxfId="8618" priority="515" operator="equal">
      <formula>0</formula>
    </cfRule>
    <cfRule type="cellIs" dxfId="8617" priority="516" operator="greaterThan">
      <formula>0</formula>
    </cfRule>
  </conditionalFormatting>
  <conditionalFormatting sqref="H15">
    <cfRule type="cellIs" dxfId="8616" priority="505" operator="equal">
      <formula>"PMS"</formula>
    </cfRule>
    <cfRule type="containsText" dxfId="8615" priority="506" operator="containsText" text="CMS">
      <formula>NOT(ISERROR(SEARCH("CMS",H15)))</formula>
    </cfRule>
    <cfRule type="cellIs" dxfId="8614" priority="507" operator="equal">
      <formula>0</formula>
    </cfRule>
    <cfRule type="cellIs" dxfId="8613" priority="508" operator="greaterThan">
      <formula>0</formula>
    </cfRule>
  </conditionalFormatting>
  <conditionalFormatting sqref="G14">
    <cfRule type="cellIs" dxfId="8612" priority="497" operator="equal">
      <formula>"PMS"</formula>
    </cfRule>
    <cfRule type="containsText" dxfId="8611" priority="498" operator="containsText" text="CMS">
      <formula>NOT(ISERROR(SEARCH("CMS",G14)))</formula>
    </cfRule>
    <cfRule type="cellIs" dxfId="8610" priority="499" operator="equal">
      <formula>0</formula>
    </cfRule>
    <cfRule type="cellIs" dxfId="8609" priority="500" operator="greaterThan">
      <formula>0</formula>
    </cfRule>
    <cfRule type="cellIs" dxfId="8608" priority="501" operator="equal">
      <formula>"PMS"</formula>
    </cfRule>
    <cfRule type="containsText" dxfId="8607" priority="502" operator="containsText" text="CMS">
      <formula>NOT(ISERROR(SEARCH("CMS",G14)))</formula>
    </cfRule>
    <cfRule type="cellIs" dxfId="8606" priority="503" operator="equal">
      <formula>0</formula>
    </cfRule>
    <cfRule type="cellIs" dxfId="8605" priority="504" operator="greaterThan">
      <formula>0</formula>
    </cfRule>
  </conditionalFormatting>
  <conditionalFormatting sqref="G14">
    <cfRule type="cellIs" dxfId="8604" priority="493" operator="equal">
      <formula>"PMS"</formula>
    </cfRule>
    <cfRule type="containsText" dxfId="8603" priority="494" operator="containsText" text="CMS">
      <formula>NOT(ISERROR(SEARCH("CMS",G14)))</formula>
    </cfRule>
    <cfRule type="cellIs" dxfId="8602" priority="495" operator="equal">
      <formula>0</formula>
    </cfRule>
    <cfRule type="cellIs" dxfId="8601" priority="496" operator="greaterThan">
      <formula>0</formula>
    </cfRule>
  </conditionalFormatting>
  <conditionalFormatting sqref="N63:N64">
    <cfRule type="cellIs" dxfId="8600" priority="485" operator="equal">
      <formula>"PMS"</formula>
    </cfRule>
    <cfRule type="containsText" dxfId="8599" priority="486" operator="containsText" text="CMS">
      <formula>NOT(ISERROR(SEARCH("CMS",N63)))</formula>
    </cfRule>
    <cfRule type="cellIs" dxfId="8598" priority="487" operator="equal">
      <formula>0</formula>
    </cfRule>
    <cfRule type="cellIs" dxfId="8597" priority="488" operator="greaterThan">
      <formula>0</formula>
    </cfRule>
    <cfRule type="cellIs" dxfId="8596" priority="489" operator="equal">
      <formula>"PMS"</formula>
    </cfRule>
    <cfRule type="containsText" dxfId="8595" priority="490" operator="containsText" text="CMS">
      <formula>NOT(ISERROR(SEARCH("CMS",N63)))</formula>
    </cfRule>
    <cfRule type="cellIs" dxfId="8594" priority="491" operator="equal">
      <formula>0</formula>
    </cfRule>
    <cfRule type="cellIs" dxfId="8593" priority="492" operator="greaterThan">
      <formula>0</formula>
    </cfRule>
  </conditionalFormatting>
  <conditionalFormatting sqref="N63:N64">
    <cfRule type="cellIs" dxfId="8592" priority="481" operator="equal">
      <formula>"PMS"</formula>
    </cfRule>
    <cfRule type="containsText" dxfId="8591" priority="482" operator="containsText" text="CMS">
      <formula>NOT(ISERROR(SEARCH("CMS",N63)))</formula>
    </cfRule>
    <cfRule type="cellIs" dxfId="8590" priority="483" operator="equal">
      <formula>0</formula>
    </cfRule>
    <cfRule type="cellIs" dxfId="8589" priority="484" operator="greaterThan">
      <formula>0</formula>
    </cfRule>
  </conditionalFormatting>
  <conditionalFormatting sqref="G78:K78">
    <cfRule type="cellIs" dxfId="8588" priority="473" operator="equal">
      <formula>"PMS"</formula>
    </cfRule>
    <cfRule type="containsText" dxfId="8587" priority="474" operator="containsText" text="CMS">
      <formula>NOT(ISERROR(SEARCH("CMS",G78)))</formula>
    </cfRule>
    <cfRule type="cellIs" dxfId="8586" priority="475" operator="equal">
      <formula>0</formula>
    </cfRule>
    <cfRule type="cellIs" dxfId="8585" priority="476" operator="greaterThan">
      <formula>0</formula>
    </cfRule>
    <cfRule type="cellIs" dxfId="8584" priority="477" operator="equal">
      <formula>"PMS"</formula>
    </cfRule>
    <cfRule type="containsText" dxfId="8583" priority="478" operator="containsText" text="CMS">
      <formula>NOT(ISERROR(SEARCH("CMS",G78)))</formula>
    </cfRule>
    <cfRule type="cellIs" dxfId="8582" priority="479" operator="equal">
      <formula>0</formula>
    </cfRule>
    <cfRule type="cellIs" dxfId="8581" priority="480" operator="greaterThan">
      <formula>0</formula>
    </cfRule>
  </conditionalFormatting>
  <conditionalFormatting sqref="G78:K78">
    <cfRule type="cellIs" dxfId="8580" priority="469" operator="equal">
      <formula>"PMS"</formula>
    </cfRule>
    <cfRule type="containsText" dxfId="8579" priority="470" operator="containsText" text="CMS">
      <formula>NOT(ISERROR(SEARCH("CMS",G78)))</formula>
    </cfRule>
    <cfRule type="cellIs" dxfId="8578" priority="471" operator="equal">
      <formula>0</formula>
    </cfRule>
    <cfRule type="cellIs" dxfId="8577" priority="472" operator="greaterThan">
      <formula>0</formula>
    </cfRule>
  </conditionalFormatting>
  <conditionalFormatting sqref="L78:L79">
    <cfRule type="cellIs" dxfId="8576" priority="461" operator="equal">
      <formula>"PMS"</formula>
    </cfRule>
    <cfRule type="containsText" dxfId="8575" priority="462" operator="containsText" text="CMS">
      <formula>NOT(ISERROR(SEARCH("CMS",L78)))</formula>
    </cfRule>
    <cfRule type="cellIs" dxfId="8574" priority="463" operator="equal">
      <formula>0</formula>
    </cfRule>
    <cfRule type="cellIs" dxfId="8573" priority="464" operator="greaterThan">
      <formula>0</formula>
    </cfRule>
    <cfRule type="cellIs" dxfId="8572" priority="465" operator="equal">
      <formula>"PMS"</formula>
    </cfRule>
    <cfRule type="containsText" dxfId="8571" priority="466" operator="containsText" text="CMS">
      <formula>NOT(ISERROR(SEARCH("CMS",L78)))</formula>
    </cfRule>
    <cfRule type="cellIs" dxfId="8570" priority="467" operator="equal">
      <formula>0</formula>
    </cfRule>
    <cfRule type="cellIs" dxfId="8569" priority="468" operator="greaterThan">
      <formula>0</formula>
    </cfRule>
  </conditionalFormatting>
  <conditionalFormatting sqref="L78:L79">
    <cfRule type="cellIs" dxfId="8568" priority="457" operator="equal">
      <formula>"PMS"</formula>
    </cfRule>
    <cfRule type="containsText" dxfId="8567" priority="458" operator="containsText" text="CMS">
      <formula>NOT(ISERROR(SEARCH("CMS",L78)))</formula>
    </cfRule>
    <cfRule type="cellIs" dxfId="8566" priority="459" operator="equal">
      <formula>0</formula>
    </cfRule>
    <cfRule type="cellIs" dxfId="8565" priority="460" operator="greaterThan">
      <formula>0</formula>
    </cfRule>
  </conditionalFormatting>
  <conditionalFormatting sqref="R27:R28">
    <cfRule type="cellIs" dxfId="8564" priority="449" operator="equal">
      <formula>"PMS"</formula>
    </cfRule>
    <cfRule type="containsText" dxfId="8563" priority="450" operator="containsText" text="CMS">
      <formula>NOT(ISERROR(SEARCH("CMS",R27)))</formula>
    </cfRule>
    <cfRule type="cellIs" dxfId="8562" priority="451" operator="equal">
      <formula>0</formula>
    </cfRule>
    <cfRule type="cellIs" dxfId="8561" priority="452" operator="greaterThan">
      <formula>0</formula>
    </cfRule>
    <cfRule type="cellIs" dxfId="8560" priority="453" operator="equal">
      <formula>"PMS"</formula>
    </cfRule>
    <cfRule type="containsText" dxfId="8559" priority="454" operator="containsText" text="CMS">
      <formula>NOT(ISERROR(SEARCH("CMS",R27)))</formula>
    </cfRule>
    <cfRule type="cellIs" dxfId="8558" priority="455" operator="equal">
      <formula>0</formula>
    </cfRule>
    <cfRule type="cellIs" dxfId="8557" priority="456" operator="greaterThan">
      <formula>0</formula>
    </cfRule>
  </conditionalFormatting>
  <conditionalFormatting sqref="R27:R28">
    <cfRule type="cellIs" dxfId="8556" priority="445" operator="equal">
      <formula>"PMS"</formula>
    </cfRule>
    <cfRule type="containsText" dxfId="8555" priority="446" operator="containsText" text="CMS">
      <formula>NOT(ISERROR(SEARCH("CMS",R27)))</formula>
    </cfRule>
    <cfRule type="cellIs" dxfId="8554" priority="447" operator="equal">
      <formula>0</formula>
    </cfRule>
    <cfRule type="cellIs" dxfId="8553" priority="448" operator="greaterThan">
      <formula>0</formula>
    </cfRule>
  </conditionalFormatting>
  <conditionalFormatting sqref="AA79:AB79">
    <cfRule type="cellIs" dxfId="8552" priority="437" operator="equal">
      <formula>"PMS"</formula>
    </cfRule>
    <cfRule type="containsText" dxfId="8551" priority="438" operator="containsText" text="CMS">
      <formula>NOT(ISERROR(SEARCH("CMS",AA79)))</formula>
    </cfRule>
    <cfRule type="cellIs" dxfId="8550" priority="439" operator="equal">
      <formula>0</formula>
    </cfRule>
    <cfRule type="cellIs" dxfId="8549" priority="440" operator="greaterThan">
      <formula>0</formula>
    </cfRule>
    <cfRule type="cellIs" dxfId="8548" priority="441" operator="equal">
      <formula>"PMS"</formula>
    </cfRule>
    <cfRule type="containsText" dxfId="8547" priority="442" operator="containsText" text="CMS">
      <formula>NOT(ISERROR(SEARCH("CMS",AA79)))</formula>
    </cfRule>
    <cfRule type="cellIs" dxfId="8546" priority="443" operator="equal">
      <formula>0</formula>
    </cfRule>
    <cfRule type="cellIs" dxfId="8545" priority="444" operator="greaterThan">
      <formula>0</formula>
    </cfRule>
  </conditionalFormatting>
  <conditionalFormatting sqref="AA79:AB79">
    <cfRule type="cellIs" dxfId="8544" priority="433" operator="equal">
      <formula>"PMS"</formula>
    </cfRule>
    <cfRule type="containsText" dxfId="8543" priority="434" operator="containsText" text="CMS">
      <formula>NOT(ISERROR(SEARCH("CMS",AA79)))</formula>
    </cfRule>
    <cfRule type="cellIs" dxfId="8542" priority="435" operator="equal">
      <formula>0</formula>
    </cfRule>
    <cfRule type="cellIs" dxfId="8541" priority="436" operator="greaterThan">
      <formula>0</formula>
    </cfRule>
  </conditionalFormatting>
  <conditionalFormatting sqref="M30">
    <cfRule type="cellIs" dxfId="8540" priority="425" operator="equal">
      <formula>"PMS"</formula>
    </cfRule>
    <cfRule type="containsText" dxfId="8539" priority="426" operator="containsText" text="CMS">
      <formula>NOT(ISERROR(SEARCH("CMS",M30)))</formula>
    </cfRule>
    <cfRule type="cellIs" dxfId="8538" priority="427" operator="equal">
      <formula>0</formula>
    </cfRule>
    <cfRule type="cellIs" dxfId="8537" priority="428" operator="greaterThan">
      <formula>0</formula>
    </cfRule>
    <cfRule type="cellIs" dxfId="8536" priority="429" operator="equal">
      <formula>"PMS"</formula>
    </cfRule>
    <cfRule type="containsText" dxfId="8535" priority="430" operator="containsText" text="CMS">
      <formula>NOT(ISERROR(SEARCH("CMS",M30)))</formula>
    </cfRule>
    <cfRule type="cellIs" dxfId="8534" priority="431" operator="equal">
      <formula>0</formula>
    </cfRule>
    <cfRule type="cellIs" dxfId="8533" priority="432" operator="greaterThan">
      <formula>0</formula>
    </cfRule>
  </conditionalFormatting>
  <conditionalFormatting sqref="M30">
    <cfRule type="cellIs" dxfId="8532" priority="421" operator="equal">
      <formula>"PMS"</formula>
    </cfRule>
    <cfRule type="containsText" dxfId="8531" priority="422" operator="containsText" text="CMS">
      <formula>NOT(ISERROR(SEARCH("CMS",M30)))</formula>
    </cfRule>
    <cfRule type="cellIs" dxfId="8530" priority="423" operator="equal">
      <formula>0</formula>
    </cfRule>
    <cfRule type="cellIs" dxfId="8529" priority="424" operator="greaterThan">
      <formula>0</formula>
    </cfRule>
  </conditionalFormatting>
  <conditionalFormatting sqref="R78">
    <cfRule type="cellIs" dxfId="8528" priority="413" operator="equal">
      <formula>"PMS"</formula>
    </cfRule>
    <cfRule type="containsText" dxfId="8527" priority="414" operator="containsText" text="CMS">
      <formula>NOT(ISERROR(SEARCH("CMS",R78)))</formula>
    </cfRule>
    <cfRule type="cellIs" dxfId="8526" priority="415" operator="equal">
      <formula>0</formula>
    </cfRule>
    <cfRule type="cellIs" dxfId="8525" priority="416" operator="greaterThan">
      <formula>0</formula>
    </cfRule>
    <cfRule type="cellIs" dxfId="8524" priority="417" operator="equal">
      <formula>"PMS"</formula>
    </cfRule>
    <cfRule type="containsText" dxfId="8523" priority="418" operator="containsText" text="CMS">
      <formula>NOT(ISERROR(SEARCH("CMS",R78)))</formula>
    </cfRule>
    <cfRule type="cellIs" dxfId="8522" priority="419" operator="equal">
      <formula>0</formula>
    </cfRule>
    <cfRule type="cellIs" dxfId="8521" priority="420" operator="greaterThan">
      <formula>0</formula>
    </cfRule>
  </conditionalFormatting>
  <conditionalFormatting sqref="R78">
    <cfRule type="cellIs" dxfId="8520" priority="409" operator="equal">
      <formula>"PMS"</formula>
    </cfRule>
    <cfRule type="containsText" dxfId="8519" priority="410" operator="containsText" text="CMS">
      <formula>NOT(ISERROR(SEARCH("CMS",R78)))</formula>
    </cfRule>
    <cfRule type="cellIs" dxfId="8518" priority="411" operator="equal">
      <formula>0</formula>
    </cfRule>
    <cfRule type="cellIs" dxfId="8517" priority="412" operator="greaterThan">
      <formula>0</formula>
    </cfRule>
  </conditionalFormatting>
  <conditionalFormatting sqref="M16">
    <cfRule type="cellIs" dxfId="8516" priority="401" operator="equal">
      <formula>"PMS"</formula>
    </cfRule>
    <cfRule type="containsText" dxfId="8515" priority="402" operator="containsText" text="CMS">
      <formula>NOT(ISERROR(SEARCH("CMS",M16)))</formula>
    </cfRule>
    <cfRule type="cellIs" dxfId="8514" priority="403" operator="equal">
      <formula>0</formula>
    </cfRule>
    <cfRule type="cellIs" dxfId="8513" priority="404" operator="greaterThan">
      <formula>0</formula>
    </cfRule>
    <cfRule type="cellIs" dxfId="8512" priority="405" operator="equal">
      <formula>"PMS"</formula>
    </cfRule>
    <cfRule type="containsText" dxfId="8511" priority="406" operator="containsText" text="CMS">
      <formula>NOT(ISERROR(SEARCH("CMS",M16)))</formula>
    </cfRule>
    <cfRule type="cellIs" dxfId="8510" priority="407" operator="equal">
      <formula>0</formula>
    </cfRule>
    <cfRule type="cellIs" dxfId="8509" priority="408" operator="greaterThan">
      <formula>0</formula>
    </cfRule>
  </conditionalFormatting>
  <conditionalFormatting sqref="M16">
    <cfRule type="cellIs" dxfId="8508" priority="397" operator="equal">
      <formula>"PMS"</formula>
    </cfRule>
    <cfRule type="containsText" dxfId="8507" priority="398" operator="containsText" text="CMS">
      <formula>NOT(ISERROR(SEARCH("CMS",M16)))</formula>
    </cfRule>
    <cfRule type="cellIs" dxfId="8506" priority="399" operator="equal">
      <formula>0</formula>
    </cfRule>
    <cfRule type="cellIs" dxfId="8505" priority="400" operator="greaterThan">
      <formula>0</formula>
    </cfRule>
  </conditionalFormatting>
  <conditionalFormatting sqref="O40">
    <cfRule type="cellIs" dxfId="8504" priority="389" operator="equal">
      <formula>"PMS"</formula>
    </cfRule>
    <cfRule type="containsText" dxfId="8503" priority="390" operator="containsText" text="CMS">
      <formula>NOT(ISERROR(SEARCH("CMS",O40)))</formula>
    </cfRule>
    <cfRule type="cellIs" dxfId="8502" priority="391" operator="equal">
      <formula>0</formula>
    </cfRule>
    <cfRule type="cellIs" dxfId="8501" priority="392" operator="greaterThan">
      <formula>0</formula>
    </cfRule>
    <cfRule type="cellIs" dxfId="8500" priority="393" operator="equal">
      <formula>"PMS"</formula>
    </cfRule>
    <cfRule type="containsText" dxfId="8499" priority="394" operator="containsText" text="CMS">
      <formula>NOT(ISERROR(SEARCH("CMS",O40)))</formula>
    </cfRule>
    <cfRule type="cellIs" dxfId="8498" priority="395" operator="equal">
      <formula>0</formula>
    </cfRule>
    <cfRule type="cellIs" dxfId="8497" priority="396" operator="greaterThan">
      <formula>0</formula>
    </cfRule>
  </conditionalFormatting>
  <conditionalFormatting sqref="O40">
    <cfRule type="cellIs" dxfId="8496" priority="385" operator="equal">
      <formula>"PMS"</formula>
    </cfRule>
    <cfRule type="containsText" dxfId="8495" priority="386" operator="containsText" text="CMS">
      <formula>NOT(ISERROR(SEARCH("CMS",O40)))</formula>
    </cfRule>
    <cfRule type="cellIs" dxfId="8494" priority="387" operator="equal">
      <formula>0</formula>
    </cfRule>
    <cfRule type="cellIs" dxfId="8493" priority="388" operator="greaterThan">
      <formula>0</formula>
    </cfRule>
  </conditionalFormatting>
  <conditionalFormatting sqref="P21">
    <cfRule type="cellIs" dxfId="8492" priority="377" operator="equal">
      <formula>"PMS"</formula>
    </cfRule>
    <cfRule type="containsText" dxfId="8491" priority="378" operator="containsText" text="CMS">
      <formula>NOT(ISERROR(SEARCH("CMS",P21)))</formula>
    </cfRule>
    <cfRule type="cellIs" dxfId="8490" priority="379" operator="equal">
      <formula>0</formula>
    </cfRule>
    <cfRule type="cellIs" dxfId="8489" priority="380" operator="greaterThan">
      <formula>0</formula>
    </cfRule>
    <cfRule type="cellIs" dxfId="8488" priority="381" operator="equal">
      <formula>"PMS"</formula>
    </cfRule>
    <cfRule type="containsText" dxfId="8487" priority="382" operator="containsText" text="CMS">
      <formula>NOT(ISERROR(SEARCH("CMS",P21)))</formula>
    </cfRule>
    <cfRule type="cellIs" dxfId="8486" priority="383" operator="equal">
      <formula>0</formula>
    </cfRule>
    <cfRule type="cellIs" dxfId="8485" priority="384" operator="greaterThan">
      <formula>0</formula>
    </cfRule>
  </conditionalFormatting>
  <conditionalFormatting sqref="P21">
    <cfRule type="cellIs" dxfId="8484" priority="373" operator="equal">
      <formula>"PMS"</formula>
    </cfRule>
    <cfRule type="containsText" dxfId="8483" priority="374" operator="containsText" text="CMS">
      <formula>NOT(ISERROR(SEARCH("CMS",P21)))</formula>
    </cfRule>
    <cfRule type="cellIs" dxfId="8482" priority="375" operator="equal">
      <formula>0</formula>
    </cfRule>
    <cfRule type="cellIs" dxfId="8481" priority="376" operator="greaterThan">
      <formula>0</formula>
    </cfRule>
  </conditionalFormatting>
  <conditionalFormatting sqref="M78:M79">
    <cfRule type="cellIs" dxfId="8480" priority="365" operator="equal">
      <formula>"PMS"</formula>
    </cfRule>
    <cfRule type="containsText" dxfId="8479" priority="366" operator="containsText" text="CMS">
      <formula>NOT(ISERROR(SEARCH("CMS",M78)))</formula>
    </cfRule>
    <cfRule type="cellIs" dxfId="8478" priority="367" operator="equal">
      <formula>0</formula>
    </cfRule>
    <cfRule type="cellIs" dxfId="8477" priority="368" operator="greaterThan">
      <formula>0</formula>
    </cfRule>
    <cfRule type="cellIs" dxfId="8476" priority="369" operator="equal">
      <formula>"PMS"</formula>
    </cfRule>
    <cfRule type="containsText" dxfId="8475" priority="370" operator="containsText" text="CMS">
      <formula>NOT(ISERROR(SEARCH("CMS",M78)))</formula>
    </cfRule>
    <cfRule type="cellIs" dxfId="8474" priority="371" operator="equal">
      <formula>0</formula>
    </cfRule>
    <cfRule type="cellIs" dxfId="8473" priority="372" operator="greaterThan">
      <formula>0</formula>
    </cfRule>
  </conditionalFormatting>
  <conditionalFormatting sqref="M78:M79">
    <cfRule type="cellIs" dxfId="8472" priority="361" operator="equal">
      <formula>"PMS"</formula>
    </cfRule>
    <cfRule type="containsText" dxfId="8471" priority="362" operator="containsText" text="CMS">
      <formula>NOT(ISERROR(SEARCH("CMS",M78)))</formula>
    </cfRule>
    <cfRule type="cellIs" dxfId="8470" priority="363" operator="equal">
      <formula>0</formula>
    </cfRule>
    <cfRule type="cellIs" dxfId="8469" priority="364" operator="greaterThan">
      <formula>0</formula>
    </cfRule>
  </conditionalFormatting>
  <conditionalFormatting sqref="G79:K79">
    <cfRule type="cellIs" dxfId="8468" priority="353" operator="equal">
      <formula>"PMS"</formula>
    </cfRule>
    <cfRule type="containsText" dxfId="8467" priority="354" operator="containsText" text="CMS">
      <formula>NOT(ISERROR(SEARCH("CMS",G79)))</formula>
    </cfRule>
    <cfRule type="cellIs" dxfId="8466" priority="355" operator="equal">
      <formula>0</formula>
    </cfRule>
    <cfRule type="cellIs" dxfId="8465" priority="356" operator="greaterThan">
      <formula>0</formula>
    </cfRule>
    <cfRule type="cellIs" dxfId="8464" priority="357" operator="equal">
      <formula>"PMS"</formula>
    </cfRule>
    <cfRule type="containsText" dxfId="8463" priority="358" operator="containsText" text="CMS">
      <formula>NOT(ISERROR(SEARCH("CMS",G79)))</formula>
    </cfRule>
    <cfRule type="cellIs" dxfId="8462" priority="359" operator="equal">
      <formula>0</formula>
    </cfRule>
    <cfRule type="cellIs" dxfId="8461" priority="360" operator="greaterThan">
      <formula>0</formula>
    </cfRule>
  </conditionalFormatting>
  <conditionalFormatting sqref="G79:K79">
    <cfRule type="cellIs" dxfId="8460" priority="349" operator="equal">
      <formula>"PMS"</formula>
    </cfRule>
    <cfRule type="containsText" dxfId="8459" priority="350" operator="containsText" text="CMS">
      <formula>NOT(ISERROR(SEARCH("CMS",G79)))</formula>
    </cfRule>
    <cfRule type="cellIs" dxfId="8458" priority="351" operator="equal">
      <formula>0</formula>
    </cfRule>
    <cfRule type="cellIs" dxfId="8457" priority="352" operator="greaterThan">
      <formula>0</formula>
    </cfRule>
  </conditionalFormatting>
  <conditionalFormatting sqref="N14">
    <cfRule type="cellIs" dxfId="8456" priority="341" operator="equal">
      <formula>"PMS"</formula>
    </cfRule>
    <cfRule type="containsText" dxfId="8455" priority="342" operator="containsText" text="CMS">
      <formula>NOT(ISERROR(SEARCH("CMS",N14)))</formula>
    </cfRule>
    <cfRule type="cellIs" dxfId="8454" priority="343" operator="equal">
      <formula>0</formula>
    </cfRule>
    <cfRule type="cellIs" dxfId="8453" priority="344" operator="greaterThan">
      <formula>0</formula>
    </cfRule>
    <cfRule type="cellIs" dxfId="8452" priority="345" operator="equal">
      <formula>"PMS"</formula>
    </cfRule>
    <cfRule type="containsText" dxfId="8451" priority="346" operator="containsText" text="CMS">
      <formula>NOT(ISERROR(SEARCH("CMS",N14)))</formula>
    </cfRule>
    <cfRule type="cellIs" dxfId="8450" priority="347" operator="equal">
      <formula>0</formula>
    </cfRule>
    <cfRule type="cellIs" dxfId="8449" priority="348" operator="greaterThan">
      <formula>0</formula>
    </cfRule>
  </conditionalFormatting>
  <conditionalFormatting sqref="N14">
    <cfRule type="cellIs" dxfId="8448" priority="337" operator="equal">
      <formula>"PMS"</formula>
    </cfRule>
    <cfRule type="containsText" dxfId="8447" priority="338" operator="containsText" text="CMS">
      <formula>NOT(ISERROR(SEARCH("CMS",N14)))</formula>
    </cfRule>
    <cfRule type="cellIs" dxfId="8446" priority="339" operator="equal">
      <formula>0</formula>
    </cfRule>
    <cfRule type="cellIs" dxfId="8445" priority="340" operator="greaterThan">
      <formula>0</formula>
    </cfRule>
  </conditionalFormatting>
  <conditionalFormatting sqref="Q64">
    <cfRule type="cellIs" dxfId="8444" priority="329" operator="equal">
      <formula>"PMS"</formula>
    </cfRule>
    <cfRule type="containsText" dxfId="8443" priority="330" operator="containsText" text="CMS">
      <formula>NOT(ISERROR(SEARCH("CMS",Q64)))</formula>
    </cfRule>
    <cfRule type="cellIs" dxfId="8442" priority="331" operator="equal">
      <formula>0</formula>
    </cfRule>
    <cfRule type="cellIs" dxfId="8441" priority="332" operator="greaterThan">
      <formula>0</formula>
    </cfRule>
    <cfRule type="cellIs" dxfId="8440" priority="333" operator="equal">
      <formula>"PMS"</formula>
    </cfRule>
    <cfRule type="containsText" dxfId="8439" priority="334" operator="containsText" text="CMS">
      <formula>NOT(ISERROR(SEARCH("CMS",Q64)))</formula>
    </cfRule>
    <cfRule type="cellIs" dxfId="8438" priority="335" operator="equal">
      <formula>0</formula>
    </cfRule>
    <cfRule type="cellIs" dxfId="8437" priority="336" operator="greaterThan">
      <formula>0</formula>
    </cfRule>
  </conditionalFormatting>
  <conditionalFormatting sqref="Q64">
    <cfRule type="cellIs" dxfId="8436" priority="325" operator="equal">
      <formula>"PMS"</formula>
    </cfRule>
    <cfRule type="containsText" dxfId="8435" priority="326" operator="containsText" text="CMS">
      <formula>NOT(ISERROR(SEARCH("CMS",Q64)))</formula>
    </cfRule>
    <cfRule type="cellIs" dxfId="8434" priority="327" operator="equal">
      <formula>0</formula>
    </cfRule>
    <cfRule type="cellIs" dxfId="8433" priority="328" operator="greaterThan">
      <formula>0</formula>
    </cfRule>
  </conditionalFormatting>
  <conditionalFormatting sqref="F36:F59">
    <cfRule type="cellIs" dxfId="8432" priority="317" operator="equal">
      <formula>"PMS"</formula>
    </cfRule>
    <cfRule type="containsText" dxfId="8431" priority="318" operator="containsText" text="CMS">
      <formula>NOT(ISERROR(SEARCH("CMS",F36)))</formula>
    </cfRule>
    <cfRule type="cellIs" dxfId="8430" priority="319" operator="equal">
      <formula>0</formula>
    </cfRule>
    <cfRule type="cellIs" dxfId="8429" priority="320" operator="greaterThan">
      <formula>0</formula>
    </cfRule>
    <cfRule type="cellIs" dxfId="8428" priority="321" operator="equal">
      <formula>"PMS"</formula>
    </cfRule>
    <cfRule type="containsText" dxfId="8427" priority="322" operator="containsText" text="CMS">
      <formula>NOT(ISERROR(SEARCH("CMS",F36)))</formula>
    </cfRule>
    <cfRule type="cellIs" dxfId="8426" priority="323" operator="equal">
      <formula>0</formula>
    </cfRule>
    <cfRule type="cellIs" dxfId="8425" priority="324" operator="greaterThan">
      <formula>0</formula>
    </cfRule>
  </conditionalFormatting>
  <conditionalFormatting sqref="F36:F59">
    <cfRule type="cellIs" dxfId="8424" priority="313" operator="equal">
      <formula>"PMS"</formula>
    </cfRule>
    <cfRule type="containsText" dxfId="8423" priority="314" operator="containsText" text="CMS">
      <formula>NOT(ISERROR(SEARCH("CMS",F36)))</formula>
    </cfRule>
    <cfRule type="cellIs" dxfId="8422" priority="315" operator="equal">
      <formula>0</formula>
    </cfRule>
    <cfRule type="cellIs" dxfId="8421" priority="316" operator="greaterThan">
      <formula>0</formula>
    </cfRule>
  </conditionalFormatting>
  <conditionalFormatting sqref="F67:F75">
    <cfRule type="cellIs" dxfId="8420" priority="305" operator="equal">
      <formula>"PMS"</formula>
    </cfRule>
    <cfRule type="containsText" dxfId="8419" priority="306" operator="containsText" text="CMS">
      <formula>NOT(ISERROR(SEARCH("CMS",F67)))</formula>
    </cfRule>
    <cfRule type="cellIs" dxfId="8418" priority="307" operator="equal">
      <formula>0</formula>
    </cfRule>
    <cfRule type="cellIs" dxfId="8417" priority="308" operator="greaterThan">
      <formula>0</formula>
    </cfRule>
    <cfRule type="cellIs" dxfId="8416" priority="309" operator="equal">
      <formula>"PMS"</formula>
    </cfRule>
    <cfRule type="containsText" dxfId="8415" priority="310" operator="containsText" text="CMS">
      <formula>NOT(ISERROR(SEARCH("CMS",F67)))</formula>
    </cfRule>
    <cfRule type="cellIs" dxfId="8414" priority="311" operator="equal">
      <formula>0</formula>
    </cfRule>
    <cfRule type="cellIs" dxfId="8413" priority="312" operator="greaterThan">
      <formula>0</formula>
    </cfRule>
  </conditionalFormatting>
  <conditionalFormatting sqref="F67:F75">
    <cfRule type="cellIs" dxfId="8412" priority="301" operator="equal">
      <formula>"PMS"</formula>
    </cfRule>
    <cfRule type="containsText" dxfId="8411" priority="302" operator="containsText" text="CMS">
      <formula>NOT(ISERROR(SEARCH("CMS",F67)))</formula>
    </cfRule>
    <cfRule type="cellIs" dxfId="8410" priority="303" operator="equal">
      <formula>0</formula>
    </cfRule>
    <cfRule type="cellIs" dxfId="8409" priority="304" operator="greaterThan">
      <formula>0</formula>
    </cfRule>
  </conditionalFormatting>
  <conditionalFormatting sqref="O51">
    <cfRule type="cellIs" dxfId="8408" priority="293" operator="equal">
      <formula>"PMS"</formula>
    </cfRule>
    <cfRule type="containsText" dxfId="8407" priority="294" operator="containsText" text="CMS">
      <formula>NOT(ISERROR(SEARCH("CMS",O51)))</formula>
    </cfRule>
    <cfRule type="cellIs" dxfId="8406" priority="295" operator="equal">
      <formula>0</formula>
    </cfRule>
    <cfRule type="cellIs" dxfId="8405" priority="296" operator="greaterThan">
      <formula>0</formula>
    </cfRule>
    <cfRule type="cellIs" dxfId="8404" priority="297" operator="equal">
      <formula>"PMS"</formula>
    </cfRule>
    <cfRule type="containsText" dxfId="8403" priority="298" operator="containsText" text="CMS">
      <formula>NOT(ISERROR(SEARCH("CMS",O51)))</formula>
    </cfRule>
    <cfRule type="cellIs" dxfId="8402" priority="299" operator="equal">
      <formula>0</formula>
    </cfRule>
    <cfRule type="cellIs" dxfId="8401" priority="300" operator="greaterThan">
      <formula>0</formula>
    </cfRule>
  </conditionalFormatting>
  <conditionalFormatting sqref="O51">
    <cfRule type="cellIs" dxfId="8400" priority="289" operator="equal">
      <formula>"PMS"</formula>
    </cfRule>
    <cfRule type="containsText" dxfId="8399" priority="290" operator="containsText" text="CMS">
      <formula>NOT(ISERROR(SEARCH("CMS",O51)))</formula>
    </cfRule>
    <cfRule type="cellIs" dxfId="8398" priority="291" operator="equal">
      <formula>0</formula>
    </cfRule>
    <cfRule type="cellIs" dxfId="8397" priority="292" operator="greaterThan">
      <formula>0</formula>
    </cfRule>
  </conditionalFormatting>
  <conditionalFormatting sqref="O56">
    <cfRule type="cellIs" dxfId="8396" priority="281" operator="equal">
      <formula>"PMS"</formula>
    </cfRule>
    <cfRule type="containsText" dxfId="8395" priority="282" operator="containsText" text="CMS">
      <formula>NOT(ISERROR(SEARCH("CMS",O56)))</formula>
    </cfRule>
    <cfRule type="cellIs" dxfId="8394" priority="283" operator="equal">
      <formula>0</formula>
    </cfRule>
    <cfRule type="cellIs" dxfId="8393" priority="284" operator="greaterThan">
      <formula>0</formula>
    </cfRule>
    <cfRule type="cellIs" dxfId="8392" priority="285" operator="equal">
      <formula>"PMS"</formula>
    </cfRule>
    <cfRule type="containsText" dxfId="8391" priority="286" operator="containsText" text="CMS">
      <formula>NOT(ISERROR(SEARCH("CMS",O56)))</formula>
    </cfRule>
    <cfRule type="cellIs" dxfId="8390" priority="287" operator="equal">
      <formula>0</formula>
    </cfRule>
    <cfRule type="cellIs" dxfId="8389" priority="288" operator="greaterThan">
      <formula>0</formula>
    </cfRule>
  </conditionalFormatting>
  <conditionalFormatting sqref="O56">
    <cfRule type="cellIs" dxfId="8388" priority="277" operator="equal">
      <formula>"PMS"</formula>
    </cfRule>
    <cfRule type="containsText" dxfId="8387" priority="278" operator="containsText" text="CMS">
      <formula>NOT(ISERROR(SEARCH("CMS",O56)))</formula>
    </cfRule>
    <cfRule type="cellIs" dxfId="8386" priority="279" operator="equal">
      <formula>0</formula>
    </cfRule>
    <cfRule type="cellIs" dxfId="8385" priority="280" operator="greaterThan">
      <formula>0</formula>
    </cfRule>
  </conditionalFormatting>
  <conditionalFormatting sqref="F24">
    <cfRule type="cellIs" dxfId="8384" priority="269" operator="equal">
      <formula>"PMS"</formula>
    </cfRule>
    <cfRule type="containsText" dxfId="8383" priority="270" operator="containsText" text="CMS">
      <formula>NOT(ISERROR(SEARCH("CMS",F24)))</formula>
    </cfRule>
    <cfRule type="cellIs" dxfId="8382" priority="271" operator="equal">
      <formula>0</formula>
    </cfRule>
    <cfRule type="cellIs" dxfId="8381" priority="272" operator="greaterThan">
      <formula>0</formula>
    </cfRule>
    <cfRule type="cellIs" dxfId="8380" priority="273" operator="equal">
      <formula>"PMS"</formula>
    </cfRule>
    <cfRule type="containsText" dxfId="8379" priority="274" operator="containsText" text="CMS">
      <formula>NOT(ISERROR(SEARCH("CMS",F24)))</formula>
    </cfRule>
    <cfRule type="cellIs" dxfId="8378" priority="275" operator="equal">
      <formula>0</formula>
    </cfRule>
    <cfRule type="cellIs" dxfId="8377" priority="276" operator="greaterThan">
      <formula>0</formula>
    </cfRule>
  </conditionalFormatting>
  <conditionalFormatting sqref="F24">
    <cfRule type="cellIs" dxfId="8376" priority="265" operator="equal">
      <formula>"PMS"</formula>
    </cfRule>
    <cfRule type="containsText" dxfId="8375" priority="266" operator="containsText" text="CMS">
      <formula>NOT(ISERROR(SEARCH("CMS",F24)))</formula>
    </cfRule>
    <cfRule type="cellIs" dxfId="8374" priority="267" operator="equal">
      <formula>0</formula>
    </cfRule>
    <cfRule type="cellIs" dxfId="8373" priority="268" operator="greaterThan">
      <formula>0</formula>
    </cfRule>
  </conditionalFormatting>
  <conditionalFormatting sqref="M14">
    <cfRule type="cellIs" dxfId="8372" priority="221" operator="equal">
      <formula>"PMS"</formula>
    </cfRule>
    <cfRule type="containsText" dxfId="8371" priority="222" operator="containsText" text="CMS">
      <formula>NOT(ISERROR(SEARCH("CMS",M14)))</formula>
    </cfRule>
    <cfRule type="cellIs" dxfId="8370" priority="223" operator="equal">
      <formula>0</formula>
    </cfRule>
    <cfRule type="cellIs" dxfId="8369" priority="224" operator="greaterThan">
      <formula>0</formula>
    </cfRule>
    <cfRule type="cellIs" dxfId="8368" priority="225" operator="equal">
      <formula>"PMS"</formula>
    </cfRule>
    <cfRule type="containsText" dxfId="8367" priority="226" operator="containsText" text="CMS">
      <formula>NOT(ISERROR(SEARCH("CMS",M14)))</formula>
    </cfRule>
    <cfRule type="cellIs" dxfId="8366" priority="227" operator="equal">
      <formula>0</formula>
    </cfRule>
    <cfRule type="cellIs" dxfId="8365" priority="228" operator="greaterThan">
      <formula>0</formula>
    </cfRule>
  </conditionalFormatting>
  <conditionalFormatting sqref="M14">
    <cfRule type="cellIs" dxfId="8364" priority="217" operator="equal">
      <formula>"PMS"</formula>
    </cfRule>
    <cfRule type="containsText" dxfId="8363" priority="218" operator="containsText" text="CMS">
      <formula>NOT(ISERROR(SEARCH("CMS",M14)))</formula>
    </cfRule>
    <cfRule type="cellIs" dxfId="8362" priority="219" operator="equal">
      <formula>0</formula>
    </cfRule>
    <cfRule type="cellIs" dxfId="8361" priority="220" operator="greaterThan">
      <formula>0</formula>
    </cfRule>
  </conditionalFormatting>
  <conditionalFormatting sqref="N78:N79">
    <cfRule type="cellIs" dxfId="8360" priority="137" operator="equal">
      <formula>"PMS"</formula>
    </cfRule>
    <cfRule type="containsText" dxfId="8359" priority="138" operator="containsText" text="CMS">
      <formula>NOT(ISERROR(SEARCH("CMS",N78)))</formula>
    </cfRule>
    <cfRule type="cellIs" dxfId="8358" priority="139" operator="equal">
      <formula>0</formula>
    </cfRule>
    <cfRule type="cellIs" dxfId="8357" priority="140" operator="greaterThan">
      <formula>0</formula>
    </cfRule>
    <cfRule type="cellIs" dxfId="8356" priority="141" operator="equal">
      <formula>"PMS"</formula>
    </cfRule>
    <cfRule type="containsText" dxfId="8355" priority="142" operator="containsText" text="CMS">
      <formula>NOT(ISERROR(SEARCH("CMS",N78)))</formula>
    </cfRule>
    <cfRule type="cellIs" dxfId="8354" priority="143" operator="equal">
      <formula>0</formula>
    </cfRule>
    <cfRule type="cellIs" dxfId="8353" priority="144" operator="greaterThan">
      <formula>0</formula>
    </cfRule>
  </conditionalFormatting>
  <conditionalFormatting sqref="N78:N79">
    <cfRule type="cellIs" dxfId="8352" priority="133" operator="equal">
      <formula>"PMS"</formula>
    </cfRule>
    <cfRule type="containsText" dxfId="8351" priority="134" operator="containsText" text="CMS">
      <formula>NOT(ISERROR(SEARCH("CMS",N78)))</formula>
    </cfRule>
    <cfRule type="cellIs" dxfId="8350" priority="135" operator="equal">
      <formula>0</formula>
    </cfRule>
    <cfRule type="cellIs" dxfId="8349" priority="136" operator="greaterThan">
      <formula>0</formula>
    </cfRule>
  </conditionalFormatting>
  <conditionalFormatting sqref="F13:F16">
    <cfRule type="cellIs" dxfId="8348" priority="125" operator="equal">
      <formula>"PMS"</formula>
    </cfRule>
    <cfRule type="containsText" dxfId="8347" priority="126" operator="containsText" text="CMS">
      <formula>NOT(ISERROR(SEARCH("CMS",F13)))</formula>
    </cfRule>
    <cfRule type="cellIs" dxfId="8346" priority="127" operator="equal">
      <formula>0</formula>
    </cfRule>
    <cfRule type="cellIs" dxfId="8345" priority="128" operator="greaterThan">
      <formula>0</formula>
    </cfRule>
    <cfRule type="cellIs" dxfId="8344" priority="129" operator="equal">
      <formula>"PMS"</formula>
    </cfRule>
    <cfRule type="containsText" dxfId="8343" priority="130" operator="containsText" text="CMS">
      <formula>NOT(ISERROR(SEARCH("CMS",F13)))</formula>
    </cfRule>
    <cfRule type="cellIs" dxfId="8342" priority="131" operator="equal">
      <formula>0</formula>
    </cfRule>
    <cfRule type="cellIs" dxfId="8341" priority="132" operator="greaterThan">
      <formula>0</formula>
    </cfRule>
  </conditionalFormatting>
  <conditionalFormatting sqref="F13:F16">
    <cfRule type="cellIs" dxfId="8340" priority="121" operator="equal">
      <formula>"PMS"</formula>
    </cfRule>
    <cfRule type="containsText" dxfId="8339" priority="122" operator="containsText" text="CMS">
      <formula>NOT(ISERROR(SEARCH("CMS",F13)))</formula>
    </cfRule>
    <cfRule type="cellIs" dxfId="8338" priority="123" operator="equal">
      <formula>0</formula>
    </cfRule>
    <cfRule type="cellIs" dxfId="8337" priority="124" operator="greaterThan">
      <formula>0</formula>
    </cfRule>
  </conditionalFormatting>
  <conditionalFormatting sqref="F19:F21">
    <cfRule type="cellIs" dxfId="8336" priority="113" operator="equal">
      <formula>"PMS"</formula>
    </cfRule>
    <cfRule type="containsText" dxfId="8335" priority="114" operator="containsText" text="CMS">
      <formula>NOT(ISERROR(SEARCH("CMS",F19)))</formula>
    </cfRule>
    <cfRule type="cellIs" dxfId="8334" priority="115" operator="equal">
      <formula>0</formula>
    </cfRule>
    <cfRule type="cellIs" dxfId="8333" priority="116" operator="greaterThan">
      <formula>0</formula>
    </cfRule>
    <cfRule type="cellIs" dxfId="8332" priority="117" operator="equal">
      <formula>"PMS"</formula>
    </cfRule>
    <cfRule type="containsText" dxfId="8331" priority="118" operator="containsText" text="CMS">
      <formula>NOT(ISERROR(SEARCH("CMS",F19)))</formula>
    </cfRule>
    <cfRule type="cellIs" dxfId="8330" priority="119" operator="equal">
      <formula>0</formula>
    </cfRule>
    <cfRule type="cellIs" dxfId="8329" priority="120" operator="greaterThan">
      <formula>0</formula>
    </cfRule>
  </conditionalFormatting>
  <conditionalFormatting sqref="F19:F21">
    <cfRule type="cellIs" dxfId="8328" priority="109" operator="equal">
      <formula>"PMS"</formula>
    </cfRule>
    <cfRule type="containsText" dxfId="8327" priority="110" operator="containsText" text="CMS">
      <formula>NOT(ISERROR(SEARCH("CMS",F19)))</formula>
    </cfRule>
    <cfRule type="cellIs" dxfId="8326" priority="111" operator="equal">
      <formula>0</formula>
    </cfRule>
    <cfRule type="cellIs" dxfId="8325" priority="112" operator="greaterThan">
      <formula>0</formula>
    </cfRule>
  </conditionalFormatting>
  <conditionalFormatting sqref="F28:F30">
    <cfRule type="cellIs" dxfId="8324" priority="101" operator="equal">
      <formula>"PMS"</formula>
    </cfRule>
    <cfRule type="containsText" dxfId="8323" priority="102" operator="containsText" text="CMS">
      <formula>NOT(ISERROR(SEARCH("CMS",F28)))</formula>
    </cfRule>
    <cfRule type="cellIs" dxfId="8322" priority="103" operator="equal">
      <formula>0</formula>
    </cfRule>
    <cfRule type="cellIs" dxfId="8321" priority="104" operator="greaterThan">
      <formula>0</formula>
    </cfRule>
    <cfRule type="cellIs" dxfId="8320" priority="105" operator="equal">
      <formula>"PMS"</formula>
    </cfRule>
    <cfRule type="containsText" dxfId="8319" priority="106" operator="containsText" text="CMS">
      <formula>NOT(ISERROR(SEARCH("CMS",F28)))</formula>
    </cfRule>
    <cfRule type="cellIs" dxfId="8318" priority="107" operator="equal">
      <formula>0</formula>
    </cfRule>
    <cfRule type="cellIs" dxfId="8317" priority="108" operator="greaterThan">
      <formula>0</formula>
    </cfRule>
  </conditionalFormatting>
  <conditionalFormatting sqref="F28:F30">
    <cfRule type="cellIs" dxfId="8316" priority="97" operator="equal">
      <formula>"PMS"</formula>
    </cfRule>
    <cfRule type="containsText" dxfId="8315" priority="98" operator="containsText" text="CMS">
      <formula>NOT(ISERROR(SEARCH("CMS",F28)))</formula>
    </cfRule>
    <cfRule type="cellIs" dxfId="8314" priority="99" operator="equal">
      <formula>0</formula>
    </cfRule>
    <cfRule type="cellIs" dxfId="8313" priority="100" operator="greaterThan">
      <formula>0</formula>
    </cfRule>
  </conditionalFormatting>
  <conditionalFormatting sqref="F27">
    <cfRule type="cellIs" dxfId="8312" priority="89" operator="equal">
      <formula>"PMS"</formula>
    </cfRule>
    <cfRule type="containsText" dxfId="8311" priority="90" operator="containsText" text="CMS">
      <formula>NOT(ISERROR(SEARCH("CMS",F27)))</formula>
    </cfRule>
    <cfRule type="cellIs" dxfId="8310" priority="91" operator="equal">
      <formula>0</formula>
    </cfRule>
    <cfRule type="cellIs" dxfId="8309" priority="92" operator="greaterThan">
      <formula>0</formula>
    </cfRule>
    <cfRule type="cellIs" dxfId="8308" priority="93" operator="equal">
      <formula>"PMS"</formula>
    </cfRule>
    <cfRule type="containsText" dxfId="8307" priority="94" operator="containsText" text="CMS">
      <formula>NOT(ISERROR(SEARCH("CMS",F27)))</formula>
    </cfRule>
    <cfRule type="cellIs" dxfId="8306" priority="95" operator="equal">
      <formula>0</formula>
    </cfRule>
    <cfRule type="cellIs" dxfId="8305" priority="96" operator="greaterThan">
      <formula>0</formula>
    </cfRule>
  </conditionalFormatting>
  <conditionalFormatting sqref="F27">
    <cfRule type="cellIs" dxfId="8304" priority="85" operator="equal">
      <formula>"PMS"</formula>
    </cfRule>
    <cfRule type="containsText" dxfId="8303" priority="86" operator="containsText" text="CMS">
      <formula>NOT(ISERROR(SEARCH("CMS",F27)))</formula>
    </cfRule>
    <cfRule type="cellIs" dxfId="8302" priority="87" operator="equal">
      <formula>0</formula>
    </cfRule>
    <cfRule type="cellIs" dxfId="8301" priority="88" operator="greaterThan">
      <formula>0</formula>
    </cfRule>
  </conditionalFormatting>
  <conditionalFormatting sqref="F33">
    <cfRule type="cellIs" dxfId="8300" priority="77" operator="equal">
      <formula>"PMS"</formula>
    </cfRule>
    <cfRule type="containsText" dxfId="8299" priority="78" operator="containsText" text="CMS">
      <formula>NOT(ISERROR(SEARCH("CMS",F33)))</formula>
    </cfRule>
    <cfRule type="cellIs" dxfId="8298" priority="79" operator="equal">
      <formula>0</formula>
    </cfRule>
    <cfRule type="cellIs" dxfId="8297" priority="80" operator="greaterThan">
      <formula>0</formula>
    </cfRule>
    <cfRule type="cellIs" dxfId="8296" priority="81" operator="equal">
      <formula>"PMS"</formula>
    </cfRule>
    <cfRule type="containsText" dxfId="8295" priority="82" operator="containsText" text="CMS">
      <formula>NOT(ISERROR(SEARCH("CMS",F33)))</formula>
    </cfRule>
    <cfRule type="cellIs" dxfId="8294" priority="83" operator="equal">
      <formula>0</formula>
    </cfRule>
    <cfRule type="cellIs" dxfId="8293" priority="84" operator="greaterThan">
      <formula>0</formula>
    </cfRule>
  </conditionalFormatting>
  <conditionalFormatting sqref="F33">
    <cfRule type="cellIs" dxfId="8292" priority="73" operator="equal">
      <formula>"PMS"</formula>
    </cfRule>
    <cfRule type="containsText" dxfId="8291" priority="74" operator="containsText" text="CMS">
      <formula>NOT(ISERROR(SEARCH("CMS",F33)))</formula>
    </cfRule>
    <cfRule type="cellIs" dxfId="8290" priority="75" operator="equal">
      <formula>0</formula>
    </cfRule>
    <cfRule type="cellIs" dxfId="8289" priority="76" operator="greaterThan">
      <formula>0</formula>
    </cfRule>
  </conditionalFormatting>
  <conditionalFormatting sqref="F62:F64">
    <cfRule type="cellIs" dxfId="8288" priority="65" operator="equal">
      <formula>"PMS"</formula>
    </cfRule>
    <cfRule type="containsText" dxfId="8287" priority="66" operator="containsText" text="CMS">
      <formula>NOT(ISERROR(SEARCH("CMS",F62)))</formula>
    </cfRule>
    <cfRule type="cellIs" dxfId="8286" priority="67" operator="equal">
      <formula>0</formula>
    </cfRule>
    <cfRule type="cellIs" dxfId="8285" priority="68" operator="greaterThan">
      <formula>0</formula>
    </cfRule>
    <cfRule type="cellIs" dxfId="8284" priority="69" operator="equal">
      <formula>"PMS"</formula>
    </cfRule>
    <cfRule type="containsText" dxfId="8283" priority="70" operator="containsText" text="CMS">
      <formula>NOT(ISERROR(SEARCH("CMS",F62)))</formula>
    </cfRule>
    <cfRule type="cellIs" dxfId="8282" priority="71" operator="equal">
      <formula>0</formula>
    </cfRule>
    <cfRule type="cellIs" dxfId="8281" priority="72" operator="greaterThan">
      <formula>0</formula>
    </cfRule>
  </conditionalFormatting>
  <conditionalFormatting sqref="F62:F64">
    <cfRule type="cellIs" dxfId="8280" priority="61" operator="equal">
      <formula>"PMS"</formula>
    </cfRule>
    <cfRule type="containsText" dxfId="8279" priority="62" operator="containsText" text="CMS">
      <formula>NOT(ISERROR(SEARCH("CMS",F62)))</formula>
    </cfRule>
    <cfRule type="cellIs" dxfId="8278" priority="63" operator="equal">
      <formula>0</formula>
    </cfRule>
    <cfRule type="cellIs" dxfId="8277" priority="64" operator="greaterThan">
      <formula>0</formula>
    </cfRule>
  </conditionalFormatting>
  <conditionalFormatting sqref="F78:F79">
    <cfRule type="cellIs" dxfId="8276" priority="53" operator="equal">
      <formula>"PMS"</formula>
    </cfRule>
    <cfRule type="containsText" dxfId="8275" priority="54" operator="containsText" text="CMS">
      <formula>NOT(ISERROR(SEARCH("CMS",F78)))</formula>
    </cfRule>
    <cfRule type="cellIs" dxfId="8274" priority="55" operator="equal">
      <formula>0</formula>
    </cfRule>
    <cfRule type="cellIs" dxfId="8273" priority="56" operator="greaterThan">
      <formula>0</formula>
    </cfRule>
    <cfRule type="cellIs" dxfId="8272" priority="57" operator="equal">
      <formula>"PMS"</formula>
    </cfRule>
    <cfRule type="containsText" dxfId="8271" priority="58" operator="containsText" text="CMS">
      <formula>NOT(ISERROR(SEARCH("CMS",F78)))</formula>
    </cfRule>
    <cfRule type="cellIs" dxfId="8270" priority="59" operator="equal">
      <formula>0</formula>
    </cfRule>
    <cfRule type="cellIs" dxfId="8269" priority="60" operator="greaterThan">
      <formula>0</formula>
    </cfRule>
  </conditionalFormatting>
  <conditionalFormatting sqref="F78:F79">
    <cfRule type="cellIs" dxfId="8268" priority="49" operator="equal">
      <formula>"PMS"</formula>
    </cfRule>
    <cfRule type="containsText" dxfId="8267" priority="50" operator="containsText" text="CMS">
      <formula>NOT(ISERROR(SEARCH("CMS",F78)))</formula>
    </cfRule>
    <cfRule type="cellIs" dxfId="8266" priority="51" operator="equal">
      <formula>0</formula>
    </cfRule>
    <cfRule type="cellIs" dxfId="8265" priority="52" operator="greaterThan">
      <formula>0</formula>
    </cfRule>
  </conditionalFormatting>
  <conditionalFormatting sqref="P64">
    <cfRule type="cellIs" dxfId="8264" priority="41" operator="equal">
      <formula>"PMS"</formula>
    </cfRule>
    <cfRule type="containsText" dxfId="8263" priority="42" operator="containsText" text="CMS">
      <formula>NOT(ISERROR(SEARCH("CMS",P64)))</formula>
    </cfRule>
    <cfRule type="cellIs" dxfId="8262" priority="43" operator="equal">
      <formula>0</formula>
    </cfRule>
    <cfRule type="cellIs" dxfId="8261" priority="44" operator="greaterThan">
      <formula>0</formula>
    </cfRule>
    <cfRule type="cellIs" dxfId="8260" priority="45" operator="equal">
      <formula>"PMS"</formula>
    </cfRule>
    <cfRule type="containsText" dxfId="8259" priority="46" operator="containsText" text="CMS">
      <formula>NOT(ISERROR(SEARCH("CMS",P64)))</formula>
    </cfRule>
    <cfRule type="cellIs" dxfId="8258" priority="47" operator="equal">
      <formula>0</formula>
    </cfRule>
    <cfRule type="cellIs" dxfId="8257" priority="48" operator="greaterThan">
      <formula>0</formula>
    </cfRule>
  </conditionalFormatting>
  <conditionalFormatting sqref="P64">
    <cfRule type="cellIs" dxfId="8256" priority="37" operator="equal">
      <formula>"PMS"</formula>
    </cfRule>
    <cfRule type="containsText" dxfId="8255" priority="38" operator="containsText" text="CMS">
      <formula>NOT(ISERROR(SEARCH("CMS",P64)))</formula>
    </cfRule>
    <cfRule type="cellIs" dxfId="8254" priority="39" operator="equal">
      <formula>0</formula>
    </cfRule>
    <cfRule type="cellIs" dxfId="8253" priority="40" operator="greaterThan">
      <formula>0</formula>
    </cfRule>
  </conditionalFormatting>
  <conditionalFormatting sqref="T28">
    <cfRule type="cellIs" dxfId="8252" priority="29" operator="equal">
      <formula>"PMS"</formula>
    </cfRule>
    <cfRule type="containsText" dxfId="8251" priority="30" operator="containsText" text="CMS">
      <formula>NOT(ISERROR(SEARCH("CMS",T28)))</formula>
    </cfRule>
    <cfRule type="cellIs" dxfId="8250" priority="31" operator="equal">
      <formula>0</formula>
    </cfRule>
    <cfRule type="cellIs" dxfId="8249" priority="32" operator="greaterThan">
      <formula>0</formula>
    </cfRule>
    <cfRule type="cellIs" dxfId="8248" priority="33" operator="equal">
      <formula>"PMS"</formula>
    </cfRule>
    <cfRule type="containsText" dxfId="8247" priority="34" operator="containsText" text="CMS">
      <formula>NOT(ISERROR(SEARCH("CMS",T28)))</formula>
    </cfRule>
    <cfRule type="cellIs" dxfId="8246" priority="35" operator="equal">
      <formula>0</formula>
    </cfRule>
    <cfRule type="cellIs" dxfId="8245" priority="36" operator="greaterThan">
      <formula>0</formula>
    </cfRule>
  </conditionalFormatting>
  <conditionalFormatting sqref="T28">
    <cfRule type="cellIs" dxfId="8244" priority="25" operator="equal">
      <formula>"PMS"</formula>
    </cfRule>
    <cfRule type="containsText" dxfId="8243" priority="26" operator="containsText" text="CMS">
      <formula>NOT(ISERROR(SEARCH("CMS",T28)))</formula>
    </cfRule>
    <cfRule type="cellIs" dxfId="8242" priority="27" operator="equal">
      <formula>0</formula>
    </cfRule>
    <cfRule type="cellIs" dxfId="8241" priority="28" operator="greaterThan">
      <formula>0</formula>
    </cfRule>
  </conditionalFormatting>
  <conditionalFormatting sqref="T78">
    <cfRule type="cellIs" dxfId="8240" priority="17" operator="equal">
      <formula>"PMS"</formula>
    </cfRule>
    <cfRule type="containsText" dxfId="8239" priority="18" operator="containsText" text="CMS">
      <formula>NOT(ISERROR(SEARCH("CMS",T78)))</formula>
    </cfRule>
    <cfRule type="cellIs" dxfId="8238" priority="19" operator="equal">
      <formula>0</formula>
    </cfRule>
    <cfRule type="cellIs" dxfId="8237" priority="20" operator="greaterThan">
      <formula>0</formula>
    </cfRule>
    <cfRule type="cellIs" dxfId="8236" priority="21" operator="equal">
      <formula>"PMS"</formula>
    </cfRule>
    <cfRule type="containsText" dxfId="8235" priority="22" operator="containsText" text="CMS">
      <formula>NOT(ISERROR(SEARCH("CMS",T78)))</formula>
    </cfRule>
    <cfRule type="cellIs" dxfId="8234" priority="23" operator="equal">
      <formula>0</formula>
    </cfRule>
    <cfRule type="cellIs" dxfId="8233" priority="24" operator="greaterThan">
      <formula>0</formula>
    </cfRule>
  </conditionalFormatting>
  <conditionalFormatting sqref="T78">
    <cfRule type="cellIs" dxfId="8232" priority="13" operator="equal">
      <formula>"PMS"</formula>
    </cfRule>
    <cfRule type="containsText" dxfId="8231" priority="14" operator="containsText" text="CMS">
      <formula>NOT(ISERROR(SEARCH("CMS",T78)))</formula>
    </cfRule>
    <cfRule type="cellIs" dxfId="8230" priority="15" operator="equal">
      <formula>0</formula>
    </cfRule>
    <cfRule type="cellIs" dxfId="8229" priority="16" operator="greaterThan">
      <formula>0</formula>
    </cfRule>
  </conditionalFormatting>
  <conditionalFormatting sqref="Z79">
    <cfRule type="cellIs" dxfId="8228" priority="5" operator="equal">
      <formula>"PMS"</formula>
    </cfRule>
    <cfRule type="containsText" dxfId="8227" priority="6" operator="containsText" text="CMS">
      <formula>NOT(ISERROR(SEARCH("CMS",Z79)))</formula>
    </cfRule>
    <cfRule type="cellIs" dxfId="8226" priority="7" operator="equal">
      <formula>0</formula>
    </cfRule>
    <cfRule type="cellIs" dxfId="8225" priority="8" operator="greaterThan">
      <formula>0</formula>
    </cfRule>
    <cfRule type="cellIs" dxfId="8224" priority="9" operator="equal">
      <formula>"PMS"</formula>
    </cfRule>
    <cfRule type="containsText" dxfId="8223" priority="10" operator="containsText" text="CMS">
      <formula>NOT(ISERROR(SEARCH("CMS",Z79)))</formula>
    </cfRule>
    <cfRule type="cellIs" dxfId="8222" priority="11" operator="equal">
      <formula>0</formula>
    </cfRule>
    <cfRule type="cellIs" dxfId="8221" priority="12" operator="greaterThan">
      <formula>0</formula>
    </cfRule>
  </conditionalFormatting>
  <conditionalFormatting sqref="Z79">
    <cfRule type="cellIs" dxfId="8220" priority="1" operator="equal">
      <formula>"PMS"</formula>
    </cfRule>
    <cfRule type="containsText" dxfId="8219" priority="2" operator="containsText" text="CMS">
      <formula>NOT(ISERROR(SEARCH("CMS",Z79)))</formula>
    </cfRule>
    <cfRule type="cellIs" dxfId="8218" priority="3" operator="equal">
      <formula>0</formula>
    </cfRule>
    <cfRule type="cellIs" dxfId="821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8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45DE6-71EC-426B-BE80-C1214549B182}">
  <sheetPr codeName="Sheet241"/>
  <dimension ref="A2:DT141"/>
  <sheetViews>
    <sheetView zoomScale="70" zoomScaleNormal="70" workbookViewId="0">
      <pane xSplit="5" ySplit="11" topLeftCell="F91" activePane="bottomRight" state="frozen"/>
      <selection pane="bottomRight" activeCell="U110" sqref="U110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376.9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6.2</v>
      </c>
      <c r="H14" s="357">
        <v>6</v>
      </c>
      <c r="I14" s="357">
        <v>5.3</v>
      </c>
      <c r="J14" s="357">
        <v>6.9</v>
      </c>
      <c r="K14" s="357">
        <v>6.7</v>
      </c>
      <c r="L14" s="357">
        <v>6.5</v>
      </c>
      <c r="M14" s="357">
        <v>6.5</v>
      </c>
      <c r="N14" s="357">
        <v>6.5</v>
      </c>
      <c r="O14" s="357">
        <v>6.8</v>
      </c>
      <c r="P14" s="357">
        <v>6.6</v>
      </c>
      <c r="Q14" s="357">
        <v>6.2</v>
      </c>
      <c r="R14" s="357">
        <v>5.5</v>
      </c>
      <c r="S14" s="462">
        <v>6.5</v>
      </c>
      <c r="T14" s="462">
        <v>6.7</v>
      </c>
      <c r="U14" s="357">
        <v>6.6</v>
      </c>
      <c r="V14" s="357">
        <v>6.8</v>
      </c>
      <c r="W14" s="357">
        <v>6.4</v>
      </c>
      <c r="X14" s="357">
        <v>6.6</v>
      </c>
      <c r="Y14" s="357">
        <v>6.6</v>
      </c>
      <c r="Z14" s="462">
        <v>6.4</v>
      </c>
      <c r="AA14" s="462">
        <v>6.9</v>
      </c>
      <c r="AB14" s="462">
        <v>6.7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6.4</v>
      </c>
      <c r="G15" s="357">
        <v>6.2</v>
      </c>
      <c r="H15" s="357">
        <v>4.5</v>
      </c>
      <c r="I15" s="357"/>
      <c r="J15" s="357"/>
      <c r="K15" s="359"/>
      <c r="L15" s="359"/>
      <c r="M15" s="359"/>
      <c r="N15" s="357"/>
      <c r="O15" s="357"/>
      <c r="P15" s="357">
        <v>1.6</v>
      </c>
      <c r="Q15" s="357">
        <v>6.2</v>
      </c>
      <c r="R15" s="357">
        <v>5.5</v>
      </c>
      <c r="S15" s="462">
        <v>6.5</v>
      </c>
      <c r="T15" s="462">
        <v>6.7</v>
      </c>
      <c r="U15" s="357">
        <v>6.6</v>
      </c>
      <c r="V15" s="462">
        <v>6.8</v>
      </c>
      <c r="W15" s="357">
        <v>6.4</v>
      </c>
      <c r="X15" s="357">
        <v>6.6</v>
      </c>
      <c r="Y15" s="357">
        <v>6.6</v>
      </c>
      <c r="Z15" s="462">
        <v>6.4</v>
      </c>
      <c r="AA15" s="462">
        <v>6.9</v>
      </c>
      <c r="AB15" s="462">
        <v>6.7</v>
      </c>
      <c r="AC15" s="46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>
      <c r="A16" s="14" t="s">
        <v>25</v>
      </c>
      <c r="B16" s="15"/>
      <c r="C16" s="15">
        <v>7.2</v>
      </c>
      <c r="D16" s="15"/>
      <c r="E16" s="15"/>
      <c r="F16" s="357"/>
      <c r="G16" s="357"/>
      <c r="H16" s="357">
        <v>1.8</v>
      </c>
      <c r="I16" s="357">
        <v>6</v>
      </c>
      <c r="J16" s="357">
        <v>6.9</v>
      </c>
      <c r="K16" s="359">
        <v>6.7</v>
      </c>
      <c r="L16" s="359">
        <v>6.5</v>
      </c>
      <c r="M16" s="357">
        <v>6.5</v>
      </c>
      <c r="N16" s="359">
        <v>6.5</v>
      </c>
      <c r="O16" s="357">
        <v>6.8</v>
      </c>
      <c r="P16" s="357">
        <v>6.6</v>
      </c>
      <c r="Q16" s="357">
        <v>6.2</v>
      </c>
      <c r="R16" s="357">
        <v>5.5</v>
      </c>
      <c r="S16" s="462">
        <v>6.5</v>
      </c>
      <c r="T16" s="462">
        <v>6.7</v>
      </c>
      <c r="U16" s="357">
        <v>6.6</v>
      </c>
      <c r="V16" s="462">
        <v>6.8</v>
      </c>
      <c r="W16" s="357">
        <v>6.4</v>
      </c>
      <c r="X16" s="357">
        <v>6.6</v>
      </c>
      <c r="Y16" s="357">
        <v>6.6</v>
      </c>
      <c r="Z16" s="462">
        <v>6.4</v>
      </c>
      <c r="AA16" s="462" t="s">
        <v>9</v>
      </c>
      <c r="AB16" s="462" t="s">
        <v>9</v>
      </c>
      <c r="AC16" s="357" t="s">
        <v>9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19</v>
      </c>
      <c r="AL16">
        <f>6.3*3-6.7-5.2*2</f>
        <v>1.7999999999999989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12.4</v>
      </c>
      <c r="H17" s="19">
        <f t="shared" si="1"/>
        <v>12.3</v>
      </c>
      <c r="I17" s="19">
        <f t="shared" si="1"/>
        <v>11.3</v>
      </c>
      <c r="J17" s="19">
        <f t="shared" si="1"/>
        <v>13.8</v>
      </c>
      <c r="K17" s="19">
        <f t="shared" si="1"/>
        <v>13.4</v>
      </c>
      <c r="L17" s="19">
        <f t="shared" si="1"/>
        <v>13</v>
      </c>
      <c r="M17" s="19">
        <f t="shared" si="1"/>
        <v>13</v>
      </c>
      <c r="N17" s="19">
        <f t="shared" si="1"/>
        <v>13</v>
      </c>
      <c r="O17" s="19">
        <f t="shared" si="1"/>
        <v>13.6</v>
      </c>
      <c r="P17" s="19">
        <f t="shared" si="1"/>
        <v>14.799999999999999</v>
      </c>
      <c r="Q17" s="19">
        <f t="shared" si="1"/>
        <v>18.600000000000001</v>
      </c>
      <c r="R17" s="19">
        <f t="shared" si="1"/>
        <v>16.5</v>
      </c>
      <c r="S17" s="463">
        <f t="shared" si="1"/>
        <v>19.5</v>
      </c>
      <c r="T17" s="463">
        <f t="shared" si="1"/>
        <v>20.100000000000001</v>
      </c>
      <c r="U17" s="19">
        <f t="shared" si="1"/>
        <v>19.799999999999997</v>
      </c>
      <c r="V17" s="19">
        <f t="shared" si="1"/>
        <v>20.399999999999999</v>
      </c>
      <c r="W17" s="19">
        <f t="shared" si="1"/>
        <v>19.200000000000003</v>
      </c>
      <c r="X17" s="19">
        <f t="shared" si="1"/>
        <v>19.799999999999997</v>
      </c>
      <c r="Y17" s="19">
        <f t="shared" si="1"/>
        <v>19.799999999999997</v>
      </c>
      <c r="Z17" s="463">
        <f t="shared" si="1"/>
        <v>19.200000000000003</v>
      </c>
      <c r="AA17" s="463">
        <f t="shared" si="1"/>
        <v>13.8</v>
      </c>
      <c r="AB17" s="463">
        <f>SUM(AB13:AB16)</f>
        <v>13.4</v>
      </c>
      <c r="AC17" s="19">
        <f t="shared" si="1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10.6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/>
      <c r="P19" s="357"/>
      <c r="Q19" s="357"/>
      <c r="R19" s="357"/>
      <c r="S19" s="462"/>
      <c r="T19" s="462"/>
      <c r="U19" s="357"/>
      <c r="V19" s="357"/>
      <c r="W19" s="357"/>
      <c r="X19" s="357"/>
      <c r="Y19" s="357"/>
      <c r="Z19" s="357"/>
      <c r="AA19" s="357">
        <v>2.8</v>
      </c>
      <c r="AB19" s="357">
        <v>2.8</v>
      </c>
      <c r="AC19" s="357">
        <v>2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3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>
        <v>3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23</v>
      </c>
      <c r="AG21" s="11">
        <f>COUNTIF(G21:AD21,$AJ$7)</f>
        <v>0</v>
      </c>
      <c r="AH21" s="11">
        <f>COUNT(F21:AC21)</f>
        <v>1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463">
        <f>SUM(S19:S21)</f>
        <v>0</v>
      </c>
      <c r="T22" s="463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463">
        <f>SUM(Z19:Z21)</f>
        <v>3</v>
      </c>
      <c r="AA22" s="463">
        <f t="shared" si="3"/>
        <v>2.8</v>
      </c>
      <c r="AB22" s="463">
        <f>SUM(AB19:AB21)</f>
        <v>2.8</v>
      </c>
      <c r="AC22" s="19">
        <f t="shared" si="3"/>
        <v>2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0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463">
        <f t="shared" si="6"/>
        <v>0</v>
      </c>
      <c r="T25" s="463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463">
        <f t="shared" si="6"/>
        <v>0</v>
      </c>
      <c r="AA25" s="463">
        <f t="shared" si="6"/>
        <v>0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35.5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0</v>
      </c>
      <c r="G27" s="357">
        <v>0</v>
      </c>
      <c r="H27" s="357">
        <v>0</v>
      </c>
      <c r="I27" s="357">
        <v>0</v>
      </c>
      <c r="J27" s="357">
        <v>0</v>
      </c>
      <c r="K27" s="357">
        <v>0</v>
      </c>
      <c r="L27" s="359">
        <v>0</v>
      </c>
      <c r="M27" s="357">
        <v>0</v>
      </c>
      <c r="N27" s="357">
        <v>0</v>
      </c>
      <c r="O27" s="357">
        <v>3.8</v>
      </c>
      <c r="P27" s="357">
        <v>3.7</v>
      </c>
      <c r="Q27" s="357">
        <v>2</v>
      </c>
      <c r="R27" s="357">
        <v>2.2000000000000002</v>
      </c>
      <c r="S27" s="462">
        <v>0</v>
      </c>
      <c r="T27" s="462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0</v>
      </c>
      <c r="G28" s="357">
        <v>0</v>
      </c>
      <c r="H28" s="357">
        <v>1.5</v>
      </c>
      <c r="I28" s="357">
        <v>1.5</v>
      </c>
      <c r="J28" s="359"/>
      <c r="K28" s="357"/>
      <c r="L28" s="359"/>
      <c r="M28" s="357"/>
      <c r="N28" s="357"/>
      <c r="O28" s="357"/>
      <c r="P28" s="357"/>
      <c r="Q28" s="357"/>
      <c r="R28" s="357"/>
      <c r="S28" s="462"/>
      <c r="T28" s="462"/>
      <c r="U28" s="359"/>
      <c r="V28" s="359"/>
      <c r="W28" s="357"/>
      <c r="X28" s="357">
        <v>3.8</v>
      </c>
      <c r="Y28" s="357">
        <v>3.8</v>
      </c>
      <c r="Z28" s="357">
        <v>3.6</v>
      </c>
      <c r="AA28" s="357">
        <v>3.8</v>
      </c>
      <c r="AB28" s="357">
        <v>3.8</v>
      </c>
      <c r="AC28" s="357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118.2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>
        <v>1</v>
      </c>
      <c r="Z29" s="357">
        <v>3.3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3.5</v>
      </c>
      <c r="G30" s="357">
        <v>2.9</v>
      </c>
      <c r="H30" s="357"/>
      <c r="I30" s="357"/>
      <c r="J30" s="357"/>
      <c r="K30" s="357"/>
      <c r="L30" s="357"/>
      <c r="M30" s="357">
        <v>3</v>
      </c>
      <c r="N30" s="357">
        <v>5.5</v>
      </c>
      <c r="O30" s="357">
        <v>7</v>
      </c>
      <c r="P30" s="357">
        <v>7</v>
      </c>
      <c r="Q30" s="357">
        <v>3.6</v>
      </c>
      <c r="R30" s="357">
        <v>4.2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7.2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3.5</v>
      </c>
      <c r="G31" s="19">
        <f>SUM(G27:G30)</f>
        <v>2.9</v>
      </c>
      <c r="H31" s="19">
        <v>6</v>
      </c>
      <c r="I31" s="19">
        <f t="shared" ref="I31:X31" si="8">SUM(I27:I30)</f>
        <v>1.5</v>
      </c>
      <c r="J31" s="19">
        <f t="shared" si="8"/>
        <v>0</v>
      </c>
      <c r="K31" s="19">
        <f t="shared" si="8"/>
        <v>0</v>
      </c>
      <c r="L31" s="19">
        <f t="shared" si="8"/>
        <v>0</v>
      </c>
      <c r="M31" s="19">
        <f t="shared" si="8"/>
        <v>3</v>
      </c>
      <c r="N31" s="19">
        <f t="shared" si="8"/>
        <v>5.5</v>
      </c>
      <c r="O31" s="19">
        <f t="shared" si="8"/>
        <v>10.8</v>
      </c>
      <c r="P31" s="19">
        <f t="shared" si="8"/>
        <v>10.7</v>
      </c>
      <c r="Q31" s="19">
        <f t="shared" si="8"/>
        <v>5.6</v>
      </c>
      <c r="R31" s="19">
        <f t="shared" si="8"/>
        <v>6.4</v>
      </c>
      <c r="S31" s="463">
        <f t="shared" si="8"/>
        <v>7</v>
      </c>
      <c r="T31" s="463">
        <f t="shared" si="8"/>
        <v>7</v>
      </c>
      <c r="U31" s="19">
        <f t="shared" si="8"/>
        <v>7</v>
      </c>
      <c r="V31" s="19">
        <f t="shared" si="8"/>
        <v>7</v>
      </c>
      <c r="W31" s="19">
        <f t="shared" si="8"/>
        <v>7</v>
      </c>
      <c r="X31" s="19">
        <f t="shared" si="8"/>
        <v>10.8</v>
      </c>
      <c r="Y31" s="19">
        <f>SUM(Y27:Y30)</f>
        <v>11.8</v>
      </c>
      <c r="Z31" s="19">
        <f t="shared" ref="Z31:AC31" si="9">SUM(Z27:Z30)</f>
        <v>13.9</v>
      </c>
      <c r="AA31" s="19">
        <f t="shared" si="9"/>
        <v>11</v>
      </c>
      <c r="AB31" s="19">
        <f t="shared" si="9"/>
        <v>10.8</v>
      </c>
      <c r="AC31" s="19">
        <f t="shared" si="9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328.54999999999995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12.52</v>
      </c>
      <c r="G33" s="357">
        <v>12.39</v>
      </c>
      <c r="H33" s="357">
        <v>12.55</v>
      </c>
      <c r="I33" s="359">
        <v>12.49</v>
      </c>
      <c r="J33" s="357">
        <v>12.3</v>
      </c>
      <c r="K33" s="357">
        <v>13.28</v>
      </c>
      <c r="L33" s="359">
        <v>14.1</v>
      </c>
      <c r="M33" s="357">
        <v>14.16</v>
      </c>
      <c r="N33" s="357">
        <v>14.19</v>
      </c>
      <c r="O33" s="357">
        <v>14.29</v>
      </c>
      <c r="P33" s="357">
        <v>14.25</v>
      </c>
      <c r="Q33" s="359">
        <v>14.29</v>
      </c>
      <c r="R33" s="357">
        <v>10.25</v>
      </c>
      <c r="S33" s="462">
        <v>14.24</v>
      </c>
      <c r="T33" s="462">
        <v>14.29</v>
      </c>
      <c r="U33" s="357">
        <v>14.26</v>
      </c>
      <c r="V33" s="359">
        <v>14.3</v>
      </c>
      <c r="W33" s="357">
        <v>14.31</v>
      </c>
      <c r="X33" s="357">
        <v>14.27</v>
      </c>
      <c r="Y33" s="357">
        <v>14.26</v>
      </c>
      <c r="Z33" s="357">
        <v>14.25</v>
      </c>
      <c r="AA33" s="357">
        <v>14.25</v>
      </c>
      <c r="AB33" s="357">
        <v>14.29</v>
      </c>
      <c r="AC33" s="357">
        <v>14.77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12.52</v>
      </c>
      <c r="G34" s="19">
        <f t="shared" ref="G34:AC34" si="11">SUM(G33)</f>
        <v>12.39</v>
      </c>
      <c r="H34" s="19">
        <f t="shared" si="11"/>
        <v>12.55</v>
      </c>
      <c r="I34" s="19">
        <f t="shared" si="11"/>
        <v>12.49</v>
      </c>
      <c r="J34" s="19">
        <f t="shared" si="11"/>
        <v>12.3</v>
      </c>
      <c r="K34" s="19">
        <f t="shared" si="11"/>
        <v>13.28</v>
      </c>
      <c r="L34" s="19">
        <f t="shared" si="11"/>
        <v>14.1</v>
      </c>
      <c r="M34" s="19">
        <f t="shared" si="11"/>
        <v>14.16</v>
      </c>
      <c r="N34" s="19">
        <f t="shared" si="11"/>
        <v>14.19</v>
      </c>
      <c r="O34" s="19">
        <f t="shared" si="11"/>
        <v>14.29</v>
      </c>
      <c r="P34" s="19">
        <f t="shared" si="11"/>
        <v>14.25</v>
      </c>
      <c r="Q34" s="19">
        <f t="shared" si="11"/>
        <v>14.29</v>
      </c>
      <c r="R34" s="19">
        <f t="shared" si="11"/>
        <v>10.25</v>
      </c>
      <c r="S34" s="19">
        <f t="shared" si="11"/>
        <v>14.24</v>
      </c>
      <c r="T34" s="463">
        <f t="shared" si="11"/>
        <v>14.29</v>
      </c>
      <c r="U34" s="19">
        <f t="shared" si="11"/>
        <v>14.26</v>
      </c>
      <c r="V34" s="19">
        <f t="shared" si="11"/>
        <v>14.3</v>
      </c>
      <c r="W34" s="19">
        <f t="shared" si="11"/>
        <v>14.31</v>
      </c>
      <c r="X34" s="19">
        <f t="shared" si="11"/>
        <v>14.27</v>
      </c>
      <c r="Y34" s="19">
        <f t="shared" si="11"/>
        <v>14.26</v>
      </c>
      <c r="Z34" s="19">
        <f t="shared" si="11"/>
        <v>14.25</v>
      </c>
      <c r="AA34" s="19">
        <f t="shared" si="11"/>
        <v>14.25</v>
      </c>
      <c r="AB34" s="19">
        <f t="shared" si="11"/>
        <v>14.29</v>
      </c>
      <c r="AC34" s="19">
        <f t="shared" si="11"/>
        <v>14.77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25.394999999999996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462"/>
      <c r="W40" s="357"/>
      <c r="X40" s="357"/>
      <c r="Y40" s="357">
        <v>0.8</v>
      </c>
      <c r="Z40" s="357"/>
      <c r="AA40" s="357">
        <v>0.8</v>
      </c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9"/>
      <c r="Q47" s="357"/>
      <c r="R47" s="357"/>
      <c r="S47" s="462"/>
      <c r="T47" s="357"/>
      <c r="U47" s="462"/>
      <c r="V47" s="462"/>
      <c r="W47" s="357">
        <f>3.1/4</f>
        <v>0.77500000000000002</v>
      </c>
      <c r="X47" s="357">
        <v>0.8</v>
      </c>
      <c r="Y47" s="357">
        <f>3.1/4</f>
        <v>0.77500000000000002</v>
      </c>
      <c r="Z47" s="357"/>
      <c r="AA47" s="357">
        <v>0.8</v>
      </c>
      <c r="AB47" s="357">
        <v>0.8</v>
      </c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5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9">
        <v>0.8</v>
      </c>
      <c r="Q48" s="357">
        <v>0</v>
      </c>
      <c r="R48" s="357">
        <v>0</v>
      </c>
      <c r="S48" s="462">
        <v>0</v>
      </c>
      <c r="T48" s="357">
        <v>0.8</v>
      </c>
      <c r="U48" s="357">
        <f>2.3/3</f>
        <v>0.76666666666666661</v>
      </c>
      <c r="V48" s="462">
        <f>2.3/3</f>
        <v>0.76666666666666661</v>
      </c>
      <c r="W48" s="357">
        <f>3.1/4</f>
        <v>0.77500000000000002</v>
      </c>
      <c r="X48" s="357"/>
      <c r="Y48" s="357">
        <v>0.8</v>
      </c>
      <c r="Z48" s="357"/>
      <c r="AA48" s="357">
        <v>0.8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0.7</v>
      </c>
      <c r="M50" s="359"/>
      <c r="N50" s="359"/>
      <c r="O50" s="359"/>
      <c r="P50" s="359">
        <v>0.8</v>
      </c>
      <c r="Q50" s="357">
        <v>0</v>
      </c>
      <c r="R50" s="357">
        <v>0</v>
      </c>
      <c r="S50" s="462">
        <v>0</v>
      </c>
      <c r="T50" s="357">
        <v>0</v>
      </c>
      <c r="U50" s="462"/>
      <c r="V50" s="462"/>
      <c r="W50" s="357"/>
      <c r="X50" s="357"/>
      <c r="Y50" s="357">
        <v>0.72</v>
      </c>
      <c r="Z50" s="357"/>
      <c r="AA50" s="357">
        <v>0.8</v>
      </c>
      <c r="AB50" s="357">
        <v>0.8</v>
      </c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/>
      <c r="P51" s="359">
        <v>0.8</v>
      </c>
      <c r="Q51" s="357">
        <v>0</v>
      </c>
      <c r="R51" s="357">
        <v>0</v>
      </c>
      <c r="S51" s="462">
        <v>0</v>
      </c>
      <c r="T51" s="357">
        <v>0</v>
      </c>
      <c r="U51" s="357">
        <f>2.3/3</f>
        <v>0.76666666666666661</v>
      </c>
      <c r="V51" s="462">
        <f>2.3/3</f>
        <v>0.76666666666666661</v>
      </c>
      <c r="W51" s="357">
        <f>3.1/4</f>
        <v>0.77500000000000002</v>
      </c>
      <c r="X51" s="357"/>
      <c r="Y51" s="357">
        <v>0.75</v>
      </c>
      <c r="Z51" s="357"/>
      <c r="AA51" s="357">
        <v>0.7</v>
      </c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10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0.7</v>
      </c>
      <c r="M56" s="357"/>
      <c r="N56" s="357"/>
      <c r="O56" s="357"/>
      <c r="P56" s="359">
        <v>0.8</v>
      </c>
      <c r="Q56" s="357">
        <v>0</v>
      </c>
      <c r="R56" s="357">
        <v>0</v>
      </c>
      <c r="S56" s="462">
        <v>0</v>
      </c>
      <c r="T56" s="357">
        <v>0</v>
      </c>
      <c r="U56" s="357">
        <f>2.3/3</f>
        <v>0.76666666666666661</v>
      </c>
      <c r="V56" s="462">
        <f>2.3/3</f>
        <v>0.76666666666666661</v>
      </c>
      <c r="W56" s="357">
        <f>3.1/4</f>
        <v>0.77500000000000002</v>
      </c>
      <c r="X56" s="357"/>
      <c r="Y56" s="357">
        <v>0.75</v>
      </c>
      <c r="Z56" s="357"/>
      <c r="AA56" s="357">
        <v>0.7</v>
      </c>
      <c r="AB56" s="357">
        <v>0.7</v>
      </c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12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1.4</v>
      </c>
      <c r="M60" s="19">
        <f t="shared" si="16"/>
        <v>0</v>
      </c>
      <c r="N60" s="19">
        <f t="shared" si="16"/>
        <v>0</v>
      </c>
      <c r="O60" s="19">
        <f t="shared" si="16"/>
        <v>0</v>
      </c>
      <c r="P60" s="19">
        <f t="shared" si="16"/>
        <v>3.2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 t="shared" si="16"/>
        <v>0.8</v>
      </c>
      <c r="U60" s="19">
        <f t="shared" si="16"/>
        <v>2.2999999999999998</v>
      </c>
      <c r="V60" s="19">
        <f t="shared" si="16"/>
        <v>2.2999999999999998</v>
      </c>
      <c r="W60" s="19">
        <f t="shared" si="16"/>
        <v>3.1</v>
      </c>
      <c r="X60" s="19">
        <f t="shared" si="16"/>
        <v>0.8</v>
      </c>
      <c r="Y60" s="19">
        <f>SUM(Y36:Y59)</f>
        <v>4.5949999999999998</v>
      </c>
      <c r="Z60" s="19">
        <f t="shared" si="16"/>
        <v>0</v>
      </c>
      <c r="AA60" s="19">
        <f t="shared" si="16"/>
        <v>4.6000000000000005</v>
      </c>
      <c r="AB60" s="19">
        <f t="shared" si="16"/>
        <v>2.2999999999999998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21.290000000000003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0.59</v>
      </c>
      <c r="G62" s="357">
        <v>0.57999999999999996</v>
      </c>
      <c r="H62" s="357">
        <v>0.59</v>
      </c>
      <c r="I62" s="359">
        <v>0.57999999999999996</v>
      </c>
      <c r="J62" s="357">
        <v>0.54</v>
      </c>
      <c r="K62" s="357">
        <v>0.56999999999999995</v>
      </c>
      <c r="L62" s="357">
        <v>0.56000000000000005</v>
      </c>
      <c r="M62" s="357"/>
      <c r="N62" s="357"/>
      <c r="O62" s="357"/>
      <c r="P62" s="357"/>
      <c r="Q62" s="357"/>
      <c r="R62" s="357"/>
      <c r="S62" s="357"/>
      <c r="T62" s="357"/>
      <c r="U62" s="357"/>
      <c r="V62" s="357"/>
      <c r="W62" s="357"/>
      <c r="X62" s="462">
        <v>0.56000000000000005</v>
      </c>
      <c r="Y62" s="357">
        <v>0.67500000000000004</v>
      </c>
      <c r="Z62" s="357">
        <v>0.67</v>
      </c>
      <c r="AA62" s="357">
        <v>0.625</v>
      </c>
      <c r="AB62" s="357">
        <v>0.48</v>
      </c>
      <c r="AC62" s="357">
        <v>0.47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/>
      <c r="H63" s="357"/>
      <c r="I63" s="359"/>
      <c r="J63" s="357"/>
      <c r="K63" s="357"/>
      <c r="L63" s="357"/>
      <c r="M63" s="357"/>
      <c r="N63" s="357">
        <v>0.38500000000000001</v>
      </c>
      <c r="O63" s="357">
        <v>0.435</v>
      </c>
      <c r="P63" s="357">
        <v>0.42499999999999999</v>
      </c>
      <c r="Q63" s="357">
        <v>0.47</v>
      </c>
      <c r="R63" s="357">
        <v>0.47</v>
      </c>
      <c r="S63" s="357">
        <f>1.06/2</f>
        <v>0.53</v>
      </c>
      <c r="T63" s="462">
        <f>1.07/2</f>
        <v>0.53500000000000003</v>
      </c>
      <c r="U63" s="462">
        <f>1.07/2</f>
        <v>0.53500000000000003</v>
      </c>
      <c r="V63" s="462">
        <v>0.54</v>
      </c>
      <c r="W63" s="462">
        <f>0.94/2</f>
        <v>0.47</v>
      </c>
      <c r="X63" s="462">
        <v>0.56000000000000005</v>
      </c>
      <c r="Y63" s="462">
        <v>0.67500000000000004</v>
      </c>
      <c r="Z63" s="462">
        <v>0.67</v>
      </c>
      <c r="AA63" s="462">
        <v>0.625</v>
      </c>
      <c r="AB63" s="357">
        <v>0.48</v>
      </c>
      <c r="AC63" s="357">
        <v>0.47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/>
      <c r="I64" s="359"/>
      <c r="J64" s="357"/>
      <c r="K64" s="357"/>
      <c r="L64" s="357"/>
      <c r="M64" s="357">
        <v>0.73</v>
      </c>
      <c r="N64" s="357">
        <v>0.38500000000000001</v>
      </c>
      <c r="O64" s="357">
        <v>0.435</v>
      </c>
      <c r="P64" s="357">
        <v>0.42499999999999999</v>
      </c>
      <c r="Q64" s="357">
        <v>0.47</v>
      </c>
      <c r="R64" s="357">
        <v>0.47</v>
      </c>
      <c r="S64" s="357">
        <f>1.06/2</f>
        <v>0.53</v>
      </c>
      <c r="T64" s="462">
        <f>1.07/2</f>
        <v>0.53500000000000003</v>
      </c>
      <c r="U64" s="462">
        <f>1.07/2</f>
        <v>0.53500000000000003</v>
      </c>
      <c r="V64" s="357">
        <v>0.54</v>
      </c>
      <c r="W64" s="462">
        <f>0.94/2</f>
        <v>0.47</v>
      </c>
      <c r="X64" s="357"/>
      <c r="Y64" s="357"/>
      <c r="Z64" s="357"/>
      <c r="AA64" s="357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11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0.59</v>
      </c>
      <c r="G65" s="19">
        <f t="shared" ref="G65:AB65" si="17">SUM(G62:G64)</f>
        <v>0.57999999999999996</v>
      </c>
      <c r="H65" s="19">
        <f t="shared" si="17"/>
        <v>0.59</v>
      </c>
      <c r="I65" s="19">
        <f t="shared" si="17"/>
        <v>0.57999999999999996</v>
      </c>
      <c r="J65" s="19">
        <f t="shared" si="17"/>
        <v>0.54</v>
      </c>
      <c r="K65" s="19">
        <f t="shared" si="17"/>
        <v>0.56999999999999995</v>
      </c>
      <c r="L65" s="19">
        <f t="shared" si="17"/>
        <v>0.56000000000000005</v>
      </c>
      <c r="M65" s="19">
        <f t="shared" si="17"/>
        <v>0.73</v>
      </c>
      <c r="N65" s="19">
        <f t="shared" si="17"/>
        <v>0.77</v>
      </c>
      <c r="O65" s="19">
        <f t="shared" si="17"/>
        <v>0.87</v>
      </c>
      <c r="P65" s="19">
        <f t="shared" si="17"/>
        <v>0.85</v>
      </c>
      <c r="Q65" s="19">
        <f t="shared" si="17"/>
        <v>0.94</v>
      </c>
      <c r="R65" s="19">
        <f t="shared" si="17"/>
        <v>0.94</v>
      </c>
      <c r="S65" s="463">
        <f t="shared" si="17"/>
        <v>1.06</v>
      </c>
      <c r="T65" s="463">
        <f t="shared" si="17"/>
        <v>1.07</v>
      </c>
      <c r="U65" s="463">
        <f t="shared" si="17"/>
        <v>1.07</v>
      </c>
      <c r="V65" s="19">
        <f>SUM(V62:V64)</f>
        <v>1.08</v>
      </c>
      <c r="W65" s="19">
        <f t="shared" si="17"/>
        <v>0.94</v>
      </c>
      <c r="X65" s="19">
        <f t="shared" si="17"/>
        <v>1.1200000000000001</v>
      </c>
      <c r="Y65" s="19">
        <f>SUM(Y62:Y64)</f>
        <v>1.35</v>
      </c>
      <c r="Z65" s="19">
        <f>SUM(Z62:Z64)</f>
        <v>1.34</v>
      </c>
      <c r="AA65" s="19">
        <f t="shared" si="17"/>
        <v>1.25</v>
      </c>
      <c r="AB65" s="19">
        <f t="shared" si="17"/>
        <v>0.96</v>
      </c>
      <c r="AC65" s="19">
        <f>SUM(AC62:AC64)</f>
        <v>0.94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63">
        <f t="shared" si="22"/>
        <v>0</v>
      </c>
      <c r="T76" s="463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15.69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/>
      <c r="N78" s="359"/>
      <c r="O78" s="357">
        <v>0.7</v>
      </c>
      <c r="P78" s="357">
        <v>0.75</v>
      </c>
      <c r="Q78" s="357">
        <v>0</v>
      </c>
      <c r="R78" s="357">
        <v>0.63</v>
      </c>
      <c r="S78" s="357">
        <v>0.76</v>
      </c>
      <c r="T78" s="357"/>
      <c r="U78" s="357">
        <v>0.66</v>
      </c>
      <c r="V78" s="357">
        <v>0.68</v>
      </c>
      <c r="W78" s="357">
        <v>0.7</v>
      </c>
      <c r="X78" s="357">
        <v>0.71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0.68</v>
      </c>
      <c r="G79" s="357">
        <v>0.67</v>
      </c>
      <c r="H79" s="357">
        <v>0.68</v>
      </c>
      <c r="I79" s="357">
        <v>0.62</v>
      </c>
      <c r="J79" s="357">
        <v>0.61</v>
      </c>
      <c r="K79" s="357">
        <v>0.63</v>
      </c>
      <c r="L79" s="359">
        <v>0.64</v>
      </c>
      <c r="M79" s="359">
        <v>0.66</v>
      </c>
      <c r="N79" s="359">
        <v>0.69</v>
      </c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0.81</v>
      </c>
      <c r="Z79" s="357">
        <v>0.9</v>
      </c>
      <c r="AA79" s="357">
        <v>0.88</v>
      </c>
      <c r="AB79" s="357">
        <v>0.85</v>
      </c>
      <c r="AC79" s="357">
        <v>0.78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0.68</v>
      </c>
      <c r="G80" s="19">
        <f t="shared" ref="G80" si="24">SUM(G78:G79)</f>
        <v>0.67</v>
      </c>
      <c r="H80" s="19">
        <f>SUM(H78:H79)</f>
        <v>0.68</v>
      </c>
      <c r="I80" s="19">
        <f>SUM(I78:I79)</f>
        <v>0.62</v>
      </c>
      <c r="J80" s="19">
        <f t="shared" ref="J80:AC80" si="25">SUM(J78:J79)</f>
        <v>0.61</v>
      </c>
      <c r="K80" s="19">
        <f t="shared" si="25"/>
        <v>0.63</v>
      </c>
      <c r="L80" s="19">
        <f>SUM(L78:L79)</f>
        <v>0.64</v>
      </c>
      <c r="M80" s="19">
        <f t="shared" si="25"/>
        <v>0.66</v>
      </c>
      <c r="N80" s="19">
        <f t="shared" si="25"/>
        <v>0.69</v>
      </c>
      <c r="O80" s="19">
        <f>SUM(O78:O79)</f>
        <v>0.7</v>
      </c>
      <c r="P80" s="19">
        <f>SUM(P78:P79)</f>
        <v>0.75</v>
      </c>
      <c r="Q80" s="19">
        <f t="shared" si="25"/>
        <v>0</v>
      </c>
      <c r="R80" s="19">
        <f t="shared" si="25"/>
        <v>0.63</v>
      </c>
      <c r="S80" s="463">
        <f t="shared" si="25"/>
        <v>0.76</v>
      </c>
      <c r="T80" s="463">
        <f t="shared" si="25"/>
        <v>0</v>
      </c>
      <c r="U80" s="19">
        <f t="shared" si="25"/>
        <v>0.66</v>
      </c>
      <c r="V80" s="19">
        <f t="shared" si="25"/>
        <v>0.68</v>
      </c>
      <c r="W80" s="19">
        <f t="shared" si="25"/>
        <v>0.7</v>
      </c>
      <c r="X80" s="19">
        <f t="shared" si="25"/>
        <v>0.71</v>
      </c>
      <c r="Y80" s="19">
        <f t="shared" si="25"/>
        <v>0.81</v>
      </c>
      <c r="Z80" s="19">
        <f t="shared" si="25"/>
        <v>0.9</v>
      </c>
      <c r="AA80" s="19">
        <f t="shared" si="25"/>
        <v>0.88</v>
      </c>
      <c r="AB80" s="19">
        <f t="shared" si="25"/>
        <v>0.85</v>
      </c>
      <c r="AC80" s="19">
        <f t="shared" si="25"/>
        <v>0.78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30.09</v>
      </c>
      <c r="G83" s="28">
        <f>SUM(G17,G22,G25,G31,G34,G60,G65,G76,G80,G82)</f>
        <v>28.94</v>
      </c>
      <c r="H83" s="28">
        <f t="shared" ref="H83:AC83" si="27">SUM(H17,H22,H25,H31,H34,H60,H65,H76,H80,H82)</f>
        <v>32.120000000000005</v>
      </c>
      <c r="I83" s="28">
        <f t="shared" si="27"/>
        <v>26.49</v>
      </c>
      <c r="J83" s="28">
        <f t="shared" si="27"/>
        <v>27.25</v>
      </c>
      <c r="K83" s="28">
        <f t="shared" si="27"/>
        <v>27.88</v>
      </c>
      <c r="L83" s="28">
        <f t="shared" si="27"/>
        <v>29.7</v>
      </c>
      <c r="M83" s="28">
        <f t="shared" si="27"/>
        <v>31.55</v>
      </c>
      <c r="N83" s="28">
        <f t="shared" si="27"/>
        <v>34.15</v>
      </c>
      <c r="O83" s="28">
        <f t="shared" si="27"/>
        <v>40.26</v>
      </c>
      <c r="P83" s="28">
        <f t="shared" si="27"/>
        <v>44.550000000000004</v>
      </c>
      <c r="Q83" s="28">
        <f t="shared" si="27"/>
        <v>39.43</v>
      </c>
      <c r="R83" s="28">
        <f t="shared" si="27"/>
        <v>34.72</v>
      </c>
      <c r="S83" s="518">
        <f t="shared" si="27"/>
        <v>42.56</v>
      </c>
      <c r="T83" s="518">
        <f t="shared" si="27"/>
        <v>43.26</v>
      </c>
      <c r="U83" s="518">
        <f t="shared" si="27"/>
        <v>45.089999999999989</v>
      </c>
      <c r="V83" s="28">
        <f t="shared" si="27"/>
        <v>45.76</v>
      </c>
      <c r="W83" s="28">
        <f t="shared" si="27"/>
        <v>45.250000000000007</v>
      </c>
      <c r="X83" s="28">
        <f t="shared" si="27"/>
        <v>47.499999999999993</v>
      </c>
      <c r="Y83" s="28">
        <f t="shared" si="27"/>
        <v>52.615000000000002</v>
      </c>
      <c r="Z83" s="28">
        <f t="shared" si="27"/>
        <v>52.59</v>
      </c>
      <c r="AA83" s="28">
        <f t="shared" si="27"/>
        <v>48.580000000000005</v>
      </c>
      <c r="AB83" s="28">
        <f t="shared" si="27"/>
        <v>45.4</v>
      </c>
      <c r="AC83" s="28">
        <f t="shared" si="27"/>
        <v>40.89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0</v>
      </c>
      <c r="P89" s="64">
        <f t="shared" si="28"/>
        <v>0</v>
      </c>
      <c r="Q89" s="64">
        <f t="shared" si="28"/>
        <v>0</v>
      </c>
      <c r="R89" s="64">
        <f t="shared" si="28"/>
        <v>0</v>
      </c>
      <c r="S89" s="64">
        <f t="shared" si="28"/>
        <v>0</v>
      </c>
      <c r="T89" s="64">
        <f t="shared" si="28"/>
        <v>0</v>
      </c>
      <c r="U89" s="64">
        <f t="shared" si="28"/>
        <v>0</v>
      </c>
      <c r="V89" s="64">
        <f t="shared" si="28"/>
        <v>0</v>
      </c>
      <c r="W89" s="64">
        <f t="shared" si="28"/>
        <v>0</v>
      </c>
      <c r="X89" s="64">
        <f t="shared" si="28"/>
        <v>0</v>
      </c>
      <c r="Y89" s="64">
        <f t="shared" si="28"/>
        <v>0</v>
      </c>
      <c r="Z89" s="64">
        <f t="shared" si="28"/>
        <v>3</v>
      </c>
      <c r="AA89" s="64">
        <f t="shared" si="28"/>
        <v>2.8</v>
      </c>
      <c r="AB89" s="64">
        <f t="shared" si="28"/>
        <v>2.8</v>
      </c>
      <c r="AC89" s="64">
        <f t="shared" si="28"/>
        <v>2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 t="s">
        <v>1</v>
      </c>
      <c r="Z90" s="68" t="s">
        <v>1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9">F17</f>
        <v>12.8</v>
      </c>
      <c r="G91" s="64">
        <f t="shared" si="29"/>
        <v>12.4</v>
      </c>
      <c r="H91" s="64">
        <f t="shared" si="29"/>
        <v>12.3</v>
      </c>
      <c r="I91" s="64">
        <f t="shared" si="29"/>
        <v>11.3</v>
      </c>
      <c r="J91" s="64">
        <f t="shared" si="29"/>
        <v>13.8</v>
      </c>
      <c r="K91" s="64">
        <f t="shared" si="29"/>
        <v>13.4</v>
      </c>
      <c r="L91" s="64">
        <f t="shared" si="29"/>
        <v>13</v>
      </c>
      <c r="M91" s="64">
        <f t="shared" si="29"/>
        <v>13</v>
      </c>
      <c r="N91" s="64">
        <f t="shared" si="29"/>
        <v>13</v>
      </c>
      <c r="O91" s="64">
        <f t="shared" si="29"/>
        <v>13.6</v>
      </c>
      <c r="P91" s="64">
        <f t="shared" si="29"/>
        <v>14.799999999999999</v>
      </c>
      <c r="Q91" s="64">
        <f t="shared" si="29"/>
        <v>18.600000000000001</v>
      </c>
      <c r="R91" s="64">
        <f t="shared" si="29"/>
        <v>16.5</v>
      </c>
      <c r="S91" s="64">
        <f t="shared" si="29"/>
        <v>19.5</v>
      </c>
      <c r="T91" s="64">
        <f t="shared" si="29"/>
        <v>20.100000000000001</v>
      </c>
      <c r="U91" s="64">
        <f t="shared" si="29"/>
        <v>19.799999999999997</v>
      </c>
      <c r="V91" s="64">
        <f t="shared" si="29"/>
        <v>20.399999999999999</v>
      </c>
      <c r="W91" s="64">
        <f t="shared" si="29"/>
        <v>19.200000000000003</v>
      </c>
      <c r="X91" s="64">
        <f t="shared" si="29"/>
        <v>19.799999999999997</v>
      </c>
      <c r="Y91" s="64">
        <f t="shared" si="29"/>
        <v>19.799999999999997</v>
      </c>
      <c r="Z91" s="64">
        <f t="shared" si="29"/>
        <v>19.200000000000003</v>
      </c>
      <c r="AA91" s="64">
        <f t="shared" si="29"/>
        <v>13.8</v>
      </c>
      <c r="AB91" s="64">
        <f t="shared" si="29"/>
        <v>13.4</v>
      </c>
      <c r="AC91" s="64">
        <f t="shared" si="29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0.51400000000000001</v>
      </c>
      <c r="G92" s="68">
        <v>0.48199999999999998</v>
      </c>
      <c r="H92" s="68">
        <v>0.621</v>
      </c>
      <c r="I92" s="68">
        <v>0.59399999999999997</v>
      </c>
      <c r="J92" s="68">
        <v>0.67400000000000004</v>
      </c>
      <c r="K92" s="68">
        <v>0.63500000000000001</v>
      </c>
      <c r="L92" s="68">
        <v>0.64700000000000002</v>
      </c>
      <c r="M92" s="68">
        <v>0.69899999999999995</v>
      </c>
      <c r="N92" s="68">
        <v>0.53900000000000003</v>
      </c>
      <c r="O92" s="68">
        <v>0.55300000000000005</v>
      </c>
      <c r="P92" s="68">
        <v>0.65700000000000003</v>
      </c>
      <c r="Q92" s="68">
        <v>0.73699999999999999</v>
      </c>
      <c r="R92" s="68">
        <v>0.623</v>
      </c>
      <c r="S92" s="68">
        <v>0.61499999999999999</v>
      </c>
      <c r="T92" s="68">
        <v>0.61</v>
      </c>
      <c r="U92" s="68">
        <v>0.79500000000000004</v>
      </c>
      <c r="V92" s="68">
        <v>0.77600000000000002</v>
      </c>
      <c r="W92" s="68">
        <v>0.75800000000000001</v>
      </c>
      <c r="X92" s="68">
        <v>0.81299999999999994</v>
      </c>
      <c r="Y92" s="68">
        <v>0.80400000000000005</v>
      </c>
      <c r="Z92" s="68">
        <v>0.71699999999999997</v>
      </c>
      <c r="AA92" s="68">
        <v>0.51800000000000002</v>
      </c>
      <c r="AB92" s="68">
        <v>0.51200000000000001</v>
      </c>
      <c r="AC92" s="68">
        <v>0.53400000000000003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0">F31</f>
        <v>3.5</v>
      </c>
      <c r="G93" s="65">
        <f t="shared" si="30"/>
        <v>2.9</v>
      </c>
      <c r="H93" s="65">
        <f t="shared" si="30"/>
        <v>6</v>
      </c>
      <c r="I93" s="65">
        <f t="shared" si="30"/>
        <v>1.5</v>
      </c>
      <c r="J93" s="65">
        <f t="shared" si="30"/>
        <v>0</v>
      </c>
      <c r="K93" s="65">
        <f t="shared" si="30"/>
        <v>0</v>
      </c>
      <c r="L93" s="65">
        <f t="shared" si="30"/>
        <v>0</v>
      </c>
      <c r="M93" s="65">
        <f t="shared" si="30"/>
        <v>3</v>
      </c>
      <c r="N93" s="65">
        <f t="shared" si="30"/>
        <v>5.5</v>
      </c>
      <c r="O93" s="65">
        <f t="shared" si="30"/>
        <v>10.8</v>
      </c>
      <c r="P93" s="65">
        <f t="shared" si="30"/>
        <v>10.7</v>
      </c>
      <c r="Q93" s="65">
        <f t="shared" si="30"/>
        <v>5.6</v>
      </c>
      <c r="R93" s="65">
        <f t="shared" si="30"/>
        <v>6.4</v>
      </c>
      <c r="S93" s="65">
        <f t="shared" si="30"/>
        <v>7</v>
      </c>
      <c r="T93" s="65">
        <f t="shared" si="30"/>
        <v>7</v>
      </c>
      <c r="U93" s="65">
        <f t="shared" si="30"/>
        <v>7</v>
      </c>
      <c r="V93" s="65">
        <f t="shared" si="30"/>
        <v>7</v>
      </c>
      <c r="W93" s="65">
        <f t="shared" si="30"/>
        <v>7</v>
      </c>
      <c r="X93" s="65">
        <f t="shared" si="30"/>
        <v>10.8</v>
      </c>
      <c r="Y93" s="65">
        <f t="shared" si="30"/>
        <v>11.8</v>
      </c>
      <c r="Z93" s="65">
        <f t="shared" si="30"/>
        <v>13.9</v>
      </c>
      <c r="AA93" s="65">
        <f t="shared" si="30"/>
        <v>11</v>
      </c>
      <c r="AB93" s="65">
        <f t="shared" si="30"/>
        <v>10.8</v>
      </c>
      <c r="AC93" s="65">
        <f t="shared" si="30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0.10100000000000001</v>
      </c>
      <c r="G94" s="68">
        <v>0.20300000000000001</v>
      </c>
      <c r="H94" s="68">
        <v>0.17299999999999999</v>
      </c>
      <c r="I94" s="68">
        <v>0.19</v>
      </c>
      <c r="J94" s="68">
        <v>8.7999999999999995E-2</v>
      </c>
      <c r="K94" s="68" t="s">
        <v>1</v>
      </c>
      <c r="L94" s="68">
        <v>9.1999999999999998E-2</v>
      </c>
      <c r="M94" s="68">
        <v>0.13200000000000001</v>
      </c>
      <c r="N94" s="68">
        <v>0.14799999999999999</v>
      </c>
      <c r="O94" s="68">
        <v>0.16900000000000001</v>
      </c>
      <c r="P94" s="68">
        <v>0.17599999999999999</v>
      </c>
      <c r="Q94" s="68">
        <v>0.16900000000000001</v>
      </c>
      <c r="R94" s="68">
        <v>0.17199999999999999</v>
      </c>
      <c r="S94" s="68">
        <v>8.2000000000000003E-2</v>
      </c>
      <c r="T94" s="68">
        <v>8.5000000000000006E-2</v>
      </c>
      <c r="U94" s="68">
        <v>8.3000000000000004E-2</v>
      </c>
      <c r="V94" s="68">
        <v>8.5000000000000006E-2</v>
      </c>
      <c r="W94" s="68">
        <v>8.4000000000000005E-2</v>
      </c>
      <c r="X94" s="68">
        <v>0.18099999999999999</v>
      </c>
      <c r="Y94" s="68">
        <v>0.185</v>
      </c>
      <c r="Z94" s="68">
        <v>0.182</v>
      </c>
      <c r="AA94" s="68">
        <v>0.19600000000000001</v>
      </c>
      <c r="AB94" s="68">
        <v>0.184</v>
      </c>
      <c r="AC94" s="68">
        <v>0.19600000000000001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0.20499999999999999</v>
      </c>
      <c r="G95" s="68">
        <v>0.19500000000000001</v>
      </c>
      <c r="H95" s="68" t="s">
        <v>1</v>
      </c>
      <c r="I95" s="68" t="s">
        <v>1</v>
      </c>
      <c r="J95" s="68" t="s">
        <v>1</v>
      </c>
      <c r="K95" s="68" t="s">
        <v>1</v>
      </c>
      <c r="L95" s="68" t="s">
        <v>1</v>
      </c>
      <c r="M95" s="68">
        <v>0.2</v>
      </c>
      <c r="N95" s="68">
        <v>0.20300000000000001</v>
      </c>
      <c r="O95" s="68">
        <v>0.20300000000000001</v>
      </c>
      <c r="P95" s="68">
        <v>0.21</v>
      </c>
      <c r="Q95" s="68">
        <v>0.22</v>
      </c>
      <c r="R95" s="68">
        <v>0.2</v>
      </c>
      <c r="S95" s="68">
        <v>0.2</v>
      </c>
      <c r="T95" s="68">
        <v>0.2</v>
      </c>
      <c r="U95" s="68">
        <v>0.2</v>
      </c>
      <c r="V95" s="68">
        <v>0.2</v>
      </c>
      <c r="W95" s="68">
        <v>0.2</v>
      </c>
      <c r="X95" s="68">
        <v>0.2</v>
      </c>
      <c r="Y95" s="68">
        <v>0.2</v>
      </c>
      <c r="Z95" s="68">
        <v>0.2</v>
      </c>
      <c r="AA95" s="68">
        <v>0.21</v>
      </c>
      <c r="AB95" s="68">
        <v>0.2</v>
      </c>
      <c r="AC95" s="68">
        <v>0.2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1">F34</f>
        <v>12.52</v>
      </c>
      <c r="G96" s="65">
        <f t="shared" si="31"/>
        <v>12.39</v>
      </c>
      <c r="H96" s="65">
        <f t="shared" si="31"/>
        <v>12.55</v>
      </c>
      <c r="I96" s="65">
        <f t="shared" si="31"/>
        <v>12.49</v>
      </c>
      <c r="J96" s="65">
        <f t="shared" si="31"/>
        <v>12.3</v>
      </c>
      <c r="K96" s="65">
        <f t="shared" si="31"/>
        <v>13.28</v>
      </c>
      <c r="L96" s="65">
        <f t="shared" si="31"/>
        <v>14.1</v>
      </c>
      <c r="M96" s="65">
        <f t="shared" si="31"/>
        <v>14.16</v>
      </c>
      <c r="N96" s="65">
        <f t="shared" si="31"/>
        <v>14.19</v>
      </c>
      <c r="O96" s="65">
        <f t="shared" si="31"/>
        <v>14.29</v>
      </c>
      <c r="P96" s="65">
        <f t="shared" si="31"/>
        <v>14.25</v>
      </c>
      <c r="Q96" s="65">
        <f t="shared" si="31"/>
        <v>14.29</v>
      </c>
      <c r="R96" s="65">
        <f t="shared" si="31"/>
        <v>10.25</v>
      </c>
      <c r="S96" s="65">
        <f t="shared" si="31"/>
        <v>14.24</v>
      </c>
      <c r="T96" s="65">
        <f t="shared" si="31"/>
        <v>14.29</v>
      </c>
      <c r="U96" s="65">
        <f t="shared" si="31"/>
        <v>14.26</v>
      </c>
      <c r="V96" s="65">
        <f t="shared" si="31"/>
        <v>14.3</v>
      </c>
      <c r="W96" s="65">
        <f t="shared" si="31"/>
        <v>14.31</v>
      </c>
      <c r="X96" s="65">
        <f t="shared" si="31"/>
        <v>14.27</v>
      </c>
      <c r="Y96" s="65">
        <f t="shared" si="31"/>
        <v>14.26</v>
      </c>
      <c r="Z96" s="65">
        <f t="shared" si="31"/>
        <v>14.25</v>
      </c>
      <c r="AA96" s="65">
        <f t="shared" si="31"/>
        <v>14.25</v>
      </c>
      <c r="AB96" s="65">
        <f t="shared" si="31"/>
        <v>14.29</v>
      </c>
      <c r="AC96" s="65">
        <f t="shared" si="31"/>
        <v>14.77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0.98</v>
      </c>
      <c r="G97" s="68">
        <v>1.1100000000000001</v>
      </c>
      <c r="H97" s="68">
        <v>0.95</v>
      </c>
      <c r="I97" s="68">
        <v>1.01</v>
      </c>
      <c r="J97" s="68">
        <v>1.2</v>
      </c>
      <c r="K97" s="68">
        <v>1.22</v>
      </c>
      <c r="L97" s="68">
        <v>0.7</v>
      </c>
      <c r="M97" s="68">
        <v>0.84</v>
      </c>
      <c r="N97" s="68">
        <v>0.81</v>
      </c>
      <c r="O97" s="68">
        <v>0.73</v>
      </c>
      <c r="P97" s="68">
        <v>0.75</v>
      </c>
      <c r="Q97" s="68">
        <v>0.71</v>
      </c>
      <c r="R97" s="68">
        <v>0.75</v>
      </c>
      <c r="S97" s="68">
        <v>0.76</v>
      </c>
      <c r="T97" s="68">
        <v>0.71</v>
      </c>
      <c r="U97" s="68">
        <v>0.74</v>
      </c>
      <c r="V97" s="68">
        <v>0.7</v>
      </c>
      <c r="W97" s="68">
        <v>0.69</v>
      </c>
      <c r="X97" s="68">
        <v>0.73</v>
      </c>
      <c r="Y97" s="68">
        <v>0.74</v>
      </c>
      <c r="Z97" s="68">
        <v>0.75</v>
      </c>
      <c r="AA97" s="68">
        <v>0.73</v>
      </c>
      <c r="AB97" s="68">
        <v>0.71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1.4</v>
      </c>
      <c r="M98" s="64">
        <f t="shared" si="32"/>
        <v>0</v>
      </c>
      <c r="N98" s="64">
        <f t="shared" si="32"/>
        <v>0</v>
      </c>
      <c r="O98" s="64">
        <f t="shared" si="32"/>
        <v>0</v>
      </c>
      <c r="P98" s="64">
        <f t="shared" si="32"/>
        <v>3.2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0.8</v>
      </c>
      <c r="U98" s="64">
        <f t="shared" si="32"/>
        <v>2.2999999999999998</v>
      </c>
      <c r="V98" s="64">
        <f t="shared" si="32"/>
        <v>2.2999999999999998</v>
      </c>
      <c r="W98" s="64">
        <f t="shared" si="32"/>
        <v>3.1</v>
      </c>
      <c r="X98" s="64">
        <f t="shared" si="32"/>
        <v>0.8</v>
      </c>
      <c r="Y98" s="64">
        <f t="shared" si="32"/>
        <v>4.5949999999999998</v>
      </c>
      <c r="Z98" s="64">
        <f t="shared" si="32"/>
        <v>0</v>
      </c>
      <c r="AA98" s="64">
        <f t="shared" si="32"/>
        <v>4.6000000000000005</v>
      </c>
      <c r="AB98" s="64">
        <f t="shared" si="32"/>
        <v>2.2999999999999998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3">F65</f>
        <v>0.59</v>
      </c>
      <c r="G99" s="64">
        <f t="shared" si="33"/>
        <v>0.57999999999999996</v>
      </c>
      <c r="H99" s="64">
        <f t="shared" si="33"/>
        <v>0.59</v>
      </c>
      <c r="I99" s="64">
        <f t="shared" si="33"/>
        <v>0.57999999999999996</v>
      </c>
      <c r="J99" s="64">
        <f t="shared" si="33"/>
        <v>0.54</v>
      </c>
      <c r="K99" s="64">
        <f t="shared" si="33"/>
        <v>0.56999999999999995</v>
      </c>
      <c r="L99" s="64">
        <f t="shared" si="33"/>
        <v>0.56000000000000005</v>
      </c>
      <c r="M99" s="64">
        <f t="shared" si="33"/>
        <v>0.73</v>
      </c>
      <c r="N99" s="64">
        <f t="shared" si="33"/>
        <v>0.77</v>
      </c>
      <c r="O99" s="64">
        <f t="shared" si="33"/>
        <v>0.87</v>
      </c>
      <c r="P99" s="64">
        <f t="shared" si="33"/>
        <v>0.85</v>
      </c>
      <c r="Q99" s="64">
        <f t="shared" si="33"/>
        <v>0.94</v>
      </c>
      <c r="R99" s="64">
        <f t="shared" si="33"/>
        <v>0.94</v>
      </c>
      <c r="S99" s="64">
        <f t="shared" si="33"/>
        <v>1.06</v>
      </c>
      <c r="T99" s="64">
        <f t="shared" si="33"/>
        <v>1.07</v>
      </c>
      <c r="U99" s="64">
        <f t="shared" si="33"/>
        <v>1.07</v>
      </c>
      <c r="V99" s="64">
        <f t="shared" si="33"/>
        <v>1.08</v>
      </c>
      <c r="W99" s="64">
        <f t="shared" si="33"/>
        <v>0.94</v>
      </c>
      <c r="X99" s="64">
        <f t="shared" si="33"/>
        <v>1.1200000000000001</v>
      </c>
      <c r="Y99" s="64">
        <f t="shared" si="33"/>
        <v>1.35</v>
      </c>
      <c r="Z99" s="64">
        <f t="shared" si="33"/>
        <v>1.34</v>
      </c>
      <c r="AA99" s="64">
        <f t="shared" si="33"/>
        <v>1.25</v>
      </c>
      <c r="AB99" s="64">
        <f t="shared" si="33"/>
        <v>0.96</v>
      </c>
      <c r="AC99" s="64">
        <f t="shared" si="33"/>
        <v>0.94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5">F80</f>
        <v>0.68</v>
      </c>
      <c r="G101" s="64">
        <f t="shared" si="35"/>
        <v>0.67</v>
      </c>
      <c r="H101" s="64">
        <f t="shared" si="35"/>
        <v>0.68</v>
      </c>
      <c r="I101" s="64">
        <f t="shared" si="35"/>
        <v>0.62</v>
      </c>
      <c r="J101" s="64">
        <f t="shared" si="35"/>
        <v>0.61</v>
      </c>
      <c r="K101" s="64">
        <f t="shared" si="35"/>
        <v>0.63</v>
      </c>
      <c r="L101" s="64">
        <f t="shared" si="35"/>
        <v>0.64</v>
      </c>
      <c r="M101" s="64">
        <f t="shared" si="35"/>
        <v>0.66</v>
      </c>
      <c r="N101" s="64">
        <f t="shared" si="35"/>
        <v>0.69</v>
      </c>
      <c r="O101" s="64">
        <f t="shared" si="35"/>
        <v>0.7</v>
      </c>
      <c r="P101" s="64">
        <f t="shared" si="35"/>
        <v>0.75</v>
      </c>
      <c r="Q101" s="64">
        <f t="shared" si="35"/>
        <v>0</v>
      </c>
      <c r="R101" s="64">
        <f t="shared" si="35"/>
        <v>0.63</v>
      </c>
      <c r="S101" s="64">
        <f t="shared" si="35"/>
        <v>0.76</v>
      </c>
      <c r="T101" s="64">
        <f t="shared" si="35"/>
        <v>0</v>
      </c>
      <c r="U101" s="64">
        <f t="shared" si="35"/>
        <v>0.66</v>
      </c>
      <c r="V101" s="64">
        <f t="shared" si="35"/>
        <v>0.68</v>
      </c>
      <c r="W101" s="64">
        <f t="shared" si="35"/>
        <v>0.7</v>
      </c>
      <c r="X101" s="64">
        <f t="shared" si="35"/>
        <v>0.71</v>
      </c>
      <c r="Y101" s="64">
        <f t="shared" si="35"/>
        <v>0.81</v>
      </c>
      <c r="Z101" s="64">
        <f t="shared" si="35"/>
        <v>0.9</v>
      </c>
      <c r="AA101" s="64">
        <f t="shared" si="35"/>
        <v>0.88</v>
      </c>
      <c r="AB101" s="64">
        <f t="shared" si="35"/>
        <v>0.85</v>
      </c>
      <c r="AC101" s="64">
        <f t="shared" si="35"/>
        <v>0.78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7">SUM(F89,F91,F93,F96,F98:F102,F81)</f>
        <v>30.09</v>
      </c>
      <c r="G103" s="61">
        <f t="shared" si="37"/>
        <v>28.94</v>
      </c>
      <c r="H103" s="61">
        <f t="shared" si="37"/>
        <v>32.120000000000005</v>
      </c>
      <c r="I103" s="61">
        <f t="shared" si="37"/>
        <v>26.49</v>
      </c>
      <c r="J103" s="61">
        <f t="shared" si="37"/>
        <v>27.25</v>
      </c>
      <c r="K103" s="61">
        <f t="shared" si="37"/>
        <v>27.88</v>
      </c>
      <c r="L103" s="61">
        <f t="shared" si="37"/>
        <v>29.7</v>
      </c>
      <c r="M103" s="61">
        <f t="shared" si="37"/>
        <v>31.55</v>
      </c>
      <c r="N103" s="61">
        <f t="shared" si="37"/>
        <v>34.15</v>
      </c>
      <c r="O103" s="61">
        <f t="shared" si="37"/>
        <v>40.26</v>
      </c>
      <c r="P103" s="61">
        <f t="shared" si="37"/>
        <v>44.550000000000004</v>
      </c>
      <c r="Q103" s="61">
        <f t="shared" si="37"/>
        <v>39.43</v>
      </c>
      <c r="R103" s="61">
        <f t="shared" si="37"/>
        <v>34.72</v>
      </c>
      <c r="S103" s="61">
        <f t="shared" si="37"/>
        <v>42.56</v>
      </c>
      <c r="T103" s="61">
        <f t="shared" si="37"/>
        <v>43.26</v>
      </c>
      <c r="U103" s="61">
        <f t="shared" si="37"/>
        <v>45.089999999999989</v>
      </c>
      <c r="V103" s="61">
        <f t="shared" si="37"/>
        <v>45.76</v>
      </c>
      <c r="W103" s="61">
        <f t="shared" si="37"/>
        <v>45.250000000000007</v>
      </c>
      <c r="X103" s="61">
        <f t="shared" si="37"/>
        <v>47.499999999999993</v>
      </c>
      <c r="Y103" s="61">
        <f t="shared" si="37"/>
        <v>52.615000000000002</v>
      </c>
      <c r="Z103" s="61">
        <f t="shared" si="37"/>
        <v>52.59</v>
      </c>
      <c r="AA103" s="61">
        <f t="shared" si="37"/>
        <v>48.580000000000005</v>
      </c>
      <c r="AB103" s="61">
        <f t="shared" si="37"/>
        <v>45.4</v>
      </c>
      <c r="AC103" s="61">
        <f t="shared" si="37"/>
        <v>40.89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>
        <f>1.3+0.93</f>
        <v>2.23</v>
      </c>
      <c r="G106" s="76">
        <f t="shared" ref="G106:L106" si="38">1.3+0.93</f>
        <v>2.23</v>
      </c>
      <c r="H106" s="76">
        <f t="shared" si="38"/>
        <v>2.23</v>
      </c>
      <c r="I106" s="76">
        <f>1.3+0.93+1.1</f>
        <v>3.33</v>
      </c>
      <c r="J106" s="76">
        <f t="shared" si="38"/>
        <v>2.23</v>
      </c>
      <c r="K106" s="76">
        <f t="shared" si="38"/>
        <v>2.23</v>
      </c>
      <c r="L106" s="76">
        <f t="shared" si="38"/>
        <v>2.23</v>
      </c>
      <c r="M106" s="76">
        <f>0.8+0.93</f>
        <v>1.73</v>
      </c>
      <c r="N106" s="76">
        <f>0.8+0.93</f>
        <v>1.73</v>
      </c>
      <c r="O106" s="76">
        <v>0.93</v>
      </c>
      <c r="P106" s="76">
        <f>0.93</f>
        <v>0.93</v>
      </c>
      <c r="Q106" s="76">
        <f>0.93</f>
        <v>0.93</v>
      </c>
      <c r="R106" s="76">
        <f>0.93+4.91+2.66+0.31+0.88+0.1+1.29</f>
        <v>11.080000000000002</v>
      </c>
      <c r="S106" s="76">
        <f>0.93+0.3</f>
        <v>1.23</v>
      </c>
      <c r="T106" s="76">
        <f>0.93+0.3+1.07+0.76</f>
        <v>3.0599999999999996</v>
      </c>
      <c r="U106" s="76">
        <f>0.93+0.3+1.07</f>
        <v>2.2999999999999998</v>
      </c>
      <c r="V106" s="76">
        <f>0.93+0.3+1.07</f>
        <v>2.2999999999999998</v>
      </c>
      <c r="W106" s="76">
        <f>0.93+1.07+0.6</f>
        <v>2.6</v>
      </c>
      <c r="X106" s="536">
        <f>0.93+0.6</f>
        <v>1.53</v>
      </c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9">SUM(F104:F106)</f>
        <v>2.23</v>
      </c>
      <c r="G107" s="61">
        <f t="shared" si="39"/>
        <v>2.23</v>
      </c>
      <c r="H107" s="61">
        <f t="shared" si="39"/>
        <v>2.23</v>
      </c>
      <c r="I107" s="61">
        <f t="shared" si="39"/>
        <v>3.33</v>
      </c>
      <c r="J107" s="61">
        <f t="shared" si="39"/>
        <v>2.23</v>
      </c>
      <c r="K107" s="61">
        <f t="shared" si="39"/>
        <v>2.23</v>
      </c>
      <c r="L107" s="61">
        <f t="shared" si="39"/>
        <v>2.23</v>
      </c>
      <c r="M107" s="61">
        <f t="shared" si="39"/>
        <v>1.73</v>
      </c>
      <c r="N107" s="61">
        <f t="shared" si="39"/>
        <v>1.73</v>
      </c>
      <c r="O107" s="61">
        <f t="shared" si="39"/>
        <v>0.93</v>
      </c>
      <c r="P107" s="61">
        <f t="shared" si="39"/>
        <v>0.93</v>
      </c>
      <c r="Q107" s="61">
        <f t="shared" si="39"/>
        <v>0.93</v>
      </c>
      <c r="R107" s="61">
        <f t="shared" si="39"/>
        <v>11.080000000000002</v>
      </c>
      <c r="S107" s="61">
        <f t="shared" si="39"/>
        <v>1.23</v>
      </c>
      <c r="T107" s="61">
        <f t="shared" si="39"/>
        <v>3.0599999999999996</v>
      </c>
      <c r="U107" s="61">
        <f t="shared" si="39"/>
        <v>2.2999999999999998</v>
      </c>
      <c r="V107" s="61">
        <f t="shared" si="39"/>
        <v>2.2999999999999998</v>
      </c>
      <c r="W107" s="61">
        <f t="shared" si="39"/>
        <v>2.6</v>
      </c>
      <c r="X107" s="61">
        <f t="shared" si="39"/>
        <v>1.53</v>
      </c>
      <c r="Y107" s="61">
        <f t="shared" si="39"/>
        <v>0</v>
      </c>
      <c r="Z107" s="61">
        <f t="shared" si="39"/>
        <v>0</v>
      </c>
      <c r="AA107" s="61">
        <f t="shared" si="39"/>
        <v>0</v>
      </c>
      <c r="AB107" s="61">
        <f t="shared" si="39"/>
        <v>0</v>
      </c>
      <c r="AC107" s="61">
        <f t="shared" si="39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40">F103+F107</f>
        <v>32.32</v>
      </c>
      <c r="G108" s="62">
        <f t="shared" si="40"/>
        <v>31.17</v>
      </c>
      <c r="H108" s="62">
        <f t="shared" si="40"/>
        <v>34.35</v>
      </c>
      <c r="I108" s="62">
        <f t="shared" si="40"/>
        <v>29.82</v>
      </c>
      <c r="J108" s="62">
        <f t="shared" si="40"/>
        <v>29.48</v>
      </c>
      <c r="K108" s="62">
        <f t="shared" si="40"/>
        <v>30.11</v>
      </c>
      <c r="L108" s="62">
        <f t="shared" si="40"/>
        <v>31.93</v>
      </c>
      <c r="M108" s="62">
        <f t="shared" si="40"/>
        <v>33.28</v>
      </c>
      <c r="N108" s="62">
        <f>N103+N107</f>
        <v>35.879999999999995</v>
      </c>
      <c r="O108" s="62">
        <f t="shared" si="40"/>
        <v>41.19</v>
      </c>
      <c r="P108" s="62">
        <f>P103+P107</f>
        <v>45.480000000000004</v>
      </c>
      <c r="Q108" s="62">
        <f t="shared" si="40"/>
        <v>40.36</v>
      </c>
      <c r="R108" s="62">
        <f t="shared" si="40"/>
        <v>45.8</v>
      </c>
      <c r="S108" s="62">
        <f t="shared" si="40"/>
        <v>43.79</v>
      </c>
      <c r="T108" s="62">
        <f>T103+T107</f>
        <v>46.32</v>
      </c>
      <c r="U108" s="62">
        <f t="shared" si="40"/>
        <v>47.389999999999986</v>
      </c>
      <c r="V108" s="62">
        <f t="shared" si="40"/>
        <v>48.059999999999995</v>
      </c>
      <c r="W108" s="62">
        <f>W103+W107</f>
        <v>47.850000000000009</v>
      </c>
      <c r="X108" s="62">
        <f t="shared" si="40"/>
        <v>49.029999999999994</v>
      </c>
      <c r="Y108" s="62">
        <f t="shared" si="40"/>
        <v>52.615000000000002</v>
      </c>
      <c r="Z108" s="62">
        <f t="shared" si="40"/>
        <v>52.59</v>
      </c>
      <c r="AA108" s="62">
        <f t="shared" si="40"/>
        <v>48.580000000000005</v>
      </c>
      <c r="AB108" s="62">
        <f t="shared" si="40"/>
        <v>45.4</v>
      </c>
      <c r="AC108" s="62">
        <f t="shared" si="40"/>
        <v>40.89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1">(COUNT(F13:F16))*7.2+(COUNT(F27:F28)*4.9)+(COUNT(F19:F21)*4.5)-F91-F93</f>
        <v>7.9000000000000021</v>
      </c>
      <c r="G109" s="63">
        <f t="shared" si="41"/>
        <v>8.9000000000000021</v>
      </c>
      <c r="H109" s="63">
        <f t="shared" si="41"/>
        <v>13.100000000000001</v>
      </c>
      <c r="I109" s="63">
        <f t="shared" si="41"/>
        <v>11.400000000000002</v>
      </c>
      <c r="J109" s="63">
        <f t="shared" si="41"/>
        <v>5.5</v>
      </c>
      <c r="K109" s="63">
        <f t="shared" si="41"/>
        <v>5.9</v>
      </c>
      <c r="L109" s="63">
        <f t="shared" si="41"/>
        <v>6.3000000000000007</v>
      </c>
      <c r="M109" s="63">
        <f t="shared" si="41"/>
        <v>3.3000000000000007</v>
      </c>
      <c r="N109" s="63">
        <f t="shared" si="41"/>
        <v>0.80000000000000071</v>
      </c>
      <c r="O109" s="63">
        <f t="shared" si="41"/>
        <v>-5.0999999999999996</v>
      </c>
      <c r="P109" s="63">
        <f t="shared" si="41"/>
        <v>1.0000000000000018</v>
      </c>
      <c r="Q109" s="63">
        <f t="shared" si="41"/>
        <v>2.2999999999999989</v>
      </c>
      <c r="R109" s="63">
        <f t="shared" si="41"/>
        <v>3.5999999999999996</v>
      </c>
      <c r="S109" s="63">
        <f t="shared" si="41"/>
        <v>0</v>
      </c>
      <c r="T109" s="63">
        <f t="shared" si="41"/>
        <v>-5.5</v>
      </c>
      <c r="U109" s="63">
        <f t="shared" si="41"/>
        <v>-5.1999999999999957</v>
      </c>
      <c r="V109" s="63">
        <f t="shared" si="41"/>
        <v>-5.7999999999999972</v>
      </c>
      <c r="W109" s="63">
        <f t="shared" si="41"/>
        <v>-4.6000000000000014</v>
      </c>
      <c r="X109" s="63">
        <f t="shared" si="41"/>
        <v>-4.0999999999999979</v>
      </c>
      <c r="Y109" s="63">
        <f t="shared" si="41"/>
        <v>-5.0999999999999979</v>
      </c>
      <c r="Z109" s="63">
        <f t="shared" si="41"/>
        <v>-2.1000000000000032</v>
      </c>
      <c r="AA109" s="63">
        <f t="shared" si="41"/>
        <v>-1</v>
      </c>
      <c r="AB109" s="63">
        <f t="shared" si="41"/>
        <v>-0.40000000000000036</v>
      </c>
      <c r="AC109" s="63">
        <f t="shared" si="41"/>
        <v>1.4000000000000004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-1.9000000000000004</v>
      </c>
      <c r="G110" s="205">
        <f t="shared" si="42"/>
        <v>-0.89999999999999991</v>
      </c>
      <c r="H110" s="205">
        <f t="shared" si="42"/>
        <v>6.8000000000000007</v>
      </c>
      <c r="I110" s="205">
        <f t="shared" si="42"/>
        <v>5.0999999999999996</v>
      </c>
      <c r="J110" s="205">
        <f t="shared" si="42"/>
        <v>0.59999999999999964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1</v>
      </c>
      <c r="L110" s="205">
        <f t="shared" si="42"/>
        <v>1.4000000000000004</v>
      </c>
      <c r="M110" s="205">
        <f t="shared" si="42"/>
        <v>-1.5999999999999996</v>
      </c>
      <c r="N110" s="205">
        <f t="shared" si="42"/>
        <v>-4.0999999999999996</v>
      </c>
      <c r="O110" s="205">
        <f t="shared" si="42"/>
        <v>-5.0999999999999996</v>
      </c>
      <c r="P110" s="205">
        <f t="shared" si="42"/>
        <v>1.0000000000000036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2.3000000000000007</v>
      </c>
      <c r="R110" s="205">
        <f t="shared" ref="R110:AC110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3.2000000000000011</v>
      </c>
      <c r="S110" s="205">
        <f t="shared" si="43"/>
        <v>-4.8999999999999986</v>
      </c>
      <c r="T110" s="205">
        <f t="shared" si="43"/>
        <v>-5.5</v>
      </c>
      <c r="U110" s="205">
        <f t="shared" si="43"/>
        <v>-5.1999999999999957</v>
      </c>
      <c r="V110" s="205">
        <f t="shared" si="43"/>
        <v>-5.7999999999999972</v>
      </c>
      <c r="W110" s="205">
        <f t="shared" si="43"/>
        <v>-4.6000000000000014</v>
      </c>
      <c r="X110" s="205">
        <f t="shared" si="43"/>
        <v>-4.4999999999999964</v>
      </c>
      <c r="Y110" s="205">
        <f t="shared" si="43"/>
        <v>-5.4999999999999964</v>
      </c>
      <c r="Z110" s="205">
        <f t="shared" si="43"/>
        <v>-5.5000000000000018</v>
      </c>
      <c r="AA110" s="205">
        <f t="shared" si="43"/>
        <v>-5.2</v>
      </c>
      <c r="AB110" s="205">
        <f t="shared" si="43"/>
        <v>-4.6000000000000005</v>
      </c>
      <c r="AC110" s="205">
        <f t="shared" si="43"/>
        <v>-2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60.24</v>
      </c>
      <c r="G111" s="456">
        <v>60.3</v>
      </c>
      <c r="H111" s="456">
        <v>60.3</v>
      </c>
      <c r="I111" s="456">
        <v>60.5</v>
      </c>
      <c r="J111" s="456">
        <v>60</v>
      </c>
      <c r="K111" s="456">
        <v>60.14</v>
      </c>
      <c r="L111" s="456">
        <v>60.2</v>
      </c>
      <c r="M111" s="456">
        <v>60.18</v>
      </c>
      <c r="N111" s="456">
        <v>60.09</v>
      </c>
      <c r="O111" s="456">
        <v>60.04</v>
      </c>
      <c r="P111" s="456">
        <v>60.14</v>
      </c>
      <c r="Q111" s="456">
        <v>60.29</v>
      </c>
      <c r="R111" s="456">
        <v>60.28</v>
      </c>
      <c r="S111" s="456">
        <v>60.06</v>
      </c>
      <c r="T111" s="456">
        <v>60</v>
      </c>
      <c r="U111" s="456">
        <v>60.16</v>
      </c>
      <c r="V111" s="456">
        <v>60.07</v>
      </c>
      <c r="W111" s="456">
        <v>60.17</v>
      </c>
      <c r="X111" s="456">
        <v>60.17</v>
      </c>
      <c r="Y111" s="456">
        <v>60.2</v>
      </c>
      <c r="Z111" s="456">
        <v>60.29</v>
      </c>
      <c r="AA111" s="456">
        <v>60.12</v>
      </c>
      <c r="AB111" s="456">
        <v>60.16</v>
      </c>
      <c r="AC111" s="456">
        <v>60.08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 t="s">
        <v>104</v>
      </c>
      <c r="G115" s="520" t="s">
        <v>109</v>
      </c>
      <c r="H115" s="520" t="s">
        <v>100</v>
      </c>
      <c r="I115" s="520" t="s">
        <v>100</v>
      </c>
      <c r="J115" s="520" t="s">
        <v>100</v>
      </c>
      <c r="K115" s="520" t="s">
        <v>100</v>
      </c>
      <c r="L115" s="520" t="s">
        <v>100</v>
      </c>
      <c r="M115" s="520" t="s">
        <v>109</v>
      </c>
      <c r="N115" s="520" t="s">
        <v>100</v>
      </c>
      <c r="O115" s="520" t="s">
        <v>100</v>
      </c>
      <c r="P115" s="520" t="s">
        <v>100</v>
      </c>
      <c r="Q115" s="520" t="s">
        <v>100</v>
      </c>
      <c r="R115" s="520" t="s">
        <v>100</v>
      </c>
      <c r="S115" s="520" t="s">
        <v>100</v>
      </c>
      <c r="T115" s="520" t="s">
        <v>100</v>
      </c>
      <c r="U115" s="520" t="s">
        <v>100</v>
      </c>
      <c r="V115" s="520" t="s">
        <v>100</v>
      </c>
      <c r="W115" s="520" t="s">
        <v>100</v>
      </c>
      <c r="X115" s="520" t="s">
        <v>117</v>
      </c>
      <c r="Y115" s="520" t="s">
        <v>117</v>
      </c>
      <c r="Z115" s="520" t="s">
        <v>117</v>
      </c>
      <c r="AA115" s="520" t="s">
        <v>101</v>
      </c>
      <c r="AB115" s="520" t="s">
        <v>101</v>
      </c>
      <c r="AC115" s="520" t="s">
        <v>101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N13:O13 D42:E42 N36:AC39 N57:AC59 O14:O16 L51:M55 L36:L50 N41:AC46 H36:J59 I15:N15 N16 L13:L14 O52:AA55 H14:K14 AB52:AC56 P40:AC40 H62:L64 P13:AC16 AA62:AC64 I16:L16 L56:L59 M50:AC50 P47:AC49 P51:AC51 P56:AA56 R64:Z64 P62:Z63">
    <cfRule type="cellIs" dxfId="8216" priority="840" operator="equal">
      <formula>"PMS"</formula>
    </cfRule>
    <cfRule type="containsText" dxfId="8215" priority="841" operator="containsText" text="CMS">
      <formula>NOT(ISERROR(SEARCH("CMS",D13)))</formula>
    </cfRule>
    <cfRule type="cellIs" dxfId="8214" priority="842" operator="equal">
      <formula>0</formula>
    </cfRule>
    <cfRule type="cellIs" dxfId="8213" priority="843" operator="greaterThan">
      <formula>0</formula>
    </cfRule>
    <cfRule type="cellIs" dxfId="8212" priority="844" operator="equal">
      <formula>"PMS"</formula>
    </cfRule>
    <cfRule type="containsText" dxfId="8211" priority="845" operator="containsText" text="CMS">
      <formula>NOT(ISERROR(SEARCH("CMS",D13)))</formula>
    </cfRule>
    <cfRule type="cellIs" dxfId="8210" priority="846" operator="equal">
      <formula>0</formula>
    </cfRule>
    <cfRule type="cellIs" dxfId="8209" priority="847" operator="greaterThan">
      <formula>0</formula>
    </cfRule>
  </conditionalFormatting>
  <conditionalFormatting sqref="H13:J13 N13:O13 D42:E42 N36:AC39 N57:AC59 O14:O16 L51:M55 L36:L50 N41:AC46 H36:J59 I15:N15 N16 L13:L14 O52:AA55 H14:K14 AB52:AC56 P40:AC40 H62:L64 P13:AC16 AA62:AC64 I16:L16 L56:L59 M50:AC50 P47:AC49 P51:AC51 P56:AA56 R64:Z64 P62:Z63">
    <cfRule type="cellIs" dxfId="8208" priority="836" operator="equal">
      <formula>"PMS"</formula>
    </cfRule>
    <cfRule type="containsText" dxfId="8207" priority="837" operator="containsText" text="CMS">
      <formula>NOT(ISERROR(SEARCH("CMS",D13)))</formula>
    </cfRule>
    <cfRule type="cellIs" dxfId="8206" priority="838" operator="equal">
      <formula>0</formula>
    </cfRule>
    <cfRule type="cellIs" dxfId="8205" priority="839" operator="greaterThan">
      <formula>0</formula>
    </cfRule>
  </conditionalFormatting>
  <conditionalFormatting sqref="G67:AC75">
    <cfRule type="cellIs" dxfId="8204" priority="828" operator="equal">
      <formula>"PMS"</formula>
    </cfRule>
    <cfRule type="containsText" dxfId="8203" priority="829" operator="containsText" text="CMS">
      <formula>NOT(ISERROR(SEARCH("CMS",G67)))</formula>
    </cfRule>
    <cfRule type="cellIs" dxfId="8202" priority="830" operator="equal">
      <formula>0</formula>
    </cfRule>
    <cfRule type="cellIs" dxfId="8201" priority="831" operator="greaterThan">
      <formula>0</formula>
    </cfRule>
    <cfRule type="cellIs" dxfId="8200" priority="832" operator="equal">
      <formula>"PMS"</formula>
    </cfRule>
    <cfRule type="containsText" dxfId="8199" priority="833" operator="containsText" text="CMS">
      <formula>NOT(ISERROR(SEARCH("CMS",G67)))</formula>
    </cfRule>
    <cfRule type="cellIs" dxfId="8198" priority="834" operator="equal">
      <formula>0</formula>
    </cfRule>
    <cfRule type="cellIs" dxfId="8197" priority="835" operator="greaterThan">
      <formula>0</formula>
    </cfRule>
  </conditionalFormatting>
  <conditionalFormatting sqref="G67:AC75">
    <cfRule type="cellIs" dxfId="8196" priority="824" operator="equal">
      <formula>"PMS"</formula>
    </cfRule>
    <cfRule type="containsText" dxfId="8195" priority="825" operator="containsText" text="CMS">
      <formula>NOT(ISERROR(SEARCH("CMS",G67)))</formula>
    </cfRule>
    <cfRule type="cellIs" dxfId="8194" priority="826" operator="equal">
      <formula>0</formula>
    </cfRule>
    <cfRule type="cellIs" dxfId="8193" priority="827" operator="greaterThan">
      <formula>0</formula>
    </cfRule>
  </conditionalFormatting>
  <conditionalFormatting sqref="G82:AC82">
    <cfRule type="cellIs" dxfId="8192" priority="816" operator="equal">
      <formula>"PMS"</formula>
    </cfRule>
    <cfRule type="containsText" dxfId="8191" priority="817" operator="containsText" text="CMS">
      <formula>NOT(ISERROR(SEARCH("CMS",G82)))</formula>
    </cfRule>
    <cfRule type="cellIs" dxfId="8190" priority="818" operator="equal">
      <formula>0</formula>
    </cfRule>
    <cfRule type="cellIs" dxfId="8189" priority="819" operator="greaterThan">
      <formula>0</formula>
    </cfRule>
    <cfRule type="cellIs" dxfId="8188" priority="820" operator="equal">
      <formula>"PMS"</formula>
    </cfRule>
    <cfRule type="containsText" dxfId="8187" priority="821" operator="containsText" text="CMS">
      <formula>NOT(ISERROR(SEARCH("CMS",G82)))</formula>
    </cfRule>
    <cfRule type="cellIs" dxfId="8186" priority="822" operator="equal">
      <formula>0</formula>
    </cfRule>
    <cfRule type="cellIs" dxfId="8185" priority="823" operator="greaterThan">
      <formula>0</formula>
    </cfRule>
  </conditionalFormatting>
  <conditionalFormatting sqref="G82:AC82">
    <cfRule type="cellIs" dxfId="8184" priority="812" operator="equal">
      <formula>"PMS"</formula>
    </cfRule>
    <cfRule type="containsText" dxfId="8183" priority="813" operator="containsText" text="CMS">
      <formula>NOT(ISERROR(SEARCH("CMS",G82)))</formula>
    </cfRule>
    <cfRule type="cellIs" dxfId="8182" priority="814" operator="equal">
      <formula>0</formula>
    </cfRule>
    <cfRule type="cellIs" dxfId="8181" priority="815" operator="greaterThan">
      <formula>0</formula>
    </cfRule>
  </conditionalFormatting>
  <conditionalFormatting sqref="G13">
    <cfRule type="cellIs" dxfId="8180" priority="804" operator="equal">
      <formula>"PMS"</formula>
    </cfRule>
    <cfRule type="containsText" dxfId="8179" priority="805" operator="containsText" text="CMS">
      <formula>NOT(ISERROR(SEARCH("CMS",G13)))</formula>
    </cfRule>
    <cfRule type="cellIs" dxfId="8178" priority="806" operator="equal">
      <formula>0</formula>
    </cfRule>
    <cfRule type="cellIs" dxfId="8177" priority="807" operator="greaterThan">
      <formula>0</formula>
    </cfRule>
    <cfRule type="cellIs" dxfId="8176" priority="808" operator="equal">
      <formula>"PMS"</formula>
    </cfRule>
    <cfRule type="containsText" dxfId="8175" priority="809" operator="containsText" text="CMS">
      <formula>NOT(ISERROR(SEARCH("CMS",G13)))</formula>
    </cfRule>
    <cfRule type="cellIs" dxfId="8174" priority="810" operator="equal">
      <formula>0</formula>
    </cfRule>
    <cfRule type="cellIs" dxfId="8173" priority="811" operator="greaterThan">
      <formula>0</formula>
    </cfRule>
  </conditionalFormatting>
  <conditionalFormatting sqref="G13">
    <cfRule type="cellIs" dxfId="8172" priority="800" operator="equal">
      <formula>"PMS"</formula>
    </cfRule>
    <cfRule type="containsText" dxfId="8171" priority="801" operator="containsText" text="CMS">
      <formula>NOT(ISERROR(SEARCH("CMS",G13)))</formula>
    </cfRule>
    <cfRule type="cellIs" dxfId="8170" priority="802" operator="equal">
      <formula>0</formula>
    </cfRule>
    <cfRule type="cellIs" dxfId="8169" priority="803" operator="greaterThan">
      <formula>0</formula>
    </cfRule>
  </conditionalFormatting>
  <conditionalFormatting sqref="M13">
    <cfRule type="cellIs" dxfId="8168" priority="792" operator="equal">
      <formula>"PMS"</formula>
    </cfRule>
    <cfRule type="containsText" dxfId="8167" priority="793" operator="containsText" text="CMS">
      <formula>NOT(ISERROR(SEARCH("CMS",M13)))</formula>
    </cfRule>
    <cfRule type="cellIs" dxfId="8166" priority="794" operator="equal">
      <formula>0</formula>
    </cfRule>
    <cfRule type="cellIs" dxfId="8165" priority="795" operator="greaterThan">
      <formula>0</formula>
    </cfRule>
    <cfRule type="cellIs" dxfId="8164" priority="796" operator="equal">
      <formula>"PMS"</formula>
    </cfRule>
    <cfRule type="containsText" dxfId="8163" priority="797" operator="containsText" text="CMS">
      <formula>NOT(ISERROR(SEARCH("CMS",M13)))</formula>
    </cfRule>
    <cfRule type="cellIs" dxfId="8162" priority="798" operator="equal">
      <formula>0</formula>
    </cfRule>
    <cfRule type="cellIs" dxfId="8161" priority="799" operator="greaterThan">
      <formula>0</formula>
    </cfRule>
  </conditionalFormatting>
  <conditionalFormatting sqref="M13">
    <cfRule type="cellIs" dxfId="8160" priority="788" operator="equal">
      <formula>"PMS"</formula>
    </cfRule>
    <cfRule type="containsText" dxfId="8159" priority="789" operator="containsText" text="CMS">
      <formula>NOT(ISERROR(SEARCH("CMS",M13)))</formula>
    </cfRule>
    <cfRule type="cellIs" dxfId="8158" priority="790" operator="equal">
      <formula>0</formula>
    </cfRule>
    <cfRule type="cellIs" dxfId="8157" priority="791" operator="greaterThan">
      <formula>0</formula>
    </cfRule>
  </conditionalFormatting>
  <conditionalFormatting sqref="K13">
    <cfRule type="cellIs" dxfId="8156" priority="780" operator="equal">
      <formula>"PMS"</formula>
    </cfRule>
    <cfRule type="containsText" dxfId="8155" priority="781" operator="containsText" text="CMS">
      <formula>NOT(ISERROR(SEARCH("CMS",K13)))</formula>
    </cfRule>
    <cfRule type="cellIs" dxfId="8154" priority="782" operator="equal">
      <formula>0</formula>
    </cfRule>
    <cfRule type="cellIs" dxfId="8153" priority="783" operator="greaterThan">
      <formula>0</formula>
    </cfRule>
    <cfRule type="cellIs" dxfId="8152" priority="784" operator="equal">
      <formula>"PMS"</formula>
    </cfRule>
    <cfRule type="containsText" dxfId="8151" priority="785" operator="containsText" text="CMS">
      <formula>NOT(ISERROR(SEARCH("CMS",K13)))</formula>
    </cfRule>
    <cfRule type="cellIs" dxfId="8150" priority="786" operator="equal">
      <formula>0</formula>
    </cfRule>
    <cfRule type="cellIs" dxfId="8149" priority="787" operator="greaterThan">
      <formula>0</formula>
    </cfRule>
  </conditionalFormatting>
  <conditionalFormatting sqref="K13">
    <cfRule type="cellIs" dxfId="8148" priority="776" operator="equal">
      <formula>"PMS"</formula>
    </cfRule>
    <cfRule type="containsText" dxfId="8147" priority="777" operator="containsText" text="CMS">
      <formula>NOT(ISERROR(SEARCH("CMS",K13)))</formula>
    </cfRule>
    <cfRule type="cellIs" dxfId="8146" priority="778" operator="equal">
      <formula>0</formula>
    </cfRule>
    <cfRule type="cellIs" dxfId="8145" priority="779" operator="greaterThan">
      <formula>0</formula>
    </cfRule>
  </conditionalFormatting>
  <conditionalFormatting sqref="G113:AC113">
    <cfRule type="cellIs" dxfId="8144" priority="775" operator="greaterThan">
      <formula>60.3</formula>
    </cfRule>
  </conditionalFormatting>
  <conditionalFormatting sqref="H112:M112">
    <cfRule type="cellIs" dxfId="8143" priority="774" operator="greaterThan">
      <formula>60.3</formula>
    </cfRule>
  </conditionalFormatting>
  <conditionalFormatting sqref="F112:G112">
    <cfRule type="cellIs" dxfId="8142" priority="773" operator="greaterThan">
      <formula>60.3</formula>
    </cfRule>
  </conditionalFormatting>
  <conditionalFormatting sqref="N112:AC112">
    <cfRule type="cellIs" dxfId="8141" priority="772" operator="greaterThan">
      <formula>60.3</formula>
    </cfRule>
  </conditionalFormatting>
  <conditionalFormatting sqref="G15:G16">
    <cfRule type="cellIs" dxfId="8140" priority="764" operator="equal">
      <formula>"PMS"</formula>
    </cfRule>
    <cfRule type="containsText" dxfId="8139" priority="765" operator="containsText" text="CMS">
      <formula>NOT(ISERROR(SEARCH("CMS",G15)))</formula>
    </cfRule>
    <cfRule type="cellIs" dxfId="8138" priority="766" operator="equal">
      <formula>0</formula>
    </cfRule>
    <cfRule type="cellIs" dxfId="8137" priority="767" operator="greaterThan">
      <formula>0</formula>
    </cfRule>
    <cfRule type="cellIs" dxfId="8136" priority="768" operator="equal">
      <formula>"PMS"</formula>
    </cfRule>
    <cfRule type="containsText" dxfId="8135" priority="769" operator="containsText" text="CMS">
      <formula>NOT(ISERROR(SEARCH("CMS",G15)))</formula>
    </cfRule>
    <cfRule type="cellIs" dxfId="8134" priority="770" operator="equal">
      <formula>0</formula>
    </cfRule>
    <cfRule type="cellIs" dxfId="8133" priority="771" operator="greaterThan">
      <formula>0</formula>
    </cfRule>
  </conditionalFormatting>
  <conditionalFormatting sqref="G15:G16">
    <cfRule type="cellIs" dxfId="8132" priority="760" operator="equal">
      <formula>"PMS"</formula>
    </cfRule>
    <cfRule type="containsText" dxfId="8131" priority="761" operator="containsText" text="CMS">
      <formula>NOT(ISERROR(SEARCH("CMS",G15)))</formula>
    </cfRule>
    <cfRule type="cellIs" dxfId="8130" priority="762" operator="equal">
      <formula>0</formula>
    </cfRule>
    <cfRule type="cellIs" dxfId="8129" priority="763" operator="greaterThan">
      <formula>0</formula>
    </cfRule>
  </conditionalFormatting>
  <conditionalFormatting sqref="G36:G38 G57:G59">
    <cfRule type="cellIs" dxfId="8128" priority="740" operator="equal">
      <formula>"PMS"</formula>
    </cfRule>
    <cfRule type="containsText" dxfId="8127" priority="741" operator="containsText" text="CMS">
      <formula>NOT(ISERROR(SEARCH("CMS",G36)))</formula>
    </cfRule>
    <cfRule type="cellIs" dxfId="8126" priority="742" operator="equal">
      <formula>0</formula>
    </cfRule>
    <cfRule type="cellIs" dxfId="8125" priority="743" operator="greaterThan">
      <formula>0</formula>
    </cfRule>
    <cfRule type="cellIs" dxfId="8124" priority="744" operator="equal">
      <formula>"PMS"</formula>
    </cfRule>
    <cfRule type="containsText" dxfId="8123" priority="745" operator="containsText" text="CMS">
      <formula>NOT(ISERROR(SEARCH("CMS",G36)))</formula>
    </cfRule>
    <cfRule type="cellIs" dxfId="8122" priority="746" operator="equal">
      <formula>0</formula>
    </cfRule>
    <cfRule type="cellIs" dxfId="8121" priority="747" operator="greaterThan">
      <formula>0</formula>
    </cfRule>
  </conditionalFormatting>
  <conditionalFormatting sqref="G36:G38 G57:G59">
    <cfRule type="cellIs" dxfId="8120" priority="736" operator="equal">
      <formula>"PMS"</formula>
    </cfRule>
    <cfRule type="containsText" dxfId="8119" priority="737" operator="containsText" text="CMS">
      <formula>NOT(ISERROR(SEARCH("CMS",G36)))</formula>
    </cfRule>
    <cfRule type="cellIs" dxfId="8118" priority="738" operator="equal">
      <formula>0</formula>
    </cfRule>
    <cfRule type="cellIs" dxfId="8117" priority="739" operator="greaterThan">
      <formula>0</formula>
    </cfRule>
  </conditionalFormatting>
  <conditionalFormatting sqref="M36:M38 M57:M59">
    <cfRule type="cellIs" dxfId="8116" priority="728" operator="equal">
      <formula>"PMS"</formula>
    </cfRule>
    <cfRule type="containsText" dxfId="8115" priority="729" operator="containsText" text="CMS">
      <formula>NOT(ISERROR(SEARCH("CMS",M36)))</formula>
    </cfRule>
    <cfRule type="cellIs" dxfId="8114" priority="730" operator="equal">
      <formula>0</formula>
    </cfRule>
    <cfRule type="cellIs" dxfId="8113" priority="731" operator="greaterThan">
      <formula>0</formula>
    </cfRule>
    <cfRule type="cellIs" dxfId="8112" priority="732" operator="equal">
      <formula>"PMS"</formula>
    </cfRule>
    <cfRule type="containsText" dxfId="8111" priority="733" operator="containsText" text="CMS">
      <formula>NOT(ISERROR(SEARCH("CMS",M36)))</formula>
    </cfRule>
    <cfRule type="cellIs" dxfId="8110" priority="734" operator="equal">
      <formula>0</formula>
    </cfRule>
    <cfRule type="cellIs" dxfId="8109" priority="735" operator="greaterThan">
      <formula>0</formula>
    </cfRule>
  </conditionalFormatting>
  <conditionalFormatting sqref="M36:M38 M57:M59">
    <cfRule type="cellIs" dxfId="8108" priority="724" operator="equal">
      <formula>"PMS"</formula>
    </cfRule>
    <cfRule type="containsText" dxfId="8107" priority="725" operator="containsText" text="CMS">
      <formula>NOT(ISERROR(SEARCH("CMS",M36)))</formula>
    </cfRule>
    <cfRule type="cellIs" dxfId="8106" priority="726" operator="equal">
      <formula>0</formula>
    </cfRule>
    <cfRule type="cellIs" dxfId="8105" priority="727" operator="greaterThan">
      <formula>0</formula>
    </cfRule>
  </conditionalFormatting>
  <conditionalFormatting sqref="K36:K38 K57:K59">
    <cfRule type="cellIs" dxfId="8104" priority="716" operator="equal">
      <formula>"PMS"</formula>
    </cfRule>
    <cfRule type="containsText" dxfId="8103" priority="717" operator="containsText" text="CMS">
      <formula>NOT(ISERROR(SEARCH("CMS",K36)))</formula>
    </cfRule>
    <cfRule type="cellIs" dxfId="8102" priority="718" operator="equal">
      <formula>0</formula>
    </cfRule>
    <cfRule type="cellIs" dxfId="8101" priority="719" operator="greaterThan">
      <formula>0</formula>
    </cfRule>
    <cfRule type="cellIs" dxfId="8100" priority="720" operator="equal">
      <formula>"PMS"</formula>
    </cfRule>
    <cfRule type="containsText" dxfId="8099" priority="721" operator="containsText" text="CMS">
      <formula>NOT(ISERROR(SEARCH("CMS",K36)))</formula>
    </cfRule>
    <cfRule type="cellIs" dxfId="8098" priority="722" operator="equal">
      <formula>0</formula>
    </cfRule>
    <cfRule type="cellIs" dxfId="8097" priority="723" operator="greaterThan">
      <formula>0</formula>
    </cfRule>
  </conditionalFormatting>
  <conditionalFormatting sqref="K36:K38 K57:K59">
    <cfRule type="cellIs" dxfId="8096" priority="712" operator="equal">
      <formula>"PMS"</formula>
    </cfRule>
    <cfRule type="containsText" dxfId="8095" priority="713" operator="containsText" text="CMS">
      <formula>NOT(ISERROR(SEARCH("CMS",K36)))</formula>
    </cfRule>
    <cfRule type="cellIs" dxfId="8094" priority="714" operator="equal">
      <formula>0</formula>
    </cfRule>
    <cfRule type="cellIs" dxfId="8093" priority="715" operator="greaterThan">
      <formula>0</formula>
    </cfRule>
  </conditionalFormatting>
  <conditionalFormatting sqref="G49">
    <cfRule type="cellIs" dxfId="8092" priority="704" operator="equal">
      <formula>"PMS"</formula>
    </cfRule>
    <cfRule type="containsText" dxfId="8091" priority="705" operator="containsText" text="CMS">
      <formula>NOT(ISERROR(SEARCH("CMS",G49)))</formula>
    </cfRule>
    <cfRule type="cellIs" dxfId="8090" priority="706" operator="equal">
      <formula>0</formula>
    </cfRule>
    <cfRule type="cellIs" dxfId="8089" priority="707" operator="greaterThan">
      <formula>0</formula>
    </cfRule>
    <cfRule type="cellIs" dxfId="8088" priority="708" operator="equal">
      <formula>"PMS"</formula>
    </cfRule>
    <cfRule type="containsText" dxfId="8087" priority="709" operator="containsText" text="CMS">
      <formula>NOT(ISERROR(SEARCH("CMS",G49)))</formula>
    </cfRule>
    <cfRule type="cellIs" dxfId="8086" priority="710" operator="equal">
      <formula>0</formula>
    </cfRule>
    <cfRule type="cellIs" dxfId="8085" priority="711" operator="greaterThan">
      <formula>0</formula>
    </cfRule>
  </conditionalFormatting>
  <conditionalFormatting sqref="G49">
    <cfRule type="cellIs" dxfId="8084" priority="700" operator="equal">
      <formula>"PMS"</formula>
    </cfRule>
    <cfRule type="containsText" dxfId="8083" priority="701" operator="containsText" text="CMS">
      <formula>NOT(ISERROR(SEARCH("CMS",G49)))</formula>
    </cfRule>
    <cfRule type="cellIs" dxfId="8082" priority="702" operator="equal">
      <formula>0</formula>
    </cfRule>
    <cfRule type="cellIs" dxfId="8081" priority="703" operator="greaterThan">
      <formula>0</formula>
    </cfRule>
  </conditionalFormatting>
  <conditionalFormatting sqref="M49:N49">
    <cfRule type="cellIs" dxfId="8080" priority="692" operator="equal">
      <formula>"PMS"</formula>
    </cfRule>
    <cfRule type="containsText" dxfId="8079" priority="693" operator="containsText" text="CMS">
      <formula>NOT(ISERROR(SEARCH("CMS",M49)))</formula>
    </cfRule>
    <cfRule type="cellIs" dxfId="8078" priority="694" operator="equal">
      <formula>0</formula>
    </cfRule>
    <cfRule type="cellIs" dxfId="8077" priority="695" operator="greaterThan">
      <formula>0</formula>
    </cfRule>
    <cfRule type="cellIs" dxfId="8076" priority="696" operator="equal">
      <formula>"PMS"</formula>
    </cfRule>
    <cfRule type="containsText" dxfId="8075" priority="697" operator="containsText" text="CMS">
      <formula>NOT(ISERROR(SEARCH("CMS",M49)))</formula>
    </cfRule>
    <cfRule type="cellIs" dxfId="8074" priority="698" operator="equal">
      <formula>0</formula>
    </cfRule>
    <cfRule type="cellIs" dxfId="8073" priority="699" operator="greaterThan">
      <formula>0</formula>
    </cfRule>
  </conditionalFormatting>
  <conditionalFormatting sqref="M49:N49">
    <cfRule type="cellIs" dxfId="8072" priority="688" operator="equal">
      <formula>"PMS"</formula>
    </cfRule>
    <cfRule type="containsText" dxfId="8071" priority="689" operator="containsText" text="CMS">
      <formula>NOT(ISERROR(SEARCH("CMS",M49)))</formula>
    </cfRule>
    <cfRule type="cellIs" dxfId="8070" priority="690" operator="equal">
      <formula>0</formula>
    </cfRule>
    <cfRule type="cellIs" dxfId="8069" priority="691" operator="greaterThan">
      <formula>0</formula>
    </cfRule>
  </conditionalFormatting>
  <conditionalFormatting sqref="K49">
    <cfRule type="cellIs" dxfId="8068" priority="680" operator="equal">
      <formula>"PMS"</formula>
    </cfRule>
    <cfRule type="containsText" dxfId="8067" priority="681" operator="containsText" text="CMS">
      <formula>NOT(ISERROR(SEARCH("CMS",K49)))</formula>
    </cfRule>
    <cfRule type="cellIs" dxfId="8066" priority="682" operator="equal">
      <formula>0</formula>
    </cfRule>
    <cfRule type="cellIs" dxfId="8065" priority="683" operator="greaterThan">
      <formula>0</formula>
    </cfRule>
    <cfRule type="cellIs" dxfId="8064" priority="684" operator="equal">
      <formula>"PMS"</formula>
    </cfRule>
    <cfRule type="containsText" dxfId="8063" priority="685" operator="containsText" text="CMS">
      <formula>NOT(ISERROR(SEARCH("CMS",K49)))</formula>
    </cfRule>
    <cfRule type="cellIs" dxfId="8062" priority="686" operator="equal">
      <formula>0</formula>
    </cfRule>
    <cfRule type="cellIs" dxfId="8061" priority="687" operator="greaterThan">
      <formula>0</formula>
    </cfRule>
  </conditionalFormatting>
  <conditionalFormatting sqref="K49">
    <cfRule type="cellIs" dxfId="8060" priority="676" operator="equal">
      <formula>"PMS"</formula>
    </cfRule>
    <cfRule type="containsText" dxfId="8059" priority="677" operator="containsText" text="CMS">
      <formula>NOT(ISERROR(SEARCH("CMS",K49)))</formula>
    </cfRule>
    <cfRule type="cellIs" dxfId="8058" priority="678" operator="equal">
      <formula>0</formula>
    </cfRule>
    <cfRule type="cellIs" dxfId="8057" priority="679" operator="greaterThan">
      <formula>0</formula>
    </cfRule>
  </conditionalFormatting>
  <conditionalFormatting sqref="L27:L29 H24:J24 H19:J20 L20:L21 V28:AC28 Q28 P30 H27:J30 I21:K21 K19:M19 N30 S28 AC79 M21:O21 Q21:AC21 N19:AC20 L24:AC24 Q29:AC30 H33:L33 S78 O79:Y79 N28:P29 N33:AC33 O78:Q78 U78:AC78">
    <cfRule type="cellIs" dxfId="8056" priority="668" operator="equal">
      <formula>"PMS"</formula>
    </cfRule>
    <cfRule type="containsText" dxfId="8055" priority="669" operator="containsText" text="CMS">
      <formula>NOT(ISERROR(SEARCH("CMS",H19)))</formula>
    </cfRule>
    <cfRule type="cellIs" dxfId="8054" priority="670" operator="equal">
      <formula>0</formula>
    </cfRule>
    <cfRule type="cellIs" dxfId="8053" priority="671" operator="greaterThan">
      <formula>0</formula>
    </cfRule>
    <cfRule type="cellIs" dxfId="8052" priority="672" operator="equal">
      <formula>"PMS"</formula>
    </cfRule>
    <cfRule type="containsText" dxfId="8051" priority="673" operator="containsText" text="CMS">
      <formula>NOT(ISERROR(SEARCH("CMS",H19)))</formula>
    </cfRule>
    <cfRule type="cellIs" dxfId="8050" priority="674" operator="equal">
      <formula>0</formula>
    </cfRule>
    <cfRule type="cellIs" dxfId="8049" priority="675" operator="greaterThan">
      <formula>0</formula>
    </cfRule>
  </conditionalFormatting>
  <conditionalFormatting sqref="L27:L29 H24:J24 H19:J20 L20:L21 V28:AC28 Q28 P30 H27:J30 I21:K21 K19:M19 N30 S28 AC79 M21:O21 Q21:AC21 N19:AC20 L24:AC24 Q29:AC30 H33:L33 S78 O79:Y79 N28:P29 N33:AC33 O78:Q78 U78:AC78">
    <cfRule type="cellIs" dxfId="8048" priority="664" operator="equal">
      <formula>"PMS"</formula>
    </cfRule>
    <cfRule type="containsText" dxfId="8047" priority="665" operator="containsText" text="CMS">
      <formula>NOT(ISERROR(SEARCH("CMS",H19)))</formula>
    </cfRule>
    <cfRule type="cellIs" dxfId="8046" priority="666" operator="equal">
      <formula>0</formula>
    </cfRule>
    <cfRule type="cellIs" dxfId="8045" priority="667" operator="greaterThan">
      <formula>0</formula>
    </cfRule>
  </conditionalFormatting>
  <conditionalFormatting sqref="G33 G24 G39:G48 G50:G56 G19:G21 H21 G27:G30">
    <cfRule type="cellIs" dxfId="8044" priority="656" operator="equal">
      <formula>"PMS"</formula>
    </cfRule>
    <cfRule type="containsText" dxfId="8043" priority="657" operator="containsText" text="CMS">
      <formula>NOT(ISERROR(SEARCH("CMS",G19)))</formula>
    </cfRule>
    <cfRule type="cellIs" dxfId="8042" priority="658" operator="equal">
      <formula>0</formula>
    </cfRule>
    <cfRule type="cellIs" dxfId="8041" priority="659" operator="greaterThan">
      <formula>0</formula>
    </cfRule>
    <cfRule type="cellIs" dxfId="8040" priority="660" operator="equal">
      <formula>"PMS"</formula>
    </cfRule>
    <cfRule type="containsText" dxfId="8039" priority="661" operator="containsText" text="CMS">
      <formula>NOT(ISERROR(SEARCH("CMS",G19)))</formula>
    </cfRule>
    <cfRule type="cellIs" dxfId="8038" priority="662" operator="equal">
      <formula>0</formula>
    </cfRule>
    <cfRule type="cellIs" dxfId="8037" priority="663" operator="greaterThan">
      <formula>0</formula>
    </cfRule>
  </conditionalFormatting>
  <conditionalFormatting sqref="G33 G24 G39:G48 G50:G56 G19:G21 H21 G27:G30">
    <cfRule type="cellIs" dxfId="8036" priority="652" operator="equal">
      <formula>"PMS"</formula>
    </cfRule>
    <cfRule type="containsText" dxfId="8035" priority="653" operator="containsText" text="CMS">
      <formula>NOT(ISERROR(SEARCH("CMS",G19)))</formula>
    </cfRule>
    <cfRule type="cellIs" dxfId="8034" priority="654" operator="equal">
      <formula>0</formula>
    </cfRule>
    <cfRule type="cellIs" dxfId="8033" priority="655" operator="greaterThan">
      <formula>0</formula>
    </cfRule>
  </conditionalFormatting>
  <conditionalFormatting sqref="M39:M48 M33 M27:M29 M20 AB27:AC27 M56 N47:N48 N51:N56 S27:X27 N27:Q27 M62:M64">
    <cfRule type="cellIs" dxfId="8032" priority="644" operator="equal">
      <formula>"PMS"</formula>
    </cfRule>
    <cfRule type="containsText" dxfId="8031" priority="645" operator="containsText" text="CMS">
      <formula>NOT(ISERROR(SEARCH("CMS",M20)))</formula>
    </cfRule>
    <cfRule type="cellIs" dxfId="8030" priority="646" operator="equal">
      <formula>0</formula>
    </cfRule>
    <cfRule type="cellIs" dxfId="8029" priority="647" operator="greaterThan">
      <formula>0</formula>
    </cfRule>
    <cfRule type="cellIs" dxfId="8028" priority="648" operator="equal">
      <formula>"PMS"</formula>
    </cfRule>
    <cfRule type="containsText" dxfId="8027" priority="649" operator="containsText" text="CMS">
      <formula>NOT(ISERROR(SEARCH("CMS",M20)))</formula>
    </cfRule>
    <cfRule type="cellIs" dxfId="8026" priority="650" operator="equal">
      <formula>0</formula>
    </cfRule>
    <cfRule type="cellIs" dxfId="8025" priority="651" operator="greaterThan">
      <formula>0</formula>
    </cfRule>
  </conditionalFormatting>
  <conditionalFormatting sqref="M39:M48 M33 M27:M29 M20 AB27:AC27 M56 N47:N48 N51:N56 S27:X27 N27:Q27 M62:M64">
    <cfRule type="cellIs" dxfId="8024" priority="640" operator="equal">
      <formula>"PMS"</formula>
    </cfRule>
    <cfRule type="containsText" dxfId="8023" priority="641" operator="containsText" text="CMS">
      <formula>NOT(ISERROR(SEARCH("CMS",M20)))</formula>
    </cfRule>
    <cfRule type="cellIs" dxfId="8022" priority="642" operator="equal">
      <formula>0</formula>
    </cfRule>
    <cfRule type="cellIs" dxfId="8021" priority="643" operator="greaterThan">
      <formula>0</formula>
    </cfRule>
  </conditionalFormatting>
  <conditionalFormatting sqref="K50:K56 K39:K48 K27 K24 K20 K29:K30 L30">
    <cfRule type="cellIs" dxfId="8020" priority="632" operator="equal">
      <formula>"PMS"</formula>
    </cfRule>
    <cfRule type="containsText" dxfId="8019" priority="633" operator="containsText" text="CMS">
      <formula>NOT(ISERROR(SEARCH("CMS",K20)))</formula>
    </cfRule>
    <cfRule type="cellIs" dxfId="8018" priority="634" operator="equal">
      <formula>0</formula>
    </cfRule>
    <cfRule type="cellIs" dxfId="8017" priority="635" operator="greaterThan">
      <formula>0</formula>
    </cfRule>
    <cfRule type="cellIs" dxfId="8016" priority="636" operator="equal">
      <formula>"PMS"</formula>
    </cfRule>
    <cfRule type="containsText" dxfId="8015" priority="637" operator="containsText" text="CMS">
      <formula>NOT(ISERROR(SEARCH("CMS",K20)))</formula>
    </cfRule>
    <cfRule type="cellIs" dxfId="8014" priority="638" operator="equal">
      <formula>0</formula>
    </cfRule>
    <cfRule type="cellIs" dxfId="8013" priority="639" operator="greaterThan">
      <formula>0</formula>
    </cfRule>
  </conditionalFormatting>
  <conditionalFormatting sqref="K50:K56 K39:K48 K27 K24 K20 K29:K30 L30">
    <cfRule type="cellIs" dxfId="8012" priority="628" operator="equal">
      <formula>"PMS"</formula>
    </cfRule>
    <cfRule type="containsText" dxfId="8011" priority="629" operator="containsText" text="CMS">
      <formula>NOT(ISERROR(SEARCH("CMS",K20)))</formula>
    </cfRule>
    <cfRule type="cellIs" dxfId="8010" priority="630" operator="equal">
      <formula>0</formula>
    </cfRule>
    <cfRule type="cellIs" dxfId="8009" priority="631" operator="greaterThan">
      <formula>0</formula>
    </cfRule>
  </conditionalFormatting>
  <conditionalFormatting sqref="K28">
    <cfRule type="cellIs" dxfId="8008" priority="620" operator="equal">
      <formula>"PMS"</formula>
    </cfRule>
    <cfRule type="containsText" dxfId="8007" priority="621" operator="containsText" text="CMS">
      <formula>NOT(ISERROR(SEARCH("CMS",K28)))</formula>
    </cfRule>
    <cfRule type="cellIs" dxfId="8006" priority="622" operator="equal">
      <formula>0</formula>
    </cfRule>
    <cfRule type="cellIs" dxfId="8005" priority="623" operator="greaterThan">
      <formula>0</formula>
    </cfRule>
    <cfRule type="cellIs" dxfId="8004" priority="624" operator="equal">
      <formula>"PMS"</formula>
    </cfRule>
    <cfRule type="containsText" dxfId="8003" priority="625" operator="containsText" text="CMS">
      <formula>NOT(ISERROR(SEARCH("CMS",K28)))</formula>
    </cfRule>
    <cfRule type="cellIs" dxfId="8002" priority="626" operator="equal">
      <formula>0</formula>
    </cfRule>
    <cfRule type="cellIs" dxfId="8001" priority="627" operator="greaterThan">
      <formula>0</formula>
    </cfRule>
  </conditionalFormatting>
  <conditionalFormatting sqref="K28">
    <cfRule type="cellIs" dxfId="8000" priority="616" operator="equal">
      <formula>"PMS"</formula>
    </cfRule>
    <cfRule type="containsText" dxfId="7999" priority="617" operator="containsText" text="CMS">
      <formula>NOT(ISERROR(SEARCH("CMS",K28)))</formula>
    </cfRule>
    <cfRule type="cellIs" dxfId="7998" priority="618" operator="equal">
      <formula>0</formula>
    </cfRule>
    <cfRule type="cellIs" dxfId="7997" priority="619" operator="greaterThan">
      <formula>0</formula>
    </cfRule>
  </conditionalFormatting>
  <conditionalFormatting sqref="N62:O62 O63:O64">
    <cfRule type="cellIs" dxfId="7996" priority="608" operator="equal">
      <formula>"PMS"</formula>
    </cfRule>
    <cfRule type="containsText" dxfId="7995" priority="609" operator="containsText" text="CMS">
      <formula>NOT(ISERROR(SEARCH("CMS",N62)))</formula>
    </cfRule>
    <cfRule type="cellIs" dxfId="7994" priority="610" operator="equal">
      <formula>0</formula>
    </cfRule>
    <cfRule type="cellIs" dxfId="7993" priority="611" operator="greaterThan">
      <formula>0</formula>
    </cfRule>
    <cfRule type="cellIs" dxfId="7992" priority="612" operator="equal">
      <formula>"PMS"</formula>
    </cfRule>
    <cfRule type="containsText" dxfId="7991" priority="613" operator="containsText" text="CMS">
      <formula>NOT(ISERROR(SEARCH("CMS",N62)))</formula>
    </cfRule>
    <cfRule type="cellIs" dxfId="7990" priority="614" operator="equal">
      <formula>0</formula>
    </cfRule>
    <cfRule type="cellIs" dxfId="7989" priority="615" operator="greaterThan">
      <formula>0</formula>
    </cfRule>
  </conditionalFormatting>
  <conditionalFormatting sqref="N62:O62 O63:O64">
    <cfRule type="cellIs" dxfId="7988" priority="604" operator="equal">
      <formula>"PMS"</formula>
    </cfRule>
    <cfRule type="containsText" dxfId="7987" priority="605" operator="containsText" text="CMS">
      <formula>NOT(ISERROR(SEARCH("CMS",N62)))</formula>
    </cfRule>
    <cfRule type="cellIs" dxfId="7986" priority="606" operator="equal">
      <formula>0</formula>
    </cfRule>
    <cfRule type="cellIs" dxfId="7985" priority="607" operator="greaterThan">
      <formula>0</formula>
    </cfRule>
  </conditionalFormatting>
  <conditionalFormatting sqref="U28">
    <cfRule type="cellIs" dxfId="7984" priority="596" operator="equal">
      <formula>"PMS"</formula>
    </cfRule>
    <cfRule type="containsText" dxfId="7983" priority="597" operator="containsText" text="CMS">
      <formula>NOT(ISERROR(SEARCH("CMS",U28)))</formula>
    </cfRule>
    <cfRule type="cellIs" dxfId="7982" priority="598" operator="equal">
      <formula>0</formula>
    </cfRule>
    <cfRule type="cellIs" dxfId="7981" priority="599" operator="greaterThan">
      <formula>0</formula>
    </cfRule>
    <cfRule type="cellIs" dxfId="7980" priority="600" operator="equal">
      <formula>"PMS"</formula>
    </cfRule>
    <cfRule type="containsText" dxfId="7979" priority="601" operator="containsText" text="CMS">
      <formula>NOT(ISERROR(SEARCH("CMS",U28)))</formula>
    </cfRule>
    <cfRule type="cellIs" dxfId="7978" priority="602" operator="equal">
      <formula>0</formula>
    </cfRule>
    <cfRule type="cellIs" dxfId="7977" priority="603" operator="greaterThan">
      <formula>0</formula>
    </cfRule>
  </conditionalFormatting>
  <conditionalFormatting sqref="U28">
    <cfRule type="cellIs" dxfId="7976" priority="592" operator="equal">
      <formula>"PMS"</formula>
    </cfRule>
    <cfRule type="containsText" dxfId="7975" priority="593" operator="containsText" text="CMS">
      <formula>NOT(ISERROR(SEARCH("CMS",U28)))</formula>
    </cfRule>
    <cfRule type="cellIs" dxfId="7974" priority="594" operator="equal">
      <formula>0</formula>
    </cfRule>
    <cfRule type="cellIs" dxfId="7973" priority="595" operator="greaterThan">
      <formula>0</formula>
    </cfRule>
  </conditionalFormatting>
  <conditionalFormatting sqref="Y27:AA27">
    <cfRule type="cellIs" dxfId="7972" priority="584" operator="equal">
      <formula>"PMS"</formula>
    </cfRule>
    <cfRule type="containsText" dxfId="7971" priority="585" operator="containsText" text="CMS">
      <formula>NOT(ISERROR(SEARCH("CMS",Y27)))</formula>
    </cfRule>
    <cfRule type="cellIs" dxfId="7970" priority="586" operator="equal">
      <formula>0</formula>
    </cfRule>
    <cfRule type="cellIs" dxfId="7969" priority="587" operator="greaterThan">
      <formula>0</formula>
    </cfRule>
    <cfRule type="cellIs" dxfId="7968" priority="588" operator="equal">
      <formula>"PMS"</formula>
    </cfRule>
    <cfRule type="containsText" dxfId="7967" priority="589" operator="containsText" text="CMS">
      <formula>NOT(ISERROR(SEARCH("CMS",Y27)))</formula>
    </cfRule>
    <cfRule type="cellIs" dxfId="7966" priority="590" operator="equal">
      <formula>0</formula>
    </cfRule>
    <cfRule type="cellIs" dxfId="7965" priority="591" operator="greaterThan">
      <formula>0</formula>
    </cfRule>
  </conditionalFormatting>
  <conditionalFormatting sqref="Y27:AA27">
    <cfRule type="cellIs" dxfId="7964" priority="580" operator="equal">
      <formula>"PMS"</formula>
    </cfRule>
    <cfRule type="containsText" dxfId="7963" priority="581" operator="containsText" text="CMS">
      <formula>NOT(ISERROR(SEARCH("CMS",Y27)))</formula>
    </cfRule>
    <cfRule type="cellIs" dxfId="7962" priority="582" operator="equal">
      <formula>0</formula>
    </cfRule>
    <cfRule type="cellIs" dxfId="7961" priority="583" operator="greaterThan">
      <formula>0</formula>
    </cfRule>
  </conditionalFormatting>
  <conditionalFormatting sqref="G62:G64">
    <cfRule type="cellIs" dxfId="7960" priority="572" operator="equal">
      <formula>"PMS"</formula>
    </cfRule>
    <cfRule type="containsText" dxfId="7959" priority="573" operator="containsText" text="CMS">
      <formula>NOT(ISERROR(SEARCH("CMS",G62)))</formula>
    </cfRule>
    <cfRule type="cellIs" dxfId="7958" priority="574" operator="equal">
      <formula>0</formula>
    </cfRule>
    <cfRule type="cellIs" dxfId="7957" priority="575" operator="greaterThan">
      <formula>0</formula>
    </cfRule>
    <cfRule type="cellIs" dxfId="7956" priority="576" operator="equal">
      <formula>"PMS"</formula>
    </cfRule>
    <cfRule type="containsText" dxfId="7955" priority="577" operator="containsText" text="CMS">
      <formula>NOT(ISERROR(SEARCH("CMS",G62)))</formula>
    </cfRule>
    <cfRule type="cellIs" dxfId="7954" priority="578" operator="equal">
      <formula>0</formula>
    </cfRule>
    <cfRule type="cellIs" dxfId="7953" priority="579" operator="greaterThan">
      <formula>0</formula>
    </cfRule>
  </conditionalFormatting>
  <conditionalFormatting sqref="G62:G64">
    <cfRule type="cellIs" dxfId="7952" priority="568" operator="equal">
      <formula>"PMS"</formula>
    </cfRule>
    <cfRule type="containsText" dxfId="7951" priority="569" operator="containsText" text="CMS">
      <formula>NOT(ISERROR(SEARCH("CMS",G62)))</formula>
    </cfRule>
    <cfRule type="cellIs" dxfId="7950" priority="570" operator="equal">
      <formula>0</formula>
    </cfRule>
    <cfRule type="cellIs" dxfId="7949" priority="571" operator="greaterThan">
      <formula>0</formula>
    </cfRule>
  </conditionalFormatting>
  <conditionalFormatting sqref="N40">
    <cfRule type="cellIs" dxfId="7948" priority="560" operator="equal">
      <formula>"PMS"</formula>
    </cfRule>
    <cfRule type="containsText" dxfId="7947" priority="561" operator="containsText" text="CMS">
      <formula>NOT(ISERROR(SEARCH("CMS",N40)))</formula>
    </cfRule>
    <cfRule type="cellIs" dxfId="7946" priority="562" operator="equal">
      <formula>0</formula>
    </cfRule>
    <cfRule type="cellIs" dxfId="7945" priority="563" operator="greaterThan">
      <formula>0</formula>
    </cfRule>
    <cfRule type="cellIs" dxfId="7944" priority="564" operator="equal">
      <formula>"PMS"</formula>
    </cfRule>
    <cfRule type="containsText" dxfId="7943" priority="565" operator="containsText" text="CMS">
      <formula>NOT(ISERROR(SEARCH("CMS",N40)))</formula>
    </cfRule>
    <cfRule type="cellIs" dxfId="7942" priority="566" operator="equal">
      <formula>0</formula>
    </cfRule>
    <cfRule type="cellIs" dxfId="7941" priority="567" operator="greaterThan">
      <formula>0</formula>
    </cfRule>
  </conditionalFormatting>
  <conditionalFormatting sqref="N40">
    <cfRule type="cellIs" dxfId="7940" priority="556" operator="equal">
      <formula>"PMS"</formula>
    </cfRule>
    <cfRule type="containsText" dxfId="7939" priority="557" operator="containsText" text="CMS">
      <formula>NOT(ISERROR(SEARCH("CMS",N40)))</formula>
    </cfRule>
    <cfRule type="cellIs" dxfId="7938" priority="558" operator="equal">
      <formula>0</formula>
    </cfRule>
    <cfRule type="cellIs" dxfId="7937" priority="559" operator="greaterThan">
      <formula>0</formula>
    </cfRule>
  </conditionalFormatting>
  <conditionalFormatting sqref="O30">
    <cfRule type="cellIs" dxfId="7936" priority="548" operator="equal">
      <formula>"PMS"</formula>
    </cfRule>
    <cfRule type="containsText" dxfId="7935" priority="549" operator="containsText" text="CMS">
      <formula>NOT(ISERROR(SEARCH("CMS",O30)))</formula>
    </cfRule>
    <cfRule type="cellIs" dxfId="7934" priority="550" operator="equal">
      <formula>0</formula>
    </cfRule>
    <cfRule type="cellIs" dxfId="7933" priority="551" operator="greaterThan">
      <formula>0</formula>
    </cfRule>
    <cfRule type="cellIs" dxfId="7932" priority="552" operator="equal">
      <formula>"PMS"</formula>
    </cfRule>
    <cfRule type="containsText" dxfId="7931" priority="553" operator="containsText" text="CMS">
      <formula>NOT(ISERROR(SEARCH("CMS",O30)))</formula>
    </cfRule>
    <cfRule type="cellIs" dxfId="7930" priority="554" operator="equal">
      <formula>0</formula>
    </cfRule>
    <cfRule type="cellIs" dxfId="7929" priority="555" operator="greaterThan">
      <formula>0</formula>
    </cfRule>
  </conditionalFormatting>
  <conditionalFormatting sqref="O30">
    <cfRule type="cellIs" dxfId="7928" priority="544" operator="equal">
      <formula>"PMS"</formula>
    </cfRule>
    <cfRule type="containsText" dxfId="7927" priority="545" operator="containsText" text="CMS">
      <formula>NOT(ISERROR(SEARCH("CMS",O30)))</formula>
    </cfRule>
    <cfRule type="cellIs" dxfId="7926" priority="546" operator="equal">
      <formula>0</formula>
    </cfRule>
    <cfRule type="cellIs" dxfId="7925" priority="547" operator="greaterThan">
      <formula>0</formula>
    </cfRule>
  </conditionalFormatting>
  <conditionalFormatting sqref="O47:O49">
    <cfRule type="cellIs" dxfId="7924" priority="536" operator="equal">
      <formula>"PMS"</formula>
    </cfRule>
    <cfRule type="containsText" dxfId="7923" priority="537" operator="containsText" text="CMS">
      <formula>NOT(ISERROR(SEARCH("CMS",O47)))</formula>
    </cfRule>
    <cfRule type="cellIs" dxfId="7922" priority="538" operator="equal">
      <formula>0</formula>
    </cfRule>
    <cfRule type="cellIs" dxfId="7921" priority="539" operator="greaterThan">
      <formula>0</formula>
    </cfRule>
    <cfRule type="cellIs" dxfId="7920" priority="540" operator="equal">
      <formula>"PMS"</formula>
    </cfRule>
    <cfRule type="containsText" dxfId="7919" priority="541" operator="containsText" text="CMS">
      <formula>NOT(ISERROR(SEARCH("CMS",O47)))</formula>
    </cfRule>
    <cfRule type="cellIs" dxfId="7918" priority="542" operator="equal">
      <formula>0</formula>
    </cfRule>
    <cfRule type="cellIs" dxfId="7917" priority="543" operator="greaterThan">
      <formula>0</formula>
    </cfRule>
  </conditionalFormatting>
  <conditionalFormatting sqref="O47:O49">
    <cfRule type="cellIs" dxfId="7916" priority="532" operator="equal">
      <formula>"PMS"</formula>
    </cfRule>
    <cfRule type="containsText" dxfId="7915" priority="533" operator="containsText" text="CMS">
      <formula>NOT(ISERROR(SEARCH("CMS",O47)))</formula>
    </cfRule>
    <cfRule type="cellIs" dxfId="7914" priority="534" operator="equal">
      <formula>0</formula>
    </cfRule>
    <cfRule type="cellIs" dxfId="7913" priority="535" operator="greaterThan">
      <formula>0</formula>
    </cfRule>
  </conditionalFormatting>
  <conditionalFormatting sqref="H15:H16">
    <cfRule type="cellIs" dxfId="7912" priority="512" operator="equal">
      <formula>"PMS"</formula>
    </cfRule>
    <cfRule type="containsText" dxfId="7911" priority="513" operator="containsText" text="CMS">
      <formula>NOT(ISERROR(SEARCH("CMS",H15)))</formula>
    </cfRule>
    <cfRule type="cellIs" dxfId="7910" priority="514" operator="equal">
      <formula>0</formula>
    </cfRule>
    <cfRule type="cellIs" dxfId="7909" priority="515" operator="greaterThan">
      <formula>0</formula>
    </cfRule>
    <cfRule type="cellIs" dxfId="7908" priority="516" operator="equal">
      <formula>"PMS"</formula>
    </cfRule>
    <cfRule type="containsText" dxfId="7907" priority="517" operator="containsText" text="CMS">
      <formula>NOT(ISERROR(SEARCH("CMS",H15)))</formula>
    </cfRule>
    <cfRule type="cellIs" dxfId="7906" priority="518" operator="equal">
      <formula>0</formula>
    </cfRule>
    <cfRule type="cellIs" dxfId="7905" priority="519" operator="greaterThan">
      <formula>0</formula>
    </cfRule>
  </conditionalFormatting>
  <conditionalFormatting sqref="H15:H16">
    <cfRule type="cellIs" dxfId="7904" priority="508" operator="equal">
      <formula>"PMS"</formula>
    </cfRule>
    <cfRule type="containsText" dxfId="7903" priority="509" operator="containsText" text="CMS">
      <formula>NOT(ISERROR(SEARCH("CMS",H15)))</formula>
    </cfRule>
    <cfRule type="cellIs" dxfId="7902" priority="510" operator="equal">
      <formula>0</formula>
    </cfRule>
    <cfRule type="cellIs" dxfId="7901" priority="511" operator="greaterThan">
      <formula>0</formula>
    </cfRule>
  </conditionalFormatting>
  <conditionalFormatting sqref="G14">
    <cfRule type="cellIs" dxfId="7900" priority="500" operator="equal">
      <formula>"PMS"</formula>
    </cfRule>
    <cfRule type="containsText" dxfId="7899" priority="501" operator="containsText" text="CMS">
      <formula>NOT(ISERROR(SEARCH("CMS",G14)))</formula>
    </cfRule>
    <cfRule type="cellIs" dxfId="7898" priority="502" operator="equal">
      <formula>0</formula>
    </cfRule>
    <cfRule type="cellIs" dxfId="7897" priority="503" operator="greaterThan">
      <formula>0</formula>
    </cfRule>
    <cfRule type="cellIs" dxfId="7896" priority="504" operator="equal">
      <formula>"PMS"</formula>
    </cfRule>
    <cfRule type="containsText" dxfId="7895" priority="505" operator="containsText" text="CMS">
      <formula>NOT(ISERROR(SEARCH("CMS",G14)))</formula>
    </cfRule>
    <cfRule type="cellIs" dxfId="7894" priority="506" operator="equal">
      <formula>0</formula>
    </cfRule>
    <cfRule type="cellIs" dxfId="7893" priority="507" operator="greaterThan">
      <formula>0</formula>
    </cfRule>
  </conditionalFormatting>
  <conditionalFormatting sqref="G14">
    <cfRule type="cellIs" dxfId="7892" priority="496" operator="equal">
      <formula>"PMS"</formula>
    </cfRule>
    <cfRule type="containsText" dxfId="7891" priority="497" operator="containsText" text="CMS">
      <formula>NOT(ISERROR(SEARCH("CMS",G14)))</formula>
    </cfRule>
    <cfRule type="cellIs" dxfId="7890" priority="498" operator="equal">
      <formula>0</formula>
    </cfRule>
    <cfRule type="cellIs" dxfId="7889" priority="499" operator="greaterThan">
      <formula>0</formula>
    </cfRule>
  </conditionalFormatting>
  <conditionalFormatting sqref="N63:N64">
    <cfRule type="cellIs" dxfId="7888" priority="488" operator="equal">
      <formula>"PMS"</formula>
    </cfRule>
    <cfRule type="containsText" dxfId="7887" priority="489" operator="containsText" text="CMS">
      <formula>NOT(ISERROR(SEARCH("CMS",N63)))</formula>
    </cfRule>
    <cfRule type="cellIs" dxfId="7886" priority="490" operator="equal">
      <formula>0</formula>
    </cfRule>
    <cfRule type="cellIs" dxfId="7885" priority="491" operator="greaterThan">
      <formula>0</formula>
    </cfRule>
    <cfRule type="cellIs" dxfId="7884" priority="492" operator="equal">
      <formula>"PMS"</formula>
    </cfRule>
    <cfRule type="containsText" dxfId="7883" priority="493" operator="containsText" text="CMS">
      <formula>NOT(ISERROR(SEARCH("CMS",N63)))</formula>
    </cfRule>
    <cfRule type="cellIs" dxfId="7882" priority="494" operator="equal">
      <formula>0</formula>
    </cfRule>
    <cfRule type="cellIs" dxfId="7881" priority="495" operator="greaterThan">
      <formula>0</formula>
    </cfRule>
  </conditionalFormatting>
  <conditionalFormatting sqref="N63:N64">
    <cfRule type="cellIs" dxfId="7880" priority="484" operator="equal">
      <formula>"PMS"</formula>
    </cfRule>
    <cfRule type="containsText" dxfId="7879" priority="485" operator="containsText" text="CMS">
      <formula>NOT(ISERROR(SEARCH("CMS",N63)))</formula>
    </cfRule>
    <cfRule type="cellIs" dxfId="7878" priority="486" operator="equal">
      <formula>0</formula>
    </cfRule>
    <cfRule type="cellIs" dxfId="7877" priority="487" operator="greaterThan">
      <formula>0</formula>
    </cfRule>
  </conditionalFormatting>
  <conditionalFormatting sqref="G78:K78">
    <cfRule type="cellIs" dxfId="7876" priority="476" operator="equal">
      <formula>"PMS"</formula>
    </cfRule>
    <cfRule type="containsText" dxfId="7875" priority="477" operator="containsText" text="CMS">
      <formula>NOT(ISERROR(SEARCH("CMS",G78)))</formula>
    </cfRule>
    <cfRule type="cellIs" dxfId="7874" priority="478" operator="equal">
      <formula>0</formula>
    </cfRule>
    <cfRule type="cellIs" dxfId="7873" priority="479" operator="greaterThan">
      <formula>0</formula>
    </cfRule>
    <cfRule type="cellIs" dxfId="7872" priority="480" operator="equal">
      <formula>"PMS"</formula>
    </cfRule>
    <cfRule type="containsText" dxfId="7871" priority="481" operator="containsText" text="CMS">
      <formula>NOT(ISERROR(SEARCH("CMS",G78)))</formula>
    </cfRule>
    <cfRule type="cellIs" dxfId="7870" priority="482" operator="equal">
      <formula>0</formula>
    </cfRule>
    <cfRule type="cellIs" dxfId="7869" priority="483" operator="greaterThan">
      <formula>0</formula>
    </cfRule>
  </conditionalFormatting>
  <conditionalFormatting sqref="G78:K78">
    <cfRule type="cellIs" dxfId="7868" priority="472" operator="equal">
      <formula>"PMS"</formula>
    </cfRule>
    <cfRule type="containsText" dxfId="7867" priority="473" operator="containsText" text="CMS">
      <formula>NOT(ISERROR(SEARCH("CMS",G78)))</formula>
    </cfRule>
    <cfRule type="cellIs" dxfId="7866" priority="474" operator="equal">
      <formula>0</formula>
    </cfRule>
    <cfRule type="cellIs" dxfId="7865" priority="475" operator="greaterThan">
      <formula>0</formula>
    </cfRule>
  </conditionalFormatting>
  <conditionalFormatting sqref="L78:L79">
    <cfRule type="cellIs" dxfId="7864" priority="464" operator="equal">
      <formula>"PMS"</formula>
    </cfRule>
    <cfRule type="containsText" dxfId="7863" priority="465" operator="containsText" text="CMS">
      <formula>NOT(ISERROR(SEARCH("CMS",L78)))</formula>
    </cfRule>
    <cfRule type="cellIs" dxfId="7862" priority="466" operator="equal">
      <formula>0</formula>
    </cfRule>
    <cfRule type="cellIs" dxfId="7861" priority="467" operator="greaterThan">
      <formula>0</formula>
    </cfRule>
    <cfRule type="cellIs" dxfId="7860" priority="468" operator="equal">
      <formula>"PMS"</formula>
    </cfRule>
    <cfRule type="containsText" dxfId="7859" priority="469" operator="containsText" text="CMS">
      <formula>NOT(ISERROR(SEARCH("CMS",L78)))</formula>
    </cfRule>
    <cfRule type="cellIs" dxfId="7858" priority="470" operator="equal">
      <formula>0</formula>
    </cfRule>
    <cfRule type="cellIs" dxfId="7857" priority="471" operator="greaterThan">
      <formula>0</formula>
    </cfRule>
  </conditionalFormatting>
  <conditionalFormatting sqref="L78:L79">
    <cfRule type="cellIs" dxfId="7856" priority="460" operator="equal">
      <formula>"PMS"</formula>
    </cfRule>
    <cfRule type="containsText" dxfId="7855" priority="461" operator="containsText" text="CMS">
      <formula>NOT(ISERROR(SEARCH("CMS",L78)))</formula>
    </cfRule>
    <cfRule type="cellIs" dxfId="7854" priority="462" operator="equal">
      <formula>0</formula>
    </cfRule>
    <cfRule type="cellIs" dxfId="7853" priority="463" operator="greaterThan">
      <formula>0</formula>
    </cfRule>
  </conditionalFormatting>
  <conditionalFormatting sqref="R27:R28">
    <cfRule type="cellIs" dxfId="7852" priority="452" operator="equal">
      <formula>"PMS"</formula>
    </cfRule>
    <cfRule type="containsText" dxfId="7851" priority="453" operator="containsText" text="CMS">
      <formula>NOT(ISERROR(SEARCH("CMS",R27)))</formula>
    </cfRule>
    <cfRule type="cellIs" dxfId="7850" priority="454" operator="equal">
      <formula>0</formula>
    </cfRule>
    <cfRule type="cellIs" dxfId="7849" priority="455" operator="greaterThan">
      <formula>0</formula>
    </cfRule>
    <cfRule type="cellIs" dxfId="7848" priority="456" operator="equal">
      <formula>"PMS"</formula>
    </cfRule>
    <cfRule type="containsText" dxfId="7847" priority="457" operator="containsText" text="CMS">
      <formula>NOT(ISERROR(SEARCH("CMS",R27)))</formula>
    </cfRule>
    <cfRule type="cellIs" dxfId="7846" priority="458" operator="equal">
      <formula>0</formula>
    </cfRule>
    <cfRule type="cellIs" dxfId="7845" priority="459" operator="greaterThan">
      <formula>0</formula>
    </cfRule>
  </conditionalFormatting>
  <conditionalFormatting sqref="R27:R28">
    <cfRule type="cellIs" dxfId="7844" priority="448" operator="equal">
      <formula>"PMS"</formula>
    </cfRule>
    <cfRule type="containsText" dxfId="7843" priority="449" operator="containsText" text="CMS">
      <formula>NOT(ISERROR(SEARCH("CMS",R27)))</formula>
    </cfRule>
    <cfRule type="cellIs" dxfId="7842" priority="450" operator="equal">
      <formula>0</formula>
    </cfRule>
    <cfRule type="cellIs" dxfId="7841" priority="451" operator="greaterThan">
      <formula>0</formula>
    </cfRule>
  </conditionalFormatting>
  <conditionalFormatting sqref="AA79:AB79">
    <cfRule type="cellIs" dxfId="7840" priority="440" operator="equal">
      <formula>"PMS"</formula>
    </cfRule>
    <cfRule type="containsText" dxfId="7839" priority="441" operator="containsText" text="CMS">
      <formula>NOT(ISERROR(SEARCH("CMS",AA79)))</formula>
    </cfRule>
    <cfRule type="cellIs" dxfId="7838" priority="442" operator="equal">
      <formula>0</formula>
    </cfRule>
    <cfRule type="cellIs" dxfId="7837" priority="443" operator="greaterThan">
      <formula>0</formula>
    </cfRule>
    <cfRule type="cellIs" dxfId="7836" priority="444" operator="equal">
      <formula>"PMS"</formula>
    </cfRule>
    <cfRule type="containsText" dxfId="7835" priority="445" operator="containsText" text="CMS">
      <formula>NOT(ISERROR(SEARCH("CMS",AA79)))</formula>
    </cfRule>
    <cfRule type="cellIs" dxfId="7834" priority="446" operator="equal">
      <formula>0</formula>
    </cfRule>
    <cfRule type="cellIs" dxfId="7833" priority="447" operator="greaterThan">
      <formula>0</formula>
    </cfRule>
  </conditionalFormatting>
  <conditionalFormatting sqref="AA79:AB79">
    <cfRule type="cellIs" dxfId="7832" priority="436" operator="equal">
      <formula>"PMS"</formula>
    </cfRule>
    <cfRule type="containsText" dxfId="7831" priority="437" operator="containsText" text="CMS">
      <formula>NOT(ISERROR(SEARCH("CMS",AA79)))</formula>
    </cfRule>
    <cfRule type="cellIs" dxfId="7830" priority="438" operator="equal">
      <formula>0</formula>
    </cfRule>
    <cfRule type="cellIs" dxfId="7829" priority="439" operator="greaterThan">
      <formula>0</formula>
    </cfRule>
  </conditionalFormatting>
  <conditionalFormatting sqref="M30">
    <cfRule type="cellIs" dxfId="7828" priority="428" operator="equal">
      <formula>"PMS"</formula>
    </cfRule>
    <cfRule type="containsText" dxfId="7827" priority="429" operator="containsText" text="CMS">
      <formula>NOT(ISERROR(SEARCH("CMS",M30)))</formula>
    </cfRule>
    <cfRule type="cellIs" dxfId="7826" priority="430" operator="equal">
      <formula>0</formula>
    </cfRule>
    <cfRule type="cellIs" dxfId="7825" priority="431" operator="greaterThan">
      <formula>0</formula>
    </cfRule>
    <cfRule type="cellIs" dxfId="7824" priority="432" operator="equal">
      <formula>"PMS"</formula>
    </cfRule>
    <cfRule type="containsText" dxfId="7823" priority="433" operator="containsText" text="CMS">
      <formula>NOT(ISERROR(SEARCH("CMS",M30)))</formula>
    </cfRule>
    <cfRule type="cellIs" dxfId="7822" priority="434" operator="equal">
      <formula>0</formula>
    </cfRule>
    <cfRule type="cellIs" dxfId="7821" priority="435" operator="greaterThan">
      <formula>0</formula>
    </cfRule>
  </conditionalFormatting>
  <conditionalFormatting sqref="M30">
    <cfRule type="cellIs" dxfId="7820" priority="424" operator="equal">
      <formula>"PMS"</formula>
    </cfRule>
    <cfRule type="containsText" dxfId="7819" priority="425" operator="containsText" text="CMS">
      <formula>NOT(ISERROR(SEARCH("CMS",M30)))</formula>
    </cfRule>
    <cfRule type="cellIs" dxfId="7818" priority="426" operator="equal">
      <formula>0</formula>
    </cfRule>
    <cfRule type="cellIs" dxfId="7817" priority="427" operator="greaterThan">
      <formula>0</formula>
    </cfRule>
  </conditionalFormatting>
  <conditionalFormatting sqref="R78">
    <cfRule type="cellIs" dxfId="7816" priority="416" operator="equal">
      <formula>"PMS"</formula>
    </cfRule>
    <cfRule type="containsText" dxfId="7815" priority="417" operator="containsText" text="CMS">
      <formula>NOT(ISERROR(SEARCH("CMS",R78)))</formula>
    </cfRule>
    <cfRule type="cellIs" dxfId="7814" priority="418" operator="equal">
      <formula>0</formula>
    </cfRule>
    <cfRule type="cellIs" dxfId="7813" priority="419" operator="greaterThan">
      <formula>0</formula>
    </cfRule>
    <cfRule type="cellIs" dxfId="7812" priority="420" operator="equal">
      <formula>"PMS"</formula>
    </cfRule>
    <cfRule type="containsText" dxfId="7811" priority="421" operator="containsText" text="CMS">
      <formula>NOT(ISERROR(SEARCH("CMS",R78)))</formula>
    </cfRule>
    <cfRule type="cellIs" dxfId="7810" priority="422" operator="equal">
      <formula>0</formula>
    </cfRule>
    <cfRule type="cellIs" dxfId="7809" priority="423" operator="greaterThan">
      <formula>0</formula>
    </cfRule>
  </conditionalFormatting>
  <conditionalFormatting sqref="R78">
    <cfRule type="cellIs" dxfId="7808" priority="412" operator="equal">
      <formula>"PMS"</formula>
    </cfRule>
    <cfRule type="containsText" dxfId="7807" priority="413" operator="containsText" text="CMS">
      <formula>NOT(ISERROR(SEARCH("CMS",R78)))</formula>
    </cfRule>
    <cfRule type="cellIs" dxfId="7806" priority="414" operator="equal">
      <formula>0</formula>
    </cfRule>
    <cfRule type="cellIs" dxfId="7805" priority="415" operator="greaterThan">
      <formula>0</formula>
    </cfRule>
  </conditionalFormatting>
  <conditionalFormatting sqref="M16">
    <cfRule type="cellIs" dxfId="7804" priority="404" operator="equal">
      <formula>"PMS"</formula>
    </cfRule>
    <cfRule type="containsText" dxfId="7803" priority="405" operator="containsText" text="CMS">
      <formula>NOT(ISERROR(SEARCH("CMS",M16)))</formula>
    </cfRule>
    <cfRule type="cellIs" dxfId="7802" priority="406" operator="equal">
      <formula>0</formula>
    </cfRule>
    <cfRule type="cellIs" dxfId="7801" priority="407" operator="greaterThan">
      <formula>0</formula>
    </cfRule>
    <cfRule type="cellIs" dxfId="7800" priority="408" operator="equal">
      <formula>"PMS"</formula>
    </cfRule>
    <cfRule type="containsText" dxfId="7799" priority="409" operator="containsText" text="CMS">
      <formula>NOT(ISERROR(SEARCH("CMS",M16)))</formula>
    </cfRule>
    <cfRule type="cellIs" dxfId="7798" priority="410" operator="equal">
      <formula>0</formula>
    </cfRule>
    <cfRule type="cellIs" dxfId="7797" priority="411" operator="greaterThan">
      <formula>0</formula>
    </cfRule>
  </conditionalFormatting>
  <conditionalFormatting sqref="M16">
    <cfRule type="cellIs" dxfId="7796" priority="400" operator="equal">
      <formula>"PMS"</formula>
    </cfRule>
    <cfRule type="containsText" dxfId="7795" priority="401" operator="containsText" text="CMS">
      <formula>NOT(ISERROR(SEARCH("CMS",M16)))</formula>
    </cfRule>
    <cfRule type="cellIs" dxfId="7794" priority="402" operator="equal">
      <formula>0</formula>
    </cfRule>
    <cfRule type="cellIs" dxfId="7793" priority="403" operator="greaterThan">
      <formula>0</formula>
    </cfRule>
  </conditionalFormatting>
  <conditionalFormatting sqref="O40">
    <cfRule type="cellIs" dxfId="7792" priority="392" operator="equal">
      <formula>"PMS"</formula>
    </cfRule>
    <cfRule type="containsText" dxfId="7791" priority="393" operator="containsText" text="CMS">
      <formula>NOT(ISERROR(SEARCH("CMS",O40)))</formula>
    </cfRule>
    <cfRule type="cellIs" dxfId="7790" priority="394" operator="equal">
      <formula>0</formula>
    </cfRule>
    <cfRule type="cellIs" dxfId="7789" priority="395" operator="greaterThan">
      <formula>0</formula>
    </cfRule>
    <cfRule type="cellIs" dxfId="7788" priority="396" operator="equal">
      <formula>"PMS"</formula>
    </cfRule>
    <cfRule type="containsText" dxfId="7787" priority="397" operator="containsText" text="CMS">
      <formula>NOT(ISERROR(SEARCH("CMS",O40)))</formula>
    </cfRule>
    <cfRule type="cellIs" dxfId="7786" priority="398" operator="equal">
      <formula>0</formula>
    </cfRule>
    <cfRule type="cellIs" dxfId="7785" priority="399" operator="greaterThan">
      <formula>0</formula>
    </cfRule>
  </conditionalFormatting>
  <conditionalFormatting sqref="O40">
    <cfRule type="cellIs" dxfId="7784" priority="388" operator="equal">
      <formula>"PMS"</formula>
    </cfRule>
    <cfRule type="containsText" dxfId="7783" priority="389" operator="containsText" text="CMS">
      <formula>NOT(ISERROR(SEARCH("CMS",O40)))</formula>
    </cfRule>
    <cfRule type="cellIs" dxfId="7782" priority="390" operator="equal">
      <formula>0</formula>
    </cfRule>
    <cfRule type="cellIs" dxfId="7781" priority="391" operator="greaterThan">
      <formula>0</formula>
    </cfRule>
  </conditionalFormatting>
  <conditionalFormatting sqref="P21">
    <cfRule type="cellIs" dxfId="7780" priority="380" operator="equal">
      <formula>"PMS"</formula>
    </cfRule>
    <cfRule type="containsText" dxfId="7779" priority="381" operator="containsText" text="CMS">
      <formula>NOT(ISERROR(SEARCH("CMS",P21)))</formula>
    </cfRule>
    <cfRule type="cellIs" dxfId="7778" priority="382" operator="equal">
      <formula>0</formula>
    </cfRule>
    <cfRule type="cellIs" dxfId="7777" priority="383" operator="greaterThan">
      <formula>0</formula>
    </cfRule>
    <cfRule type="cellIs" dxfId="7776" priority="384" operator="equal">
      <formula>"PMS"</formula>
    </cfRule>
    <cfRule type="containsText" dxfId="7775" priority="385" operator="containsText" text="CMS">
      <formula>NOT(ISERROR(SEARCH("CMS",P21)))</formula>
    </cfRule>
    <cfRule type="cellIs" dxfId="7774" priority="386" operator="equal">
      <formula>0</formula>
    </cfRule>
    <cfRule type="cellIs" dxfId="7773" priority="387" operator="greaterThan">
      <formula>0</formula>
    </cfRule>
  </conditionalFormatting>
  <conditionalFormatting sqref="P21">
    <cfRule type="cellIs" dxfId="7772" priority="376" operator="equal">
      <formula>"PMS"</formula>
    </cfRule>
    <cfRule type="containsText" dxfId="7771" priority="377" operator="containsText" text="CMS">
      <formula>NOT(ISERROR(SEARCH("CMS",P21)))</formula>
    </cfRule>
    <cfRule type="cellIs" dxfId="7770" priority="378" operator="equal">
      <formula>0</formula>
    </cfRule>
    <cfRule type="cellIs" dxfId="7769" priority="379" operator="greaterThan">
      <formula>0</formula>
    </cfRule>
  </conditionalFormatting>
  <conditionalFormatting sqref="M78:M79">
    <cfRule type="cellIs" dxfId="7768" priority="368" operator="equal">
      <formula>"PMS"</formula>
    </cfRule>
    <cfRule type="containsText" dxfId="7767" priority="369" operator="containsText" text="CMS">
      <formula>NOT(ISERROR(SEARCH("CMS",M78)))</formula>
    </cfRule>
    <cfRule type="cellIs" dxfId="7766" priority="370" operator="equal">
      <formula>0</formula>
    </cfRule>
    <cfRule type="cellIs" dxfId="7765" priority="371" operator="greaterThan">
      <formula>0</formula>
    </cfRule>
    <cfRule type="cellIs" dxfId="7764" priority="372" operator="equal">
      <formula>"PMS"</formula>
    </cfRule>
    <cfRule type="containsText" dxfId="7763" priority="373" operator="containsText" text="CMS">
      <formula>NOT(ISERROR(SEARCH("CMS",M78)))</formula>
    </cfRule>
    <cfRule type="cellIs" dxfId="7762" priority="374" operator="equal">
      <formula>0</formula>
    </cfRule>
    <cfRule type="cellIs" dxfId="7761" priority="375" operator="greaterThan">
      <formula>0</formula>
    </cfRule>
  </conditionalFormatting>
  <conditionalFormatting sqref="M78:M79">
    <cfRule type="cellIs" dxfId="7760" priority="364" operator="equal">
      <formula>"PMS"</formula>
    </cfRule>
    <cfRule type="containsText" dxfId="7759" priority="365" operator="containsText" text="CMS">
      <formula>NOT(ISERROR(SEARCH("CMS",M78)))</formula>
    </cfRule>
    <cfRule type="cellIs" dxfId="7758" priority="366" operator="equal">
      <formula>0</formula>
    </cfRule>
    <cfRule type="cellIs" dxfId="7757" priority="367" operator="greaterThan">
      <formula>0</formula>
    </cfRule>
  </conditionalFormatting>
  <conditionalFormatting sqref="G79:K79">
    <cfRule type="cellIs" dxfId="7756" priority="356" operator="equal">
      <formula>"PMS"</formula>
    </cfRule>
    <cfRule type="containsText" dxfId="7755" priority="357" operator="containsText" text="CMS">
      <formula>NOT(ISERROR(SEARCH("CMS",G79)))</formula>
    </cfRule>
    <cfRule type="cellIs" dxfId="7754" priority="358" operator="equal">
      <formula>0</formula>
    </cfRule>
    <cfRule type="cellIs" dxfId="7753" priority="359" operator="greaterThan">
      <formula>0</formula>
    </cfRule>
    <cfRule type="cellIs" dxfId="7752" priority="360" operator="equal">
      <formula>"PMS"</formula>
    </cfRule>
    <cfRule type="containsText" dxfId="7751" priority="361" operator="containsText" text="CMS">
      <formula>NOT(ISERROR(SEARCH("CMS",G79)))</formula>
    </cfRule>
    <cfRule type="cellIs" dxfId="7750" priority="362" operator="equal">
      <formula>0</formula>
    </cfRule>
    <cfRule type="cellIs" dxfId="7749" priority="363" operator="greaterThan">
      <formula>0</formula>
    </cfRule>
  </conditionalFormatting>
  <conditionalFormatting sqref="G79:K79">
    <cfRule type="cellIs" dxfId="7748" priority="352" operator="equal">
      <formula>"PMS"</formula>
    </cfRule>
    <cfRule type="containsText" dxfId="7747" priority="353" operator="containsText" text="CMS">
      <formula>NOT(ISERROR(SEARCH("CMS",G79)))</formula>
    </cfRule>
    <cfRule type="cellIs" dxfId="7746" priority="354" operator="equal">
      <formula>0</formula>
    </cfRule>
    <cfRule type="cellIs" dxfId="7745" priority="355" operator="greaterThan">
      <formula>0</formula>
    </cfRule>
  </conditionalFormatting>
  <conditionalFormatting sqref="N14">
    <cfRule type="cellIs" dxfId="7744" priority="344" operator="equal">
      <formula>"PMS"</formula>
    </cfRule>
    <cfRule type="containsText" dxfId="7743" priority="345" operator="containsText" text="CMS">
      <formula>NOT(ISERROR(SEARCH("CMS",N14)))</formula>
    </cfRule>
    <cfRule type="cellIs" dxfId="7742" priority="346" operator="equal">
      <formula>0</formula>
    </cfRule>
    <cfRule type="cellIs" dxfId="7741" priority="347" operator="greaterThan">
      <formula>0</formula>
    </cfRule>
    <cfRule type="cellIs" dxfId="7740" priority="348" operator="equal">
      <formula>"PMS"</formula>
    </cfRule>
    <cfRule type="containsText" dxfId="7739" priority="349" operator="containsText" text="CMS">
      <formula>NOT(ISERROR(SEARCH("CMS",N14)))</formula>
    </cfRule>
    <cfRule type="cellIs" dxfId="7738" priority="350" operator="equal">
      <formula>0</formula>
    </cfRule>
    <cfRule type="cellIs" dxfId="7737" priority="351" operator="greaterThan">
      <formula>0</formula>
    </cfRule>
  </conditionalFormatting>
  <conditionalFormatting sqref="N14">
    <cfRule type="cellIs" dxfId="7736" priority="340" operator="equal">
      <formula>"PMS"</formula>
    </cfRule>
    <cfRule type="containsText" dxfId="7735" priority="341" operator="containsText" text="CMS">
      <formula>NOT(ISERROR(SEARCH("CMS",N14)))</formula>
    </cfRule>
    <cfRule type="cellIs" dxfId="7734" priority="342" operator="equal">
      <formula>0</formula>
    </cfRule>
    <cfRule type="cellIs" dxfId="7733" priority="343" operator="greaterThan">
      <formula>0</formula>
    </cfRule>
  </conditionalFormatting>
  <conditionalFormatting sqref="Q64">
    <cfRule type="cellIs" dxfId="7732" priority="332" operator="equal">
      <formula>"PMS"</formula>
    </cfRule>
    <cfRule type="containsText" dxfId="7731" priority="333" operator="containsText" text="CMS">
      <formula>NOT(ISERROR(SEARCH("CMS",Q64)))</formula>
    </cfRule>
    <cfRule type="cellIs" dxfId="7730" priority="334" operator="equal">
      <formula>0</formula>
    </cfRule>
    <cfRule type="cellIs" dxfId="7729" priority="335" operator="greaterThan">
      <formula>0</formula>
    </cfRule>
    <cfRule type="cellIs" dxfId="7728" priority="336" operator="equal">
      <formula>"PMS"</formula>
    </cfRule>
    <cfRule type="containsText" dxfId="7727" priority="337" operator="containsText" text="CMS">
      <formula>NOT(ISERROR(SEARCH("CMS",Q64)))</formula>
    </cfRule>
    <cfRule type="cellIs" dxfId="7726" priority="338" operator="equal">
      <formula>0</formula>
    </cfRule>
    <cfRule type="cellIs" dxfId="7725" priority="339" operator="greaterThan">
      <formula>0</formula>
    </cfRule>
  </conditionalFormatting>
  <conditionalFormatting sqref="Q64">
    <cfRule type="cellIs" dxfId="7724" priority="328" operator="equal">
      <formula>"PMS"</formula>
    </cfRule>
    <cfRule type="containsText" dxfId="7723" priority="329" operator="containsText" text="CMS">
      <formula>NOT(ISERROR(SEARCH("CMS",Q64)))</formula>
    </cfRule>
    <cfRule type="cellIs" dxfId="7722" priority="330" operator="equal">
      <formula>0</formula>
    </cfRule>
    <cfRule type="cellIs" dxfId="7721" priority="331" operator="greaterThan">
      <formula>0</formula>
    </cfRule>
  </conditionalFormatting>
  <conditionalFormatting sqref="O51">
    <cfRule type="cellIs" dxfId="7720" priority="296" operator="equal">
      <formula>"PMS"</formula>
    </cfRule>
    <cfRule type="containsText" dxfId="7719" priority="297" operator="containsText" text="CMS">
      <formula>NOT(ISERROR(SEARCH("CMS",O51)))</formula>
    </cfRule>
    <cfRule type="cellIs" dxfId="7718" priority="298" operator="equal">
      <formula>0</formula>
    </cfRule>
    <cfRule type="cellIs" dxfId="7717" priority="299" operator="greaterThan">
      <formula>0</formula>
    </cfRule>
    <cfRule type="cellIs" dxfId="7716" priority="300" operator="equal">
      <formula>"PMS"</formula>
    </cfRule>
    <cfRule type="containsText" dxfId="7715" priority="301" operator="containsText" text="CMS">
      <formula>NOT(ISERROR(SEARCH("CMS",O51)))</formula>
    </cfRule>
    <cfRule type="cellIs" dxfId="7714" priority="302" operator="equal">
      <formula>0</formula>
    </cfRule>
    <cfRule type="cellIs" dxfId="7713" priority="303" operator="greaterThan">
      <formula>0</formula>
    </cfRule>
  </conditionalFormatting>
  <conditionalFormatting sqref="O51">
    <cfRule type="cellIs" dxfId="7712" priority="292" operator="equal">
      <formula>"PMS"</formula>
    </cfRule>
    <cfRule type="containsText" dxfId="7711" priority="293" operator="containsText" text="CMS">
      <formula>NOT(ISERROR(SEARCH("CMS",O51)))</formula>
    </cfRule>
    <cfRule type="cellIs" dxfId="7710" priority="294" operator="equal">
      <formula>0</formula>
    </cfRule>
    <cfRule type="cellIs" dxfId="7709" priority="295" operator="greaterThan">
      <formula>0</formula>
    </cfRule>
  </conditionalFormatting>
  <conditionalFormatting sqref="O56">
    <cfRule type="cellIs" dxfId="7708" priority="284" operator="equal">
      <formula>"PMS"</formula>
    </cfRule>
    <cfRule type="containsText" dxfId="7707" priority="285" operator="containsText" text="CMS">
      <formula>NOT(ISERROR(SEARCH("CMS",O56)))</formula>
    </cfRule>
    <cfRule type="cellIs" dxfId="7706" priority="286" operator="equal">
      <formula>0</formula>
    </cfRule>
    <cfRule type="cellIs" dxfId="7705" priority="287" operator="greaterThan">
      <formula>0</formula>
    </cfRule>
    <cfRule type="cellIs" dxfId="7704" priority="288" operator="equal">
      <formula>"PMS"</formula>
    </cfRule>
    <cfRule type="containsText" dxfId="7703" priority="289" operator="containsText" text="CMS">
      <formula>NOT(ISERROR(SEARCH("CMS",O56)))</formula>
    </cfRule>
    <cfRule type="cellIs" dxfId="7702" priority="290" operator="equal">
      <formula>0</formula>
    </cfRule>
    <cfRule type="cellIs" dxfId="7701" priority="291" operator="greaterThan">
      <formula>0</formula>
    </cfRule>
  </conditionalFormatting>
  <conditionalFormatting sqref="O56">
    <cfRule type="cellIs" dxfId="7700" priority="280" operator="equal">
      <formula>"PMS"</formula>
    </cfRule>
    <cfRule type="containsText" dxfId="7699" priority="281" operator="containsText" text="CMS">
      <formula>NOT(ISERROR(SEARCH("CMS",O56)))</formula>
    </cfRule>
    <cfRule type="cellIs" dxfId="7698" priority="282" operator="equal">
      <formula>0</formula>
    </cfRule>
    <cfRule type="cellIs" dxfId="7697" priority="283" operator="greaterThan">
      <formula>0</formula>
    </cfRule>
  </conditionalFormatting>
  <conditionalFormatting sqref="M14">
    <cfRule type="cellIs" dxfId="7696" priority="260" operator="equal">
      <formula>"PMS"</formula>
    </cfRule>
    <cfRule type="containsText" dxfId="7695" priority="261" operator="containsText" text="CMS">
      <formula>NOT(ISERROR(SEARCH("CMS",M14)))</formula>
    </cfRule>
    <cfRule type="cellIs" dxfId="7694" priority="262" operator="equal">
      <formula>0</formula>
    </cfRule>
    <cfRule type="cellIs" dxfId="7693" priority="263" operator="greaterThan">
      <formula>0</formula>
    </cfRule>
    <cfRule type="cellIs" dxfId="7692" priority="264" operator="equal">
      <formula>"PMS"</formula>
    </cfRule>
    <cfRule type="containsText" dxfId="7691" priority="265" operator="containsText" text="CMS">
      <formula>NOT(ISERROR(SEARCH("CMS",M14)))</formula>
    </cfRule>
    <cfRule type="cellIs" dxfId="7690" priority="266" operator="equal">
      <formula>0</formula>
    </cfRule>
    <cfRule type="cellIs" dxfId="7689" priority="267" operator="greaterThan">
      <formula>0</formula>
    </cfRule>
  </conditionalFormatting>
  <conditionalFormatting sqref="M14">
    <cfRule type="cellIs" dxfId="7688" priority="256" operator="equal">
      <formula>"PMS"</formula>
    </cfRule>
    <cfRule type="containsText" dxfId="7687" priority="257" operator="containsText" text="CMS">
      <formula>NOT(ISERROR(SEARCH("CMS",M14)))</formula>
    </cfRule>
    <cfRule type="cellIs" dxfId="7686" priority="258" operator="equal">
      <formula>0</formula>
    </cfRule>
    <cfRule type="cellIs" dxfId="7685" priority="259" operator="greaterThan">
      <formula>0</formula>
    </cfRule>
  </conditionalFormatting>
  <conditionalFormatting sqref="N78:N79">
    <cfRule type="cellIs" dxfId="7684" priority="248" operator="equal">
      <formula>"PMS"</formula>
    </cfRule>
    <cfRule type="containsText" dxfId="7683" priority="249" operator="containsText" text="CMS">
      <formula>NOT(ISERROR(SEARCH("CMS",N78)))</formula>
    </cfRule>
    <cfRule type="cellIs" dxfId="7682" priority="250" operator="equal">
      <formula>0</formula>
    </cfRule>
    <cfRule type="cellIs" dxfId="7681" priority="251" operator="greaterThan">
      <formula>0</formula>
    </cfRule>
    <cfRule type="cellIs" dxfId="7680" priority="252" operator="equal">
      <formula>"PMS"</formula>
    </cfRule>
    <cfRule type="containsText" dxfId="7679" priority="253" operator="containsText" text="CMS">
      <formula>NOT(ISERROR(SEARCH("CMS",N78)))</formula>
    </cfRule>
    <cfRule type="cellIs" dxfId="7678" priority="254" operator="equal">
      <formula>0</formula>
    </cfRule>
    <cfRule type="cellIs" dxfId="7677" priority="255" operator="greaterThan">
      <formula>0</formula>
    </cfRule>
  </conditionalFormatting>
  <conditionalFormatting sqref="N78:N79">
    <cfRule type="cellIs" dxfId="7676" priority="244" operator="equal">
      <formula>"PMS"</formula>
    </cfRule>
    <cfRule type="containsText" dxfId="7675" priority="245" operator="containsText" text="CMS">
      <formula>NOT(ISERROR(SEARCH("CMS",N78)))</formula>
    </cfRule>
    <cfRule type="cellIs" dxfId="7674" priority="246" operator="equal">
      <formula>0</formula>
    </cfRule>
    <cfRule type="cellIs" dxfId="7673" priority="247" operator="greaterThan">
      <formula>0</formula>
    </cfRule>
  </conditionalFormatting>
  <conditionalFormatting sqref="P64">
    <cfRule type="cellIs" dxfId="7672" priority="152" operator="equal">
      <formula>"PMS"</formula>
    </cfRule>
    <cfRule type="containsText" dxfId="7671" priority="153" operator="containsText" text="CMS">
      <formula>NOT(ISERROR(SEARCH("CMS",P64)))</formula>
    </cfRule>
    <cfRule type="cellIs" dxfId="7670" priority="154" operator="equal">
      <formula>0</formula>
    </cfRule>
    <cfRule type="cellIs" dxfId="7669" priority="155" operator="greaterThan">
      <formula>0</formula>
    </cfRule>
    <cfRule type="cellIs" dxfId="7668" priority="156" operator="equal">
      <formula>"PMS"</formula>
    </cfRule>
    <cfRule type="containsText" dxfId="7667" priority="157" operator="containsText" text="CMS">
      <formula>NOT(ISERROR(SEARCH("CMS",P64)))</formula>
    </cfRule>
    <cfRule type="cellIs" dxfId="7666" priority="158" operator="equal">
      <formula>0</formula>
    </cfRule>
    <cfRule type="cellIs" dxfId="7665" priority="159" operator="greaterThan">
      <formula>0</formula>
    </cfRule>
  </conditionalFormatting>
  <conditionalFormatting sqref="P64">
    <cfRule type="cellIs" dxfId="7664" priority="148" operator="equal">
      <formula>"PMS"</formula>
    </cfRule>
    <cfRule type="containsText" dxfId="7663" priority="149" operator="containsText" text="CMS">
      <formula>NOT(ISERROR(SEARCH("CMS",P64)))</formula>
    </cfRule>
    <cfRule type="cellIs" dxfId="7662" priority="150" operator="equal">
      <formula>0</formula>
    </cfRule>
    <cfRule type="cellIs" dxfId="7661" priority="151" operator="greaterThan">
      <formula>0</formula>
    </cfRule>
  </conditionalFormatting>
  <conditionalFormatting sqref="T28">
    <cfRule type="cellIs" dxfId="7660" priority="140" operator="equal">
      <formula>"PMS"</formula>
    </cfRule>
    <cfRule type="containsText" dxfId="7659" priority="141" operator="containsText" text="CMS">
      <formula>NOT(ISERROR(SEARCH("CMS",T28)))</formula>
    </cfRule>
    <cfRule type="cellIs" dxfId="7658" priority="142" operator="equal">
      <formula>0</formula>
    </cfRule>
    <cfRule type="cellIs" dxfId="7657" priority="143" operator="greaterThan">
      <formula>0</formula>
    </cfRule>
    <cfRule type="cellIs" dxfId="7656" priority="144" operator="equal">
      <formula>"PMS"</formula>
    </cfRule>
    <cfRule type="containsText" dxfId="7655" priority="145" operator="containsText" text="CMS">
      <formula>NOT(ISERROR(SEARCH("CMS",T28)))</formula>
    </cfRule>
    <cfRule type="cellIs" dxfId="7654" priority="146" operator="equal">
      <formula>0</formula>
    </cfRule>
    <cfRule type="cellIs" dxfId="7653" priority="147" operator="greaterThan">
      <formula>0</formula>
    </cfRule>
  </conditionalFormatting>
  <conditionalFormatting sqref="T28">
    <cfRule type="cellIs" dxfId="7652" priority="136" operator="equal">
      <formula>"PMS"</formula>
    </cfRule>
    <cfRule type="containsText" dxfId="7651" priority="137" operator="containsText" text="CMS">
      <formula>NOT(ISERROR(SEARCH("CMS",T28)))</formula>
    </cfRule>
    <cfRule type="cellIs" dxfId="7650" priority="138" operator="equal">
      <formula>0</formula>
    </cfRule>
    <cfRule type="cellIs" dxfId="7649" priority="139" operator="greaterThan">
      <formula>0</formula>
    </cfRule>
  </conditionalFormatting>
  <conditionalFormatting sqref="T78">
    <cfRule type="cellIs" dxfId="7648" priority="128" operator="equal">
      <formula>"PMS"</formula>
    </cfRule>
    <cfRule type="containsText" dxfId="7647" priority="129" operator="containsText" text="CMS">
      <formula>NOT(ISERROR(SEARCH("CMS",T78)))</formula>
    </cfRule>
    <cfRule type="cellIs" dxfId="7646" priority="130" operator="equal">
      <formula>0</formula>
    </cfRule>
    <cfRule type="cellIs" dxfId="7645" priority="131" operator="greaterThan">
      <formula>0</formula>
    </cfRule>
    <cfRule type="cellIs" dxfId="7644" priority="132" operator="equal">
      <formula>"PMS"</formula>
    </cfRule>
    <cfRule type="containsText" dxfId="7643" priority="133" operator="containsText" text="CMS">
      <formula>NOT(ISERROR(SEARCH("CMS",T78)))</formula>
    </cfRule>
    <cfRule type="cellIs" dxfId="7642" priority="134" operator="equal">
      <formula>0</formula>
    </cfRule>
    <cfRule type="cellIs" dxfId="7641" priority="135" operator="greaterThan">
      <formula>0</formula>
    </cfRule>
  </conditionalFormatting>
  <conditionalFormatting sqref="T78">
    <cfRule type="cellIs" dxfId="7640" priority="124" operator="equal">
      <formula>"PMS"</formula>
    </cfRule>
    <cfRule type="containsText" dxfId="7639" priority="125" operator="containsText" text="CMS">
      <formula>NOT(ISERROR(SEARCH("CMS",T78)))</formula>
    </cfRule>
    <cfRule type="cellIs" dxfId="7638" priority="126" operator="equal">
      <formula>0</formula>
    </cfRule>
    <cfRule type="cellIs" dxfId="7637" priority="127" operator="greaterThan">
      <formula>0</formula>
    </cfRule>
  </conditionalFormatting>
  <conditionalFormatting sqref="Z79">
    <cfRule type="cellIs" dxfId="7636" priority="116" operator="equal">
      <formula>"PMS"</formula>
    </cfRule>
    <cfRule type="containsText" dxfId="7635" priority="117" operator="containsText" text="CMS">
      <formula>NOT(ISERROR(SEARCH("CMS",Z79)))</formula>
    </cfRule>
    <cfRule type="cellIs" dxfId="7634" priority="118" operator="equal">
      <formula>0</formula>
    </cfRule>
    <cfRule type="cellIs" dxfId="7633" priority="119" operator="greaterThan">
      <formula>0</formula>
    </cfRule>
    <cfRule type="cellIs" dxfId="7632" priority="120" operator="equal">
      <formula>"PMS"</formula>
    </cfRule>
    <cfRule type="containsText" dxfId="7631" priority="121" operator="containsText" text="CMS">
      <formula>NOT(ISERROR(SEARCH("CMS",Z79)))</formula>
    </cfRule>
    <cfRule type="cellIs" dxfId="7630" priority="122" operator="equal">
      <formula>0</formula>
    </cfRule>
    <cfRule type="cellIs" dxfId="7629" priority="123" operator="greaterThan">
      <formula>0</formula>
    </cfRule>
  </conditionalFormatting>
  <conditionalFormatting sqref="Z79">
    <cfRule type="cellIs" dxfId="7628" priority="112" operator="equal">
      <formula>"PMS"</formula>
    </cfRule>
    <cfRule type="containsText" dxfId="7627" priority="113" operator="containsText" text="CMS">
      <formula>NOT(ISERROR(SEARCH("CMS",Z79)))</formula>
    </cfRule>
    <cfRule type="cellIs" dxfId="7626" priority="114" operator="equal">
      <formula>0</formula>
    </cfRule>
    <cfRule type="cellIs" dxfId="7625" priority="115" operator="greaterThan">
      <formula>0</formula>
    </cfRule>
  </conditionalFormatting>
  <conditionalFormatting sqref="F36:F59 F13:F16 F62:F64">
    <cfRule type="cellIs" dxfId="7624" priority="56" operator="equal">
      <formula>"PMS"</formula>
    </cfRule>
    <cfRule type="containsText" dxfId="7623" priority="57" operator="containsText" text="CMS">
      <formula>NOT(ISERROR(SEARCH("CMS",F13)))</formula>
    </cfRule>
    <cfRule type="cellIs" dxfId="7622" priority="58" operator="equal">
      <formula>0</formula>
    </cfRule>
    <cfRule type="cellIs" dxfId="7621" priority="59" operator="greaterThan">
      <formula>0</formula>
    </cfRule>
    <cfRule type="cellIs" dxfId="7620" priority="60" operator="equal">
      <formula>"PMS"</formula>
    </cfRule>
    <cfRule type="containsText" dxfId="7619" priority="61" operator="containsText" text="CMS">
      <formula>NOT(ISERROR(SEARCH("CMS",F13)))</formula>
    </cfRule>
    <cfRule type="cellIs" dxfId="7618" priority="62" operator="equal">
      <formula>0</formula>
    </cfRule>
    <cfRule type="cellIs" dxfId="7617" priority="63" operator="greaterThan">
      <formula>0</formula>
    </cfRule>
  </conditionalFormatting>
  <conditionalFormatting sqref="F36:F59 F13:F16 F62:F64">
    <cfRule type="cellIs" dxfId="7616" priority="52" operator="equal">
      <formula>"PMS"</formula>
    </cfRule>
    <cfRule type="containsText" dxfId="7615" priority="53" operator="containsText" text="CMS">
      <formula>NOT(ISERROR(SEARCH("CMS",F13)))</formula>
    </cfRule>
    <cfRule type="cellIs" dxfId="7614" priority="54" operator="equal">
      <formula>0</formula>
    </cfRule>
    <cfRule type="cellIs" dxfId="7613" priority="55" operator="greaterThan">
      <formula>0</formula>
    </cfRule>
  </conditionalFormatting>
  <conditionalFormatting sqref="F67:F75">
    <cfRule type="cellIs" dxfId="7612" priority="44" operator="equal">
      <formula>"PMS"</formula>
    </cfRule>
    <cfRule type="containsText" dxfId="7611" priority="45" operator="containsText" text="CMS">
      <formula>NOT(ISERROR(SEARCH("CMS",F67)))</formula>
    </cfRule>
    <cfRule type="cellIs" dxfId="7610" priority="46" operator="equal">
      <formula>0</formula>
    </cfRule>
    <cfRule type="cellIs" dxfId="7609" priority="47" operator="greaterThan">
      <formula>0</formula>
    </cfRule>
    <cfRule type="cellIs" dxfId="7608" priority="48" operator="equal">
      <formula>"PMS"</formula>
    </cfRule>
    <cfRule type="containsText" dxfId="7607" priority="49" operator="containsText" text="CMS">
      <formula>NOT(ISERROR(SEARCH("CMS",F67)))</formula>
    </cfRule>
    <cfRule type="cellIs" dxfId="7606" priority="50" operator="equal">
      <formula>0</formula>
    </cfRule>
    <cfRule type="cellIs" dxfId="7605" priority="51" operator="greaterThan">
      <formula>0</formula>
    </cfRule>
  </conditionalFormatting>
  <conditionalFormatting sqref="F67:F75">
    <cfRule type="cellIs" dxfId="7604" priority="40" operator="equal">
      <formula>"PMS"</formula>
    </cfRule>
    <cfRule type="containsText" dxfId="7603" priority="41" operator="containsText" text="CMS">
      <formula>NOT(ISERROR(SEARCH("CMS",F67)))</formula>
    </cfRule>
    <cfRule type="cellIs" dxfId="7602" priority="42" operator="equal">
      <formula>0</formula>
    </cfRule>
    <cfRule type="cellIs" dxfId="7601" priority="43" operator="greaterThan">
      <formula>0</formula>
    </cfRule>
  </conditionalFormatting>
  <conditionalFormatting sqref="F82">
    <cfRule type="cellIs" dxfId="7600" priority="32" operator="equal">
      <formula>"PMS"</formula>
    </cfRule>
    <cfRule type="containsText" dxfId="7599" priority="33" operator="containsText" text="CMS">
      <formula>NOT(ISERROR(SEARCH("CMS",F82)))</formula>
    </cfRule>
    <cfRule type="cellIs" dxfId="7598" priority="34" operator="equal">
      <formula>0</formula>
    </cfRule>
    <cfRule type="cellIs" dxfId="7597" priority="35" operator="greaterThan">
      <formula>0</formula>
    </cfRule>
    <cfRule type="cellIs" dxfId="7596" priority="36" operator="equal">
      <formula>"PMS"</formula>
    </cfRule>
    <cfRule type="containsText" dxfId="7595" priority="37" operator="containsText" text="CMS">
      <formula>NOT(ISERROR(SEARCH("CMS",F82)))</formula>
    </cfRule>
    <cfRule type="cellIs" dxfId="7594" priority="38" operator="equal">
      <formula>0</formula>
    </cfRule>
    <cfRule type="cellIs" dxfId="7593" priority="39" operator="greaterThan">
      <formula>0</formula>
    </cfRule>
  </conditionalFormatting>
  <conditionalFormatting sqref="F82">
    <cfRule type="cellIs" dxfId="7592" priority="28" operator="equal">
      <formula>"PMS"</formula>
    </cfRule>
    <cfRule type="containsText" dxfId="7591" priority="29" operator="containsText" text="CMS">
      <formula>NOT(ISERROR(SEARCH("CMS",F82)))</formula>
    </cfRule>
    <cfRule type="cellIs" dxfId="7590" priority="30" operator="equal">
      <formula>0</formula>
    </cfRule>
    <cfRule type="cellIs" dxfId="7589" priority="31" operator="greaterThan">
      <formula>0</formula>
    </cfRule>
  </conditionalFormatting>
  <conditionalFormatting sqref="F19:F21 F24 F28:F30 F78:F79 F33">
    <cfRule type="cellIs" dxfId="7588" priority="20" operator="equal">
      <formula>"PMS"</formula>
    </cfRule>
    <cfRule type="containsText" dxfId="7587" priority="21" operator="containsText" text="CMS">
      <formula>NOT(ISERROR(SEARCH("CMS",F19)))</formula>
    </cfRule>
    <cfRule type="cellIs" dxfId="7586" priority="22" operator="equal">
      <formula>0</formula>
    </cfRule>
    <cfRule type="cellIs" dxfId="7585" priority="23" operator="greaterThan">
      <formula>0</formula>
    </cfRule>
    <cfRule type="cellIs" dxfId="7584" priority="24" operator="equal">
      <formula>"PMS"</formula>
    </cfRule>
    <cfRule type="containsText" dxfId="7583" priority="25" operator="containsText" text="CMS">
      <formula>NOT(ISERROR(SEARCH("CMS",F19)))</formula>
    </cfRule>
    <cfRule type="cellIs" dxfId="7582" priority="26" operator="equal">
      <formula>0</formula>
    </cfRule>
    <cfRule type="cellIs" dxfId="7581" priority="27" operator="greaterThan">
      <formula>0</formula>
    </cfRule>
  </conditionalFormatting>
  <conditionalFormatting sqref="F19:F21 F24 F28:F30 F78:F79 F33">
    <cfRule type="cellIs" dxfId="7580" priority="16" operator="equal">
      <formula>"PMS"</formula>
    </cfRule>
    <cfRule type="containsText" dxfId="7579" priority="17" operator="containsText" text="CMS">
      <formula>NOT(ISERROR(SEARCH("CMS",F19)))</formula>
    </cfRule>
    <cfRule type="cellIs" dxfId="7578" priority="18" operator="equal">
      <formula>0</formula>
    </cfRule>
    <cfRule type="cellIs" dxfId="7577" priority="19" operator="greaterThan">
      <formula>0</formula>
    </cfRule>
  </conditionalFormatting>
  <conditionalFormatting sqref="F27">
    <cfRule type="cellIs" dxfId="7576" priority="8" operator="equal">
      <formula>"PMS"</formula>
    </cfRule>
    <cfRule type="containsText" dxfId="7575" priority="9" operator="containsText" text="CMS">
      <formula>NOT(ISERROR(SEARCH("CMS",F27)))</formula>
    </cfRule>
    <cfRule type="cellIs" dxfId="7574" priority="10" operator="equal">
      <formula>0</formula>
    </cfRule>
    <cfRule type="cellIs" dxfId="7573" priority="11" operator="greaterThan">
      <formula>0</formula>
    </cfRule>
    <cfRule type="cellIs" dxfId="7572" priority="12" operator="equal">
      <formula>"PMS"</formula>
    </cfRule>
    <cfRule type="containsText" dxfId="7571" priority="13" operator="containsText" text="CMS">
      <formula>NOT(ISERROR(SEARCH("CMS",F27)))</formula>
    </cfRule>
    <cfRule type="cellIs" dxfId="7570" priority="14" operator="equal">
      <formula>0</formula>
    </cfRule>
    <cfRule type="cellIs" dxfId="7569" priority="15" operator="greaterThan">
      <formula>0</formula>
    </cfRule>
  </conditionalFormatting>
  <conditionalFormatting sqref="F27">
    <cfRule type="cellIs" dxfId="7568" priority="4" operator="equal">
      <formula>"PMS"</formula>
    </cfRule>
    <cfRule type="containsText" dxfId="7567" priority="5" operator="containsText" text="CMS">
      <formula>NOT(ISERROR(SEARCH("CMS",F27)))</formula>
    </cfRule>
    <cfRule type="cellIs" dxfId="7566" priority="6" operator="equal">
      <formula>0</formula>
    </cfRule>
    <cfRule type="cellIs" dxfId="7565" priority="7" operator="greaterThan">
      <formula>0</formula>
    </cfRule>
  </conditionalFormatting>
  <conditionalFormatting sqref="H111:M111">
    <cfRule type="cellIs" dxfId="7564" priority="3" operator="greaterThan">
      <formula>60.3</formula>
    </cfRule>
  </conditionalFormatting>
  <conditionalFormatting sqref="F111:G111">
    <cfRule type="cellIs" dxfId="7563" priority="2" operator="greaterThan">
      <formula>60.3</formula>
    </cfRule>
  </conditionalFormatting>
  <conditionalFormatting sqref="N111:AC111">
    <cfRule type="cellIs" dxfId="756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65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51C68-C171-4DF2-9BA2-162A4E062B65}">
  <sheetPr codeName="Sheet242"/>
  <dimension ref="A2:DT141"/>
  <sheetViews>
    <sheetView zoomScale="70" zoomScaleNormal="70" workbookViewId="0">
      <pane xSplit="5" ySplit="11" topLeftCell="F23" activePane="bottomRight" state="frozen"/>
      <selection pane="bottomRight" activeCell="T48" sqref="T4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414.49999999999983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6.9</v>
      </c>
      <c r="H14" s="357">
        <v>6.9</v>
      </c>
      <c r="I14" s="357">
        <v>6.7</v>
      </c>
      <c r="J14" s="357">
        <v>6.7</v>
      </c>
      <c r="K14" s="357">
        <v>6.5</v>
      </c>
      <c r="L14" s="357">
        <v>6.7</v>
      </c>
      <c r="M14" s="357" t="s">
        <v>9</v>
      </c>
      <c r="N14" s="357"/>
      <c r="O14" s="357">
        <v>1.5</v>
      </c>
      <c r="P14" s="357">
        <v>6.6</v>
      </c>
      <c r="Q14" s="357">
        <v>6.7</v>
      </c>
      <c r="R14" s="357">
        <v>6.5</v>
      </c>
      <c r="S14" s="462">
        <v>6.8</v>
      </c>
      <c r="T14" s="462">
        <v>6.8</v>
      </c>
      <c r="U14" s="357">
        <v>6.7</v>
      </c>
      <c r="V14" s="357">
        <v>6.5</v>
      </c>
      <c r="W14" s="357">
        <v>6.6</v>
      </c>
      <c r="X14" s="357">
        <v>6.7</v>
      </c>
      <c r="Y14" s="357">
        <v>6.5</v>
      </c>
      <c r="Z14" s="462">
        <v>6.7</v>
      </c>
      <c r="AA14" s="462">
        <v>6.7</v>
      </c>
      <c r="AB14" s="462">
        <v>6.7</v>
      </c>
      <c r="AC14" s="357">
        <v>6.7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6.4</v>
      </c>
      <c r="G15" s="357">
        <v>6.9</v>
      </c>
      <c r="H15" s="357">
        <v>6.9</v>
      </c>
      <c r="I15" s="357">
        <v>6.7</v>
      </c>
      <c r="J15" s="357">
        <v>6.7</v>
      </c>
      <c r="K15" s="359">
        <v>6.5</v>
      </c>
      <c r="L15" s="359">
        <v>6.7</v>
      </c>
      <c r="M15" s="359">
        <v>6.7</v>
      </c>
      <c r="N15" s="357">
        <v>6.7</v>
      </c>
      <c r="O15" s="357">
        <v>6.5</v>
      </c>
      <c r="P15" s="357">
        <v>6.6</v>
      </c>
      <c r="Q15" s="357">
        <v>6.7</v>
      </c>
      <c r="R15" s="357">
        <v>6.5</v>
      </c>
      <c r="S15" s="462">
        <v>6.8</v>
      </c>
      <c r="T15" s="462">
        <v>6.8</v>
      </c>
      <c r="U15" s="357">
        <v>6.7</v>
      </c>
      <c r="V15" s="462">
        <v>6.5</v>
      </c>
      <c r="W15" s="357">
        <v>6.6</v>
      </c>
      <c r="X15" s="357">
        <v>6.7</v>
      </c>
      <c r="Y15" s="357">
        <v>6.5</v>
      </c>
      <c r="Z15" s="462">
        <v>6.7</v>
      </c>
      <c r="AA15" s="462">
        <v>6.7</v>
      </c>
      <c r="AB15" s="462">
        <v>6.7</v>
      </c>
      <c r="AC15" s="46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 t="s">
        <v>9</v>
      </c>
      <c r="G16" s="357" t="s">
        <v>9</v>
      </c>
      <c r="H16" s="357" t="s">
        <v>9</v>
      </c>
      <c r="I16" s="357" t="s">
        <v>9</v>
      </c>
      <c r="J16" s="357" t="s">
        <v>9</v>
      </c>
      <c r="K16" s="359" t="s">
        <v>9</v>
      </c>
      <c r="L16" s="359" t="s">
        <v>9</v>
      </c>
      <c r="M16" s="357">
        <v>6.7</v>
      </c>
      <c r="N16" s="359">
        <v>6.7</v>
      </c>
      <c r="O16" s="357">
        <v>6.5</v>
      </c>
      <c r="P16" s="357">
        <v>6.6</v>
      </c>
      <c r="Q16" s="357">
        <v>6.7</v>
      </c>
      <c r="R16" s="357">
        <v>6.5</v>
      </c>
      <c r="S16" s="462">
        <v>6.8</v>
      </c>
      <c r="T16" s="462">
        <v>6.8</v>
      </c>
      <c r="U16" s="357">
        <v>6.7</v>
      </c>
      <c r="V16" s="462">
        <v>6.5</v>
      </c>
      <c r="W16" s="357">
        <v>6.6</v>
      </c>
      <c r="X16" s="357">
        <v>6.7</v>
      </c>
      <c r="Y16" s="357">
        <v>6.5</v>
      </c>
      <c r="Z16" s="462">
        <v>6.7</v>
      </c>
      <c r="AA16" s="462">
        <v>6.7</v>
      </c>
      <c r="AB16" s="462">
        <v>6.7</v>
      </c>
      <c r="AC16" s="357">
        <v>6.7</v>
      </c>
      <c r="AD16" s="41"/>
      <c r="AE16" s="41"/>
      <c r="AF16" s="11">
        <f>COUNTIF(F16:AC16,$AJ$8)</f>
        <v>7</v>
      </c>
      <c r="AG16" s="11">
        <f>COUNTIF(G16:AD16,$AJ$7)</f>
        <v>0</v>
      </c>
      <c r="AH16" s="11">
        <f>COUNT(F16:AC16)</f>
        <v>17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13.8</v>
      </c>
      <c r="H17" s="19">
        <f t="shared" si="1"/>
        <v>13.8</v>
      </c>
      <c r="I17" s="19">
        <f t="shared" si="1"/>
        <v>13.4</v>
      </c>
      <c r="J17" s="19">
        <f t="shared" si="1"/>
        <v>13.4</v>
      </c>
      <c r="K17" s="19">
        <f t="shared" si="1"/>
        <v>13</v>
      </c>
      <c r="L17" s="19">
        <f t="shared" si="1"/>
        <v>13.4</v>
      </c>
      <c r="M17" s="19">
        <f t="shared" si="1"/>
        <v>13.4</v>
      </c>
      <c r="N17" s="19">
        <f t="shared" si="1"/>
        <v>13.4</v>
      </c>
      <c r="O17" s="19">
        <f t="shared" si="1"/>
        <v>14.5</v>
      </c>
      <c r="P17" s="19">
        <f t="shared" si="1"/>
        <v>19.799999999999997</v>
      </c>
      <c r="Q17" s="19">
        <f t="shared" si="1"/>
        <v>20.100000000000001</v>
      </c>
      <c r="R17" s="19">
        <f t="shared" si="1"/>
        <v>19.5</v>
      </c>
      <c r="S17" s="463">
        <f t="shared" si="1"/>
        <v>20.399999999999999</v>
      </c>
      <c r="T17" s="463">
        <f t="shared" si="1"/>
        <v>20.399999999999999</v>
      </c>
      <c r="U17" s="19">
        <f t="shared" si="1"/>
        <v>20.100000000000001</v>
      </c>
      <c r="V17" s="19">
        <f t="shared" si="1"/>
        <v>19.5</v>
      </c>
      <c r="W17" s="19">
        <f t="shared" si="1"/>
        <v>19.799999999999997</v>
      </c>
      <c r="X17" s="19">
        <f t="shared" si="1"/>
        <v>20.100000000000001</v>
      </c>
      <c r="Y17" s="19">
        <f t="shared" si="1"/>
        <v>19.5</v>
      </c>
      <c r="Z17" s="463">
        <f t="shared" si="1"/>
        <v>20.100000000000001</v>
      </c>
      <c r="AA17" s="463">
        <f t="shared" si="1"/>
        <v>20.100000000000001</v>
      </c>
      <c r="AB17" s="463">
        <f>SUM(AB13:AB16)</f>
        <v>20.100000000000001</v>
      </c>
      <c r="AC17" s="19">
        <f t="shared" si="1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25.8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/>
      <c r="P19" s="357"/>
      <c r="Q19" s="357">
        <v>2</v>
      </c>
      <c r="R19" s="357">
        <v>2</v>
      </c>
      <c r="S19" s="462">
        <v>2.8</v>
      </c>
      <c r="T19" s="462">
        <v>2.8</v>
      </c>
      <c r="U19" s="357">
        <v>2.8</v>
      </c>
      <c r="V19" s="357">
        <v>2.8</v>
      </c>
      <c r="W19" s="357">
        <v>2</v>
      </c>
      <c r="X19" s="357">
        <v>1.5</v>
      </c>
      <c r="Y19" s="357">
        <v>1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9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>
        <v>1.3</v>
      </c>
      <c r="Y21" s="357">
        <v>1.8</v>
      </c>
      <c r="Z21" s="357">
        <v>3</v>
      </c>
      <c r="AA21" s="357"/>
      <c r="AB21" s="357"/>
      <c r="AC21" s="357"/>
      <c r="AD21" s="41"/>
      <c r="AE21" s="41"/>
      <c r="AF21" s="11">
        <f>COUNTIF(F21:AC21,$AJ$8)</f>
        <v>18</v>
      </c>
      <c r="AG21" s="11">
        <f>COUNTIF(G21:AD21,$AJ$7)</f>
        <v>0</v>
      </c>
      <c r="AH21" s="11">
        <f>COUNT(F21:AC21)</f>
        <v>3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2</v>
      </c>
      <c r="R22" s="19">
        <f t="shared" si="3"/>
        <v>2</v>
      </c>
      <c r="S22" s="463">
        <f>SUM(S19:S21)</f>
        <v>2.8</v>
      </c>
      <c r="T22" s="463">
        <f t="shared" ref="T22" si="4">SUM(T19:T21)</f>
        <v>2.8</v>
      </c>
      <c r="U22" s="19">
        <f t="shared" si="3"/>
        <v>2.8</v>
      </c>
      <c r="V22" s="19">
        <f t="shared" si="3"/>
        <v>2.8</v>
      </c>
      <c r="W22" s="19">
        <f t="shared" si="3"/>
        <v>2</v>
      </c>
      <c r="X22" s="19">
        <f t="shared" si="3"/>
        <v>2.8</v>
      </c>
      <c r="Y22" s="19">
        <f t="shared" si="3"/>
        <v>2.8</v>
      </c>
      <c r="Z22" s="463">
        <f>SUM(Z19:Z21)</f>
        <v>3</v>
      </c>
      <c r="AA22" s="463">
        <f t="shared" si="3"/>
        <v>0</v>
      </c>
      <c r="AB22" s="463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10.3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>
        <v>3.5</v>
      </c>
      <c r="Z24" s="357">
        <v>3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463">
        <f t="shared" si="6"/>
        <v>0</v>
      </c>
      <c r="T25" s="463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3.5</v>
      </c>
      <c r="Z25" s="463">
        <f t="shared" si="6"/>
        <v>3</v>
      </c>
      <c r="AA25" s="463">
        <f t="shared" si="6"/>
        <v>3.8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56.6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2</v>
      </c>
      <c r="O27" s="357">
        <v>3.8</v>
      </c>
      <c r="P27" s="357">
        <v>3.9</v>
      </c>
      <c r="Q27" s="357">
        <v>3.5</v>
      </c>
      <c r="R27" s="357">
        <v>3.5</v>
      </c>
      <c r="S27" s="462">
        <v>3.8</v>
      </c>
      <c r="T27" s="462">
        <v>3.8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/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2"/>
      <c r="T28" s="462"/>
      <c r="U28" s="359">
        <v>3.8</v>
      </c>
      <c r="V28" s="359">
        <v>3.8</v>
      </c>
      <c r="W28" s="357">
        <v>3.8</v>
      </c>
      <c r="X28" s="357">
        <v>3.8</v>
      </c>
      <c r="Y28" s="357">
        <v>3.7</v>
      </c>
      <c r="Z28" s="357">
        <v>2.5</v>
      </c>
      <c r="AA28" s="357">
        <v>3.7</v>
      </c>
      <c r="AB28" s="357">
        <v>3.7</v>
      </c>
      <c r="AC28" s="357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145.9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7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7">
        <v>5.6</v>
      </c>
      <c r="H30" s="357">
        <v>3.7</v>
      </c>
      <c r="I30" s="357">
        <v>3.5</v>
      </c>
      <c r="J30" s="357">
        <v>3.5</v>
      </c>
      <c r="K30" s="357">
        <v>2.8</v>
      </c>
      <c r="L30" s="357">
        <v>2.8</v>
      </c>
      <c r="M30" s="357">
        <v>6.8</v>
      </c>
      <c r="N30" s="357">
        <v>7</v>
      </c>
      <c r="O30" s="357">
        <v>7</v>
      </c>
      <c r="P30" s="357">
        <v>7</v>
      </c>
      <c r="Q30" s="357">
        <v>6.8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6.9</v>
      </c>
      <c r="Z30" s="357">
        <v>7</v>
      </c>
      <c r="AA30" s="357">
        <v>7</v>
      </c>
      <c r="AB30" s="359">
        <v>7</v>
      </c>
      <c r="AC30" s="359">
        <v>5.5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8.5</v>
      </c>
      <c r="G31" s="19">
        <f>SUM(G27:G30)</f>
        <v>5.6</v>
      </c>
      <c r="H31" s="19">
        <f>SUM(H27:H30)</f>
        <v>3.7</v>
      </c>
      <c r="I31" s="19">
        <f t="shared" ref="I31:X31" si="8">SUM(I27:I30)</f>
        <v>3.5</v>
      </c>
      <c r="J31" s="19">
        <f t="shared" si="8"/>
        <v>3.5</v>
      </c>
      <c r="K31" s="19">
        <f t="shared" si="8"/>
        <v>2.8</v>
      </c>
      <c r="L31" s="19">
        <f t="shared" si="8"/>
        <v>2.8</v>
      </c>
      <c r="M31" s="19">
        <f t="shared" si="8"/>
        <v>6.8</v>
      </c>
      <c r="N31" s="19">
        <f t="shared" si="8"/>
        <v>9</v>
      </c>
      <c r="O31" s="19">
        <f t="shared" si="8"/>
        <v>10.8</v>
      </c>
      <c r="P31" s="19">
        <f t="shared" si="8"/>
        <v>10.9</v>
      </c>
      <c r="Q31" s="19">
        <f t="shared" si="8"/>
        <v>10.3</v>
      </c>
      <c r="R31" s="19">
        <f t="shared" si="8"/>
        <v>10.5</v>
      </c>
      <c r="S31" s="463">
        <f t="shared" si="8"/>
        <v>10.8</v>
      </c>
      <c r="T31" s="463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10.8</v>
      </c>
      <c r="X31" s="19">
        <f t="shared" si="8"/>
        <v>10.8</v>
      </c>
      <c r="Y31" s="19">
        <f>SUM(Y27:Y30)</f>
        <v>10.600000000000001</v>
      </c>
      <c r="Z31" s="19">
        <f t="shared" ref="Z31:AC31" si="9">SUM(Z27:Z30)</f>
        <v>9.5</v>
      </c>
      <c r="AA31" s="19">
        <f t="shared" si="9"/>
        <v>10.7</v>
      </c>
      <c r="AB31" s="19">
        <f t="shared" si="9"/>
        <v>10.7</v>
      </c>
      <c r="AC31" s="19">
        <f t="shared" si="9"/>
        <v>7.5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340.77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14.26</v>
      </c>
      <c r="H33" s="357">
        <v>14.31</v>
      </c>
      <c r="I33" s="359">
        <v>13.79</v>
      </c>
      <c r="J33" s="357">
        <v>13.26</v>
      </c>
      <c r="K33" s="357">
        <v>14.18</v>
      </c>
      <c r="L33" s="359">
        <v>14.21</v>
      </c>
      <c r="M33" s="357">
        <v>14.25</v>
      </c>
      <c r="N33" s="357">
        <v>14.28</v>
      </c>
      <c r="O33" s="357">
        <v>14.27</v>
      </c>
      <c r="P33" s="357">
        <v>14.26</v>
      </c>
      <c r="Q33" s="359">
        <v>14.27</v>
      </c>
      <c r="R33" s="357">
        <v>14.25</v>
      </c>
      <c r="S33" s="462">
        <v>14.26</v>
      </c>
      <c r="T33" s="462">
        <v>14.26</v>
      </c>
      <c r="U33" s="357">
        <v>14.25</v>
      </c>
      <c r="V33" s="359">
        <v>14.26</v>
      </c>
      <c r="W33" s="357">
        <v>14.27</v>
      </c>
      <c r="X33" s="357">
        <v>14.27</v>
      </c>
      <c r="Y33" s="357">
        <v>14.26</v>
      </c>
      <c r="Z33" s="357">
        <v>14.28</v>
      </c>
      <c r="AA33" s="357">
        <v>14.27</v>
      </c>
      <c r="AB33" s="357">
        <v>14.3</v>
      </c>
      <c r="AC33" s="357">
        <v>14.22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14.26</v>
      </c>
      <c r="H34" s="19">
        <f t="shared" si="11"/>
        <v>14.31</v>
      </c>
      <c r="I34" s="19">
        <f t="shared" si="11"/>
        <v>13.79</v>
      </c>
      <c r="J34" s="19">
        <f t="shared" si="11"/>
        <v>13.26</v>
      </c>
      <c r="K34" s="19">
        <f t="shared" si="11"/>
        <v>14.18</v>
      </c>
      <c r="L34" s="19">
        <f t="shared" si="11"/>
        <v>14.21</v>
      </c>
      <c r="M34" s="19">
        <f t="shared" si="11"/>
        <v>14.25</v>
      </c>
      <c r="N34" s="19">
        <f t="shared" si="11"/>
        <v>14.28</v>
      </c>
      <c r="O34" s="19">
        <f t="shared" si="11"/>
        <v>14.27</v>
      </c>
      <c r="P34" s="19">
        <f t="shared" si="11"/>
        <v>14.26</v>
      </c>
      <c r="Q34" s="19">
        <f t="shared" si="11"/>
        <v>14.27</v>
      </c>
      <c r="R34" s="19">
        <f t="shared" si="11"/>
        <v>14.25</v>
      </c>
      <c r="S34" s="19">
        <f t="shared" si="11"/>
        <v>14.26</v>
      </c>
      <c r="T34" s="463">
        <f t="shared" si="11"/>
        <v>14.26</v>
      </c>
      <c r="U34" s="19">
        <f t="shared" si="11"/>
        <v>14.25</v>
      </c>
      <c r="V34" s="19">
        <f t="shared" si="11"/>
        <v>14.26</v>
      </c>
      <c r="W34" s="19">
        <f t="shared" si="11"/>
        <v>14.27</v>
      </c>
      <c r="X34" s="19">
        <f t="shared" si="11"/>
        <v>14.27</v>
      </c>
      <c r="Y34" s="19">
        <f t="shared" si="11"/>
        <v>14.26</v>
      </c>
      <c r="Z34" s="19">
        <f t="shared" si="11"/>
        <v>14.28</v>
      </c>
      <c r="AA34" s="19">
        <f t="shared" si="11"/>
        <v>14.27</v>
      </c>
      <c r="AB34" s="19">
        <f t="shared" si="11"/>
        <v>14.3</v>
      </c>
      <c r="AC34" s="19">
        <f t="shared" si="11"/>
        <v>14.22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7.1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462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0.8</v>
      </c>
      <c r="P47" s="359"/>
      <c r="Q47" s="357"/>
      <c r="R47" s="357"/>
      <c r="S47" s="462"/>
      <c r="T47" s="357">
        <v>0</v>
      </c>
      <c r="U47" s="462">
        <v>0</v>
      </c>
      <c r="V47" s="462">
        <v>0</v>
      </c>
      <c r="W47" s="357">
        <v>0</v>
      </c>
      <c r="X47" s="357">
        <v>0</v>
      </c>
      <c r="Y47" s="357"/>
      <c r="Z47" s="357"/>
      <c r="AA47" s="357"/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6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0.8</v>
      </c>
      <c r="P48" s="359"/>
      <c r="Q48" s="357"/>
      <c r="R48" s="357">
        <v>0</v>
      </c>
      <c r="S48" s="462">
        <v>0</v>
      </c>
      <c r="T48" s="357">
        <v>0</v>
      </c>
      <c r="U48" s="357"/>
      <c r="V48" s="462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9"/>
      <c r="N50" s="359"/>
      <c r="O50" s="359">
        <v>0.8</v>
      </c>
      <c r="P50" s="359"/>
      <c r="Q50" s="357"/>
      <c r="R50" s="357"/>
      <c r="S50" s="462"/>
      <c r="T50" s="357">
        <v>0.75</v>
      </c>
      <c r="U50" s="462"/>
      <c r="V50" s="462"/>
      <c r="W50" s="357"/>
      <c r="X50" s="357"/>
      <c r="Y50" s="357">
        <v>0.8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3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>
        <v>0.8</v>
      </c>
      <c r="P51" s="359"/>
      <c r="Q51" s="357"/>
      <c r="R51" s="357">
        <v>0</v>
      </c>
      <c r="S51" s="462">
        <v>0</v>
      </c>
      <c r="T51" s="357">
        <v>0</v>
      </c>
      <c r="U51" s="357">
        <v>0</v>
      </c>
      <c r="V51" s="462">
        <v>0</v>
      </c>
      <c r="W51" s="357">
        <v>0</v>
      </c>
      <c r="X51" s="357">
        <v>0.8</v>
      </c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8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9">
        <v>0.8</v>
      </c>
      <c r="Q56" s="357">
        <v>0</v>
      </c>
      <c r="R56" s="357">
        <v>0</v>
      </c>
      <c r="S56" s="462">
        <v>0</v>
      </c>
      <c r="T56" s="357">
        <v>0.75</v>
      </c>
      <c r="U56" s="357"/>
      <c r="V56" s="462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5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0</v>
      </c>
      <c r="O60" s="19">
        <f t="shared" si="16"/>
        <v>3.2</v>
      </c>
      <c r="P60" s="19">
        <f t="shared" si="16"/>
        <v>0.8</v>
      </c>
      <c r="Q60" s="19">
        <f t="shared" si="16"/>
        <v>0</v>
      </c>
      <c r="R60" s="19">
        <f t="shared" si="16"/>
        <v>0</v>
      </c>
      <c r="S60" s="19">
        <f t="shared" si="16"/>
        <v>0</v>
      </c>
      <c r="T60" s="19">
        <f t="shared" si="16"/>
        <v>1.5</v>
      </c>
      <c r="U60" s="19">
        <f t="shared" si="16"/>
        <v>0</v>
      </c>
      <c r="V60" s="19">
        <f t="shared" si="16"/>
        <v>0</v>
      </c>
      <c r="W60" s="19">
        <f t="shared" si="16"/>
        <v>0</v>
      </c>
      <c r="X60" s="19">
        <f t="shared" si="16"/>
        <v>0.8</v>
      </c>
      <c r="Y60" s="19">
        <f>SUM(Y36:Y59)</f>
        <v>0.8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26.520000000000007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0.45500000000000002</v>
      </c>
      <c r="G62" s="357"/>
      <c r="H62" s="357"/>
      <c r="I62" s="359"/>
      <c r="J62" s="357"/>
      <c r="K62" s="357"/>
      <c r="L62" s="357"/>
      <c r="M62" s="357">
        <v>0.48499999999999999</v>
      </c>
      <c r="N62" s="357">
        <v>0.5</v>
      </c>
      <c r="O62" s="357">
        <v>0.54</v>
      </c>
      <c r="P62" s="357">
        <f>1.12/2</f>
        <v>0.56000000000000005</v>
      </c>
      <c r="Q62" s="357">
        <f>1.24/2</f>
        <v>0.62</v>
      </c>
      <c r="R62" s="357">
        <v>0.6</v>
      </c>
      <c r="S62" s="357">
        <v>0.6</v>
      </c>
      <c r="T62" s="357">
        <v>0.63</v>
      </c>
      <c r="U62" s="357">
        <v>0.60499999999999998</v>
      </c>
      <c r="V62" s="357">
        <v>0.57999999999999996</v>
      </c>
      <c r="W62" s="357">
        <v>0.56999999999999995</v>
      </c>
      <c r="X62" s="462">
        <f>1.23/2</f>
        <v>0.61499999999999999</v>
      </c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0.45500000000000002</v>
      </c>
      <c r="G63" s="357">
        <v>0.44</v>
      </c>
      <c r="H63" s="357">
        <f>0.83/2</f>
        <v>0.41499999999999998</v>
      </c>
      <c r="I63" s="359">
        <f>0.81/2</f>
        <v>0.40500000000000003</v>
      </c>
      <c r="J63" s="357">
        <f>0.78/2</f>
        <v>0.39</v>
      </c>
      <c r="K63" s="357">
        <f>0.8/2</f>
        <v>0.4</v>
      </c>
      <c r="L63" s="357">
        <v>0.41499999999999998</v>
      </c>
      <c r="M63" s="357"/>
      <c r="N63" s="357"/>
      <c r="O63" s="357"/>
      <c r="P63" s="357"/>
      <c r="Q63" s="357"/>
      <c r="R63" s="357"/>
      <c r="S63" s="357">
        <v>0.6</v>
      </c>
      <c r="T63" s="462">
        <v>0.63</v>
      </c>
      <c r="U63" s="462">
        <v>0.60499999999999998</v>
      </c>
      <c r="V63" s="462">
        <v>0.57999999999999996</v>
      </c>
      <c r="W63" s="462">
        <v>0.56999999999999995</v>
      </c>
      <c r="X63" s="462">
        <f>1.23/2</f>
        <v>0.61499999999999999</v>
      </c>
      <c r="Y63" s="462">
        <v>0.72</v>
      </c>
      <c r="Z63" s="462">
        <f>1.53/2</f>
        <v>0.76500000000000001</v>
      </c>
      <c r="AA63" s="462">
        <f>1.45/2</f>
        <v>0.72499999999999998</v>
      </c>
      <c r="AB63" s="357">
        <f>1.31/2</f>
        <v>0.65500000000000003</v>
      </c>
      <c r="AC63" s="357">
        <f>1.14/2</f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>
        <v>0.44</v>
      </c>
      <c r="H64" s="357">
        <f>0.83/2</f>
        <v>0.41499999999999998</v>
      </c>
      <c r="I64" s="359">
        <f>0.81/2</f>
        <v>0.40500000000000003</v>
      </c>
      <c r="J64" s="357">
        <f>0.78/2</f>
        <v>0.39</v>
      </c>
      <c r="K64" s="357">
        <f>0.8/2</f>
        <v>0.4</v>
      </c>
      <c r="L64" s="357">
        <v>0.41499999999999998</v>
      </c>
      <c r="M64" s="357">
        <v>0.48499999999999999</v>
      </c>
      <c r="N64" s="357">
        <v>0.5</v>
      </c>
      <c r="O64" s="357">
        <v>0.54</v>
      </c>
      <c r="P64" s="357">
        <f>1.12/2</f>
        <v>0.56000000000000005</v>
      </c>
      <c r="Q64" s="357">
        <f>1.24/2</f>
        <v>0.62</v>
      </c>
      <c r="R64" s="357">
        <v>0.6</v>
      </c>
      <c r="S64" s="357">
        <v>0</v>
      </c>
      <c r="T64" s="462">
        <v>0</v>
      </c>
      <c r="U64" s="462">
        <v>0</v>
      </c>
      <c r="V64" s="357">
        <v>0</v>
      </c>
      <c r="W64" s="462">
        <v>0</v>
      </c>
      <c r="X64" s="357">
        <v>0</v>
      </c>
      <c r="Y64" s="462">
        <v>0.72</v>
      </c>
      <c r="Z64" s="462">
        <f>1.53/2</f>
        <v>0.76500000000000001</v>
      </c>
      <c r="AA64" s="462">
        <f>1.45/2</f>
        <v>0.72499999999999998</v>
      </c>
      <c r="AB64" s="357">
        <f>1.31/2</f>
        <v>0.65500000000000003</v>
      </c>
      <c r="AC64" s="357">
        <f>1.14/2</f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0.91</v>
      </c>
      <c r="G65" s="19">
        <f t="shared" ref="G65:AB65" si="17">SUM(G62:G64)</f>
        <v>0.88</v>
      </c>
      <c r="H65" s="19">
        <f t="shared" si="17"/>
        <v>0.83</v>
      </c>
      <c r="I65" s="19">
        <f t="shared" si="17"/>
        <v>0.81</v>
      </c>
      <c r="J65" s="19">
        <f t="shared" si="17"/>
        <v>0.78</v>
      </c>
      <c r="K65" s="19">
        <f t="shared" si="17"/>
        <v>0.8</v>
      </c>
      <c r="L65" s="19">
        <f t="shared" si="17"/>
        <v>0.83</v>
      </c>
      <c r="M65" s="19">
        <f t="shared" si="17"/>
        <v>0.97</v>
      </c>
      <c r="N65" s="19">
        <f t="shared" si="17"/>
        <v>1</v>
      </c>
      <c r="O65" s="19">
        <f t="shared" si="17"/>
        <v>1.08</v>
      </c>
      <c r="P65" s="19">
        <f t="shared" si="17"/>
        <v>1.1200000000000001</v>
      </c>
      <c r="Q65" s="19">
        <f t="shared" si="17"/>
        <v>1.24</v>
      </c>
      <c r="R65" s="19">
        <f t="shared" si="17"/>
        <v>1.2</v>
      </c>
      <c r="S65" s="463">
        <f t="shared" si="17"/>
        <v>1.2</v>
      </c>
      <c r="T65" s="463">
        <f t="shared" si="17"/>
        <v>1.26</v>
      </c>
      <c r="U65" s="463">
        <f t="shared" si="17"/>
        <v>1.21</v>
      </c>
      <c r="V65" s="19">
        <f>SUM(V62:V64)</f>
        <v>1.1599999999999999</v>
      </c>
      <c r="W65" s="19">
        <f t="shared" si="17"/>
        <v>1.1399999999999999</v>
      </c>
      <c r="X65" s="19">
        <f t="shared" si="17"/>
        <v>1.23</v>
      </c>
      <c r="Y65" s="19">
        <f>SUM(Y62:Y64)</f>
        <v>1.44</v>
      </c>
      <c r="Z65" s="19">
        <f>SUM(Z62:Z64)</f>
        <v>1.53</v>
      </c>
      <c r="AA65" s="19">
        <f t="shared" si="17"/>
        <v>1.45</v>
      </c>
      <c r="AB65" s="19">
        <f t="shared" si="17"/>
        <v>1.31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63">
        <f t="shared" si="22"/>
        <v>0</v>
      </c>
      <c r="T76" s="463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17.620000000000005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0.65</v>
      </c>
      <c r="N78" s="359">
        <v>0.72</v>
      </c>
      <c r="O78" s="357">
        <v>0.75</v>
      </c>
      <c r="P78" s="357">
        <v>0.8</v>
      </c>
      <c r="Q78" s="357">
        <v>0.83</v>
      </c>
      <c r="R78" s="357">
        <v>0.63</v>
      </c>
      <c r="S78" s="357">
        <v>0.76</v>
      </c>
      <c r="T78" s="357">
        <v>0.78</v>
      </c>
      <c r="U78" s="357">
        <v>0.61</v>
      </c>
      <c r="V78" s="357"/>
      <c r="W78" s="357">
        <v>0.61</v>
      </c>
      <c r="X78" s="357">
        <v>0.92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0.74</v>
      </c>
      <c r="G79" s="357">
        <v>0.73</v>
      </c>
      <c r="H79" s="357">
        <v>0.7</v>
      </c>
      <c r="I79" s="357">
        <v>0.67</v>
      </c>
      <c r="J79" s="357">
        <v>0.65</v>
      </c>
      <c r="K79" s="357">
        <v>0.73</v>
      </c>
      <c r="L79" s="359">
        <v>0.72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0.72</v>
      </c>
      <c r="Z79" s="357">
        <v>1.03</v>
      </c>
      <c r="AA79" s="357">
        <v>1</v>
      </c>
      <c r="AB79" s="357">
        <v>0.95</v>
      </c>
      <c r="AC79" s="357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3">SUM(F78:F79)</f>
        <v>0.74</v>
      </c>
      <c r="G80" s="19">
        <f t="shared" si="23"/>
        <v>0.73</v>
      </c>
      <c r="H80" s="19">
        <f>SUM(H78:H79)</f>
        <v>0.7</v>
      </c>
      <c r="I80" s="19">
        <f>SUM(I78:I79)</f>
        <v>0.67</v>
      </c>
      <c r="J80" s="19">
        <f t="shared" ref="J80:AC80" si="24">SUM(J78:J79)</f>
        <v>0.65</v>
      </c>
      <c r="K80" s="19">
        <f t="shared" si="24"/>
        <v>0.73</v>
      </c>
      <c r="L80" s="19">
        <f>SUM(L78:L79)</f>
        <v>0.72</v>
      </c>
      <c r="M80" s="19">
        <f t="shared" si="24"/>
        <v>0.65</v>
      </c>
      <c r="N80" s="19">
        <f t="shared" si="24"/>
        <v>0.72</v>
      </c>
      <c r="O80" s="19">
        <f>SUM(O78:O79)</f>
        <v>0.75</v>
      </c>
      <c r="P80" s="19">
        <f>SUM(P78:P79)</f>
        <v>0.8</v>
      </c>
      <c r="Q80" s="19">
        <f t="shared" si="24"/>
        <v>0.83</v>
      </c>
      <c r="R80" s="19">
        <f t="shared" si="24"/>
        <v>0.63</v>
      </c>
      <c r="S80" s="463">
        <f t="shared" si="24"/>
        <v>0.76</v>
      </c>
      <c r="T80" s="463">
        <f t="shared" si="24"/>
        <v>0.78</v>
      </c>
      <c r="U80" s="19">
        <f t="shared" si="24"/>
        <v>0.61</v>
      </c>
      <c r="V80" s="19">
        <f t="shared" si="24"/>
        <v>0</v>
      </c>
      <c r="W80" s="19">
        <f t="shared" si="24"/>
        <v>0.61</v>
      </c>
      <c r="X80" s="19">
        <f t="shared" si="24"/>
        <v>0.92</v>
      </c>
      <c r="Y80" s="19">
        <f t="shared" si="24"/>
        <v>0.72</v>
      </c>
      <c r="Z80" s="19">
        <f t="shared" si="24"/>
        <v>1.03</v>
      </c>
      <c r="AA80" s="19">
        <f t="shared" si="24"/>
        <v>1</v>
      </c>
      <c r="AB80" s="19">
        <f t="shared" si="24"/>
        <v>0.95</v>
      </c>
      <c r="AC80" s="19">
        <f t="shared" si="24"/>
        <v>0.92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37.229999999999997</v>
      </c>
      <c r="G83" s="28">
        <f>SUM(G17,G22,G25,G31,G34,G60,G65,G76,G80,G82)</f>
        <v>35.269999999999996</v>
      </c>
      <c r="H83" s="28">
        <f t="shared" ref="H83:AC83" si="26">SUM(H17,H22,H25,H31,H34,H60,H65,H76,H80,H82)</f>
        <v>33.340000000000003</v>
      </c>
      <c r="I83" s="28">
        <f t="shared" si="26"/>
        <v>32.169999999999995</v>
      </c>
      <c r="J83" s="28">
        <f t="shared" si="26"/>
        <v>31.589999999999996</v>
      </c>
      <c r="K83" s="28">
        <f t="shared" si="26"/>
        <v>31.51</v>
      </c>
      <c r="L83" s="28">
        <f t="shared" si="26"/>
        <v>31.959999999999997</v>
      </c>
      <c r="M83" s="28">
        <f t="shared" si="26"/>
        <v>36.07</v>
      </c>
      <c r="N83" s="28">
        <f t="shared" si="26"/>
        <v>38.4</v>
      </c>
      <c r="O83" s="28">
        <f t="shared" si="26"/>
        <v>44.6</v>
      </c>
      <c r="P83" s="28">
        <f t="shared" si="26"/>
        <v>47.679999999999986</v>
      </c>
      <c r="Q83" s="28">
        <f t="shared" si="26"/>
        <v>48.74</v>
      </c>
      <c r="R83" s="28">
        <f t="shared" si="26"/>
        <v>48.080000000000005</v>
      </c>
      <c r="S83" s="518">
        <f t="shared" si="26"/>
        <v>50.22</v>
      </c>
      <c r="T83" s="518">
        <f t="shared" si="26"/>
        <v>51.8</v>
      </c>
      <c r="U83" s="518">
        <f t="shared" si="26"/>
        <v>49.77</v>
      </c>
      <c r="V83" s="28">
        <f t="shared" si="26"/>
        <v>48.519999999999996</v>
      </c>
      <c r="W83" s="28">
        <f t="shared" si="26"/>
        <v>48.61999999999999</v>
      </c>
      <c r="X83" s="28">
        <f t="shared" si="26"/>
        <v>50.919999999999995</v>
      </c>
      <c r="Y83" s="28">
        <f t="shared" si="26"/>
        <v>53.62</v>
      </c>
      <c r="Z83" s="28">
        <f t="shared" si="26"/>
        <v>52.440000000000005</v>
      </c>
      <c r="AA83" s="28">
        <f t="shared" si="26"/>
        <v>51.320000000000007</v>
      </c>
      <c r="AB83" s="28">
        <f t="shared" si="26"/>
        <v>47.360000000000007</v>
      </c>
      <c r="AC83" s="28">
        <f t="shared" si="26"/>
        <v>43.88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0</v>
      </c>
      <c r="P89" s="64">
        <f t="shared" si="27"/>
        <v>0</v>
      </c>
      <c r="Q89" s="64">
        <f t="shared" si="27"/>
        <v>2</v>
      </c>
      <c r="R89" s="64">
        <f t="shared" si="27"/>
        <v>2</v>
      </c>
      <c r="S89" s="64">
        <f t="shared" si="27"/>
        <v>2.8</v>
      </c>
      <c r="T89" s="64">
        <f t="shared" si="27"/>
        <v>2.8</v>
      </c>
      <c r="U89" s="64">
        <f t="shared" si="27"/>
        <v>2.8</v>
      </c>
      <c r="V89" s="64">
        <f t="shared" si="27"/>
        <v>2.8</v>
      </c>
      <c r="W89" s="64">
        <f t="shared" si="27"/>
        <v>2</v>
      </c>
      <c r="X89" s="64">
        <f t="shared" si="27"/>
        <v>2.8</v>
      </c>
      <c r="Y89" s="64">
        <f t="shared" si="27"/>
        <v>6.3</v>
      </c>
      <c r="Z89" s="64">
        <f t="shared" si="27"/>
        <v>6</v>
      </c>
      <c r="AA89" s="64">
        <f t="shared" si="27"/>
        <v>3.8</v>
      </c>
      <c r="AB89" s="64">
        <f t="shared" si="27"/>
        <v>0</v>
      </c>
      <c r="AC89" s="64">
        <f t="shared" si="27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 t="s">
        <v>1</v>
      </c>
      <c r="Y90" s="68">
        <v>0.22500000000000001</v>
      </c>
      <c r="Z90" s="68">
        <v>0.23300000000000001</v>
      </c>
      <c r="AA90" s="68">
        <v>0.22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8">F17</f>
        <v>12.8</v>
      </c>
      <c r="G91" s="64">
        <f t="shared" si="28"/>
        <v>13.8</v>
      </c>
      <c r="H91" s="64">
        <f t="shared" si="28"/>
        <v>13.8</v>
      </c>
      <c r="I91" s="64">
        <f t="shared" si="28"/>
        <v>13.4</v>
      </c>
      <c r="J91" s="64">
        <f t="shared" si="28"/>
        <v>13.4</v>
      </c>
      <c r="K91" s="64">
        <f t="shared" si="28"/>
        <v>13</v>
      </c>
      <c r="L91" s="64">
        <f t="shared" si="28"/>
        <v>13.4</v>
      </c>
      <c r="M91" s="64">
        <f t="shared" si="28"/>
        <v>13.4</v>
      </c>
      <c r="N91" s="64">
        <f t="shared" si="28"/>
        <v>13.4</v>
      </c>
      <c r="O91" s="64">
        <f t="shared" si="28"/>
        <v>14.5</v>
      </c>
      <c r="P91" s="64">
        <f t="shared" si="28"/>
        <v>19.799999999999997</v>
      </c>
      <c r="Q91" s="64">
        <f t="shared" si="28"/>
        <v>20.100000000000001</v>
      </c>
      <c r="R91" s="64">
        <f t="shared" si="28"/>
        <v>19.5</v>
      </c>
      <c r="S91" s="64">
        <f t="shared" si="28"/>
        <v>20.399999999999999</v>
      </c>
      <c r="T91" s="64">
        <f t="shared" si="28"/>
        <v>20.399999999999999</v>
      </c>
      <c r="U91" s="64">
        <f t="shared" si="28"/>
        <v>20.100000000000001</v>
      </c>
      <c r="V91" s="64">
        <f t="shared" si="28"/>
        <v>19.5</v>
      </c>
      <c r="W91" s="64">
        <f t="shared" si="28"/>
        <v>19.799999999999997</v>
      </c>
      <c r="X91" s="64">
        <f t="shared" si="28"/>
        <v>20.100000000000001</v>
      </c>
      <c r="Y91" s="64">
        <f t="shared" si="28"/>
        <v>19.5</v>
      </c>
      <c r="Z91" s="64">
        <f t="shared" si="28"/>
        <v>20.100000000000001</v>
      </c>
      <c r="AA91" s="64">
        <f t="shared" si="28"/>
        <v>20.100000000000001</v>
      </c>
      <c r="AB91" s="64">
        <f t="shared" si="28"/>
        <v>20.100000000000001</v>
      </c>
      <c r="AC91" s="64">
        <f t="shared" si="28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0.51400000000000001</v>
      </c>
      <c r="G92" s="68">
        <v>0.45200000000000001</v>
      </c>
      <c r="H92" s="68">
        <v>0.46600000000000003</v>
      </c>
      <c r="I92" s="68">
        <v>0.48099999999999998</v>
      </c>
      <c r="J92" s="68">
        <v>0.45100000000000001</v>
      </c>
      <c r="K92" s="68">
        <v>0.56699999999999995</v>
      </c>
      <c r="L92" s="68">
        <v>0.60199999999999998</v>
      </c>
      <c r="M92" s="68">
        <v>0.56399999999999995</v>
      </c>
      <c r="N92" s="68">
        <v>0.67600000000000005</v>
      </c>
      <c r="O92" s="68">
        <v>0.60099999999999998</v>
      </c>
      <c r="P92" s="68">
        <v>0.55000000000000004</v>
      </c>
      <c r="Q92" s="68">
        <v>0.67900000000000005</v>
      </c>
      <c r="R92" s="68">
        <v>0.755</v>
      </c>
      <c r="S92" s="68">
        <v>0.79500000000000004</v>
      </c>
      <c r="T92" s="68">
        <v>0.60599999999999998</v>
      </c>
      <c r="U92" s="68">
        <v>0.56799999999999995</v>
      </c>
      <c r="V92" s="68">
        <v>0.53100000000000003</v>
      </c>
      <c r="W92" s="68">
        <v>0.72199999999999998</v>
      </c>
      <c r="X92" s="68">
        <v>0.72099999999999997</v>
      </c>
      <c r="Y92" s="68">
        <v>0.749</v>
      </c>
      <c r="Z92" s="68">
        <v>0.755</v>
      </c>
      <c r="AA92" s="68">
        <v>0.747</v>
      </c>
      <c r="AB92" s="68">
        <v>0.73099999999999998</v>
      </c>
      <c r="AC92" s="68">
        <v>0.76800000000000002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9">F31</f>
        <v>8.5</v>
      </c>
      <c r="G93" s="65">
        <f t="shared" si="29"/>
        <v>5.6</v>
      </c>
      <c r="H93" s="65">
        <f t="shared" si="29"/>
        <v>3.7</v>
      </c>
      <c r="I93" s="65">
        <f t="shared" si="29"/>
        <v>3.5</v>
      </c>
      <c r="J93" s="65">
        <f t="shared" si="29"/>
        <v>3.5</v>
      </c>
      <c r="K93" s="65">
        <f t="shared" si="29"/>
        <v>2.8</v>
      </c>
      <c r="L93" s="65">
        <f t="shared" si="29"/>
        <v>2.8</v>
      </c>
      <c r="M93" s="65">
        <f t="shared" si="29"/>
        <v>6.8</v>
      </c>
      <c r="N93" s="65">
        <f t="shared" si="29"/>
        <v>9</v>
      </c>
      <c r="O93" s="65">
        <f t="shared" si="29"/>
        <v>10.8</v>
      </c>
      <c r="P93" s="65">
        <f t="shared" si="29"/>
        <v>10.9</v>
      </c>
      <c r="Q93" s="65">
        <f t="shared" si="29"/>
        <v>10.3</v>
      </c>
      <c r="R93" s="65">
        <f t="shared" si="29"/>
        <v>10.5</v>
      </c>
      <c r="S93" s="65">
        <f t="shared" si="29"/>
        <v>10.8</v>
      </c>
      <c r="T93" s="65">
        <f t="shared" si="29"/>
        <v>10.8</v>
      </c>
      <c r="U93" s="65">
        <f t="shared" si="29"/>
        <v>10.8</v>
      </c>
      <c r="V93" s="65">
        <f t="shared" si="29"/>
        <v>10.8</v>
      </c>
      <c r="W93" s="65">
        <f t="shared" si="29"/>
        <v>10.8</v>
      </c>
      <c r="X93" s="65">
        <f t="shared" si="29"/>
        <v>10.8</v>
      </c>
      <c r="Y93" s="65">
        <f t="shared" si="29"/>
        <v>10.600000000000001</v>
      </c>
      <c r="Z93" s="65">
        <f t="shared" si="29"/>
        <v>9.5</v>
      </c>
      <c r="AA93" s="65">
        <f t="shared" si="29"/>
        <v>10.7</v>
      </c>
      <c r="AB93" s="65">
        <f t="shared" si="29"/>
        <v>10.7</v>
      </c>
      <c r="AC93" s="65">
        <f t="shared" si="29"/>
        <v>7.5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1.7899999999999999E-2</v>
      </c>
      <c r="G94" s="68">
        <v>7.4999999999999997E-2</v>
      </c>
      <c r="H94" s="68">
        <v>0.08</v>
      </c>
      <c r="I94" s="68">
        <v>0.129</v>
      </c>
      <c r="J94" s="68">
        <v>0.115</v>
      </c>
      <c r="K94" s="68">
        <v>0.128</v>
      </c>
      <c r="L94" s="68">
        <v>0.127</v>
      </c>
      <c r="M94" s="68">
        <v>0.156</v>
      </c>
      <c r="N94" s="68">
        <v>0.19900000000000001</v>
      </c>
      <c r="O94" s="68">
        <v>0.183</v>
      </c>
      <c r="P94" s="68">
        <v>0.183</v>
      </c>
      <c r="Q94" s="68">
        <v>0.188</v>
      </c>
      <c r="R94" s="68">
        <v>0.19500000000000001</v>
      </c>
      <c r="S94" s="68">
        <v>0.183</v>
      </c>
      <c r="T94" s="68">
        <v>0.20599999999999999</v>
      </c>
      <c r="U94" s="68">
        <v>0.20300000000000001</v>
      </c>
      <c r="V94" s="68">
        <v>0.17499999999999999</v>
      </c>
      <c r="W94" s="68">
        <v>0.16800000000000001</v>
      </c>
      <c r="X94" s="68">
        <v>0.187</v>
      </c>
      <c r="Y94" s="68">
        <v>0.17399999999999999</v>
      </c>
      <c r="Z94" s="68">
        <v>0.19</v>
      </c>
      <c r="AA94" s="68">
        <v>0.20699999999999999</v>
      </c>
      <c r="AB94" s="68">
        <v>0.20399999999999999</v>
      </c>
      <c r="AC94" s="68">
        <v>0.17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</v>
      </c>
      <c r="G95" s="68">
        <v>0.2</v>
      </c>
      <c r="H95" s="68">
        <v>0.20100000000000001</v>
      </c>
      <c r="I95" s="68">
        <v>0.32200000000000001</v>
      </c>
      <c r="J95" s="68">
        <v>0.32200000000000001</v>
      </c>
      <c r="K95" s="68">
        <v>0.20200000000000001</v>
      </c>
      <c r="L95" s="68">
        <v>0.20200000000000001</v>
      </c>
      <c r="M95" s="68">
        <v>0.20200000000000001</v>
      </c>
      <c r="N95" s="68">
        <v>0.21</v>
      </c>
      <c r="O95" s="68">
        <v>0.2732</v>
      </c>
      <c r="P95" s="68">
        <v>0.25640000000000002</v>
      </c>
      <c r="Q95" s="68">
        <v>0.26019999999999999</v>
      </c>
      <c r="R95" s="68">
        <v>0.2064</v>
      </c>
      <c r="S95" s="68">
        <v>0.2074</v>
      </c>
      <c r="T95" s="68">
        <v>0.21579999999999999</v>
      </c>
      <c r="U95" s="68">
        <v>0.21179999999999999</v>
      </c>
      <c r="V95" s="68">
        <v>0.21879999999999999</v>
      </c>
      <c r="W95" s="68">
        <v>0.20599999999999999</v>
      </c>
      <c r="X95" s="68">
        <v>0.21029999999999999</v>
      </c>
      <c r="Y95" s="68">
        <v>0.24279999999999999</v>
      </c>
      <c r="Z95" s="68">
        <v>0.24690000000000001</v>
      </c>
      <c r="AA95" s="68">
        <v>0.2104</v>
      </c>
      <c r="AB95" s="68">
        <v>0.21560000000000001</v>
      </c>
      <c r="AC95" s="68">
        <v>0.21149999999999999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0">F34</f>
        <v>14.28</v>
      </c>
      <c r="G96" s="65">
        <f t="shared" si="30"/>
        <v>14.26</v>
      </c>
      <c r="H96" s="65">
        <f t="shared" si="30"/>
        <v>14.31</v>
      </c>
      <c r="I96" s="65">
        <f t="shared" si="30"/>
        <v>13.79</v>
      </c>
      <c r="J96" s="65">
        <f t="shared" si="30"/>
        <v>13.26</v>
      </c>
      <c r="K96" s="65">
        <f t="shared" si="30"/>
        <v>14.18</v>
      </c>
      <c r="L96" s="65">
        <f t="shared" si="30"/>
        <v>14.21</v>
      </c>
      <c r="M96" s="65">
        <f t="shared" si="30"/>
        <v>14.25</v>
      </c>
      <c r="N96" s="65">
        <f t="shared" si="30"/>
        <v>14.28</v>
      </c>
      <c r="O96" s="65">
        <f t="shared" si="30"/>
        <v>14.27</v>
      </c>
      <c r="P96" s="65">
        <f t="shared" si="30"/>
        <v>14.26</v>
      </c>
      <c r="Q96" s="65">
        <f t="shared" si="30"/>
        <v>14.27</v>
      </c>
      <c r="R96" s="65">
        <f t="shared" si="30"/>
        <v>14.25</v>
      </c>
      <c r="S96" s="65">
        <f t="shared" si="30"/>
        <v>14.26</v>
      </c>
      <c r="T96" s="65">
        <f t="shared" si="30"/>
        <v>14.26</v>
      </c>
      <c r="U96" s="65">
        <f t="shared" si="30"/>
        <v>14.25</v>
      </c>
      <c r="V96" s="65">
        <f t="shared" si="30"/>
        <v>14.26</v>
      </c>
      <c r="W96" s="65">
        <f t="shared" si="30"/>
        <v>14.27</v>
      </c>
      <c r="X96" s="65">
        <f t="shared" si="30"/>
        <v>14.27</v>
      </c>
      <c r="Y96" s="65">
        <f t="shared" si="30"/>
        <v>14.26</v>
      </c>
      <c r="Z96" s="65">
        <f t="shared" si="30"/>
        <v>14.28</v>
      </c>
      <c r="AA96" s="65">
        <f t="shared" si="30"/>
        <v>14.27</v>
      </c>
      <c r="AB96" s="65">
        <f t="shared" si="30"/>
        <v>14.3</v>
      </c>
      <c r="AC96" s="65">
        <f t="shared" si="30"/>
        <v>14.22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0.72</v>
      </c>
      <c r="G97" s="68">
        <v>0.74</v>
      </c>
      <c r="H97" s="68">
        <v>0.69</v>
      </c>
      <c r="I97" s="68">
        <v>0.71</v>
      </c>
      <c r="J97" s="68">
        <v>0.74</v>
      </c>
      <c r="K97" s="68">
        <v>0.82</v>
      </c>
      <c r="L97" s="68">
        <v>0.79</v>
      </c>
      <c r="M97" s="68">
        <v>0.75</v>
      </c>
      <c r="N97" s="68">
        <v>0.72</v>
      </c>
      <c r="O97" s="68">
        <v>0.73</v>
      </c>
      <c r="P97" s="68">
        <v>0.74</v>
      </c>
      <c r="Q97" s="68">
        <v>0.73</v>
      </c>
      <c r="R97" s="68">
        <v>0.75</v>
      </c>
      <c r="S97" s="68">
        <v>0.74</v>
      </c>
      <c r="T97" s="68">
        <v>0.74</v>
      </c>
      <c r="U97" s="68">
        <v>0.75</v>
      </c>
      <c r="V97" s="68">
        <v>0.74</v>
      </c>
      <c r="W97" s="68">
        <v>0.73</v>
      </c>
      <c r="X97" s="68">
        <v>0.73</v>
      </c>
      <c r="Y97" s="68">
        <v>0.74</v>
      </c>
      <c r="Z97" s="68">
        <v>0.72</v>
      </c>
      <c r="AA97" s="68">
        <v>0.73</v>
      </c>
      <c r="AB97" s="68">
        <v>0.7</v>
      </c>
      <c r="AC97" s="68">
        <v>0.78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0</v>
      </c>
      <c r="O98" s="64">
        <f t="shared" si="31"/>
        <v>3.2</v>
      </c>
      <c r="P98" s="64">
        <f t="shared" si="31"/>
        <v>0.8</v>
      </c>
      <c r="Q98" s="64">
        <f t="shared" si="31"/>
        <v>0</v>
      </c>
      <c r="R98" s="64">
        <f t="shared" si="31"/>
        <v>0</v>
      </c>
      <c r="S98" s="64">
        <f t="shared" si="31"/>
        <v>0</v>
      </c>
      <c r="T98" s="64">
        <f t="shared" si="31"/>
        <v>1.5</v>
      </c>
      <c r="U98" s="64">
        <f t="shared" si="31"/>
        <v>0</v>
      </c>
      <c r="V98" s="64">
        <f t="shared" si="31"/>
        <v>0</v>
      </c>
      <c r="W98" s="64">
        <f t="shared" si="31"/>
        <v>0</v>
      </c>
      <c r="X98" s="64">
        <f t="shared" si="31"/>
        <v>0.8</v>
      </c>
      <c r="Y98" s="64">
        <f t="shared" si="31"/>
        <v>0.8</v>
      </c>
      <c r="Z98" s="64">
        <f t="shared" si="31"/>
        <v>0</v>
      </c>
      <c r="AA98" s="64">
        <f t="shared" si="31"/>
        <v>0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2">F65</f>
        <v>0.91</v>
      </c>
      <c r="G99" s="64">
        <f t="shared" si="32"/>
        <v>0.88</v>
      </c>
      <c r="H99" s="64">
        <f t="shared" si="32"/>
        <v>0.83</v>
      </c>
      <c r="I99" s="64">
        <f t="shared" si="32"/>
        <v>0.81</v>
      </c>
      <c r="J99" s="64">
        <f t="shared" si="32"/>
        <v>0.78</v>
      </c>
      <c r="K99" s="64">
        <f t="shared" si="32"/>
        <v>0.8</v>
      </c>
      <c r="L99" s="64">
        <f t="shared" si="32"/>
        <v>0.83</v>
      </c>
      <c r="M99" s="64">
        <f t="shared" si="32"/>
        <v>0.97</v>
      </c>
      <c r="N99" s="64">
        <f t="shared" si="32"/>
        <v>1</v>
      </c>
      <c r="O99" s="64">
        <f t="shared" si="32"/>
        <v>1.08</v>
      </c>
      <c r="P99" s="64">
        <f t="shared" si="32"/>
        <v>1.1200000000000001</v>
      </c>
      <c r="Q99" s="64">
        <f t="shared" si="32"/>
        <v>1.24</v>
      </c>
      <c r="R99" s="64">
        <f t="shared" si="32"/>
        <v>1.2</v>
      </c>
      <c r="S99" s="64">
        <f t="shared" si="32"/>
        <v>1.2</v>
      </c>
      <c r="T99" s="64">
        <f t="shared" si="32"/>
        <v>1.26</v>
      </c>
      <c r="U99" s="64">
        <f t="shared" si="32"/>
        <v>1.21</v>
      </c>
      <c r="V99" s="64">
        <f t="shared" si="32"/>
        <v>1.1599999999999999</v>
      </c>
      <c r="W99" s="64">
        <f t="shared" si="32"/>
        <v>1.1399999999999999</v>
      </c>
      <c r="X99" s="64">
        <f t="shared" si="32"/>
        <v>1.23</v>
      </c>
      <c r="Y99" s="64">
        <f t="shared" si="32"/>
        <v>1.44</v>
      </c>
      <c r="Z99" s="64">
        <f t="shared" si="32"/>
        <v>1.53</v>
      </c>
      <c r="AA99" s="64">
        <f t="shared" si="32"/>
        <v>1.45</v>
      </c>
      <c r="AB99" s="64">
        <f t="shared" si="32"/>
        <v>1.31</v>
      </c>
      <c r="AC99" s="64">
        <f t="shared" si="32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4">F80</f>
        <v>0.74</v>
      </c>
      <c r="G101" s="64">
        <f t="shared" si="34"/>
        <v>0.73</v>
      </c>
      <c r="H101" s="64">
        <f t="shared" si="34"/>
        <v>0.7</v>
      </c>
      <c r="I101" s="64">
        <f t="shared" si="34"/>
        <v>0.67</v>
      </c>
      <c r="J101" s="64">
        <f t="shared" si="34"/>
        <v>0.65</v>
      </c>
      <c r="K101" s="64">
        <f t="shared" si="34"/>
        <v>0.73</v>
      </c>
      <c r="L101" s="64">
        <f t="shared" si="34"/>
        <v>0.72</v>
      </c>
      <c r="M101" s="64">
        <f t="shared" si="34"/>
        <v>0.65</v>
      </c>
      <c r="N101" s="64">
        <f t="shared" si="34"/>
        <v>0.72</v>
      </c>
      <c r="O101" s="64">
        <f t="shared" si="34"/>
        <v>0.75</v>
      </c>
      <c r="P101" s="64">
        <f t="shared" si="34"/>
        <v>0.8</v>
      </c>
      <c r="Q101" s="64">
        <f t="shared" si="34"/>
        <v>0.83</v>
      </c>
      <c r="R101" s="64">
        <f t="shared" si="34"/>
        <v>0.63</v>
      </c>
      <c r="S101" s="64">
        <f t="shared" si="34"/>
        <v>0.76</v>
      </c>
      <c r="T101" s="64">
        <f t="shared" si="34"/>
        <v>0.78</v>
      </c>
      <c r="U101" s="64">
        <f t="shared" si="34"/>
        <v>0.61</v>
      </c>
      <c r="V101" s="64">
        <f t="shared" si="34"/>
        <v>0</v>
      </c>
      <c r="W101" s="64">
        <f t="shared" si="34"/>
        <v>0.61</v>
      </c>
      <c r="X101" s="64">
        <f t="shared" si="34"/>
        <v>0.92</v>
      </c>
      <c r="Y101" s="64">
        <f t="shared" si="34"/>
        <v>0.72</v>
      </c>
      <c r="Z101" s="64">
        <f t="shared" si="34"/>
        <v>1.03</v>
      </c>
      <c r="AA101" s="64">
        <f t="shared" si="34"/>
        <v>1</v>
      </c>
      <c r="AB101" s="64">
        <f t="shared" si="34"/>
        <v>0.95</v>
      </c>
      <c r="AC101" s="64">
        <f t="shared" si="34"/>
        <v>0.92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6">SUM(F89,F91,F93,F96,F98:F102,F81)</f>
        <v>37.229999999999997</v>
      </c>
      <c r="G103" s="61">
        <f t="shared" si="36"/>
        <v>35.269999999999996</v>
      </c>
      <c r="H103" s="61">
        <f t="shared" si="36"/>
        <v>33.340000000000003</v>
      </c>
      <c r="I103" s="61">
        <f t="shared" si="36"/>
        <v>32.169999999999995</v>
      </c>
      <c r="J103" s="61">
        <f t="shared" si="36"/>
        <v>31.589999999999996</v>
      </c>
      <c r="K103" s="61">
        <f t="shared" si="36"/>
        <v>31.51</v>
      </c>
      <c r="L103" s="61">
        <f t="shared" si="36"/>
        <v>31.959999999999997</v>
      </c>
      <c r="M103" s="61">
        <f t="shared" si="36"/>
        <v>36.07</v>
      </c>
      <c r="N103" s="61">
        <f t="shared" si="36"/>
        <v>38.4</v>
      </c>
      <c r="O103" s="61">
        <f t="shared" si="36"/>
        <v>44.6</v>
      </c>
      <c r="P103" s="61">
        <f t="shared" si="36"/>
        <v>47.679999999999986</v>
      </c>
      <c r="Q103" s="61">
        <f t="shared" si="36"/>
        <v>48.74</v>
      </c>
      <c r="R103" s="61">
        <f t="shared" si="36"/>
        <v>48.080000000000005</v>
      </c>
      <c r="S103" s="61">
        <f t="shared" si="36"/>
        <v>50.22</v>
      </c>
      <c r="T103" s="61">
        <f t="shared" si="36"/>
        <v>51.8</v>
      </c>
      <c r="U103" s="61">
        <f t="shared" si="36"/>
        <v>49.77</v>
      </c>
      <c r="V103" s="61">
        <f t="shared" si="36"/>
        <v>48.519999999999996</v>
      </c>
      <c r="W103" s="61">
        <f t="shared" si="36"/>
        <v>48.61999999999999</v>
      </c>
      <c r="X103" s="61">
        <f t="shared" si="36"/>
        <v>50.919999999999995</v>
      </c>
      <c r="Y103" s="61">
        <f t="shared" si="36"/>
        <v>53.62</v>
      </c>
      <c r="Z103" s="61">
        <f t="shared" si="36"/>
        <v>52.440000000000005</v>
      </c>
      <c r="AA103" s="61">
        <f t="shared" si="36"/>
        <v>51.320000000000007</v>
      </c>
      <c r="AB103" s="61">
        <f t="shared" si="36"/>
        <v>47.360000000000007</v>
      </c>
      <c r="AC103" s="61">
        <f t="shared" si="36"/>
        <v>43.88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>
        <v>0.71</v>
      </c>
      <c r="I106" s="76">
        <v>0.71</v>
      </c>
      <c r="J106" s="76">
        <v>0.71</v>
      </c>
      <c r="K106" s="76">
        <f>0.71+0.8</f>
        <v>1.51</v>
      </c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>
        <v>0.6</v>
      </c>
      <c r="W106" s="76"/>
      <c r="X106" s="536"/>
      <c r="Y106" s="76"/>
      <c r="Z106" s="7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7">SUM(F104:F106)</f>
        <v>0</v>
      </c>
      <c r="G107" s="61">
        <f t="shared" si="37"/>
        <v>0</v>
      </c>
      <c r="H107" s="61">
        <f t="shared" si="37"/>
        <v>0.71</v>
      </c>
      <c r="I107" s="61">
        <f t="shared" si="37"/>
        <v>0.71</v>
      </c>
      <c r="J107" s="61">
        <f t="shared" si="37"/>
        <v>0.71</v>
      </c>
      <c r="K107" s="61">
        <f t="shared" si="37"/>
        <v>1.51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0</v>
      </c>
      <c r="U107" s="61">
        <f t="shared" si="37"/>
        <v>0</v>
      </c>
      <c r="V107" s="61">
        <f t="shared" si="37"/>
        <v>0.6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8">F103+F107</f>
        <v>37.229999999999997</v>
      </c>
      <c r="G108" s="62">
        <f t="shared" si="38"/>
        <v>35.269999999999996</v>
      </c>
      <c r="H108" s="62">
        <f t="shared" si="38"/>
        <v>34.050000000000004</v>
      </c>
      <c r="I108" s="62">
        <f t="shared" si="38"/>
        <v>32.879999999999995</v>
      </c>
      <c r="J108" s="62">
        <f t="shared" si="38"/>
        <v>32.299999999999997</v>
      </c>
      <c r="K108" s="62">
        <f t="shared" si="38"/>
        <v>33.020000000000003</v>
      </c>
      <c r="L108" s="62">
        <f t="shared" si="38"/>
        <v>31.959999999999997</v>
      </c>
      <c r="M108" s="62">
        <f t="shared" si="38"/>
        <v>36.07</v>
      </c>
      <c r="N108" s="62">
        <f>N103+N107</f>
        <v>38.4</v>
      </c>
      <c r="O108" s="62">
        <f t="shared" si="38"/>
        <v>44.6</v>
      </c>
      <c r="P108" s="62">
        <f>P103+P107</f>
        <v>47.679999999999986</v>
      </c>
      <c r="Q108" s="62">
        <f t="shared" si="38"/>
        <v>48.74</v>
      </c>
      <c r="R108" s="62">
        <f t="shared" si="38"/>
        <v>48.080000000000005</v>
      </c>
      <c r="S108" s="62">
        <f t="shared" si="38"/>
        <v>50.22</v>
      </c>
      <c r="T108" s="62">
        <f>T103+T107</f>
        <v>51.8</v>
      </c>
      <c r="U108" s="62">
        <f t="shared" si="38"/>
        <v>49.77</v>
      </c>
      <c r="V108" s="62">
        <f t="shared" si="38"/>
        <v>49.12</v>
      </c>
      <c r="W108" s="62">
        <f>W103+W107</f>
        <v>48.61999999999999</v>
      </c>
      <c r="X108" s="62">
        <f t="shared" si="38"/>
        <v>50.919999999999995</v>
      </c>
      <c r="Y108" s="62">
        <f t="shared" si="38"/>
        <v>53.62</v>
      </c>
      <c r="Z108" s="62">
        <f t="shared" si="38"/>
        <v>52.440000000000005</v>
      </c>
      <c r="AA108" s="62">
        <f t="shared" si="38"/>
        <v>51.320000000000007</v>
      </c>
      <c r="AB108" s="62">
        <f t="shared" si="38"/>
        <v>47.360000000000007</v>
      </c>
      <c r="AC108" s="62">
        <f t="shared" si="38"/>
        <v>43.88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9">(COUNT(F13:F16))*7.2+(COUNT(F27:F28)*4.9)+(COUNT(F19:F21)*4.5)-F91-F93</f>
        <v>-2</v>
      </c>
      <c r="G109" s="63">
        <f t="shared" si="39"/>
        <v>-5</v>
      </c>
      <c r="H109" s="63">
        <f t="shared" si="39"/>
        <v>-3.1000000000000005</v>
      </c>
      <c r="I109" s="63">
        <f t="shared" si="39"/>
        <v>-2.5</v>
      </c>
      <c r="J109" s="63">
        <f t="shared" si="39"/>
        <v>-2.5</v>
      </c>
      <c r="K109" s="63">
        <f t="shared" si="39"/>
        <v>-1.3999999999999995</v>
      </c>
      <c r="L109" s="63">
        <f t="shared" si="39"/>
        <v>-1.7999999999999998</v>
      </c>
      <c r="M109" s="63">
        <f t="shared" si="39"/>
        <v>-5.8</v>
      </c>
      <c r="N109" s="63">
        <f t="shared" si="39"/>
        <v>-3.0999999999999996</v>
      </c>
      <c r="O109" s="63">
        <f t="shared" si="39"/>
        <v>1.1999999999999993</v>
      </c>
      <c r="P109" s="63">
        <f t="shared" si="39"/>
        <v>-4.1999999999999975</v>
      </c>
      <c r="Q109" s="63">
        <f t="shared" si="39"/>
        <v>0.59999999999999787</v>
      </c>
      <c r="R109" s="63">
        <f t="shared" si="39"/>
        <v>1</v>
      </c>
      <c r="S109" s="63">
        <f t="shared" si="39"/>
        <v>-0.19999999999999929</v>
      </c>
      <c r="T109" s="63">
        <f t="shared" si="39"/>
        <v>-0.19999999999999929</v>
      </c>
      <c r="U109" s="63">
        <f t="shared" si="39"/>
        <v>9.9999999999997868E-2</v>
      </c>
      <c r="V109" s="63">
        <f t="shared" si="39"/>
        <v>0.69999999999999929</v>
      </c>
      <c r="W109" s="63">
        <f t="shared" si="39"/>
        <v>0.40000000000000213</v>
      </c>
      <c r="X109" s="63">
        <f t="shared" si="39"/>
        <v>4.5999999999999979</v>
      </c>
      <c r="Y109" s="63">
        <f t="shared" si="39"/>
        <v>5.3999999999999986</v>
      </c>
      <c r="Z109" s="63">
        <f t="shared" si="39"/>
        <v>1.3999999999999986</v>
      </c>
      <c r="AA109" s="63">
        <f t="shared" si="39"/>
        <v>-4.3000000000000007</v>
      </c>
      <c r="AB109" s="63">
        <f t="shared" si="39"/>
        <v>-4.3000000000000007</v>
      </c>
      <c r="AC109" s="63">
        <f t="shared" si="39"/>
        <v>-1.1000000000000014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-3.4000000000000004</v>
      </c>
      <c r="G110" s="205">
        <f t="shared" si="40"/>
        <v>-5</v>
      </c>
      <c r="H110" s="205">
        <f t="shared" si="40"/>
        <v>-3.1000000000000005</v>
      </c>
      <c r="I110" s="205">
        <f t="shared" si="40"/>
        <v>-2.5</v>
      </c>
      <c r="J110" s="205">
        <f t="shared" si="40"/>
        <v>-2.5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-1.3999999999999995</v>
      </c>
      <c r="L110" s="205">
        <f t="shared" si="40"/>
        <v>-1.7999999999999998</v>
      </c>
      <c r="M110" s="205">
        <f t="shared" si="40"/>
        <v>-5.8</v>
      </c>
      <c r="N110" s="205">
        <f t="shared" si="40"/>
        <v>-3.0999999999999996</v>
      </c>
      <c r="O110" s="205">
        <f t="shared" si="40"/>
        <v>1.2000000000000011</v>
      </c>
      <c r="P110" s="205">
        <f t="shared" si="40"/>
        <v>-4.1999999999999957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-2.4000000000000004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-2.3999999999999986</v>
      </c>
      <c r="S110" s="205">
        <f t="shared" si="41"/>
        <v>-4.3999999999999977</v>
      </c>
      <c r="T110" s="205">
        <f t="shared" si="41"/>
        <v>-4.3999999999999977</v>
      </c>
      <c r="U110" s="205">
        <f t="shared" si="41"/>
        <v>-4.1000000000000005</v>
      </c>
      <c r="V110" s="205">
        <f t="shared" si="41"/>
        <v>-3.4999999999999991</v>
      </c>
      <c r="W110" s="205">
        <f t="shared" si="41"/>
        <v>-2.9999999999999964</v>
      </c>
      <c r="X110" s="205">
        <f t="shared" si="41"/>
        <v>0.39999999999999947</v>
      </c>
      <c r="Y110" s="205">
        <f t="shared" si="41"/>
        <v>2.2000000000000002</v>
      </c>
      <c r="Z110" s="205">
        <f t="shared" si="41"/>
        <v>-0.5</v>
      </c>
      <c r="AA110" s="205">
        <f t="shared" si="41"/>
        <v>-3.9999999999999991</v>
      </c>
      <c r="AB110" s="205">
        <f t="shared" si="41"/>
        <v>-4.6999999999999993</v>
      </c>
      <c r="AC110" s="205">
        <f t="shared" si="41"/>
        <v>-1.5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60.19</v>
      </c>
      <c r="G111" s="456">
        <v>60.04</v>
      </c>
      <c r="H111" s="456">
        <v>60.09</v>
      </c>
      <c r="I111" s="456">
        <v>60.16</v>
      </c>
      <c r="J111" s="456">
        <v>60.15</v>
      </c>
      <c r="K111" s="456">
        <v>60.27</v>
      </c>
      <c r="L111" s="456">
        <v>60.16</v>
      </c>
      <c r="M111" s="456">
        <v>60.2</v>
      </c>
      <c r="N111" s="456">
        <v>60.19</v>
      </c>
      <c r="O111" s="456">
        <v>60.18</v>
      </c>
      <c r="P111" s="456">
        <v>60.06</v>
      </c>
      <c r="Q111" s="456">
        <v>60.13</v>
      </c>
      <c r="R111" s="456">
        <v>60.12</v>
      </c>
      <c r="S111" s="456">
        <v>60.07</v>
      </c>
      <c r="T111" s="456">
        <v>60.08</v>
      </c>
      <c r="U111" s="456">
        <v>60.11</v>
      </c>
      <c r="V111" s="456">
        <v>60.11</v>
      </c>
      <c r="W111" s="456">
        <v>60.21</v>
      </c>
      <c r="X111" s="456">
        <v>60.09</v>
      </c>
      <c r="Y111" s="456">
        <v>60.2</v>
      </c>
      <c r="Z111" s="456">
        <v>60.19</v>
      </c>
      <c r="AA111" s="456">
        <v>60.03</v>
      </c>
      <c r="AB111" s="456">
        <v>60.18</v>
      </c>
      <c r="AC111" s="456">
        <v>60.12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 t="s">
        <v>97</v>
      </c>
      <c r="M115" s="520" t="s">
        <v>97</v>
      </c>
      <c r="N115" s="520" t="s">
        <v>97</v>
      </c>
      <c r="O115" s="520" t="s">
        <v>97</v>
      </c>
      <c r="P115" s="520" t="s">
        <v>97</v>
      </c>
      <c r="Q115" s="520" t="s">
        <v>97</v>
      </c>
      <c r="R115" s="520" t="s">
        <v>97</v>
      </c>
      <c r="S115" s="520" t="s">
        <v>97</v>
      </c>
      <c r="T115" s="520" t="s">
        <v>97</v>
      </c>
      <c r="U115" s="520" t="s">
        <v>97</v>
      </c>
      <c r="V115" s="520" t="s">
        <v>97</v>
      </c>
      <c r="W115" s="520" t="s">
        <v>97</v>
      </c>
      <c r="X115" s="520" t="s">
        <v>97</v>
      </c>
      <c r="Y115" s="520" t="s">
        <v>97</v>
      </c>
      <c r="Z115" s="520" t="s">
        <v>97</v>
      </c>
      <c r="AA115" s="520" t="s">
        <v>97</v>
      </c>
      <c r="AB115" s="520" t="s">
        <v>97</v>
      </c>
      <c r="AC115" s="520" t="s">
        <v>97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N13:O13 D42:E42 N36:AC39 N57:AC59 O14:O16 L51:M55 L36:L50 N41:AC46 H36:J59 I15:N15 N16 L13:L14 O52:AA55 H14:K14 AB52:AC56 P40:AC40 AA62:AC64 I16:L16 L56:L59 P51:AC51 P56:AA56 H62:L64 P13:AC16 P62:Z63 P47:AC49 M50:AC50 Q64:AC64">
    <cfRule type="cellIs" dxfId="7561" priority="708" operator="equal">
      <formula>"PMS"</formula>
    </cfRule>
    <cfRule type="containsText" dxfId="7560" priority="709" operator="containsText" text="CMS">
      <formula>NOT(ISERROR(SEARCH("CMS",D13)))</formula>
    </cfRule>
    <cfRule type="cellIs" dxfId="7559" priority="710" operator="equal">
      <formula>0</formula>
    </cfRule>
    <cfRule type="cellIs" dxfId="7558" priority="711" operator="greaterThan">
      <formula>0</formula>
    </cfRule>
    <cfRule type="cellIs" dxfId="7557" priority="712" operator="equal">
      <formula>"PMS"</formula>
    </cfRule>
    <cfRule type="containsText" dxfId="7556" priority="713" operator="containsText" text="CMS">
      <formula>NOT(ISERROR(SEARCH("CMS",D13)))</formula>
    </cfRule>
    <cfRule type="cellIs" dxfId="7555" priority="714" operator="equal">
      <formula>0</formula>
    </cfRule>
    <cfRule type="cellIs" dxfId="7554" priority="715" operator="greaterThan">
      <formula>0</formula>
    </cfRule>
  </conditionalFormatting>
  <conditionalFormatting sqref="H13:J13 N13:O13 D42:E42 N36:AC39 N57:AC59 O14:O16 L51:M55 L36:L50 N41:AC46 H36:J59 I15:N15 N16 L13:L14 O52:AA55 H14:K14 AB52:AC56 P40:AC40 AA62:AC64 I16:L16 L56:L59 P51:AC51 P56:AA56 H62:L64 P13:AC16 P62:Z63 P47:AC49 M50:AC50 Q64:AC64">
    <cfRule type="cellIs" dxfId="7553" priority="704" operator="equal">
      <formula>"PMS"</formula>
    </cfRule>
    <cfRule type="containsText" dxfId="7552" priority="705" operator="containsText" text="CMS">
      <formula>NOT(ISERROR(SEARCH("CMS",D13)))</formula>
    </cfRule>
    <cfRule type="cellIs" dxfId="7551" priority="706" operator="equal">
      <formula>0</formula>
    </cfRule>
    <cfRule type="cellIs" dxfId="7550" priority="707" operator="greaterThan">
      <formula>0</formula>
    </cfRule>
  </conditionalFormatting>
  <conditionalFormatting sqref="G67:AC75">
    <cfRule type="cellIs" dxfId="7549" priority="696" operator="equal">
      <formula>"PMS"</formula>
    </cfRule>
    <cfRule type="containsText" dxfId="7548" priority="697" operator="containsText" text="CMS">
      <formula>NOT(ISERROR(SEARCH("CMS",G67)))</formula>
    </cfRule>
    <cfRule type="cellIs" dxfId="7547" priority="698" operator="equal">
      <formula>0</formula>
    </cfRule>
    <cfRule type="cellIs" dxfId="7546" priority="699" operator="greaterThan">
      <formula>0</formula>
    </cfRule>
    <cfRule type="cellIs" dxfId="7545" priority="700" operator="equal">
      <formula>"PMS"</formula>
    </cfRule>
    <cfRule type="containsText" dxfId="7544" priority="701" operator="containsText" text="CMS">
      <formula>NOT(ISERROR(SEARCH("CMS",G67)))</formula>
    </cfRule>
    <cfRule type="cellIs" dxfId="7543" priority="702" operator="equal">
      <formula>0</formula>
    </cfRule>
    <cfRule type="cellIs" dxfId="7542" priority="703" operator="greaterThan">
      <formula>0</formula>
    </cfRule>
  </conditionalFormatting>
  <conditionalFormatting sqref="G67:AC75">
    <cfRule type="cellIs" dxfId="7541" priority="692" operator="equal">
      <formula>"PMS"</formula>
    </cfRule>
    <cfRule type="containsText" dxfId="7540" priority="693" operator="containsText" text="CMS">
      <formula>NOT(ISERROR(SEARCH("CMS",G67)))</formula>
    </cfRule>
    <cfRule type="cellIs" dxfId="7539" priority="694" operator="equal">
      <formula>0</formula>
    </cfRule>
    <cfRule type="cellIs" dxfId="7538" priority="695" operator="greaterThan">
      <formula>0</formula>
    </cfRule>
  </conditionalFormatting>
  <conditionalFormatting sqref="G82:AC82">
    <cfRule type="cellIs" dxfId="7537" priority="684" operator="equal">
      <formula>"PMS"</formula>
    </cfRule>
    <cfRule type="containsText" dxfId="7536" priority="685" operator="containsText" text="CMS">
      <formula>NOT(ISERROR(SEARCH("CMS",G82)))</formula>
    </cfRule>
    <cfRule type="cellIs" dxfId="7535" priority="686" operator="equal">
      <formula>0</formula>
    </cfRule>
    <cfRule type="cellIs" dxfId="7534" priority="687" operator="greaterThan">
      <formula>0</formula>
    </cfRule>
    <cfRule type="cellIs" dxfId="7533" priority="688" operator="equal">
      <formula>"PMS"</formula>
    </cfRule>
    <cfRule type="containsText" dxfId="7532" priority="689" operator="containsText" text="CMS">
      <formula>NOT(ISERROR(SEARCH("CMS",G82)))</formula>
    </cfRule>
    <cfRule type="cellIs" dxfId="7531" priority="690" operator="equal">
      <formula>0</formula>
    </cfRule>
    <cfRule type="cellIs" dxfId="7530" priority="691" operator="greaterThan">
      <formula>0</formula>
    </cfRule>
  </conditionalFormatting>
  <conditionalFormatting sqref="G82:AC82">
    <cfRule type="cellIs" dxfId="7529" priority="680" operator="equal">
      <formula>"PMS"</formula>
    </cfRule>
    <cfRule type="containsText" dxfId="7528" priority="681" operator="containsText" text="CMS">
      <formula>NOT(ISERROR(SEARCH("CMS",G82)))</formula>
    </cfRule>
    <cfRule type="cellIs" dxfId="7527" priority="682" operator="equal">
      <formula>0</formula>
    </cfRule>
    <cfRule type="cellIs" dxfId="7526" priority="683" operator="greaterThan">
      <formula>0</formula>
    </cfRule>
  </conditionalFormatting>
  <conditionalFormatting sqref="G13">
    <cfRule type="cellIs" dxfId="7525" priority="672" operator="equal">
      <formula>"PMS"</formula>
    </cfRule>
    <cfRule type="containsText" dxfId="7524" priority="673" operator="containsText" text="CMS">
      <formula>NOT(ISERROR(SEARCH("CMS",G13)))</formula>
    </cfRule>
    <cfRule type="cellIs" dxfId="7523" priority="674" operator="equal">
      <formula>0</formula>
    </cfRule>
    <cfRule type="cellIs" dxfId="7522" priority="675" operator="greaterThan">
      <formula>0</formula>
    </cfRule>
    <cfRule type="cellIs" dxfId="7521" priority="676" operator="equal">
      <formula>"PMS"</formula>
    </cfRule>
    <cfRule type="containsText" dxfId="7520" priority="677" operator="containsText" text="CMS">
      <formula>NOT(ISERROR(SEARCH("CMS",G13)))</formula>
    </cfRule>
    <cfRule type="cellIs" dxfId="7519" priority="678" operator="equal">
      <formula>0</formula>
    </cfRule>
    <cfRule type="cellIs" dxfId="7518" priority="679" operator="greaterThan">
      <formula>0</formula>
    </cfRule>
  </conditionalFormatting>
  <conditionalFormatting sqref="G13">
    <cfRule type="cellIs" dxfId="7517" priority="668" operator="equal">
      <formula>"PMS"</formula>
    </cfRule>
    <cfRule type="containsText" dxfId="7516" priority="669" operator="containsText" text="CMS">
      <formula>NOT(ISERROR(SEARCH("CMS",G13)))</formula>
    </cfRule>
    <cfRule type="cellIs" dxfId="7515" priority="670" operator="equal">
      <formula>0</formula>
    </cfRule>
    <cfRule type="cellIs" dxfId="7514" priority="671" operator="greaterThan">
      <formula>0</formula>
    </cfRule>
  </conditionalFormatting>
  <conditionalFormatting sqref="M13">
    <cfRule type="cellIs" dxfId="7513" priority="660" operator="equal">
      <formula>"PMS"</formula>
    </cfRule>
    <cfRule type="containsText" dxfId="7512" priority="661" operator="containsText" text="CMS">
      <formula>NOT(ISERROR(SEARCH("CMS",M13)))</formula>
    </cfRule>
    <cfRule type="cellIs" dxfId="7511" priority="662" operator="equal">
      <formula>0</formula>
    </cfRule>
    <cfRule type="cellIs" dxfId="7510" priority="663" operator="greaterThan">
      <formula>0</formula>
    </cfRule>
    <cfRule type="cellIs" dxfId="7509" priority="664" operator="equal">
      <formula>"PMS"</formula>
    </cfRule>
    <cfRule type="containsText" dxfId="7508" priority="665" operator="containsText" text="CMS">
      <formula>NOT(ISERROR(SEARCH("CMS",M13)))</formula>
    </cfRule>
    <cfRule type="cellIs" dxfId="7507" priority="666" operator="equal">
      <formula>0</formula>
    </cfRule>
    <cfRule type="cellIs" dxfId="7506" priority="667" operator="greaterThan">
      <formula>0</formula>
    </cfRule>
  </conditionalFormatting>
  <conditionalFormatting sqref="M13">
    <cfRule type="cellIs" dxfId="7505" priority="656" operator="equal">
      <formula>"PMS"</formula>
    </cfRule>
    <cfRule type="containsText" dxfId="7504" priority="657" operator="containsText" text="CMS">
      <formula>NOT(ISERROR(SEARCH("CMS",M13)))</formula>
    </cfRule>
    <cfRule type="cellIs" dxfId="7503" priority="658" operator="equal">
      <formula>0</formula>
    </cfRule>
    <cfRule type="cellIs" dxfId="7502" priority="659" operator="greaterThan">
      <formula>0</formula>
    </cfRule>
  </conditionalFormatting>
  <conditionalFormatting sqref="K13">
    <cfRule type="cellIs" dxfId="7501" priority="648" operator="equal">
      <formula>"PMS"</formula>
    </cfRule>
    <cfRule type="containsText" dxfId="7500" priority="649" operator="containsText" text="CMS">
      <formula>NOT(ISERROR(SEARCH("CMS",K13)))</formula>
    </cfRule>
    <cfRule type="cellIs" dxfId="7499" priority="650" operator="equal">
      <formula>0</formula>
    </cfRule>
    <cfRule type="cellIs" dxfId="7498" priority="651" operator="greaterThan">
      <formula>0</formula>
    </cfRule>
    <cfRule type="cellIs" dxfId="7497" priority="652" operator="equal">
      <formula>"PMS"</formula>
    </cfRule>
    <cfRule type="containsText" dxfId="7496" priority="653" operator="containsText" text="CMS">
      <formula>NOT(ISERROR(SEARCH("CMS",K13)))</formula>
    </cfRule>
    <cfRule type="cellIs" dxfId="7495" priority="654" operator="equal">
      <formula>0</formula>
    </cfRule>
    <cfRule type="cellIs" dxfId="7494" priority="655" operator="greaterThan">
      <formula>0</formula>
    </cfRule>
  </conditionalFormatting>
  <conditionalFormatting sqref="K13">
    <cfRule type="cellIs" dxfId="7493" priority="644" operator="equal">
      <formula>"PMS"</formula>
    </cfRule>
    <cfRule type="containsText" dxfId="7492" priority="645" operator="containsText" text="CMS">
      <formula>NOT(ISERROR(SEARCH("CMS",K13)))</formula>
    </cfRule>
    <cfRule type="cellIs" dxfId="7491" priority="646" operator="equal">
      <formula>0</formula>
    </cfRule>
    <cfRule type="cellIs" dxfId="7490" priority="647" operator="greaterThan">
      <formula>0</formula>
    </cfRule>
  </conditionalFormatting>
  <conditionalFormatting sqref="G113:AC113">
    <cfRule type="cellIs" dxfId="7489" priority="643" operator="greaterThan">
      <formula>60.3</formula>
    </cfRule>
  </conditionalFormatting>
  <conditionalFormatting sqref="H112:M112">
    <cfRule type="cellIs" dxfId="7488" priority="642" operator="greaterThan">
      <formula>60.3</formula>
    </cfRule>
  </conditionalFormatting>
  <conditionalFormatting sqref="F112:G112">
    <cfRule type="cellIs" dxfId="7487" priority="641" operator="greaterThan">
      <formula>60.3</formula>
    </cfRule>
  </conditionalFormatting>
  <conditionalFormatting sqref="N112:AC112">
    <cfRule type="cellIs" dxfId="7486" priority="640" operator="greaterThan">
      <formula>60.3</formula>
    </cfRule>
  </conditionalFormatting>
  <conditionalFormatting sqref="G15:G16">
    <cfRule type="cellIs" dxfId="7485" priority="632" operator="equal">
      <formula>"PMS"</formula>
    </cfRule>
    <cfRule type="containsText" dxfId="7484" priority="633" operator="containsText" text="CMS">
      <formula>NOT(ISERROR(SEARCH("CMS",G15)))</formula>
    </cfRule>
    <cfRule type="cellIs" dxfId="7483" priority="634" operator="equal">
      <formula>0</formula>
    </cfRule>
    <cfRule type="cellIs" dxfId="7482" priority="635" operator="greaterThan">
      <formula>0</formula>
    </cfRule>
    <cfRule type="cellIs" dxfId="7481" priority="636" operator="equal">
      <formula>"PMS"</formula>
    </cfRule>
    <cfRule type="containsText" dxfId="7480" priority="637" operator="containsText" text="CMS">
      <formula>NOT(ISERROR(SEARCH("CMS",G15)))</formula>
    </cfRule>
    <cfRule type="cellIs" dxfId="7479" priority="638" operator="equal">
      <formula>0</formula>
    </cfRule>
    <cfRule type="cellIs" dxfId="7478" priority="639" operator="greaterThan">
      <formula>0</formula>
    </cfRule>
  </conditionalFormatting>
  <conditionalFormatting sqref="G15:G16">
    <cfRule type="cellIs" dxfId="7477" priority="628" operator="equal">
      <formula>"PMS"</formula>
    </cfRule>
    <cfRule type="containsText" dxfId="7476" priority="629" operator="containsText" text="CMS">
      <formula>NOT(ISERROR(SEARCH("CMS",G15)))</formula>
    </cfRule>
    <cfRule type="cellIs" dxfId="7475" priority="630" operator="equal">
      <formula>0</formula>
    </cfRule>
    <cfRule type="cellIs" dxfId="7474" priority="631" operator="greaterThan">
      <formula>0</formula>
    </cfRule>
  </conditionalFormatting>
  <conditionalFormatting sqref="G36:G38 G57:G59">
    <cfRule type="cellIs" dxfId="7473" priority="620" operator="equal">
      <formula>"PMS"</formula>
    </cfRule>
    <cfRule type="containsText" dxfId="7472" priority="621" operator="containsText" text="CMS">
      <formula>NOT(ISERROR(SEARCH("CMS",G36)))</formula>
    </cfRule>
    <cfRule type="cellIs" dxfId="7471" priority="622" operator="equal">
      <formula>0</formula>
    </cfRule>
    <cfRule type="cellIs" dxfId="7470" priority="623" operator="greaterThan">
      <formula>0</formula>
    </cfRule>
    <cfRule type="cellIs" dxfId="7469" priority="624" operator="equal">
      <formula>"PMS"</formula>
    </cfRule>
    <cfRule type="containsText" dxfId="7468" priority="625" operator="containsText" text="CMS">
      <formula>NOT(ISERROR(SEARCH("CMS",G36)))</formula>
    </cfRule>
    <cfRule type="cellIs" dxfId="7467" priority="626" operator="equal">
      <formula>0</formula>
    </cfRule>
    <cfRule type="cellIs" dxfId="7466" priority="627" operator="greaterThan">
      <formula>0</formula>
    </cfRule>
  </conditionalFormatting>
  <conditionalFormatting sqref="G36:G38 G57:G59">
    <cfRule type="cellIs" dxfId="7465" priority="616" operator="equal">
      <formula>"PMS"</formula>
    </cfRule>
    <cfRule type="containsText" dxfId="7464" priority="617" operator="containsText" text="CMS">
      <formula>NOT(ISERROR(SEARCH("CMS",G36)))</formula>
    </cfRule>
    <cfRule type="cellIs" dxfId="7463" priority="618" operator="equal">
      <formula>0</formula>
    </cfRule>
    <cfRule type="cellIs" dxfId="7462" priority="619" operator="greaterThan">
      <formula>0</formula>
    </cfRule>
  </conditionalFormatting>
  <conditionalFormatting sqref="M36:M38 M57:M59">
    <cfRule type="cellIs" dxfId="7461" priority="608" operator="equal">
      <formula>"PMS"</formula>
    </cfRule>
    <cfRule type="containsText" dxfId="7460" priority="609" operator="containsText" text="CMS">
      <formula>NOT(ISERROR(SEARCH("CMS",M36)))</formula>
    </cfRule>
    <cfRule type="cellIs" dxfId="7459" priority="610" operator="equal">
      <formula>0</formula>
    </cfRule>
    <cfRule type="cellIs" dxfId="7458" priority="611" operator="greaterThan">
      <formula>0</formula>
    </cfRule>
    <cfRule type="cellIs" dxfId="7457" priority="612" operator="equal">
      <formula>"PMS"</formula>
    </cfRule>
    <cfRule type="containsText" dxfId="7456" priority="613" operator="containsText" text="CMS">
      <formula>NOT(ISERROR(SEARCH("CMS",M36)))</formula>
    </cfRule>
    <cfRule type="cellIs" dxfId="7455" priority="614" operator="equal">
      <formula>0</formula>
    </cfRule>
    <cfRule type="cellIs" dxfId="7454" priority="615" operator="greaterThan">
      <formula>0</formula>
    </cfRule>
  </conditionalFormatting>
  <conditionalFormatting sqref="M36:M38 M57:M59">
    <cfRule type="cellIs" dxfId="7453" priority="604" operator="equal">
      <formula>"PMS"</formula>
    </cfRule>
    <cfRule type="containsText" dxfId="7452" priority="605" operator="containsText" text="CMS">
      <formula>NOT(ISERROR(SEARCH("CMS",M36)))</formula>
    </cfRule>
    <cfRule type="cellIs" dxfId="7451" priority="606" operator="equal">
      <formula>0</formula>
    </cfRule>
    <cfRule type="cellIs" dxfId="7450" priority="607" operator="greaterThan">
      <formula>0</formula>
    </cfRule>
  </conditionalFormatting>
  <conditionalFormatting sqref="K36:K38 K57:K59">
    <cfRule type="cellIs" dxfId="7449" priority="596" operator="equal">
      <formula>"PMS"</formula>
    </cfRule>
    <cfRule type="containsText" dxfId="7448" priority="597" operator="containsText" text="CMS">
      <formula>NOT(ISERROR(SEARCH("CMS",K36)))</formula>
    </cfRule>
    <cfRule type="cellIs" dxfId="7447" priority="598" operator="equal">
      <formula>0</formula>
    </cfRule>
    <cfRule type="cellIs" dxfId="7446" priority="599" operator="greaterThan">
      <formula>0</formula>
    </cfRule>
    <cfRule type="cellIs" dxfId="7445" priority="600" operator="equal">
      <formula>"PMS"</formula>
    </cfRule>
    <cfRule type="containsText" dxfId="7444" priority="601" operator="containsText" text="CMS">
      <formula>NOT(ISERROR(SEARCH("CMS",K36)))</formula>
    </cfRule>
    <cfRule type="cellIs" dxfId="7443" priority="602" operator="equal">
      <formula>0</formula>
    </cfRule>
    <cfRule type="cellIs" dxfId="7442" priority="603" operator="greaterThan">
      <formula>0</formula>
    </cfRule>
  </conditionalFormatting>
  <conditionalFormatting sqref="K36:K38 K57:K59">
    <cfRule type="cellIs" dxfId="7441" priority="592" operator="equal">
      <formula>"PMS"</formula>
    </cfRule>
    <cfRule type="containsText" dxfId="7440" priority="593" operator="containsText" text="CMS">
      <formula>NOT(ISERROR(SEARCH("CMS",K36)))</formula>
    </cfRule>
    <cfRule type="cellIs" dxfId="7439" priority="594" operator="equal">
      <formula>0</formula>
    </cfRule>
    <cfRule type="cellIs" dxfId="7438" priority="595" operator="greaterThan">
      <formula>0</formula>
    </cfRule>
  </conditionalFormatting>
  <conditionalFormatting sqref="G49">
    <cfRule type="cellIs" dxfId="7437" priority="584" operator="equal">
      <formula>"PMS"</formula>
    </cfRule>
    <cfRule type="containsText" dxfId="7436" priority="585" operator="containsText" text="CMS">
      <formula>NOT(ISERROR(SEARCH("CMS",G49)))</formula>
    </cfRule>
    <cfRule type="cellIs" dxfId="7435" priority="586" operator="equal">
      <formula>0</formula>
    </cfRule>
    <cfRule type="cellIs" dxfId="7434" priority="587" operator="greaterThan">
      <formula>0</formula>
    </cfRule>
    <cfRule type="cellIs" dxfId="7433" priority="588" operator="equal">
      <formula>"PMS"</formula>
    </cfRule>
    <cfRule type="containsText" dxfId="7432" priority="589" operator="containsText" text="CMS">
      <formula>NOT(ISERROR(SEARCH("CMS",G49)))</formula>
    </cfRule>
    <cfRule type="cellIs" dxfId="7431" priority="590" operator="equal">
      <formula>0</formula>
    </cfRule>
    <cfRule type="cellIs" dxfId="7430" priority="591" operator="greaterThan">
      <formula>0</formula>
    </cfRule>
  </conditionalFormatting>
  <conditionalFormatting sqref="G49">
    <cfRule type="cellIs" dxfId="7429" priority="580" operator="equal">
      <formula>"PMS"</formula>
    </cfRule>
    <cfRule type="containsText" dxfId="7428" priority="581" operator="containsText" text="CMS">
      <formula>NOT(ISERROR(SEARCH("CMS",G49)))</formula>
    </cfRule>
    <cfRule type="cellIs" dxfId="7427" priority="582" operator="equal">
      <formula>0</formula>
    </cfRule>
    <cfRule type="cellIs" dxfId="7426" priority="583" operator="greaterThan">
      <formula>0</formula>
    </cfRule>
  </conditionalFormatting>
  <conditionalFormatting sqref="M49:N49">
    <cfRule type="cellIs" dxfId="7425" priority="572" operator="equal">
      <formula>"PMS"</formula>
    </cfRule>
    <cfRule type="containsText" dxfId="7424" priority="573" operator="containsText" text="CMS">
      <formula>NOT(ISERROR(SEARCH("CMS",M49)))</formula>
    </cfRule>
    <cfRule type="cellIs" dxfId="7423" priority="574" operator="equal">
      <formula>0</formula>
    </cfRule>
    <cfRule type="cellIs" dxfId="7422" priority="575" operator="greaterThan">
      <formula>0</formula>
    </cfRule>
    <cfRule type="cellIs" dxfId="7421" priority="576" operator="equal">
      <formula>"PMS"</formula>
    </cfRule>
    <cfRule type="containsText" dxfId="7420" priority="577" operator="containsText" text="CMS">
      <formula>NOT(ISERROR(SEARCH("CMS",M49)))</formula>
    </cfRule>
    <cfRule type="cellIs" dxfId="7419" priority="578" operator="equal">
      <formula>0</formula>
    </cfRule>
    <cfRule type="cellIs" dxfId="7418" priority="579" operator="greaterThan">
      <formula>0</formula>
    </cfRule>
  </conditionalFormatting>
  <conditionalFormatting sqref="M49:N49">
    <cfRule type="cellIs" dxfId="7417" priority="568" operator="equal">
      <formula>"PMS"</formula>
    </cfRule>
    <cfRule type="containsText" dxfId="7416" priority="569" operator="containsText" text="CMS">
      <formula>NOT(ISERROR(SEARCH("CMS",M49)))</formula>
    </cfRule>
    <cfRule type="cellIs" dxfId="7415" priority="570" operator="equal">
      <formula>0</formula>
    </cfRule>
    <cfRule type="cellIs" dxfId="7414" priority="571" operator="greaterThan">
      <formula>0</formula>
    </cfRule>
  </conditionalFormatting>
  <conditionalFormatting sqref="K49">
    <cfRule type="cellIs" dxfId="7413" priority="560" operator="equal">
      <formula>"PMS"</formula>
    </cfRule>
    <cfRule type="containsText" dxfId="7412" priority="561" operator="containsText" text="CMS">
      <formula>NOT(ISERROR(SEARCH("CMS",K49)))</formula>
    </cfRule>
    <cfRule type="cellIs" dxfId="7411" priority="562" operator="equal">
      <formula>0</formula>
    </cfRule>
    <cfRule type="cellIs" dxfId="7410" priority="563" operator="greaterThan">
      <formula>0</formula>
    </cfRule>
    <cfRule type="cellIs" dxfId="7409" priority="564" operator="equal">
      <formula>"PMS"</formula>
    </cfRule>
    <cfRule type="containsText" dxfId="7408" priority="565" operator="containsText" text="CMS">
      <formula>NOT(ISERROR(SEARCH("CMS",K49)))</formula>
    </cfRule>
    <cfRule type="cellIs" dxfId="7407" priority="566" operator="equal">
      <formula>0</formula>
    </cfRule>
    <cfRule type="cellIs" dxfId="7406" priority="567" operator="greaterThan">
      <formula>0</formula>
    </cfRule>
  </conditionalFormatting>
  <conditionalFormatting sqref="K49">
    <cfRule type="cellIs" dxfId="7405" priority="556" operator="equal">
      <formula>"PMS"</formula>
    </cfRule>
    <cfRule type="containsText" dxfId="7404" priority="557" operator="containsText" text="CMS">
      <formula>NOT(ISERROR(SEARCH("CMS",K49)))</formula>
    </cfRule>
    <cfRule type="cellIs" dxfId="7403" priority="558" operator="equal">
      <formula>0</formula>
    </cfRule>
    <cfRule type="cellIs" dxfId="7402" priority="559" operator="greaterThan">
      <formula>0</formula>
    </cfRule>
  </conditionalFormatting>
  <conditionalFormatting sqref="L27:L29 H24:J24 H19:J20 L20:L21 V28:AC28 Q28 P30 H27:J30 I21:K21 K19:M19 N30 S28 AC79 M21:O21 Q21:AC21 N19:AC20 Q29:AC30 H33:L33 S78 N28:P29 N33:AC33 O78:Q78 U78:AC78 O79:Y79 L24:AC24">
    <cfRule type="cellIs" dxfId="7401" priority="548" operator="equal">
      <formula>"PMS"</formula>
    </cfRule>
    <cfRule type="containsText" dxfId="7400" priority="549" operator="containsText" text="CMS">
      <formula>NOT(ISERROR(SEARCH("CMS",H19)))</formula>
    </cfRule>
    <cfRule type="cellIs" dxfId="7399" priority="550" operator="equal">
      <formula>0</formula>
    </cfRule>
    <cfRule type="cellIs" dxfId="7398" priority="551" operator="greaterThan">
      <formula>0</formula>
    </cfRule>
    <cfRule type="cellIs" dxfId="7397" priority="552" operator="equal">
      <formula>"PMS"</formula>
    </cfRule>
    <cfRule type="containsText" dxfId="7396" priority="553" operator="containsText" text="CMS">
      <formula>NOT(ISERROR(SEARCH("CMS",H19)))</formula>
    </cfRule>
    <cfRule type="cellIs" dxfId="7395" priority="554" operator="equal">
      <formula>0</formula>
    </cfRule>
    <cfRule type="cellIs" dxfId="7394" priority="555" operator="greaterThan">
      <formula>0</formula>
    </cfRule>
  </conditionalFormatting>
  <conditionalFormatting sqref="L27:L29 H24:J24 H19:J20 L20:L21 V28:AC28 Q28 P30 H27:J30 I21:K21 K19:M19 N30 S28 AC79 M21:O21 Q21:AC21 N19:AC20 Q29:AC30 H33:L33 S78 N28:P29 N33:AC33 O78:Q78 U78:AC78 O79:Y79 L24:AC24">
    <cfRule type="cellIs" dxfId="7393" priority="544" operator="equal">
      <formula>"PMS"</formula>
    </cfRule>
    <cfRule type="containsText" dxfId="7392" priority="545" operator="containsText" text="CMS">
      <formula>NOT(ISERROR(SEARCH("CMS",H19)))</formula>
    </cfRule>
    <cfRule type="cellIs" dxfId="7391" priority="546" operator="equal">
      <formula>0</formula>
    </cfRule>
    <cfRule type="cellIs" dxfId="7390" priority="547" operator="greaterThan">
      <formula>0</formula>
    </cfRule>
  </conditionalFormatting>
  <conditionalFormatting sqref="G33 G24 G39:G48 G50:G56 G19:G21 H21 G27:G30">
    <cfRule type="cellIs" dxfId="7389" priority="536" operator="equal">
      <formula>"PMS"</formula>
    </cfRule>
    <cfRule type="containsText" dxfId="7388" priority="537" operator="containsText" text="CMS">
      <formula>NOT(ISERROR(SEARCH("CMS",G19)))</formula>
    </cfRule>
    <cfRule type="cellIs" dxfId="7387" priority="538" operator="equal">
      <formula>0</formula>
    </cfRule>
    <cfRule type="cellIs" dxfId="7386" priority="539" operator="greaterThan">
      <formula>0</formula>
    </cfRule>
    <cfRule type="cellIs" dxfId="7385" priority="540" operator="equal">
      <formula>"PMS"</formula>
    </cfRule>
    <cfRule type="containsText" dxfId="7384" priority="541" operator="containsText" text="CMS">
      <formula>NOT(ISERROR(SEARCH("CMS",G19)))</formula>
    </cfRule>
    <cfRule type="cellIs" dxfId="7383" priority="542" operator="equal">
      <formula>0</formula>
    </cfRule>
    <cfRule type="cellIs" dxfId="7382" priority="543" operator="greaterThan">
      <formula>0</formula>
    </cfRule>
  </conditionalFormatting>
  <conditionalFormatting sqref="G33 G24 G39:G48 G50:G56 G19:G21 H21 G27:G30">
    <cfRule type="cellIs" dxfId="7381" priority="532" operator="equal">
      <formula>"PMS"</formula>
    </cfRule>
    <cfRule type="containsText" dxfId="7380" priority="533" operator="containsText" text="CMS">
      <formula>NOT(ISERROR(SEARCH("CMS",G19)))</formula>
    </cfRule>
    <cfRule type="cellIs" dxfId="7379" priority="534" operator="equal">
      <formula>0</formula>
    </cfRule>
    <cfRule type="cellIs" dxfId="7378" priority="535" operator="greaterThan">
      <formula>0</formula>
    </cfRule>
  </conditionalFormatting>
  <conditionalFormatting sqref="M39:M48 M33 M27:M29 M20 AB27:AC27 M56 N47:N48 N51:N56 S27:X27 N27:Q27 M62:M64">
    <cfRule type="cellIs" dxfId="7377" priority="524" operator="equal">
      <formula>"PMS"</formula>
    </cfRule>
    <cfRule type="containsText" dxfId="7376" priority="525" operator="containsText" text="CMS">
      <formula>NOT(ISERROR(SEARCH("CMS",M20)))</formula>
    </cfRule>
    <cfRule type="cellIs" dxfId="7375" priority="526" operator="equal">
      <formula>0</formula>
    </cfRule>
    <cfRule type="cellIs" dxfId="7374" priority="527" operator="greaterThan">
      <formula>0</formula>
    </cfRule>
    <cfRule type="cellIs" dxfId="7373" priority="528" operator="equal">
      <formula>"PMS"</formula>
    </cfRule>
    <cfRule type="containsText" dxfId="7372" priority="529" operator="containsText" text="CMS">
      <formula>NOT(ISERROR(SEARCH("CMS",M20)))</formula>
    </cfRule>
    <cfRule type="cellIs" dxfId="7371" priority="530" operator="equal">
      <formula>0</formula>
    </cfRule>
    <cfRule type="cellIs" dxfId="7370" priority="531" operator="greaterThan">
      <formula>0</formula>
    </cfRule>
  </conditionalFormatting>
  <conditionalFormatting sqref="M39:M48 M33 M27:M29 M20 AB27:AC27 M56 N47:N48 N51:N56 S27:X27 N27:Q27 M62:M64">
    <cfRule type="cellIs" dxfId="7369" priority="520" operator="equal">
      <formula>"PMS"</formula>
    </cfRule>
    <cfRule type="containsText" dxfId="7368" priority="521" operator="containsText" text="CMS">
      <formula>NOT(ISERROR(SEARCH("CMS",M20)))</formula>
    </cfRule>
    <cfRule type="cellIs" dxfId="7367" priority="522" operator="equal">
      <formula>0</formula>
    </cfRule>
    <cfRule type="cellIs" dxfId="7366" priority="523" operator="greaterThan">
      <formula>0</formula>
    </cfRule>
  </conditionalFormatting>
  <conditionalFormatting sqref="K50:K56 K39:K48 K27 K24 K20 K29:K30 L30">
    <cfRule type="cellIs" dxfId="7365" priority="512" operator="equal">
      <formula>"PMS"</formula>
    </cfRule>
    <cfRule type="containsText" dxfId="7364" priority="513" operator="containsText" text="CMS">
      <formula>NOT(ISERROR(SEARCH("CMS",K20)))</formula>
    </cfRule>
    <cfRule type="cellIs" dxfId="7363" priority="514" operator="equal">
      <formula>0</formula>
    </cfRule>
    <cfRule type="cellIs" dxfId="7362" priority="515" operator="greaterThan">
      <formula>0</formula>
    </cfRule>
    <cfRule type="cellIs" dxfId="7361" priority="516" operator="equal">
      <formula>"PMS"</formula>
    </cfRule>
    <cfRule type="containsText" dxfId="7360" priority="517" operator="containsText" text="CMS">
      <formula>NOT(ISERROR(SEARCH("CMS",K20)))</formula>
    </cfRule>
    <cfRule type="cellIs" dxfId="7359" priority="518" operator="equal">
      <formula>0</formula>
    </cfRule>
    <cfRule type="cellIs" dxfId="7358" priority="519" operator="greaterThan">
      <formula>0</formula>
    </cfRule>
  </conditionalFormatting>
  <conditionalFormatting sqref="K50:K56 K39:K48 K27 K24 K20 K29:K30 L30">
    <cfRule type="cellIs" dxfId="7357" priority="508" operator="equal">
      <formula>"PMS"</formula>
    </cfRule>
    <cfRule type="containsText" dxfId="7356" priority="509" operator="containsText" text="CMS">
      <formula>NOT(ISERROR(SEARCH("CMS",K20)))</formula>
    </cfRule>
    <cfRule type="cellIs" dxfId="7355" priority="510" operator="equal">
      <formula>0</formula>
    </cfRule>
    <cfRule type="cellIs" dxfId="7354" priority="511" operator="greaterThan">
      <formula>0</formula>
    </cfRule>
  </conditionalFormatting>
  <conditionalFormatting sqref="K28">
    <cfRule type="cellIs" dxfId="7353" priority="500" operator="equal">
      <formula>"PMS"</formula>
    </cfRule>
    <cfRule type="containsText" dxfId="7352" priority="501" operator="containsText" text="CMS">
      <formula>NOT(ISERROR(SEARCH("CMS",K28)))</formula>
    </cfRule>
    <cfRule type="cellIs" dxfId="7351" priority="502" operator="equal">
      <formula>0</formula>
    </cfRule>
    <cfRule type="cellIs" dxfId="7350" priority="503" operator="greaterThan">
      <formula>0</formula>
    </cfRule>
    <cfRule type="cellIs" dxfId="7349" priority="504" operator="equal">
      <formula>"PMS"</formula>
    </cfRule>
    <cfRule type="containsText" dxfId="7348" priority="505" operator="containsText" text="CMS">
      <formula>NOT(ISERROR(SEARCH("CMS",K28)))</formula>
    </cfRule>
    <cfRule type="cellIs" dxfId="7347" priority="506" operator="equal">
      <formula>0</formula>
    </cfRule>
    <cfRule type="cellIs" dxfId="7346" priority="507" operator="greaterThan">
      <formula>0</formula>
    </cfRule>
  </conditionalFormatting>
  <conditionalFormatting sqref="K28">
    <cfRule type="cellIs" dxfId="7345" priority="496" operator="equal">
      <formula>"PMS"</formula>
    </cfRule>
    <cfRule type="containsText" dxfId="7344" priority="497" operator="containsText" text="CMS">
      <formula>NOT(ISERROR(SEARCH("CMS",K28)))</formula>
    </cfRule>
    <cfRule type="cellIs" dxfId="7343" priority="498" operator="equal">
      <formula>0</formula>
    </cfRule>
    <cfRule type="cellIs" dxfId="7342" priority="499" operator="greaterThan">
      <formula>0</formula>
    </cfRule>
  </conditionalFormatting>
  <conditionalFormatting sqref="N62:O62 O63:O64">
    <cfRule type="cellIs" dxfId="7341" priority="488" operator="equal">
      <formula>"PMS"</formula>
    </cfRule>
    <cfRule type="containsText" dxfId="7340" priority="489" operator="containsText" text="CMS">
      <formula>NOT(ISERROR(SEARCH("CMS",N62)))</formula>
    </cfRule>
    <cfRule type="cellIs" dxfId="7339" priority="490" operator="equal">
      <formula>0</formula>
    </cfRule>
    <cfRule type="cellIs" dxfId="7338" priority="491" operator="greaterThan">
      <formula>0</formula>
    </cfRule>
    <cfRule type="cellIs" dxfId="7337" priority="492" operator="equal">
      <formula>"PMS"</formula>
    </cfRule>
    <cfRule type="containsText" dxfId="7336" priority="493" operator="containsText" text="CMS">
      <formula>NOT(ISERROR(SEARCH("CMS",N62)))</formula>
    </cfRule>
    <cfRule type="cellIs" dxfId="7335" priority="494" operator="equal">
      <formula>0</formula>
    </cfRule>
    <cfRule type="cellIs" dxfId="7334" priority="495" operator="greaterThan">
      <formula>0</formula>
    </cfRule>
  </conditionalFormatting>
  <conditionalFormatting sqref="N62:O62 O63:O64">
    <cfRule type="cellIs" dxfId="7333" priority="484" operator="equal">
      <formula>"PMS"</formula>
    </cfRule>
    <cfRule type="containsText" dxfId="7332" priority="485" operator="containsText" text="CMS">
      <formula>NOT(ISERROR(SEARCH("CMS",N62)))</formula>
    </cfRule>
    <cfRule type="cellIs" dxfId="7331" priority="486" operator="equal">
      <formula>0</formula>
    </cfRule>
    <cfRule type="cellIs" dxfId="7330" priority="487" operator="greaterThan">
      <formula>0</formula>
    </cfRule>
  </conditionalFormatting>
  <conditionalFormatting sqref="U28">
    <cfRule type="cellIs" dxfId="7329" priority="476" operator="equal">
      <formula>"PMS"</formula>
    </cfRule>
    <cfRule type="containsText" dxfId="7328" priority="477" operator="containsText" text="CMS">
      <formula>NOT(ISERROR(SEARCH("CMS",U28)))</formula>
    </cfRule>
    <cfRule type="cellIs" dxfId="7327" priority="478" operator="equal">
      <formula>0</formula>
    </cfRule>
    <cfRule type="cellIs" dxfId="7326" priority="479" operator="greaterThan">
      <formula>0</formula>
    </cfRule>
    <cfRule type="cellIs" dxfId="7325" priority="480" operator="equal">
      <formula>"PMS"</formula>
    </cfRule>
    <cfRule type="containsText" dxfId="7324" priority="481" operator="containsText" text="CMS">
      <formula>NOT(ISERROR(SEARCH("CMS",U28)))</formula>
    </cfRule>
    <cfRule type="cellIs" dxfId="7323" priority="482" operator="equal">
      <formula>0</formula>
    </cfRule>
    <cfRule type="cellIs" dxfId="7322" priority="483" operator="greaterThan">
      <formula>0</formula>
    </cfRule>
  </conditionalFormatting>
  <conditionalFormatting sqref="U28">
    <cfRule type="cellIs" dxfId="7321" priority="472" operator="equal">
      <formula>"PMS"</formula>
    </cfRule>
    <cfRule type="containsText" dxfId="7320" priority="473" operator="containsText" text="CMS">
      <formula>NOT(ISERROR(SEARCH("CMS",U28)))</formula>
    </cfRule>
    <cfRule type="cellIs" dxfId="7319" priority="474" operator="equal">
      <formula>0</formula>
    </cfRule>
    <cfRule type="cellIs" dxfId="7318" priority="475" operator="greaterThan">
      <formula>0</formula>
    </cfRule>
  </conditionalFormatting>
  <conditionalFormatting sqref="Y27:AA27">
    <cfRule type="cellIs" dxfId="7317" priority="464" operator="equal">
      <formula>"PMS"</formula>
    </cfRule>
    <cfRule type="containsText" dxfId="7316" priority="465" operator="containsText" text="CMS">
      <formula>NOT(ISERROR(SEARCH("CMS",Y27)))</formula>
    </cfRule>
    <cfRule type="cellIs" dxfId="7315" priority="466" operator="equal">
      <formula>0</formula>
    </cfRule>
    <cfRule type="cellIs" dxfId="7314" priority="467" operator="greaterThan">
      <formula>0</formula>
    </cfRule>
    <cfRule type="cellIs" dxfId="7313" priority="468" operator="equal">
      <formula>"PMS"</formula>
    </cfRule>
    <cfRule type="containsText" dxfId="7312" priority="469" operator="containsText" text="CMS">
      <formula>NOT(ISERROR(SEARCH("CMS",Y27)))</formula>
    </cfRule>
    <cfRule type="cellIs" dxfId="7311" priority="470" operator="equal">
      <formula>0</formula>
    </cfRule>
    <cfRule type="cellIs" dxfId="7310" priority="471" operator="greaterThan">
      <formula>0</formula>
    </cfRule>
  </conditionalFormatting>
  <conditionalFormatting sqref="Y27:AA27">
    <cfRule type="cellIs" dxfId="7309" priority="460" operator="equal">
      <formula>"PMS"</formula>
    </cfRule>
    <cfRule type="containsText" dxfId="7308" priority="461" operator="containsText" text="CMS">
      <formula>NOT(ISERROR(SEARCH("CMS",Y27)))</formula>
    </cfRule>
    <cfRule type="cellIs" dxfId="7307" priority="462" operator="equal">
      <formula>0</formula>
    </cfRule>
    <cfRule type="cellIs" dxfId="7306" priority="463" operator="greaterThan">
      <formula>0</formula>
    </cfRule>
  </conditionalFormatting>
  <conditionalFormatting sqref="G62:G64">
    <cfRule type="cellIs" dxfId="7305" priority="452" operator="equal">
      <formula>"PMS"</formula>
    </cfRule>
    <cfRule type="containsText" dxfId="7304" priority="453" operator="containsText" text="CMS">
      <formula>NOT(ISERROR(SEARCH("CMS",G62)))</formula>
    </cfRule>
    <cfRule type="cellIs" dxfId="7303" priority="454" operator="equal">
      <formula>0</formula>
    </cfRule>
    <cfRule type="cellIs" dxfId="7302" priority="455" operator="greaterThan">
      <formula>0</formula>
    </cfRule>
    <cfRule type="cellIs" dxfId="7301" priority="456" operator="equal">
      <formula>"PMS"</formula>
    </cfRule>
    <cfRule type="containsText" dxfId="7300" priority="457" operator="containsText" text="CMS">
      <formula>NOT(ISERROR(SEARCH("CMS",G62)))</formula>
    </cfRule>
    <cfRule type="cellIs" dxfId="7299" priority="458" operator="equal">
      <formula>0</formula>
    </cfRule>
    <cfRule type="cellIs" dxfId="7298" priority="459" operator="greaterThan">
      <formula>0</formula>
    </cfRule>
  </conditionalFormatting>
  <conditionalFormatting sqref="G62:G64">
    <cfRule type="cellIs" dxfId="7297" priority="448" operator="equal">
      <formula>"PMS"</formula>
    </cfRule>
    <cfRule type="containsText" dxfId="7296" priority="449" operator="containsText" text="CMS">
      <formula>NOT(ISERROR(SEARCH("CMS",G62)))</formula>
    </cfRule>
    <cfRule type="cellIs" dxfId="7295" priority="450" operator="equal">
      <formula>0</formula>
    </cfRule>
    <cfRule type="cellIs" dxfId="7294" priority="451" operator="greaterThan">
      <formula>0</formula>
    </cfRule>
  </conditionalFormatting>
  <conditionalFormatting sqref="N40">
    <cfRule type="cellIs" dxfId="7293" priority="440" operator="equal">
      <formula>"PMS"</formula>
    </cfRule>
    <cfRule type="containsText" dxfId="7292" priority="441" operator="containsText" text="CMS">
      <formula>NOT(ISERROR(SEARCH("CMS",N40)))</formula>
    </cfRule>
    <cfRule type="cellIs" dxfId="7291" priority="442" operator="equal">
      <formula>0</formula>
    </cfRule>
    <cfRule type="cellIs" dxfId="7290" priority="443" operator="greaterThan">
      <formula>0</formula>
    </cfRule>
    <cfRule type="cellIs" dxfId="7289" priority="444" operator="equal">
      <formula>"PMS"</formula>
    </cfRule>
    <cfRule type="containsText" dxfId="7288" priority="445" operator="containsText" text="CMS">
      <formula>NOT(ISERROR(SEARCH("CMS",N40)))</formula>
    </cfRule>
    <cfRule type="cellIs" dxfId="7287" priority="446" operator="equal">
      <formula>0</formula>
    </cfRule>
    <cfRule type="cellIs" dxfId="7286" priority="447" operator="greaterThan">
      <formula>0</formula>
    </cfRule>
  </conditionalFormatting>
  <conditionalFormatting sqref="N40">
    <cfRule type="cellIs" dxfId="7285" priority="436" operator="equal">
      <formula>"PMS"</formula>
    </cfRule>
    <cfRule type="containsText" dxfId="7284" priority="437" operator="containsText" text="CMS">
      <formula>NOT(ISERROR(SEARCH("CMS",N40)))</formula>
    </cfRule>
    <cfRule type="cellIs" dxfId="7283" priority="438" operator="equal">
      <formula>0</formula>
    </cfRule>
    <cfRule type="cellIs" dxfId="7282" priority="439" operator="greaterThan">
      <formula>0</formula>
    </cfRule>
  </conditionalFormatting>
  <conditionalFormatting sqref="O30">
    <cfRule type="cellIs" dxfId="7281" priority="428" operator="equal">
      <formula>"PMS"</formula>
    </cfRule>
    <cfRule type="containsText" dxfId="7280" priority="429" operator="containsText" text="CMS">
      <formula>NOT(ISERROR(SEARCH("CMS",O30)))</formula>
    </cfRule>
    <cfRule type="cellIs" dxfId="7279" priority="430" operator="equal">
      <formula>0</formula>
    </cfRule>
    <cfRule type="cellIs" dxfId="7278" priority="431" operator="greaterThan">
      <formula>0</formula>
    </cfRule>
    <cfRule type="cellIs" dxfId="7277" priority="432" operator="equal">
      <formula>"PMS"</formula>
    </cfRule>
    <cfRule type="containsText" dxfId="7276" priority="433" operator="containsText" text="CMS">
      <formula>NOT(ISERROR(SEARCH("CMS",O30)))</formula>
    </cfRule>
    <cfRule type="cellIs" dxfId="7275" priority="434" operator="equal">
      <formula>0</formula>
    </cfRule>
    <cfRule type="cellIs" dxfId="7274" priority="435" operator="greaterThan">
      <formula>0</formula>
    </cfRule>
  </conditionalFormatting>
  <conditionalFormatting sqref="O30">
    <cfRule type="cellIs" dxfId="7273" priority="424" operator="equal">
      <formula>"PMS"</formula>
    </cfRule>
    <cfRule type="containsText" dxfId="7272" priority="425" operator="containsText" text="CMS">
      <formula>NOT(ISERROR(SEARCH("CMS",O30)))</formula>
    </cfRule>
    <cfRule type="cellIs" dxfId="7271" priority="426" operator="equal">
      <formula>0</formula>
    </cfRule>
    <cfRule type="cellIs" dxfId="7270" priority="427" operator="greaterThan">
      <formula>0</formula>
    </cfRule>
  </conditionalFormatting>
  <conditionalFormatting sqref="O47:O49">
    <cfRule type="cellIs" dxfId="7269" priority="416" operator="equal">
      <formula>"PMS"</formula>
    </cfRule>
    <cfRule type="containsText" dxfId="7268" priority="417" operator="containsText" text="CMS">
      <formula>NOT(ISERROR(SEARCH("CMS",O47)))</formula>
    </cfRule>
    <cfRule type="cellIs" dxfId="7267" priority="418" operator="equal">
      <formula>0</formula>
    </cfRule>
    <cfRule type="cellIs" dxfId="7266" priority="419" operator="greaterThan">
      <formula>0</formula>
    </cfRule>
    <cfRule type="cellIs" dxfId="7265" priority="420" operator="equal">
      <formula>"PMS"</formula>
    </cfRule>
    <cfRule type="containsText" dxfId="7264" priority="421" operator="containsText" text="CMS">
      <formula>NOT(ISERROR(SEARCH("CMS",O47)))</formula>
    </cfRule>
    <cfRule type="cellIs" dxfId="7263" priority="422" operator="equal">
      <formula>0</formula>
    </cfRule>
    <cfRule type="cellIs" dxfId="7262" priority="423" operator="greaterThan">
      <formula>0</formula>
    </cfRule>
  </conditionalFormatting>
  <conditionalFormatting sqref="O47:O49">
    <cfRule type="cellIs" dxfId="7261" priority="412" operator="equal">
      <formula>"PMS"</formula>
    </cfRule>
    <cfRule type="containsText" dxfId="7260" priority="413" operator="containsText" text="CMS">
      <formula>NOT(ISERROR(SEARCH("CMS",O47)))</formula>
    </cfRule>
    <cfRule type="cellIs" dxfId="7259" priority="414" operator="equal">
      <formula>0</formula>
    </cfRule>
    <cfRule type="cellIs" dxfId="7258" priority="415" operator="greaterThan">
      <formula>0</formula>
    </cfRule>
  </conditionalFormatting>
  <conditionalFormatting sqref="H15:H16">
    <cfRule type="cellIs" dxfId="7257" priority="404" operator="equal">
      <formula>"PMS"</formula>
    </cfRule>
    <cfRule type="containsText" dxfId="7256" priority="405" operator="containsText" text="CMS">
      <formula>NOT(ISERROR(SEARCH("CMS",H15)))</formula>
    </cfRule>
    <cfRule type="cellIs" dxfId="7255" priority="406" operator="equal">
      <formula>0</formula>
    </cfRule>
    <cfRule type="cellIs" dxfId="7254" priority="407" operator="greaterThan">
      <formula>0</formula>
    </cfRule>
    <cfRule type="cellIs" dxfId="7253" priority="408" operator="equal">
      <formula>"PMS"</formula>
    </cfRule>
    <cfRule type="containsText" dxfId="7252" priority="409" operator="containsText" text="CMS">
      <formula>NOT(ISERROR(SEARCH("CMS",H15)))</formula>
    </cfRule>
    <cfRule type="cellIs" dxfId="7251" priority="410" operator="equal">
      <formula>0</formula>
    </cfRule>
    <cfRule type="cellIs" dxfId="7250" priority="411" operator="greaterThan">
      <formula>0</formula>
    </cfRule>
  </conditionalFormatting>
  <conditionalFormatting sqref="H15:H16">
    <cfRule type="cellIs" dxfId="7249" priority="400" operator="equal">
      <formula>"PMS"</formula>
    </cfRule>
    <cfRule type="containsText" dxfId="7248" priority="401" operator="containsText" text="CMS">
      <formula>NOT(ISERROR(SEARCH("CMS",H15)))</formula>
    </cfRule>
    <cfRule type="cellIs" dxfId="7247" priority="402" operator="equal">
      <formula>0</formula>
    </cfRule>
    <cfRule type="cellIs" dxfId="7246" priority="403" operator="greaterThan">
      <formula>0</formula>
    </cfRule>
  </conditionalFormatting>
  <conditionalFormatting sqref="G14">
    <cfRule type="cellIs" dxfId="7245" priority="392" operator="equal">
      <formula>"PMS"</formula>
    </cfRule>
    <cfRule type="containsText" dxfId="7244" priority="393" operator="containsText" text="CMS">
      <formula>NOT(ISERROR(SEARCH("CMS",G14)))</formula>
    </cfRule>
    <cfRule type="cellIs" dxfId="7243" priority="394" operator="equal">
      <formula>0</formula>
    </cfRule>
    <cfRule type="cellIs" dxfId="7242" priority="395" operator="greaterThan">
      <formula>0</formula>
    </cfRule>
    <cfRule type="cellIs" dxfId="7241" priority="396" operator="equal">
      <formula>"PMS"</formula>
    </cfRule>
    <cfRule type="containsText" dxfId="7240" priority="397" operator="containsText" text="CMS">
      <formula>NOT(ISERROR(SEARCH("CMS",G14)))</formula>
    </cfRule>
    <cfRule type="cellIs" dxfId="7239" priority="398" operator="equal">
      <formula>0</formula>
    </cfRule>
    <cfRule type="cellIs" dxfId="7238" priority="399" operator="greaterThan">
      <formula>0</formula>
    </cfRule>
  </conditionalFormatting>
  <conditionalFormatting sqref="G14">
    <cfRule type="cellIs" dxfId="7237" priority="388" operator="equal">
      <formula>"PMS"</formula>
    </cfRule>
    <cfRule type="containsText" dxfId="7236" priority="389" operator="containsText" text="CMS">
      <formula>NOT(ISERROR(SEARCH("CMS",G14)))</formula>
    </cfRule>
    <cfRule type="cellIs" dxfId="7235" priority="390" operator="equal">
      <formula>0</formula>
    </cfRule>
    <cfRule type="cellIs" dxfId="7234" priority="391" operator="greaterThan">
      <formula>0</formula>
    </cfRule>
  </conditionalFormatting>
  <conditionalFormatting sqref="N63:N64">
    <cfRule type="cellIs" dxfId="7233" priority="380" operator="equal">
      <formula>"PMS"</formula>
    </cfRule>
    <cfRule type="containsText" dxfId="7232" priority="381" operator="containsText" text="CMS">
      <formula>NOT(ISERROR(SEARCH("CMS",N63)))</formula>
    </cfRule>
    <cfRule type="cellIs" dxfId="7231" priority="382" operator="equal">
      <formula>0</formula>
    </cfRule>
    <cfRule type="cellIs" dxfId="7230" priority="383" operator="greaterThan">
      <formula>0</formula>
    </cfRule>
    <cfRule type="cellIs" dxfId="7229" priority="384" operator="equal">
      <formula>"PMS"</formula>
    </cfRule>
    <cfRule type="containsText" dxfId="7228" priority="385" operator="containsText" text="CMS">
      <formula>NOT(ISERROR(SEARCH("CMS",N63)))</formula>
    </cfRule>
    <cfRule type="cellIs" dxfId="7227" priority="386" operator="equal">
      <formula>0</formula>
    </cfRule>
    <cfRule type="cellIs" dxfId="7226" priority="387" operator="greaterThan">
      <formula>0</formula>
    </cfRule>
  </conditionalFormatting>
  <conditionalFormatting sqref="N63:N64">
    <cfRule type="cellIs" dxfId="7225" priority="376" operator="equal">
      <formula>"PMS"</formula>
    </cfRule>
    <cfRule type="containsText" dxfId="7224" priority="377" operator="containsText" text="CMS">
      <formula>NOT(ISERROR(SEARCH("CMS",N63)))</formula>
    </cfRule>
    <cfRule type="cellIs" dxfId="7223" priority="378" operator="equal">
      <formula>0</formula>
    </cfRule>
    <cfRule type="cellIs" dxfId="7222" priority="379" operator="greaterThan">
      <formula>0</formula>
    </cfRule>
  </conditionalFormatting>
  <conditionalFormatting sqref="G78:K78">
    <cfRule type="cellIs" dxfId="7221" priority="368" operator="equal">
      <formula>"PMS"</formula>
    </cfRule>
    <cfRule type="containsText" dxfId="7220" priority="369" operator="containsText" text="CMS">
      <formula>NOT(ISERROR(SEARCH("CMS",G78)))</formula>
    </cfRule>
    <cfRule type="cellIs" dxfId="7219" priority="370" operator="equal">
      <formula>0</formula>
    </cfRule>
    <cfRule type="cellIs" dxfId="7218" priority="371" operator="greaterThan">
      <formula>0</formula>
    </cfRule>
    <cfRule type="cellIs" dxfId="7217" priority="372" operator="equal">
      <formula>"PMS"</formula>
    </cfRule>
    <cfRule type="containsText" dxfId="7216" priority="373" operator="containsText" text="CMS">
      <formula>NOT(ISERROR(SEARCH("CMS",G78)))</formula>
    </cfRule>
    <cfRule type="cellIs" dxfId="7215" priority="374" operator="equal">
      <formula>0</formula>
    </cfRule>
    <cfRule type="cellIs" dxfId="7214" priority="375" operator="greaterThan">
      <formula>0</formula>
    </cfRule>
  </conditionalFormatting>
  <conditionalFormatting sqref="G78:K78">
    <cfRule type="cellIs" dxfId="7213" priority="364" operator="equal">
      <formula>"PMS"</formula>
    </cfRule>
    <cfRule type="containsText" dxfId="7212" priority="365" operator="containsText" text="CMS">
      <formula>NOT(ISERROR(SEARCH("CMS",G78)))</formula>
    </cfRule>
    <cfRule type="cellIs" dxfId="7211" priority="366" operator="equal">
      <formula>0</formula>
    </cfRule>
    <cfRule type="cellIs" dxfId="7210" priority="367" operator="greaterThan">
      <formula>0</formula>
    </cfRule>
  </conditionalFormatting>
  <conditionalFormatting sqref="L78:L79">
    <cfRule type="cellIs" dxfId="7209" priority="356" operator="equal">
      <formula>"PMS"</formula>
    </cfRule>
    <cfRule type="containsText" dxfId="7208" priority="357" operator="containsText" text="CMS">
      <formula>NOT(ISERROR(SEARCH("CMS",L78)))</formula>
    </cfRule>
    <cfRule type="cellIs" dxfId="7207" priority="358" operator="equal">
      <formula>0</formula>
    </cfRule>
    <cfRule type="cellIs" dxfId="7206" priority="359" operator="greaterThan">
      <formula>0</formula>
    </cfRule>
    <cfRule type="cellIs" dxfId="7205" priority="360" operator="equal">
      <formula>"PMS"</formula>
    </cfRule>
    <cfRule type="containsText" dxfId="7204" priority="361" operator="containsText" text="CMS">
      <formula>NOT(ISERROR(SEARCH("CMS",L78)))</formula>
    </cfRule>
    <cfRule type="cellIs" dxfId="7203" priority="362" operator="equal">
      <formula>0</formula>
    </cfRule>
    <cfRule type="cellIs" dxfId="7202" priority="363" operator="greaterThan">
      <formula>0</formula>
    </cfRule>
  </conditionalFormatting>
  <conditionalFormatting sqref="L78:L79">
    <cfRule type="cellIs" dxfId="7201" priority="352" operator="equal">
      <formula>"PMS"</formula>
    </cfRule>
    <cfRule type="containsText" dxfId="7200" priority="353" operator="containsText" text="CMS">
      <formula>NOT(ISERROR(SEARCH("CMS",L78)))</formula>
    </cfRule>
    <cfRule type="cellIs" dxfId="7199" priority="354" operator="equal">
      <formula>0</formula>
    </cfRule>
    <cfRule type="cellIs" dxfId="7198" priority="355" operator="greaterThan">
      <formula>0</formula>
    </cfRule>
  </conditionalFormatting>
  <conditionalFormatting sqref="R27:R28">
    <cfRule type="cellIs" dxfId="7197" priority="344" operator="equal">
      <formula>"PMS"</formula>
    </cfRule>
    <cfRule type="containsText" dxfId="7196" priority="345" operator="containsText" text="CMS">
      <formula>NOT(ISERROR(SEARCH("CMS",R27)))</formula>
    </cfRule>
    <cfRule type="cellIs" dxfId="7195" priority="346" operator="equal">
      <formula>0</formula>
    </cfRule>
    <cfRule type="cellIs" dxfId="7194" priority="347" operator="greaterThan">
      <formula>0</formula>
    </cfRule>
    <cfRule type="cellIs" dxfId="7193" priority="348" operator="equal">
      <formula>"PMS"</formula>
    </cfRule>
    <cfRule type="containsText" dxfId="7192" priority="349" operator="containsText" text="CMS">
      <formula>NOT(ISERROR(SEARCH("CMS",R27)))</formula>
    </cfRule>
    <cfRule type="cellIs" dxfId="7191" priority="350" operator="equal">
      <formula>0</formula>
    </cfRule>
    <cfRule type="cellIs" dxfId="7190" priority="351" operator="greaterThan">
      <formula>0</formula>
    </cfRule>
  </conditionalFormatting>
  <conditionalFormatting sqref="R27:R28">
    <cfRule type="cellIs" dxfId="7189" priority="340" operator="equal">
      <formula>"PMS"</formula>
    </cfRule>
    <cfRule type="containsText" dxfId="7188" priority="341" operator="containsText" text="CMS">
      <formula>NOT(ISERROR(SEARCH("CMS",R27)))</formula>
    </cfRule>
    <cfRule type="cellIs" dxfId="7187" priority="342" operator="equal">
      <formula>0</formula>
    </cfRule>
    <cfRule type="cellIs" dxfId="7186" priority="343" operator="greaterThan">
      <formula>0</formula>
    </cfRule>
  </conditionalFormatting>
  <conditionalFormatting sqref="AA79:AB79">
    <cfRule type="cellIs" dxfId="7185" priority="332" operator="equal">
      <formula>"PMS"</formula>
    </cfRule>
    <cfRule type="containsText" dxfId="7184" priority="333" operator="containsText" text="CMS">
      <formula>NOT(ISERROR(SEARCH("CMS",AA79)))</formula>
    </cfRule>
    <cfRule type="cellIs" dxfId="7183" priority="334" operator="equal">
      <formula>0</formula>
    </cfRule>
    <cfRule type="cellIs" dxfId="7182" priority="335" operator="greaterThan">
      <formula>0</formula>
    </cfRule>
    <cfRule type="cellIs" dxfId="7181" priority="336" operator="equal">
      <formula>"PMS"</formula>
    </cfRule>
    <cfRule type="containsText" dxfId="7180" priority="337" operator="containsText" text="CMS">
      <formula>NOT(ISERROR(SEARCH("CMS",AA79)))</formula>
    </cfRule>
    <cfRule type="cellIs" dxfId="7179" priority="338" operator="equal">
      <formula>0</formula>
    </cfRule>
    <cfRule type="cellIs" dxfId="7178" priority="339" operator="greaterThan">
      <formula>0</formula>
    </cfRule>
  </conditionalFormatting>
  <conditionalFormatting sqref="AA79:AB79">
    <cfRule type="cellIs" dxfId="7177" priority="328" operator="equal">
      <formula>"PMS"</formula>
    </cfRule>
    <cfRule type="containsText" dxfId="7176" priority="329" operator="containsText" text="CMS">
      <formula>NOT(ISERROR(SEARCH("CMS",AA79)))</formula>
    </cfRule>
    <cfRule type="cellIs" dxfId="7175" priority="330" operator="equal">
      <formula>0</formula>
    </cfRule>
    <cfRule type="cellIs" dxfId="7174" priority="331" operator="greaterThan">
      <formula>0</formula>
    </cfRule>
  </conditionalFormatting>
  <conditionalFormatting sqref="M30">
    <cfRule type="cellIs" dxfId="7173" priority="320" operator="equal">
      <formula>"PMS"</formula>
    </cfRule>
    <cfRule type="containsText" dxfId="7172" priority="321" operator="containsText" text="CMS">
      <formula>NOT(ISERROR(SEARCH("CMS",M30)))</formula>
    </cfRule>
    <cfRule type="cellIs" dxfId="7171" priority="322" operator="equal">
      <formula>0</formula>
    </cfRule>
    <cfRule type="cellIs" dxfId="7170" priority="323" operator="greaterThan">
      <formula>0</formula>
    </cfRule>
    <cfRule type="cellIs" dxfId="7169" priority="324" operator="equal">
      <formula>"PMS"</formula>
    </cfRule>
    <cfRule type="containsText" dxfId="7168" priority="325" operator="containsText" text="CMS">
      <formula>NOT(ISERROR(SEARCH("CMS",M30)))</formula>
    </cfRule>
    <cfRule type="cellIs" dxfId="7167" priority="326" operator="equal">
      <formula>0</formula>
    </cfRule>
    <cfRule type="cellIs" dxfId="7166" priority="327" operator="greaterThan">
      <formula>0</formula>
    </cfRule>
  </conditionalFormatting>
  <conditionalFormatting sqref="M30">
    <cfRule type="cellIs" dxfId="7165" priority="316" operator="equal">
      <formula>"PMS"</formula>
    </cfRule>
    <cfRule type="containsText" dxfId="7164" priority="317" operator="containsText" text="CMS">
      <formula>NOT(ISERROR(SEARCH("CMS",M30)))</formula>
    </cfRule>
    <cfRule type="cellIs" dxfId="7163" priority="318" operator="equal">
      <formula>0</formula>
    </cfRule>
    <cfRule type="cellIs" dxfId="7162" priority="319" operator="greaterThan">
      <formula>0</formula>
    </cfRule>
  </conditionalFormatting>
  <conditionalFormatting sqref="R78">
    <cfRule type="cellIs" dxfId="7161" priority="308" operator="equal">
      <formula>"PMS"</formula>
    </cfRule>
    <cfRule type="containsText" dxfId="7160" priority="309" operator="containsText" text="CMS">
      <formula>NOT(ISERROR(SEARCH("CMS",R78)))</formula>
    </cfRule>
    <cfRule type="cellIs" dxfId="7159" priority="310" operator="equal">
      <formula>0</formula>
    </cfRule>
    <cfRule type="cellIs" dxfId="7158" priority="311" operator="greaterThan">
      <formula>0</formula>
    </cfRule>
    <cfRule type="cellIs" dxfId="7157" priority="312" operator="equal">
      <formula>"PMS"</formula>
    </cfRule>
    <cfRule type="containsText" dxfId="7156" priority="313" operator="containsText" text="CMS">
      <formula>NOT(ISERROR(SEARCH("CMS",R78)))</formula>
    </cfRule>
    <cfRule type="cellIs" dxfId="7155" priority="314" operator="equal">
      <formula>0</formula>
    </cfRule>
    <cfRule type="cellIs" dxfId="7154" priority="315" operator="greaterThan">
      <formula>0</formula>
    </cfRule>
  </conditionalFormatting>
  <conditionalFormatting sqref="R78">
    <cfRule type="cellIs" dxfId="7153" priority="304" operator="equal">
      <formula>"PMS"</formula>
    </cfRule>
    <cfRule type="containsText" dxfId="7152" priority="305" operator="containsText" text="CMS">
      <formula>NOT(ISERROR(SEARCH("CMS",R78)))</formula>
    </cfRule>
    <cfRule type="cellIs" dxfId="7151" priority="306" operator="equal">
      <formula>0</formula>
    </cfRule>
    <cfRule type="cellIs" dxfId="7150" priority="307" operator="greaterThan">
      <formula>0</formula>
    </cfRule>
  </conditionalFormatting>
  <conditionalFormatting sqref="M16">
    <cfRule type="cellIs" dxfId="7149" priority="296" operator="equal">
      <formula>"PMS"</formula>
    </cfRule>
    <cfRule type="containsText" dxfId="7148" priority="297" operator="containsText" text="CMS">
      <formula>NOT(ISERROR(SEARCH("CMS",M16)))</formula>
    </cfRule>
    <cfRule type="cellIs" dxfId="7147" priority="298" operator="equal">
      <formula>0</formula>
    </cfRule>
    <cfRule type="cellIs" dxfId="7146" priority="299" operator="greaterThan">
      <formula>0</formula>
    </cfRule>
    <cfRule type="cellIs" dxfId="7145" priority="300" operator="equal">
      <formula>"PMS"</formula>
    </cfRule>
    <cfRule type="containsText" dxfId="7144" priority="301" operator="containsText" text="CMS">
      <formula>NOT(ISERROR(SEARCH("CMS",M16)))</formula>
    </cfRule>
    <cfRule type="cellIs" dxfId="7143" priority="302" operator="equal">
      <formula>0</formula>
    </cfRule>
    <cfRule type="cellIs" dxfId="7142" priority="303" operator="greaterThan">
      <formula>0</formula>
    </cfRule>
  </conditionalFormatting>
  <conditionalFormatting sqref="M16">
    <cfRule type="cellIs" dxfId="7141" priority="292" operator="equal">
      <formula>"PMS"</formula>
    </cfRule>
    <cfRule type="containsText" dxfId="7140" priority="293" operator="containsText" text="CMS">
      <formula>NOT(ISERROR(SEARCH("CMS",M16)))</formula>
    </cfRule>
    <cfRule type="cellIs" dxfId="7139" priority="294" operator="equal">
      <formula>0</formula>
    </cfRule>
    <cfRule type="cellIs" dxfId="7138" priority="295" operator="greaterThan">
      <formula>0</formula>
    </cfRule>
  </conditionalFormatting>
  <conditionalFormatting sqref="O40">
    <cfRule type="cellIs" dxfId="7137" priority="284" operator="equal">
      <formula>"PMS"</formula>
    </cfRule>
    <cfRule type="containsText" dxfId="7136" priority="285" operator="containsText" text="CMS">
      <formula>NOT(ISERROR(SEARCH("CMS",O40)))</formula>
    </cfRule>
    <cfRule type="cellIs" dxfId="7135" priority="286" operator="equal">
      <formula>0</formula>
    </cfRule>
    <cfRule type="cellIs" dxfId="7134" priority="287" operator="greaterThan">
      <formula>0</formula>
    </cfRule>
    <cfRule type="cellIs" dxfId="7133" priority="288" operator="equal">
      <formula>"PMS"</formula>
    </cfRule>
    <cfRule type="containsText" dxfId="7132" priority="289" operator="containsText" text="CMS">
      <formula>NOT(ISERROR(SEARCH("CMS",O40)))</formula>
    </cfRule>
    <cfRule type="cellIs" dxfId="7131" priority="290" operator="equal">
      <formula>0</formula>
    </cfRule>
    <cfRule type="cellIs" dxfId="7130" priority="291" operator="greaterThan">
      <formula>0</formula>
    </cfRule>
  </conditionalFormatting>
  <conditionalFormatting sqref="O40">
    <cfRule type="cellIs" dxfId="7129" priority="280" operator="equal">
      <formula>"PMS"</formula>
    </cfRule>
    <cfRule type="containsText" dxfId="7128" priority="281" operator="containsText" text="CMS">
      <formula>NOT(ISERROR(SEARCH("CMS",O40)))</formula>
    </cfRule>
    <cfRule type="cellIs" dxfId="7127" priority="282" operator="equal">
      <formula>0</formula>
    </cfRule>
    <cfRule type="cellIs" dxfId="7126" priority="283" operator="greaterThan">
      <formula>0</formula>
    </cfRule>
  </conditionalFormatting>
  <conditionalFormatting sqref="P21">
    <cfRule type="cellIs" dxfId="7125" priority="272" operator="equal">
      <formula>"PMS"</formula>
    </cfRule>
    <cfRule type="containsText" dxfId="7124" priority="273" operator="containsText" text="CMS">
      <formula>NOT(ISERROR(SEARCH("CMS",P21)))</formula>
    </cfRule>
    <cfRule type="cellIs" dxfId="7123" priority="274" operator="equal">
      <formula>0</formula>
    </cfRule>
    <cfRule type="cellIs" dxfId="7122" priority="275" operator="greaterThan">
      <formula>0</formula>
    </cfRule>
    <cfRule type="cellIs" dxfId="7121" priority="276" operator="equal">
      <formula>"PMS"</formula>
    </cfRule>
    <cfRule type="containsText" dxfId="7120" priority="277" operator="containsText" text="CMS">
      <formula>NOT(ISERROR(SEARCH("CMS",P21)))</formula>
    </cfRule>
    <cfRule type="cellIs" dxfId="7119" priority="278" operator="equal">
      <formula>0</formula>
    </cfRule>
    <cfRule type="cellIs" dxfId="7118" priority="279" operator="greaterThan">
      <formula>0</formula>
    </cfRule>
  </conditionalFormatting>
  <conditionalFormatting sqref="P21">
    <cfRule type="cellIs" dxfId="7117" priority="268" operator="equal">
      <formula>"PMS"</formula>
    </cfRule>
    <cfRule type="containsText" dxfId="7116" priority="269" operator="containsText" text="CMS">
      <formula>NOT(ISERROR(SEARCH("CMS",P21)))</formula>
    </cfRule>
    <cfRule type="cellIs" dxfId="7115" priority="270" operator="equal">
      <formula>0</formula>
    </cfRule>
    <cfRule type="cellIs" dxfId="7114" priority="271" operator="greaterThan">
      <formula>0</formula>
    </cfRule>
  </conditionalFormatting>
  <conditionalFormatting sqref="M78:M79">
    <cfRule type="cellIs" dxfId="7113" priority="260" operator="equal">
      <formula>"PMS"</formula>
    </cfRule>
    <cfRule type="containsText" dxfId="7112" priority="261" operator="containsText" text="CMS">
      <formula>NOT(ISERROR(SEARCH("CMS",M78)))</formula>
    </cfRule>
    <cfRule type="cellIs" dxfId="7111" priority="262" operator="equal">
      <formula>0</formula>
    </cfRule>
    <cfRule type="cellIs" dxfId="7110" priority="263" operator="greaterThan">
      <formula>0</formula>
    </cfRule>
    <cfRule type="cellIs" dxfId="7109" priority="264" operator="equal">
      <formula>"PMS"</formula>
    </cfRule>
    <cfRule type="containsText" dxfId="7108" priority="265" operator="containsText" text="CMS">
      <formula>NOT(ISERROR(SEARCH("CMS",M78)))</formula>
    </cfRule>
    <cfRule type="cellIs" dxfId="7107" priority="266" operator="equal">
      <formula>0</formula>
    </cfRule>
    <cfRule type="cellIs" dxfId="7106" priority="267" operator="greaterThan">
      <formula>0</formula>
    </cfRule>
  </conditionalFormatting>
  <conditionalFormatting sqref="M78:M79">
    <cfRule type="cellIs" dxfId="7105" priority="256" operator="equal">
      <formula>"PMS"</formula>
    </cfRule>
    <cfRule type="containsText" dxfId="7104" priority="257" operator="containsText" text="CMS">
      <formula>NOT(ISERROR(SEARCH("CMS",M78)))</formula>
    </cfRule>
    <cfRule type="cellIs" dxfId="7103" priority="258" operator="equal">
      <formula>0</formula>
    </cfRule>
    <cfRule type="cellIs" dxfId="7102" priority="259" operator="greaterThan">
      <formula>0</formula>
    </cfRule>
  </conditionalFormatting>
  <conditionalFormatting sqref="G79:K79">
    <cfRule type="cellIs" dxfId="7101" priority="248" operator="equal">
      <formula>"PMS"</formula>
    </cfRule>
    <cfRule type="containsText" dxfId="7100" priority="249" operator="containsText" text="CMS">
      <formula>NOT(ISERROR(SEARCH("CMS",G79)))</formula>
    </cfRule>
    <cfRule type="cellIs" dxfId="7099" priority="250" operator="equal">
      <formula>0</formula>
    </cfRule>
    <cfRule type="cellIs" dxfId="7098" priority="251" operator="greaterThan">
      <formula>0</formula>
    </cfRule>
    <cfRule type="cellIs" dxfId="7097" priority="252" operator="equal">
      <formula>"PMS"</formula>
    </cfRule>
    <cfRule type="containsText" dxfId="7096" priority="253" operator="containsText" text="CMS">
      <formula>NOT(ISERROR(SEARCH("CMS",G79)))</formula>
    </cfRule>
    <cfRule type="cellIs" dxfId="7095" priority="254" operator="equal">
      <formula>0</formula>
    </cfRule>
    <cfRule type="cellIs" dxfId="7094" priority="255" operator="greaterThan">
      <formula>0</formula>
    </cfRule>
  </conditionalFormatting>
  <conditionalFormatting sqref="G79:K79">
    <cfRule type="cellIs" dxfId="7093" priority="244" operator="equal">
      <formula>"PMS"</formula>
    </cfRule>
    <cfRule type="containsText" dxfId="7092" priority="245" operator="containsText" text="CMS">
      <formula>NOT(ISERROR(SEARCH("CMS",G79)))</formula>
    </cfRule>
    <cfRule type="cellIs" dxfId="7091" priority="246" operator="equal">
      <formula>0</formula>
    </cfRule>
    <cfRule type="cellIs" dxfId="7090" priority="247" operator="greaterThan">
      <formula>0</formula>
    </cfRule>
  </conditionalFormatting>
  <conditionalFormatting sqref="N14">
    <cfRule type="cellIs" dxfId="7089" priority="236" operator="equal">
      <formula>"PMS"</formula>
    </cfRule>
    <cfRule type="containsText" dxfId="7088" priority="237" operator="containsText" text="CMS">
      <formula>NOT(ISERROR(SEARCH("CMS",N14)))</formula>
    </cfRule>
    <cfRule type="cellIs" dxfId="7087" priority="238" operator="equal">
      <formula>0</formula>
    </cfRule>
    <cfRule type="cellIs" dxfId="7086" priority="239" operator="greaterThan">
      <formula>0</formula>
    </cfRule>
    <cfRule type="cellIs" dxfId="7085" priority="240" operator="equal">
      <formula>"PMS"</formula>
    </cfRule>
    <cfRule type="containsText" dxfId="7084" priority="241" operator="containsText" text="CMS">
      <formula>NOT(ISERROR(SEARCH("CMS",N14)))</formula>
    </cfRule>
    <cfRule type="cellIs" dxfId="7083" priority="242" operator="equal">
      <formula>0</formula>
    </cfRule>
    <cfRule type="cellIs" dxfId="7082" priority="243" operator="greaterThan">
      <formula>0</formula>
    </cfRule>
  </conditionalFormatting>
  <conditionalFormatting sqref="N14">
    <cfRule type="cellIs" dxfId="7081" priority="232" operator="equal">
      <formula>"PMS"</formula>
    </cfRule>
    <cfRule type="containsText" dxfId="7080" priority="233" operator="containsText" text="CMS">
      <formula>NOT(ISERROR(SEARCH("CMS",N14)))</formula>
    </cfRule>
    <cfRule type="cellIs" dxfId="7079" priority="234" operator="equal">
      <formula>0</formula>
    </cfRule>
    <cfRule type="cellIs" dxfId="7078" priority="235" operator="greaterThan">
      <formula>0</formula>
    </cfRule>
  </conditionalFormatting>
  <conditionalFormatting sqref="O51">
    <cfRule type="cellIs" dxfId="7077" priority="212" operator="equal">
      <formula>"PMS"</formula>
    </cfRule>
    <cfRule type="containsText" dxfId="7076" priority="213" operator="containsText" text="CMS">
      <formula>NOT(ISERROR(SEARCH("CMS",O51)))</formula>
    </cfRule>
    <cfRule type="cellIs" dxfId="7075" priority="214" operator="equal">
      <formula>0</formula>
    </cfRule>
    <cfRule type="cellIs" dxfId="7074" priority="215" operator="greaterThan">
      <formula>0</formula>
    </cfRule>
    <cfRule type="cellIs" dxfId="7073" priority="216" operator="equal">
      <formula>"PMS"</formula>
    </cfRule>
    <cfRule type="containsText" dxfId="7072" priority="217" operator="containsText" text="CMS">
      <formula>NOT(ISERROR(SEARCH("CMS",O51)))</formula>
    </cfRule>
    <cfRule type="cellIs" dxfId="7071" priority="218" operator="equal">
      <formula>0</formula>
    </cfRule>
    <cfRule type="cellIs" dxfId="7070" priority="219" operator="greaterThan">
      <formula>0</formula>
    </cfRule>
  </conditionalFormatting>
  <conditionalFormatting sqref="O51">
    <cfRule type="cellIs" dxfId="7069" priority="208" operator="equal">
      <formula>"PMS"</formula>
    </cfRule>
    <cfRule type="containsText" dxfId="7068" priority="209" operator="containsText" text="CMS">
      <formula>NOT(ISERROR(SEARCH("CMS",O51)))</formula>
    </cfRule>
    <cfRule type="cellIs" dxfId="7067" priority="210" operator="equal">
      <formula>0</formula>
    </cfRule>
    <cfRule type="cellIs" dxfId="7066" priority="211" operator="greaterThan">
      <formula>0</formula>
    </cfRule>
  </conditionalFormatting>
  <conditionalFormatting sqref="O56">
    <cfRule type="cellIs" dxfId="7065" priority="200" operator="equal">
      <formula>"PMS"</formula>
    </cfRule>
    <cfRule type="containsText" dxfId="7064" priority="201" operator="containsText" text="CMS">
      <formula>NOT(ISERROR(SEARCH("CMS",O56)))</formula>
    </cfRule>
    <cfRule type="cellIs" dxfId="7063" priority="202" operator="equal">
      <formula>0</formula>
    </cfRule>
    <cfRule type="cellIs" dxfId="7062" priority="203" operator="greaterThan">
      <formula>0</formula>
    </cfRule>
    <cfRule type="cellIs" dxfId="7061" priority="204" operator="equal">
      <formula>"PMS"</formula>
    </cfRule>
    <cfRule type="containsText" dxfId="7060" priority="205" operator="containsText" text="CMS">
      <formula>NOT(ISERROR(SEARCH("CMS",O56)))</formula>
    </cfRule>
    <cfRule type="cellIs" dxfId="7059" priority="206" operator="equal">
      <formula>0</formula>
    </cfRule>
    <cfRule type="cellIs" dxfId="7058" priority="207" operator="greaterThan">
      <formula>0</formula>
    </cfRule>
  </conditionalFormatting>
  <conditionalFormatting sqref="O56">
    <cfRule type="cellIs" dxfId="7057" priority="196" operator="equal">
      <formula>"PMS"</formula>
    </cfRule>
    <cfRule type="containsText" dxfId="7056" priority="197" operator="containsText" text="CMS">
      <formula>NOT(ISERROR(SEARCH("CMS",O56)))</formula>
    </cfRule>
    <cfRule type="cellIs" dxfId="7055" priority="198" operator="equal">
      <formula>0</formula>
    </cfRule>
    <cfRule type="cellIs" dxfId="7054" priority="199" operator="greaterThan">
      <formula>0</formula>
    </cfRule>
  </conditionalFormatting>
  <conditionalFormatting sqref="M14">
    <cfRule type="cellIs" dxfId="7053" priority="188" operator="equal">
      <formula>"PMS"</formula>
    </cfRule>
    <cfRule type="containsText" dxfId="7052" priority="189" operator="containsText" text="CMS">
      <formula>NOT(ISERROR(SEARCH("CMS",M14)))</formula>
    </cfRule>
    <cfRule type="cellIs" dxfId="7051" priority="190" operator="equal">
      <formula>0</formula>
    </cfRule>
    <cfRule type="cellIs" dxfId="7050" priority="191" operator="greaterThan">
      <formula>0</formula>
    </cfRule>
    <cfRule type="cellIs" dxfId="7049" priority="192" operator="equal">
      <formula>"PMS"</formula>
    </cfRule>
    <cfRule type="containsText" dxfId="7048" priority="193" operator="containsText" text="CMS">
      <formula>NOT(ISERROR(SEARCH("CMS",M14)))</formula>
    </cfRule>
    <cfRule type="cellIs" dxfId="7047" priority="194" operator="equal">
      <formula>0</formula>
    </cfRule>
    <cfRule type="cellIs" dxfId="7046" priority="195" operator="greaterThan">
      <formula>0</formula>
    </cfRule>
  </conditionalFormatting>
  <conditionalFormatting sqref="M14">
    <cfRule type="cellIs" dxfId="7045" priority="184" operator="equal">
      <formula>"PMS"</formula>
    </cfRule>
    <cfRule type="containsText" dxfId="7044" priority="185" operator="containsText" text="CMS">
      <formula>NOT(ISERROR(SEARCH("CMS",M14)))</formula>
    </cfRule>
    <cfRule type="cellIs" dxfId="7043" priority="186" operator="equal">
      <formula>0</formula>
    </cfRule>
    <cfRule type="cellIs" dxfId="7042" priority="187" operator="greaterThan">
      <formula>0</formula>
    </cfRule>
  </conditionalFormatting>
  <conditionalFormatting sqref="N78:N79">
    <cfRule type="cellIs" dxfId="7041" priority="176" operator="equal">
      <formula>"PMS"</formula>
    </cfRule>
    <cfRule type="containsText" dxfId="7040" priority="177" operator="containsText" text="CMS">
      <formula>NOT(ISERROR(SEARCH("CMS",N78)))</formula>
    </cfRule>
    <cfRule type="cellIs" dxfId="7039" priority="178" operator="equal">
      <formula>0</formula>
    </cfRule>
    <cfRule type="cellIs" dxfId="7038" priority="179" operator="greaterThan">
      <formula>0</formula>
    </cfRule>
    <cfRule type="cellIs" dxfId="7037" priority="180" operator="equal">
      <formula>"PMS"</formula>
    </cfRule>
    <cfRule type="containsText" dxfId="7036" priority="181" operator="containsText" text="CMS">
      <formula>NOT(ISERROR(SEARCH("CMS",N78)))</formula>
    </cfRule>
    <cfRule type="cellIs" dxfId="7035" priority="182" operator="equal">
      <formula>0</formula>
    </cfRule>
    <cfRule type="cellIs" dxfId="7034" priority="183" operator="greaterThan">
      <formula>0</formula>
    </cfRule>
  </conditionalFormatting>
  <conditionalFormatting sqref="N78:N79">
    <cfRule type="cellIs" dxfId="7033" priority="172" operator="equal">
      <formula>"PMS"</formula>
    </cfRule>
    <cfRule type="containsText" dxfId="7032" priority="173" operator="containsText" text="CMS">
      <formula>NOT(ISERROR(SEARCH("CMS",N78)))</formula>
    </cfRule>
    <cfRule type="cellIs" dxfId="7031" priority="174" operator="equal">
      <formula>0</formula>
    </cfRule>
    <cfRule type="cellIs" dxfId="7030" priority="175" operator="greaterThan">
      <formula>0</formula>
    </cfRule>
  </conditionalFormatting>
  <conditionalFormatting sqref="T28">
    <cfRule type="cellIs" dxfId="7029" priority="152" operator="equal">
      <formula>"PMS"</formula>
    </cfRule>
    <cfRule type="containsText" dxfId="7028" priority="153" operator="containsText" text="CMS">
      <formula>NOT(ISERROR(SEARCH("CMS",T28)))</formula>
    </cfRule>
    <cfRule type="cellIs" dxfId="7027" priority="154" operator="equal">
      <formula>0</formula>
    </cfRule>
    <cfRule type="cellIs" dxfId="7026" priority="155" operator="greaterThan">
      <formula>0</formula>
    </cfRule>
    <cfRule type="cellIs" dxfId="7025" priority="156" operator="equal">
      <formula>"PMS"</formula>
    </cfRule>
    <cfRule type="containsText" dxfId="7024" priority="157" operator="containsText" text="CMS">
      <formula>NOT(ISERROR(SEARCH("CMS",T28)))</formula>
    </cfRule>
    <cfRule type="cellIs" dxfId="7023" priority="158" operator="equal">
      <formula>0</formula>
    </cfRule>
    <cfRule type="cellIs" dxfId="7022" priority="159" operator="greaterThan">
      <formula>0</formula>
    </cfRule>
  </conditionalFormatting>
  <conditionalFormatting sqref="T28">
    <cfRule type="cellIs" dxfId="7021" priority="148" operator="equal">
      <formula>"PMS"</formula>
    </cfRule>
    <cfRule type="containsText" dxfId="7020" priority="149" operator="containsText" text="CMS">
      <formula>NOT(ISERROR(SEARCH("CMS",T28)))</formula>
    </cfRule>
    <cfRule type="cellIs" dxfId="7019" priority="150" operator="equal">
      <formula>0</formula>
    </cfRule>
    <cfRule type="cellIs" dxfId="7018" priority="151" operator="greaterThan">
      <formula>0</formula>
    </cfRule>
  </conditionalFormatting>
  <conditionalFormatting sqref="T78">
    <cfRule type="cellIs" dxfId="7017" priority="140" operator="equal">
      <formula>"PMS"</formula>
    </cfRule>
    <cfRule type="containsText" dxfId="7016" priority="141" operator="containsText" text="CMS">
      <formula>NOT(ISERROR(SEARCH("CMS",T78)))</formula>
    </cfRule>
    <cfRule type="cellIs" dxfId="7015" priority="142" operator="equal">
      <formula>0</formula>
    </cfRule>
    <cfRule type="cellIs" dxfId="7014" priority="143" operator="greaterThan">
      <formula>0</formula>
    </cfRule>
    <cfRule type="cellIs" dxfId="7013" priority="144" operator="equal">
      <formula>"PMS"</formula>
    </cfRule>
    <cfRule type="containsText" dxfId="7012" priority="145" operator="containsText" text="CMS">
      <formula>NOT(ISERROR(SEARCH("CMS",T78)))</formula>
    </cfRule>
    <cfRule type="cellIs" dxfId="7011" priority="146" operator="equal">
      <formula>0</formula>
    </cfRule>
    <cfRule type="cellIs" dxfId="7010" priority="147" operator="greaterThan">
      <formula>0</formula>
    </cfRule>
  </conditionalFormatting>
  <conditionalFormatting sqref="T78">
    <cfRule type="cellIs" dxfId="7009" priority="136" operator="equal">
      <formula>"PMS"</formula>
    </cfRule>
    <cfRule type="containsText" dxfId="7008" priority="137" operator="containsText" text="CMS">
      <formula>NOT(ISERROR(SEARCH("CMS",T78)))</formula>
    </cfRule>
    <cfRule type="cellIs" dxfId="7007" priority="138" operator="equal">
      <formula>0</formula>
    </cfRule>
    <cfRule type="cellIs" dxfId="7006" priority="139" operator="greaterThan">
      <formula>0</formula>
    </cfRule>
  </conditionalFormatting>
  <conditionalFormatting sqref="Z79">
    <cfRule type="cellIs" dxfId="7005" priority="128" operator="equal">
      <formula>"PMS"</formula>
    </cfRule>
    <cfRule type="containsText" dxfId="7004" priority="129" operator="containsText" text="CMS">
      <formula>NOT(ISERROR(SEARCH("CMS",Z79)))</formula>
    </cfRule>
    <cfRule type="cellIs" dxfId="7003" priority="130" operator="equal">
      <formula>0</formula>
    </cfRule>
    <cfRule type="cellIs" dxfId="7002" priority="131" operator="greaterThan">
      <formula>0</formula>
    </cfRule>
    <cfRule type="cellIs" dxfId="7001" priority="132" operator="equal">
      <formula>"PMS"</formula>
    </cfRule>
    <cfRule type="containsText" dxfId="7000" priority="133" operator="containsText" text="CMS">
      <formula>NOT(ISERROR(SEARCH("CMS",Z79)))</formula>
    </cfRule>
    <cfRule type="cellIs" dxfId="6999" priority="134" operator="equal">
      <formula>0</formula>
    </cfRule>
    <cfRule type="cellIs" dxfId="6998" priority="135" operator="greaterThan">
      <formula>0</formula>
    </cfRule>
  </conditionalFormatting>
  <conditionalFormatting sqref="Z79">
    <cfRule type="cellIs" dxfId="6997" priority="124" operator="equal">
      <formula>"PMS"</formula>
    </cfRule>
    <cfRule type="containsText" dxfId="6996" priority="125" operator="containsText" text="CMS">
      <formula>NOT(ISERROR(SEARCH("CMS",Z79)))</formula>
    </cfRule>
    <cfRule type="cellIs" dxfId="6995" priority="126" operator="equal">
      <formula>0</formula>
    </cfRule>
    <cfRule type="cellIs" dxfId="6994" priority="127" operator="greaterThan">
      <formula>0</formula>
    </cfRule>
  </conditionalFormatting>
  <conditionalFormatting sqref="F82">
    <cfRule type="cellIs" dxfId="6993" priority="92" operator="equal">
      <formula>"PMS"</formula>
    </cfRule>
    <cfRule type="containsText" dxfId="6992" priority="93" operator="containsText" text="CMS">
      <formula>NOT(ISERROR(SEARCH("CMS",F82)))</formula>
    </cfRule>
    <cfRule type="cellIs" dxfId="6991" priority="94" operator="equal">
      <formula>0</formula>
    </cfRule>
    <cfRule type="cellIs" dxfId="6990" priority="95" operator="greaterThan">
      <formula>0</formula>
    </cfRule>
    <cfRule type="cellIs" dxfId="6989" priority="96" operator="equal">
      <formula>"PMS"</formula>
    </cfRule>
    <cfRule type="containsText" dxfId="6988" priority="97" operator="containsText" text="CMS">
      <formula>NOT(ISERROR(SEARCH("CMS",F82)))</formula>
    </cfRule>
    <cfRule type="cellIs" dxfId="6987" priority="98" operator="equal">
      <formula>0</formula>
    </cfRule>
    <cfRule type="cellIs" dxfId="6986" priority="99" operator="greaterThan">
      <formula>0</formula>
    </cfRule>
  </conditionalFormatting>
  <conditionalFormatting sqref="F82">
    <cfRule type="cellIs" dxfId="6985" priority="88" operator="equal">
      <formula>"PMS"</formula>
    </cfRule>
    <cfRule type="containsText" dxfId="6984" priority="89" operator="containsText" text="CMS">
      <formula>NOT(ISERROR(SEARCH("CMS",F82)))</formula>
    </cfRule>
    <cfRule type="cellIs" dxfId="6983" priority="90" operator="equal">
      <formula>0</formula>
    </cfRule>
    <cfRule type="cellIs" dxfId="6982" priority="91" operator="greaterThan">
      <formula>0</formula>
    </cfRule>
  </conditionalFormatting>
  <conditionalFormatting sqref="H111:M111">
    <cfRule type="cellIs" dxfId="6981" priority="63" operator="greaterThan">
      <formula>60.3</formula>
    </cfRule>
  </conditionalFormatting>
  <conditionalFormatting sqref="F111:G111">
    <cfRule type="cellIs" dxfId="6980" priority="62" operator="greaterThan">
      <formula>60.3</formula>
    </cfRule>
  </conditionalFormatting>
  <conditionalFormatting sqref="N111:AC111">
    <cfRule type="cellIs" dxfId="6979" priority="61" operator="greaterThan">
      <formula>60.3</formula>
    </cfRule>
  </conditionalFormatting>
  <conditionalFormatting sqref="F13:F16 F62:F64 F36:F59">
    <cfRule type="cellIs" dxfId="6978" priority="53" operator="equal">
      <formula>"PMS"</formula>
    </cfRule>
    <cfRule type="containsText" dxfId="6977" priority="54" operator="containsText" text="CMS">
      <formula>NOT(ISERROR(SEARCH("CMS",F13)))</formula>
    </cfRule>
    <cfRule type="cellIs" dxfId="6976" priority="55" operator="equal">
      <formula>0</formula>
    </cfRule>
    <cfRule type="cellIs" dxfId="6975" priority="56" operator="greaterThan">
      <formula>0</formula>
    </cfRule>
    <cfRule type="cellIs" dxfId="6974" priority="57" operator="equal">
      <formula>"PMS"</formula>
    </cfRule>
    <cfRule type="containsText" dxfId="6973" priority="58" operator="containsText" text="CMS">
      <formula>NOT(ISERROR(SEARCH("CMS",F13)))</formula>
    </cfRule>
    <cfRule type="cellIs" dxfId="6972" priority="59" operator="equal">
      <formula>0</formula>
    </cfRule>
    <cfRule type="cellIs" dxfId="6971" priority="60" operator="greaterThan">
      <formula>0</formula>
    </cfRule>
  </conditionalFormatting>
  <conditionalFormatting sqref="F13:F16 F62:F64 F36:F59">
    <cfRule type="cellIs" dxfId="6970" priority="49" operator="equal">
      <formula>"PMS"</formula>
    </cfRule>
    <cfRule type="containsText" dxfId="6969" priority="50" operator="containsText" text="CMS">
      <formula>NOT(ISERROR(SEARCH("CMS",F13)))</formula>
    </cfRule>
    <cfRule type="cellIs" dxfId="6968" priority="51" operator="equal">
      <formula>0</formula>
    </cfRule>
    <cfRule type="cellIs" dxfId="6967" priority="52" operator="greaterThan">
      <formula>0</formula>
    </cfRule>
  </conditionalFormatting>
  <conditionalFormatting sqref="F67:F75">
    <cfRule type="cellIs" dxfId="6966" priority="41" operator="equal">
      <formula>"PMS"</formula>
    </cfRule>
    <cfRule type="containsText" dxfId="6965" priority="42" operator="containsText" text="CMS">
      <formula>NOT(ISERROR(SEARCH("CMS",F67)))</formula>
    </cfRule>
    <cfRule type="cellIs" dxfId="6964" priority="43" operator="equal">
      <formula>0</formula>
    </cfRule>
    <cfRule type="cellIs" dxfId="6963" priority="44" operator="greaterThan">
      <formula>0</formula>
    </cfRule>
    <cfRule type="cellIs" dxfId="6962" priority="45" operator="equal">
      <formula>"PMS"</formula>
    </cfRule>
    <cfRule type="containsText" dxfId="6961" priority="46" operator="containsText" text="CMS">
      <formula>NOT(ISERROR(SEARCH("CMS",F67)))</formula>
    </cfRule>
    <cfRule type="cellIs" dxfId="6960" priority="47" operator="equal">
      <formula>0</formula>
    </cfRule>
    <cfRule type="cellIs" dxfId="6959" priority="48" operator="greaterThan">
      <formula>0</formula>
    </cfRule>
  </conditionalFormatting>
  <conditionalFormatting sqref="F67:F75">
    <cfRule type="cellIs" dxfId="6958" priority="37" operator="equal">
      <formula>"PMS"</formula>
    </cfRule>
    <cfRule type="containsText" dxfId="6957" priority="38" operator="containsText" text="CMS">
      <formula>NOT(ISERROR(SEARCH("CMS",F67)))</formula>
    </cfRule>
    <cfRule type="cellIs" dxfId="6956" priority="39" operator="equal">
      <formula>0</formula>
    </cfRule>
    <cfRule type="cellIs" dxfId="6955" priority="40" operator="greaterThan">
      <formula>0</formula>
    </cfRule>
  </conditionalFormatting>
  <conditionalFormatting sqref="F19:F21 F24 F28:F30 F33 F78:F79">
    <cfRule type="cellIs" dxfId="6954" priority="29" operator="equal">
      <formula>"PMS"</formula>
    </cfRule>
    <cfRule type="containsText" dxfId="6953" priority="30" operator="containsText" text="CMS">
      <formula>NOT(ISERROR(SEARCH("CMS",F19)))</formula>
    </cfRule>
    <cfRule type="cellIs" dxfId="6952" priority="31" operator="equal">
      <formula>0</formula>
    </cfRule>
    <cfRule type="cellIs" dxfId="6951" priority="32" operator="greaterThan">
      <formula>0</formula>
    </cfRule>
    <cfRule type="cellIs" dxfId="6950" priority="33" operator="equal">
      <formula>"PMS"</formula>
    </cfRule>
    <cfRule type="containsText" dxfId="6949" priority="34" operator="containsText" text="CMS">
      <formula>NOT(ISERROR(SEARCH("CMS",F19)))</formula>
    </cfRule>
    <cfRule type="cellIs" dxfId="6948" priority="35" operator="equal">
      <formula>0</formula>
    </cfRule>
    <cfRule type="cellIs" dxfId="6947" priority="36" operator="greaterThan">
      <formula>0</formula>
    </cfRule>
  </conditionalFormatting>
  <conditionalFormatting sqref="F19:F21 F24 F28:F30 F33 F78:F79">
    <cfRule type="cellIs" dxfId="6946" priority="25" operator="equal">
      <formula>"PMS"</formula>
    </cfRule>
    <cfRule type="containsText" dxfId="6945" priority="26" operator="containsText" text="CMS">
      <formula>NOT(ISERROR(SEARCH("CMS",F19)))</formula>
    </cfRule>
    <cfRule type="cellIs" dxfId="6944" priority="27" operator="equal">
      <formula>0</formula>
    </cfRule>
    <cfRule type="cellIs" dxfId="6943" priority="28" operator="greaterThan">
      <formula>0</formula>
    </cfRule>
  </conditionalFormatting>
  <conditionalFormatting sqref="F27">
    <cfRule type="cellIs" dxfId="6942" priority="17" operator="equal">
      <formula>"PMS"</formula>
    </cfRule>
    <cfRule type="containsText" dxfId="6941" priority="18" operator="containsText" text="CMS">
      <formula>NOT(ISERROR(SEARCH("CMS",F27)))</formula>
    </cfRule>
    <cfRule type="cellIs" dxfId="6940" priority="19" operator="equal">
      <formula>0</formula>
    </cfRule>
    <cfRule type="cellIs" dxfId="6939" priority="20" operator="greaterThan">
      <formula>0</formula>
    </cfRule>
    <cfRule type="cellIs" dxfId="6938" priority="21" operator="equal">
      <formula>"PMS"</formula>
    </cfRule>
    <cfRule type="containsText" dxfId="6937" priority="22" operator="containsText" text="CMS">
      <formula>NOT(ISERROR(SEARCH("CMS",F27)))</formula>
    </cfRule>
    <cfRule type="cellIs" dxfId="6936" priority="23" operator="equal">
      <formula>0</formula>
    </cfRule>
    <cfRule type="cellIs" dxfId="6935" priority="24" operator="greaterThan">
      <formula>0</formula>
    </cfRule>
  </conditionalFormatting>
  <conditionalFormatting sqref="F27">
    <cfRule type="cellIs" dxfId="6934" priority="13" operator="equal">
      <formula>"PMS"</formula>
    </cfRule>
    <cfRule type="containsText" dxfId="6933" priority="14" operator="containsText" text="CMS">
      <formula>NOT(ISERROR(SEARCH("CMS",F27)))</formula>
    </cfRule>
    <cfRule type="cellIs" dxfId="6932" priority="15" operator="equal">
      <formula>0</formula>
    </cfRule>
    <cfRule type="cellIs" dxfId="6931" priority="16" operator="greaterThan">
      <formula>0</formula>
    </cfRule>
  </conditionalFormatting>
  <conditionalFormatting sqref="P64">
    <cfRule type="cellIs" dxfId="6930" priority="5" operator="equal">
      <formula>"PMS"</formula>
    </cfRule>
    <cfRule type="containsText" dxfId="6929" priority="6" operator="containsText" text="CMS">
      <formula>NOT(ISERROR(SEARCH("CMS",P64)))</formula>
    </cfRule>
    <cfRule type="cellIs" dxfId="6928" priority="7" operator="equal">
      <formula>0</formula>
    </cfRule>
    <cfRule type="cellIs" dxfId="6927" priority="8" operator="greaterThan">
      <formula>0</formula>
    </cfRule>
    <cfRule type="cellIs" dxfId="6926" priority="9" operator="equal">
      <formula>"PMS"</formula>
    </cfRule>
    <cfRule type="containsText" dxfId="6925" priority="10" operator="containsText" text="CMS">
      <formula>NOT(ISERROR(SEARCH("CMS",P64)))</formula>
    </cfRule>
    <cfRule type="cellIs" dxfId="6924" priority="11" operator="equal">
      <formula>0</formula>
    </cfRule>
    <cfRule type="cellIs" dxfId="6923" priority="12" operator="greaterThan">
      <formula>0</formula>
    </cfRule>
  </conditionalFormatting>
  <conditionalFormatting sqref="P64">
    <cfRule type="cellIs" dxfId="6922" priority="1" operator="equal">
      <formula>"PMS"</formula>
    </cfRule>
    <cfRule type="containsText" dxfId="6921" priority="2" operator="containsText" text="CMS">
      <formula>NOT(ISERROR(SEARCH("CMS",P64)))</formula>
    </cfRule>
    <cfRule type="cellIs" dxfId="6920" priority="3" operator="equal">
      <formula>0</formula>
    </cfRule>
    <cfRule type="cellIs" dxfId="691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7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275BE-5901-4757-BC53-2844BB38D179}">
  <sheetPr codeName="Sheet243"/>
  <dimension ref="A2:DT141"/>
  <sheetViews>
    <sheetView zoomScale="70" zoomScaleNormal="70" workbookViewId="0">
      <pane xSplit="5" ySplit="11" topLeftCell="F12" activePane="bottomRight" state="frozen"/>
      <selection pane="bottomRight" activeCell="F108" sqref="F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408.69999999999993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6.8</v>
      </c>
      <c r="G14" s="357">
        <v>6.7</v>
      </c>
      <c r="H14" s="357">
        <v>6.7</v>
      </c>
      <c r="I14" s="357">
        <v>6.7</v>
      </c>
      <c r="J14" s="357">
        <v>6.9</v>
      </c>
      <c r="K14" s="357">
        <v>6.7</v>
      </c>
      <c r="L14" s="357"/>
      <c r="M14" s="357"/>
      <c r="N14" s="357">
        <v>2.4</v>
      </c>
      <c r="O14" s="357">
        <v>6.7</v>
      </c>
      <c r="P14" s="357">
        <v>6.5</v>
      </c>
      <c r="Q14" s="357">
        <v>6.8</v>
      </c>
      <c r="R14" s="357">
        <v>6.9</v>
      </c>
      <c r="S14" s="462">
        <v>6.5</v>
      </c>
      <c r="T14" s="462">
        <v>6.7</v>
      </c>
      <c r="U14" s="462">
        <v>6.4</v>
      </c>
      <c r="V14" s="357">
        <v>6.7</v>
      </c>
      <c r="W14" s="357">
        <v>6.6</v>
      </c>
      <c r="X14" s="357">
        <v>6.6</v>
      </c>
      <c r="Y14" s="357">
        <v>6.7</v>
      </c>
      <c r="Z14" s="462">
        <v>6.7</v>
      </c>
      <c r="AA14" s="462">
        <v>6.5</v>
      </c>
      <c r="AB14" s="462"/>
      <c r="AC14" s="357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62"/>
      <c r="G15" s="357"/>
      <c r="H15" s="357"/>
      <c r="I15" s="357"/>
      <c r="J15" s="357"/>
      <c r="K15" s="359"/>
      <c r="L15" s="359">
        <v>6.7</v>
      </c>
      <c r="M15" s="359">
        <v>6.5</v>
      </c>
      <c r="N15" s="357">
        <v>6.8</v>
      </c>
      <c r="O15" s="357">
        <v>6.7</v>
      </c>
      <c r="P15" s="357">
        <v>6.5</v>
      </c>
      <c r="Q15" s="357">
        <v>6.8</v>
      </c>
      <c r="R15" s="357">
        <v>6.9</v>
      </c>
      <c r="S15" s="462">
        <v>6.5</v>
      </c>
      <c r="T15" s="462">
        <v>6.7</v>
      </c>
      <c r="U15" s="462">
        <v>6.4</v>
      </c>
      <c r="V15" s="462">
        <v>6.7</v>
      </c>
      <c r="W15" s="357">
        <v>6.6</v>
      </c>
      <c r="X15" s="357">
        <v>6.6</v>
      </c>
      <c r="Y15" s="357">
        <v>6.7</v>
      </c>
      <c r="Z15" s="462">
        <v>6.7</v>
      </c>
      <c r="AA15" s="462">
        <v>6.5</v>
      </c>
      <c r="AB15" s="462">
        <v>6.8</v>
      </c>
      <c r="AC15" s="46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6.8</v>
      </c>
      <c r="G16" s="357">
        <v>6.6</v>
      </c>
      <c r="H16" s="357">
        <v>6.7</v>
      </c>
      <c r="I16" s="357">
        <v>6.7</v>
      </c>
      <c r="J16" s="357">
        <v>6.8</v>
      </c>
      <c r="K16" s="359">
        <v>6.7</v>
      </c>
      <c r="L16" s="359">
        <v>6.7</v>
      </c>
      <c r="M16" s="357">
        <v>6.5</v>
      </c>
      <c r="N16" s="359">
        <v>6.8</v>
      </c>
      <c r="O16" s="357">
        <v>6.7</v>
      </c>
      <c r="P16" s="357">
        <v>6.5</v>
      </c>
      <c r="Q16" s="357">
        <v>6.8</v>
      </c>
      <c r="R16" s="357">
        <v>6.9</v>
      </c>
      <c r="S16" s="462">
        <v>6.5</v>
      </c>
      <c r="T16" s="462">
        <v>6.7</v>
      </c>
      <c r="U16" s="462">
        <v>6.4</v>
      </c>
      <c r="V16" s="462">
        <v>6.7</v>
      </c>
      <c r="W16" s="357">
        <v>6.6</v>
      </c>
      <c r="X16" s="357">
        <v>6.6</v>
      </c>
      <c r="Y16" s="357">
        <v>6.7</v>
      </c>
      <c r="Z16" s="462">
        <v>6.7</v>
      </c>
      <c r="AA16" s="462">
        <v>6.5</v>
      </c>
      <c r="AB16" s="462">
        <v>6.6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13.3</v>
      </c>
      <c r="H17" s="19">
        <f t="shared" si="0"/>
        <v>13.4</v>
      </c>
      <c r="I17" s="19">
        <f t="shared" si="0"/>
        <v>13.4</v>
      </c>
      <c r="J17" s="19">
        <f t="shared" si="0"/>
        <v>13.7</v>
      </c>
      <c r="K17" s="19">
        <f t="shared" si="0"/>
        <v>13.4</v>
      </c>
      <c r="L17" s="19">
        <f t="shared" si="0"/>
        <v>13.4</v>
      </c>
      <c r="M17" s="19">
        <f t="shared" si="0"/>
        <v>13</v>
      </c>
      <c r="N17" s="19">
        <f t="shared" si="0"/>
        <v>16</v>
      </c>
      <c r="O17" s="19">
        <f t="shared" si="0"/>
        <v>20.100000000000001</v>
      </c>
      <c r="P17" s="19">
        <f t="shared" si="0"/>
        <v>19.5</v>
      </c>
      <c r="Q17" s="19">
        <f t="shared" si="0"/>
        <v>20.399999999999999</v>
      </c>
      <c r="R17" s="19">
        <f t="shared" si="0"/>
        <v>20.700000000000003</v>
      </c>
      <c r="S17" s="463">
        <f t="shared" si="0"/>
        <v>19.5</v>
      </c>
      <c r="T17" s="463">
        <f t="shared" si="0"/>
        <v>20.100000000000001</v>
      </c>
      <c r="U17" s="19">
        <f t="shared" si="0"/>
        <v>19.200000000000003</v>
      </c>
      <c r="V17" s="19">
        <f t="shared" si="0"/>
        <v>20.100000000000001</v>
      </c>
      <c r="W17" s="19">
        <f t="shared" si="0"/>
        <v>19.799999999999997</v>
      </c>
      <c r="X17" s="19">
        <f t="shared" si="0"/>
        <v>19.799999999999997</v>
      </c>
      <c r="Y17" s="19">
        <f t="shared" si="0"/>
        <v>20.100000000000001</v>
      </c>
      <c r="Z17" s="463">
        <f t="shared" si="0"/>
        <v>20.100000000000001</v>
      </c>
      <c r="AA17" s="463">
        <f t="shared" si="0"/>
        <v>19.5</v>
      </c>
      <c r="AB17" s="463">
        <f>SUM(AB13:AB16)</f>
        <v>13.399999999999999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29.3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2.8</v>
      </c>
      <c r="P19" s="357">
        <v>2.2000000000000002</v>
      </c>
      <c r="Q19" s="357">
        <v>2.8</v>
      </c>
      <c r="R19" s="357">
        <v>2.8</v>
      </c>
      <c r="S19" s="462">
        <v>2.8</v>
      </c>
      <c r="T19" s="462">
        <v>2.8</v>
      </c>
      <c r="U19" s="357">
        <v>2</v>
      </c>
      <c r="V19" s="357">
        <v>2.8</v>
      </c>
      <c r="W19" s="357">
        <v>2.8</v>
      </c>
      <c r="X19" s="357">
        <v>2.8</v>
      </c>
      <c r="Y19" s="357">
        <v>2.7</v>
      </c>
      <c r="Z19" s="357"/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/>
      <c r="G21" s="357"/>
      <c r="H21" s="357"/>
      <c r="I21" s="357"/>
      <c r="J21" s="357"/>
      <c r="K21" s="357"/>
      <c r="L21" s="359"/>
      <c r="M21" s="359"/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16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2.8</v>
      </c>
      <c r="P22" s="19">
        <f t="shared" si="1"/>
        <v>2.2000000000000002</v>
      </c>
      <c r="Q22" s="19">
        <f t="shared" si="1"/>
        <v>2.8</v>
      </c>
      <c r="R22" s="19">
        <f t="shared" si="1"/>
        <v>2.8</v>
      </c>
      <c r="S22" s="463">
        <f>SUM(S19:S21)</f>
        <v>2.8</v>
      </c>
      <c r="T22" s="463">
        <f t="shared" ref="T22" si="2">SUM(T19:T21)</f>
        <v>2.8</v>
      </c>
      <c r="U22" s="19">
        <f t="shared" si="1"/>
        <v>2</v>
      </c>
      <c r="V22" s="19">
        <f t="shared" si="1"/>
        <v>2.8</v>
      </c>
      <c r="W22" s="19">
        <f t="shared" si="1"/>
        <v>2.8</v>
      </c>
      <c r="X22" s="19">
        <f t="shared" si="1"/>
        <v>2.8</v>
      </c>
      <c r="Y22" s="19">
        <f t="shared" si="1"/>
        <v>2.7</v>
      </c>
      <c r="Z22" s="463">
        <f>SUM(Z19:Z21)</f>
        <v>0</v>
      </c>
      <c r="AA22" s="463">
        <f t="shared" si="1"/>
        <v>0</v>
      </c>
      <c r="AB22" s="463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37.1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>
        <v>3</v>
      </c>
      <c r="Q24" s="357">
        <v>3.8</v>
      </c>
      <c r="R24" s="357">
        <v>3.8</v>
      </c>
      <c r="S24" s="357">
        <v>3.8</v>
      </c>
      <c r="T24" s="357">
        <v>3.8</v>
      </c>
      <c r="U24" s="357">
        <v>3.5</v>
      </c>
      <c r="V24" s="357">
        <v>3.8</v>
      </c>
      <c r="W24" s="357">
        <v>3</v>
      </c>
      <c r="X24" s="357">
        <v>2.8</v>
      </c>
      <c r="Y24" s="357">
        <v>2.8</v>
      </c>
      <c r="Z24" s="357">
        <v>3</v>
      </c>
      <c r="AA24" s="357"/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11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</v>
      </c>
      <c r="Q25" s="19">
        <f t="shared" si="3"/>
        <v>3.8</v>
      </c>
      <c r="R25" s="19">
        <f t="shared" si="3"/>
        <v>3.8</v>
      </c>
      <c r="S25" s="463">
        <f t="shared" si="3"/>
        <v>3.8</v>
      </c>
      <c r="T25" s="463">
        <f t="shared" si="3"/>
        <v>3.8</v>
      </c>
      <c r="U25" s="19">
        <f t="shared" si="3"/>
        <v>3.5</v>
      </c>
      <c r="V25" s="19">
        <f t="shared" si="3"/>
        <v>3.8</v>
      </c>
      <c r="W25" s="19">
        <f t="shared" si="3"/>
        <v>3</v>
      </c>
      <c r="X25" s="19">
        <f t="shared" si="3"/>
        <v>2.8</v>
      </c>
      <c r="Y25" s="19">
        <f t="shared" si="3"/>
        <v>2.8</v>
      </c>
      <c r="Z25" s="463">
        <f t="shared" si="3"/>
        <v>3</v>
      </c>
      <c r="AA25" s="463">
        <f t="shared" si="3"/>
        <v>0</v>
      </c>
      <c r="AB25" s="463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66.2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3.5</v>
      </c>
      <c r="M27" s="357">
        <v>2.5</v>
      </c>
      <c r="N27" s="357">
        <v>3.8</v>
      </c>
      <c r="O27" s="357">
        <v>3.8</v>
      </c>
      <c r="P27" s="357">
        <v>3.8</v>
      </c>
      <c r="Q27" s="357">
        <v>3.9</v>
      </c>
      <c r="R27" s="357">
        <v>4</v>
      </c>
      <c r="S27" s="462">
        <v>0</v>
      </c>
      <c r="T27" s="462">
        <v>0</v>
      </c>
      <c r="U27" s="357">
        <v>0</v>
      </c>
      <c r="V27" s="357">
        <v>0</v>
      </c>
      <c r="W27" s="357">
        <v>0</v>
      </c>
      <c r="X27" s="357">
        <v>0</v>
      </c>
      <c r="Y27" s="357">
        <v>0</v>
      </c>
      <c r="Z27" s="357">
        <v>0</v>
      </c>
      <c r="AA27" s="357">
        <v>0</v>
      </c>
      <c r="AB27" s="357">
        <v>0</v>
      </c>
      <c r="AC27" s="357">
        <v>0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2.5</v>
      </c>
      <c r="G28" s="357">
        <v>1.5</v>
      </c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462">
        <v>3.8</v>
      </c>
      <c r="T28" s="462">
        <v>3.9</v>
      </c>
      <c r="U28" s="462">
        <v>2.5</v>
      </c>
      <c r="V28" s="359">
        <v>3.8</v>
      </c>
      <c r="W28" s="357">
        <v>3.7</v>
      </c>
      <c r="X28" s="357">
        <v>2.8</v>
      </c>
      <c r="Y28" s="357">
        <v>3.7</v>
      </c>
      <c r="Z28" s="357">
        <v>3.5</v>
      </c>
      <c r="AA28" s="357">
        <v>3.7</v>
      </c>
      <c r="AB28" s="357">
        <v>3.5</v>
      </c>
      <c r="AC28" s="357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169.3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>
        <v>2.7</v>
      </c>
      <c r="T29" s="359">
        <v>2.8</v>
      </c>
      <c r="U29" s="359">
        <v>1.8</v>
      </c>
      <c r="V29" s="357">
        <v>3</v>
      </c>
      <c r="W29" s="359">
        <v>2.9</v>
      </c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7">
        <v>5.9</v>
      </c>
      <c r="H30" s="357">
        <v>5.5</v>
      </c>
      <c r="I30" s="357">
        <v>5.5</v>
      </c>
      <c r="J30" s="357">
        <v>5.5</v>
      </c>
      <c r="K30" s="357">
        <v>4.2</v>
      </c>
      <c r="L30" s="357">
        <v>7</v>
      </c>
      <c r="M30" s="357">
        <v>6.5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5.8</v>
      </c>
      <c r="V30" s="357">
        <v>7</v>
      </c>
      <c r="W30" s="359">
        <v>7</v>
      </c>
      <c r="X30" s="357">
        <v>6.5</v>
      </c>
      <c r="Y30" s="359">
        <v>6.5</v>
      </c>
      <c r="Z30" s="357">
        <v>6.2</v>
      </c>
      <c r="AA30" s="357">
        <v>7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9.5</v>
      </c>
      <c r="G31" s="19">
        <f>SUM(G27:G30)</f>
        <v>7.4</v>
      </c>
      <c r="H31" s="19">
        <f>SUM(H27:H30)</f>
        <v>5.5</v>
      </c>
      <c r="I31" s="19">
        <f t="shared" ref="I31:X31" si="5">SUM(I27:I30)</f>
        <v>5.5</v>
      </c>
      <c r="J31" s="19">
        <f t="shared" si="5"/>
        <v>5.5</v>
      </c>
      <c r="K31" s="19">
        <f t="shared" si="5"/>
        <v>4.2</v>
      </c>
      <c r="L31" s="19">
        <f t="shared" si="5"/>
        <v>10.5</v>
      </c>
      <c r="M31" s="19">
        <f t="shared" si="5"/>
        <v>9</v>
      </c>
      <c r="N31" s="19">
        <f t="shared" si="5"/>
        <v>10.8</v>
      </c>
      <c r="O31" s="19">
        <f t="shared" si="5"/>
        <v>10.8</v>
      </c>
      <c r="P31" s="19">
        <f t="shared" si="5"/>
        <v>10.8</v>
      </c>
      <c r="Q31" s="19">
        <f t="shared" si="5"/>
        <v>10.9</v>
      </c>
      <c r="R31" s="19">
        <f t="shared" si="5"/>
        <v>11</v>
      </c>
      <c r="S31" s="463">
        <f t="shared" si="5"/>
        <v>13.5</v>
      </c>
      <c r="T31" s="463">
        <f t="shared" si="5"/>
        <v>13.7</v>
      </c>
      <c r="U31" s="19">
        <f t="shared" si="5"/>
        <v>10.1</v>
      </c>
      <c r="V31" s="19">
        <f t="shared" si="5"/>
        <v>13.8</v>
      </c>
      <c r="W31" s="19">
        <f t="shared" si="5"/>
        <v>13.6</v>
      </c>
      <c r="X31" s="19">
        <f t="shared" si="5"/>
        <v>9.3000000000000007</v>
      </c>
      <c r="Y31" s="19">
        <f>SUM(Y27:Y30)</f>
        <v>10.199999999999999</v>
      </c>
      <c r="Z31" s="19">
        <f t="shared" ref="Z31:AC31" si="6">SUM(Z27:Z30)</f>
        <v>9.6999999999999993</v>
      </c>
      <c r="AA31" s="19">
        <f t="shared" si="6"/>
        <v>10.7</v>
      </c>
      <c r="AB31" s="19">
        <f t="shared" si="6"/>
        <v>10.5</v>
      </c>
      <c r="AC31" s="19">
        <f t="shared" si="6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339.25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14.18</v>
      </c>
      <c r="G33" s="357">
        <v>14.29</v>
      </c>
      <c r="H33" s="357">
        <v>14.26</v>
      </c>
      <c r="I33" s="359">
        <v>13.78</v>
      </c>
      <c r="J33" s="357">
        <v>12.77</v>
      </c>
      <c r="K33" s="357">
        <v>13.29</v>
      </c>
      <c r="L33" s="359">
        <v>14.2</v>
      </c>
      <c r="M33" s="357">
        <v>14.25</v>
      </c>
      <c r="N33" s="357">
        <v>14.28</v>
      </c>
      <c r="O33" s="357">
        <v>14.26</v>
      </c>
      <c r="P33" s="357">
        <v>14.27</v>
      </c>
      <c r="Q33" s="359">
        <v>14.26</v>
      </c>
      <c r="R33" s="357">
        <v>14.26</v>
      </c>
      <c r="S33" s="462">
        <v>14.26</v>
      </c>
      <c r="T33" s="462">
        <v>14.27</v>
      </c>
      <c r="U33" s="462">
        <v>14.26</v>
      </c>
      <c r="V33" s="359">
        <v>14.28</v>
      </c>
      <c r="W33" s="357">
        <v>14.27</v>
      </c>
      <c r="X33" s="357">
        <v>14.26</v>
      </c>
      <c r="Y33" s="357">
        <v>14.25</v>
      </c>
      <c r="Z33" s="357">
        <v>14.25</v>
      </c>
      <c r="AA33" s="357">
        <v>14.26</v>
      </c>
      <c r="AB33" s="357">
        <v>14.29</v>
      </c>
      <c r="AC33" s="357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14.18</v>
      </c>
      <c r="G34" s="19">
        <f t="shared" si="7"/>
        <v>14.29</v>
      </c>
      <c r="H34" s="19">
        <f t="shared" si="7"/>
        <v>14.26</v>
      </c>
      <c r="I34" s="19">
        <f t="shared" si="7"/>
        <v>13.78</v>
      </c>
      <c r="J34" s="19">
        <f t="shared" si="7"/>
        <v>12.77</v>
      </c>
      <c r="K34" s="19">
        <f t="shared" si="7"/>
        <v>13.29</v>
      </c>
      <c r="L34" s="19">
        <f t="shared" si="7"/>
        <v>14.2</v>
      </c>
      <c r="M34" s="19">
        <f t="shared" si="7"/>
        <v>14.25</v>
      </c>
      <c r="N34" s="19">
        <f t="shared" si="7"/>
        <v>14.28</v>
      </c>
      <c r="O34" s="19">
        <f t="shared" si="7"/>
        <v>14.26</v>
      </c>
      <c r="P34" s="19">
        <f t="shared" si="7"/>
        <v>14.27</v>
      </c>
      <c r="Q34" s="19">
        <f t="shared" si="7"/>
        <v>14.26</v>
      </c>
      <c r="R34" s="19">
        <f t="shared" si="7"/>
        <v>14.26</v>
      </c>
      <c r="S34" s="19">
        <f t="shared" si="7"/>
        <v>14.26</v>
      </c>
      <c r="T34" s="463">
        <f t="shared" si="7"/>
        <v>14.27</v>
      </c>
      <c r="U34" s="19">
        <f t="shared" si="7"/>
        <v>14.26</v>
      </c>
      <c r="V34" s="19">
        <f t="shared" si="7"/>
        <v>14.28</v>
      </c>
      <c r="W34" s="19">
        <f t="shared" si="7"/>
        <v>14.27</v>
      </c>
      <c r="X34" s="19">
        <f t="shared" si="7"/>
        <v>14.26</v>
      </c>
      <c r="Y34" s="19">
        <f t="shared" si="7"/>
        <v>14.25</v>
      </c>
      <c r="Z34" s="19">
        <f t="shared" si="7"/>
        <v>14.25</v>
      </c>
      <c r="AA34" s="19">
        <f t="shared" si="7"/>
        <v>14.26</v>
      </c>
      <c r="AB34" s="19">
        <f t="shared" si="7"/>
        <v>14.29</v>
      </c>
      <c r="AC34" s="19">
        <f t="shared" si="7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21.310000000000002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>
        <v>0</v>
      </c>
      <c r="T40" s="462">
        <v>0</v>
      </c>
      <c r="U40" s="357"/>
      <c r="V40" s="462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0.8</v>
      </c>
      <c r="M47" s="359"/>
      <c r="N47" s="357"/>
      <c r="O47" s="357"/>
      <c r="P47" s="359">
        <v>0.75</v>
      </c>
      <c r="Q47" s="357">
        <v>0.75</v>
      </c>
      <c r="R47" s="357">
        <v>0.8</v>
      </c>
      <c r="S47" s="462">
        <v>0</v>
      </c>
      <c r="T47" s="357">
        <f>3.9/5</f>
        <v>0.78</v>
      </c>
      <c r="U47" s="357"/>
      <c r="V47" s="462"/>
      <c r="W47" s="357">
        <v>0.75</v>
      </c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9"/>
      <c r="N48" s="357"/>
      <c r="O48" s="357"/>
      <c r="P48" s="359"/>
      <c r="Q48" s="357">
        <v>0.8</v>
      </c>
      <c r="R48" s="357">
        <v>0</v>
      </c>
      <c r="S48" s="462">
        <v>0</v>
      </c>
      <c r="T48" s="357">
        <f>3.9/5</f>
        <v>0.78</v>
      </c>
      <c r="U48" s="357"/>
      <c r="V48" s="462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9"/>
      <c r="N50" s="359"/>
      <c r="O50" s="359"/>
      <c r="P50" s="359"/>
      <c r="Q50" s="357">
        <v>0.8</v>
      </c>
      <c r="R50" s="357">
        <v>0.75</v>
      </c>
      <c r="S50" s="462">
        <v>0.75</v>
      </c>
      <c r="T50" s="357">
        <f>3.9/5</f>
        <v>0.78</v>
      </c>
      <c r="U50" s="357"/>
      <c r="V50" s="462"/>
      <c r="W50" s="357">
        <v>0.75</v>
      </c>
      <c r="X50" s="357"/>
      <c r="Y50" s="357"/>
      <c r="Z50" s="357"/>
      <c r="AA50" s="357"/>
      <c r="AB50" s="357">
        <f>2.11/3</f>
        <v>0.70333333333333325</v>
      </c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6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>
        <v>0.75</v>
      </c>
      <c r="P51" s="359">
        <v>0.7</v>
      </c>
      <c r="Q51" s="357">
        <v>0.75</v>
      </c>
      <c r="R51" s="357">
        <v>0.75</v>
      </c>
      <c r="S51" s="462">
        <v>0</v>
      </c>
      <c r="T51" s="357">
        <f>3.9/5</f>
        <v>0.78</v>
      </c>
      <c r="U51" s="357"/>
      <c r="V51" s="462">
        <v>0.8</v>
      </c>
      <c r="W51" s="357"/>
      <c r="X51" s="357"/>
      <c r="Y51" s="357"/>
      <c r="Z51" s="357"/>
      <c r="AA51" s="357"/>
      <c r="AB51" s="357">
        <f t="shared" ref="AB51:AB56" si="11">2.11/3</f>
        <v>0.70333333333333325</v>
      </c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8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0.75</v>
      </c>
      <c r="P56" s="359">
        <v>0.75</v>
      </c>
      <c r="Q56" s="357">
        <v>0.8</v>
      </c>
      <c r="R56" s="357">
        <v>0.8</v>
      </c>
      <c r="S56" s="462">
        <v>0.75</v>
      </c>
      <c r="T56" s="357">
        <f>3.9/5</f>
        <v>0.78</v>
      </c>
      <c r="U56" s="357"/>
      <c r="V56" s="462"/>
      <c r="W56" s="357"/>
      <c r="X56" s="357"/>
      <c r="Y56" s="357"/>
      <c r="Z56" s="357"/>
      <c r="AA56" s="357"/>
      <c r="AB56" s="357">
        <f t="shared" si="11"/>
        <v>0.70333333333333325</v>
      </c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7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2">SUM(F36:F59)</f>
        <v>0</v>
      </c>
      <c r="G60" s="19">
        <f t="shared" si="12"/>
        <v>0</v>
      </c>
      <c r="H60" s="19">
        <f t="shared" si="12"/>
        <v>0</v>
      </c>
      <c r="I60" s="19">
        <f t="shared" si="12"/>
        <v>0</v>
      </c>
      <c r="J60" s="19">
        <f t="shared" si="12"/>
        <v>0</v>
      </c>
      <c r="K60" s="19">
        <f t="shared" si="12"/>
        <v>0</v>
      </c>
      <c r="L60" s="19">
        <f t="shared" si="12"/>
        <v>0.8</v>
      </c>
      <c r="M60" s="19">
        <f t="shared" si="12"/>
        <v>0</v>
      </c>
      <c r="N60" s="19">
        <f t="shared" si="12"/>
        <v>0</v>
      </c>
      <c r="O60" s="19">
        <f t="shared" si="12"/>
        <v>1.5</v>
      </c>
      <c r="P60" s="19">
        <f t="shared" si="12"/>
        <v>2.2000000000000002</v>
      </c>
      <c r="Q60" s="19">
        <f t="shared" si="12"/>
        <v>3.9000000000000004</v>
      </c>
      <c r="R60" s="19">
        <f t="shared" si="12"/>
        <v>3.0999999999999996</v>
      </c>
      <c r="S60" s="19">
        <f t="shared" si="12"/>
        <v>1.5</v>
      </c>
      <c r="T60" s="19">
        <f t="shared" si="12"/>
        <v>3.9000000000000004</v>
      </c>
      <c r="U60" s="19">
        <f t="shared" si="12"/>
        <v>0</v>
      </c>
      <c r="V60" s="19">
        <f t="shared" si="12"/>
        <v>0.8</v>
      </c>
      <c r="W60" s="19">
        <f t="shared" si="12"/>
        <v>1.5</v>
      </c>
      <c r="X60" s="19">
        <f t="shared" si="12"/>
        <v>0</v>
      </c>
      <c r="Y60" s="19">
        <f>SUM(Y36:Y59)</f>
        <v>0</v>
      </c>
      <c r="Z60" s="19">
        <f t="shared" si="12"/>
        <v>0</v>
      </c>
      <c r="AA60" s="19">
        <f t="shared" si="12"/>
        <v>0</v>
      </c>
      <c r="AB60" s="19">
        <f t="shared" si="12"/>
        <v>2.11</v>
      </c>
      <c r="AC60" s="19">
        <f t="shared" si="12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26.91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>
        <f>0.86/2</f>
        <v>0.43</v>
      </c>
      <c r="H62" s="357">
        <v>0.42499999999999999</v>
      </c>
      <c r="I62" s="359">
        <v>0.41499999999999998</v>
      </c>
      <c r="J62" s="357"/>
      <c r="K62" s="357">
        <v>0.38</v>
      </c>
      <c r="L62" s="357">
        <v>0.47499999999999998</v>
      </c>
      <c r="M62" s="357">
        <v>0.45</v>
      </c>
      <c r="N62" s="357">
        <v>0.56499999999999995</v>
      </c>
      <c r="O62" s="357">
        <v>0.61</v>
      </c>
      <c r="P62" s="357">
        <v>0.65500000000000003</v>
      </c>
      <c r="Q62" s="357">
        <v>0.67</v>
      </c>
      <c r="R62" s="357">
        <v>0.76</v>
      </c>
      <c r="S62" s="357">
        <f>1.53/3</f>
        <v>0.51</v>
      </c>
      <c r="T62" s="357">
        <v>0</v>
      </c>
      <c r="U62" s="357">
        <v>0</v>
      </c>
      <c r="V62" s="357">
        <v>0</v>
      </c>
      <c r="W62" s="357">
        <v>0</v>
      </c>
      <c r="X62" s="462">
        <v>0</v>
      </c>
      <c r="Y62" s="357">
        <v>0.66500000000000004</v>
      </c>
      <c r="Z62" s="357">
        <v>0.65</v>
      </c>
      <c r="AA62" s="357">
        <v>0.58499999999999996</v>
      </c>
      <c r="AB62" s="357">
        <v>0.5</v>
      </c>
      <c r="AC62" s="357"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f>0.93/2</f>
        <v>0.46500000000000002</v>
      </c>
      <c r="G63" s="357"/>
      <c r="H63" s="357"/>
      <c r="I63" s="359"/>
      <c r="J63" s="357"/>
      <c r="K63" s="357"/>
      <c r="L63" s="357"/>
      <c r="M63" s="357">
        <v>0.45</v>
      </c>
      <c r="N63" s="357">
        <v>0.56499999999999995</v>
      </c>
      <c r="O63" s="357">
        <v>0.61</v>
      </c>
      <c r="P63" s="357">
        <v>0.65500000000000003</v>
      </c>
      <c r="Q63" s="357">
        <v>0.67</v>
      </c>
      <c r="R63" s="357">
        <v>0.76</v>
      </c>
      <c r="S63" s="357">
        <f t="shared" ref="S63:S64" si="13">1.53/3</f>
        <v>0.51</v>
      </c>
      <c r="T63" s="462">
        <f>1.51/2</f>
        <v>0.755</v>
      </c>
      <c r="U63" s="462">
        <f>1.51/2</f>
        <v>0.755</v>
      </c>
      <c r="V63" s="462">
        <f>1.47/2</f>
        <v>0.73499999999999999</v>
      </c>
      <c r="W63" s="462">
        <f>1.39/2</f>
        <v>0.69499999999999995</v>
      </c>
      <c r="X63" s="462">
        <v>0.6</v>
      </c>
      <c r="Y63" s="462"/>
      <c r="Z63" s="462"/>
      <c r="AA63" s="462"/>
      <c r="AB63" s="357"/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0.93/2</f>
        <v>0.46500000000000002</v>
      </c>
      <c r="G64" s="357">
        <f>0.86/2</f>
        <v>0.43</v>
      </c>
      <c r="H64" s="357">
        <v>0.42499999999999999</v>
      </c>
      <c r="I64" s="359">
        <v>0.41499999999999998</v>
      </c>
      <c r="J64" s="357"/>
      <c r="K64" s="357">
        <v>0.38</v>
      </c>
      <c r="L64" s="357">
        <v>0.47499999999999998</v>
      </c>
      <c r="M64" s="357"/>
      <c r="N64" s="357"/>
      <c r="O64" s="357"/>
      <c r="P64" s="357"/>
      <c r="Q64" s="357"/>
      <c r="R64" s="357"/>
      <c r="S64" s="357">
        <f t="shared" si="13"/>
        <v>0.51</v>
      </c>
      <c r="T64" s="462">
        <f>1.51/2</f>
        <v>0.755</v>
      </c>
      <c r="U64" s="462">
        <f>1.51/2</f>
        <v>0.755</v>
      </c>
      <c r="V64" s="462">
        <f>1.47/2</f>
        <v>0.73499999999999999</v>
      </c>
      <c r="W64" s="462">
        <f>1.39/2</f>
        <v>0.69499999999999995</v>
      </c>
      <c r="X64" s="357">
        <v>0.6</v>
      </c>
      <c r="Y64" s="462">
        <v>0.66500000000000004</v>
      </c>
      <c r="Z64" s="462">
        <v>0.65</v>
      </c>
      <c r="AA64" s="462">
        <v>0.58499999999999996</v>
      </c>
      <c r="AB64" s="357">
        <v>0.5</v>
      </c>
      <c r="AC64" s="357">
        <v>0.45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0.93</v>
      </c>
      <c r="G65" s="19">
        <f t="shared" ref="G65:AB65" si="14">SUM(G62:G64)</f>
        <v>0.86</v>
      </c>
      <c r="H65" s="19">
        <f t="shared" si="14"/>
        <v>0.85</v>
      </c>
      <c r="I65" s="19">
        <f t="shared" si="14"/>
        <v>0.83</v>
      </c>
      <c r="J65" s="19">
        <f t="shared" si="14"/>
        <v>0</v>
      </c>
      <c r="K65" s="19">
        <f t="shared" si="14"/>
        <v>0.76</v>
      </c>
      <c r="L65" s="19">
        <f t="shared" si="14"/>
        <v>0.95</v>
      </c>
      <c r="M65" s="19">
        <f t="shared" si="14"/>
        <v>0.9</v>
      </c>
      <c r="N65" s="19">
        <f t="shared" si="14"/>
        <v>1.1299999999999999</v>
      </c>
      <c r="O65" s="19">
        <f t="shared" si="14"/>
        <v>1.22</v>
      </c>
      <c r="P65" s="19">
        <f t="shared" si="14"/>
        <v>1.31</v>
      </c>
      <c r="Q65" s="19">
        <f t="shared" si="14"/>
        <v>1.34</v>
      </c>
      <c r="R65" s="19">
        <f t="shared" si="14"/>
        <v>1.52</v>
      </c>
      <c r="S65" s="463">
        <f t="shared" si="14"/>
        <v>1.53</v>
      </c>
      <c r="T65" s="463">
        <f t="shared" si="14"/>
        <v>1.51</v>
      </c>
      <c r="U65" s="463">
        <f t="shared" si="14"/>
        <v>1.51</v>
      </c>
      <c r="V65" s="19">
        <f>SUM(V62:V64)</f>
        <v>1.47</v>
      </c>
      <c r="W65" s="19">
        <f t="shared" si="14"/>
        <v>1.39</v>
      </c>
      <c r="X65" s="19">
        <f t="shared" si="14"/>
        <v>1.2</v>
      </c>
      <c r="Y65" s="19">
        <f>SUM(Y62:Y64)</f>
        <v>1.33</v>
      </c>
      <c r="Z65" s="19">
        <f>SUM(Z62:Z64)</f>
        <v>1.3</v>
      </c>
      <c r="AA65" s="19">
        <f t="shared" si="14"/>
        <v>1.17</v>
      </c>
      <c r="AB65" s="19">
        <f t="shared" si="14"/>
        <v>1</v>
      </c>
      <c r="AC65" s="19">
        <f>SUM(AC62:AC64)</f>
        <v>0.9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5">COUNTIF(F67:AC67,$AF$11)</f>
        <v>0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463">
        <f t="shared" si="18"/>
        <v>0</v>
      </c>
      <c r="T76" s="463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19.62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/>
      <c r="N78" s="359">
        <v>0.72</v>
      </c>
      <c r="O78" s="357">
        <v>0.74</v>
      </c>
      <c r="P78" s="357">
        <v>0.78</v>
      </c>
      <c r="Q78" s="357">
        <v>0.87</v>
      </c>
      <c r="R78" s="357">
        <v>0.87</v>
      </c>
      <c r="S78" s="357">
        <v>0.87</v>
      </c>
      <c r="T78" s="357">
        <v>0.86</v>
      </c>
      <c r="U78" s="357">
        <v>0.87</v>
      </c>
      <c r="V78" s="357">
        <v>0.85</v>
      </c>
      <c r="W78" s="357">
        <v>0.87</v>
      </c>
      <c r="X78" s="357">
        <v>0.86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0.82</v>
      </c>
      <c r="G79" s="357">
        <v>0.77</v>
      </c>
      <c r="H79" s="357">
        <v>0.74</v>
      </c>
      <c r="I79" s="357">
        <v>0.72</v>
      </c>
      <c r="J79" s="357">
        <v>0.7</v>
      </c>
      <c r="K79" s="357">
        <v>0.75</v>
      </c>
      <c r="L79" s="359">
        <v>0.84</v>
      </c>
      <c r="M79" s="359">
        <v>0.77</v>
      </c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0.91</v>
      </c>
      <c r="Z79" s="357">
        <v>0.9</v>
      </c>
      <c r="AA79" s="357">
        <v>0.89</v>
      </c>
      <c r="AB79" s="357">
        <v>0.85</v>
      </c>
      <c r="AC79" s="357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0.82</v>
      </c>
      <c r="G80" s="19">
        <f t="shared" si="19"/>
        <v>0.77</v>
      </c>
      <c r="H80" s="19">
        <f>SUM(H78:H79)</f>
        <v>0.74</v>
      </c>
      <c r="I80" s="19">
        <f>SUM(I78:I79)</f>
        <v>0.72</v>
      </c>
      <c r="J80" s="19">
        <f t="shared" ref="J80:AC80" si="20">SUM(J78:J79)</f>
        <v>0.7</v>
      </c>
      <c r="K80" s="19">
        <f t="shared" si="20"/>
        <v>0.75</v>
      </c>
      <c r="L80" s="19">
        <f>SUM(L78:L79)</f>
        <v>0.84</v>
      </c>
      <c r="M80" s="19">
        <f t="shared" si="20"/>
        <v>0.77</v>
      </c>
      <c r="N80" s="19">
        <f t="shared" si="20"/>
        <v>0.72</v>
      </c>
      <c r="O80" s="19">
        <f>SUM(O78:O79)</f>
        <v>0.74</v>
      </c>
      <c r="P80" s="19">
        <f>SUM(P78:P79)</f>
        <v>0.78</v>
      </c>
      <c r="Q80" s="19">
        <f t="shared" si="20"/>
        <v>0.87</v>
      </c>
      <c r="R80" s="19">
        <f t="shared" si="20"/>
        <v>0.87</v>
      </c>
      <c r="S80" s="463">
        <f t="shared" si="20"/>
        <v>0.87</v>
      </c>
      <c r="T80" s="463">
        <f t="shared" si="20"/>
        <v>0.86</v>
      </c>
      <c r="U80" s="19">
        <f t="shared" si="20"/>
        <v>0.87</v>
      </c>
      <c r="V80" s="19">
        <f t="shared" si="20"/>
        <v>0.85</v>
      </c>
      <c r="W80" s="19">
        <f t="shared" si="20"/>
        <v>0.87</v>
      </c>
      <c r="X80" s="19">
        <f t="shared" si="20"/>
        <v>0.86</v>
      </c>
      <c r="Y80" s="19">
        <f t="shared" si="20"/>
        <v>0.91</v>
      </c>
      <c r="Z80" s="19">
        <f t="shared" si="20"/>
        <v>0.9</v>
      </c>
      <c r="AA80" s="19">
        <f t="shared" si="20"/>
        <v>0.89</v>
      </c>
      <c r="AB80" s="19">
        <f t="shared" si="20"/>
        <v>0.85</v>
      </c>
      <c r="AC80" s="19">
        <f t="shared" si="20"/>
        <v>0.8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1">SUM(F17,F22,F25,F31,F34,F60,F65,F76,F80,F82)</f>
        <v>39.03</v>
      </c>
      <c r="G83" s="28">
        <f>SUM(G17,G22,G25,G31,G34,G60,G65,G76,G80,G82)</f>
        <v>36.620000000000005</v>
      </c>
      <c r="H83" s="28">
        <f t="shared" ref="H83:AC83" si="22">SUM(H17,H22,H25,H31,H34,H60,H65,H76,H80,H82)</f>
        <v>34.75</v>
      </c>
      <c r="I83" s="28">
        <f t="shared" si="22"/>
        <v>34.229999999999997</v>
      </c>
      <c r="J83" s="28">
        <f t="shared" si="22"/>
        <v>32.67</v>
      </c>
      <c r="K83" s="28">
        <f t="shared" si="22"/>
        <v>32.400000000000006</v>
      </c>
      <c r="L83" s="28">
        <f t="shared" si="22"/>
        <v>40.69</v>
      </c>
      <c r="M83" s="28">
        <f t="shared" si="22"/>
        <v>37.92</v>
      </c>
      <c r="N83" s="28">
        <f t="shared" si="22"/>
        <v>42.93</v>
      </c>
      <c r="O83" s="28">
        <f t="shared" si="22"/>
        <v>51.42</v>
      </c>
      <c r="P83" s="28">
        <f t="shared" si="22"/>
        <v>54.06</v>
      </c>
      <c r="Q83" s="28">
        <f t="shared" si="22"/>
        <v>58.269999999999996</v>
      </c>
      <c r="R83" s="28">
        <f t="shared" si="22"/>
        <v>58.050000000000004</v>
      </c>
      <c r="S83" s="518">
        <f t="shared" si="22"/>
        <v>57.76</v>
      </c>
      <c r="T83" s="518">
        <f t="shared" si="22"/>
        <v>60.94</v>
      </c>
      <c r="U83" s="518">
        <f t="shared" si="22"/>
        <v>51.44</v>
      </c>
      <c r="V83" s="28">
        <f t="shared" si="22"/>
        <v>57.9</v>
      </c>
      <c r="W83" s="28">
        <f t="shared" si="22"/>
        <v>57.23</v>
      </c>
      <c r="X83" s="28">
        <f t="shared" si="22"/>
        <v>51.02</v>
      </c>
      <c r="Y83" s="28">
        <f t="shared" si="22"/>
        <v>52.289999999999992</v>
      </c>
      <c r="Z83" s="28">
        <f t="shared" si="22"/>
        <v>49.249999999999993</v>
      </c>
      <c r="AA83" s="28">
        <f t="shared" si="22"/>
        <v>46.52</v>
      </c>
      <c r="AB83" s="28">
        <f t="shared" si="22"/>
        <v>42.15</v>
      </c>
      <c r="AC83" s="28">
        <f t="shared" si="22"/>
        <v>38.15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3">SUM(F22,F25)</f>
        <v>0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0</v>
      </c>
      <c r="O89" s="64">
        <f t="shared" si="23"/>
        <v>2.8</v>
      </c>
      <c r="P89" s="64">
        <f t="shared" si="23"/>
        <v>5.2</v>
      </c>
      <c r="Q89" s="64">
        <f t="shared" si="23"/>
        <v>6.6</v>
      </c>
      <c r="R89" s="64">
        <f t="shared" si="23"/>
        <v>6.6</v>
      </c>
      <c r="S89" s="64">
        <f t="shared" si="23"/>
        <v>6.6</v>
      </c>
      <c r="T89" s="64">
        <f t="shared" si="23"/>
        <v>6.6</v>
      </c>
      <c r="U89" s="64">
        <f t="shared" si="23"/>
        <v>5.5</v>
      </c>
      <c r="V89" s="64">
        <f t="shared" si="23"/>
        <v>6.6</v>
      </c>
      <c r="W89" s="64">
        <f t="shared" si="23"/>
        <v>5.8</v>
      </c>
      <c r="X89" s="64">
        <f t="shared" si="23"/>
        <v>5.6</v>
      </c>
      <c r="Y89" s="64">
        <f t="shared" si="23"/>
        <v>5.5</v>
      </c>
      <c r="Z89" s="64">
        <f t="shared" si="23"/>
        <v>3</v>
      </c>
      <c r="AA89" s="64">
        <f t="shared" si="23"/>
        <v>0</v>
      </c>
      <c r="AB89" s="64">
        <f t="shared" si="23"/>
        <v>0</v>
      </c>
      <c r="AC89" s="64">
        <f t="shared" si="23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0.22700000000000001</v>
      </c>
      <c r="Q90" s="68">
        <v>0.23</v>
      </c>
      <c r="R90" s="68">
        <v>0.26400000000000001</v>
      </c>
      <c r="S90" s="68">
        <v>0.245</v>
      </c>
      <c r="T90" s="68">
        <v>0.24</v>
      </c>
      <c r="U90" s="68">
        <v>0.23400000000000001</v>
      </c>
      <c r="V90" s="68">
        <v>0.251</v>
      </c>
      <c r="W90" s="68">
        <v>0.20599999999999999</v>
      </c>
      <c r="X90" s="68">
        <v>0.223</v>
      </c>
      <c r="Y90" s="68">
        <v>0.23100000000000001</v>
      </c>
      <c r="Z90" s="68">
        <v>0.20699999999999999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4">F17</f>
        <v>13.6</v>
      </c>
      <c r="G91" s="64">
        <f t="shared" si="24"/>
        <v>13.3</v>
      </c>
      <c r="H91" s="64">
        <f t="shared" si="24"/>
        <v>13.4</v>
      </c>
      <c r="I91" s="64">
        <f t="shared" si="24"/>
        <v>13.4</v>
      </c>
      <c r="J91" s="64">
        <f t="shared" si="24"/>
        <v>13.7</v>
      </c>
      <c r="K91" s="64">
        <f t="shared" si="24"/>
        <v>13.4</v>
      </c>
      <c r="L91" s="64">
        <f t="shared" si="24"/>
        <v>13.4</v>
      </c>
      <c r="M91" s="64">
        <f t="shared" si="24"/>
        <v>13</v>
      </c>
      <c r="N91" s="64">
        <f t="shared" si="24"/>
        <v>16</v>
      </c>
      <c r="O91" s="64">
        <f t="shared" si="24"/>
        <v>20.100000000000001</v>
      </c>
      <c r="P91" s="64">
        <f t="shared" si="24"/>
        <v>19.5</v>
      </c>
      <c r="Q91" s="64">
        <f t="shared" si="24"/>
        <v>20.399999999999999</v>
      </c>
      <c r="R91" s="64">
        <f t="shared" si="24"/>
        <v>20.700000000000003</v>
      </c>
      <c r="S91" s="64">
        <f t="shared" si="24"/>
        <v>19.5</v>
      </c>
      <c r="T91" s="64">
        <f t="shared" si="24"/>
        <v>20.100000000000001</v>
      </c>
      <c r="U91" s="64">
        <f t="shared" si="24"/>
        <v>19.200000000000003</v>
      </c>
      <c r="V91" s="64">
        <f t="shared" si="24"/>
        <v>20.100000000000001</v>
      </c>
      <c r="W91" s="64">
        <f t="shared" si="24"/>
        <v>19.799999999999997</v>
      </c>
      <c r="X91" s="64">
        <f t="shared" si="24"/>
        <v>19.799999999999997</v>
      </c>
      <c r="Y91" s="64">
        <f t="shared" si="24"/>
        <v>20.100000000000001</v>
      </c>
      <c r="Z91" s="64">
        <f t="shared" si="24"/>
        <v>20.100000000000001</v>
      </c>
      <c r="AA91" s="64">
        <f t="shared" si="24"/>
        <v>19.5</v>
      </c>
      <c r="AB91" s="64">
        <f t="shared" si="24"/>
        <v>13.399999999999999</v>
      </c>
      <c r="AC91" s="64">
        <f t="shared" si="24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0.54500000000000004</v>
      </c>
      <c r="G92" s="68">
        <v>0.53100000000000003</v>
      </c>
      <c r="H92" s="68">
        <v>0.628</v>
      </c>
      <c r="I92" s="68">
        <v>0.59899999999999998</v>
      </c>
      <c r="J92" s="68">
        <v>0.51700000000000002</v>
      </c>
      <c r="K92" s="68">
        <v>0.60899999999999999</v>
      </c>
      <c r="L92" s="68">
        <v>0.68799999999999994</v>
      </c>
      <c r="M92" s="68">
        <v>0.71499999999999997</v>
      </c>
      <c r="N92" s="68">
        <v>0.66900000000000004</v>
      </c>
      <c r="O92" s="68">
        <v>0.79600000000000004</v>
      </c>
      <c r="P92" s="68">
        <v>0.78100000000000003</v>
      </c>
      <c r="Q92" s="68">
        <v>0.77900000000000003</v>
      </c>
      <c r="R92" s="68">
        <v>0.57499999999999996</v>
      </c>
      <c r="S92" s="68">
        <v>0.55600000000000005</v>
      </c>
      <c r="T92" s="68">
        <v>0.625</v>
      </c>
      <c r="U92" s="68">
        <v>0.77300000000000002</v>
      </c>
      <c r="V92" s="68">
        <v>0.72299999999999998</v>
      </c>
      <c r="W92" s="68">
        <v>0.748</v>
      </c>
      <c r="X92" s="68">
        <v>0.68400000000000005</v>
      </c>
      <c r="Y92" s="68">
        <v>0.56200000000000006</v>
      </c>
      <c r="Z92" s="68">
        <v>0.74299999999999999</v>
      </c>
      <c r="AA92" s="68">
        <v>0.73099999999999998</v>
      </c>
      <c r="AB92" s="68">
        <v>0.64900000000000002</v>
      </c>
      <c r="AC92" s="68">
        <v>0.58299999999999996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5">F31</f>
        <v>9.5</v>
      </c>
      <c r="G93" s="65">
        <f t="shared" si="25"/>
        <v>7.4</v>
      </c>
      <c r="H93" s="65">
        <f t="shared" si="25"/>
        <v>5.5</v>
      </c>
      <c r="I93" s="65">
        <f t="shared" si="25"/>
        <v>5.5</v>
      </c>
      <c r="J93" s="65">
        <f t="shared" si="25"/>
        <v>5.5</v>
      </c>
      <c r="K93" s="65">
        <f t="shared" si="25"/>
        <v>4.2</v>
      </c>
      <c r="L93" s="65">
        <f t="shared" si="25"/>
        <v>10.5</v>
      </c>
      <c r="M93" s="65">
        <f t="shared" si="25"/>
        <v>9</v>
      </c>
      <c r="N93" s="65">
        <f t="shared" si="25"/>
        <v>10.8</v>
      </c>
      <c r="O93" s="65">
        <f t="shared" si="25"/>
        <v>10.8</v>
      </c>
      <c r="P93" s="65">
        <f t="shared" si="25"/>
        <v>10.8</v>
      </c>
      <c r="Q93" s="65">
        <f t="shared" si="25"/>
        <v>10.9</v>
      </c>
      <c r="R93" s="65">
        <f t="shared" si="25"/>
        <v>11</v>
      </c>
      <c r="S93" s="65">
        <f t="shared" si="25"/>
        <v>13.5</v>
      </c>
      <c r="T93" s="65">
        <f t="shared" si="25"/>
        <v>13.7</v>
      </c>
      <c r="U93" s="65">
        <f t="shared" si="25"/>
        <v>10.1</v>
      </c>
      <c r="V93" s="65">
        <f t="shared" si="25"/>
        <v>13.8</v>
      </c>
      <c r="W93" s="65">
        <f t="shared" si="25"/>
        <v>13.6</v>
      </c>
      <c r="X93" s="65">
        <f t="shared" si="25"/>
        <v>9.3000000000000007</v>
      </c>
      <c r="Y93" s="65">
        <f t="shared" si="25"/>
        <v>10.199999999999999</v>
      </c>
      <c r="Z93" s="65">
        <f t="shared" si="25"/>
        <v>9.6999999999999993</v>
      </c>
      <c r="AA93" s="65">
        <f t="shared" si="25"/>
        <v>10.7</v>
      </c>
      <c r="AB93" s="65">
        <f t="shared" si="25"/>
        <v>10.5</v>
      </c>
      <c r="AC93" s="65">
        <f t="shared" si="25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0.19</v>
      </c>
      <c r="G94" s="68">
        <v>0.19</v>
      </c>
      <c r="H94" s="68">
        <v>8.7999999999999995E-2</v>
      </c>
      <c r="I94" s="68">
        <v>8.5999999999999993E-2</v>
      </c>
      <c r="J94" s="68">
        <v>0.126</v>
      </c>
      <c r="K94" s="68">
        <v>8.8099999999999998E-2</v>
      </c>
      <c r="L94" s="68">
        <v>0.191</v>
      </c>
      <c r="M94" s="68">
        <v>0.22700000000000001</v>
      </c>
      <c r="N94" s="68">
        <v>0.192</v>
      </c>
      <c r="O94" s="68">
        <v>0.188</v>
      </c>
      <c r="P94" s="68">
        <v>0.45300000000000001</v>
      </c>
      <c r="Q94" s="68">
        <v>0.18</v>
      </c>
      <c r="R94" s="68">
        <v>0.189</v>
      </c>
      <c r="S94" s="68">
        <v>0.25900000000000001</v>
      </c>
      <c r="T94" s="68">
        <v>0.17299999999999999</v>
      </c>
      <c r="U94" s="68">
        <v>0.17899999999999999</v>
      </c>
      <c r="V94" s="68">
        <v>0.159</v>
      </c>
      <c r="W94" s="68">
        <v>0.17199999999999999</v>
      </c>
      <c r="X94" s="68">
        <v>0.193</v>
      </c>
      <c r="Y94" s="68">
        <v>0.18</v>
      </c>
      <c r="Z94" s="68">
        <v>0.18099999999999999</v>
      </c>
      <c r="AA94" s="68">
        <v>0.19</v>
      </c>
      <c r="AB94" s="68">
        <v>0.19</v>
      </c>
      <c r="AC94" s="68">
        <v>0.191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0.20380000000000001</v>
      </c>
      <c r="G95" s="68">
        <v>0.20019999999999999</v>
      </c>
      <c r="H95" s="68">
        <v>0.20069999999999999</v>
      </c>
      <c r="I95" s="68">
        <v>0.19550000000000001</v>
      </c>
      <c r="J95" s="68">
        <v>0.26829999999999998</v>
      </c>
      <c r="K95" s="68">
        <v>0.25040000000000001</v>
      </c>
      <c r="L95" s="68">
        <v>0.28149999999999997</v>
      </c>
      <c r="M95" s="68">
        <v>0.2767</v>
      </c>
      <c r="N95" s="68">
        <v>0.27060000000000001</v>
      </c>
      <c r="O95" s="68">
        <v>0.20619999999999999</v>
      </c>
      <c r="P95" s="68">
        <v>0.20599999999999999</v>
      </c>
      <c r="Q95" s="68">
        <v>0.2079</v>
      </c>
      <c r="R95" s="68">
        <v>0.21529999999999999</v>
      </c>
      <c r="S95" s="68">
        <v>0.37559999999999999</v>
      </c>
      <c r="T95" s="68">
        <v>0.37290000000000001</v>
      </c>
      <c r="U95" s="68">
        <v>0.34839999999999999</v>
      </c>
      <c r="V95" s="68">
        <v>0.36259999999999998</v>
      </c>
      <c r="W95" s="68">
        <v>0.3755</v>
      </c>
      <c r="X95" s="68">
        <v>0.39810000000000001</v>
      </c>
      <c r="Y95" s="68">
        <v>0.25480000000000003</v>
      </c>
      <c r="Z95" s="68">
        <v>0.2109</v>
      </c>
      <c r="AA95" s="68">
        <v>0.21759999999999999</v>
      </c>
      <c r="AB95" s="68">
        <v>0.2</v>
      </c>
      <c r="AC95" s="68">
        <v>0.19670000000000001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6">F34</f>
        <v>14.18</v>
      </c>
      <c r="G96" s="65">
        <f t="shared" si="26"/>
        <v>14.29</v>
      </c>
      <c r="H96" s="65">
        <f t="shared" si="26"/>
        <v>14.26</v>
      </c>
      <c r="I96" s="65">
        <f t="shared" si="26"/>
        <v>13.78</v>
      </c>
      <c r="J96" s="65">
        <f t="shared" si="26"/>
        <v>12.77</v>
      </c>
      <c r="K96" s="65">
        <f t="shared" si="26"/>
        <v>13.29</v>
      </c>
      <c r="L96" s="65">
        <f t="shared" si="26"/>
        <v>14.2</v>
      </c>
      <c r="M96" s="65">
        <f t="shared" si="26"/>
        <v>14.25</v>
      </c>
      <c r="N96" s="65">
        <f t="shared" si="26"/>
        <v>14.28</v>
      </c>
      <c r="O96" s="65">
        <f t="shared" si="26"/>
        <v>14.26</v>
      </c>
      <c r="P96" s="65">
        <f t="shared" si="26"/>
        <v>14.27</v>
      </c>
      <c r="Q96" s="65">
        <f t="shared" si="26"/>
        <v>14.26</v>
      </c>
      <c r="R96" s="65">
        <f t="shared" si="26"/>
        <v>14.26</v>
      </c>
      <c r="S96" s="65">
        <f t="shared" si="26"/>
        <v>14.26</v>
      </c>
      <c r="T96" s="65">
        <f t="shared" si="26"/>
        <v>14.27</v>
      </c>
      <c r="U96" s="65">
        <f t="shared" si="26"/>
        <v>14.26</v>
      </c>
      <c r="V96" s="65">
        <f t="shared" si="26"/>
        <v>14.28</v>
      </c>
      <c r="W96" s="65">
        <f t="shared" si="26"/>
        <v>14.27</v>
      </c>
      <c r="X96" s="65">
        <f t="shared" si="26"/>
        <v>14.26</v>
      </c>
      <c r="Y96" s="65">
        <f t="shared" si="26"/>
        <v>14.25</v>
      </c>
      <c r="Z96" s="65">
        <f t="shared" si="26"/>
        <v>14.25</v>
      </c>
      <c r="AA96" s="65">
        <f t="shared" si="26"/>
        <v>14.26</v>
      </c>
      <c r="AB96" s="65">
        <f t="shared" si="26"/>
        <v>14.29</v>
      </c>
      <c r="AC96" s="65">
        <f t="shared" si="26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0.82</v>
      </c>
      <c r="G97" s="68">
        <v>0.71</v>
      </c>
      <c r="H97" s="68">
        <v>0.74</v>
      </c>
      <c r="I97" s="68">
        <v>0.72</v>
      </c>
      <c r="J97" s="68">
        <v>0.73</v>
      </c>
      <c r="K97" s="68">
        <v>0.71</v>
      </c>
      <c r="L97" s="68">
        <v>0.8</v>
      </c>
      <c r="M97" s="68">
        <v>0.75</v>
      </c>
      <c r="N97" s="68">
        <v>0.72</v>
      </c>
      <c r="O97" s="68">
        <v>0.74</v>
      </c>
      <c r="P97" s="68">
        <v>0.73</v>
      </c>
      <c r="Q97" s="68">
        <v>0.74</v>
      </c>
      <c r="R97" s="68">
        <v>0.74</v>
      </c>
      <c r="S97" s="68">
        <v>0.74</v>
      </c>
      <c r="T97" s="68">
        <v>0.73</v>
      </c>
      <c r="U97" s="68">
        <v>0.74</v>
      </c>
      <c r="V97" s="68">
        <v>0.72</v>
      </c>
      <c r="W97" s="68">
        <v>0.73</v>
      </c>
      <c r="X97" s="68">
        <v>0.74</v>
      </c>
      <c r="Y97" s="68">
        <v>0.75</v>
      </c>
      <c r="Z97" s="68">
        <v>0.73</v>
      </c>
      <c r="AA97" s="68">
        <v>0.74</v>
      </c>
      <c r="AB97" s="68">
        <v>0.71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7">F60</f>
        <v>0</v>
      </c>
      <c r="G98" s="64">
        <f t="shared" si="27"/>
        <v>0</v>
      </c>
      <c r="H98" s="64">
        <f t="shared" si="27"/>
        <v>0</v>
      </c>
      <c r="I98" s="64">
        <f t="shared" si="27"/>
        <v>0</v>
      </c>
      <c r="J98" s="64">
        <f t="shared" si="27"/>
        <v>0</v>
      </c>
      <c r="K98" s="64">
        <f t="shared" si="27"/>
        <v>0</v>
      </c>
      <c r="L98" s="64">
        <f t="shared" si="27"/>
        <v>0.8</v>
      </c>
      <c r="M98" s="64">
        <f t="shared" si="27"/>
        <v>0</v>
      </c>
      <c r="N98" s="64">
        <f t="shared" si="27"/>
        <v>0</v>
      </c>
      <c r="O98" s="64">
        <f t="shared" si="27"/>
        <v>1.5</v>
      </c>
      <c r="P98" s="64">
        <f t="shared" si="27"/>
        <v>2.2000000000000002</v>
      </c>
      <c r="Q98" s="64">
        <f t="shared" si="27"/>
        <v>3.9000000000000004</v>
      </c>
      <c r="R98" s="64">
        <f t="shared" si="27"/>
        <v>3.0999999999999996</v>
      </c>
      <c r="S98" s="64">
        <f t="shared" si="27"/>
        <v>1.5</v>
      </c>
      <c r="T98" s="64">
        <f t="shared" si="27"/>
        <v>3.9000000000000004</v>
      </c>
      <c r="U98" s="64">
        <f t="shared" si="27"/>
        <v>0</v>
      </c>
      <c r="V98" s="64">
        <f t="shared" si="27"/>
        <v>0.8</v>
      </c>
      <c r="W98" s="64">
        <f t="shared" si="27"/>
        <v>1.5</v>
      </c>
      <c r="X98" s="64">
        <f t="shared" si="27"/>
        <v>0</v>
      </c>
      <c r="Y98" s="64">
        <f t="shared" si="27"/>
        <v>0</v>
      </c>
      <c r="Z98" s="64">
        <f t="shared" si="27"/>
        <v>0</v>
      </c>
      <c r="AA98" s="64">
        <f t="shared" si="27"/>
        <v>0</v>
      </c>
      <c r="AB98" s="64">
        <f t="shared" si="27"/>
        <v>2.11</v>
      </c>
      <c r="AC98" s="64">
        <f t="shared" si="2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8">F65</f>
        <v>0.93</v>
      </c>
      <c r="G99" s="64">
        <f t="shared" si="28"/>
        <v>0.86</v>
      </c>
      <c r="H99" s="64">
        <f t="shared" si="28"/>
        <v>0.85</v>
      </c>
      <c r="I99" s="64">
        <f t="shared" si="28"/>
        <v>0.83</v>
      </c>
      <c r="J99" s="64">
        <f t="shared" si="28"/>
        <v>0</v>
      </c>
      <c r="K99" s="64">
        <f t="shared" si="28"/>
        <v>0.76</v>
      </c>
      <c r="L99" s="64">
        <f t="shared" si="28"/>
        <v>0.95</v>
      </c>
      <c r="M99" s="64">
        <f t="shared" si="28"/>
        <v>0.9</v>
      </c>
      <c r="N99" s="64">
        <f t="shared" si="28"/>
        <v>1.1299999999999999</v>
      </c>
      <c r="O99" s="64">
        <f t="shared" si="28"/>
        <v>1.22</v>
      </c>
      <c r="P99" s="64">
        <f t="shared" si="28"/>
        <v>1.31</v>
      </c>
      <c r="Q99" s="64">
        <f t="shared" si="28"/>
        <v>1.34</v>
      </c>
      <c r="R99" s="64">
        <f t="shared" si="28"/>
        <v>1.52</v>
      </c>
      <c r="S99" s="64">
        <f t="shared" si="28"/>
        <v>1.53</v>
      </c>
      <c r="T99" s="64">
        <f t="shared" si="28"/>
        <v>1.51</v>
      </c>
      <c r="U99" s="64">
        <f t="shared" si="28"/>
        <v>1.51</v>
      </c>
      <c r="V99" s="64">
        <f t="shared" si="28"/>
        <v>1.47</v>
      </c>
      <c r="W99" s="64">
        <f t="shared" si="28"/>
        <v>1.39</v>
      </c>
      <c r="X99" s="64">
        <f t="shared" si="28"/>
        <v>1.2</v>
      </c>
      <c r="Y99" s="64">
        <f t="shared" si="28"/>
        <v>1.33</v>
      </c>
      <c r="Z99" s="64">
        <f t="shared" si="28"/>
        <v>1.3</v>
      </c>
      <c r="AA99" s="64">
        <f t="shared" si="28"/>
        <v>1.17</v>
      </c>
      <c r="AB99" s="64">
        <f t="shared" si="28"/>
        <v>1</v>
      </c>
      <c r="AC99" s="64">
        <f t="shared" si="28"/>
        <v>0.9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9">F76</f>
        <v>0</v>
      </c>
      <c r="G100" s="64">
        <f t="shared" si="29"/>
        <v>0</v>
      </c>
      <c r="H100" s="64">
        <f t="shared" si="29"/>
        <v>0</v>
      </c>
      <c r="I100" s="64">
        <f t="shared" si="29"/>
        <v>0</v>
      </c>
      <c r="J100" s="64">
        <f t="shared" si="29"/>
        <v>0</v>
      </c>
      <c r="K100" s="64">
        <f t="shared" si="29"/>
        <v>0</v>
      </c>
      <c r="L100" s="64">
        <f t="shared" si="29"/>
        <v>0</v>
      </c>
      <c r="M100" s="64">
        <f t="shared" si="29"/>
        <v>0</v>
      </c>
      <c r="N100" s="64">
        <f t="shared" si="29"/>
        <v>0</v>
      </c>
      <c r="O100" s="64">
        <f t="shared" si="29"/>
        <v>0</v>
      </c>
      <c r="P100" s="64">
        <f t="shared" si="29"/>
        <v>0</v>
      </c>
      <c r="Q100" s="64">
        <f t="shared" si="29"/>
        <v>0</v>
      </c>
      <c r="R100" s="64">
        <f t="shared" si="29"/>
        <v>0</v>
      </c>
      <c r="S100" s="64">
        <f t="shared" si="29"/>
        <v>0</v>
      </c>
      <c r="T100" s="64">
        <f t="shared" si="29"/>
        <v>0</v>
      </c>
      <c r="U100" s="64">
        <f t="shared" si="29"/>
        <v>0</v>
      </c>
      <c r="V100" s="64">
        <f t="shared" si="29"/>
        <v>0</v>
      </c>
      <c r="W100" s="64">
        <f t="shared" si="29"/>
        <v>0</v>
      </c>
      <c r="X100" s="64">
        <f t="shared" si="29"/>
        <v>0</v>
      </c>
      <c r="Y100" s="64">
        <f t="shared" si="29"/>
        <v>0</v>
      </c>
      <c r="Z100" s="64">
        <f t="shared" si="29"/>
        <v>0</v>
      </c>
      <c r="AA100" s="64">
        <f t="shared" si="29"/>
        <v>0</v>
      </c>
      <c r="AB100" s="64">
        <f t="shared" si="29"/>
        <v>0</v>
      </c>
      <c r="AC100" s="64">
        <f t="shared" si="2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0">F80</f>
        <v>0.82</v>
      </c>
      <c r="G101" s="64">
        <f t="shared" si="30"/>
        <v>0.77</v>
      </c>
      <c r="H101" s="64">
        <f t="shared" si="30"/>
        <v>0.74</v>
      </c>
      <c r="I101" s="64">
        <f t="shared" si="30"/>
        <v>0.72</v>
      </c>
      <c r="J101" s="64">
        <f t="shared" si="30"/>
        <v>0.7</v>
      </c>
      <c r="K101" s="64">
        <f t="shared" si="30"/>
        <v>0.75</v>
      </c>
      <c r="L101" s="64">
        <f t="shared" si="30"/>
        <v>0.84</v>
      </c>
      <c r="M101" s="64">
        <f t="shared" si="30"/>
        <v>0.77</v>
      </c>
      <c r="N101" s="64">
        <f t="shared" si="30"/>
        <v>0.72</v>
      </c>
      <c r="O101" s="64">
        <f t="shared" si="30"/>
        <v>0.74</v>
      </c>
      <c r="P101" s="64">
        <f t="shared" si="30"/>
        <v>0.78</v>
      </c>
      <c r="Q101" s="64">
        <f t="shared" si="30"/>
        <v>0.87</v>
      </c>
      <c r="R101" s="64">
        <f t="shared" si="30"/>
        <v>0.87</v>
      </c>
      <c r="S101" s="64">
        <f t="shared" si="30"/>
        <v>0.87</v>
      </c>
      <c r="T101" s="64">
        <f t="shared" si="30"/>
        <v>0.86</v>
      </c>
      <c r="U101" s="64">
        <f t="shared" si="30"/>
        <v>0.87</v>
      </c>
      <c r="V101" s="64">
        <f t="shared" si="30"/>
        <v>0.85</v>
      </c>
      <c r="W101" s="64">
        <f t="shared" si="30"/>
        <v>0.87</v>
      </c>
      <c r="X101" s="64">
        <f t="shared" si="30"/>
        <v>0.86</v>
      </c>
      <c r="Y101" s="64">
        <f t="shared" si="30"/>
        <v>0.91</v>
      </c>
      <c r="Z101" s="64">
        <f t="shared" si="30"/>
        <v>0.9</v>
      </c>
      <c r="AA101" s="64">
        <f t="shared" si="30"/>
        <v>0.89</v>
      </c>
      <c r="AB101" s="64">
        <f t="shared" si="30"/>
        <v>0.85</v>
      </c>
      <c r="AC101" s="64">
        <f t="shared" si="30"/>
        <v>0.8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1">F82</f>
        <v>0</v>
      </c>
      <c r="G102" s="64">
        <f t="shared" si="31"/>
        <v>0</v>
      </c>
      <c r="H102" s="64">
        <f t="shared" si="31"/>
        <v>0</v>
      </c>
      <c r="I102" s="64">
        <f t="shared" si="31"/>
        <v>0</v>
      </c>
      <c r="J102" s="64">
        <f t="shared" si="31"/>
        <v>0</v>
      </c>
      <c r="K102" s="64">
        <f t="shared" si="31"/>
        <v>0</v>
      </c>
      <c r="L102" s="64">
        <f t="shared" si="31"/>
        <v>0</v>
      </c>
      <c r="M102" s="64">
        <f t="shared" si="31"/>
        <v>0</v>
      </c>
      <c r="N102" s="64">
        <f t="shared" si="31"/>
        <v>0</v>
      </c>
      <c r="O102" s="64">
        <f t="shared" si="31"/>
        <v>0</v>
      </c>
      <c r="P102" s="64">
        <f t="shared" si="31"/>
        <v>0</v>
      </c>
      <c r="Q102" s="64">
        <f t="shared" si="31"/>
        <v>0</v>
      </c>
      <c r="R102" s="64">
        <f t="shared" si="31"/>
        <v>0</v>
      </c>
      <c r="S102" s="64">
        <f t="shared" si="31"/>
        <v>0</v>
      </c>
      <c r="T102" s="64">
        <f t="shared" si="31"/>
        <v>0</v>
      </c>
      <c r="U102" s="64">
        <f t="shared" si="31"/>
        <v>0</v>
      </c>
      <c r="V102" s="64">
        <f t="shared" si="31"/>
        <v>0</v>
      </c>
      <c r="W102" s="64">
        <f t="shared" si="31"/>
        <v>0</v>
      </c>
      <c r="X102" s="64">
        <f t="shared" si="31"/>
        <v>0</v>
      </c>
      <c r="Y102" s="64">
        <f t="shared" si="31"/>
        <v>0</v>
      </c>
      <c r="Z102" s="64">
        <f t="shared" si="31"/>
        <v>0</v>
      </c>
      <c r="AA102" s="64">
        <f t="shared" si="31"/>
        <v>0</v>
      </c>
      <c r="AB102" s="64">
        <f t="shared" si="31"/>
        <v>0</v>
      </c>
      <c r="AC102" s="64">
        <f t="shared" si="3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2">SUM(F89,F91,F93,F96,F98:F102,F81)</f>
        <v>39.03</v>
      </c>
      <c r="G103" s="61">
        <f t="shared" si="32"/>
        <v>36.620000000000005</v>
      </c>
      <c r="H103" s="61">
        <f t="shared" si="32"/>
        <v>34.75</v>
      </c>
      <c r="I103" s="61">
        <f t="shared" si="32"/>
        <v>34.229999999999997</v>
      </c>
      <c r="J103" s="61">
        <f t="shared" si="32"/>
        <v>32.67</v>
      </c>
      <c r="K103" s="61">
        <f t="shared" si="32"/>
        <v>32.400000000000006</v>
      </c>
      <c r="L103" s="61">
        <f t="shared" si="32"/>
        <v>40.69</v>
      </c>
      <c r="M103" s="61">
        <f t="shared" si="32"/>
        <v>37.92</v>
      </c>
      <c r="N103" s="61">
        <f t="shared" si="32"/>
        <v>42.93</v>
      </c>
      <c r="O103" s="61">
        <f t="shared" si="32"/>
        <v>51.42</v>
      </c>
      <c r="P103" s="61">
        <f t="shared" si="32"/>
        <v>54.06</v>
      </c>
      <c r="Q103" s="61">
        <f t="shared" si="32"/>
        <v>58.269999999999996</v>
      </c>
      <c r="R103" s="61">
        <f t="shared" si="32"/>
        <v>58.050000000000004</v>
      </c>
      <c r="S103" s="61">
        <f t="shared" si="32"/>
        <v>57.76</v>
      </c>
      <c r="T103" s="61">
        <f t="shared" si="32"/>
        <v>60.94</v>
      </c>
      <c r="U103" s="61">
        <f t="shared" si="32"/>
        <v>51.44</v>
      </c>
      <c r="V103" s="61">
        <f t="shared" si="32"/>
        <v>57.9</v>
      </c>
      <c r="W103" s="61">
        <f t="shared" si="32"/>
        <v>57.23</v>
      </c>
      <c r="X103" s="61">
        <f t="shared" si="32"/>
        <v>51.02</v>
      </c>
      <c r="Y103" s="61">
        <f t="shared" si="32"/>
        <v>52.289999999999992</v>
      </c>
      <c r="Z103" s="61">
        <f t="shared" si="32"/>
        <v>49.249999999999993</v>
      </c>
      <c r="AA103" s="61">
        <f t="shared" si="32"/>
        <v>46.52</v>
      </c>
      <c r="AB103" s="61">
        <f t="shared" si="32"/>
        <v>42.15</v>
      </c>
      <c r="AC103" s="61">
        <f t="shared" si="32"/>
        <v>38.15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>
        <v>3.2869000000000002</v>
      </c>
      <c r="L106" s="76"/>
      <c r="M106" s="76"/>
      <c r="N106" s="76"/>
      <c r="O106" s="76"/>
      <c r="P106" s="76"/>
      <c r="Q106" s="76"/>
      <c r="R106" s="76"/>
      <c r="S106" s="76"/>
      <c r="T106" s="76"/>
      <c r="U106" s="76">
        <v>7.36</v>
      </c>
      <c r="V106" s="76"/>
      <c r="W106" s="76"/>
      <c r="X106" s="536">
        <v>1.67</v>
      </c>
      <c r="Y106" s="536">
        <v>1.67</v>
      </c>
      <c r="Z106" s="536">
        <v>1.67</v>
      </c>
      <c r="AA106" s="76">
        <v>1.65</v>
      </c>
      <c r="AB106" s="76">
        <v>1.65</v>
      </c>
      <c r="AC106" s="76">
        <v>1.65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3">SUM(F104:F106)</f>
        <v>0</v>
      </c>
      <c r="G107" s="61">
        <f t="shared" si="33"/>
        <v>0</v>
      </c>
      <c r="H107" s="61">
        <f t="shared" si="33"/>
        <v>0</v>
      </c>
      <c r="I107" s="61">
        <f t="shared" si="33"/>
        <v>0</v>
      </c>
      <c r="J107" s="61">
        <f t="shared" si="33"/>
        <v>0</v>
      </c>
      <c r="K107" s="61">
        <f t="shared" si="33"/>
        <v>3.2869000000000002</v>
      </c>
      <c r="L107" s="61">
        <f t="shared" si="33"/>
        <v>0</v>
      </c>
      <c r="M107" s="61">
        <f t="shared" si="33"/>
        <v>0</v>
      </c>
      <c r="N107" s="61">
        <f t="shared" si="33"/>
        <v>0</v>
      </c>
      <c r="O107" s="61">
        <f t="shared" si="33"/>
        <v>0</v>
      </c>
      <c r="P107" s="61">
        <f t="shared" si="33"/>
        <v>0</v>
      </c>
      <c r="Q107" s="61">
        <f t="shared" si="33"/>
        <v>0</v>
      </c>
      <c r="R107" s="61">
        <f t="shared" si="33"/>
        <v>0</v>
      </c>
      <c r="S107" s="61">
        <f t="shared" si="33"/>
        <v>0</v>
      </c>
      <c r="T107" s="61">
        <f t="shared" si="33"/>
        <v>0</v>
      </c>
      <c r="U107" s="61">
        <f t="shared" si="33"/>
        <v>7.36</v>
      </c>
      <c r="V107" s="61">
        <f t="shared" si="33"/>
        <v>0</v>
      </c>
      <c r="W107" s="61">
        <f t="shared" si="33"/>
        <v>0</v>
      </c>
      <c r="X107" s="61">
        <f t="shared" si="33"/>
        <v>1.67</v>
      </c>
      <c r="Y107" s="61">
        <f t="shared" si="33"/>
        <v>1.67</v>
      </c>
      <c r="Z107" s="61">
        <f t="shared" si="33"/>
        <v>1.67</v>
      </c>
      <c r="AA107" s="61">
        <f t="shared" si="33"/>
        <v>1.65</v>
      </c>
      <c r="AB107" s="61">
        <f t="shared" si="33"/>
        <v>1.65</v>
      </c>
      <c r="AC107" s="61">
        <f t="shared" si="33"/>
        <v>1.65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4">F103+F107</f>
        <v>39.03</v>
      </c>
      <c r="G108" s="62">
        <f t="shared" si="34"/>
        <v>36.620000000000005</v>
      </c>
      <c r="H108" s="62">
        <f t="shared" si="34"/>
        <v>34.75</v>
      </c>
      <c r="I108" s="62">
        <f t="shared" si="34"/>
        <v>34.229999999999997</v>
      </c>
      <c r="J108" s="62">
        <f t="shared" si="34"/>
        <v>32.67</v>
      </c>
      <c r="K108" s="62">
        <f t="shared" si="34"/>
        <v>35.686900000000009</v>
      </c>
      <c r="L108" s="62">
        <f t="shared" si="34"/>
        <v>40.69</v>
      </c>
      <c r="M108" s="62">
        <f t="shared" si="34"/>
        <v>37.92</v>
      </c>
      <c r="N108" s="62">
        <f>N103+N107</f>
        <v>42.93</v>
      </c>
      <c r="O108" s="62">
        <f t="shared" si="34"/>
        <v>51.42</v>
      </c>
      <c r="P108" s="62">
        <f>P103+P107</f>
        <v>54.06</v>
      </c>
      <c r="Q108" s="62">
        <f t="shared" si="34"/>
        <v>58.269999999999996</v>
      </c>
      <c r="R108" s="62">
        <f t="shared" si="34"/>
        <v>58.050000000000004</v>
      </c>
      <c r="S108" s="62">
        <f t="shared" si="34"/>
        <v>57.76</v>
      </c>
      <c r="T108" s="62">
        <f>T103+T107</f>
        <v>60.94</v>
      </c>
      <c r="U108" s="62">
        <f t="shared" si="34"/>
        <v>58.8</v>
      </c>
      <c r="V108" s="62">
        <f t="shared" si="34"/>
        <v>57.9</v>
      </c>
      <c r="W108" s="62">
        <f>W103+W107</f>
        <v>57.23</v>
      </c>
      <c r="X108" s="62">
        <f t="shared" si="34"/>
        <v>52.690000000000005</v>
      </c>
      <c r="Y108" s="62">
        <f t="shared" si="34"/>
        <v>53.959999999999994</v>
      </c>
      <c r="Z108" s="62">
        <f t="shared" si="34"/>
        <v>50.919999999999995</v>
      </c>
      <c r="AA108" s="62">
        <f t="shared" si="34"/>
        <v>48.17</v>
      </c>
      <c r="AB108" s="62">
        <f t="shared" si="34"/>
        <v>43.8</v>
      </c>
      <c r="AC108" s="62">
        <f t="shared" si="34"/>
        <v>39.799999999999997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5">(COUNT(F13:F16))*7.2+(COUNT(F27:F28)*4.9)+(COUNT(F19:F21)*4.5)-F91-F93</f>
        <v>-3.7999999999999989</v>
      </c>
      <c r="G109" s="63">
        <f t="shared" si="35"/>
        <v>-1.4000000000000004</v>
      </c>
      <c r="H109" s="63">
        <f t="shared" si="35"/>
        <v>-4.5</v>
      </c>
      <c r="I109" s="63">
        <f t="shared" si="35"/>
        <v>-4.5</v>
      </c>
      <c r="J109" s="63">
        <f t="shared" si="35"/>
        <v>-4.7999999999999989</v>
      </c>
      <c r="K109" s="63">
        <f t="shared" si="35"/>
        <v>-3.2</v>
      </c>
      <c r="L109" s="63">
        <f t="shared" si="35"/>
        <v>-4.5999999999999996</v>
      </c>
      <c r="M109" s="63">
        <f t="shared" si="35"/>
        <v>-2.6999999999999993</v>
      </c>
      <c r="N109" s="63">
        <f t="shared" si="35"/>
        <v>-0.30000000000000071</v>
      </c>
      <c r="O109" s="63">
        <f t="shared" si="35"/>
        <v>9.9999999999997868E-2</v>
      </c>
      <c r="P109" s="63">
        <f t="shared" si="35"/>
        <v>0.69999999999999929</v>
      </c>
      <c r="Q109" s="63">
        <f t="shared" si="35"/>
        <v>-0.29999999999999893</v>
      </c>
      <c r="R109" s="63">
        <f t="shared" si="35"/>
        <v>-0.70000000000000284</v>
      </c>
      <c r="S109" s="63">
        <f t="shared" si="35"/>
        <v>2.9000000000000057</v>
      </c>
      <c r="T109" s="63">
        <f t="shared" si="35"/>
        <v>2.100000000000005</v>
      </c>
      <c r="U109" s="63">
        <f t="shared" si="35"/>
        <v>6.6000000000000032</v>
      </c>
      <c r="V109" s="63">
        <f t="shared" si="35"/>
        <v>2.0000000000000036</v>
      </c>
      <c r="W109" s="63">
        <f t="shared" si="35"/>
        <v>2.5000000000000089</v>
      </c>
      <c r="X109" s="63">
        <f t="shared" si="35"/>
        <v>6.8000000000000078</v>
      </c>
      <c r="Y109" s="63">
        <f t="shared" si="35"/>
        <v>5.600000000000005</v>
      </c>
      <c r="Z109" s="63">
        <f t="shared" si="35"/>
        <v>1.6000000000000014</v>
      </c>
      <c r="AA109" s="63">
        <f t="shared" si="35"/>
        <v>1.2000000000000028</v>
      </c>
      <c r="AB109" s="63">
        <f t="shared" si="35"/>
        <v>0.30000000000000426</v>
      </c>
      <c r="AC109" s="63">
        <f t="shared" si="35"/>
        <v>2.0000000000000036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-5.1999999999999993</v>
      </c>
      <c r="G110" s="205">
        <f t="shared" si="36"/>
        <v>-2.8000000000000007</v>
      </c>
      <c r="H110" s="205">
        <f t="shared" si="36"/>
        <v>-4.5</v>
      </c>
      <c r="I110" s="205">
        <f t="shared" si="36"/>
        <v>-4.5</v>
      </c>
      <c r="J110" s="205">
        <f t="shared" si="36"/>
        <v>-4.7999999999999989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-3.2</v>
      </c>
      <c r="L110" s="205">
        <f t="shared" si="36"/>
        <v>-4.5999999999999996</v>
      </c>
      <c r="M110" s="205">
        <f t="shared" si="36"/>
        <v>-2.6999999999999993</v>
      </c>
      <c r="N110" s="205">
        <f t="shared" si="36"/>
        <v>-0.29999999999999893</v>
      </c>
      <c r="O110" s="205">
        <f t="shared" si="36"/>
        <v>-3.7</v>
      </c>
      <c r="P110" s="205">
        <f t="shared" si="36"/>
        <v>-0.99999999999999911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-3.3999999999999968</v>
      </c>
      <c r="R110" s="205">
        <f t="shared" ref="R110:AC110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-4.2000000000000011</v>
      </c>
      <c r="S110" s="205">
        <f t="shared" si="37"/>
        <v>-5.4999999999999982</v>
      </c>
      <c r="T110" s="205">
        <f t="shared" si="37"/>
        <v>-6.2999999999999989</v>
      </c>
      <c r="U110" s="205">
        <f t="shared" si="37"/>
        <v>-0.70000000000000107</v>
      </c>
      <c r="V110" s="205">
        <f t="shared" si="37"/>
        <v>-6.4</v>
      </c>
      <c r="W110" s="205">
        <f t="shared" si="37"/>
        <v>-5.0999999999999952</v>
      </c>
      <c r="X110" s="205">
        <f t="shared" si="37"/>
        <v>-0.59999999999999609</v>
      </c>
      <c r="Y110" s="205">
        <f t="shared" si="37"/>
        <v>-1.6999999999999993</v>
      </c>
      <c r="Z110" s="205">
        <f t="shared" si="37"/>
        <v>-2.1999999999999993</v>
      </c>
      <c r="AA110" s="205">
        <f t="shared" si="37"/>
        <v>-4.0999999999999979</v>
      </c>
      <c r="AB110" s="205">
        <f t="shared" si="37"/>
        <v>-4.9999999999999982</v>
      </c>
      <c r="AC110" s="205">
        <f t="shared" si="37"/>
        <v>-3.2999999999999989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</v>
      </c>
      <c r="G111" s="456">
        <v>60.15</v>
      </c>
      <c r="H111" s="456">
        <v>60.04</v>
      </c>
      <c r="I111" s="456">
        <v>60.12</v>
      </c>
      <c r="J111" s="456">
        <v>60.09</v>
      </c>
      <c r="K111" s="456">
        <v>60.12</v>
      </c>
      <c r="L111" s="456">
        <v>60.06</v>
      </c>
      <c r="M111" s="456">
        <v>60.14</v>
      </c>
      <c r="N111" s="456">
        <v>60.09</v>
      </c>
      <c r="O111" s="456">
        <v>60.05</v>
      </c>
      <c r="P111" s="456">
        <v>60.17</v>
      </c>
      <c r="Q111" s="456">
        <v>60.04</v>
      </c>
      <c r="R111" s="456">
        <v>60.05</v>
      </c>
      <c r="S111" s="456">
        <v>60.14</v>
      </c>
      <c r="T111" s="456">
        <v>60.02</v>
      </c>
      <c r="U111" s="456">
        <v>60.2</v>
      </c>
      <c r="V111" s="456">
        <v>60.17</v>
      </c>
      <c r="W111" s="456">
        <v>60.28</v>
      </c>
      <c r="X111" s="456">
        <v>60.19</v>
      </c>
      <c r="Y111" s="456">
        <v>60.19</v>
      </c>
      <c r="Z111" s="456">
        <v>60.3</v>
      </c>
      <c r="AA111" s="456">
        <v>60.23</v>
      </c>
      <c r="AB111" s="456">
        <v>60.15</v>
      </c>
      <c r="AC111" s="456">
        <v>60.12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73" t="s">
        <v>107</v>
      </c>
      <c r="M115" s="73" t="s">
        <v>107</v>
      </c>
      <c r="N115" s="73" t="s">
        <v>107</v>
      </c>
      <c r="O115" s="73" t="s">
        <v>107</v>
      </c>
      <c r="P115" s="73" t="s">
        <v>107</v>
      </c>
      <c r="Q115" s="73" t="s">
        <v>107</v>
      </c>
      <c r="R115" s="73" t="s">
        <v>107</v>
      </c>
      <c r="S115" s="73" t="s">
        <v>107</v>
      </c>
      <c r="T115" s="73" t="s">
        <v>107</v>
      </c>
      <c r="U115" s="73" t="s">
        <v>107</v>
      </c>
      <c r="V115" s="73" t="s">
        <v>107</v>
      </c>
      <c r="W115" s="520" t="s">
        <v>118</v>
      </c>
      <c r="X115" s="520" t="s">
        <v>118</v>
      </c>
      <c r="Y115" s="520" t="s">
        <v>103</v>
      </c>
      <c r="Z115" s="520" t="s">
        <v>103</v>
      </c>
      <c r="AA115" s="520" t="s">
        <v>103</v>
      </c>
      <c r="AB115" s="520" t="s">
        <v>103</v>
      </c>
      <c r="AC115" s="520" t="s">
        <v>103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N13:O13 D42:E42 N36:AC39 N57:AC59 O14:O16 L51:M55 L36:L50 N41:AC46 H36:J59 I15:N15 N16 L13:L14 O52:AA55 H14:K14 P40:AC40 AA62:AC64 I16:L16 L56:L59 H62:L64 P62:Z62 M47:M48 Q64:R64 P63:R63 P56:AA56 P51:AA51 M50:AC50 P47:AC49 P13:AC16 S63:Z64 AB51:AC56">
    <cfRule type="cellIs" dxfId="6918" priority="720" operator="equal">
      <formula>"PMS"</formula>
    </cfRule>
    <cfRule type="containsText" dxfId="6917" priority="721" operator="containsText" text="CMS">
      <formula>NOT(ISERROR(SEARCH("CMS",D13)))</formula>
    </cfRule>
    <cfRule type="cellIs" dxfId="6916" priority="722" operator="equal">
      <formula>0</formula>
    </cfRule>
    <cfRule type="cellIs" dxfId="6915" priority="723" operator="greaterThan">
      <formula>0</formula>
    </cfRule>
    <cfRule type="cellIs" dxfId="6914" priority="724" operator="equal">
      <formula>"PMS"</formula>
    </cfRule>
    <cfRule type="containsText" dxfId="6913" priority="725" operator="containsText" text="CMS">
      <formula>NOT(ISERROR(SEARCH("CMS",D13)))</formula>
    </cfRule>
    <cfRule type="cellIs" dxfId="6912" priority="726" operator="equal">
      <formula>0</formula>
    </cfRule>
    <cfRule type="cellIs" dxfId="6911" priority="727" operator="greaterThan">
      <formula>0</formula>
    </cfRule>
  </conditionalFormatting>
  <conditionalFormatting sqref="H13:J13 N13:O13 D42:E42 N36:AC39 N57:AC59 O14:O16 L51:M55 L36:L50 N41:AC46 H36:J59 I15:N15 N16 L13:L14 O52:AA55 H14:K14 P40:AC40 AA62:AC64 I16:L16 L56:L59 H62:L64 P62:Z62 M47:M48 Q64:R64 P63:R63 P56:AA56 P51:AA51 M50:AC50 P47:AC49 P13:AC16 S63:Z64 AB51:AC56">
    <cfRule type="cellIs" dxfId="6910" priority="716" operator="equal">
      <formula>"PMS"</formula>
    </cfRule>
    <cfRule type="containsText" dxfId="6909" priority="717" operator="containsText" text="CMS">
      <formula>NOT(ISERROR(SEARCH("CMS",D13)))</formula>
    </cfRule>
    <cfRule type="cellIs" dxfId="6908" priority="718" operator="equal">
      <formula>0</formula>
    </cfRule>
    <cfRule type="cellIs" dxfId="6907" priority="719" operator="greaterThan">
      <formula>0</formula>
    </cfRule>
  </conditionalFormatting>
  <conditionalFormatting sqref="G67:AC75">
    <cfRule type="cellIs" dxfId="6906" priority="708" operator="equal">
      <formula>"PMS"</formula>
    </cfRule>
    <cfRule type="containsText" dxfId="6905" priority="709" operator="containsText" text="CMS">
      <formula>NOT(ISERROR(SEARCH("CMS",G67)))</formula>
    </cfRule>
    <cfRule type="cellIs" dxfId="6904" priority="710" operator="equal">
      <formula>0</formula>
    </cfRule>
    <cfRule type="cellIs" dxfId="6903" priority="711" operator="greaterThan">
      <formula>0</formula>
    </cfRule>
    <cfRule type="cellIs" dxfId="6902" priority="712" operator="equal">
      <formula>"PMS"</formula>
    </cfRule>
    <cfRule type="containsText" dxfId="6901" priority="713" operator="containsText" text="CMS">
      <formula>NOT(ISERROR(SEARCH("CMS",G67)))</formula>
    </cfRule>
    <cfRule type="cellIs" dxfId="6900" priority="714" operator="equal">
      <formula>0</formula>
    </cfRule>
    <cfRule type="cellIs" dxfId="6899" priority="715" operator="greaterThan">
      <formula>0</formula>
    </cfRule>
  </conditionalFormatting>
  <conditionalFormatting sqref="G67:AC75">
    <cfRule type="cellIs" dxfId="6898" priority="704" operator="equal">
      <formula>"PMS"</formula>
    </cfRule>
    <cfRule type="containsText" dxfId="6897" priority="705" operator="containsText" text="CMS">
      <formula>NOT(ISERROR(SEARCH("CMS",G67)))</formula>
    </cfRule>
    <cfRule type="cellIs" dxfId="6896" priority="706" operator="equal">
      <formula>0</formula>
    </cfRule>
    <cfRule type="cellIs" dxfId="6895" priority="707" operator="greaterThan">
      <formula>0</formula>
    </cfRule>
  </conditionalFormatting>
  <conditionalFormatting sqref="G82:AC82">
    <cfRule type="cellIs" dxfId="6894" priority="696" operator="equal">
      <formula>"PMS"</formula>
    </cfRule>
    <cfRule type="containsText" dxfId="6893" priority="697" operator="containsText" text="CMS">
      <formula>NOT(ISERROR(SEARCH("CMS",G82)))</formula>
    </cfRule>
    <cfRule type="cellIs" dxfId="6892" priority="698" operator="equal">
      <formula>0</formula>
    </cfRule>
    <cfRule type="cellIs" dxfId="6891" priority="699" operator="greaterThan">
      <formula>0</formula>
    </cfRule>
    <cfRule type="cellIs" dxfId="6890" priority="700" operator="equal">
      <formula>"PMS"</formula>
    </cfRule>
    <cfRule type="containsText" dxfId="6889" priority="701" operator="containsText" text="CMS">
      <formula>NOT(ISERROR(SEARCH("CMS",G82)))</formula>
    </cfRule>
    <cfRule type="cellIs" dxfId="6888" priority="702" operator="equal">
      <formula>0</formula>
    </cfRule>
    <cfRule type="cellIs" dxfId="6887" priority="703" operator="greaterThan">
      <formula>0</formula>
    </cfRule>
  </conditionalFormatting>
  <conditionalFormatting sqref="G82:AC82">
    <cfRule type="cellIs" dxfId="6886" priority="692" operator="equal">
      <formula>"PMS"</formula>
    </cfRule>
    <cfRule type="containsText" dxfId="6885" priority="693" operator="containsText" text="CMS">
      <formula>NOT(ISERROR(SEARCH("CMS",G82)))</formula>
    </cfRule>
    <cfRule type="cellIs" dxfId="6884" priority="694" operator="equal">
      <formula>0</formula>
    </cfRule>
    <cfRule type="cellIs" dxfId="6883" priority="695" operator="greaterThan">
      <formula>0</formula>
    </cfRule>
  </conditionalFormatting>
  <conditionalFormatting sqref="G13">
    <cfRule type="cellIs" dxfId="6882" priority="684" operator="equal">
      <formula>"PMS"</formula>
    </cfRule>
    <cfRule type="containsText" dxfId="6881" priority="685" operator="containsText" text="CMS">
      <formula>NOT(ISERROR(SEARCH("CMS",G13)))</formula>
    </cfRule>
    <cfRule type="cellIs" dxfId="6880" priority="686" operator="equal">
      <formula>0</formula>
    </cfRule>
    <cfRule type="cellIs" dxfId="6879" priority="687" operator="greaterThan">
      <formula>0</formula>
    </cfRule>
    <cfRule type="cellIs" dxfId="6878" priority="688" operator="equal">
      <formula>"PMS"</formula>
    </cfRule>
    <cfRule type="containsText" dxfId="6877" priority="689" operator="containsText" text="CMS">
      <formula>NOT(ISERROR(SEARCH("CMS",G13)))</formula>
    </cfRule>
    <cfRule type="cellIs" dxfId="6876" priority="690" operator="equal">
      <formula>0</formula>
    </cfRule>
    <cfRule type="cellIs" dxfId="6875" priority="691" operator="greaterThan">
      <formula>0</formula>
    </cfRule>
  </conditionalFormatting>
  <conditionalFormatting sqref="G13">
    <cfRule type="cellIs" dxfId="6874" priority="680" operator="equal">
      <formula>"PMS"</formula>
    </cfRule>
    <cfRule type="containsText" dxfId="6873" priority="681" operator="containsText" text="CMS">
      <formula>NOT(ISERROR(SEARCH("CMS",G13)))</formula>
    </cfRule>
    <cfRule type="cellIs" dxfId="6872" priority="682" operator="equal">
      <formula>0</formula>
    </cfRule>
    <cfRule type="cellIs" dxfId="6871" priority="683" operator="greaterThan">
      <formula>0</formula>
    </cfRule>
  </conditionalFormatting>
  <conditionalFormatting sqref="M13">
    <cfRule type="cellIs" dxfId="6870" priority="672" operator="equal">
      <formula>"PMS"</formula>
    </cfRule>
    <cfRule type="containsText" dxfId="6869" priority="673" operator="containsText" text="CMS">
      <formula>NOT(ISERROR(SEARCH("CMS",M13)))</formula>
    </cfRule>
    <cfRule type="cellIs" dxfId="6868" priority="674" operator="equal">
      <formula>0</formula>
    </cfRule>
    <cfRule type="cellIs" dxfId="6867" priority="675" operator="greaterThan">
      <formula>0</formula>
    </cfRule>
    <cfRule type="cellIs" dxfId="6866" priority="676" operator="equal">
      <formula>"PMS"</formula>
    </cfRule>
    <cfRule type="containsText" dxfId="6865" priority="677" operator="containsText" text="CMS">
      <formula>NOT(ISERROR(SEARCH("CMS",M13)))</formula>
    </cfRule>
    <cfRule type="cellIs" dxfId="6864" priority="678" operator="equal">
      <formula>0</formula>
    </cfRule>
    <cfRule type="cellIs" dxfId="6863" priority="679" operator="greaterThan">
      <formula>0</formula>
    </cfRule>
  </conditionalFormatting>
  <conditionalFormatting sqref="M13">
    <cfRule type="cellIs" dxfId="6862" priority="668" operator="equal">
      <formula>"PMS"</formula>
    </cfRule>
    <cfRule type="containsText" dxfId="6861" priority="669" operator="containsText" text="CMS">
      <formula>NOT(ISERROR(SEARCH("CMS",M13)))</formula>
    </cfRule>
    <cfRule type="cellIs" dxfId="6860" priority="670" operator="equal">
      <formula>0</formula>
    </cfRule>
    <cfRule type="cellIs" dxfId="6859" priority="671" operator="greaterThan">
      <formula>0</formula>
    </cfRule>
  </conditionalFormatting>
  <conditionalFormatting sqref="K13">
    <cfRule type="cellIs" dxfId="6858" priority="660" operator="equal">
      <formula>"PMS"</formula>
    </cfRule>
    <cfRule type="containsText" dxfId="6857" priority="661" operator="containsText" text="CMS">
      <formula>NOT(ISERROR(SEARCH("CMS",K13)))</formula>
    </cfRule>
    <cfRule type="cellIs" dxfId="6856" priority="662" operator="equal">
      <formula>0</formula>
    </cfRule>
    <cfRule type="cellIs" dxfId="6855" priority="663" operator="greaterThan">
      <formula>0</formula>
    </cfRule>
    <cfRule type="cellIs" dxfId="6854" priority="664" operator="equal">
      <formula>"PMS"</formula>
    </cfRule>
    <cfRule type="containsText" dxfId="6853" priority="665" operator="containsText" text="CMS">
      <formula>NOT(ISERROR(SEARCH("CMS",K13)))</formula>
    </cfRule>
    <cfRule type="cellIs" dxfId="6852" priority="666" operator="equal">
      <formula>0</formula>
    </cfRule>
    <cfRule type="cellIs" dxfId="6851" priority="667" operator="greaterThan">
      <formula>0</formula>
    </cfRule>
  </conditionalFormatting>
  <conditionalFormatting sqref="K13">
    <cfRule type="cellIs" dxfId="6850" priority="656" operator="equal">
      <formula>"PMS"</formula>
    </cfRule>
    <cfRule type="containsText" dxfId="6849" priority="657" operator="containsText" text="CMS">
      <formula>NOT(ISERROR(SEARCH("CMS",K13)))</formula>
    </cfRule>
    <cfRule type="cellIs" dxfId="6848" priority="658" operator="equal">
      <formula>0</formula>
    </cfRule>
    <cfRule type="cellIs" dxfId="6847" priority="659" operator="greaterThan">
      <formula>0</formula>
    </cfRule>
  </conditionalFormatting>
  <conditionalFormatting sqref="G113:AC113">
    <cfRule type="cellIs" dxfId="6846" priority="655" operator="greaterThan">
      <formula>60.3</formula>
    </cfRule>
  </conditionalFormatting>
  <conditionalFormatting sqref="H112:M112">
    <cfRule type="cellIs" dxfId="6845" priority="654" operator="greaterThan">
      <formula>60.3</formula>
    </cfRule>
  </conditionalFormatting>
  <conditionalFormatting sqref="F112:G112">
    <cfRule type="cellIs" dxfId="6844" priority="653" operator="greaterThan">
      <formula>60.3</formula>
    </cfRule>
  </conditionalFormatting>
  <conditionalFormatting sqref="N112:AC112">
    <cfRule type="cellIs" dxfId="6843" priority="652" operator="greaterThan">
      <formula>60.3</formula>
    </cfRule>
  </conditionalFormatting>
  <conditionalFormatting sqref="G15:G16">
    <cfRule type="cellIs" dxfId="6842" priority="644" operator="equal">
      <formula>"PMS"</formula>
    </cfRule>
    <cfRule type="containsText" dxfId="6841" priority="645" operator="containsText" text="CMS">
      <formula>NOT(ISERROR(SEARCH("CMS",G15)))</formula>
    </cfRule>
    <cfRule type="cellIs" dxfId="6840" priority="646" operator="equal">
      <formula>0</formula>
    </cfRule>
    <cfRule type="cellIs" dxfId="6839" priority="647" operator="greaterThan">
      <formula>0</formula>
    </cfRule>
    <cfRule type="cellIs" dxfId="6838" priority="648" operator="equal">
      <formula>"PMS"</formula>
    </cfRule>
    <cfRule type="containsText" dxfId="6837" priority="649" operator="containsText" text="CMS">
      <formula>NOT(ISERROR(SEARCH("CMS",G15)))</formula>
    </cfRule>
    <cfRule type="cellIs" dxfId="6836" priority="650" operator="equal">
      <formula>0</formula>
    </cfRule>
    <cfRule type="cellIs" dxfId="6835" priority="651" operator="greaterThan">
      <formula>0</formula>
    </cfRule>
  </conditionalFormatting>
  <conditionalFormatting sqref="G15:G16">
    <cfRule type="cellIs" dxfId="6834" priority="640" operator="equal">
      <formula>"PMS"</formula>
    </cfRule>
    <cfRule type="containsText" dxfId="6833" priority="641" operator="containsText" text="CMS">
      <formula>NOT(ISERROR(SEARCH("CMS",G15)))</formula>
    </cfRule>
    <cfRule type="cellIs" dxfId="6832" priority="642" operator="equal">
      <formula>0</formula>
    </cfRule>
    <cfRule type="cellIs" dxfId="6831" priority="643" operator="greaterThan">
      <formula>0</formula>
    </cfRule>
  </conditionalFormatting>
  <conditionalFormatting sqref="G36:G38 G57:G59">
    <cfRule type="cellIs" dxfId="6830" priority="632" operator="equal">
      <formula>"PMS"</formula>
    </cfRule>
    <cfRule type="containsText" dxfId="6829" priority="633" operator="containsText" text="CMS">
      <formula>NOT(ISERROR(SEARCH("CMS",G36)))</formula>
    </cfRule>
    <cfRule type="cellIs" dxfId="6828" priority="634" operator="equal">
      <formula>0</formula>
    </cfRule>
    <cfRule type="cellIs" dxfId="6827" priority="635" operator="greaterThan">
      <formula>0</formula>
    </cfRule>
    <cfRule type="cellIs" dxfId="6826" priority="636" operator="equal">
      <formula>"PMS"</formula>
    </cfRule>
    <cfRule type="containsText" dxfId="6825" priority="637" operator="containsText" text="CMS">
      <formula>NOT(ISERROR(SEARCH("CMS",G36)))</formula>
    </cfRule>
    <cfRule type="cellIs" dxfId="6824" priority="638" operator="equal">
      <formula>0</formula>
    </cfRule>
    <cfRule type="cellIs" dxfId="6823" priority="639" operator="greaterThan">
      <formula>0</formula>
    </cfRule>
  </conditionalFormatting>
  <conditionalFormatting sqref="G36:G38 G57:G59">
    <cfRule type="cellIs" dxfId="6822" priority="628" operator="equal">
      <formula>"PMS"</formula>
    </cfRule>
    <cfRule type="containsText" dxfId="6821" priority="629" operator="containsText" text="CMS">
      <formula>NOT(ISERROR(SEARCH("CMS",G36)))</formula>
    </cfRule>
    <cfRule type="cellIs" dxfId="6820" priority="630" operator="equal">
      <formula>0</formula>
    </cfRule>
    <cfRule type="cellIs" dxfId="6819" priority="631" operator="greaterThan">
      <formula>0</formula>
    </cfRule>
  </conditionalFormatting>
  <conditionalFormatting sqref="M36:M38 M57:M59">
    <cfRule type="cellIs" dxfId="6818" priority="620" operator="equal">
      <formula>"PMS"</formula>
    </cfRule>
    <cfRule type="containsText" dxfId="6817" priority="621" operator="containsText" text="CMS">
      <formula>NOT(ISERROR(SEARCH("CMS",M36)))</formula>
    </cfRule>
    <cfRule type="cellIs" dxfId="6816" priority="622" operator="equal">
      <formula>0</formula>
    </cfRule>
    <cfRule type="cellIs" dxfId="6815" priority="623" operator="greaterThan">
      <formula>0</formula>
    </cfRule>
    <cfRule type="cellIs" dxfId="6814" priority="624" operator="equal">
      <formula>"PMS"</formula>
    </cfRule>
    <cfRule type="containsText" dxfId="6813" priority="625" operator="containsText" text="CMS">
      <formula>NOT(ISERROR(SEARCH("CMS",M36)))</formula>
    </cfRule>
    <cfRule type="cellIs" dxfId="6812" priority="626" operator="equal">
      <formula>0</formula>
    </cfRule>
    <cfRule type="cellIs" dxfId="6811" priority="627" operator="greaterThan">
      <formula>0</formula>
    </cfRule>
  </conditionalFormatting>
  <conditionalFormatting sqref="M36:M38 M57:M59">
    <cfRule type="cellIs" dxfId="6810" priority="616" operator="equal">
      <formula>"PMS"</formula>
    </cfRule>
    <cfRule type="containsText" dxfId="6809" priority="617" operator="containsText" text="CMS">
      <formula>NOT(ISERROR(SEARCH("CMS",M36)))</formula>
    </cfRule>
    <cfRule type="cellIs" dxfId="6808" priority="618" operator="equal">
      <formula>0</formula>
    </cfRule>
    <cfRule type="cellIs" dxfId="6807" priority="619" operator="greaterThan">
      <formula>0</formula>
    </cfRule>
  </conditionalFormatting>
  <conditionalFormatting sqref="K36:K38 K57:K59">
    <cfRule type="cellIs" dxfId="6806" priority="608" operator="equal">
      <formula>"PMS"</formula>
    </cfRule>
    <cfRule type="containsText" dxfId="6805" priority="609" operator="containsText" text="CMS">
      <formula>NOT(ISERROR(SEARCH("CMS",K36)))</formula>
    </cfRule>
    <cfRule type="cellIs" dxfId="6804" priority="610" operator="equal">
      <formula>0</formula>
    </cfRule>
    <cfRule type="cellIs" dxfId="6803" priority="611" operator="greaterThan">
      <formula>0</formula>
    </cfRule>
    <cfRule type="cellIs" dxfId="6802" priority="612" operator="equal">
      <formula>"PMS"</formula>
    </cfRule>
    <cfRule type="containsText" dxfId="6801" priority="613" operator="containsText" text="CMS">
      <formula>NOT(ISERROR(SEARCH("CMS",K36)))</formula>
    </cfRule>
    <cfRule type="cellIs" dxfId="6800" priority="614" operator="equal">
      <formula>0</formula>
    </cfRule>
    <cfRule type="cellIs" dxfId="6799" priority="615" operator="greaterThan">
      <formula>0</formula>
    </cfRule>
  </conditionalFormatting>
  <conditionalFormatting sqref="K36:K38 K57:K59">
    <cfRule type="cellIs" dxfId="6798" priority="604" operator="equal">
      <formula>"PMS"</formula>
    </cfRule>
    <cfRule type="containsText" dxfId="6797" priority="605" operator="containsText" text="CMS">
      <formula>NOT(ISERROR(SEARCH("CMS",K36)))</formula>
    </cfRule>
    <cfRule type="cellIs" dxfId="6796" priority="606" operator="equal">
      <formula>0</formula>
    </cfRule>
    <cfRule type="cellIs" dxfId="6795" priority="607" operator="greaterThan">
      <formula>0</formula>
    </cfRule>
  </conditionalFormatting>
  <conditionalFormatting sqref="G49">
    <cfRule type="cellIs" dxfId="6794" priority="596" operator="equal">
      <formula>"PMS"</formula>
    </cfRule>
    <cfRule type="containsText" dxfId="6793" priority="597" operator="containsText" text="CMS">
      <formula>NOT(ISERROR(SEARCH("CMS",G49)))</formula>
    </cfRule>
    <cfRule type="cellIs" dxfId="6792" priority="598" operator="equal">
      <formula>0</formula>
    </cfRule>
    <cfRule type="cellIs" dxfId="6791" priority="599" operator="greaterThan">
      <formula>0</formula>
    </cfRule>
    <cfRule type="cellIs" dxfId="6790" priority="600" operator="equal">
      <formula>"PMS"</formula>
    </cfRule>
    <cfRule type="containsText" dxfId="6789" priority="601" operator="containsText" text="CMS">
      <formula>NOT(ISERROR(SEARCH("CMS",G49)))</formula>
    </cfRule>
    <cfRule type="cellIs" dxfId="6788" priority="602" operator="equal">
      <formula>0</formula>
    </cfRule>
    <cfRule type="cellIs" dxfId="6787" priority="603" operator="greaterThan">
      <formula>0</formula>
    </cfRule>
  </conditionalFormatting>
  <conditionalFormatting sqref="G49">
    <cfRule type="cellIs" dxfId="6786" priority="592" operator="equal">
      <formula>"PMS"</formula>
    </cfRule>
    <cfRule type="containsText" dxfId="6785" priority="593" operator="containsText" text="CMS">
      <formula>NOT(ISERROR(SEARCH("CMS",G49)))</formula>
    </cfRule>
    <cfRule type="cellIs" dxfId="6784" priority="594" operator="equal">
      <formula>0</formula>
    </cfRule>
    <cfRule type="cellIs" dxfId="6783" priority="595" operator="greaterThan">
      <formula>0</formula>
    </cfRule>
  </conditionalFormatting>
  <conditionalFormatting sqref="M49:N49">
    <cfRule type="cellIs" dxfId="6782" priority="584" operator="equal">
      <formula>"PMS"</formula>
    </cfRule>
    <cfRule type="containsText" dxfId="6781" priority="585" operator="containsText" text="CMS">
      <formula>NOT(ISERROR(SEARCH("CMS",M49)))</formula>
    </cfRule>
    <cfRule type="cellIs" dxfId="6780" priority="586" operator="equal">
      <formula>0</formula>
    </cfRule>
    <cfRule type="cellIs" dxfId="6779" priority="587" operator="greaterThan">
      <formula>0</formula>
    </cfRule>
    <cfRule type="cellIs" dxfId="6778" priority="588" operator="equal">
      <formula>"PMS"</formula>
    </cfRule>
    <cfRule type="containsText" dxfId="6777" priority="589" operator="containsText" text="CMS">
      <formula>NOT(ISERROR(SEARCH("CMS",M49)))</formula>
    </cfRule>
    <cfRule type="cellIs" dxfId="6776" priority="590" operator="equal">
      <formula>0</formula>
    </cfRule>
    <cfRule type="cellIs" dxfId="6775" priority="591" operator="greaterThan">
      <formula>0</formula>
    </cfRule>
  </conditionalFormatting>
  <conditionalFormatting sqref="M49:N49">
    <cfRule type="cellIs" dxfId="6774" priority="580" operator="equal">
      <formula>"PMS"</formula>
    </cfRule>
    <cfRule type="containsText" dxfId="6773" priority="581" operator="containsText" text="CMS">
      <formula>NOT(ISERROR(SEARCH("CMS",M49)))</formula>
    </cfRule>
    <cfRule type="cellIs" dxfId="6772" priority="582" operator="equal">
      <formula>0</formula>
    </cfRule>
    <cfRule type="cellIs" dxfId="6771" priority="583" operator="greaterThan">
      <formula>0</formula>
    </cfRule>
  </conditionalFormatting>
  <conditionalFormatting sqref="K49">
    <cfRule type="cellIs" dxfId="6770" priority="572" operator="equal">
      <formula>"PMS"</formula>
    </cfRule>
    <cfRule type="containsText" dxfId="6769" priority="573" operator="containsText" text="CMS">
      <formula>NOT(ISERROR(SEARCH("CMS",K49)))</formula>
    </cfRule>
    <cfRule type="cellIs" dxfId="6768" priority="574" operator="equal">
      <formula>0</formula>
    </cfRule>
    <cfRule type="cellIs" dxfId="6767" priority="575" operator="greaterThan">
      <formula>0</formula>
    </cfRule>
    <cfRule type="cellIs" dxfId="6766" priority="576" operator="equal">
      <formula>"PMS"</formula>
    </cfRule>
    <cfRule type="containsText" dxfId="6765" priority="577" operator="containsText" text="CMS">
      <formula>NOT(ISERROR(SEARCH("CMS",K49)))</formula>
    </cfRule>
    <cfRule type="cellIs" dxfId="6764" priority="578" operator="equal">
      <formula>0</formula>
    </cfRule>
    <cfRule type="cellIs" dxfId="6763" priority="579" operator="greaterThan">
      <formula>0</formula>
    </cfRule>
  </conditionalFormatting>
  <conditionalFormatting sqref="K49">
    <cfRule type="cellIs" dxfId="6762" priority="568" operator="equal">
      <formula>"PMS"</formula>
    </cfRule>
    <cfRule type="containsText" dxfId="6761" priority="569" operator="containsText" text="CMS">
      <formula>NOT(ISERROR(SEARCH("CMS",K49)))</formula>
    </cfRule>
    <cfRule type="cellIs" dxfId="6760" priority="570" operator="equal">
      <formula>0</formula>
    </cfRule>
    <cfRule type="cellIs" dxfId="6759" priority="571" operator="greaterThan">
      <formula>0</formula>
    </cfRule>
  </conditionalFormatting>
  <conditionalFormatting sqref="L27:L29 H24:J24 H19:J20 L20:L21 Q28 P30 H27:J30 I21:K21 K19:M19 N30 AC79 M21:O21 Q21:AC21 N19:AC20 H33:L33 S78 N28:P29 O78:Q78 V78:AC78 O79:Y79 L24:AC24 S27:S28 V28:AC30 Q29:U30 N33:AC33">
    <cfRule type="cellIs" dxfId="6758" priority="560" operator="equal">
      <formula>"PMS"</formula>
    </cfRule>
    <cfRule type="containsText" dxfId="6757" priority="561" operator="containsText" text="CMS">
      <formula>NOT(ISERROR(SEARCH("CMS",H19)))</formula>
    </cfRule>
    <cfRule type="cellIs" dxfId="6756" priority="562" operator="equal">
      <formula>0</formula>
    </cfRule>
    <cfRule type="cellIs" dxfId="6755" priority="563" operator="greaterThan">
      <formula>0</formula>
    </cfRule>
    <cfRule type="cellIs" dxfId="6754" priority="564" operator="equal">
      <formula>"PMS"</formula>
    </cfRule>
    <cfRule type="containsText" dxfId="6753" priority="565" operator="containsText" text="CMS">
      <formula>NOT(ISERROR(SEARCH("CMS",H19)))</formula>
    </cfRule>
    <cfRule type="cellIs" dxfId="6752" priority="566" operator="equal">
      <formula>0</formula>
    </cfRule>
    <cfRule type="cellIs" dxfId="6751" priority="567" operator="greaterThan">
      <formula>0</formula>
    </cfRule>
  </conditionalFormatting>
  <conditionalFormatting sqref="L27:L29 H24:J24 H19:J20 L20:L21 Q28 P30 H27:J30 I21:K21 K19:M19 N30 AC79 M21:O21 Q21:AC21 N19:AC20 H33:L33 S78 N28:P29 O78:Q78 V78:AC78 O79:Y79 L24:AC24 S27:S28 V28:AC30 Q29:U30 N33:AC33">
    <cfRule type="cellIs" dxfId="6750" priority="556" operator="equal">
      <formula>"PMS"</formula>
    </cfRule>
    <cfRule type="containsText" dxfId="6749" priority="557" operator="containsText" text="CMS">
      <formula>NOT(ISERROR(SEARCH("CMS",H19)))</formula>
    </cfRule>
    <cfRule type="cellIs" dxfId="6748" priority="558" operator="equal">
      <formula>0</formula>
    </cfRule>
    <cfRule type="cellIs" dxfId="6747" priority="559" operator="greaterThan">
      <formula>0</formula>
    </cfRule>
  </conditionalFormatting>
  <conditionalFormatting sqref="G33 G24 G39:G48 G50:G56 G19:G21 H21 G27:G30">
    <cfRule type="cellIs" dxfId="6746" priority="548" operator="equal">
      <formula>"PMS"</formula>
    </cfRule>
    <cfRule type="containsText" dxfId="6745" priority="549" operator="containsText" text="CMS">
      <formula>NOT(ISERROR(SEARCH("CMS",G19)))</formula>
    </cfRule>
    <cfRule type="cellIs" dxfId="6744" priority="550" operator="equal">
      <formula>0</formula>
    </cfRule>
    <cfRule type="cellIs" dxfId="6743" priority="551" operator="greaterThan">
      <formula>0</formula>
    </cfRule>
    <cfRule type="cellIs" dxfId="6742" priority="552" operator="equal">
      <formula>"PMS"</formula>
    </cfRule>
    <cfRule type="containsText" dxfId="6741" priority="553" operator="containsText" text="CMS">
      <formula>NOT(ISERROR(SEARCH("CMS",G19)))</formula>
    </cfRule>
    <cfRule type="cellIs" dxfId="6740" priority="554" operator="equal">
      <formula>0</formula>
    </cfRule>
    <cfRule type="cellIs" dxfId="6739" priority="555" operator="greaterThan">
      <formula>0</formula>
    </cfRule>
  </conditionalFormatting>
  <conditionalFormatting sqref="G33 G24 G39:G48 G50:G56 G19:G21 H21 G27:G30">
    <cfRule type="cellIs" dxfId="6738" priority="544" operator="equal">
      <formula>"PMS"</formula>
    </cfRule>
    <cfRule type="containsText" dxfId="6737" priority="545" operator="containsText" text="CMS">
      <formula>NOT(ISERROR(SEARCH("CMS",G19)))</formula>
    </cfRule>
    <cfRule type="cellIs" dxfId="6736" priority="546" operator="equal">
      <formula>0</formula>
    </cfRule>
    <cfRule type="cellIs" dxfId="6735" priority="547" operator="greaterThan">
      <formula>0</formula>
    </cfRule>
  </conditionalFormatting>
  <conditionalFormatting sqref="M39:M46 M33 M27:M29 M20 AB27:AC27 M56 N47:N48 N51:N56 T27:X27 N27:Q27 M62:M64">
    <cfRule type="cellIs" dxfId="6734" priority="536" operator="equal">
      <formula>"PMS"</formula>
    </cfRule>
    <cfRule type="containsText" dxfId="6733" priority="537" operator="containsText" text="CMS">
      <formula>NOT(ISERROR(SEARCH("CMS",M20)))</formula>
    </cfRule>
    <cfRule type="cellIs" dxfId="6732" priority="538" operator="equal">
      <formula>0</formula>
    </cfRule>
    <cfRule type="cellIs" dxfId="6731" priority="539" operator="greaterThan">
      <formula>0</formula>
    </cfRule>
    <cfRule type="cellIs" dxfId="6730" priority="540" operator="equal">
      <formula>"PMS"</formula>
    </cfRule>
    <cfRule type="containsText" dxfId="6729" priority="541" operator="containsText" text="CMS">
      <formula>NOT(ISERROR(SEARCH("CMS",M20)))</formula>
    </cfRule>
    <cfRule type="cellIs" dxfId="6728" priority="542" operator="equal">
      <formula>0</formula>
    </cfRule>
    <cfRule type="cellIs" dxfId="6727" priority="543" operator="greaterThan">
      <formula>0</formula>
    </cfRule>
  </conditionalFormatting>
  <conditionalFormatting sqref="M39:M46 M33 M27:M29 M20 AB27:AC27 M56 N47:N48 N51:N56 T27:X27 N27:Q27 M62:M64">
    <cfRule type="cellIs" dxfId="6726" priority="532" operator="equal">
      <formula>"PMS"</formula>
    </cfRule>
    <cfRule type="containsText" dxfId="6725" priority="533" operator="containsText" text="CMS">
      <formula>NOT(ISERROR(SEARCH("CMS",M20)))</formula>
    </cfRule>
    <cfRule type="cellIs" dxfId="6724" priority="534" operator="equal">
      <formula>0</formula>
    </cfRule>
    <cfRule type="cellIs" dxfId="6723" priority="535" operator="greaterThan">
      <formula>0</formula>
    </cfRule>
  </conditionalFormatting>
  <conditionalFormatting sqref="K50:K56 K39:K48 K27 K24 K20 K29:K30 L30">
    <cfRule type="cellIs" dxfId="6722" priority="524" operator="equal">
      <formula>"PMS"</formula>
    </cfRule>
    <cfRule type="containsText" dxfId="6721" priority="525" operator="containsText" text="CMS">
      <formula>NOT(ISERROR(SEARCH("CMS",K20)))</formula>
    </cfRule>
    <cfRule type="cellIs" dxfId="6720" priority="526" operator="equal">
      <formula>0</formula>
    </cfRule>
    <cfRule type="cellIs" dxfId="6719" priority="527" operator="greaterThan">
      <formula>0</formula>
    </cfRule>
    <cfRule type="cellIs" dxfId="6718" priority="528" operator="equal">
      <formula>"PMS"</formula>
    </cfRule>
    <cfRule type="containsText" dxfId="6717" priority="529" operator="containsText" text="CMS">
      <formula>NOT(ISERROR(SEARCH("CMS",K20)))</formula>
    </cfRule>
    <cfRule type="cellIs" dxfId="6716" priority="530" operator="equal">
      <formula>0</formula>
    </cfRule>
    <cfRule type="cellIs" dxfId="6715" priority="531" operator="greaterThan">
      <formula>0</formula>
    </cfRule>
  </conditionalFormatting>
  <conditionalFormatting sqref="K50:K56 K39:K48 K27 K24 K20 K29:K30 L30">
    <cfRule type="cellIs" dxfId="6714" priority="520" operator="equal">
      <formula>"PMS"</formula>
    </cfRule>
    <cfRule type="containsText" dxfId="6713" priority="521" operator="containsText" text="CMS">
      <formula>NOT(ISERROR(SEARCH("CMS",K20)))</formula>
    </cfRule>
    <cfRule type="cellIs" dxfId="6712" priority="522" operator="equal">
      <formula>0</formula>
    </cfRule>
    <cfRule type="cellIs" dxfId="6711" priority="523" operator="greaterThan">
      <formula>0</formula>
    </cfRule>
  </conditionalFormatting>
  <conditionalFormatting sqref="K28">
    <cfRule type="cellIs" dxfId="6710" priority="512" operator="equal">
      <formula>"PMS"</formula>
    </cfRule>
    <cfRule type="containsText" dxfId="6709" priority="513" operator="containsText" text="CMS">
      <formula>NOT(ISERROR(SEARCH("CMS",K28)))</formula>
    </cfRule>
    <cfRule type="cellIs" dxfId="6708" priority="514" operator="equal">
      <formula>0</formula>
    </cfRule>
    <cfRule type="cellIs" dxfId="6707" priority="515" operator="greaterThan">
      <formula>0</formula>
    </cfRule>
    <cfRule type="cellIs" dxfId="6706" priority="516" operator="equal">
      <formula>"PMS"</formula>
    </cfRule>
    <cfRule type="containsText" dxfId="6705" priority="517" operator="containsText" text="CMS">
      <formula>NOT(ISERROR(SEARCH("CMS",K28)))</formula>
    </cfRule>
    <cfRule type="cellIs" dxfId="6704" priority="518" operator="equal">
      <formula>0</formula>
    </cfRule>
    <cfRule type="cellIs" dxfId="6703" priority="519" operator="greaterThan">
      <formula>0</formula>
    </cfRule>
  </conditionalFormatting>
  <conditionalFormatting sqref="K28">
    <cfRule type="cellIs" dxfId="6702" priority="508" operator="equal">
      <formula>"PMS"</formula>
    </cfRule>
    <cfRule type="containsText" dxfId="6701" priority="509" operator="containsText" text="CMS">
      <formula>NOT(ISERROR(SEARCH("CMS",K28)))</formula>
    </cfRule>
    <cfRule type="cellIs" dxfId="6700" priority="510" operator="equal">
      <formula>0</formula>
    </cfRule>
    <cfRule type="cellIs" dxfId="6699" priority="511" operator="greaterThan">
      <formula>0</formula>
    </cfRule>
  </conditionalFormatting>
  <conditionalFormatting sqref="N62:O62 O63:O64">
    <cfRule type="cellIs" dxfId="6698" priority="500" operator="equal">
      <formula>"PMS"</formula>
    </cfRule>
    <cfRule type="containsText" dxfId="6697" priority="501" operator="containsText" text="CMS">
      <formula>NOT(ISERROR(SEARCH("CMS",N62)))</formula>
    </cfRule>
    <cfRule type="cellIs" dxfId="6696" priority="502" operator="equal">
      <formula>0</formula>
    </cfRule>
    <cfRule type="cellIs" dxfId="6695" priority="503" operator="greaterThan">
      <formula>0</formula>
    </cfRule>
    <cfRule type="cellIs" dxfId="6694" priority="504" operator="equal">
      <formula>"PMS"</formula>
    </cfRule>
    <cfRule type="containsText" dxfId="6693" priority="505" operator="containsText" text="CMS">
      <formula>NOT(ISERROR(SEARCH("CMS",N62)))</formula>
    </cfRule>
    <cfRule type="cellIs" dxfId="6692" priority="506" operator="equal">
      <formula>0</formula>
    </cfRule>
    <cfRule type="cellIs" dxfId="6691" priority="507" operator="greaterThan">
      <formula>0</formula>
    </cfRule>
  </conditionalFormatting>
  <conditionalFormatting sqref="N62:O62 O63:O64">
    <cfRule type="cellIs" dxfId="6690" priority="496" operator="equal">
      <formula>"PMS"</formula>
    </cfRule>
    <cfRule type="containsText" dxfId="6689" priority="497" operator="containsText" text="CMS">
      <formula>NOT(ISERROR(SEARCH("CMS",N62)))</formula>
    </cfRule>
    <cfRule type="cellIs" dxfId="6688" priority="498" operator="equal">
      <formula>0</formula>
    </cfRule>
    <cfRule type="cellIs" dxfId="6687" priority="499" operator="greaterThan">
      <formula>0</formula>
    </cfRule>
  </conditionalFormatting>
  <conditionalFormatting sqref="Y27:AA27">
    <cfRule type="cellIs" dxfId="6686" priority="476" operator="equal">
      <formula>"PMS"</formula>
    </cfRule>
    <cfRule type="containsText" dxfId="6685" priority="477" operator="containsText" text="CMS">
      <formula>NOT(ISERROR(SEARCH("CMS",Y27)))</formula>
    </cfRule>
    <cfRule type="cellIs" dxfId="6684" priority="478" operator="equal">
      <formula>0</formula>
    </cfRule>
    <cfRule type="cellIs" dxfId="6683" priority="479" operator="greaterThan">
      <formula>0</formula>
    </cfRule>
    <cfRule type="cellIs" dxfId="6682" priority="480" operator="equal">
      <formula>"PMS"</formula>
    </cfRule>
    <cfRule type="containsText" dxfId="6681" priority="481" operator="containsText" text="CMS">
      <formula>NOT(ISERROR(SEARCH("CMS",Y27)))</formula>
    </cfRule>
    <cfRule type="cellIs" dxfId="6680" priority="482" operator="equal">
      <formula>0</formula>
    </cfRule>
    <cfRule type="cellIs" dxfId="6679" priority="483" operator="greaterThan">
      <formula>0</formula>
    </cfRule>
  </conditionalFormatting>
  <conditionalFormatting sqref="Y27:AA27">
    <cfRule type="cellIs" dxfId="6678" priority="472" operator="equal">
      <formula>"PMS"</formula>
    </cfRule>
    <cfRule type="containsText" dxfId="6677" priority="473" operator="containsText" text="CMS">
      <formula>NOT(ISERROR(SEARCH("CMS",Y27)))</formula>
    </cfRule>
    <cfRule type="cellIs" dxfId="6676" priority="474" operator="equal">
      <formula>0</formula>
    </cfRule>
    <cfRule type="cellIs" dxfId="6675" priority="475" operator="greaterThan">
      <formula>0</formula>
    </cfRule>
  </conditionalFormatting>
  <conditionalFormatting sqref="G62:G64">
    <cfRule type="cellIs" dxfId="6674" priority="464" operator="equal">
      <formula>"PMS"</formula>
    </cfRule>
    <cfRule type="containsText" dxfId="6673" priority="465" operator="containsText" text="CMS">
      <formula>NOT(ISERROR(SEARCH("CMS",G62)))</formula>
    </cfRule>
    <cfRule type="cellIs" dxfId="6672" priority="466" operator="equal">
      <formula>0</formula>
    </cfRule>
    <cfRule type="cellIs" dxfId="6671" priority="467" operator="greaterThan">
      <formula>0</formula>
    </cfRule>
    <cfRule type="cellIs" dxfId="6670" priority="468" operator="equal">
      <formula>"PMS"</formula>
    </cfRule>
    <cfRule type="containsText" dxfId="6669" priority="469" operator="containsText" text="CMS">
      <formula>NOT(ISERROR(SEARCH("CMS",G62)))</formula>
    </cfRule>
    <cfRule type="cellIs" dxfId="6668" priority="470" operator="equal">
      <formula>0</formula>
    </cfRule>
    <cfRule type="cellIs" dxfId="6667" priority="471" operator="greaterThan">
      <formula>0</formula>
    </cfRule>
  </conditionalFormatting>
  <conditionalFormatting sqref="G62:G64">
    <cfRule type="cellIs" dxfId="6666" priority="460" operator="equal">
      <formula>"PMS"</formula>
    </cfRule>
    <cfRule type="containsText" dxfId="6665" priority="461" operator="containsText" text="CMS">
      <formula>NOT(ISERROR(SEARCH("CMS",G62)))</formula>
    </cfRule>
    <cfRule type="cellIs" dxfId="6664" priority="462" operator="equal">
      <formula>0</formula>
    </cfRule>
    <cfRule type="cellIs" dxfId="6663" priority="463" operator="greaterThan">
      <formula>0</formula>
    </cfRule>
  </conditionalFormatting>
  <conditionalFormatting sqref="N40">
    <cfRule type="cellIs" dxfId="6662" priority="452" operator="equal">
      <formula>"PMS"</formula>
    </cfRule>
    <cfRule type="containsText" dxfId="6661" priority="453" operator="containsText" text="CMS">
      <formula>NOT(ISERROR(SEARCH("CMS",N40)))</formula>
    </cfRule>
    <cfRule type="cellIs" dxfId="6660" priority="454" operator="equal">
      <formula>0</formula>
    </cfRule>
    <cfRule type="cellIs" dxfId="6659" priority="455" operator="greaterThan">
      <formula>0</formula>
    </cfRule>
    <cfRule type="cellIs" dxfId="6658" priority="456" operator="equal">
      <formula>"PMS"</formula>
    </cfRule>
    <cfRule type="containsText" dxfId="6657" priority="457" operator="containsText" text="CMS">
      <formula>NOT(ISERROR(SEARCH("CMS",N40)))</formula>
    </cfRule>
    <cfRule type="cellIs" dxfId="6656" priority="458" operator="equal">
      <formula>0</formula>
    </cfRule>
    <cfRule type="cellIs" dxfId="6655" priority="459" operator="greaterThan">
      <formula>0</formula>
    </cfRule>
  </conditionalFormatting>
  <conditionalFormatting sqref="N40">
    <cfRule type="cellIs" dxfId="6654" priority="448" operator="equal">
      <formula>"PMS"</formula>
    </cfRule>
    <cfRule type="containsText" dxfId="6653" priority="449" operator="containsText" text="CMS">
      <formula>NOT(ISERROR(SEARCH("CMS",N40)))</formula>
    </cfRule>
    <cfRule type="cellIs" dxfId="6652" priority="450" operator="equal">
      <formula>0</formula>
    </cfRule>
    <cfRule type="cellIs" dxfId="6651" priority="451" operator="greaterThan">
      <formula>0</formula>
    </cfRule>
  </conditionalFormatting>
  <conditionalFormatting sqref="O30">
    <cfRule type="cellIs" dxfId="6650" priority="440" operator="equal">
      <formula>"PMS"</formula>
    </cfRule>
    <cfRule type="containsText" dxfId="6649" priority="441" operator="containsText" text="CMS">
      <formula>NOT(ISERROR(SEARCH("CMS",O30)))</formula>
    </cfRule>
    <cfRule type="cellIs" dxfId="6648" priority="442" operator="equal">
      <formula>0</formula>
    </cfRule>
    <cfRule type="cellIs" dxfId="6647" priority="443" operator="greaterThan">
      <formula>0</formula>
    </cfRule>
    <cfRule type="cellIs" dxfId="6646" priority="444" operator="equal">
      <formula>"PMS"</formula>
    </cfRule>
    <cfRule type="containsText" dxfId="6645" priority="445" operator="containsText" text="CMS">
      <formula>NOT(ISERROR(SEARCH("CMS",O30)))</formula>
    </cfRule>
    <cfRule type="cellIs" dxfId="6644" priority="446" operator="equal">
      <formula>0</formula>
    </cfRule>
    <cfRule type="cellIs" dxfId="6643" priority="447" operator="greaterThan">
      <formula>0</formula>
    </cfRule>
  </conditionalFormatting>
  <conditionalFormatting sqref="O30">
    <cfRule type="cellIs" dxfId="6642" priority="436" operator="equal">
      <formula>"PMS"</formula>
    </cfRule>
    <cfRule type="containsText" dxfId="6641" priority="437" operator="containsText" text="CMS">
      <formula>NOT(ISERROR(SEARCH("CMS",O30)))</formula>
    </cfRule>
    <cfRule type="cellIs" dxfId="6640" priority="438" operator="equal">
      <formula>0</formula>
    </cfRule>
    <cfRule type="cellIs" dxfId="6639" priority="439" operator="greaterThan">
      <formula>0</formula>
    </cfRule>
  </conditionalFormatting>
  <conditionalFormatting sqref="O47:O49">
    <cfRule type="cellIs" dxfId="6638" priority="428" operator="equal">
      <formula>"PMS"</formula>
    </cfRule>
    <cfRule type="containsText" dxfId="6637" priority="429" operator="containsText" text="CMS">
      <formula>NOT(ISERROR(SEARCH("CMS",O47)))</formula>
    </cfRule>
    <cfRule type="cellIs" dxfId="6636" priority="430" operator="equal">
      <formula>0</formula>
    </cfRule>
    <cfRule type="cellIs" dxfId="6635" priority="431" operator="greaterThan">
      <formula>0</formula>
    </cfRule>
    <cfRule type="cellIs" dxfId="6634" priority="432" operator="equal">
      <formula>"PMS"</formula>
    </cfRule>
    <cfRule type="containsText" dxfId="6633" priority="433" operator="containsText" text="CMS">
      <formula>NOT(ISERROR(SEARCH("CMS",O47)))</formula>
    </cfRule>
    <cfRule type="cellIs" dxfId="6632" priority="434" operator="equal">
      <formula>0</formula>
    </cfRule>
    <cfRule type="cellIs" dxfId="6631" priority="435" operator="greaterThan">
      <formula>0</formula>
    </cfRule>
  </conditionalFormatting>
  <conditionalFormatting sqref="O47:O49">
    <cfRule type="cellIs" dxfId="6630" priority="424" operator="equal">
      <formula>"PMS"</formula>
    </cfRule>
    <cfRule type="containsText" dxfId="6629" priority="425" operator="containsText" text="CMS">
      <formula>NOT(ISERROR(SEARCH("CMS",O47)))</formula>
    </cfRule>
    <cfRule type="cellIs" dxfId="6628" priority="426" operator="equal">
      <formula>0</formula>
    </cfRule>
    <cfRule type="cellIs" dxfId="6627" priority="427" operator="greaterThan">
      <formula>0</formula>
    </cfRule>
  </conditionalFormatting>
  <conditionalFormatting sqref="H15:H16">
    <cfRule type="cellIs" dxfId="6626" priority="416" operator="equal">
      <formula>"PMS"</formula>
    </cfRule>
    <cfRule type="containsText" dxfId="6625" priority="417" operator="containsText" text="CMS">
      <formula>NOT(ISERROR(SEARCH("CMS",H15)))</formula>
    </cfRule>
    <cfRule type="cellIs" dxfId="6624" priority="418" operator="equal">
      <formula>0</formula>
    </cfRule>
    <cfRule type="cellIs" dxfId="6623" priority="419" operator="greaterThan">
      <formula>0</formula>
    </cfRule>
    <cfRule type="cellIs" dxfId="6622" priority="420" operator="equal">
      <formula>"PMS"</formula>
    </cfRule>
    <cfRule type="containsText" dxfId="6621" priority="421" operator="containsText" text="CMS">
      <formula>NOT(ISERROR(SEARCH("CMS",H15)))</formula>
    </cfRule>
    <cfRule type="cellIs" dxfId="6620" priority="422" operator="equal">
      <formula>0</formula>
    </cfRule>
    <cfRule type="cellIs" dxfId="6619" priority="423" operator="greaterThan">
      <formula>0</formula>
    </cfRule>
  </conditionalFormatting>
  <conditionalFormatting sqref="H15:H16">
    <cfRule type="cellIs" dxfId="6618" priority="412" operator="equal">
      <formula>"PMS"</formula>
    </cfRule>
    <cfRule type="containsText" dxfId="6617" priority="413" operator="containsText" text="CMS">
      <formula>NOT(ISERROR(SEARCH("CMS",H15)))</formula>
    </cfRule>
    <cfRule type="cellIs" dxfId="6616" priority="414" operator="equal">
      <formula>0</formula>
    </cfRule>
    <cfRule type="cellIs" dxfId="6615" priority="415" operator="greaterThan">
      <formula>0</formula>
    </cfRule>
  </conditionalFormatting>
  <conditionalFormatting sqref="G14">
    <cfRule type="cellIs" dxfId="6614" priority="404" operator="equal">
      <formula>"PMS"</formula>
    </cfRule>
    <cfRule type="containsText" dxfId="6613" priority="405" operator="containsText" text="CMS">
      <formula>NOT(ISERROR(SEARCH("CMS",G14)))</formula>
    </cfRule>
    <cfRule type="cellIs" dxfId="6612" priority="406" operator="equal">
      <formula>0</formula>
    </cfRule>
    <cfRule type="cellIs" dxfId="6611" priority="407" operator="greaterThan">
      <formula>0</formula>
    </cfRule>
    <cfRule type="cellIs" dxfId="6610" priority="408" operator="equal">
      <formula>"PMS"</formula>
    </cfRule>
    <cfRule type="containsText" dxfId="6609" priority="409" operator="containsText" text="CMS">
      <formula>NOT(ISERROR(SEARCH("CMS",G14)))</formula>
    </cfRule>
    <cfRule type="cellIs" dxfId="6608" priority="410" operator="equal">
      <formula>0</formula>
    </cfRule>
    <cfRule type="cellIs" dxfId="6607" priority="411" operator="greaterThan">
      <formula>0</formula>
    </cfRule>
  </conditionalFormatting>
  <conditionalFormatting sqref="G14">
    <cfRule type="cellIs" dxfId="6606" priority="400" operator="equal">
      <formula>"PMS"</formula>
    </cfRule>
    <cfRule type="containsText" dxfId="6605" priority="401" operator="containsText" text="CMS">
      <formula>NOT(ISERROR(SEARCH("CMS",G14)))</formula>
    </cfRule>
    <cfRule type="cellIs" dxfId="6604" priority="402" operator="equal">
      <formula>0</formula>
    </cfRule>
    <cfRule type="cellIs" dxfId="6603" priority="403" operator="greaterThan">
      <formula>0</formula>
    </cfRule>
  </conditionalFormatting>
  <conditionalFormatting sqref="N63:N64">
    <cfRule type="cellIs" dxfId="6602" priority="392" operator="equal">
      <formula>"PMS"</formula>
    </cfRule>
    <cfRule type="containsText" dxfId="6601" priority="393" operator="containsText" text="CMS">
      <formula>NOT(ISERROR(SEARCH("CMS",N63)))</formula>
    </cfRule>
    <cfRule type="cellIs" dxfId="6600" priority="394" operator="equal">
      <formula>0</formula>
    </cfRule>
    <cfRule type="cellIs" dxfId="6599" priority="395" operator="greaterThan">
      <formula>0</formula>
    </cfRule>
    <cfRule type="cellIs" dxfId="6598" priority="396" operator="equal">
      <formula>"PMS"</formula>
    </cfRule>
    <cfRule type="containsText" dxfId="6597" priority="397" operator="containsText" text="CMS">
      <formula>NOT(ISERROR(SEARCH("CMS",N63)))</formula>
    </cfRule>
    <cfRule type="cellIs" dxfId="6596" priority="398" operator="equal">
      <formula>0</formula>
    </cfRule>
    <cfRule type="cellIs" dxfId="6595" priority="399" operator="greaterThan">
      <formula>0</formula>
    </cfRule>
  </conditionalFormatting>
  <conditionalFormatting sqref="N63:N64">
    <cfRule type="cellIs" dxfId="6594" priority="388" operator="equal">
      <formula>"PMS"</formula>
    </cfRule>
    <cfRule type="containsText" dxfId="6593" priority="389" operator="containsText" text="CMS">
      <formula>NOT(ISERROR(SEARCH("CMS",N63)))</formula>
    </cfRule>
    <cfRule type="cellIs" dxfId="6592" priority="390" operator="equal">
      <formula>0</formula>
    </cfRule>
    <cfRule type="cellIs" dxfId="6591" priority="391" operator="greaterThan">
      <formula>0</formula>
    </cfRule>
  </conditionalFormatting>
  <conditionalFormatting sqref="G78:K78">
    <cfRule type="cellIs" dxfId="6590" priority="380" operator="equal">
      <formula>"PMS"</formula>
    </cfRule>
    <cfRule type="containsText" dxfId="6589" priority="381" operator="containsText" text="CMS">
      <formula>NOT(ISERROR(SEARCH("CMS",G78)))</formula>
    </cfRule>
    <cfRule type="cellIs" dxfId="6588" priority="382" operator="equal">
      <formula>0</formula>
    </cfRule>
    <cfRule type="cellIs" dxfId="6587" priority="383" operator="greaterThan">
      <formula>0</formula>
    </cfRule>
    <cfRule type="cellIs" dxfId="6586" priority="384" operator="equal">
      <formula>"PMS"</formula>
    </cfRule>
    <cfRule type="containsText" dxfId="6585" priority="385" operator="containsText" text="CMS">
      <formula>NOT(ISERROR(SEARCH("CMS",G78)))</formula>
    </cfRule>
    <cfRule type="cellIs" dxfId="6584" priority="386" operator="equal">
      <formula>0</formula>
    </cfRule>
    <cfRule type="cellIs" dxfId="6583" priority="387" operator="greaterThan">
      <formula>0</formula>
    </cfRule>
  </conditionalFormatting>
  <conditionalFormatting sqref="G78:K78">
    <cfRule type="cellIs" dxfId="6582" priority="376" operator="equal">
      <formula>"PMS"</formula>
    </cfRule>
    <cfRule type="containsText" dxfId="6581" priority="377" operator="containsText" text="CMS">
      <formula>NOT(ISERROR(SEARCH("CMS",G78)))</formula>
    </cfRule>
    <cfRule type="cellIs" dxfId="6580" priority="378" operator="equal">
      <formula>0</formula>
    </cfRule>
    <cfRule type="cellIs" dxfId="6579" priority="379" operator="greaterThan">
      <formula>0</formula>
    </cfRule>
  </conditionalFormatting>
  <conditionalFormatting sqref="L78:L79">
    <cfRule type="cellIs" dxfId="6578" priority="368" operator="equal">
      <formula>"PMS"</formula>
    </cfRule>
    <cfRule type="containsText" dxfId="6577" priority="369" operator="containsText" text="CMS">
      <formula>NOT(ISERROR(SEARCH("CMS",L78)))</formula>
    </cfRule>
    <cfRule type="cellIs" dxfId="6576" priority="370" operator="equal">
      <formula>0</formula>
    </cfRule>
    <cfRule type="cellIs" dxfId="6575" priority="371" operator="greaterThan">
      <formula>0</formula>
    </cfRule>
    <cfRule type="cellIs" dxfId="6574" priority="372" operator="equal">
      <formula>"PMS"</formula>
    </cfRule>
    <cfRule type="containsText" dxfId="6573" priority="373" operator="containsText" text="CMS">
      <formula>NOT(ISERROR(SEARCH("CMS",L78)))</formula>
    </cfRule>
    <cfRule type="cellIs" dxfId="6572" priority="374" operator="equal">
      <formula>0</formula>
    </cfRule>
    <cfRule type="cellIs" dxfId="6571" priority="375" operator="greaterThan">
      <formula>0</formula>
    </cfRule>
  </conditionalFormatting>
  <conditionalFormatting sqref="L78:L79">
    <cfRule type="cellIs" dxfId="6570" priority="364" operator="equal">
      <formula>"PMS"</formula>
    </cfRule>
    <cfRule type="containsText" dxfId="6569" priority="365" operator="containsText" text="CMS">
      <formula>NOT(ISERROR(SEARCH("CMS",L78)))</formula>
    </cfRule>
    <cfRule type="cellIs" dxfId="6568" priority="366" operator="equal">
      <formula>0</formula>
    </cfRule>
    <cfRule type="cellIs" dxfId="6567" priority="367" operator="greaterThan">
      <formula>0</formula>
    </cfRule>
  </conditionalFormatting>
  <conditionalFormatting sqref="R27:R28">
    <cfRule type="cellIs" dxfId="6566" priority="356" operator="equal">
      <formula>"PMS"</formula>
    </cfRule>
    <cfRule type="containsText" dxfId="6565" priority="357" operator="containsText" text="CMS">
      <formula>NOT(ISERROR(SEARCH("CMS",R27)))</formula>
    </cfRule>
    <cfRule type="cellIs" dxfId="6564" priority="358" operator="equal">
      <formula>0</formula>
    </cfRule>
    <cfRule type="cellIs" dxfId="6563" priority="359" operator="greaterThan">
      <formula>0</formula>
    </cfRule>
    <cfRule type="cellIs" dxfId="6562" priority="360" operator="equal">
      <formula>"PMS"</formula>
    </cfRule>
    <cfRule type="containsText" dxfId="6561" priority="361" operator="containsText" text="CMS">
      <formula>NOT(ISERROR(SEARCH("CMS",R27)))</formula>
    </cfRule>
    <cfRule type="cellIs" dxfId="6560" priority="362" operator="equal">
      <formula>0</formula>
    </cfRule>
    <cfRule type="cellIs" dxfId="6559" priority="363" operator="greaterThan">
      <formula>0</formula>
    </cfRule>
  </conditionalFormatting>
  <conditionalFormatting sqref="R27:R28">
    <cfRule type="cellIs" dxfId="6558" priority="352" operator="equal">
      <formula>"PMS"</formula>
    </cfRule>
    <cfRule type="containsText" dxfId="6557" priority="353" operator="containsText" text="CMS">
      <formula>NOT(ISERROR(SEARCH("CMS",R27)))</formula>
    </cfRule>
    <cfRule type="cellIs" dxfId="6556" priority="354" operator="equal">
      <formula>0</formula>
    </cfRule>
    <cfRule type="cellIs" dxfId="6555" priority="355" operator="greaterThan">
      <formula>0</formula>
    </cfRule>
  </conditionalFormatting>
  <conditionalFormatting sqref="AA79:AB79">
    <cfRule type="cellIs" dxfId="6554" priority="344" operator="equal">
      <formula>"PMS"</formula>
    </cfRule>
    <cfRule type="containsText" dxfId="6553" priority="345" operator="containsText" text="CMS">
      <formula>NOT(ISERROR(SEARCH("CMS",AA79)))</formula>
    </cfRule>
    <cfRule type="cellIs" dxfId="6552" priority="346" operator="equal">
      <formula>0</formula>
    </cfRule>
    <cfRule type="cellIs" dxfId="6551" priority="347" operator="greaterThan">
      <formula>0</formula>
    </cfRule>
    <cfRule type="cellIs" dxfId="6550" priority="348" operator="equal">
      <formula>"PMS"</formula>
    </cfRule>
    <cfRule type="containsText" dxfId="6549" priority="349" operator="containsText" text="CMS">
      <formula>NOT(ISERROR(SEARCH("CMS",AA79)))</formula>
    </cfRule>
    <cfRule type="cellIs" dxfId="6548" priority="350" operator="equal">
      <formula>0</formula>
    </cfRule>
    <cfRule type="cellIs" dxfId="6547" priority="351" operator="greaterThan">
      <formula>0</formula>
    </cfRule>
  </conditionalFormatting>
  <conditionalFormatting sqref="AA79:AB79">
    <cfRule type="cellIs" dxfId="6546" priority="340" operator="equal">
      <formula>"PMS"</formula>
    </cfRule>
    <cfRule type="containsText" dxfId="6545" priority="341" operator="containsText" text="CMS">
      <formula>NOT(ISERROR(SEARCH("CMS",AA79)))</formula>
    </cfRule>
    <cfRule type="cellIs" dxfId="6544" priority="342" operator="equal">
      <formula>0</formula>
    </cfRule>
    <cfRule type="cellIs" dxfId="6543" priority="343" operator="greaterThan">
      <formula>0</formula>
    </cfRule>
  </conditionalFormatting>
  <conditionalFormatting sqref="M30">
    <cfRule type="cellIs" dxfId="6542" priority="332" operator="equal">
      <formula>"PMS"</formula>
    </cfRule>
    <cfRule type="containsText" dxfId="6541" priority="333" operator="containsText" text="CMS">
      <formula>NOT(ISERROR(SEARCH("CMS",M30)))</formula>
    </cfRule>
    <cfRule type="cellIs" dxfId="6540" priority="334" operator="equal">
      <formula>0</formula>
    </cfRule>
    <cfRule type="cellIs" dxfId="6539" priority="335" operator="greaterThan">
      <formula>0</formula>
    </cfRule>
    <cfRule type="cellIs" dxfId="6538" priority="336" operator="equal">
      <formula>"PMS"</formula>
    </cfRule>
    <cfRule type="containsText" dxfId="6537" priority="337" operator="containsText" text="CMS">
      <formula>NOT(ISERROR(SEARCH("CMS",M30)))</formula>
    </cfRule>
    <cfRule type="cellIs" dxfId="6536" priority="338" operator="equal">
      <formula>0</formula>
    </cfRule>
    <cfRule type="cellIs" dxfId="6535" priority="339" operator="greaterThan">
      <formula>0</formula>
    </cfRule>
  </conditionalFormatting>
  <conditionalFormatting sqref="M30">
    <cfRule type="cellIs" dxfId="6534" priority="328" operator="equal">
      <formula>"PMS"</formula>
    </cfRule>
    <cfRule type="containsText" dxfId="6533" priority="329" operator="containsText" text="CMS">
      <formula>NOT(ISERROR(SEARCH("CMS",M30)))</formula>
    </cfRule>
    <cfRule type="cellIs" dxfId="6532" priority="330" operator="equal">
      <formula>0</formula>
    </cfRule>
    <cfRule type="cellIs" dxfId="6531" priority="331" operator="greaterThan">
      <formula>0</formula>
    </cfRule>
  </conditionalFormatting>
  <conditionalFormatting sqref="R78">
    <cfRule type="cellIs" dxfId="6530" priority="320" operator="equal">
      <formula>"PMS"</formula>
    </cfRule>
    <cfRule type="containsText" dxfId="6529" priority="321" operator="containsText" text="CMS">
      <formula>NOT(ISERROR(SEARCH("CMS",R78)))</formula>
    </cfRule>
    <cfRule type="cellIs" dxfId="6528" priority="322" operator="equal">
      <formula>0</formula>
    </cfRule>
    <cfRule type="cellIs" dxfId="6527" priority="323" operator="greaterThan">
      <formula>0</formula>
    </cfRule>
    <cfRule type="cellIs" dxfId="6526" priority="324" operator="equal">
      <formula>"PMS"</formula>
    </cfRule>
    <cfRule type="containsText" dxfId="6525" priority="325" operator="containsText" text="CMS">
      <formula>NOT(ISERROR(SEARCH("CMS",R78)))</formula>
    </cfRule>
    <cfRule type="cellIs" dxfId="6524" priority="326" operator="equal">
      <formula>0</formula>
    </cfRule>
    <cfRule type="cellIs" dxfId="6523" priority="327" operator="greaterThan">
      <formula>0</formula>
    </cfRule>
  </conditionalFormatting>
  <conditionalFormatting sqref="R78">
    <cfRule type="cellIs" dxfId="6522" priority="316" operator="equal">
      <formula>"PMS"</formula>
    </cfRule>
    <cfRule type="containsText" dxfId="6521" priority="317" operator="containsText" text="CMS">
      <formula>NOT(ISERROR(SEARCH("CMS",R78)))</formula>
    </cfRule>
    <cfRule type="cellIs" dxfId="6520" priority="318" operator="equal">
      <formula>0</formula>
    </cfRule>
    <cfRule type="cellIs" dxfId="6519" priority="319" operator="greaterThan">
      <formula>0</formula>
    </cfRule>
  </conditionalFormatting>
  <conditionalFormatting sqref="M16">
    <cfRule type="cellIs" dxfId="6518" priority="308" operator="equal">
      <formula>"PMS"</formula>
    </cfRule>
    <cfRule type="containsText" dxfId="6517" priority="309" operator="containsText" text="CMS">
      <formula>NOT(ISERROR(SEARCH("CMS",M16)))</formula>
    </cfRule>
    <cfRule type="cellIs" dxfId="6516" priority="310" operator="equal">
      <formula>0</formula>
    </cfRule>
    <cfRule type="cellIs" dxfId="6515" priority="311" operator="greaterThan">
      <formula>0</formula>
    </cfRule>
    <cfRule type="cellIs" dxfId="6514" priority="312" operator="equal">
      <formula>"PMS"</formula>
    </cfRule>
    <cfRule type="containsText" dxfId="6513" priority="313" operator="containsText" text="CMS">
      <formula>NOT(ISERROR(SEARCH("CMS",M16)))</formula>
    </cfRule>
    <cfRule type="cellIs" dxfId="6512" priority="314" operator="equal">
      <formula>0</formula>
    </cfRule>
    <cfRule type="cellIs" dxfId="6511" priority="315" operator="greaterThan">
      <formula>0</formula>
    </cfRule>
  </conditionalFormatting>
  <conditionalFormatting sqref="M16">
    <cfRule type="cellIs" dxfId="6510" priority="304" operator="equal">
      <formula>"PMS"</formula>
    </cfRule>
    <cfRule type="containsText" dxfId="6509" priority="305" operator="containsText" text="CMS">
      <formula>NOT(ISERROR(SEARCH("CMS",M16)))</formula>
    </cfRule>
    <cfRule type="cellIs" dxfId="6508" priority="306" operator="equal">
      <formula>0</formula>
    </cfRule>
    <cfRule type="cellIs" dxfId="6507" priority="307" operator="greaterThan">
      <formula>0</formula>
    </cfRule>
  </conditionalFormatting>
  <conditionalFormatting sqref="O40">
    <cfRule type="cellIs" dxfId="6506" priority="296" operator="equal">
      <formula>"PMS"</formula>
    </cfRule>
    <cfRule type="containsText" dxfId="6505" priority="297" operator="containsText" text="CMS">
      <formula>NOT(ISERROR(SEARCH("CMS",O40)))</formula>
    </cfRule>
    <cfRule type="cellIs" dxfId="6504" priority="298" operator="equal">
      <formula>0</formula>
    </cfRule>
    <cfRule type="cellIs" dxfId="6503" priority="299" operator="greaterThan">
      <formula>0</formula>
    </cfRule>
    <cfRule type="cellIs" dxfId="6502" priority="300" operator="equal">
      <formula>"PMS"</formula>
    </cfRule>
    <cfRule type="containsText" dxfId="6501" priority="301" operator="containsText" text="CMS">
      <formula>NOT(ISERROR(SEARCH("CMS",O40)))</formula>
    </cfRule>
    <cfRule type="cellIs" dxfId="6500" priority="302" operator="equal">
      <formula>0</formula>
    </cfRule>
    <cfRule type="cellIs" dxfId="6499" priority="303" operator="greaterThan">
      <formula>0</formula>
    </cfRule>
  </conditionalFormatting>
  <conditionalFormatting sqref="O40">
    <cfRule type="cellIs" dxfId="6498" priority="292" operator="equal">
      <formula>"PMS"</formula>
    </cfRule>
    <cfRule type="containsText" dxfId="6497" priority="293" operator="containsText" text="CMS">
      <formula>NOT(ISERROR(SEARCH("CMS",O40)))</formula>
    </cfRule>
    <cfRule type="cellIs" dxfId="6496" priority="294" operator="equal">
      <formula>0</formula>
    </cfRule>
    <cfRule type="cellIs" dxfId="6495" priority="295" operator="greaterThan">
      <formula>0</formula>
    </cfRule>
  </conditionalFormatting>
  <conditionalFormatting sqref="P21">
    <cfRule type="cellIs" dxfId="6494" priority="284" operator="equal">
      <formula>"PMS"</formula>
    </cfRule>
    <cfRule type="containsText" dxfId="6493" priority="285" operator="containsText" text="CMS">
      <formula>NOT(ISERROR(SEARCH("CMS",P21)))</formula>
    </cfRule>
    <cfRule type="cellIs" dxfId="6492" priority="286" operator="equal">
      <formula>0</formula>
    </cfRule>
    <cfRule type="cellIs" dxfId="6491" priority="287" operator="greaterThan">
      <formula>0</formula>
    </cfRule>
    <cfRule type="cellIs" dxfId="6490" priority="288" operator="equal">
      <formula>"PMS"</formula>
    </cfRule>
    <cfRule type="containsText" dxfId="6489" priority="289" operator="containsText" text="CMS">
      <formula>NOT(ISERROR(SEARCH("CMS",P21)))</formula>
    </cfRule>
    <cfRule type="cellIs" dxfId="6488" priority="290" operator="equal">
      <formula>0</formula>
    </cfRule>
    <cfRule type="cellIs" dxfId="6487" priority="291" operator="greaterThan">
      <formula>0</formula>
    </cfRule>
  </conditionalFormatting>
  <conditionalFormatting sqref="P21">
    <cfRule type="cellIs" dxfId="6486" priority="280" operator="equal">
      <formula>"PMS"</formula>
    </cfRule>
    <cfRule type="containsText" dxfId="6485" priority="281" operator="containsText" text="CMS">
      <formula>NOT(ISERROR(SEARCH("CMS",P21)))</formula>
    </cfRule>
    <cfRule type="cellIs" dxfId="6484" priority="282" operator="equal">
      <formula>0</formula>
    </cfRule>
    <cfRule type="cellIs" dxfId="6483" priority="283" operator="greaterThan">
      <formula>0</formula>
    </cfRule>
  </conditionalFormatting>
  <conditionalFormatting sqref="M78:M79">
    <cfRule type="cellIs" dxfId="6482" priority="272" operator="equal">
      <formula>"PMS"</formula>
    </cfRule>
    <cfRule type="containsText" dxfId="6481" priority="273" operator="containsText" text="CMS">
      <formula>NOT(ISERROR(SEARCH("CMS",M78)))</formula>
    </cfRule>
    <cfRule type="cellIs" dxfId="6480" priority="274" operator="equal">
      <formula>0</formula>
    </cfRule>
    <cfRule type="cellIs" dxfId="6479" priority="275" operator="greaterThan">
      <formula>0</formula>
    </cfRule>
    <cfRule type="cellIs" dxfId="6478" priority="276" operator="equal">
      <formula>"PMS"</formula>
    </cfRule>
    <cfRule type="containsText" dxfId="6477" priority="277" operator="containsText" text="CMS">
      <formula>NOT(ISERROR(SEARCH("CMS",M78)))</formula>
    </cfRule>
    <cfRule type="cellIs" dxfId="6476" priority="278" operator="equal">
      <formula>0</formula>
    </cfRule>
    <cfRule type="cellIs" dxfId="6475" priority="279" operator="greaterThan">
      <formula>0</formula>
    </cfRule>
  </conditionalFormatting>
  <conditionalFormatting sqref="M78:M79">
    <cfRule type="cellIs" dxfId="6474" priority="268" operator="equal">
      <formula>"PMS"</formula>
    </cfRule>
    <cfRule type="containsText" dxfId="6473" priority="269" operator="containsText" text="CMS">
      <formula>NOT(ISERROR(SEARCH("CMS",M78)))</formula>
    </cfRule>
    <cfRule type="cellIs" dxfId="6472" priority="270" operator="equal">
      <formula>0</formula>
    </cfRule>
    <cfRule type="cellIs" dxfId="6471" priority="271" operator="greaterThan">
      <formula>0</formula>
    </cfRule>
  </conditionalFormatting>
  <conditionalFormatting sqref="G79:K79">
    <cfRule type="cellIs" dxfId="6470" priority="260" operator="equal">
      <formula>"PMS"</formula>
    </cfRule>
    <cfRule type="containsText" dxfId="6469" priority="261" operator="containsText" text="CMS">
      <formula>NOT(ISERROR(SEARCH("CMS",G79)))</formula>
    </cfRule>
    <cfRule type="cellIs" dxfId="6468" priority="262" operator="equal">
      <formula>0</formula>
    </cfRule>
    <cfRule type="cellIs" dxfId="6467" priority="263" operator="greaterThan">
      <formula>0</formula>
    </cfRule>
    <cfRule type="cellIs" dxfId="6466" priority="264" operator="equal">
      <formula>"PMS"</formula>
    </cfRule>
    <cfRule type="containsText" dxfId="6465" priority="265" operator="containsText" text="CMS">
      <formula>NOT(ISERROR(SEARCH("CMS",G79)))</formula>
    </cfRule>
    <cfRule type="cellIs" dxfId="6464" priority="266" operator="equal">
      <formula>0</formula>
    </cfRule>
    <cfRule type="cellIs" dxfId="6463" priority="267" operator="greaterThan">
      <formula>0</formula>
    </cfRule>
  </conditionalFormatting>
  <conditionalFormatting sqref="G79:K79">
    <cfRule type="cellIs" dxfId="6462" priority="256" operator="equal">
      <formula>"PMS"</formula>
    </cfRule>
    <cfRule type="containsText" dxfId="6461" priority="257" operator="containsText" text="CMS">
      <formula>NOT(ISERROR(SEARCH("CMS",G79)))</formula>
    </cfRule>
    <cfRule type="cellIs" dxfId="6460" priority="258" operator="equal">
      <formula>0</formula>
    </cfRule>
    <cfRule type="cellIs" dxfId="6459" priority="259" operator="greaterThan">
      <formula>0</formula>
    </cfRule>
  </conditionalFormatting>
  <conditionalFormatting sqref="N14">
    <cfRule type="cellIs" dxfId="6458" priority="248" operator="equal">
      <formula>"PMS"</formula>
    </cfRule>
    <cfRule type="containsText" dxfId="6457" priority="249" operator="containsText" text="CMS">
      <formula>NOT(ISERROR(SEARCH("CMS",N14)))</formula>
    </cfRule>
    <cfRule type="cellIs" dxfId="6456" priority="250" operator="equal">
      <formula>0</formula>
    </cfRule>
    <cfRule type="cellIs" dxfId="6455" priority="251" operator="greaterThan">
      <formula>0</formula>
    </cfRule>
    <cfRule type="cellIs" dxfId="6454" priority="252" operator="equal">
      <formula>"PMS"</formula>
    </cfRule>
    <cfRule type="containsText" dxfId="6453" priority="253" operator="containsText" text="CMS">
      <formula>NOT(ISERROR(SEARCH("CMS",N14)))</formula>
    </cfRule>
    <cfRule type="cellIs" dxfId="6452" priority="254" operator="equal">
      <formula>0</formula>
    </cfRule>
    <cfRule type="cellIs" dxfId="6451" priority="255" operator="greaterThan">
      <formula>0</formula>
    </cfRule>
  </conditionalFormatting>
  <conditionalFormatting sqref="N14">
    <cfRule type="cellIs" dxfId="6450" priority="244" operator="equal">
      <formula>"PMS"</formula>
    </cfRule>
    <cfRule type="containsText" dxfId="6449" priority="245" operator="containsText" text="CMS">
      <formula>NOT(ISERROR(SEARCH("CMS",N14)))</formula>
    </cfRule>
    <cfRule type="cellIs" dxfId="6448" priority="246" operator="equal">
      <formula>0</formula>
    </cfRule>
    <cfRule type="cellIs" dxfId="6447" priority="247" operator="greaterThan">
      <formula>0</formula>
    </cfRule>
  </conditionalFormatting>
  <conditionalFormatting sqref="O51">
    <cfRule type="cellIs" dxfId="6446" priority="236" operator="equal">
      <formula>"PMS"</formula>
    </cfRule>
    <cfRule type="containsText" dxfId="6445" priority="237" operator="containsText" text="CMS">
      <formula>NOT(ISERROR(SEARCH("CMS",O51)))</formula>
    </cfRule>
    <cfRule type="cellIs" dxfId="6444" priority="238" operator="equal">
      <formula>0</formula>
    </cfRule>
    <cfRule type="cellIs" dxfId="6443" priority="239" operator="greaterThan">
      <formula>0</formula>
    </cfRule>
    <cfRule type="cellIs" dxfId="6442" priority="240" operator="equal">
      <formula>"PMS"</formula>
    </cfRule>
    <cfRule type="containsText" dxfId="6441" priority="241" operator="containsText" text="CMS">
      <formula>NOT(ISERROR(SEARCH("CMS",O51)))</formula>
    </cfRule>
    <cfRule type="cellIs" dxfId="6440" priority="242" operator="equal">
      <formula>0</formula>
    </cfRule>
    <cfRule type="cellIs" dxfId="6439" priority="243" operator="greaterThan">
      <formula>0</formula>
    </cfRule>
  </conditionalFormatting>
  <conditionalFormatting sqref="O51">
    <cfRule type="cellIs" dxfId="6438" priority="232" operator="equal">
      <formula>"PMS"</formula>
    </cfRule>
    <cfRule type="containsText" dxfId="6437" priority="233" operator="containsText" text="CMS">
      <formula>NOT(ISERROR(SEARCH("CMS",O51)))</formula>
    </cfRule>
    <cfRule type="cellIs" dxfId="6436" priority="234" operator="equal">
      <formula>0</formula>
    </cfRule>
    <cfRule type="cellIs" dxfId="6435" priority="235" operator="greaterThan">
      <formula>0</formula>
    </cfRule>
  </conditionalFormatting>
  <conditionalFormatting sqref="O56">
    <cfRule type="cellIs" dxfId="6434" priority="224" operator="equal">
      <formula>"PMS"</formula>
    </cfRule>
    <cfRule type="containsText" dxfId="6433" priority="225" operator="containsText" text="CMS">
      <formula>NOT(ISERROR(SEARCH("CMS",O56)))</formula>
    </cfRule>
    <cfRule type="cellIs" dxfId="6432" priority="226" operator="equal">
      <formula>0</formula>
    </cfRule>
    <cfRule type="cellIs" dxfId="6431" priority="227" operator="greaterThan">
      <formula>0</formula>
    </cfRule>
    <cfRule type="cellIs" dxfId="6430" priority="228" operator="equal">
      <formula>"PMS"</formula>
    </cfRule>
    <cfRule type="containsText" dxfId="6429" priority="229" operator="containsText" text="CMS">
      <formula>NOT(ISERROR(SEARCH("CMS",O56)))</formula>
    </cfRule>
    <cfRule type="cellIs" dxfId="6428" priority="230" operator="equal">
      <formula>0</formula>
    </cfRule>
    <cfRule type="cellIs" dxfId="6427" priority="231" operator="greaterThan">
      <formula>0</formula>
    </cfRule>
  </conditionalFormatting>
  <conditionalFormatting sqref="O56">
    <cfRule type="cellIs" dxfId="6426" priority="220" operator="equal">
      <formula>"PMS"</formula>
    </cfRule>
    <cfRule type="containsText" dxfId="6425" priority="221" operator="containsText" text="CMS">
      <formula>NOT(ISERROR(SEARCH("CMS",O56)))</formula>
    </cfRule>
    <cfRule type="cellIs" dxfId="6424" priority="222" operator="equal">
      <formula>0</formula>
    </cfRule>
    <cfRule type="cellIs" dxfId="6423" priority="223" operator="greaterThan">
      <formula>0</formula>
    </cfRule>
  </conditionalFormatting>
  <conditionalFormatting sqref="M14">
    <cfRule type="cellIs" dxfId="6422" priority="212" operator="equal">
      <formula>"PMS"</formula>
    </cfRule>
    <cfRule type="containsText" dxfId="6421" priority="213" operator="containsText" text="CMS">
      <formula>NOT(ISERROR(SEARCH("CMS",M14)))</formula>
    </cfRule>
    <cfRule type="cellIs" dxfId="6420" priority="214" operator="equal">
      <formula>0</formula>
    </cfRule>
    <cfRule type="cellIs" dxfId="6419" priority="215" operator="greaterThan">
      <formula>0</formula>
    </cfRule>
    <cfRule type="cellIs" dxfId="6418" priority="216" operator="equal">
      <formula>"PMS"</formula>
    </cfRule>
    <cfRule type="containsText" dxfId="6417" priority="217" operator="containsText" text="CMS">
      <formula>NOT(ISERROR(SEARCH("CMS",M14)))</formula>
    </cfRule>
    <cfRule type="cellIs" dxfId="6416" priority="218" operator="equal">
      <formula>0</formula>
    </cfRule>
    <cfRule type="cellIs" dxfId="6415" priority="219" operator="greaterThan">
      <formula>0</formula>
    </cfRule>
  </conditionalFormatting>
  <conditionalFormatting sqref="M14">
    <cfRule type="cellIs" dxfId="6414" priority="208" operator="equal">
      <formula>"PMS"</formula>
    </cfRule>
    <cfRule type="containsText" dxfId="6413" priority="209" operator="containsText" text="CMS">
      <formula>NOT(ISERROR(SEARCH("CMS",M14)))</formula>
    </cfRule>
    <cfRule type="cellIs" dxfId="6412" priority="210" operator="equal">
      <formula>0</formula>
    </cfRule>
    <cfRule type="cellIs" dxfId="6411" priority="211" operator="greaterThan">
      <formula>0</formula>
    </cfRule>
  </conditionalFormatting>
  <conditionalFormatting sqref="N78:N79">
    <cfRule type="cellIs" dxfId="6410" priority="200" operator="equal">
      <formula>"PMS"</formula>
    </cfRule>
    <cfRule type="containsText" dxfId="6409" priority="201" operator="containsText" text="CMS">
      <formula>NOT(ISERROR(SEARCH("CMS",N78)))</formula>
    </cfRule>
    <cfRule type="cellIs" dxfId="6408" priority="202" operator="equal">
      <formula>0</formula>
    </cfRule>
    <cfRule type="cellIs" dxfId="6407" priority="203" operator="greaterThan">
      <formula>0</formula>
    </cfRule>
    <cfRule type="cellIs" dxfId="6406" priority="204" operator="equal">
      <formula>"PMS"</formula>
    </cfRule>
    <cfRule type="containsText" dxfId="6405" priority="205" operator="containsText" text="CMS">
      <formula>NOT(ISERROR(SEARCH("CMS",N78)))</formula>
    </cfRule>
    <cfRule type="cellIs" dxfId="6404" priority="206" operator="equal">
      <formula>0</formula>
    </cfRule>
    <cfRule type="cellIs" dxfId="6403" priority="207" operator="greaterThan">
      <formula>0</formula>
    </cfRule>
  </conditionalFormatting>
  <conditionalFormatting sqref="N78:N79">
    <cfRule type="cellIs" dxfId="6402" priority="196" operator="equal">
      <formula>"PMS"</formula>
    </cfRule>
    <cfRule type="containsText" dxfId="6401" priority="197" operator="containsText" text="CMS">
      <formula>NOT(ISERROR(SEARCH("CMS",N78)))</formula>
    </cfRule>
    <cfRule type="cellIs" dxfId="6400" priority="198" operator="equal">
      <formula>0</formula>
    </cfRule>
    <cfRule type="cellIs" dxfId="6399" priority="199" operator="greaterThan">
      <formula>0</formula>
    </cfRule>
  </conditionalFormatting>
  <conditionalFormatting sqref="T28:U28">
    <cfRule type="cellIs" dxfId="6398" priority="188" operator="equal">
      <formula>"PMS"</formula>
    </cfRule>
    <cfRule type="containsText" dxfId="6397" priority="189" operator="containsText" text="CMS">
      <formula>NOT(ISERROR(SEARCH("CMS",T28)))</formula>
    </cfRule>
    <cfRule type="cellIs" dxfId="6396" priority="190" operator="equal">
      <formula>0</formula>
    </cfRule>
    <cfRule type="cellIs" dxfId="6395" priority="191" operator="greaterThan">
      <formula>0</formula>
    </cfRule>
    <cfRule type="cellIs" dxfId="6394" priority="192" operator="equal">
      <formula>"PMS"</formula>
    </cfRule>
    <cfRule type="containsText" dxfId="6393" priority="193" operator="containsText" text="CMS">
      <formula>NOT(ISERROR(SEARCH("CMS",T28)))</formula>
    </cfRule>
    <cfRule type="cellIs" dxfId="6392" priority="194" operator="equal">
      <formula>0</formula>
    </cfRule>
    <cfRule type="cellIs" dxfId="6391" priority="195" operator="greaterThan">
      <formula>0</formula>
    </cfRule>
  </conditionalFormatting>
  <conditionalFormatting sqref="T28:U28">
    <cfRule type="cellIs" dxfId="6390" priority="184" operator="equal">
      <formula>"PMS"</formula>
    </cfRule>
    <cfRule type="containsText" dxfId="6389" priority="185" operator="containsText" text="CMS">
      <formula>NOT(ISERROR(SEARCH("CMS",T28)))</formula>
    </cfRule>
    <cfRule type="cellIs" dxfId="6388" priority="186" operator="equal">
      <formula>0</formula>
    </cfRule>
    <cfRule type="cellIs" dxfId="6387" priority="187" operator="greaterThan">
      <formula>0</formula>
    </cfRule>
  </conditionalFormatting>
  <conditionalFormatting sqref="T78:U78">
    <cfRule type="cellIs" dxfId="6386" priority="176" operator="equal">
      <formula>"PMS"</formula>
    </cfRule>
    <cfRule type="containsText" dxfId="6385" priority="177" operator="containsText" text="CMS">
      <formula>NOT(ISERROR(SEARCH("CMS",T78)))</formula>
    </cfRule>
    <cfRule type="cellIs" dxfId="6384" priority="178" operator="equal">
      <formula>0</formula>
    </cfRule>
    <cfRule type="cellIs" dxfId="6383" priority="179" operator="greaterThan">
      <formula>0</formula>
    </cfRule>
    <cfRule type="cellIs" dxfId="6382" priority="180" operator="equal">
      <formula>"PMS"</formula>
    </cfRule>
    <cfRule type="containsText" dxfId="6381" priority="181" operator="containsText" text="CMS">
      <formula>NOT(ISERROR(SEARCH("CMS",T78)))</formula>
    </cfRule>
    <cfRule type="cellIs" dxfId="6380" priority="182" operator="equal">
      <formula>0</formula>
    </cfRule>
    <cfRule type="cellIs" dxfId="6379" priority="183" operator="greaterThan">
      <formula>0</formula>
    </cfRule>
  </conditionalFormatting>
  <conditionalFormatting sqref="T78:U78">
    <cfRule type="cellIs" dxfId="6378" priority="172" operator="equal">
      <formula>"PMS"</formula>
    </cfRule>
    <cfRule type="containsText" dxfId="6377" priority="173" operator="containsText" text="CMS">
      <formula>NOT(ISERROR(SEARCH("CMS",T78)))</formula>
    </cfRule>
    <cfRule type="cellIs" dxfId="6376" priority="174" operator="equal">
      <formula>0</formula>
    </cfRule>
    <cfRule type="cellIs" dxfId="6375" priority="175" operator="greaterThan">
      <formula>0</formula>
    </cfRule>
  </conditionalFormatting>
  <conditionalFormatting sqref="Z79">
    <cfRule type="cellIs" dxfId="6374" priority="164" operator="equal">
      <formula>"PMS"</formula>
    </cfRule>
    <cfRule type="containsText" dxfId="6373" priority="165" operator="containsText" text="CMS">
      <formula>NOT(ISERROR(SEARCH("CMS",Z79)))</formula>
    </cfRule>
    <cfRule type="cellIs" dxfId="6372" priority="166" operator="equal">
      <formula>0</formula>
    </cfRule>
    <cfRule type="cellIs" dxfId="6371" priority="167" operator="greaterThan">
      <formula>0</formula>
    </cfRule>
    <cfRule type="cellIs" dxfId="6370" priority="168" operator="equal">
      <formula>"PMS"</formula>
    </cfRule>
    <cfRule type="containsText" dxfId="6369" priority="169" operator="containsText" text="CMS">
      <formula>NOT(ISERROR(SEARCH("CMS",Z79)))</formula>
    </cfRule>
    <cfRule type="cellIs" dxfId="6368" priority="170" operator="equal">
      <formula>0</formula>
    </cfRule>
    <cfRule type="cellIs" dxfId="6367" priority="171" operator="greaterThan">
      <formula>0</formula>
    </cfRule>
  </conditionalFormatting>
  <conditionalFormatting sqref="Z79">
    <cfRule type="cellIs" dxfId="6366" priority="160" operator="equal">
      <formula>"PMS"</formula>
    </cfRule>
    <cfRule type="containsText" dxfId="6365" priority="161" operator="containsText" text="CMS">
      <formula>NOT(ISERROR(SEARCH("CMS",Z79)))</formula>
    </cfRule>
    <cfRule type="cellIs" dxfId="6364" priority="162" operator="equal">
      <formula>0</formula>
    </cfRule>
    <cfRule type="cellIs" dxfId="6363" priority="163" operator="greaterThan">
      <formula>0</formula>
    </cfRule>
  </conditionalFormatting>
  <conditionalFormatting sqref="F82">
    <cfRule type="cellIs" dxfId="6362" priority="152" operator="equal">
      <formula>"PMS"</formula>
    </cfRule>
    <cfRule type="containsText" dxfId="6361" priority="153" operator="containsText" text="CMS">
      <formula>NOT(ISERROR(SEARCH("CMS",F82)))</formula>
    </cfRule>
    <cfRule type="cellIs" dxfId="6360" priority="154" operator="equal">
      <formula>0</formula>
    </cfRule>
    <cfRule type="cellIs" dxfId="6359" priority="155" operator="greaterThan">
      <formula>0</formula>
    </cfRule>
    <cfRule type="cellIs" dxfId="6358" priority="156" operator="equal">
      <formula>"PMS"</formula>
    </cfRule>
    <cfRule type="containsText" dxfId="6357" priority="157" operator="containsText" text="CMS">
      <formula>NOT(ISERROR(SEARCH("CMS",F82)))</formula>
    </cfRule>
    <cfRule type="cellIs" dxfId="6356" priority="158" operator="equal">
      <formula>0</formula>
    </cfRule>
    <cfRule type="cellIs" dxfId="6355" priority="159" operator="greaterThan">
      <formula>0</formula>
    </cfRule>
  </conditionalFormatting>
  <conditionalFormatting sqref="F82">
    <cfRule type="cellIs" dxfId="6354" priority="148" operator="equal">
      <formula>"PMS"</formula>
    </cfRule>
    <cfRule type="containsText" dxfId="6353" priority="149" operator="containsText" text="CMS">
      <formula>NOT(ISERROR(SEARCH("CMS",F82)))</formula>
    </cfRule>
    <cfRule type="cellIs" dxfId="6352" priority="150" operator="equal">
      <formula>0</formula>
    </cfRule>
    <cfRule type="cellIs" dxfId="6351" priority="151" operator="greaterThan">
      <formula>0</formula>
    </cfRule>
  </conditionalFormatting>
  <conditionalFormatting sqref="H111:M111">
    <cfRule type="cellIs" dxfId="6350" priority="147" operator="greaterThan">
      <formula>60.3</formula>
    </cfRule>
  </conditionalFormatting>
  <conditionalFormatting sqref="F111:G111">
    <cfRule type="cellIs" dxfId="6349" priority="146" operator="greaterThan">
      <formula>60.3</formula>
    </cfRule>
  </conditionalFormatting>
  <conditionalFormatting sqref="N111:AC111">
    <cfRule type="cellIs" dxfId="6348" priority="145" operator="greaterThan">
      <formula>60.3</formula>
    </cfRule>
  </conditionalFormatting>
  <conditionalFormatting sqref="F36:F59">
    <cfRule type="cellIs" dxfId="6347" priority="137" operator="equal">
      <formula>"PMS"</formula>
    </cfRule>
    <cfRule type="containsText" dxfId="6346" priority="138" operator="containsText" text="CMS">
      <formula>NOT(ISERROR(SEARCH("CMS",F36)))</formula>
    </cfRule>
    <cfRule type="cellIs" dxfId="6345" priority="139" operator="equal">
      <formula>0</formula>
    </cfRule>
    <cfRule type="cellIs" dxfId="6344" priority="140" operator="greaterThan">
      <formula>0</formula>
    </cfRule>
    <cfRule type="cellIs" dxfId="6343" priority="141" operator="equal">
      <formula>"PMS"</formula>
    </cfRule>
    <cfRule type="containsText" dxfId="6342" priority="142" operator="containsText" text="CMS">
      <formula>NOT(ISERROR(SEARCH("CMS",F36)))</formula>
    </cfRule>
    <cfRule type="cellIs" dxfId="6341" priority="143" operator="equal">
      <formula>0</formula>
    </cfRule>
    <cfRule type="cellIs" dxfId="6340" priority="144" operator="greaterThan">
      <formula>0</formula>
    </cfRule>
  </conditionalFormatting>
  <conditionalFormatting sqref="F36:F59">
    <cfRule type="cellIs" dxfId="6339" priority="133" operator="equal">
      <formula>"PMS"</formula>
    </cfRule>
    <cfRule type="containsText" dxfId="6338" priority="134" operator="containsText" text="CMS">
      <formula>NOT(ISERROR(SEARCH("CMS",F36)))</formula>
    </cfRule>
    <cfRule type="cellIs" dxfId="6337" priority="135" operator="equal">
      <formula>0</formula>
    </cfRule>
    <cfRule type="cellIs" dxfId="6336" priority="136" operator="greaterThan">
      <formula>0</formula>
    </cfRule>
  </conditionalFormatting>
  <conditionalFormatting sqref="F67:F75">
    <cfRule type="cellIs" dxfId="6335" priority="125" operator="equal">
      <formula>"PMS"</formula>
    </cfRule>
    <cfRule type="containsText" dxfId="6334" priority="126" operator="containsText" text="CMS">
      <formula>NOT(ISERROR(SEARCH("CMS",F67)))</formula>
    </cfRule>
    <cfRule type="cellIs" dxfId="6333" priority="127" operator="equal">
      <formula>0</formula>
    </cfRule>
    <cfRule type="cellIs" dxfId="6332" priority="128" operator="greaterThan">
      <formula>0</formula>
    </cfRule>
    <cfRule type="cellIs" dxfId="6331" priority="129" operator="equal">
      <formula>"PMS"</formula>
    </cfRule>
    <cfRule type="containsText" dxfId="6330" priority="130" operator="containsText" text="CMS">
      <formula>NOT(ISERROR(SEARCH("CMS",F67)))</formula>
    </cfRule>
    <cfRule type="cellIs" dxfId="6329" priority="131" operator="equal">
      <formula>0</formula>
    </cfRule>
    <cfRule type="cellIs" dxfId="6328" priority="132" operator="greaterThan">
      <formula>0</formula>
    </cfRule>
  </conditionalFormatting>
  <conditionalFormatting sqref="F67:F75">
    <cfRule type="cellIs" dxfId="6327" priority="121" operator="equal">
      <formula>"PMS"</formula>
    </cfRule>
    <cfRule type="containsText" dxfId="6326" priority="122" operator="containsText" text="CMS">
      <formula>NOT(ISERROR(SEARCH("CMS",F67)))</formula>
    </cfRule>
    <cfRule type="cellIs" dxfId="6325" priority="123" operator="equal">
      <formula>0</formula>
    </cfRule>
    <cfRule type="cellIs" dxfId="6324" priority="124" operator="greaterThan">
      <formula>0</formula>
    </cfRule>
  </conditionalFormatting>
  <conditionalFormatting sqref="F19 F24 F21">
    <cfRule type="cellIs" dxfId="6323" priority="113" operator="equal">
      <formula>"PMS"</formula>
    </cfRule>
    <cfRule type="containsText" dxfId="6322" priority="114" operator="containsText" text="CMS">
      <formula>NOT(ISERROR(SEARCH("CMS",F19)))</formula>
    </cfRule>
    <cfRule type="cellIs" dxfId="6321" priority="115" operator="equal">
      <formula>0</formula>
    </cfRule>
    <cfRule type="cellIs" dxfId="6320" priority="116" operator="greaterThan">
      <formula>0</formula>
    </cfRule>
    <cfRule type="cellIs" dxfId="6319" priority="117" operator="equal">
      <formula>"PMS"</formula>
    </cfRule>
    <cfRule type="containsText" dxfId="6318" priority="118" operator="containsText" text="CMS">
      <formula>NOT(ISERROR(SEARCH("CMS",F19)))</formula>
    </cfRule>
    <cfRule type="cellIs" dxfId="6317" priority="119" operator="equal">
      <formula>0</formula>
    </cfRule>
    <cfRule type="cellIs" dxfId="6316" priority="120" operator="greaterThan">
      <formula>0</formula>
    </cfRule>
  </conditionalFormatting>
  <conditionalFormatting sqref="F19 F24 F21">
    <cfRule type="cellIs" dxfId="6315" priority="109" operator="equal">
      <formula>"PMS"</formula>
    </cfRule>
    <cfRule type="containsText" dxfId="6314" priority="110" operator="containsText" text="CMS">
      <formula>NOT(ISERROR(SEARCH("CMS",F19)))</formula>
    </cfRule>
    <cfRule type="cellIs" dxfId="6313" priority="111" operator="equal">
      <formula>0</formula>
    </cfRule>
    <cfRule type="cellIs" dxfId="6312" priority="112" operator="greaterThan">
      <formula>0</formula>
    </cfRule>
  </conditionalFormatting>
  <conditionalFormatting sqref="P64">
    <cfRule type="cellIs" dxfId="6311" priority="89" operator="equal">
      <formula>"PMS"</formula>
    </cfRule>
    <cfRule type="containsText" dxfId="6310" priority="90" operator="containsText" text="CMS">
      <formula>NOT(ISERROR(SEARCH("CMS",P64)))</formula>
    </cfRule>
    <cfRule type="cellIs" dxfId="6309" priority="91" operator="equal">
      <formula>0</formula>
    </cfRule>
    <cfRule type="cellIs" dxfId="6308" priority="92" operator="greaterThan">
      <formula>0</formula>
    </cfRule>
    <cfRule type="cellIs" dxfId="6307" priority="93" operator="equal">
      <formula>"PMS"</formula>
    </cfRule>
    <cfRule type="containsText" dxfId="6306" priority="94" operator="containsText" text="CMS">
      <formula>NOT(ISERROR(SEARCH("CMS",P64)))</formula>
    </cfRule>
    <cfRule type="cellIs" dxfId="6305" priority="95" operator="equal">
      <formula>0</formula>
    </cfRule>
    <cfRule type="cellIs" dxfId="6304" priority="96" operator="greaterThan">
      <formula>0</formula>
    </cfRule>
  </conditionalFormatting>
  <conditionalFormatting sqref="P64">
    <cfRule type="cellIs" dxfId="6303" priority="85" operator="equal">
      <formula>"PMS"</formula>
    </cfRule>
    <cfRule type="containsText" dxfId="6302" priority="86" operator="containsText" text="CMS">
      <formula>NOT(ISERROR(SEARCH("CMS",P64)))</formula>
    </cfRule>
    <cfRule type="cellIs" dxfId="6301" priority="87" operator="equal">
      <formula>0</formula>
    </cfRule>
    <cfRule type="cellIs" dxfId="6300" priority="88" operator="greaterThan">
      <formula>0</formula>
    </cfRule>
  </conditionalFormatting>
  <conditionalFormatting sqref="F13:F16">
    <cfRule type="cellIs" dxfId="6299" priority="77" operator="equal">
      <formula>"PMS"</formula>
    </cfRule>
    <cfRule type="containsText" dxfId="6298" priority="78" operator="containsText" text="CMS">
      <formula>NOT(ISERROR(SEARCH("CMS",F13)))</formula>
    </cfRule>
    <cfRule type="cellIs" dxfId="6297" priority="79" operator="equal">
      <formula>0</formula>
    </cfRule>
    <cfRule type="cellIs" dxfId="6296" priority="80" operator="greaterThan">
      <formula>0</formula>
    </cfRule>
    <cfRule type="cellIs" dxfId="6295" priority="81" operator="equal">
      <formula>"PMS"</formula>
    </cfRule>
    <cfRule type="containsText" dxfId="6294" priority="82" operator="containsText" text="CMS">
      <formula>NOT(ISERROR(SEARCH("CMS",F13)))</formula>
    </cfRule>
    <cfRule type="cellIs" dxfId="6293" priority="83" operator="equal">
      <formula>0</formula>
    </cfRule>
    <cfRule type="cellIs" dxfId="6292" priority="84" operator="greaterThan">
      <formula>0</formula>
    </cfRule>
  </conditionalFormatting>
  <conditionalFormatting sqref="F13:F16">
    <cfRule type="cellIs" dxfId="6291" priority="73" operator="equal">
      <formula>"PMS"</formula>
    </cfRule>
    <cfRule type="containsText" dxfId="6290" priority="74" operator="containsText" text="CMS">
      <formula>NOT(ISERROR(SEARCH("CMS",F13)))</formula>
    </cfRule>
    <cfRule type="cellIs" dxfId="6289" priority="75" operator="equal">
      <formula>0</formula>
    </cfRule>
    <cfRule type="cellIs" dxfId="6288" priority="76" operator="greaterThan">
      <formula>0</formula>
    </cfRule>
  </conditionalFormatting>
  <conditionalFormatting sqref="F20">
    <cfRule type="cellIs" dxfId="6287" priority="65" operator="equal">
      <formula>"PMS"</formula>
    </cfRule>
    <cfRule type="containsText" dxfId="6286" priority="66" operator="containsText" text="CMS">
      <formula>NOT(ISERROR(SEARCH("CMS",F20)))</formula>
    </cfRule>
    <cfRule type="cellIs" dxfId="6285" priority="67" operator="equal">
      <formula>0</formula>
    </cfRule>
    <cfRule type="cellIs" dxfId="6284" priority="68" operator="greaterThan">
      <formula>0</formula>
    </cfRule>
    <cfRule type="cellIs" dxfId="6283" priority="69" operator="equal">
      <formula>"PMS"</formula>
    </cfRule>
    <cfRule type="containsText" dxfId="6282" priority="70" operator="containsText" text="CMS">
      <formula>NOT(ISERROR(SEARCH("CMS",F20)))</formula>
    </cfRule>
    <cfRule type="cellIs" dxfId="6281" priority="71" operator="equal">
      <formula>0</formula>
    </cfRule>
    <cfRule type="cellIs" dxfId="6280" priority="72" operator="greaterThan">
      <formula>0</formula>
    </cfRule>
  </conditionalFormatting>
  <conditionalFormatting sqref="F20">
    <cfRule type="cellIs" dxfId="6279" priority="61" operator="equal">
      <formula>"PMS"</formula>
    </cfRule>
    <cfRule type="containsText" dxfId="6278" priority="62" operator="containsText" text="CMS">
      <formula>NOT(ISERROR(SEARCH("CMS",F20)))</formula>
    </cfRule>
    <cfRule type="cellIs" dxfId="6277" priority="63" operator="equal">
      <formula>0</formula>
    </cfRule>
    <cfRule type="cellIs" dxfId="6276" priority="64" operator="greaterThan">
      <formula>0</formula>
    </cfRule>
  </conditionalFormatting>
  <conditionalFormatting sqref="F28:F30">
    <cfRule type="cellIs" dxfId="6275" priority="53" operator="equal">
      <formula>"PMS"</formula>
    </cfRule>
    <cfRule type="containsText" dxfId="6274" priority="54" operator="containsText" text="CMS">
      <formula>NOT(ISERROR(SEARCH("CMS",F28)))</formula>
    </cfRule>
    <cfRule type="cellIs" dxfId="6273" priority="55" operator="equal">
      <formula>0</formula>
    </cfRule>
    <cfRule type="cellIs" dxfId="6272" priority="56" operator="greaterThan">
      <formula>0</formula>
    </cfRule>
    <cfRule type="cellIs" dxfId="6271" priority="57" operator="equal">
      <formula>"PMS"</formula>
    </cfRule>
    <cfRule type="containsText" dxfId="6270" priority="58" operator="containsText" text="CMS">
      <formula>NOT(ISERROR(SEARCH("CMS",F28)))</formula>
    </cfRule>
    <cfRule type="cellIs" dxfId="6269" priority="59" operator="equal">
      <formula>0</formula>
    </cfRule>
    <cfRule type="cellIs" dxfId="6268" priority="60" operator="greaterThan">
      <formula>0</formula>
    </cfRule>
  </conditionalFormatting>
  <conditionalFormatting sqref="F28:F30">
    <cfRule type="cellIs" dxfId="6267" priority="49" operator="equal">
      <formula>"PMS"</formula>
    </cfRule>
    <cfRule type="containsText" dxfId="6266" priority="50" operator="containsText" text="CMS">
      <formula>NOT(ISERROR(SEARCH("CMS",F28)))</formula>
    </cfRule>
    <cfRule type="cellIs" dxfId="6265" priority="51" operator="equal">
      <formula>0</formula>
    </cfRule>
    <cfRule type="cellIs" dxfId="6264" priority="52" operator="greaterThan">
      <formula>0</formula>
    </cfRule>
  </conditionalFormatting>
  <conditionalFormatting sqref="F27">
    <cfRule type="cellIs" dxfId="6263" priority="41" operator="equal">
      <formula>"PMS"</formula>
    </cfRule>
    <cfRule type="containsText" dxfId="6262" priority="42" operator="containsText" text="CMS">
      <formula>NOT(ISERROR(SEARCH("CMS",F27)))</formula>
    </cfRule>
    <cfRule type="cellIs" dxfId="6261" priority="43" operator="equal">
      <formula>0</formula>
    </cfRule>
    <cfRule type="cellIs" dxfId="6260" priority="44" operator="greaterThan">
      <formula>0</formula>
    </cfRule>
    <cfRule type="cellIs" dxfId="6259" priority="45" operator="equal">
      <formula>"PMS"</formula>
    </cfRule>
    <cfRule type="containsText" dxfId="6258" priority="46" operator="containsText" text="CMS">
      <formula>NOT(ISERROR(SEARCH("CMS",F27)))</formula>
    </cfRule>
    <cfRule type="cellIs" dxfId="6257" priority="47" operator="equal">
      <formula>0</formula>
    </cfRule>
    <cfRule type="cellIs" dxfId="6256" priority="48" operator="greaterThan">
      <formula>0</formula>
    </cfRule>
  </conditionalFormatting>
  <conditionalFormatting sqref="F27">
    <cfRule type="cellIs" dxfId="6255" priority="37" operator="equal">
      <formula>"PMS"</formula>
    </cfRule>
    <cfRule type="containsText" dxfId="6254" priority="38" operator="containsText" text="CMS">
      <formula>NOT(ISERROR(SEARCH("CMS",F27)))</formula>
    </cfRule>
    <cfRule type="cellIs" dxfId="6253" priority="39" operator="equal">
      <formula>0</formula>
    </cfRule>
    <cfRule type="cellIs" dxfId="6252" priority="40" operator="greaterThan">
      <formula>0</formula>
    </cfRule>
  </conditionalFormatting>
  <conditionalFormatting sqref="F33">
    <cfRule type="cellIs" dxfId="6251" priority="29" operator="equal">
      <formula>"PMS"</formula>
    </cfRule>
    <cfRule type="containsText" dxfId="6250" priority="30" operator="containsText" text="CMS">
      <formula>NOT(ISERROR(SEARCH("CMS",F33)))</formula>
    </cfRule>
    <cfRule type="cellIs" dxfId="6249" priority="31" operator="equal">
      <formula>0</formula>
    </cfRule>
    <cfRule type="cellIs" dxfId="6248" priority="32" operator="greaterThan">
      <formula>0</formula>
    </cfRule>
    <cfRule type="cellIs" dxfId="6247" priority="33" operator="equal">
      <formula>"PMS"</formula>
    </cfRule>
    <cfRule type="containsText" dxfId="6246" priority="34" operator="containsText" text="CMS">
      <formula>NOT(ISERROR(SEARCH("CMS",F33)))</formula>
    </cfRule>
    <cfRule type="cellIs" dxfId="6245" priority="35" operator="equal">
      <formula>0</formula>
    </cfRule>
    <cfRule type="cellIs" dxfId="6244" priority="36" operator="greaterThan">
      <formula>0</formula>
    </cfRule>
  </conditionalFormatting>
  <conditionalFormatting sqref="F33">
    <cfRule type="cellIs" dxfId="6243" priority="25" operator="equal">
      <formula>"PMS"</formula>
    </cfRule>
    <cfRule type="containsText" dxfId="6242" priority="26" operator="containsText" text="CMS">
      <formula>NOT(ISERROR(SEARCH("CMS",F33)))</formula>
    </cfRule>
    <cfRule type="cellIs" dxfId="6241" priority="27" operator="equal">
      <formula>0</formula>
    </cfRule>
    <cfRule type="cellIs" dxfId="6240" priority="28" operator="greaterThan">
      <formula>0</formula>
    </cfRule>
  </conditionalFormatting>
  <conditionalFormatting sqref="F62:F64">
    <cfRule type="cellIs" dxfId="6239" priority="17" operator="equal">
      <formula>"PMS"</formula>
    </cfRule>
    <cfRule type="containsText" dxfId="6238" priority="18" operator="containsText" text="CMS">
      <formula>NOT(ISERROR(SEARCH("CMS",F62)))</formula>
    </cfRule>
    <cfRule type="cellIs" dxfId="6237" priority="19" operator="equal">
      <formula>0</formula>
    </cfRule>
    <cfRule type="cellIs" dxfId="6236" priority="20" operator="greaterThan">
      <formula>0</formula>
    </cfRule>
    <cfRule type="cellIs" dxfId="6235" priority="21" operator="equal">
      <formula>"PMS"</formula>
    </cfRule>
    <cfRule type="containsText" dxfId="6234" priority="22" operator="containsText" text="CMS">
      <formula>NOT(ISERROR(SEARCH("CMS",F62)))</formula>
    </cfRule>
    <cfRule type="cellIs" dxfId="6233" priority="23" operator="equal">
      <formula>0</formula>
    </cfRule>
    <cfRule type="cellIs" dxfId="6232" priority="24" operator="greaterThan">
      <formula>0</formula>
    </cfRule>
  </conditionalFormatting>
  <conditionalFormatting sqref="F62:F64">
    <cfRule type="cellIs" dxfId="6231" priority="13" operator="equal">
      <formula>"PMS"</formula>
    </cfRule>
    <cfRule type="containsText" dxfId="6230" priority="14" operator="containsText" text="CMS">
      <formula>NOT(ISERROR(SEARCH("CMS",F62)))</formula>
    </cfRule>
    <cfRule type="cellIs" dxfId="6229" priority="15" operator="equal">
      <formula>0</formula>
    </cfRule>
    <cfRule type="cellIs" dxfId="6228" priority="16" operator="greaterThan">
      <formula>0</formula>
    </cfRule>
  </conditionalFormatting>
  <conditionalFormatting sqref="F78:F79">
    <cfRule type="cellIs" dxfId="6227" priority="5" operator="equal">
      <formula>"PMS"</formula>
    </cfRule>
    <cfRule type="containsText" dxfId="6226" priority="6" operator="containsText" text="CMS">
      <formula>NOT(ISERROR(SEARCH("CMS",F78)))</formula>
    </cfRule>
    <cfRule type="cellIs" dxfId="6225" priority="7" operator="equal">
      <formula>0</formula>
    </cfRule>
    <cfRule type="cellIs" dxfId="6224" priority="8" operator="greaterThan">
      <formula>0</formula>
    </cfRule>
    <cfRule type="cellIs" dxfId="6223" priority="9" operator="equal">
      <formula>"PMS"</formula>
    </cfRule>
    <cfRule type="containsText" dxfId="6222" priority="10" operator="containsText" text="CMS">
      <formula>NOT(ISERROR(SEARCH("CMS",F78)))</formula>
    </cfRule>
    <cfRule type="cellIs" dxfId="6221" priority="11" operator="equal">
      <formula>0</formula>
    </cfRule>
    <cfRule type="cellIs" dxfId="6220" priority="12" operator="greaterThan">
      <formula>0</formula>
    </cfRule>
  </conditionalFormatting>
  <conditionalFormatting sqref="F78:F79">
    <cfRule type="cellIs" dxfId="6219" priority="1" operator="equal">
      <formula>"PMS"</formula>
    </cfRule>
    <cfRule type="containsText" dxfId="6218" priority="2" operator="containsText" text="CMS">
      <formula>NOT(ISERROR(SEARCH("CMS",F78)))</formula>
    </cfRule>
    <cfRule type="cellIs" dxfId="6217" priority="3" operator="equal">
      <formula>0</formula>
    </cfRule>
    <cfRule type="cellIs" dxfId="621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DCBF-B2C6-4586-A9A0-DCC07F129C8E}">
  <sheetPr codeName="Sheet244"/>
  <dimension ref="A2:DT141"/>
  <sheetViews>
    <sheetView zoomScale="70" zoomScaleNormal="70" workbookViewId="0">
      <pane xSplit="5" ySplit="11" topLeftCell="F14" activePane="bottomRight" state="frozen"/>
      <selection pane="bottomRight" activeCell="T83" sqref="T83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421.89999999999992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>
        <v>2.5</v>
      </c>
      <c r="J14" s="357">
        <v>6.7</v>
      </c>
      <c r="K14" s="357">
        <v>6.8</v>
      </c>
      <c r="L14" s="357">
        <v>7</v>
      </c>
      <c r="M14" s="357">
        <v>6.7</v>
      </c>
      <c r="N14" s="357">
        <v>6.9</v>
      </c>
      <c r="O14" s="357">
        <v>6.6</v>
      </c>
      <c r="P14" s="357">
        <v>6.9</v>
      </c>
      <c r="Q14" s="357">
        <v>6.5</v>
      </c>
      <c r="R14" s="357">
        <v>6.5</v>
      </c>
      <c r="S14" s="462">
        <v>6.7</v>
      </c>
      <c r="T14" s="462">
        <v>6.7</v>
      </c>
      <c r="U14" s="462">
        <v>6.7</v>
      </c>
      <c r="V14" s="357">
        <v>6.7</v>
      </c>
      <c r="W14" s="357">
        <v>6.5</v>
      </c>
      <c r="X14" s="357">
        <v>6.6</v>
      </c>
      <c r="Y14" s="357">
        <v>6.6</v>
      </c>
      <c r="Z14" s="462">
        <v>6.7</v>
      </c>
      <c r="AA14" s="462">
        <v>6.6</v>
      </c>
      <c r="AB14" s="462">
        <v>6.5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6.8</v>
      </c>
      <c r="G15" s="357">
        <v>6.6</v>
      </c>
      <c r="H15" s="357">
        <v>6.7</v>
      </c>
      <c r="I15" s="357">
        <v>4.4000000000000004</v>
      </c>
      <c r="J15" s="357"/>
      <c r="K15" s="359"/>
      <c r="L15" s="359"/>
      <c r="M15" s="359"/>
      <c r="N15" s="357">
        <v>1.5</v>
      </c>
      <c r="O15" s="357">
        <v>6.6</v>
      </c>
      <c r="P15" s="357">
        <v>6.9</v>
      </c>
      <c r="Q15" s="357">
        <v>6.5</v>
      </c>
      <c r="R15" s="357">
        <v>6.5</v>
      </c>
      <c r="S15" s="462">
        <v>6.7</v>
      </c>
      <c r="T15" s="462">
        <v>6.7</v>
      </c>
      <c r="U15" s="462">
        <v>6.7</v>
      </c>
      <c r="V15" s="462">
        <v>6.7</v>
      </c>
      <c r="W15" s="357">
        <v>6.5</v>
      </c>
      <c r="X15" s="357">
        <v>6.6</v>
      </c>
      <c r="Y15" s="357">
        <v>6.6</v>
      </c>
      <c r="Z15" s="462">
        <v>6.7</v>
      </c>
      <c r="AA15" s="462">
        <v>6.6</v>
      </c>
      <c r="AB15" s="462">
        <v>6.5</v>
      </c>
      <c r="AC15" s="46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6.8</v>
      </c>
      <c r="G16" s="357">
        <v>6.5</v>
      </c>
      <c r="H16" s="357">
        <v>6.6</v>
      </c>
      <c r="I16" s="357">
        <v>6.7</v>
      </c>
      <c r="J16" s="357">
        <v>6.7</v>
      </c>
      <c r="K16" s="359">
        <v>6.8</v>
      </c>
      <c r="L16" s="359">
        <v>7</v>
      </c>
      <c r="M16" s="357">
        <v>6.8</v>
      </c>
      <c r="N16" s="359">
        <v>6.9</v>
      </c>
      <c r="O16" s="357">
        <v>6.6</v>
      </c>
      <c r="P16" s="357">
        <v>6.9</v>
      </c>
      <c r="Q16" s="357">
        <v>6.5</v>
      </c>
      <c r="R16" s="357">
        <v>6.5</v>
      </c>
      <c r="S16" s="462">
        <v>6.7</v>
      </c>
      <c r="T16" s="462">
        <v>6.7</v>
      </c>
      <c r="U16" s="462">
        <v>6.7</v>
      </c>
      <c r="V16" s="462">
        <v>6.7</v>
      </c>
      <c r="W16" s="357">
        <v>6.5</v>
      </c>
      <c r="X16" s="357">
        <v>6.6</v>
      </c>
      <c r="Y16" s="357">
        <v>6.6</v>
      </c>
      <c r="Z16" s="462">
        <v>6.7</v>
      </c>
      <c r="AA16" s="462">
        <v>6.6</v>
      </c>
      <c r="AB16" s="462">
        <v>6.5</v>
      </c>
      <c r="AC16" s="357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13.1</v>
      </c>
      <c r="H17" s="19">
        <f t="shared" si="0"/>
        <v>13.3</v>
      </c>
      <c r="I17" s="19">
        <f t="shared" si="0"/>
        <v>13.600000000000001</v>
      </c>
      <c r="J17" s="19">
        <f t="shared" si="0"/>
        <v>13.4</v>
      </c>
      <c r="K17" s="19">
        <f t="shared" si="0"/>
        <v>13.6</v>
      </c>
      <c r="L17" s="19">
        <f t="shared" si="0"/>
        <v>14</v>
      </c>
      <c r="M17" s="19">
        <f t="shared" si="0"/>
        <v>13.5</v>
      </c>
      <c r="N17" s="19">
        <f t="shared" si="0"/>
        <v>15.3</v>
      </c>
      <c r="O17" s="19">
        <f t="shared" si="0"/>
        <v>19.799999999999997</v>
      </c>
      <c r="P17" s="19">
        <f t="shared" si="0"/>
        <v>20.700000000000003</v>
      </c>
      <c r="Q17" s="19">
        <f t="shared" si="0"/>
        <v>19.5</v>
      </c>
      <c r="R17" s="19">
        <f t="shared" si="0"/>
        <v>19.5</v>
      </c>
      <c r="S17" s="463">
        <f t="shared" si="0"/>
        <v>20.100000000000001</v>
      </c>
      <c r="T17" s="463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19.5</v>
      </c>
      <c r="X17" s="19">
        <f t="shared" si="0"/>
        <v>19.799999999999997</v>
      </c>
      <c r="Y17" s="19">
        <f t="shared" si="0"/>
        <v>19.799999999999997</v>
      </c>
      <c r="Z17" s="463">
        <f t="shared" si="0"/>
        <v>20.100000000000001</v>
      </c>
      <c r="AA17" s="463">
        <f t="shared" si="0"/>
        <v>19.799999999999997</v>
      </c>
      <c r="AB17" s="463">
        <f>SUM(AB13:AB16)</f>
        <v>19.5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37.6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2.8</v>
      </c>
      <c r="P19" s="357">
        <v>2.8</v>
      </c>
      <c r="Q19" s="357">
        <v>2.8</v>
      </c>
      <c r="R19" s="357">
        <v>2.8</v>
      </c>
      <c r="S19" s="462">
        <v>2.8</v>
      </c>
      <c r="T19" s="462">
        <v>2.8</v>
      </c>
      <c r="U19" s="357">
        <v>2.8</v>
      </c>
      <c r="V19" s="357">
        <v>2.8</v>
      </c>
      <c r="W19" s="357">
        <v>2</v>
      </c>
      <c r="X19" s="357">
        <v>2.8</v>
      </c>
      <c r="Y19" s="357">
        <v>2.8</v>
      </c>
      <c r="Z19" s="357">
        <v>2.8</v>
      </c>
      <c r="AA19" s="357">
        <v>2.8</v>
      </c>
      <c r="AB19" s="357">
        <v>2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2.8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463">
        <f>SUM(S19:S21)</f>
        <v>2.8</v>
      </c>
      <c r="T22" s="463">
        <f t="shared" ref="T22" si="2">SUM(T19:T21)</f>
        <v>2.8</v>
      </c>
      <c r="U22" s="19">
        <f t="shared" si="1"/>
        <v>2.8</v>
      </c>
      <c r="V22" s="19">
        <f t="shared" si="1"/>
        <v>2.8</v>
      </c>
      <c r="W22" s="19">
        <f t="shared" si="1"/>
        <v>2</v>
      </c>
      <c r="X22" s="19">
        <f t="shared" si="1"/>
        <v>2.8</v>
      </c>
      <c r="Y22" s="19">
        <f t="shared" si="1"/>
        <v>2.8</v>
      </c>
      <c r="Z22" s="463">
        <f>SUM(Z19:Z21)</f>
        <v>2.8</v>
      </c>
      <c r="AA22" s="463">
        <f t="shared" si="1"/>
        <v>2.8</v>
      </c>
      <c r="AB22" s="463">
        <f>SUM(AB19:AB21)</f>
        <v>2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41.499999999999993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1.5</v>
      </c>
      <c r="P24" s="357">
        <v>3.8</v>
      </c>
      <c r="Q24" s="357">
        <v>3</v>
      </c>
      <c r="R24" s="357">
        <v>3</v>
      </c>
      <c r="S24" s="357">
        <v>3</v>
      </c>
      <c r="T24" s="357">
        <v>3</v>
      </c>
      <c r="U24" s="357">
        <v>3</v>
      </c>
      <c r="V24" s="357">
        <v>3</v>
      </c>
      <c r="W24" s="357">
        <v>3</v>
      </c>
      <c r="X24" s="357">
        <v>3.8</v>
      </c>
      <c r="Y24" s="357">
        <v>3.8</v>
      </c>
      <c r="Z24" s="357">
        <v>3.8</v>
      </c>
      <c r="AA24" s="357">
        <v>3.8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1.5</v>
      </c>
      <c r="P25" s="19">
        <f t="shared" si="3"/>
        <v>3.8</v>
      </c>
      <c r="Q25" s="19">
        <f t="shared" si="3"/>
        <v>3</v>
      </c>
      <c r="R25" s="19">
        <f t="shared" si="3"/>
        <v>3</v>
      </c>
      <c r="S25" s="463">
        <f t="shared" si="3"/>
        <v>3</v>
      </c>
      <c r="T25" s="463">
        <f t="shared" si="3"/>
        <v>3</v>
      </c>
      <c r="U25" s="19">
        <f t="shared" si="3"/>
        <v>3</v>
      </c>
      <c r="V25" s="19">
        <f t="shared" si="3"/>
        <v>3</v>
      </c>
      <c r="W25" s="19">
        <f t="shared" si="3"/>
        <v>3</v>
      </c>
      <c r="X25" s="19">
        <f t="shared" si="3"/>
        <v>3.8</v>
      </c>
      <c r="Y25" s="19">
        <f t="shared" si="3"/>
        <v>3.8</v>
      </c>
      <c r="Z25" s="463">
        <f t="shared" si="3"/>
        <v>3.8</v>
      </c>
      <c r="AA25" s="463">
        <f t="shared" si="3"/>
        <v>3.8</v>
      </c>
      <c r="AB25" s="463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66.2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3.8</v>
      </c>
      <c r="M27" s="357">
        <v>2</v>
      </c>
      <c r="N27" s="357">
        <v>4</v>
      </c>
      <c r="O27" s="357">
        <v>3.8</v>
      </c>
      <c r="P27" s="357">
        <v>3.9</v>
      </c>
      <c r="Q27" s="357">
        <v>3.8</v>
      </c>
      <c r="R27" s="357">
        <v>1.9</v>
      </c>
      <c r="S27" s="462"/>
      <c r="T27" s="462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/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>
        <v>1.9</v>
      </c>
      <c r="S28" s="357">
        <v>3.8</v>
      </c>
      <c r="T28" s="462">
        <v>3.8</v>
      </c>
      <c r="U28" s="462">
        <v>3.7</v>
      </c>
      <c r="V28" s="359">
        <v>3.7</v>
      </c>
      <c r="W28" s="357">
        <v>3.7</v>
      </c>
      <c r="X28" s="357">
        <v>3.8</v>
      </c>
      <c r="Y28" s="357">
        <v>3.8</v>
      </c>
      <c r="Z28" s="357">
        <v>3.8</v>
      </c>
      <c r="AA28" s="357">
        <v>3.7</v>
      </c>
      <c r="AB28" s="357">
        <v>3.8</v>
      </c>
      <c r="AC28" s="357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188.14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>
        <v>2.7</v>
      </c>
      <c r="R29" s="357">
        <v>2.74</v>
      </c>
      <c r="S29" s="462">
        <v>3</v>
      </c>
      <c r="T29" s="359">
        <v>3.5</v>
      </c>
      <c r="U29" s="359">
        <v>3.5</v>
      </c>
      <c r="V29" s="357">
        <v>2.9</v>
      </c>
      <c r="W29" s="359">
        <v>2.7</v>
      </c>
      <c r="X29" s="357"/>
      <c r="Y29" s="359">
        <v>5.4</v>
      </c>
      <c r="Z29" s="357">
        <v>3</v>
      </c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5.5</v>
      </c>
      <c r="G30" s="357">
        <v>6</v>
      </c>
      <c r="H30" s="357">
        <v>5.5</v>
      </c>
      <c r="I30" s="357">
        <v>4.4000000000000004</v>
      </c>
      <c r="J30" s="357">
        <v>5</v>
      </c>
      <c r="K30" s="357">
        <v>6.3</v>
      </c>
      <c r="L30" s="357">
        <v>7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7</v>
      </c>
      <c r="G31" s="19">
        <f>SUM(G27:G30)</f>
        <v>6</v>
      </c>
      <c r="H31" s="19">
        <f>SUM(H27:H30)</f>
        <v>5.5</v>
      </c>
      <c r="I31" s="19">
        <f t="shared" ref="I31:X31" si="5">SUM(I27:I30)</f>
        <v>4.4000000000000004</v>
      </c>
      <c r="J31" s="19">
        <f t="shared" si="5"/>
        <v>5</v>
      </c>
      <c r="K31" s="19">
        <f t="shared" si="5"/>
        <v>6.3</v>
      </c>
      <c r="L31" s="19">
        <f t="shared" si="5"/>
        <v>10.8</v>
      </c>
      <c r="M31" s="19">
        <f t="shared" si="5"/>
        <v>9</v>
      </c>
      <c r="N31" s="19">
        <f t="shared" si="5"/>
        <v>11</v>
      </c>
      <c r="O31" s="19">
        <f t="shared" si="5"/>
        <v>10.8</v>
      </c>
      <c r="P31" s="19">
        <f t="shared" si="5"/>
        <v>10.9</v>
      </c>
      <c r="Q31" s="19">
        <f t="shared" si="5"/>
        <v>13.5</v>
      </c>
      <c r="R31" s="19">
        <f t="shared" si="5"/>
        <v>13.54</v>
      </c>
      <c r="S31" s="463">
        <f t="shared" si="5"/>
        <v>13.8</v>
      </c>
      <c r="T31" s="463">
        <f t="shared" si="5"/>
        <v>14.3</v>
      </c>
      <c r="U31" s="19">
        <f t="shared" si="5"/>
        <v>14.2</v>
      </c>
      <c r="V31" s="19">
        <f t="shared" si="5"/>
        <v>13.6</v>
      </c>
      <c r="W31" s="19">
        <f t="shared" si="5"/>
        <v>13.4</v>
      </c>
      <c r="X31" s="19">
        <f t="shared" si="5"/>
        <v>10.8</v>
      </c>
      <c r="Y31" s="19">
        <f>SUM(Y27:Y30)</f>
        <v>16.2</v>
      </c>
      <c r="Z31" s="19">
        <f t="shared" ref="Z31:AC31" si="6">SUM(Z27:Z30)</f>
        <v>13.8</v>
      </c>
      <c r="AA31" s="19">
        <f t="shared" si="6"/>
        <v>10.7</v>
      </c>
      <c r="AB31" s="19">
        <f t="shared" si="6"/>
        <v>10.8</v>
      </c>
      <c r="AC31" s="19">
        <f t="shared" si="6"/>
        <v>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340.76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14.22</v>
      </c>
      <c r="G33" s="357">
        <v>14.24</v>
      </c>
      <c r="H33" s="357">
        <v>14.25</v>
      </c>
      <c r="I33" s="359">
        <v>13.8</v>
      </c>
      <c r="J33" s="357">
        <v>13.27</v>
      </c>
      <c r="K33" s="357">
        <v>14.26</v>
      </c>
      <c r="L33" s="359">
        <v>14.21</v>
      </c>
      <c r="M33" s="357">
        <v>14.28</v>
      </c>
      <c r="N33" s="357">
        <v>14.29</v>
      </c>
      <c r="O33" s="357">
        <v>14.28</v>
      </c>
      <c r="P33" s="357">
        <v>14.26</v>
      </c>
      <c r="Q33" s="359">
        <v>14.27</v>
      </c>
      <c r="R33" s="357">
        <v>14.27</v>
      </c>
      <c r="S33" s="462">
        <v>14.26</v>
      </c>
      <c r="T33" s="462">
        <v>14.26</v>
      </c>
      <c r="U33" s="462">
        <v>14.25</v>
      </c>
      <c r="V33" s="359">
        <v>14.27</v>
      </c>
      <c r="W33" s="357">
        <v>14.26</v>
      </c>
      <c r="X33" s="357">
        <v>14.26</v>
      </c>
      <c r="Y33" s="357">
        <v>14.27</v>
      </c>
      <c r="Z33" s="357">
        <v>14.26</v>
      </c>
      <c r="AA33" s="357">
        <v>14.22</v>
      </c>
      <c r="AB33" s="357">
        <v>14.26</v>
      </c>
      <c r="AC33" s="357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14.22</v>
      </c>
      <c r="G34" s="19">
        <f t="shared" si="7"/>
        <v>14.24</v>
      </c>
      <c r="H34" s="19">
        <f t="shared" si="7"/>
        <v>14.25</v>
      </c>
      <c r="I34" s="19">
        <f t="shared" si="7"/>
        <v>13.8</v>
      </c>
      <c r="J34" s="19">
        <f t="shared" si="7"/>
        <v>13.27</v>
      </c>
      <c r="K34" s="19">
        <f t="shared" si="7"/>
        <v>14.26</v>
      </c>
      <c r="L34" s="19">
        <f t="shared" si="7"/>
        <v>14.21</v>
      </c>
      <c r="M34" s="19">
        <f t="shared" si="7"/>
        <v>14.28</v>
      </c>
      <c r="N34" s="19">
        <f t="shared" si="7"/>
        <v>14.29</v>
      </c>
      <c r="O34" s="19">
        <f t="shared" si="7"/>
        <v>14.28</v>
      </c>
      <c r="P34" s="19">
        <f t="shared" si="7"/>
        <v>14.26</v>
      </c>
      <c r="Q34" s="19">
        <f t="shared" si="7"/>
        <v>14.27</v>
      </c>
      <c r="R34" s="19">
        <f t="shared" si="7"/>
        <v>14.27</v>
      </c>
      <c r="S34" s="19">
        <f t="shared" si="7"/>
        <v>14.26</v>
      </c>
      <c r="T34" s="463">
        <f t="shared" si="7"/>
        <v>14.26</v>
      </c>
      <c r="U34" s="19">
        <f t="shared" si="7"/>
        <v>14.25</v>
      </c>
      <c r="V34" s="19">
        <f t="shared" si="7"/>
        <v>14.27</v>
      </c>
      <c r="W34" s="19">
        <f t="shared" si="7"/>
        <v>14.26</v>
      </c>
      <c r="X34" s="19">
        <f t="shared" si="7"/>
        <v>14.26</v>
      </c>
      <c r="Y34" s="19">
        <f t="shared" si="7"/>
        <v>14.27</v>
      </c>
      <c r="Z34" s="19">
        <f t="shared" si="7"/>
        <v>14.26</v>
      </c>
      <c r="AA34" s="19">
        <f t="shared" si="7"/>
        <v>14.22</v>
      </c>
      <c r="AB34" s="19">
        <f t="shared" si="7"/>
        <v>14.26</v>
      </c>
      <c r="AC34" s="19">
        <f t="shared" si="7"/>
        <v>14.29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38.540000000000028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>
        <v>0.8</v>
      </c>
      <c r="U40" s="357">
        <v>0.8</v>
      </c>
      <c r="V40" s="462">
        <v>0.8</v>
      </c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3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9"/>
      <c r="N47" s="357">
        <f>2.04/3</f>
        <v>0.68</v>
      </c>
      <c r="O47" s="357">
        <v>0</v>
      </c>
      <c r="P47" s="359">
        <v>0.8</v>
      </c>
      <c r="Q47" s="357">
        <v>0.8</v>
      </c>
      <c r="R47" s="357">
        <v>0.8</v>
      </c>
      <c r="S47" s="462">
        <v>0.8</v>
      </c>
      <c r="T47" s="357">
        <v>0.8</v>
      </c>
      <c r="U47" s="357">
        <v>0.8</v>
      </c>
      <c r="V47" s="462">
        <v>0.8</v>
      </c>
      <c r="W47" s="357">
        <v>0.8</v>
      </c>
      <c r="X47" s="357">
        <f>3.9/5</f>
        <v>0.78</v>
      </c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9"/>
      <c r="N48" s="357"/>
      <c r="O48" s="357">
        <v>0</v>
      </c>
      <c r="P48" s="359">
        <v>0.8</v>
      </c>
      <c r="Q48" s="357"/>
      <c r="R48" s="357"/>
      <c r="S48" s="462"/>
      <c r="T48" s="357">
        <v>0.8</v>
      </c>
      <c r="U48" s="357">
        <v>0.8</v>
      </c>
      <c r="V48" s="462">
        <v>0.8</v>
      </c>
      <c r="W48" s="357"/>
      <c r="X48" s="357">
        <f>3.9/5</f>
        <v>0.78</v>
      </c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6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9">
        <v>0</v>
      </c>
      <c r="N50" s="357">
        <f>2.04/3</f>
        <v>0.68</v>
      </c>
      <c r="O50" s="359">
        <v>0</v>
      </c>
      <c r="P50" s="359">
        <v>0.8</v>
      </c>
      <c r="Q50" s="357">
        <v>0.8</v>
      </c>
      <c r="R50" s="357">
        <v>0.8</v>
      </c>
      <c r="S50" s="462">
        <v>0.8</v>
      </c>
      <c r="T50" s="357">
        <v>0.8</v>
      </c>
      <c r="U50" s="357">
        <v>0.8</v>
      </c>
      <c r="V50" s="462">
        <v>0.8</v>
      </c>
      <c r="W50" s="357">
        <v>0.8</v>
      </c>
      <c r="X50" s="357">
        <f>3.9/5</f>
        <v>0.78</v>
      </c>
      <c r="Y50" s="357">
        <v>0.75</v>
      </c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14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>
        <f>2.04/3</f>
        <v>0.68</v>
      </c>
      <c r="O51" s="357">
        <v>0</v>
      </c>
      <c r="P51" s="359">
        <v>0.8</v>
      </c>
      <c r="Q51" s="357"/>
      <c r="R51" s="357">
        <v>0.8</v>
      </c>
      <c r="S51" s="462">
        <v>0.8</v>
      </c>
      <c r="T51" s="357">
        <v>0.8</v>
      </c>
      <c r="U51" s="357">
        <v>0.8</v>
      </c>
      <c r="V51" s="462">
        <v>0.7</v>
      </c>
      <c r="W51" s="357">
        <v>0.8</v>
      </c>
      <c r="X51" s="357">
        <f>3.9/5</f>
        <v>0.78</v>
      </c>
      <c r="Y51" s="357"/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10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9">
        <v>0</v>
      </c>
      <c r="N56" s="357"/>
      <c r="O56" s="357">
        <v>0</v>
      </c>
      <c r="P56" s="359">
        <v>0.7</v>
      </c>
      <c r="Q56" s="357">
        <v>0.7</v>
      </c>
      <c r="R56" s="357">
        <v>0.7</v>
      </c>
      <c r="S56" s="462">
        <v>0.7</v>
      </c>
      <c r="T56" s="357">
        <v>0.7</v>
      </c>
      <c r="U56" s="357">
        <v>0.7</v>
      </c>
      <c r="V56" s="462">
        <v>0.7</v>
      </c>
      <c r="W56" s="357">
        <v>0.7</v>
      </c>
      <c r="X56" s="357">
        <f>3.9/5</f>
        <v>0.78</v>
      </c>
      <c r="Y56" s="357">
        <v>0.75</v>
      </c>
      <c r="Z56" s="357">
        <v>0.8</v>
      </c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13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0.8</v>
      </c>
      <c r="M60" s="19">
        <f t="shared" si="11"/>
        <v>0</v>
      </c>
      <c r="N60" s="19">
        <f t="shared" si="11"/>
        <v>2.04</v>
      </c>
      <c r="O60" s="19">
        <f t="shared" si="11"/>
        <v>0</v>
      </c>
      <c r="P60" s="19">
        <f t="shared" si="11"/>
        <v>3.9000000000000004</v>
      </c>
      <c r="Q60" s="19">
        <f t="shared" si="11"/>
        <v>2.2999999999999998</v>
      </c>
      <c r="R60" s="19">
        <f t="shared" si="11"/>
        <v>3.1000000000000005</v>
      </c>
      <c r="S60" s="19">
        <f t="shared" si="11"/>
        <v>3.1000000000000005</v>
      </c>
      <c r="T60" s="19">
        <f t="shared" si="11"/>
        <v>4.7</v>
      </c>
      <c r="U60" s="19">
        <f t="shared" si="11"/>
        <v>4.7</v>
      </c>
      <c r="V60" s="19">
        <f t="shared" si="11"/>
        <v>4.6000000000000005</v>
      </c>
      <c r="W60" s="19">
        <f t="shared" si="11"/>
        <v>3.1000000000000005</v>
      </c>
      <c r="X60" s="19">
        <f t="shared" si="11"/>
        <v>3.9000000000000004</v>
      </c>
      <c r="Y60" s="19">
        <f>SUM(Y36:Y59)</f>
        <v>1.5</v>
      </c>
      <c r="Z60" s="19">
        <f t="shared" si="11"/>
        <v>0.8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27.559999999999995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f>0.89/2</f>
        <v>0.44500000000000001</v>
      </c>
      <c r="G62" s="357">
        <f>0.81/2</f>
        <v>0.40500000000000003</v>
      </c>
      <c r="H62" s="357">
        <v>0.39500000000000002</v>
      </c>
      <c r="I62" s="359">
        <v>0.39</v>
      </c>
      <c r="J62" s="357">
        <v>0.39</v>
      </c>
      <c r="K62" s="357">
        <v>0.46500000000000002</v>
      </c>
      <c r="L62" s="357">
        <f>1.21/2</f>
        <v>0.60499999999999998</v>
      </c>
      <c r="M62" s="357">
        <v>0</v>
      </c>
      <c r="N62" s="357">
        <v>0</v>
      </c>
      <c r="O62" s="357">
        <v>0</v>
      </c>
      <c r="P62" s="357">
        <v>0</v>
      </c>
      <c r="Q62" s="357">
        <v>0</v>
      </c>
      <c r="R62" s="357">
        <v>0</v>
      </c>
      <c r="S62" s="357">
        <v>0.66</v>
      </c>
      <c r="T62" s="357">
        <v>0.68500000000000005</v>
      </c>
      <c r="U62" s="357">
        <v>0.68</v>
      </c>
      <c r="V62" s="357">
        <v>0.65</v>
      </c>
      <c r="W62" s="357">
        <v>0.65</v>
      </c>
      <c r="X62" s="462">
        <v>0.59</v>
      </c>
      <c r="Y62" s="357">
        <v>0.7</v>
      </c>
      <c r="Z62" s="357">
        <v>0.72</v>
      </c>
      <c r="AA62" s="357">
        <v>0.63</v>
      </c>
      <c r="AB62" s="357">
        <v>0.58499999999999996</v>
      </c>
      <c r="AC62" s="357"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>
        <f>0.81/2</f>
        <v>0.40500000000000003</v>
      </c>
      <c r="H63" s="357">
        <v>0.39500000000000002</v>
      </c>
      <c r="I63" s="359">
        <v>0.39</v>
      </c>
      <c r="J63" s="357">
        <v>0.39</v>
      </c>
      <c r="K63" s="357">
        <v>0.46500000000000002</v>
      </c>
      <c r="L63" s="357">
        <f>1.21/2</f>
        <v>0.60499999999999998</v>
      </c>
      <c r="M63" s="357">
        <f>1.17/2</f>
        <v>0.58499999999999996</v>
      </c>
      <c r="N63" s="357">
        <f>1.1/2</f>
        <v>0.55000000000000004</v>
      </c>
      <c r="O63" s="357">
        <f>1.12/2</f>
        <v>0.56000000000000005</v>
      </c>
      <c r="P63" s="357">
        <v>0.61499999999999999</v>
      </c>
      <c r="Q63" s="357">
        <v>0.625</v>
      </c>
      <c r="R63" s="357">
        <v>0.66</v>
      </c>
      <c r="S63" s="357"/>
      <c r="T63" s="462"/>
      <c r="U63" s="462"/>
      <c r="V63" s="462"/>
      <c r="W63" s="462"/>
      <c r="X63" s="462"/>
      <c r="Y63" s="462"/>
      <c r="Z63" s="357">
        <v>0.72</v>
      </c>
      <c r="AA63" s="462">
        <v>0.63</v>
      </c>
      <c r="AB63" s="357">
        <v>0.58499999999999996</v>
      </c>
      <c r="AC63" s="357"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0.89/2</f>
        <v>0.44500000000000001</v>
      </c>
      <c r="G64" s="357">
        <v>0</v>
      </c>
      <c r="H64" s="357"/>
      <c r="I64" s="359"/>
      <c r="J64" s="357"/>
      <c r="K64" s="357"/>
      <c r="L64" s="357"/>
      <c r="M64" s="357">
        <f>1.17/2</f>
        <v>0.58499999999999996</v>
      </c>
      <c r="N64" s="357">
        <f>1.1/2</f>
        <v>0.55000000000000004</v>
      </c>
      <c r="O64" s="357">
        <f>1.12/2</f>
        <v>0.56000000000000005</v>
      </c>
      <c r="P64" s="357">
        <v>0.61499999999999999</v>
      </c>
      <c r="Q64" s="357">
        <v>0.625</v>
      </c>
      <c r="R64" s="357">
        <v>0.66</v>
      </c>
      <c r="S64" s="357">
        <v>0.66</v>
      </c>
      <c r="T64" s="462">
        <v>0.68500000000000005</v>
      </c>
      <c r="U64" s="462">
        <v>0.68</v>
      </c>
      <c r="V64" s="462">
        <v>0.65</v>
      </c>
      <c r="W64" s="462">
        <v>0.65</v>
      </c>
      <c r="X64" s="357">
        <v>0.59</v>
      </c>
      <c r="Y64" s="462">
        <v>0.7</v>
      </c>
      <c r="Z64" s="462"/>
      <c r="AA64" s="462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0.89</v>
      </c>
      <c r="G65" s="19">
        <f t="shared" ref="G65:AB65" si="12">SUM(G62:G64)</f>
        <v>0.81</v>
      </c>
      <c r="H65" s="19">
        <f t="shared" si="12"/>
        <v>0.79</v>
      </c>
      <c r="I65" s="19">
        <f t="shared" si="12"/>
        <v>0.78</v>
      </c>
      <c r="J65" s="19">
        <f t="shared" si="12"/>
        <v>0.78</v>
      </c>
      <c r="K65" s="19">
        <f t="shared" si="12"/>
        <v>0.93</v>
      </c>
      <c r="L65" s="19">
        <f t="shared" si="12"/>
        <v>1.21</v>
      </c>
      <c r="M65" s="19">
        <f t="shared" si="12"/>
        <v>1.17</v>
      </c>
      <c r="N65" s="19">
        <f t="shared" si="12"/>
        <v>1.1000000000000001</v>
      </c>
      <c r="O65" s="19">
        <f t="shared" si="12"/>
        <v>1.1200000000000001</v>
      </c>
      <c r="P65" s="19">
        <f t="shared" si="12"/>
        <v>1.23</v>
      </c>
      <c r="Q65" s="19">
        <f t="shared" si="12"/>
        <v>1.25</v>
      </c>
      <c r="R65" s="19">
        <f t="shared" si="12"/>
        <v>1.32</v>
      </c>
      <c r="S65" s="463">
        <f t="shared" si="12"/>
        <v>1.32</v>
      </c>
      <c r="T65" s="463">
        <f t="shared" si="12"/>
        <v>1.37</v>
      </c>
      <c r="U65" s="463">
        <f t="shared" si="12"/>
        <v>1.36</v>
      </c>
      <c r="V65" s="19">
        <f>SUM(V62:V64)</f>
        <v>1.3</v>
      </c>
      <c r="W65" s="19">
        <f t="shared" si="12"/>
        <v>1.3</v>
      </c>
      <c r="X65" s="19">
        <f t="shared" si="12"/>
        <v>1.18</v>
      </c>
      <c r="Y65" s="19">
        <f>SUM(Y62:Y64)</f>
        <v>1.4</v>
      </c>
      <c r="Z65" s="19">
        <f>SUM(Z62:Z64)</f>
        <v>1.44</v>
      </c>
      <c r="AA65" s="19">
        <f t="shared" si="12"/>
        <v>1.26</v>
      </c>
      <c r="AB65" s="19">
        <f t="shared" si="12"/>
        <v>1.17</v>
      </c>
      <c r="AC65" s="19">
        <f>SUM(AC62:AC64)</f>
        <v>1.08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63">
        <f t="shared" si="16"/>
        <v>0</v>
      </c>
      <c r="T76" s="463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19.670000000000002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>
        <v>0.77</v>
      </c>
      <c r="N78" s="359">
        <v>0.73</v>
      </c>
      <c r="O78" s="357">
        <v>0.76</v>
      </c>
      <c r="P78" s="357">
        <v>0.82</v>
      </c>
      <c r="Q78" s="357">
        <v>0.83</v>
      </c>
      <c r="R78" s="357">
        <v>0.85</v>
      </c>
      <c r="S78" s="357">
        <v>0.83</v>
      </c>
      <c r="T78" s="357">
        <v>0.85</v>
      </c>
      <c r="U78" s="357">
        <v>0.86</v>
      </c>
      <c r="V78" s="357">
        <v>0.88</v>
      </c>
      <c r="W78" s="357">
        <v>0.88</v>
      </c>
      <c r="X78" s="357">
        <v>0.85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0.75</v>
      </c>
      <c r="G79" s="357">
        <v>0.71</v>
      </c>
      <c r="H79" s="357">
        <v>0.7</v>
      </c>
      <c r="I79" s="357">
        <v>0.68</v>
      </c>
      <c r="J79" s="357">
        <v>0.67</v>
      </c>
      <c r="K79" s="357">
        <v>0.71</v>
      </c>
      <c r="L79" s="359">
        <v>0.81</v>
      </c>
      <c r="M79" s="359">
        <v>0</v>
      </c>
      <c r="N79" s="359">
        <v>0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0.97</v>
      </c>
      <c r="Z79" s="357">
        <v>1.02</v>
      </c>
      <c r="AA79" s="357">
        <v>0.97</v>
      </c>
      <c r="AB79" s="357">
        <v>0.92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0.75</v>
      </c>
      <c r="G80" s="19">
        <f t="shared" si="17"/>
        <v>0.71</v>
      </c>
      <c r="H80" s="19">
        <f>SUM(H78:H79)</f>
        <v>0.7</v>
      </c>
      <c r="I80" s="19">
        <f>SUM(I78:I79)</f>
        <v>0.68</v>
      </c>
      <c r="J80" s="19">
        <f t="shared" ref="J80:AC80" si="18">SUM(J78:J79)</f>
        <v>0.67</v>
      </c>
      <c r="K80" s="19">
        <f t="shared" si="18"/>
        <v>0.71</v>
      </c>
      <c r="L80" s="19">
        <f>SUM(L78:L79)</f>
        <v>0.81</v>
      </c>
      <c r="M80" s="19">
        <f t="shared" si="18"/>
        <v>0.77</v>
      </c>
      <c r="N80" s="19">
        <f t="shared" si="18"/>
        <v>0.73</v>
      </c>
      <c r="O80" s="19">
        <f>SUM(O78:O79)</f>
        <v>0.76</v>
      </c>
      <c r="P80" s="19">
        <f>SUM(P78:P79)</f>
        <v>0.82</v>
      </c>
      <c r="Q80" s="19">
        <f t="shared" si="18"/>
        <v>0.83</v>
      </c>
      <c r="R80" s="19">
        <f t="shared" si="18"/>
        <v>0.85</v>
      </c>
      <c r="S80" s="463">
        <f t="shared" si="18"/>
        <v>0.83</v>
      </c>
      <c r="T80" s="463">
        <f t="shared" si="18"/>
        <v>0.85</v>
      </c>
      <c r="U80" s="19">
        <f t="shared" si="18"/>
        <v>0.86</v>
      </c>
      <c r="V80" s="19">
        <f t="shared" si="18"/>
        <v>0.88</v>
      </c>
      <c r="W80" s="19">
        <f t="shared" si="18"/>
        <v>0.88</v>
      </c>
      <c r="X80" s="19">
        <f t="shared" si="18"/>
        <v>0.85</v>
      </c>
      <c r="Y80" s="19">
        <f t="shared" si="18"/>
        <v>0.97</v>
      </c>
      <c r="Z80" s="19">
        <f t="shared" si="18"/>
        <v>1.02</v>
      </c>
      <c r="AA80" s="19">
        <f t="shared" si="18"/>
        <v>0.97</v>
      </c>
      <c r="AB80" s="19">
        <f t="shared" si="18"/>
        <v>0.92</v>
      </c>
      <c r="AC80" s="19">
        <f t="shared" si="18"/>
        <v>0.85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19">SUM(F17,F22,F25,F31,F34,F60,F65,F76,F80,F82)</f>
        <v>36.46</v>
      </c>
      <c r="G83" s="28">
        <f>SUM(G17,G22,G25,G31,G34,G60,G65,G76,G80,G82)</f>
        <v>34.860000000000007</v>
      </c>
      <c r="H83" s="28">
        <f t="shared" ref="H83:AC83" si="20">SUM(H17,H22,H25,H31,H34,H60,H65,H76,H80,H82)</f>
        <v>34.54</v>
      </c>
      <c r="I83" s="28">
        <f t="shared" si="20"/>
        <v>33.26</v>
      </c>
      <c r="J83" s="28">
        <f t="shared" si="20"/>
        <v>33.119999999999997</v>
      </c>
      <c r="K83" s="28">
        <f t="shared" si="20"/>
        <v>35.799999999999997</v>
      </c>
      <c r="L83" s="28">
        <f t="shared" si="20"/>
        <v>41.830000000000005</v>
      </c>
      <c r="M83" s="28">
        <f t="shared" si="20"/>
        <v>38.720000000000006</v>
      </c>
      <c r="N83" s="28">
        <f t="shared" si="20"/>
        <v>44.46</v>
      </c>
      <c r="O83" s="28">
        <f t="shared" si="20"/>
        <v>51.059999999999995</v>
      </c>
      <c r="P83" s="28">
        <f t="shared" si="20"/>
        <v>58.41</v>
      </c>
      <c r="Q83" s="28">
        <f t="shared" si="20"/>
        <v>57.449999999999989</v>
      </c>
      <c r="R83" s="28">
        <f t="shared" si="20"/>
        <v>58.38</v>
      </c>
      <c r="S83" s="518">
        <f t="shared" si="20"/>
        <v>59.21</v>
      </c>
      <c r="T83" s="518">
        <f t="shared" si="20"/>
        <v>61.38</v>
      </c>
      <c r="U83" s="518">
        <f t="shared" si="20"/>
        <v>61.27</v>
      </c>
      <c r="V83" s="28">
        <f t="shared" si="20"/>
        <v>60.55</v>
      </c>
      <c r="W83" s="28">
        <f t="shared" si="20"/>
        <v>57.44</v>
      </c>
      <c r="X83" s="28">
        <f t="shared" si="20"/>
        <v>57.39</v>
      </c>
      <c r="Y83" s="28">
        <f t="shared" si="20"/>
        <v>60.739999999999988</v>
      </c>
      <c r="Z83" s="28">
        <f t="shared" si="20"/>
        <v>58.019999999999996</v>
      </c>
      <c r="AA83" s="28">
        <f t="shared" si="20"/>
        <v>53.54999999999999</v>
      </c>
      <c r="AB83" s="28">
        <f t="shared" si="20"/>
        <v>48.65</v>
      </c>
      <c r="AC83" s="28">
        <f t="shared" si="20"/>
        <v>45.32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1">SUM(F22,F25)</f>
        <v>0</v>
      </c>
      <c r="G89" s="64">
        <f t="shared" si="21"/>
        <v>0</v>
      </c>
      <c r="H89" s="64">
        <f t="shared" si="21"/>
        <v>0</v>
      </c>
      <c r="I89" s="64">
        <f t="shared" si="21"/>
        <v>0</v>
      </c>
      <c r="J89" s="64">
        <f t="shared" si="21"/>
        <v>0</v>
      </c>
      <c r="K89" s="64">
        <f t="shared" si="21"/>
        <v>0</v>
      </c>
      <c r="L89" s="64">
        <f t="shared" si="21"/>
        <v>0</v>
      </c>
      <c r="M89" s="64">
        <f t="shared" si="21"/>
        <v>0</v>
      </c>
      <c r="N89" s="64">
        <f t="shared" si="21"/>
        <v>0</v>
      </c>
      <c r="O89" s="64">
        <f t="shared" si="21"/>
        <v>4.3</v>
      </c>
      <c r="P89" s="64">
        <f t="shared" si="21"/>
        <v>6.6</v>
      </c>
      <c r="Q89" s="64">
        <f t="shared" si="21"/>
        <v>5.8</v>
      </c>
      <c r="R89" s="64">
        <f t="shared" si="21"/>
        <v>5.8</v>
      </c>
      <c r="S89" s="64">
        <f t="shared" si="21"/>
        <v>5.8</v>
      </c>
      <c r="T89" s="64">
        <f t="shared" si="21"/>
        <v>5.8</v>
      </c>
      <c r="U89" s="64">
        <f t="shared" si="21"/>
        <v>5.8</v>
      </c>
      <c r="V89" s="64">
        <f t="shared" si="21"/>
        <v>5.8</v>
      </c>
      <c r="W89" s="64">
        <f t="shared" si="21"/>
        <v>5</v>
      </c>
      <c r="X89" s="64">
        <f t="shared" si="21"/>
        <v>6.6</v>
      </c>
      <c r="Y89" s="64">
        <f t="shared" si="21"/>
        <v>6.6</v>
      </c>
      <c r="Z89" s="64">
        <f t="shared" si="21"/>
        <v>6.6</v>
      </c>
      <c r="AA89" s="64">
        <f t="shared" si="21"/>
        <v>6.6</v>
      </c>
      <c r="AB89" s="64">
        <f t="shared" si="21"/>
        <v>2</v>
      </c>
      <c r="AC89" s="64">
        <f t="shared" si="21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</v>
      </c>
      <c r="P90" s="68">
        <v>0.22700000000000001</v>
      </c>
      <c r="Q90" s="68">
        <v>0.24199999999999999</v>
      </c>
      <c r="R90" s="68">
        <v>0.216</v>
      </c>
      <c r="S90" s="68">
        <v>0.23</v>
      </c>
      <c r="T90" s="68">
        <v>0.22</v>
      </c>
      <c r="U90" s="68">
        <v>0.22500000000000001</v>
      </c>
      <c r="V90" s="68">
        <v>0.222</v>
      </c>
      <c r="W90" s="68">
        <v>0.22700000000000001</v>
      </c>
      <c r="X90" s="68">
        <v>0.21199999999999999</v>
      </c>
      <c r="Y90" s="68">
        <v>0.191</v>
      </c>
      <c r="Z90" s="68">
        <v>0.22900000000000001</v>
      </c>
      <c r="AA90" s="68">
        <v>0.20799999999999999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2">F17</f>
        <v>13.6</v>
      </c>
      <c r="G91" s="64">
        <f t="shared" si="22"/>
        <v>13.1</v>
      </c>
      <c r="H91" s="64">
        <f t="shared" si="22"/>
        <v>13.3</v>
      </c>
      <c r="I91" s="64">
        <f t="shared" si="22"/>
        <v>13.600000000000001</v>
      </c>
      <c r="J91" s="64">
        <f t="shared" si="22"/>
        <v>13.4</v>
      </c>
      <c r="K91" s="64">
        <f t="shared" si="22"/>
        <v>13.6</v>
      </c>
      <c r="L91" s="64">
        <f t="shared" si="22"/>
        <v>14</v>
      </c>
      <c r="M91" s="64">
        <f t="shared" si="22"/>
        <v>13.5</v>
      </c>
      <c r="N91" s="64">
        <f t="shared" si="22"/>
        <v>15.3</v>
      </c>
      <c r="O91" s="64">
        <f t="shared" si="22"/>
        <v>19.799999999999997</v>
      </c>
      <c r="P91" s="64">
        <f t="shared" si="22"/>
        <v>20.700000000000003</v>
      </c>
      <c r="Q91" s="64">
        <f t="shared" si="22"/>
        <v>19.5</v>
      </c>
      <c r="R91" s="64">
        <f t="shared" si="22"/>
        <v>19.5</v>
      </c>
      <c r="S91" s="64">
        <f t="shared" si="22"/>
        <v>20.100000000000001</v>
      </c>
      <c r="T91" s="64">
        <f t="shared" si="22"/>
        <v>20.100000000000001</v>
      </c>
      <c r="U91" s="64">
        <f t="shared" si="22"/>
        <v>20.100000000000001</v>
      </c>
      <c r="V91" s="64">
        <f t="shared" si="22"/>
        <v>20.100000000000001</v>
      </c>
      <c r="W91" s="64">
        <f t="shared" si="22"/>
        <v>19.5</v>
      </c>
      <c r="X91" s="64">
        <f t="shared" si="22"/>
        <v>19.799999999999997</v>
      </c>
      <c r="Y91" s="64">
        <f t="shared" si="22"/>
        <v>19.799999999999997</v>
      </c>
      <c r="Z91" s="64">
        <f t="shared" si="22"/>
        <v>20.100000000000001</v>
      </c>
      <c r="AA91" s="64">
        <f t="shared" si="22"/>
        <v>19.799999999999997</v>
      </c>
      <c r="AB91" s="64">
        <f t="shared" si="22"/>
        <v>19.5</v>
      </c>
      <c r="AC91" s="64">
        <f t="shared" si="22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0.59399999999999997</v>
      </c>
      <c r="G92" s="68">
        <v>0.60299999999999998</v>
      </c>
      <c r="H92" s="68">
        <v>0.55300000000000005</v>
      </c>
      <c r="I92" s="68">
        <v>0.61099999999999999</v>
      </c>
      <c r="J92" s="68">
        <v>0.64700000000000002</v>
      </c>
      <c r="K92" s="68">
        <v>0.65700000000000003</v>
      </c>
      <c r="L92" s="68">
        <v>0.64800000000000002</v>
      </c>
      <c r="M92" s="68">
        <v>0.64300000000000002</v>
      </c>
      <c r="N92" s="68">
        <v>0.65600000000000003</v>
      </c>
      <c r="O92" s="68">
        <v>0.56000000000000005</v>
      </c>
      <c r="P92" s="68">
        <v>0.54400000000000004</v>
      </c>
      <c r="Q92" s="68">
        <v>0.55600000000000005</v>
      </c>
      <c r="R92" s="68">
        <v>0.59299999999999997</v>
      </c>
      <c r="S92" s="68">
        <v>0.61099999999999999</v>
      </c>
      <c r="T92" s="68">
        <v>0.65600000000000003</v>
      </c>
      <c r="U92" s="68">
        <v>0.54800000000000004</v>
      </c>
      <c r="V92" s="68">
        <v>0.54300000000000004</v>
      </c>
      <c r="W92" s="68">
        <v>0.63</v>
      </c>
      <c r="X92" s="68">
        <v>0.64800000000000002</v>
      </c>
      <c r="Y92" s="68">
        <v>0.65800000000000003</v>
      </c>
      <c r="Z92" s="68">
        <v>0.72499999999999998</v>
      </c>
      <c r="AA92" s="68">
        <v>0.55900000000000005</v>
      </c>
      <c r="AB92" s="68">
        <v>0.69</v>
      </c>
      <c r="AC92" s="68">
        <v>0.74199999999999999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3">F31</f>
        <v>7</v>
      </c>
      <c r="G93" s="65">
        <f t="shared" si="23"/>
        <v>6</v>
      </c>
      <c r="H93" s="65">
        <f t="shared" si="23"/>
        <v>5.5</v>
      </c>
      <c r="I93" s="65">
        <f t="shared" si="23"/>
        <v>4.4000000000000004</v>
      </c>
      <c r="J93" s="65">
        <f t="shared" si="23"/>
        <v>5</v>
      </c>
      <c r="K93" s="65">
        <f t="shared" si="23"/>
        <v>6.3</v>
      </c>
      <c r="L93" s="65">
        <f t="shared" si="23"/>
        <v>10.8</v>
      </c>
      <c r="M93" s="65">
        <f t="shared" si="23"/>
        <v>9</v>
      </c>
      <c r="N93" s="65">
        <f t="shared" si="23"/>
        <v>11</v>
      </c>
      <c r="O93" s="65">
        <f t="shared" si="23"/>
        <v>10.8</v>
      </c>
      <c r="P93" s="65">
        <f t="shared" si="23"/>
        <v>10.9</v>
      </c>
      <c r="Q93" s="65">
        <f t="shared" si="23"/>
        <v>13.5</v>
      </c>
      <c r="R93" s="65">
        <f t="shared" si="23"/>
        <v>13.54</v>
      </c>
      <c r="S93" s="65">
        <f t="shared" si="23"/>
        <v>13.8</v>
      </c>
      <c r="T93" s="65">
        <f t="shared" si="23"/>
        <v>14.3</v>
      </c>
      <c r="U93" s="65">
        <f t="shared" si="23"/>
        <v>14.2</v>
      </c>
      <c r="V93" s="65">
        <f t="shared" si="23"/>
        <v>13.6</v>
      </c>
      <c r="W93" s="65">
        <f t="shared" si="23"/>
        <v>13.4</v>
      </c>
      <c r="X93" s="65">
        <f t="shared" si="23"/>
        <v>10.8</v>
      </c>
      <c r="Y93" s="65">
        <f t="shared" si="23"/>
        <v>16.2</v>
      </c>
      <c r="Z93" s="65">
        <f t="shared" si="23"/>
        <v>13.8</v>
      </c>
      <c r="AA93" s="65">
        <f t="shared" si="23"/>
        <v>10.7</v>
      </c>
      <c r="AB93" s="65">
        <f t="shared" si="23"/>
        <v>10.8</v>
      </c>
      <c r="AC93" s="65">
        <f t="shared" si="23"/>
        <v>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0.16500000000000001</v>
      </c>
      <c r="G94" s="68">
        <v>7.0000000000000007E-2</v>
      </c>
      <c r="H94" s="68">
        <v>8.5999999999999993E-2</v>
      </c>
      <c r="I94" s="68">
        <v>7.2999999999999995E-2</v>
      </c>
      <c r="J94" s="68">
        <v>8.2000000000000003E-2</v>
      </c>
      <c r="K94" s="68">
        <v>0</v>
      </c>
      <c r="L94" s="68">
        <v>0.17599999999999999</v>
      </c>
      <c r="M94" s="68">
        <v>0.20599999999999999</v>
      </c>
      <c r="N94" s="68">
        <v>0.185</v>
      </c>
      <c r="O94" s="68">
        <v>0.18</v>
      </c>
      <c r="P94" s="68">
        <v>0.17299999999999999</v>
      </c>
      <c r="Q94" s="68">
        <v>0.17299999999999999</v>
      </c>
      <c r="R94" s="68">
        <v>0.252</v>
      </c>
      <c r="S94" s="68">
        <v>0.18</v>
      </c>
      <c r="T94" s="68">
        <v>0.17399999999999999</v>
      </c>
      <c r="U94" s="68">
        <v>0.16500000000000001</v>
      </c>
      <c r="V94" s="68">
        <v>0.19500000000000001</v>
      </c>
      <c r="W94" s="68">
        <v>0.187</v>
      </c>
      <c r="X94" s="68">
        <v>0.20499999999999999</v>
      </c>
      <c r="Y94" s="68">
        <v>0.21</v>
      </c>
      <c r="Z94" s="68">
        <v>0.2</v>
      </c>
      <c r="AA94" s="68">
        <v>0.21299999999999999</v>
      </c>
      <c r="AB94" s="68">
        <v>0.218</v>
      </c>
      <c r="AC94" s="68"/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0.2014</v>
      </c>
      <c r="G95" s="68">
        <v>0.1951</v>
      </c>
      <c r="H95" s="68">
        <v>0.19589999999999999</v>
      </c>
      <c r="I95" s="68">
        <v>0.19020000000000001</v>
      </c>
      <c r="J95" s="68">
        <v>0.20050000000000001</v>
      </c>
      <c r="K95" s="68">
        <v>0.23400000000000001</v>
      </c>
      <c r="L95" s="68">
        <v>0.26429999999999998</v>
      </c>
      <c r="M95" s="68">
        <v>0.23</v>
      </c>
      <c r="N95" s="68">
        <v>0.26340000000000002</v>
      </c>
      <c r="O95" s="68">
        <v>0.2145</v>
      </c>
      <c r="P95" s="68">
        <v>0.21079999999999999</v>
      </c>
      <c r="Q95" s="68">
        <v>0.38640000000000002</v>
      </c>
      <c r="R95" s="68">
        <v>0.36</v>
      </c>
      <c r="S95" s="68">
        <v>0.37059999999999998</v>
      </c>
      <c r="T95" s="68">
        <v>0.376</v>
      </c>
      <c r="U95" s="68">
        <v>0.37030000000000002</v>
      </c>
      <c r="V95" s="68">
        <v>0.37659999999999999</v>
      </c>
      <c r="W95" s="68">
        <v>0.3745</v>
      </c>
      <c r="X95" s="68">
        <v>0.25019999999999998</v>
      </c>
      <c r="Y95" s="68">
        <v>0.36080000000000001</v>
      </c>
      <c r="Z95" s="68">
        <v>0.3584</v>
      </c>
      <c r="AA95" s="68">
        <v>0.37069999999999997</v>
      </c>
      <c r="AB95" s="68">
        <v>0.2107</v>
      </c>
      <c r="AC95" s="68">
        <v>0.21690000000000001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4">F34</f>
        <v>14.22</v>
      </c>
      <c r="G96" s="65">
        <f t="shared" si="24"/>
        <v>14.24</v>
      </c>
      <c r="H96" s="65">
        <f t="shared" si="24"/>
        <v>14.25</v>
      </c>
      <c r="I96" s="65">
        <f t="shared" si="24"/>
        <v>13.8</v>
      </c>
      <c r="J96" s="65">
        <f t="shared" si="24"/>
        <v>13.27</v>
      </c>
      <c r="K96" s="65">
        <f t="shared" si="24"/>
        <v>14.26</v>
      </c>
      <c r="L96" s="65">
        <f t="shared" si="24"/>
        <v>14.21</v>
      </c>
      <c r="M96" s="65">
        <f t="shared" si="24"/>
        <v>14.28</v>
      </c>
      <c r="N96" s="65">
        <f t="shared" si="24"/>
        <v>14.29</v>
      </c>
      <c r="O96" s="65">
        <f t="shared" si="24"/>
        <v>14.28</v>
      </c>
      <c r="P96" s="65">
        <f t="shared" si="24"/>
        <v>14.26</v>
      </c>
      <c r="Q96" s="65">
        <f t="shared" si="24"/>
        <v>14.27</v>
      </c>
      <c r="R96" s="65">
        <f t="shared" si="24"/>
        <v>14.27</v>
      </c>
      <c r="S96" s="65">
        <f t="shared" si="24"/>
        <v>14.26</v>
      </c>
      <c r="T96" s="65">
        <f t="shared" si="24"/>
        <v>14.26</v>
      </c>
      <c r="U96" s="65">
        <f t="shared" si="24"/>
        <v>14.25</v>
      </c>
      <c r="V96" s="65">
        <f t="shared" si="24"/>
        <v>14.27</v>
      </c>
      <c r="W96" s="65">
        <f t="shared" si="24"/>
        <v>14.26</v>
      </c>
      <c r="X96" s="65">
        <f t="shared" si="24"/>
        <v>14.26</v>
      </c>
      <c r="Y96" s="65">
        <f t="shared" si="24"/>
        <v>14.27</v>
      </c>
      <c r="Z96" s="65">
        <f t="shared" si="24"/>
        <v>14.26</v>
      </c>
      <c r="AA96" s="65">
        <f t="shared" si="24"/>
        <v>14.22</v>
      </c>
      <c r="AB96" s="65">
        <f t="shared" si="24"/>
        <v>14.26</v>
      </c>
      <c r="AC96" s="65">
        <f t="shared" si="24"/>
        <v>14.29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0.78</v>
      </c>
      <c r="G97" s="68">
        <v>0.76</v>
      </c>
      <c r="H97" s="68">
        <v>0.75</v>
      </c>
      <c r="I97" s="68">
        <v>0.7</v>
      </c>
      <c r="J97" s="68">
        <v>0.73</v>
      </c>
      <c r="K97" s="68">
        <v>0.74</v>
      </c>
      <c r="L97" s="68">
        <v>0.79</v>
      </c>
      <c r="M97" s="68">
        <v>0.72</v>
      </c>
      <c r="N97" s="68">
        <v>0.71</v>
      </c>
      <c r="O97" s="68">
        <v>0.72</v>
      </c>
      <c r="P97" s="68">
        <v>0.74</v>
      </c>
      <c r="Q97" s="68">
        <v>0.73</v>
      </c>
      <c r="R97" s="68">
        <v>0.73</v>
      </c>
      <c r="S97" s="68">
        <v>0.74</v>
      </c>
      <c r="T97" s="68">
        <v>0.74</v>
      </c>
      <c r="U97" s="68">
        <v>0.75</v>
      </c>
      <c r="V97" s="68">
        <v>0.73</v>
      </c>
      <c r="W97" s="68">
        <v>0.74</v>
      </c>
      <c r="X97" s="68">
        <v>0.74</v>
      </c>
      <c r="Y97" s="68">
        <v>0.73</v>
      </c>
      <c r="Z97" s="68">
        <v>0.74</v>
      </c>
      <c r="AA97" s="68">
        <v>0.78</v>
      </c>
      <c r="AB97" s="68">
        <v>0.74</v>
      </c>
      <c r="AC97" s="68">
        <v>0.71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5">F60</f>
        <v>0</v>
      </c>
      <c r="G98" s="64">
        <f t="shared" si="25"/>
        <v>0</v>
      </c>
      <c r="H98" s="64">
        <f t="shared" si="25"/>
        <v>0</v>
      </c>
      <c r="I98" s="64">
        <f t="shared" si="25"/>
        <v>0</v>
      </c>
      <c r="J98" s="64">
        <f t="shared" si="25"/>
        <v>0</v>
      </c>
      <c r="K98" s="64">
        <f t="shared" si="25"/>
        <v>0</v>
      </c>
      <c r="L98" s="64">
        <f t="shared" si="25"/>
        <v>0.8</v>
      </c>
      <c r="M98" s="64">
        <f t="shared" si="25"/>
        <v>0</v>
      </c>
      <c r="N98" s="64">
        <f t="shared" si="25"/>
        <v>2.04</v>
      </c>
      <c r="O98" s="64">
        <f t="shared" si="25"/>
        <v>0</v>
      </c>
      <c r="P98" s="64">
        <f t="shared" si="25"/>
        <v>3.9000000000000004</v>
      </c>
      <c r="Q98" s="64">
        <f t="shared" si="25"/>
        <v>2.2999999999999998</v>
      </c>
      <c r="R98" s="64">
        <f t="shared" si="25"/>
        <v>3.1000000000000005</v>
      </c>
      <c r="S98" s="64">
        <f t="shared" si="25"/>
        <v>3.1000000000000005</v>
      </c>
      <c r="T98" s="64">
        <f t="shared" si="25"/>
        <v>4.7</v>
      </c>
      <c r="U98" s="64">
        <f t="shared" si="25"/>
        <v>4.7</v>
      </c>
      <c r="V98" s="64">
        <f t="shared" si="25"/>
        <v>4.6000000000000005</v>
      </c>
      <c r="W98" s="64">
        <f t="shared" si="25"/>
        <v>3.1000000000000005</v>
      </c>
      <c r="X98" s="64">
        <f t="shared" si="25"/>
        <v>3.9000000000000004</v>
      </c>
      <c r="Y98" s="64">
        <f t="shared" si="25"/>
        <v>1.5</v>
      </c>
      <c r="Z98" s="64">
        <f t="shared" si="25"/>
        <v>0.8</v>
      </c>
      <c r="AA98" s="64">
        <f t="shared" si="25"/>
        <v>0</v>
      </c>
      <c r="AB98" s="64">
        <f t="shared" si="25"/>
        <v>0</v>
      </c>
      <c r="AC98" s="64">
        <f t="shared" si="2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6">F65</f>
        <v>0.89</v>
      </c>
      <c r="G99" s="64">
        <f t="shared" si="26"/>
        <v>0.81</v>
      </c>
      <c r="H99" s="64">
        <f t="shared" si="26"/>
        <v>0.79</v>
      </c>
      <c r="I99" s="64">
        <f t="shared" si="26"/>
        <v>0.78</v>
      </c>
      <c r="J99" s="64">
        <f t="shared" si="26"/>
        <v>0.78</v>
      </c>
      <c r="K99" s="64">
        <f t="shared" si="26"/>
        <v>0.93</v>
      </c>
      <c r="L99" s="64">
        <f t="shared" si="26"/>
        <v>1.21</v>
      </c>
      <c r="M99" s="64">
        <f t="shared" si="26"/>
        <v>1.17</v>
      </c>
      <c r="N99" s="64">
        <f t="shared" si="26"/>
        <v>1.1000000000000001</v>
      </c>
      <c r="O99" s="64">
        <f t="shared" si="26"/>
        <v>1.1200000000000001</v>
      </c>
      <c r="P99" s="64">
        <f t="shared" si="26"/>
        <v>1.23</v>
      </c>
      <c r="Q99" s="64">
        <f t="shared" si="26"/>
        <v>1.25</v>
      </c>
      <c r="R99" s="64">
        <f t="shared" si="26"/>
        <v>1.32</v>
      </c>
      <c r="S99" s="64">
        <f t="shared" si="26"/>
        <v>1.32</v>
      </c>
      <c r="T99" s="64">
        <f t="shared" si="26"/>
        <v>1.37</v>
      </c>
      <c r="U99" s="64">
        <f t="shared" si="26"/>
        <v>1.36</v>
      </c>
      <c r="V99" s="64">
        <f t="shared" si="26"/>
        <v>1.3</v>
      </c>
      <c r="W99" s="64">
        <f t="shared" si="26"/>
        <v>1.3</v>
      </c>
      <c r="X99" s="64">
        <f t="shared" si="26"/>
        <v>1.18</v>
      </c>
      <c r="Y99" s="64">
        <f t="shared" si="26"/>
        <v>1.4</v>
      </c>
      <c r="Z99" s="64">
        <f t="shared" si="26"/>
        <v>1.44</v>
      </c>
      <c r="AA99" s="64">
        <f t="shared" si="26"/>
        <v>1.26</v>
      </c>
      <c r="AB99" s="64">
        <f t="shared" si="26"/>
        <v>1.17</v>
      </c>
      <c r="AC99" s="64">
        <f t="shared" si="26"/>
        <v>1.08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7">F76</f>
        <v>0</v>
      </c>
      <c r="G100" s="64">
        <f t="shared" si="27"/>
        <v>0</v>
      </c>
      <c r="H100" s="64">
        <f t="shared" si="27"/>
        <v>0</v>
      </c>
      <c r="I100" s="64">
        <f t="shared" si="27"/>
        <v>0</v>
      </c>
      <c r="J100" s="64">
        <f t="shared" si="27"/>
        <v>0</v>
      </c>
      <c r="K100" s="64">
        <f t="shared" si="27"/>
        <v>0</v>
      </c>
      <c r="L100" s="64">
        <f t="shared" si="27"/>
        <v>0</v>
      </c>
      <c r="M100" s="64">
        <f t="shared" si="27"/>
        <v>0</v>
      </c>
      <c r="N100" s="64">
        <f t="shared" si="27"/>
        <v>0</v>
      </c>
      <c r="O100" s="64">
        <f t="shared" si="27"/>
        <v>0</v>
      </c>
      <c r="P100" s="64">
        <f t="shared" si="27"/>
        <v>0</v>
      </c>
      <c r="Q100" s="64">
        <f t="shared" si="27"/>
        <v>0</v>
      </c>
      <c r="R100" s="64">
        <f t="shared" si="27"/>
        <v>0</v>
      </c>
      <c r="S100" s="64">
        <f t="shared" si="27"/>
        <v>0</v>
      </c>
      <c r="T100" s="64">
        <f t="shared" si="27"/>
        <v>0</v>
      </c>
      <c r="U100" s="64">
        <f t="shared" si="27"/>
        <v>0</v>
      </c>
      <c r="V100" s="64">
        <f t="shared" si="27"/>
        <v>0</v>
      </c>
      <c r="W100" s="64">
        <f t="shared" si="27"/>
        <v>0</v>
      </c>
      <c r="X100" s="64">
        <f t="shared" si="27"/>
        <v>0</v>
      </c>
      <c r="Y100" s="64">
        <f t="shared" si="27"/>
        <v>0</v>
      </c>
      <c r="Z100" s="64">
        <f t="shared" si="27"/>
        <v>0</v>
      </c>
      <c r="AA100" s="64">
        <f t="shared" si="27"/>
        <v>0</v>
      </c>
      <c r="AB100" s="64">
        <f t="shared" si="27"/>
        <v>0</v>
      </c>
      <c r="AC100" s="64">
        <f t="shared" si="2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8">F80</f>
        <v>0.75</v>
      </c>
      <c r="G101" s="64">
        <f t="shared" si="28"/>
        <v>0.71</v>
      </c>
      <c r="H101" s="64">
        <f t="shared" si="28"/>
        <v>0.7</v>
      </c>
      <c r="I101" s="64">
        <f t="shared" si="28"/>
        <v>0.68</v>
      </c>
      <c r="J101" s="64">
        <f t="shared" si="28"/>
        <v>0.67</v>
      </c>
      <c r="K101" s="64">
        <f t="shared" si="28"/>
        <v>0.71</v>
      </c>
      <c r="L101" s="64">
        <f t="shared" si="28"/>
        <v>0.81</v>
      </c>
      <c r="M101" s="64">
        <f t="shared" si="28"/>
        <v>0.77</v>
      </c>
      <c r="N101" s="64">
        <f t="shared" si="28"/>
        <v>0.73</v>
      </c>
      <c r="O101" s="64">
        <f t="shared" si="28"/>
        <v>0.76</v>
      </c>
      <c r="P101" s="64">
        <f t="shared" si="28"/>
        <v>0.82</v>
      </c>
      <c r="Q101" s="64">
        <f t="shared" si="28"/>
        <v>0.83</v>
      </c>
      <c r="R101" s="64">
        <f t="shared" si="28"/>
        <v>0.85</v>
      </c>
      <c r="S101" s="64">
        <f t="shared" si="28"/>
        <v>0.83</v>
      </c>
      <c r="T101" s="64">
        <f t="shared" si="28"/>
        <v>0.85</v>
      </c>
      <c r="U101" s="64">
        <f t="shared" si="28"/>
        <v>0.86</v>
      </c>
      <c r="V101" s="64">
        <f t="shared" si="28"/>
        <v>0.88</v>
      </c>
      <c r="W101" s="64">
        <f t="shared" si="28"/>
        <v>0.88</v>
      </c>
      <c r="X101" s="64">
        <f t="shared" si="28"/>
        <v>0.85</v>
      </c>
      <c r="Y101" s="64">
        <f t="shared" si="28"/>
        <v>0.97</v>
      </c>
      <c r="Z101" s="64">
        <f t="shared" si="28"/>
        <v>1.02</v>
      </c>
      <c r="AA101" s="64">
        <f t="shared" si="28"/>
        <v>0.97</v>
      </c>
      <c r="AB101" s="64">
        <f t="shared" si="28"/>
        <v>0.92</v>
      </c>
      <c r="AC101" s="64">
        <f t="shared" si="28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29">F82</f>
        <v>0</v>
      </c>
      <c r="G102" s="64">
        <f t="shared" si="29"/>
        <v>0</v>
      </c>
      <c r="H102" s="64">
        <f t="shared" si="29"/>
        <v>0</v>
      </c>
      <c r="I102" s="64">
        <f t="shared" si="29"/>
        <v>0</v>
      </c>
      <c r="J102" s="64">
        <f t="shared" si="29"/>
        <v>0</v>
      </c>
      <c r="K102" s="64">
        <f t="shared" si="29"/>
        <v>0</v>
      </c>
      <c r="L102" s="64">
        <f t="shared" si="29"/>
        <v>0</v>
      </c>
      <c r="M102" s="64">
        <f t="shared" si="29"/>
        <v>0</v>
      </c>
      <c r="N102" s="64">
        <f t="shared" si="29"/>
        <v>0</v>
      </c>
      <c r="O102" s="64">
        <f t="shared" si="29"/>
        <v>0</v>
      </c>
      <c r="P102" s="64">
        <f t="shared" si="29"/>
        <v>0</v>
      </c>
      <c r="Q102" s="64">
        <f t="shared" si="29"/>
        <v>0</v>
      </c>
      <c r="R102" s="64">
        <f t="shared" si="29"/>
        <v>0</v>
      </c>
      <c r="S102" s="64">
        <f t="shared" si="29"/>
        <v>0</v>
      </c>
      <c r="T102" s="64">
        <f t="shared" si="29"/>
        <v>0</v>
      </c>
      <c r="U102" s="64">
        <f t="shared" si="29"/>
        <v>0</v>
      </c>
      <c r="V102" s="64">
        <f t="shared" si="29"/>
        <v>0</v>
      </c>
      <c r="W102" s="64">
        <f t="shared" si="29"/>
        <v>0</v>
      </c>
      <c r="X102" s="64">
        <f t="shared" si="29"/>
        <v>0</v>
      </c>
      <c r="Y102" s="64">
        <f t="shared" si="29"/>
        <v>0</v>
      </c>
      <c r="Z102" s="64">
        <f t="shared" si="29"/>
        <v>0</v>
      </c>
      <c r="AA102" s="64">
        <f t="shared" si="29"/>
        <v>0</v>
      </c>
      <c r="AB102" s="64">
        <f t="shared" si="29"/>
        <v>0</v>
      </c>
      <c r="AC102" s="64">
        <f t="shared" si="2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0">SUM(F89,F91,F93,F96,F98:F102,F81)</f>
        <v>36.46</v>
      </c>
      <c r="G103" s="61">
        <f t="shared" si="30"/>
        <v>34.860000000000007</v>
      </c>
      <c r="H103" s="61">
        <f t="shared" si="30"/>
        <v>34.54</v>
      </c>
      <c r="I103" s="61">
        <f t="shared" si="30"/>
        <v>33.26</v>
      </c>
      <c r="J103" s="61">
        <f t="shared" si="30"/>
        <v>33.119999999999997</v>
      </c>
      <c r="K103" s="61">
        <f t="shared" si="30"/>
        <v>35.799999999999997</v>
      </c>
      <c r="L103" s="61">
        <f t="shared" si="30"/>
        <v>41.830000000000005</v>
      </c>
      <c r="M103" s="61">
        <f t="shared" si="30"/>
        <v>38.720000000000006</v>
      </c>
      <c r="N103" s="61">
        <f t="shared" si="30"/>
        <v>44.46</v>
      </c>
      <c r="O103" s="61">
        <f t="shared" si="30"/>
        <v>51.059999999999995</v>
      </c>
      <c r="P103" s="61">
        <f t="shared" si="30"/>
        <v>58.41</v>
      </c>
      <c r="Q103" s="61">
        <f t="shared" si="30"/>
        <v>57.449999999999989</v>
      </c>
      <c r="R103" s="61">
        <f t="shared" si="30"/>
        <v>58.38</v>
      </c>
      <c r="S103" s="61">
        <f t="shared" si="30"/>
        <v>59.21</v>
      </c>
      <c r="T103" s="61">
        <f t="shared" si="30"/>
        <v>61.38</v>
      </c>
      <c r="U103" s="61">
        <f t="shared" si="30"/>
        <v>61.27</v>
      </c>
      <c r="V103" s="61">
        <f t="shared" si="30"/>
        <v>60.55</v>
      </c>
      <c r="W103" s="61">
        <f t="shared" si="30"/>
        <v>57.44</v>
      </c>
      <c r="X103" s="61">
        <f t="shared" si="30"/>
        <v>57.39</v>
      </c>
      <c r="Y103" s="61">
        <f t="shared" si="30"/>
        <v>60.739999999999988</v>
      </c>
      <c r="Z103" s="61">
        <f t="shared" si="30"/>
        <v>58.019999999999996</v>
      </c>
      <c r="AA103" s="61">
        <f t="shared" si="30"/>
        <v>53.54999999999999</v>
      </c>
      <c r="AB103" s="61">
        <f t="shared" si="30"/>
        <v>48.65</v>
      </c>
      <c r="AC103" s="61">
        <f t="shared" si="30"/>
        <v>45.32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>
        <v>0.3</v>
      </c>
      <c r="T106" s="76"/>
      <c r="U106" s="76"/>
      <c r="V106" s="76"/>
      <c r="W106" s="76"/>
      <c r="X106" s="536"/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1">SUM(F104:F106)</f>
        <v>0</v>
      </c>
      <c r="G107" s="61">
        <f t="shared" si="31"/>
        <v>0</v>
      </c>
      <c r="H107" s="61">
        <f t="shared" si="31"/>
        <v>0</v>
      </c>
      <c r="I107" s="61">
        <f t="shared" si="31"/>
        <v>0</v>
      </c>
      <c r="J107" s="61">
        <f t="shared" si="31"/>
        <v>0</v>
      </c>
      <c r="K107" s="61">
        <f t="shared" si="31"/>
        <v>0</v>
      </c>
      <c r="L107" s="61">
        <f t="shared" si="31"/>
        <v>0</v>
      </c>
      <c r="M107" s="61">
        <f t="shared" si="31"/>
        <v>0</v>
      </c>
      <c r="N107" s="61">
        <f t="shared" si="31"/>
        <v>0</v>
      </c>
      <c r="O107" s="61">
        <f t="shared" si="31"/>
        <v>0</v>
      </c>
      <c r="P107" s="61">
        <f t="shared" si="31"/>
        <v>0</v>
      </c>
      <c r="Q107" s="61">
        <f t="shared" si="31"/>
        <v>0</v>
      </c>
      <c r="R107" s="61">
        <f t="shared" si="31"/>
        <v>0</v>
      </c>
      <c r="S107" s="61">
        <f t="shared" si="31"/>
        <v>0.3</v>
      </c>
      <c r="T107" s="61">
        <f t="shared" si="31"/>
        <v>0</v>
      </c>
      <c r="U107" s="61">
        <f t="shared" si="31"/>
        <v>0</v>
      </c>
      <c r="V107" s="61">
        <f t="shared" si="31"/>
        <v>0</v>
      </c>
      <c r="W107" s="61">
        <f t="shared" si="31"/>
        <v>0</v>
      </c>
      <c r="X107" s="61">
        <f t="shared" si="31"/>
        <v>0</v>
      </c>
      <c r="Y107" s="61">
        <f t="shared" si="31"/>
        <v>0</v>
      </c>
      <c r="Z107" s="61">
        <f t="shared" si="31"/>
        <v>0</v>
      </c>
      <c r="AA107" s="61">
        <f t="shared" si="31"/>
        <v>0</v>
      </c>
      <c r="AB107" s="61">
        <f t="shared" si="31"/>
        <v>0</v>
      </c>
      <c r="AC107" s="61">
        <f t="shared" si="3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2">F103+F107</f>
        <v>36.46</v>
      </c>
      <c r="G108" s="62">
        <f t="shared" si="32"/>
        <v>34.860000000000007</v>
      </c>
      <c r="H108" s="62">
        <f t="shared" si="32"/>
        <v>34.54</v>
      </c>
      <c r="I108" s="62">
        <f t="shared" si="32"/>
        <v>33.26</v>
      </c>
      <c r="J108" s="62">
        <f t="shared" si="32"/>
        <v>33.119999999999997</v>
      </c>
      <c r="K108" s="62">
        <f t="shared" si="32"/>
        <v>35.799999999999997</v>
      </c>
      <c r="L108" s="62">
        <f t="shared" si="32"/>
        <v>41.830000000000005</v>
      </c>
      <c r="M108" s="62">
        <f t="shared" si="32"/>
        <v>38.720000000000006</v>
      </c>
      <c r="N108" s="62">
        <f>N103+N107</f>
        <v>44.46</v>
      </c>
      <c r="O108" s="62">
        <f t="shared" si="32"/>
        <v>51.059999999999995</v>
      </c>
      <c r="P108" s="62">
        <f>P103+P107</f>
        <v>58.41</v>
      </c>
      <c r="Q108" s="62">
        <f t="shared" si="32"/>
        <v>57.449999999999989</v>
      </c>
      <c r="R108" s="62">
        <f t="shared" si="32"/>
        <v>58.38</v>
      </c>
      <c r="S108" s="62">
        <f t="shared" si="32"/>
        <v>59.51</v>
      </c>
      <c r="T108" s="62">
        <f>T103+T107</f>
        <v>61.38</v>
      </c>
      <c r="U108" s="62">
        <f t="shared" si="32"/>
        <v>61.27</v>
      </c>
      <c r="V108" s="62">
        <f t="shared" si="32"/>
        <v>60.55</v>
      </c>
      <c r="W108" s="62">
        <f>W103+W107</f>
        <v>57.44</v>
      </c>
      <c r="X108" s="62">
        <f t="shared" si="32"/>
        <v>57.39</v>
      </c>
      <c r="Y108" s="62">
        <f t="shared" si="32"/>
        <v>60.739999999999988</v>
      </c>
      <c r="Z108" s="62">
        <f t="shared" si="32"/>
        <v>58.019999999999996</v>
      </c>
      <c r="AA108" s="62">
        <f t="shared" si="32"/>
        <v>53.54999999999999</v>
      </c>
      <c r="AB108" s="62">
        <f t="shared" si="32"/>
        <v>48.65</v>
      </c>
      <c r="AC108" s="62">
        <f t="shared" si="32"/>
        <v>45.32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3">(COUNT(F13:F16))*7.2+(COUNT(F27:F28)*4.9)+(COUNT(F19:F21)*4.5)-F91-F93</f>
        <v>-1.2999999999999989</v>
      </c>
      <c r="G109" s="63">
        <f t="shared" si="33"/>
        <v>-4.6999999999999993</v>
      </c>
      <c r="H109" s="63">
        <f t="shared" si="33"/>
        <v>-4.4000000000000004</v>
      </c>
      <c r="I109" s="63">
        <f t="shared" si="33"/>
        <v>3.5999999999999996</v>
      </c>
      <c r="J109" s="63">
        <f t="shared" si="33"/>
        <v>-4</v>
      </c>
      <c r="K109" s="63">
        <f t="shared" si="33"/>
        <v>-5.4999999999999991</v>
      </c>
      <c r="L109" s="63">
        <f t="shared" si="33"/>
        <v>-5.5</v>
      </c>
      <c r="M109" s="63">
        <f t="shared" si="33"/>
        <v>-3.1999999999999993</v>
      </c>
      <c r="N109" s="63">
        <f t="shared" si="33"/>
        <v>0.19999999999999929</v>
      </c>
      <c r="O109" s="63">
        <f t="shared" si="33"/>
        <v>0.40000000000000213</v>
      </c>
      <c r="P109" s="63">
        <f t="shared" si="33"/>
        <v>-0.6000000000000032</v>
      </c>
      <c r="Q109" s="63">
        <f t="shared" si="33"/>
        <v>-2</v>
      </c>
      <c r="R109" s="63">
        <f t="shared" si="33"/>
        <v>2.8600000000000065</v>
      </c>
      <c r="S109" s="63">
        <f t="shared" si="33"/>
        <v>-2.9000000000000021</v>
      </c>
      <c r="T109" s="63">
        <f t="shared" si="33"/>
        <v>-3.4000000000000021</v>
      </c>
      <c r="U109" s="63">
        <f t="shared" si="33"/>
        <v>-3.3000000000000007</v>
      </c>
      <c r="V109" s="63">
        <f t="shared" si="33"/>
        <v>-2.7000000000000011</v>
      </c>
      <c r="W109" s="63">
        <f t="shared" si="33"/>
        <v>-1.9000000000000004</v>
      </c>
      <c r="X109" s="63">
        <f t="shared" si="33"/>
        <v>0.40000000000000213</v>
      </c>
      <c r="Y109" s="63">
        <f t="shared" si="33"/>
        <v>-4.9999999999999964</v>
      </c>
      <c r="Z109" s="63">
        <f t="shared" si="33"/>
        <v>-2.9000000000000021</v>
      </c>
      <c r="AA109" s="63">
        <f t="shared" si="33"/>
        <v>0.50000000000000355</v>
      </c>
      <c r="AB109" s="63">
        <f t="shared" si="33"/>
        <v>0.69999999999999929</v>
      </c>
      <c r="AC109" s="63">
        <f t="shared" si="33"/>
        <v>-2.6000000000000014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-2.6999999999999993</v>
      </c>
      <c r="G110" s="205">
        <f t="shared" si="34"/>
        <v>-4.6999999999999993</v>
      </c>
      <c r="H110" s="205">
        <f t="shared" si="34"/>
        <v>-4.4000000000000004</v>
      </c>
      <c r="I110" s="205">
        <f t="shared" si="34"/>
        <v>3.5999999999999996</v>
      </c>
      <c r="J110" s="205">
        <f t="shared" si="34"/>
        <v>-4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-5.4999999999999991</v>
      </c>
      <c r="L110" s="205">
        <f t="shared" si="34"/>
        <v>-5.5</v>
      </c>
      <c r="M110" s="205">
        <f t="shared" si="34"/>
        <v>-3.1999999999999993</v>
      </c>
      <c r="N110" s="205">
        <f t="shared" si="34"/>
        <v>0.20000000000000107</v>
      </c>
      <c r="O110" s="205">
        <f t="shared" si="34"/>
        <v>-0.39999999999999591</v>
      </c>
      <c r="P110" s="205">
        <f t="shared" si="34"/>
        <v>-3.7000000000000011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-4.299999999999998</v>
      </c>
      <c r="R110" s="205">
        <f t="shared" ref="R110:AC110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-0.23999999999999755</v>
      </c>
      <c r="S110" s="205">
        <f t="shared" si="35"/>
        <v>-5.6000000000000005</v>
      </c>
      <c r="T110" s="205">
        <f t="shared" si="35"/>
        <v>-6.1000000000000005</v>
      </c>
      <c r="U110" s="205">
        <f t="shared" si="35"/>
        <v>-5.9999999999999991</v>
      </c>
      <c r="V110" s="205">
        <f t="shared" si="35"/>
        <v>-5.3999999999999995</v>
      </c>
      <c r="W110" s="205">
        <f t="shared" si="35"/>
        <v>-3.7999999999999989</v>
      </c>
      <c r="X110" s="205">
        <f t="shared" si="35"/>
        <v>-3.0999999999999961</v>
      </c>
      <c r="Y110" s="205">
        <f t="shared" si="35"/>
        <v>-8.4999999999999964</v>
      </c>
      <c r="Z110" s="205">
        <f t="shared" si="35"/>
        <v>-6.4</v>
      </c>
      <c r="AA110" s="205">
        <f t="shared" si="35"/>
        <v>-2.9999999999999947</v>
      </c>
      <c r="AB110" s="205">
        <f t="shared" si="35"/>
        <v>-2.6999999999999993</v>
      </c>
      <c r="AC110" s="205">
        <f t="shared" si="35"/>
        <v>-3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60.05</v>
      </c>
      <c r="G111" s="456">
        <v>60.16</v>
      </c>
      <c r="H111" s="456">
        <v>60.16</v>
      </c>
      <c r="I111" s="456">
        <v>60.13</v>
      </c>
      <c r="J111" s="456">
        <v>60.09</v>
      </c>
      <c r="K111" s="456">
        <v>60.04</v>
      </c>
      <c r="L111" s="456">
        <v>60.04</v>
      </c>
      <c r="M111" s="456">
        <v>60.06</v>
      </c>
      <c r="N111" s="456">
        <v>60.16</v>
      </c>
      <c r="O111" s="456">
        <v>60.12</v>
      </c>
      <c r="P111" s="456">
        <v>60.06</v>
      </c>
      <c r="Q111" s="456">
        <v>60.19</v>
      </c>
      <c r="R111" s="456">
        <v>60.14</v>
      </c>
      <c r="S111" s="456">
        <v>60.08</v>
      </c>
      <c r="T111" s="456">
        <v>60.1</v>
      </c>
      <c r="U111" s="456">
        <v>60.1</v>
      </c>
      <c r="V111" s="456">
        <v>60.05</v>
      </c>
      <c r="W111" s="456">
        <v>60.2</v>
      </c>
      <c r="X111" s="456">
        <v>60.15</v>
      </c>
      <c r="Y111" s="456">
        <v>60.13</v>
      </c>
      <c r="Z111" s="456">
        <v>60.17</v>
      </c>
      <c r="AA111" s="456">
        <v>60.12</v>
      </c>
      <c r="AB111" s="456">
        <v>60.21</v>
      </c>
      <c r="AC111" s="456">
        <v>60.14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73" t="s">
        <v>100</v>
      </c>
      <c r="M115" s="73" t="s">
        <v>100</v>
      </c>
      <c r="N115" s="73" t="s">
        <v>100</v>
      </c>
      <c r="O115" s="73" t="s">
        <v>100</v>
      </c>
      <c r="P115" s="73" t="s">
        <v>100</v>
      </c>
      <c r="Q115" s="73" t="s">
        <v>100</v>
      </c>
      <c r="R115" s="73" t="s">
        <v>100</v>
      </c>
      <c r="S115" s="73" t="s">
        <v>100</v>
      </c>
      <c r="T115" s="73" t="s">
        <v>101</v>
      </c>
      <c r="U115" s="73" t="s">
        <v>101</v>
      </c>
      <c r="V115" s="73" t="s">
        <v>101</v>
      </c>
      <c r="W115" s="73" t="s">
        <v>101</v>
      </c>
      <c r="X115" s="73" t="s">
        <v>101</v>
      </c>
      <c r="Y115" s="73" t="s">
        <v>101</v>
      </c>
      <c r="Z115" s="73" t="s">
        <v>101</v>
      </c>
      <c r="AA115" s="73" t="s">
        <v>101</v>
      </c>
      <c r="AB115" s="520" t="s">
        <v>101</v>
      </c>
      <c r="AC115" s="520" t="s">
        <v>101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N13:O13 D42:E42 N36:AC39 N57:AC59 O14:O16 L51:M55 L36:L50 N41:AC46 H36:J59 I15:N15 N16 L13:L14 O52:AA55 H14:K14 P40:AC40 AA62:AC64 I16:L16 L56:L59 P62:Z62 M47:M48 Q64:R64 P63:R63 M50 P13:AC16 AB51:AC56 H62:L64 P51:AA51 P56:AA56 S63:Z64 P47:AC49 O50:AC50">
    <cfRule type="cellIs" dxfId="6215" priority="780" operator="equal">
      <formula>"PMS"</formula>
    </cfRule>
    <cfRule type="containsText" dxfId="6214" priority="781" operator="containsText" text="CMS">
      <formula>NOT(ISERROR(SEARCH("CMS",D13)))</formula>
    </cfRule>
    <cfRule type="cellIs" dxfId="6213" priority="782" operator="equal">
      <formula>0</formula>
    </cfRule>
    <cfRule type="cellIs" dxfId="6212" priority="783" operator="greaterThan">
      <formula>0</formula>
    </cfRule>
    <cfRule type="cellIs" dxfId="6211" priority="784" operator="equal">
      <formula>"PMS"</formula>
    </cfRule>
    <cfRule type="containsText" dxfId="6210" priority="785" operator="containsText" text="CMS">
      <formula>NOT(ISERROR(SEARCH("CMS",D13)))</formula>
    </cfRule>
    <cfRule type="cellIs" dxfId="6209" priority="786" operator="equal">
      <formula>0</formula>
    </cfRule>
    <cfRule type="cellIs" dxfId="6208" priority="787" operator="greaterThan">
      <formula>0</formula>
    </cfRule>
  </conditionalFormatting>
  <conditionalFormatting sqref="H13:J13 N13:O13 D42:E42 N36:AC39 N57:AC59 O14:O16 L51:M55 L36:L50 N41:AC46 H36:J59 I15:N15 N16 L13:L14 O52:AA55 H14:K14 P40:AC40 AA62:AC64 I16:L16 L56:L59 P62:Z62 M47:M48 Q64:R64 P63:R63 M50 P13:AC16 AB51:AC56 H62:L64 P51:AA51 P56:AA56 S63:Z64 P47:AC49 O50:AC50">
    <cfRule type="cellIs" dxfId="6207" priority="776" operator="equal">
      <formula>"PMS"</formula>
    </cfRule>
    <cfRule type="containsText" dxfId="6206" priority="777" operator="containsText" text="CMS">
      <formula>NOT(ISERROR(SEARCH("CMS",D13)))</formula>
    </cfRule>
    <cfRule type="cellIs" dxfId="6205" priority="778" operator="equal">
      <formula>0</formula>
    </cfRule>
    <cfRule type="cellIs" dxfId="6204" priority="779" operator="greaterThan">
      <formula>0</formula>
    </cfRule>
  </conditionalFormatting>
  <conditionalFormatting sqref="G67:AC75">
    <cfRule type="cellIs" dxfId="6203" priority="768" operator="equal">
      <formula>"PMS"</formula>
    </cfRule>
    <cfRule type="containsText" dxfId="6202" priority="769" operator="containsText" text="CMS">
      <formula>NOT(ISERROR(SEARCH("CMS",G67)))</formula>
    </cfRule>
    <cfRule type="cellIs" dxfId="6201" priority="770" operator="equal">
      <formula>0</formula>
    </cfRule>
    <cfRule type="cellIs" dxfId="6200" priority="771" operator="greaterThan">
      <formula>0</formula>
    </cfRule>
    <cfRule type="cellIs" dxfId="6199" priority="772" operator="equal">
      <formula>"PMS"</formula>
    </cfRule>
    <cfRule type="containsText" dxfId="6198" priority="773" operator="containsText" text="CMS">
      <formula>NOT(ISERROR(SEARCH("CMS",G67)))</formula>
    </cfRule>
    <cfRule type="cellIs" dxfId="6197" priority="774" operator="equal">
      <formula>0</formula>
    </cfRule>
    <cfRule type="cellIs" dxfId="6196" priority="775" operator="greaterThan">
      <formula>0</formula>
    </cfRule>
  </conditionalFormatting>
  <conditionalFormatting sqref="G67:AC75">
    <cfRule type="cellIs" dxfId="6195" priority="764" operator="equal">
      <formula>"PMS"</formula>
    </cfRule>
    <cfRule type="containsText" dxfId="6194" priority="765" operator="containsText" text="CMS">
      <formula>NOT(ISERROR(SEARCH("CMS",G67)))</formula>
    </cfRule>
    <cfRule type="cellIs" dxfId="6193" priority="766" operator="equal">
      <formula>0</formula>
    </cfRule>
    <cfRule type="cellIs" dxfId="6192" priority="767" operator="greaterThan">
      <formula>0</formula>
    </cfRule>
  </conditionalFormatting>
  <conditionalFormatting sqref="G82:AC82">
    <cfRule type="cellIs" dxfId="6191" priority="756" operator="equal">
      <formula>"PMS"</formula>
    </cfRule>
    <cfRule type="containsText" dxfId="6190" priority="757" operator="containsText" text="CMS">
      <formula>NOT(ISERROR(SEARCH("CMS",G82)))</formula>
    </cfRule>
    <cfRule type="cellIs" dxfId="6189" priority="758" operator="equal">
      <formula>0</formula>
    </cfRule>
    <cfRule type="cellIs" dxfId="6188" priority="759" operator="greaterThan">
      <formula>0</formula>
    </cfRule>
    <cfRule type="cellIs" dxfId="6187" priority="760" operator="equal">
      <formula>"PMS"</formula>
    </cfRule>
    <cfRule type="containsText" dxfId="6186" priority="761" operator="containsText" text="CMS">
      <formula>NOT(ISERROR(SEARCH("CMS",G82)))</formula>
    </cfRule>
    <cfRule type="cellIs" dxfId="6185" priority="762" operator="equal">
      <formula>0</formula>
    </cfRule>
    <cfRule type="cellIs" dxfId="6184" priority="763" operator="greaterThan">
      <formula>0</formula>
    </cfRule>
  </conditionalFormatting>
  <conditionalFormatting sqref="G82:AC82">
    <cfRule type="cellIs" dxfId="6183" priority="752" operator="equal">
      <formula>"PMS"</formula>
    </cfRule>
    <cfRule type="containsText" dxfId="6182" priority="753" operator="containsText" text="CMS">
      <formula>NOT(ISERROR(SEARCH("CMS",G82)))</formula>
    </cfRule>
    <cfRule type="cellIs" dxfId="6181" priority="754" operator="equal">
      <formula>0</formula>
    </cfRule>
    <cfRule type="cellIs" dxfId="6180" priority="755" operator="greaterThan">
      <formula>0</formula>
    </cfRule>
  </conditionalFormatting>
  <conditionalFormatting sqref="G13">
    <cfRule type="cellIs" dxfId="6179" priority="744" operator="equal">
      <formula>"PMS"</formula>
    </cfRule>
    <cfRule type="containsText" dxfId="6178" priority="745" operator="containsText" text="CMS">
      <formula>NOT(ISERROR(SEARCH("CMS",G13)))</formula>
    </cfRule>
    <cfRule type="cellIs" dxfId="6177" priority="746" operator="equal">
      <formula>0</formula>
    </cfRule>
    <cfRule type="cellIs" dxfId="6176" priority="747" operator="greaterThan">
      <formula>0</formula>
    </cfRule>
    <cfRule type="cellIs" dxfId="6175" priority="748" operator="equal">
      <formula>"PMS"</formula>
    </cfRule>
    <cfRule type="containsText" dxfId="6174" priority="749" operator="containsText" text="CMS">
      <formula>NOT(ISERROR(SEARCH("CMS",G13)))</formula>
    </cfRule>
    <cfRule type="cellIs" dxfId="6173" priority="750" operator="equal">
      <formula>0</formula>
    </cfRule>
    <cfRule type="cellIs" dxfId="6172" priority="751" operator="greaterThan">
      <formula>0</formula>
    </cfRule>
  </conditionalFormatting>
  <conditionalFormatting sqref="G13">
    <cfRule type="cellIs" dxfId="6171" priority="740" operator="equal">
      <formula>"PMS"</formula>
    </cfRule>
    <cfRule type="containsText" dxfId="6170" priority="741" operator="containsText" text="CMS">
      <formula>NOT(ISERROR(SEARCH("CMS",G13)))</formula>
    </cfRule>
    <cfRule type="cellIs" dxfId="6169" priority="742" operator="equal">
      <formula>0</formula>
    </cfRule>
    <cfRule type="cellIs" dxfId="6168" priority="743" operator="greaterThan">
      <formula>0</formula>
    </cfRule>
  </conditionalFormatting>
  <conditionalFormatting sqref="M13">
    <cfRule type="cellIs" dxfId="6167" priority="732" operator="equal">
      <formula>"PMS"</formula>
    </cfRule>
    <cfRule type="containsText" dxfId="6166" priority="733" operator="containsText" text="CMS">
      <formula>NOT(ISERROR(SEARCH("CMS",M13)))</formula>
    </cfRule>
    <cfRule type="cellIs" dxfId="6165" priority="734" operator="equal">
      <formula>0</formula>
    </cfRule>
    <cfRule type="cellIs" dxfId="6164" priority="735" operator="greaterThan">
      <formula>0</formula>
    </cfRule>
    <cfRule type="cellIs" dxfId="6163" priority="736" operator="equal">
      <formula>"PMS"</formula>
    </cfRule>
    <cfRule type="containsText" dxfId="6162" priority="737" operator="containsText" text="CMS">
      <formula>NOT(ISERROR(SEARCH("CMS",M13)))</formula>
    </cfRule>
    <cfRule type="cellIs" dxfId="6161" priority="738" operator="equal">
      <formula>0</formula>
    </cfRule>
    <cfRule type="cellIs" dxfId="6160" priority="739" operator="greaterThan">
      <formula>0</formula>
    </cfRule>
  </conditionalFormatting>
  <conditionalFormatting sqref="M13">
    <cfRule type="cellIs" dxfId="6159" priority="728" operator="equal">
      <formula>"PMS"</formula>
    </cfRule>
    <cfRule type="containsText" dxfId="6158" priority="729" operator="containsText" text="CMS">
      <formula>NOT(ISERROR(SEARCH("CMS",M13)))</formula>
    </cfRule>
    <cfRule type="cellIs" dxfId="6157" priority="730" operator="equal">
      <formula>0</formula>
    </cfRule>
    <cfRule type="cellIs" dxfId="6156" priority="731" operator="greaterThan">
      <formula>0</formula>
    </cfRule>
  </conditionalFormatting>
  <conditionalFormatting sqref="K13">
    <cfRule type="cellIs" dxfId="6155" priority="720" operator="equal">
      <formula>"PMS"</formula>
    </cfRule>
    <cfRule type="containsText" dxfId="6154" priority="721" operator="containsText" text="CMS">
      <formula>NOT(ISERROR(SEARCH("CMS",K13)))</formula>
    </cfRule>
    <cfRule type="cellIs" dxfId="6153" priority="722" operator="equal">
      <formula>0</formula>
    </cfRule>
    <cfRule type="cellIs" dxfId="6152" priority="723" operator="greaterThan">
      <formula>0</formula>
    </cfRule>
    <cfRule type="cellIs" dxfId="6151" priority="724" operator="equal">
      <formula>"PMS"</formula>
    </cfRule>
    <cfRule type="containsText" dxfId="6150" priority="725" operator="containsText" text="CMS">
      <formula>NOT(ISERROR(SEARCH("CMS",K13)))</formula>
    </cfRule>
    <cfRule type="cellIs" dxfId="6149" priority="726" operator="equal">
      <formula>0</formula>
    </cfRule>
    <cfRule type="cellIs" dxfId="6148" priority="727" operator="greaterThan">
      <formula>0</formula>
    </cfRule>
  </conditionalFormatting>
  <conditionalFormatting sqref="K13">
    <cfRule type="cellIs" dxfId="6147" priority="716" operator="equal">
      <formula>"PMS"</formula>
    </cfRule>
    <cfRule type="containsText" dxfId="6146" priority="717" operator="containsText" text="CMS">
      <formula>NOT(ISERROR(SEARCH("CMS",K13)))</formula>
    </cfRule>
    <cfRule type="cellIs" dxfId="6145" priority="718" operator="equal">
      <formula>0</formula>
    </cfRule>
    <cfRule type="cellIs" dxfId="6144" priority="719" operator="greaterThan">
      <formula>0</formula>
    </cfRule>
  </conditionalFormatting>
  <conditionalFormatting sqref="G113:AC113">
    <cfRule type="cellIs" dxfId="6143" priority="715" operator="greaterThan">
      <formula>60.3</formula>
    </cfRule>
  </conditionalFormatting>
  <conditionalFormatting sqref="H112:M112">
    <cfRule type="cellIs" dxfId="6142" priority="714" operator="greaterThan">
      <formula>60.3</formula>
    </cfRule>
  </conditionalFormatting>
  <conditionalFormatting sqref="F112:G112">
    <cfRule type="cellIs" dxfId="6141" priority="713" operator="greaterThan">
      <formula>60.3</formula>
    </cfRule>
  </conditionalFormatting>
  <conditionalFormatting sqref="N112:AC112">
    <cfRule type="cellIs" dxfId="6140" priority="712" operator="greaterThan">
      <formula>60.3</formula>
    </cfRule>
  </conditionalFormatting>
  <conditionalFormatting sqref="G15:G16">
    <cfRule type="cellIs" dxfId="6139" priority="704" operator="equal">
      <formula>"PMS"</formula>
    </cfRule>
    <cfRule type="containsText" dxfId="6138" priority="705" operator="containsText" text="CMS">
      <formula>NOT(ISERROR(SEARCH("CMS",G15)))</formula>
    </cfRule>
    <cfRule type="cellIs" dxfId="6137" priority="706" operator="equal">
      <formula>0</formula>
    </cfRule>
    <cfRule type="cellIs" dxfId="6136" priority="707" operator="greaterThan">
      <formula>0</formula>
    </cfRule>
    <cfRule type="cellIs" dxfId="6135" priority="708" operator="equal">
      <formula>"PMS"</formula>
    </cfRule>
    <cfRule type="containsText" dxfId="6134" priority="709" operator="containsText" text="CMS">
      <formula>NOT(ISERROR(SEARCH("CMS",G15)))</formula>
    </cfRule>
    <cfRule type="cellIs" dxfId="6133" priority="710" operator="equal">
      <formula>0</formula>
    </cfRule>
    <cfRule type="cellIs" dxfId="6132" priority="711" operator="greaterThan">
      <formula>0</formula>
    </cfRule>
  </conditionalFormatting>
  <conditionalFormatting sqref="G15:G16">
    <cfRule type="cellIs" dxfId="6131" priority="700" operator="equal">
      <formula>"PMS"</formula>
    </cfRule>
    <cfRule type="containsText" dxfId="6130" priority="701" operator="containsText" text="CMS">
      <formula>NOT(ISERROR(SEARCH("CMS",G15)))</formula>
    </cfRule>
    <cfRule type="cellIs" dxfId="6129" priority="702" operator="equal">
      <formula>0</formula>
    </cfRule>
    <cfRule type="cellIs" dxfId="6128" priority="703" operator="greaterThan">
      <formula>0</formula>
    </cfRule>
  </conditionalFormatting>
  <conditionalFormatting sqref="G36:G38 G57:G59">
    <cfRule type="cellIs" dxfId="6127" priority="692" operator="equal">
      <formula>"PMS"</formula>
    </cfRule>
    <cfRule type="containsText" dxfId="6126" priority="693" operator="containsText" text="CMS">
      <formula>NOT(ISERROR(SEARCH("CMS",G36)))</formula>
    </cfRule>
    <cfRule type="cellIs" dxfId="6125" priority="694" operator="equal">
      <formula>0</formula>
    </cfRule>
    <cfRule type="cellIs" dxfId="6124" priority="695" operator="greaterThan">
      <formula>0</formula>
    </cfRule>
    <cfRule type="cellIs" dxfId="6123" priority="696" operator="equal">
      <formula>"PMS"</formula>
    </cfRule>
    <cfRule type="containsText" dxfId="6122" priority="697" operator="containsText" text="CMS">
      <formula>NOT(ISERROR(SEARCH("CMS",G36)))</formula>
    </cfRule>
    <cfRule type="cellIs" dxfId="6121" priority="698" operator="equal">
      <formula>0</formula>
    </cfRule>
    <cfRule type="cellIs" dxfId="6120" priority="699" operator="greaterThan">
      <formula>0</formula>
    </cfRule>
  </conditionalFormatting>
  <conditionalFormatting sqref="G36:G38 G57:G59">
    <cfRule type="cellIs" dxfId="6119" priority="688" operator="equal">
      <formula>"PMS"</formula>
    </cfRule>
    <cfRule type="containsText" dxfId="6118" priority="689" operator="containsText" text="CMS">
      <formula>NOT(ISERROR(SEARCH("CMS",G36)))</formula>
    </cfRule>
    <cfRule type="cellIs" dxfId="6117" priority="690" operator="equal">
      <formula>0</formula>
    </cfRule>
    <cfRule type="cellIs" dxfId="6116" priority="691" operator="greaterThan">
      <formula>0</formula>
    </cfRule>
  </conditionalFormatting>
  <conditionalFormatting sqref="M36:M38 M57:M59">
    <cfRule type="cellIs" dxfId="6115" priority="680" operator="equal">
      <formula>"PMS"</formula>
    </cfRule>
    <cfRule type="containsText" dxfId="6114" priority="681" operator="containsText" text="CMS">
      <formula>NOT(ISERROR(SEARCH("CMS",M36)))</formula>
    </cfRule>
    <cfRule type="cellIs" dxfId="6113" priority="682" operator="equal">
      <formula>0</formula>
    </cfRule>
    <cfRule type="cellIs" dxfId="6112" priority="683" operator="greaterThan">
      <formula>0</formula>
    </cfRule>
    <cfRule type="cellIs" dxfId="6111" priority="684" operator="equal">
      <formula>"PMS"</formula>
    </cfRule>
    <cfRule type="containsText" dxfId="6110" priority="685" operator="containsText" text="CMS">
      <formula>NOT(ISERROR(SEARCH("CMS",M36)))</formula>
    </cfRule>
    <cfRule type="cellIs" dxfId="6109" priority="686" operator="equal">
      <formula>0</formula>
    </cfRule>
    <cfRule type="cellIs" dxfId="6108" priority="687" operator="greaterThan">
      <formula>0</formula>
    </cfRule>
  </conditionalFormatting>
  <conditionalFormatting sqref="M36:M38 M57:M59">
    <cfRule type="cellIs" dxfId="6107" priority="676" operator="equal">
      <formula>"PMS"</formula>
    </cfRule>
    <cfRule type="containsText" dxfId="6106" priority="677" operator="containsText" text="CMS">
      <formula>NOT(ISERROR(SEARCH("CMS",M36)))</formula>
    </cfRule>
    <cfRule type="cellIs" dxfId="6105" priority="678" operator="equal">
      <formula>0</formula>
    </cfRule>
    <cfRule type="cellIs" dxfId="6104" priority="679" operator="greaterThan">
      <formula>0</formula>
    </cfRule>
  </conditionalFormatting>
  <conditionalFormatting sqref="K36:K38 K57:K59">
    <cfRule type="cellIs" dxfId="6103" priority="668" operator="equal">
      <formula>"PMS"</formula>
    </cfRule>
    <cfRule type="containsText" dxfId="6102" priority="669" operator="containsText" text="CMS">
      <formula>NOT(ISERROR(SEARCH("CMS",K36)))</formula>
    </cfRule>
    <cfRule type="cellIs" dxfId="6101" priority="670" operator="equal">
      <formula>0</formula>
    </cfRule>
    <cfRule type="cellIs" dxfId="6100" priority="671" operator="greaterThan">
      <formula>0</formula>
    </cfRule>
    <cfRule type="cellIs" dxfId="6099" priority="672" operator="equal">
      <formula>"PMS"</formula>
    </cfRule>
    <cfRule type="containsText" dxfId="6098" priority="673" operator="containsText" text="CMS">
      <formula>NOT(ISERROR(SEARCH("CMS",K36)))</formula>
    </cfRule>
    <cfRule type="cellIs" dxfId="6097" priority="674" operator="equal">
      <formula>0</formula>
    </cfRule>
    <cfRule type="cellIs" dxfId="6096" priority="675" operator="greaterThan">
      <formula>0</formula>
    </cfRule>
  </conditionalFormatting>
  <conditionalFormatting sqref="K36:K38 K57:K59">
    <cfRule type="cellIs" dxfId="6095" priority="664" operator="equal">
      <formula>"PMS"</formula>
    </cfRule>
    <cfRule type="containsText" dxfId="6094" priority="665" operator="containsText" text="CMS">
      <formula>NOT(ISERROR(SEARCH("CMS",K36)))</formula>
    </cfRule>
    <cfRule type="cellIs" dxfId="6093" priority="666" operator="equal">
      <formula>0</formula>
    </cfRule>
    <cfRule type="cellIs" dxfId="6092" priority="667" operator="greaterThan">
      <formula>0</formula>
    </cfRule>
  </conditionalFormatting>
  <conditionalFormatting sqref="G49">
    <cfRule type="cellIs" dxfId="6091" priority="656" operator="equal">
      <formula>"PMS"</formula>
    </cfRule>
    <cfRule type="containsText" dxfId="6090" priority="657" operator="containsText" text="CMS">
      <formula>NOT(ISERROR(SEARCH("CMS",G49)))</formula>
    </cfRule>
    <cfRule type="cellIs" dxfId="6089" priority="658" operator="equal">
      <formula>0</formula>
    </cfRule>
    <cfRule type="cellIs" dxfId="6088" priority="659" operator="greaterThan">
      <formula>0</formula>
    </cfRule>
    <cfRule type="cellIs" dxfId="6087" priority="660" operator="equal">
      <formula>"PMS"</formula>
    </cfRule>
    <cfRule type="containsText" dxfId="6086" priority="661" operator="containsText" text="CMS">
      <formula>NOT(ISERROR(SEARCH("CMS",G49)))</formula>
    </cfRule>
    <cfRule type="cellIs" dxfId="6085" priority="662" operator="equal">
      <formula>0</formula>
    </cfRule>
    <cfRule type="cellIs" dxfId="6084" priority="663" operator="greaterThan">
      <formula>0</formula>
    </cfRule>
  </conditionalFormatting>
  <conditionalFormatting sqref="G49">
    <cfRule type="cellIs" dxfId="6083" priority="652" operator="equal">
      <formula>"PMS"</formula>
    </cfRule>
    <cfRule type="containsText" dxfId="6082" priority="653" operator="containsText" text="CMS">
      <formula>NOT(ISERROR(SEARCH("CMS",G49)))</formula>
    </cfRule>
    <cfRule type="cellIs" dxfId="6081" priority="654" operator="equal">
      <formula>0</formula>
    </cfRule>
    <cfRule type="cellIs" dxfId="6080" priority="655" operator="greaterThan">
      <formula>0</formula>
    </cfRule>
  </conditionalFormatting>
  <conditionalFormatting sqref="M49:N49">
    <cfRule type="cellIs" dxfId="6079" priority="644" operator="equal">
      <formula>"PMS"</formula>
    </cfRule>
    <cfRule type="containsText" dxfId="6078" priority="645" operator="containsText" text="CMS">
      <formula>NOT(ISERROR(SEARCH("CMS",M49)))</formula>
    </cfRule>
    <cfRule type="cellIs" dxfId="6077" priority="646" operator="equal">
      <formula>0</formula>
    </cfRule>
    <cfRule type="cellIs" dxfId="6076" priority="647" operator="greaterThan">
      <formula>0</formula>
    </cfRule>
    <cfRule type="cellIs" dxfId="6075" priority="648" operator="equal">
      <formula>"PMS"</formula>
    </cfRule>
    <cfRule type="containsText" dxfId="6074" priority="649" operator="containsText" text="CMS">
      <formula>NOT(ISERROR(SEARCH("CMS",M49)))</formula>
    </cfRule>
    <cfRule type="cellIs" dxfId="6073" priority="650" operator="equal">
      <formula>0</formula>
    </cfRule>
    <cfRule type="cellIs" dxfId="6072" priority="651" operator="greaterThan">
      <formula>0</formula>
    </cfRule>
  </conditionalFormatting>
  <conditionalFormatting sqref="M49:N49">
    <cfRule type="cellIs" dxfId="6071" priority="640" operator="equal">
      <formula>"PMS"</formula>
    </cfRule>
    <cfRule type="containsText" dxfId="6070" priority="641" operator="containsText" text="CMS">
      <formula>NOT(ISERROR(SEARCH("CMS",M49)))</formula>
    </cfRule>
    <cfRule type="cellIs" dxfId="6069" priority="642" operator="equal">
      <formula>0</formula>
    </cfRule>
    <cfRule type="cellIs" dxfId="6068" priority="643" operator="greaterThan">
      <formula>0</formula>
    </cfRule>
  </conditionalFormatting>
  <conditionalFormatting sqref="K49">
    <cfRule type="cellIs" dxfId="6067" priority="632" operator="equal">
      <formula>"PMS"</formula>
    </cfRule>
    <cfRule type="containsText" dxfId="6066" priority="633" operator="containsText" text="CMS">
      <formula>NOT(ISERROR(SEARCH("CMS",K49)))</formula>
    </cfRule>
    <cfRule type="cellIs" dxfId="6065" priority="634" operator="equal">
      <formula>0</formula>
    </cfRule>
    <cfRule type="cellIs" dxfId="6064" priority="635" operator="greaterThan">
      <formula>0</formula>
    </cfRule>
    <cfRule type="cellIs" dxfId="6063" priority="636" operator="equal">
      <formula>"PMS"</formula>
    </cfRule>
    <cfRule type="containsText" dxfId="6062" priority="637" operator="containsText" text="CMS">
      <formula>NOT(ISERROR(SEARCH("CMS",K49)))</formula>
    </cfRule>
    <cfRule type="cellIs" dxfId="6061" priority="638" operator="equal">
      <formula>0</formula>
    </cfRule>
    <cfRule type="cellIs" dxfId="6060" priority="639" operator="greaterThan">
      <formula>0</formula>
    </cfRule>
  </conditionalFormatting>
  <conditionalFormatting sqref="K49">
    <cfRule type="cellIs" dxfId="6059" priority="628" operator="equal">
      <formula>"PMS"</formula>
    </cfRule>
    <cfRule type="containsText" dxfId="6058" priority="629" operator="containsText" text="CMS">
      <formula>NOT(ISERROR(SEARCH("CMS",K49)))</formula>
    </cfRule>
    <cfRule type="cellIs" dxfId="6057" priority="630" operator="equal">
      <formula>0</formula>
    </cfRule>
    <cfRule type="cellIs" dxfId="6056" priority="631" operator="greaterThan">
      <formula>0</formula>
    </cfRule>
  </conditionalFormatting>
  <conditionalFormatting sqref="L27:L29 H24:J24 H19:J20 L20:L21 Q28 P30 H27:J30 I21:K21 K19:M19 N30 AC79 M21:O21 Q21:AC21 N19:AC20 H33:L33 S78 N28:P29 O78:Q78 V78:AC78 L24:AC24 S27 V28:AC30 Q29:U30 N33:AC33 O79:Y79">
    <cfRule type="cellIs" dxfId="6055" priority="620" operator="equal">
      <formula>"PMS"</formula>
    </cfRule>
    <cfRule type="containsText" dxfId="6054" priority="621" operator="containsText" text="CMS">
      <formula>NOT(ISERROR(SEARCH("CMS",H19)))</formula>
    </cfRule>
    <cfRule type="cellIs" dxfId="6053" priority="622" operator="equal">
      <formula>0</formula>
    </cfRule>
    <cfRule type="cellIs" dxfId="6052" priority="623" operator="greaterThan">
      <formula>0</formula>
    </cfRule>
    <cfRule type="cellIs" dxfId="6051" priority="624" operator="equal">
      <formula>"PMS"</formula>
    </cfRule>
    <cfRule type="containsText" dxfId="6050" priority="625" operator="containsText" text="CMS">
      <formula>NOT(ISERROR(SEARCH("CMS",H19)))</formula>
    </cfRule>
    <cfRule type="cellIs" dxfId="6049" priority="626" operator="equal">
      <formula>0</formula>
    </cfRule>
    <cfRule type="cellIs" dxfId="6048" priority="627" operator="greaterThan">
      <formula>0</formula>
    </cfRule>
  </conditionalFormatting>
  <conditionalFormatting sqref="L27:L29 H24:J24 H19:J20 L20:L21 Q28 P30 H27:J30 I21:K21 K19:M19 N30 AC79 M21:O21 Q21:AC21 N19:AC20 H33:L33 S78 N28:P29 O78:Q78 V78:AC78 L24:AC24 S27 V28:AC30 Q29:U30 N33:AC33 O79:Y79">
    <cfRule type="cellIs" dxfId="6047" priority="616" operator="equal">
      <formula>"PMS"</formula>
    </cfRule>
    <cfRule type="containsText" dxfId="6046" priority="617" operator="containsText" text="CMS">
      <formula>NOT(ISERROR(SEARCH("CMS",H19)))</formula>
    </cfRule>
    <cfRule type="cellIs" dxfId="6045" priority="618" operator="equal">
      <formula>0</formula>
    </cfRule>
    <cfRule type="cellIs" dxfId="6044" priority="619" operator="greaterThan">
      <formula>0</formula>
    </cfRule>
  </conditionalFormatting>
  <conditionalFormatting sqref="G33 G24 G39:G48 G50:G56 G19:G21 H21 G27:G30">
    <cfRule type="cellIs" dxfId="6043" priority="608" operator="equal">
      <formula>"PMS"</formula>
    </cfRule>
    <cfRule type="containsText" dxfId="6042" priority="609" operator="containsText" text="CMS">
      <formula>NOT(ISERROR(SEARCH("CMS",G19)))</formula>
    </cfRule>
    <cfRule type="cellIs" dxfId="6041" priority="610" operator="equal">
      <formula>0</formula>
    </cfRule>
    <cfRule type="cellIs" dxfId="6040" priority="611" operator="greaterThan">
      <formula>0</formula>
    </cfRule>
    <cfRule type="cellIs" dxfId="6039" priority="612" operator="equal">
      <formula>"PMS"</formula>
    </cfRule>
    <cfRule type="containsText" dxfId="6038" priority="613" operator="containsText" text="CMS">
      <formula>NOT(ISERROR(SEARCH("CMS",G19)))</formula>
    </cfRule>
    <cfRule type="cellIs" dxfId="6037" priority="614" operator="equal">
      <formula>0</formula>
    </cfRule>
    <cfRule type="cellIs" dxfId="6036" priority="615" operator="greaterThan">
      <formula>0</formula>
    </cfRule>
  </conditionalFormatting>
  <conditionalFormatting sqref="G33 G24 G39:G48 G50:G56 G19:G21 H21 G27:G30">
    <cfRule type="cellIs" dxfId="6035" priority="604" operator="equal">
      <formula>"PMS"</formula>
    </cfRule>
    <cfRule type="containsText" dxfId="6034" priority="605" operator="containsText" text="CMS">
      <formula>NOT(ISERROR(SEARCH("CMS",G19)))</formula>
    </cfRule>
    <cfRule type="cellIs" dxfId="6033" priority="606" operator="equal">
      <formula>0</formula>
    </cfRule>
    <cfRule type="cellIs" dxfId="6032" priority="607" operator="greaterThan">
      <formula>0</formula>
    </cfRule>
  </conditionalFormatting>
  <conditionalFormatting sqref="M39:M46 M33 M27:M29 M20 AB27:AC27 N47:N48 T27:X27 N27:Q27 M62:M64 N50:N56">
    <cfRule type="cellIs" dxfId="6031" priority="596" operator="equal">
      <formula>"PMS"</formula>
    </cfRule>
    <cfRule type="containsText" dxfId="6030" priority="597" operator="containsText" text="CMS">
      <formula>NOT(ISERROR(SEARCH("CMS",M20)))</formula>
    </cfRule>
    <cfRule type="cellIs" dxfId="6029" priority="598" operator="equal">
      <formula>0</formula>
    </cfRule>
    <cfRule type="cellIs" dxfId="6028" priority="599" operator="greaterThan">
      <formula>0</formula>
    </cfRule>
    <cfRule type="cellIs" dxfId="6027" priority="600" operator="equal">
      <formula>"PMS"</formula>
    </cfRule>
    <cfRule type="containsText" dxfId="6026" priority="601" operator="containsText" text="CMS">
      <formula>NOT(ISERROR(SEARCH("CMS",M20)))</formula>
    </cfRule>
    <cfRule type="cellIs" dxfId="6025" priority="602" operator="equal">
      <formula>0</formula>
    </cfRule>
    <cfRule type="cellIs" dxfId="6024" priority="603" operator="greaterThan">
      <formula>0</formula>
    </cfRule>
  </conditionalFormatting>
  <conditionalFormatting sqref="M39:M46 M33 M27:M29 M20 AB27:AC27 N47:N48 T27:X27 N27:Q27 M62:M64 N50:N56">
    <cfRule type="cellIs" dxfId="6023" priority="592" operator="equal">
      <formula>"PMS"</formula>
    </cfRule>
    <cfRule type="containsText" dxfId="6022" priority="593" operator="containsText" text="CMS">
      <formula>NOT(ISERROR(SEARCH("CMS",M20)))</formula>
    </cfRule>
    <cfRule type="cellIs" dxfId="6021" priority="594" operator="equal">
      <formula>0</formula>
    </cfRule>
    <cfRule type="cellIs" dxfId="6020" priority="595" operator="greaterThan">
      <formula>0</formula>
    </cfRule>
  </conditionalFormatting>
  <conditionalFormatting sqref="K50:K56 K39:K48 K27 K24 K20 K29:K30 L30">
    <cfRule type="cellIs" dxfId="6019" priority="584" operator="equal">
      <formula>"PMS"</formula>
    </cfRule>
    <cfRule type="containsText" dxfId="6018" priority="585" operator="containsText" text="CMS">
      <formula>NOT(ISERROR(SEARCH("CMS",K20)))</formula>
    </cfRule>
    <cfRule type="cellIs" dxfId="6017" priority="586" operator="equal">
      <formula>0</formula>
    </cfRule>
    <cfRule type="cellIs" dxfId="6016" priority="587" operator="greaterThan">
      <formula>0</formula>
    </cfRule>
    <cfRule type="cellIs" dxfId="6015" priority="588" operator="equal">
      <formula>"PMS"</formula>
    </cfRule>
    <cfRule type="containsText" dxfId="6014" priority="589" operator="containsText" text="CMS">
      <formula>NOT(ISERROR(SEARCH("CMS",K20)))</formula>
    </cfRule>
    <cfRule type="cellIs" dxfId="6013" priority="590" operator="equal">
      <formula>0</formula>
    </cfRule>
    <cfRule type="cellIs" dxfId="6012" priority="591" operator="greaterThan">
      <formula>0</formula>
    </cfRule>
  </conditionalFormatting>
  <conditionalFormatting sqref="K50:K56 K39:K48 K27 K24 K20 K29:K30 L30">
    <cfRule type="cellIs" dxfId="6011" priority="580" operator="equal">
      <formula>"PMS"</formula>
    </cfRule>
    <cfRule type="containsText" dxfId="6010" priority="581" operator="containsText" text="CMS">
      <formula>NOT(ISERROR(SEARCH("CMS",K20)))</formula>
    </cfRule>
    <cfRule type="cellIs" dxfId="6009" priority="582" operator="equal">
      <formula>0</formula>
    </cfRule>
    <cfRule type="cellIs" dxfId="6008" priority="583" operator="greaterThan">
      <formula>0</formula>
    </cfRule>
  </conditionalFormatting>
  <conditionalFormatting sqref="K28">
    <cfRule type="cellIs" dxfId="6007" priority="572" operator="equal">
      <formula>"PMS"</formula>
    </cfRule>
    <cfRule type="containsText" dxfId="6006" priority="573" operator="containsText" text="CMS">
      <formula>NOT(ISERROR(SEARCH("CMS",K28)))</formula>
    </cfRule>
    <cfRule type="cellIs" dxfId="6005" priority="574" operator="equal">
      <formula>0</formula>
    </cfRule>
    <cfRule type="cellIs" dxfId="6004" priority="575" operator="greaterThan">
      <formula>0</formula>
    </cfRule>
    <cfRule type="cellIs" dxfId="6003" priority="576" operator="equal">
      <formula>"PMS"</formula>
    </cfRule>
    <cfRule type="containsText" dxfId="6002" priority="577" operator="containsText" text="CMS">
      <formula>NOT(ISERROR(SEARCH("CMS",K28)))</formula>
    </cfRule>
    <cfRule type="cellIs" dxfId="6001" priority="578" operator="equal">
      <formula>0</formula>
    </cfRule>
    <cfRule type="cellIs" dxfId="6000" priority="579" operator="greaterThan">
      <formula>0</formula>
    </cfRule>
  </conditionalFormatting>
  <conditionalFormatting sqref="K28">
    <cfRule type="cellIs" dxfId="5999" priority="568" operator="equal">
      <formula>"PMS"</formula>
    </cfRule>
    <cfRule type="containsText" dxfId="5998" priority="569" operator="containsText" text="CMS">
      <formula>NOT(ISERROR(SEARCH("CMS",K28)))</formula>
    </cfRule>
    <cfRule type="cellIs" dxfId="5997" priority="570" operator="equal">
      <formula>0</formula>
    </cfRule>
    <cfRule type="cellIs" dxfId="5996" priority="571" operator="greaterThan">
      <formula>0</formula>
    </cfRule>
  </conditionalFormatting>
  <conditionalFormatting sqref="N62:O62 O63:O64">
    <cfRule type="cellIs" dxfId="5995" priority="560" operator="equal">
      <formula>"PMS"</formula>
    </cfRule>
    <cfRule type="containsText" dxfId="5994" priority="561" operator="containsText" text="CMS">
      <formula>NOT(ISERROR(SEARCH("CMS",N62)))</formula>
    </cfRule>
    <cfRule type="cellIs" dxfId="5993" priority="562" operator="equal">
      <formula>0</formula>
    </cfRule>
    <cfRule type="cellIs" dxfId="5992" priority="563" operator="greaterThan">
      <formula>0</formula>
    </cfRule>
    <cfRule type="cellIs" dxfId="5991" priority="564" operator="equal">
      <formula>"PMS"</formula>
    </cfRule>
    <cfRule type="containsText" dxfId="5990" priority="565" operator="containsText" text="CMS">
      <formula>NOT(ISERROR(SEARCH("CMS",N62)))</formula>
    </cfRule>
    <cfRule type="cellIs" dxfId="5989" priority="566" operator="equal">
      <formula>0</formula>
    </cfRule>
    <cfRule type="cellIs" dxfId="5988" priority="567" operator="greaterThan">
      <formula>0</formula>
    </cfRule>
  </conditionalFormatting>
  <conditionalFormatting sqref="N62:O62 O63:O64">
    <cfRule type="cellIs" dxfId="5987" priority="556" operator="equal">
      <formula>"PMS"</formula>
    </cfRule>
    <cfRule type="containsText" dxfId="5986" priority="557" operator="containsText" text="CMS">
      <formula>NOT(ISERROR(SEARCH("CMS",N62)))</formula>
    </cfRule>
    <cfRule type="cellIs" dxfId="5985" priority="558" operator="equal">
      <formula>0</formula>
    </cfRule>
    <cfRule type="cellIs" dxfId="5984" priority="559" operator="greaterThan">
      <formula>0</formula>
    </cfRule>
  </conditionalFormatting>
  <conditionalFormatting sqref="Y27:AA27">
    <cfRule type="cellIs" dxfId="5983" priority="548" operator="equal">
      <formula>"PMS"</formula>
    </cfRule>
    <cfRule type="containsText" dxfId="5982" priority="549" operator="containsText" text="CMS">
      <formula>NOT(ISERROR(SEARCH("CMS",Y27)))</formula>
    </cfRule>
    <cfRule type="cellIs" dxfId="5981" priority="550" operator="equal">
      <formula>0</formula>
    </cfRule>
    <cfRule type="cellIs" dxfId="5980" priority="551" operator="greaterThan">
      <formula>0</formula>
    </cfRule>
    <cfRule type="cellIs" dxfId="5979" priority="552" operator="equal">
      <formula>"PMS"</formula>
    </cfRule>
    <cfRule type="containsText" dxfId="5978" priority="553" operator="containsText" text="CMS">
      <formula>NOT(ISERROR(SEARCH("CMS",Y27)))</formula>
    </cfRule>
    <cfRule type="cellIs" dxfId="5977" priority="554" operator="equal">
      <formula>0</formula>
    </cfRule>
    <cfRule type="cellIs" dxfId="5976" priority="555" operator="greaterThan">
      <formula>0</formula>
    </cfRule>
  </conditionalFormatting>
  <conditionalFormatting sqref="Y27:AA27">
    <cfRule type="cellIs" dxfId="5975" priority="544" operator="equal">
      <formula>"PMS"</formula>
    </cfRule>
    <cfRule type="containsText" dxfId="5974" priority="545" operator="containsText" text="CMS">
      <formula>NOT(ISERROR(SEARCH("CMS",Y27)))</formula>
    </cfRule>
    <cfRule type="cellIs" dxfId="5973" priority="546" operator="equal">
      <formula>0</formula>
    </cfRule>
    <cfRule type="cellIs" dxfId="5972" priority="547" operator="greaterThan">
      <formula>0</formula>
    </cfRule>
  </conditionalFormatting>
  <conditionalFormatting sqref="G62:G64">
    <cfRule type="cellIs" dxfId="5971" priority="536" operator="equal">
      <formula>"PMS"</formula>
    </cfRule>
    <cfRule type="containsText" dxfId="5970" priority="537" operator="containsText" text="CMS">
      <formula>NOT(ISERROR(SEARCH("CMS",G62)))</formula>
    </cfRule>
    <cfRule type="cellIs" dxfId="5969" priority="538" operator="equal">
      <formula>0</formula>
    </cfRule>
    <cfRule type="cellIs" dxfId="5968" priority="539" operator="greaterThan">
      <formula>0</formula>
    </cfRule>
    <cfRule type="cellIs" dxfId="5967" priority="540" operator="equal">
      <formula>"PMS"</formula>
    </cfRule>
    <cfRule type="containsText" dxfId="5966" priority="541" operator="containsText" text="CMS">
      <formula>NOT(ISERROR(SEARCH("CMS",G62)))</formula>
    </cfRule>
    <cfRule type="cellIs" dxfId="5965" priority="542" operator="equal">
      <formula>0</formula>
    </cfRule>
    <cfRule type="cellIs" dxfId="5964" priority="543" operator="greaterThan">
      <formula>0</formula>
    </cfRule>
  </conditionalFormatting>
  <conditionalFormatting sqref="G62:G64">
    <cfRule type="cellIs" dxfId="5963" priority="532" operator="equal">
      <formula>"PMS"</formula>
    </cfRule>
    <cfRule type="containsText" dxfId="5962" priority="533" operator="containsText" text="CMS">
      <formula>NOT(ISERROR(SEARCH("CMS",G62)))</formula>
    </cfRule>
    <cfRule type="cellIs" dxfId="5961" priority="534" operator="equal">
      <formula>0</formula>
    </cfRule>
    <cfRule type="cellIs" dxfId="5960" priority="535" operator="greaterThan">
      <formula>0</formula>
    </cfRule>
  </conditionalFormatting>
  <conditionalFormatting sqref="N40">
    <cfRule type="cellIs" dxfId="5959" priority="524" operator="equal">
      <formula>"PMS"</formula>
    </cfRule>
    <cfRule type="containsText" dxfId="5958" priority="525" operator="containsText" text="CMS">
      <formula>NOT(ISERROR(SEARCH("CMS",N40)))</formula>
    </cfRule>
    <cfRule type="cellIs" dxfId="5957" priority="526" operator="equal">
      <formula>0</formula>
    </cfRule>
    <cfRule type="cellIs" dxfId="5956" priority="527" operator="greaterThan">
      <formula>0</formula>
    </cfRule>
    <cfRule type="cellIs" dxfId="5955" priority="528" operator="equal">
      <formula>"PMS"</formula>
    </cfRule>
    <cfRule type="containsText" dxfId="5954" priority="529" operator="containsText" text="CMS">
      <formula>NOT(ISERROR(SEARCH("CMS",N40)))</formula>
    </cfRule>
    <cfRule type="cellIs" dxfId="5953" priority="530" operator="equal">
      <formula>0</formula>
    </cfRule>
    <cfRule type="cellIs" dxfId="5952" priority="531" operator="greaterThan">
      <formula>0</formula>
    </cfRule>
  </conditionalFormatting>
  <conditionalFormatting sqref="N40">
    <cfRule type="cellIs" dxfId="5951" priority="520" operator="equal">
      <formula>"PMS"</formula>
    </cfRule>
    <cfRule type="containsText" dxfId="5950" priority="521" operator="containsText" text="CMS">
      <formula>NOT(ISERROR(SEARCH("CMS",N40)))</formula>
    </cfRule>
    <cfRule type="cellIs" dxfId="5949" priority="522" operator="equal">
      <formula>0</formula>
    </cfRule>
    <cfRule type="cellIs" dxfId="5948" priority="523" operator="greaterThan">
      <formula>0</formula>
    </cfRule>
  </conditionalFormatting>
  <conditionalFormatting sqref="O30">
    <cfRule type="cellIs" dxfId="5947" priority="512" operator="equal">
      <formula>"PMS"</formula>
    </cfRule>
    <cfRule type="containsText" dxfId="5946" priority="513" operator="containsText" text="CMS">
      <formula>NOT(ISERROR(SEARCH("CMS",O30)))</formula>
    </cfRule>
    <cfRule type="cellIs" dxfId="5945" priority="514" operator="equal">
      <formula>0</formula>
    </cfRule>
    <cfRule type="cellIs" dxfId="5944" priority="515" operator="greaterThan">
      <formula>0</formula>
    </cfRule>
    <cfRule type="cellIs" dxfId="5943" priority="516" operator="equal">
      <formula>"PMS"</formula>
    </cfRule>
    <cfRule type="containsText" dxfId="5942" priority="517" operator="containsText" text="CMS">
      <formula>NOT(ISERROR(SEARCH("CMS",O30)))</formula>
    </cfRule>
    <cfRule type="cellIs" dxfId="5941" priority="518" operator="equal">
      <formula>0</formula>
    </cfRule>
    <cfRule type="cellIs" dxfId="5940" priority="519" operator="greaterThan">
      <formula>0</formula>
    </cfRule>
  </conditionalFormatting>
  <conditionalFormatting sqref="O30">
    <cfRule type="cellIs" dxfId="5939" priority="508" operator="equal">
      <formula>"PMS"</formula>
    </cfRule>
    <cfRule type="containsText" dxfId="5938" priority="509" operator="containsText" text="CMS">
      <formula>NOT(ISERROR(SEARCH("CMS",O30)))</formula>
    </cfRule>
    <cfRule type="cellIs" dxfId="5937" priority="510" operator="equal">
      <formula>0</formula>
    </cfRule>
    <cfRule type="cellIs" dxfId="5936" priority="511" operator="greaterThan">
      <formula>0</formula>
    </cfRule>
  </conditionalFormatting>
  <conditionalFormatting sqref="O47:O49">
    <cfRule type="cellIs" dxfId="5935" priority="500" operator="equal">
      <formula>"PMS"</formula>
    </cfRule>
    <cfRule type="containsText" dxfId="5934" priority="501" operator="containsText" text="CMS">
      <formula>NOT(ISERROR(SEARCH("CMS",O47)))</formula>
    </cfRule>
    <cfRule type="cellIs" dxfId="5933" priority="502" operator="equal">
      <formula>0</formula>
    </cfRule>
    <cfRule type="cellIs" dxfId="5932" priority="503" operator="greaterThan">
      <formula>0</formula>
    </cfRule>
    <cfRule type="cellIs" dxfId="5931" priority="504" operator="equal">
      <formula>"PMS"</formula>
    </cfRule>
    <cfRule type="containsText" dxfId="5930" priority="505" operator="containsText" text="CMS">
      <formula>NOT(ISERROR(SEARCH("CMS",O47)))</formula>
    </cfRule>
    <cfRule type="cellIs" dxfId="5929" priority="506" operator="equal">
      <formula>0</formula>
    </cfRule>
    <cfRule type="cellIs" dxfId="5928" priority="507" operator="greaterThan">
      <formula>0</formula>
    </cfRule>
  </conditionalFormatting>
  <conditionalFormatting sqref="O47:O49">
    <cfRule type="cellIs" dxfId="5927" priority="496" operator="equal">
      <formula>"PMS"</formula>
    </cfRule>
    <cfRule type="containsText" dxfId="5926" priority="497" operator="containsText" text="CMS">
      <formula>NOT(ISERROR(SEARCH("CMS",O47)))</formula>
    </cfRule>
    <cfRule type="cellIs" dxfId="5925" priority="498" operator="equal">
      <formula>0</formula>
    </cfRule>
    <cfRule type="cellIs" dxfId="5924" priority="499" operator="greaterThan">
      <formula>0</formula>
    </cfRule>
  </conditionalFormatting>
  <conditionalFormatting sqref="H15:H16">
    <cfRule type="cellIs" dxfId="5923" priority="488" operator="equal">
      <formula>"PMS"</formula>
    </cfRule>
    <cfRule type="containsText" dxfId="5922" priority="489" operator="containsText" text="CMS">
      <formula>NOT(ISERROR(SEARCH("CMS",H15)))</formula>
    </cfRule>
    <cfRule type="cellIs" dxfId="5921" priority="490" operator="equal">
      <formula>0</formula>
    </cfRule>
    <cfRule type="cellIs" dxfId="5920" priority="491" operator="greaterThan">
      <formula>0</formula>
    </cfRule>
    <cfRule type="cellIs" dxfId="5919" priority="492" operator="equal">
      <formula>"PMS"</formula>
    </cfRule>
    <cfRule type="containsText" dxfId="5918" priority="493" operator="containsText" text="CMS">
      <formula>NOT(ISERROR(SEARCH("CMS",H15)))</formula>
    </cfRule>
    <cfRule type="cellIs" dxfId="5917" priority="494" operator="equal">
      <formula>0</formula>
    </cfRule>
    <cfRule type="cellIs" dxfId="5916" priority="495" operator="greaterThan">
      <formula>0</formula>
    </cfRule>
  </conditionalFormatting>
  <conditionalFormatting sqref="H15:H16">
    <cfRule type="cellIs" dxfId="5915" priority="484" operator="equal">
      <formula>"PMS"</formula>
    </cfRule>
    <cfRule type="containsText" dxfId="5914" priority="485" operator="containsText" text="CMS">
      <formula>NOT(ISERROR(SEARCH("CMS",H15)))</formula>
    </cfRule>
    <cfRule type="cellIs" dxfId="5913" priority="486" operator="equal">
      <formula>0</formula>
    </cfRule>
    <cfRule type="cellIs" dxfId="5912" priority="487" operator="greaterThan">
      <formula>0</formula>
    </cfRule>
  </conditionalFormatting>
  <conditionalFormatting sqref="G14">
    <cfRule type="cellIs" dxfId="5911" priority="476" operator="equal">
      <formula>"PMS"</formula>
    </cfRule>
    <cfRule type="containsText" dxfId="5910" priority="477" operator="containsText" text="CMS">
      <formula>NOT(ISERROR(SEARCH("CMS",G14)))</formula>
    </cfRule>
    <cfRule type="cellIs" dxfId="5909" priority="478" operator="equal">
      <formula>0</formula>
    </cfRule>
    <cfRule type="cellIs" dxfId="5908" priority="479" operator="greaterThan">
      <formula>0</formula>
    </cfRule>
    <cfRule type="cellIs" dxfId="5907" priority="480" operator="equal">
      <formula>"PMS"</formula>
    </cfRule>
    <cfRule type="containsText" dxfId="5906" priority="481" operator="containsText" text="CMS">
      <formula>NOT(ISERROR(SEARCH("CMS",G14)))</formula>
    </cfRule>
    <cfRule type="cellIs" dxfId="5905" priority="482" operator="equal">
      <formula>0</formula>
    </cfRule>
    <cfRule type="cellIs" dxfId="5904" priority="483" operator="greaterThan">
      <formula>0</formula>
    </cfRule>
  </conditionalFormatting>
  <conditionalFormatting sqref="G14">
    <cfRule type="cellIs" dxfId="5903" priority="472" operator="equal">
      <formula>"PMS"</formula>
    </cfRule>
    <cfRule type="containsText" dxfId="5902" priority="473" operator="containsText" text="CMS">
      <formula>NOT(ISERROR(SEARCH("CMS",G14)))</formula>
    </cfRule>
    <cfRule type="cellIs" dxfId="5901" priority="474" operator="equal">
      <formula>0</formula>
    </cfRule>
    <cfRule type="cellIs" dxfId="5900" priority="475" operator="greaterThan">
      <formula>0</formula>
    </cfRule>
  </conditionalFormatting>
  <conditionalFormatting sqref="N63:N64">
    <cfRule type="cellIs" dxfId="5899" priority="464" operator="equal">
      <formula>"PMS"</formula>
    </cfRule>
    <cfRule type="containsText" dxfId="5898" priority="465" operator="containsText" text="CMS">
      <formula>NOT(ISERROR(SEARCH("CMS",N63)))</formula>
    </cfRule>
    <cfRule type="cellIs" dxfId="5897" priority="466" operator="equal">
      <formula>0</formula>
    </cfRule>
    <cfRule type="cellIs" dxfId="5896" priority="467" operator="greaterThan">
      <formula>0</formula>
    </cfRule>
    <cfRule type="cellIs" dxfId="5895" priority="468" operator="equal">
      <formula>"PMS"</formula>
    </cfRule>
    <cfRule type="containsText" dxfId="5894" priority="469" operator="containsText" text="CMS">
      <formula>NOT(ISERROR(SEARCH("CMS",N63)))</formula>
    </cfRule>
    <cfRule type="cellIs" dxfId="5893" priority="470" operator="equal">
      <formula>0</formula>
    </cfRule>
    <cfRule type="cellIs" dxfId="5892" priority="471" operator="greaterThan">
      <formula>0</formula>
    </cfRule>
  </conditionalFormatting>
  <conditionalFormatting sqref="N63:N64">
    <cfRule type="cellIs" dxfId="5891" priority="460" operator="equal">
      <formula>"PMS"</formula>
    </cfRule>
    <cfRule type="containsText" dxfId="5890" priority="461" operator="containsText" text="CMS">
      <formula>NOT(ISERROR(SEARCH("CMS",N63)))</formula>
    </cfRule>
    <cfRule type="cellIs" dxfId="5889" priority="462" operator="equal">
      <formula>0</formula>
    </cfRule>
    <cfRule type="cellIs" dxfId="5888" priority="463" operator="greaterThan">
      <formula>0</formula>
    </cfRule>
  </conditionalFormatting>
  <conditionalFormatting sqref="G78:K78">
    <cfRule type="cellIs" dxfId="5887" priority="452" operator="equal">
      <formula>"PMS"</formula>
    </cfRule>
    <cfRule type="containsText" dxfId="5886" priority="453" operator="containsText" text="CMS">
      <formula>NOT(ISERROR(SEARCH("CMS",G78)))</formula>
    </cfRule>
    <cfRule type="cellIs" dxfId="5885" priority="454" operator="equal">
      <formula>0</formula>
    </cfRule>
    <cfRule type="cellIs" dxfId="5884" priority="455" operator="greaterThan">
      <formula>0</formula>
    </cfRule>
    <cfRule type="cellIs" dxfId="5883" priority="456" operator="equal">
      <formula>"PMS"</formula>
    </cfRule>
    <cfRule type="containsText" dxfId="5882" priority="457" operator="containsText" text="CMS">
      <formula>NOT(ISERROR(SEARCH("CMS",G78)))</formula>
    </cfRule>
    <cfRule type="cellIs" dxfId="5881" priority="458" operator="equal">
      <formula>0</formula>
    </cfRule>
    <cfRule type="cellIs" dxfId="5880" priority="459" operator="greaterThan">
      <formula>0</formula>
    </cfRule>
  </conditionalFormatting>
  <conditionalFormatting sqref="G78:K78">
    <cfRule type="cellIs" dxfId="5879" priority="448" operator="equal">
      <formula>"PMS"</formula>
    </cfRule>
    <cfRule type="containsText" dxfId="5878" priority="449" operator="containsText" text="CMS">
      <formula>NOT(ISERROR(SEARCH("CMS",G78)))</formula>
    </cfRule>
    <cfRule type="cellIs" dxfId="5877" priority="450" operator="equal">
      <formula>0</formula>
    </cfRule>
    <cfRule type="cellIs" dxfId="5876" priority="451" operator="greaterThan">
      <formula>0</formula>
    </cfRule>
  </conditionalFormatting>
  <conditionalFormatting sqref="L78:L79">
    <cfRule type="cellIs" dxfId="5875" priority="440" operator="equal">
      <formula>"PMS"</formula>
    </cfRule>
    <cfRule type="containsText" dxfId="5874" priority="441" operator="containsText" text="CMS">
      <formula>NOT(ISERROR(SEARCH("CMS",L78)))</formula>
    </cfRule>
    <cfRule type="cellIs" dxfId="5873" priority="442" operator="equal">
      <formula>0</formula>
    </cfRule>
    <cfRule type="cellIs" dxfId="5872" priority="443" operator="greaterThan">
      <formula>0</formula>
    </cfRule>
    <cfRule type="cellIs" dxfId="5871" priority="444" operator="equal">
      <formula>"PMS"</formula>
    </cfRule>
    <cfRule type="containsText" dxfId="5870" priority="445" operator="containsText" text="CMS">
      <formula>NOT(ISERROR(SEARCH("CMS",L78)))</formula>
    </cfRule>
    <cfRule type="cellIs" dxfId="5869" priority="446" operator="equal">
      <formula>0</formula>
    </cfRule>
    <cfRule type="cellIs" dxfId="5868" priority="447" operator="greaterThan">
      <formula>0</formula>
    </cfRule>
  </conditionalFormatting>
  <conditionalFormatting sqref="L78:L79">
    <cfRule type="cellIs" dxfId="5867" priority="436" operator="equal">
      <formula>"PMS"</formula>
    </cfRule>
    <cfRule type="containsText" dxfId="5866" priority="437" operator="containsText" text="CMS">
      <formula>NOT(ISERROR(SEARCH("CMS",L78)))</formula>
    </cfRule>
    <cfRule type="cellIs" dxfId="5865" priority="438" operator="equal">
      <formula>0</formula>
    </cfRule>
    <cfRule type="cellIs" dxfId="5864" priority="439" operator="greaterThan">
      <formula>0</formula>
    </cfRule>
  </conditionalFormatting>
  <conditionalFormatting sqref="R27:R28 S28">
    <cfRule type="cellIs" dxfId="5863" priority="428" operator="equal">
      <formula>"PMS"</formula>
    </cfRule>
    <cfRule type="containsText" dxfId="5862" priority="429" operator="containsText" text="CMS">
      <formula>NOT(ISERROR(SEARCH("CMS",R27)))</formula>
    </cfRule>
    <cfRule type="cellIs" dxfId="5861" priority="430" operator="equal">
      <formula>0</formula>
    </cfRule>
    <cfRule type="cellIs" dxfId="5860" priority="431" operator="greaterThan">
      <formula>0</formula>
    </cfRule>
    <cfRule type="cellIs" dxfId="5859" priority="432" operator="equal">
      <formula>"PMS"</formula>
    </cfRule>
    <cfRule type="containsText" dxfId="5858" priority="433" operator="containsText" text="CMS">
      <formula>NOT(ISERROR(SEARCH("CMS",R27)))</formula>
    </cfRule>
    <cfRule type="cellIs" dxfId="5857" priority="434" operator="equal">
      <formula>0</formula>
    </cfRule>
    <cfRule type="cellIs" dxfId="5856" priority="435" operator="greaterThan">
      <formula>0</formula>
    </cfRule>
  </conditionalFormatting>
  <conditionalFormatting sqref="R27:R28 S28">
    <cfRule type="cellIs" dxfId="5855" priority="424" operator="equal">
      <formula>"PMS"</formula>
    </cfRule>
    <cfRule type="containsText" dxfId="5854" priority="425" operator="containsText" text="CMS">
      <formula>NOT(ISERROR(SEARCH("CMS",R27)))</formula>
    </cfRule>
    <cfRule type="cellIs" dxfId="5853" priority="426" operator="equal">
      <formula>0</formula>
    </cfRule>
    <cfRule type="cellIs" dxfId="5852" priority="427" operator="greaterThan">
      <formula>0</formula>
    </cfRule>
  </conditionalFormatting>
  <conditionalFormatting sqref="AA79:AB79">
    <cfRule type="cellIs" dxfId="5851" priority="416" operator="equal">
      <formula>"PMS"</formula>
    </cfRule>
    <cfRule type="containsText" dxfId="5850" priority="417" operator="containsText" text="CMS">
      <formula>NOT(ISERROR(SEARCH("CMS",AA79)))</formula>
    </cfRule>
    <cfRule type="cellIs" dxfId="5849" priority="418" operator="equal">
      <formula>0</formula>
    </cfRule>
    <cfRule type="cellIs" dxfId="5848" priority="419" operator="greaterThan">
      <formula>0</formula>
    </cfRule>
    <cfRule type="cellIs" dxfId="5847" priority="420" operator="equal">
      <formula>"PMS"</formula>
    </cfRule>
    <cfRule type="containsText" dxfId="5846" priority="421" operator="containsText" text="CMS">
      <formula>NOT(ISERROR(SEARCH("CMS",AA79)))</formula>
    </cfRule>
    <cfRule type="cellIs" dxfId="5845" priority="422" operator="equal">
      <formula>0</formula>
    </cfRule>
    <cfRule type="cellIs" dxfId="5844" priority="423" operator="greaterThan">
      <formula>0</formula>
    </cfRule>
  </conditionalFormatting>
  <conditionalFormatting sqref="AA79:AB79">
    <cfRule type="cellIs" dxfId="5843" priority="412" operator="equal">
      <formula>"PMS"</formula>
    </cfRule>
    <cfRule type="containsText" dxfId="5842" priority="413" operator="containsText" text="CMS">
      <formula>NOT(ISERROR(SEARCH("CMS",AA79)))</formula>
    </cfRule>
    <cfRule type="cellIs" dxfId="5841" priority="414" operator="equal">
      <formula>0</formula>
    </cfRule>
    <cfRule type="cellIs" dxfId="5840" priority="415" operator="greaterThan">
      <formula>0</formula>
    </cfRule>
  </conditionalFormatting>
  <conditionalFormatting sqref="M30">
    <cfRule type="cellIs" dxfId="5839" priority="404" operator="equal">
      <formula>"PMS"</formula>
    </cfRule>
    <cfRule type="containsText" dxfId="5838" priority="405" operator="containsText" text="CMS">
      <formula>NOT(ISERROR(SEARCH("CMS",M30)))</formula>
    </cfRule>
    <cfRule type="cellIs" dxfId="5837" priority="406" operator="equal">
      <formula>0</formula>
    </cfRule>
    <cfRule type="cellIs" dxfId="5836" priority="407" operator="greaterThan">
      <formula>0</formula>
    </cfRule>
    <cfRule type="cellIs" dxfId="5835" priority="408" operator="equal">
      <formula>"PMS"</formula>
    </cfRule>
    <cfRule type="containsText" dxfId="5834" priority="409" operator="containsText" text="CMS">
      <formula>NOT(ISERROR(SEARCH("CMS",M30)))</formula>
    </cfRule>
    <cfRule type="cellIs" dxfId="5833" priority="410" operator="equal">
      <formula>0</formula>
    </cfRule>
    <cfRule type="cellIs" dxfId="5832" priority="411" operator="greaterThan">
      <formula>0</formula>
    </cfRule>
  </conditionalFormatting>
  <conditionalFormatting sqref="M30">
    <cfRule type="cellIs" dxfId="5831" priority="400" operator="equal">
      <formula>"PMS"</formula>
    </cfRule>
    <cfRule type="containsText" dxfId="5830" priority="401" operator="containsText" text="CMS">
      <formula>NOT(ISERROR(SEARCH("CMS",M30)))</formula>
    </cfRule>
    <cfRule type="cellIs" dxfId="5829" priority="402" operator="equal">
      <formula>0</formula>
    </cfRule>
    <cfRule type="cellIs" dxfId="5828" priority="403" operator="greaterThan">
      <formula>0</formula>
    </cfRule>
  </conditionalFormatting>
  <conditionalFormatting sqref="R78">
    <cfRule type="cellIs" dxfId="5827" priority="392" operator="equal">
      <formula>"PMS"</formula>
    </cfRule>
    <cfRule type="containsText" dxfId="5826" priority="393" operator="containsText" text="CMS">
      <formula>NOT(ISERROR(SEARCH("CMS",R78)))</formula>
    </cfRule>
    <cfRule type="cellIs" dxfId="5825" priority="394" operator="equal">
      <formula>0</formula>
    </cfRule>
    <cfRule type="cellIs" dxfId="5824" priority="395" operator="greaterThan">
      <formula>0</formula>
    </cfRule>
    <cfRule type="cellIs" dxfId="5823" priority="396" operator="equal">
      <formula>"PMS"</formula>
    </cfRule>
    <cfRule type="containsText" dxfId="5822" priority="397" operator="containsText" text="CMS">
      <formula>NOT(ISERROR(SEARCH("CMS",R78)))</formula>
    </cfRule>
    <cfRule type="cellIs" dxfId="5821" priority="398" operator="equal">
      <formula>0</formula>
    </cfRule>
    <cfRule type="cellIs" dxfId="5820" priority="399" operator="greaterThan">
      <formula>0</formula>
    </cfRule>
  </conditionalFormatting>
  <conditionalFormatting sqref="R78">
    <cfRule type="cellIs" dxfId="5819" priority="388" operator="equal">
      <formula>"PMS"</formula>
    </cfRule>
    <cfRule type="containsText" dxfId="5818" priority="389" operator="containsText" text="CMS">
      <formula>NOT(ISERROR(SEARCH("CMS",R78)))</formula>
    </cfRule>
    <cfRule type="cellIs" dxfId="5817" priority="390" operator="equal">
      <formula>0</formula>
    </cfRule>
    <cfRule type="cellIs" dxfId="5816" priority="391" operator="greaterThan">
      <formula>0</formula>
    </cfRule>
  </conditionalFormatting>
  <conditionalFormatting sqref="M16">
    <cfRule type="cellIs" dxfId="5815" priority="380" operator="equal">
      <formula>"PMS"</formula>
    </cfRule>
    <cfRule type="containsText" dxfId="5814" priority="381" operator="containsText" text="CMS">
      <formula>NOT(ISERROR(SEARCH("CMS",M16)))</formula>
    </cfRule>
    <cfRule type="cellIs" dxfId="5813" priority="382" operator="equal">
      <formula>0</formula>
    </cfRule>
    <cfRule type="cellIs" dxfId="5812" priority="383" operator="greaterThan">
      <formula>0</formula>
    </cfRule>
    <cfRule type="cellIs" dxfId="5811" priority="384" operator="equal">
      <formula>"PMS"</formula>
    </cfRule>
    <cfRule type="containsText" dxfId="5810" priority="385" operator="containsText" text="CMS">
      <formula>NOT(ISERROR(SEARCH("CMS",M16)))</formula>
    </cfRule>
    <cfRule type="cellIs" dxfId="5809" priority="386" operator="equal">
      <formula>0</formula>
    </cfRule>
    <cfRule type="cellIs" dxfId="5808" priority="387" operator="greaterThan">
      <formula>0</formula>
    </cfRule>
  </conditionalFormatting>
  <conditionalFormatting sqref="M16">
    <cfRule type="cellIs" dxfId="5807" priority="376" operator="equal">
      <formula>"PMS"</formula>
    </cfRule>
    <cfRule type="containsText" dxfId="5806" priority="377" operator="containsText" text="CMS">
      <formula>NOT(ISERROR(SEARCH("CMS",M16)))</formula>
    </cfRule>
    <cfRule type="cellIs" dxfId="5805" priority="378" operator="equal">
      <formula>0</formula>
    </cfRule>
    <cfRule type="cellIs" dxfId="5804" priority="379" operator="greaterThan">
      <formula>0</formula>
    </cfRule>
  </conditionalFormatting>
  <conditionalFormatting sqref="O40">
    <cfRule type="cellIs" dxfId="5803" priority="368" operator="equal">
      <formula>"PMS"</formula>
    </cfRule>
    <cfRule type="containsText" dxfId="5802" priority="369" operator="containsText" text="CMS">
      <formula>NOT(ISERROR(SEARCH("CMS",O40)))</formula>
    </cfRule>
    <cfRule type="cellIs" dxfId="5801" priority="370" operator="equal">
      <formula>0</formula>
    </cfRule>
    <cfRule type="cellIs" dxfId="5800" priority="371" operator="greaterThan">
      <formula>0</formula>
    </cfRule>
    <cfRule type="cellIs" dxfId="5799" priority="372" operator="equal">
      <formula>"PMS"</formula>
    </cfRule>
    <cfRule type="containsText" dxfId="5798" priority="373" operator="containsText" text="CMS">
      <formula>NOT(ISERROR(SEARCH("CMS",O40)))</formula>
    </cfRule>
    <cfRule type="cellIs" dxfId="5797" priority="374" operator="equal">
      <formula>0</formula>
    </cfRule>
    <cfRule type="cellIs" dxfId="5796" priority="375" operator="greaterThan">
      <formula>0</formula>
    </cfRule>
  </conditionalFormatting>
  <conditionalFormatting sqref="O40">
    <cfRule type="cellIs" dxfId="5795" priority="364" operator="equal">
      <formula>"PMS"</formula>
    </cfRule>
    <cfRule type="containsText" dxfId="5794" priority="365" operator="containsText" text="CMS">
      <formula>NOT(ISERROR(SEARCH("CMS",O40)))</formula>
    </cfRule>
    <cfRule type="cellIs" dxfId="5793" priority="366" operator="equal">
      <formula>0</formula>
    </cfRule>
    <cfRule type="cellIs" dxfId="5792" priority="367" operator="greaterThan">
      <formula>0</formula>
    </cfRule>
  </conditionalFormatting>
  <conditionalFormatting sqref="P21">
    <cfRule type="cellIs" dxfId="5791" priority="356" operator="equal">
      <formula>"PMS"</formula>
    </cfRule>
    <cfRule type="containsText" dxfId="5790" priority="357" operator="containsText" text="CMS">
      <formula>NOT(ISERROR(SEARCH("CMS",P21)))</formula>
    </cfRule>
    <cfRule type="cellIs" dxfId="5789" priority="358" operator="equal">
      <formula>0</formula>
    </cfRule>
    <cfRule type="cellIs" dxfId="5788" priority="359" operator="greaterThan">
      <formula>0</formula>
    </cfRule>
    <cfRule type="cellIs" dxfId="5787" priority="360" operator="equal">
      <formula>"PMS"</formula>
    </cfRule>
    <cfRule type="containsText" dxfId="5786" priority="361" operator="containsText" text="CMS">
      <formula>NOT(ISERROR(SEARCH("CMS",P21)))</formula>
    </cfRule>
    <cfRule type="cellIs" dxfId="5785" priority="362" operator="equal">
      <formula>0</formula>
    </cfRule>
    <cfRule type="cellIs" dxfId="5784" priority="363" operator="greaterThan">
      <formula>0</formula>
    </cfRule>
  </conditionalFormatting>
  <conditionalFormatting sqref="P21">
    <cfRule type="cellIs" dxfId="5783" priority="352" operator="equal">
      <formula>"PMS"</formula>
    </cfRule>
    <cfRule type="containsText" dxfId="5782" priority="353" operator="containsText" text="CMS">
      <formula>NOT(ISERROR(SEARCH("CMS",P21)))</formula>
    </cfRule>
    <cfRule type="cellIs" dxfId="5781" priority="354" operator="equal">
      <formula>0</formula>
    </cfRule>
    <cfRule type="cellIs" dxfId="5780" priority="355" operator="greaterThan">
      <formula>0</formula>
    </cfRule>
  </conditionalFormatting>
  <conditionalFormatting sqref="M78:M79">
    <cfRule type="cellIs" dxfId="5779" priority="344" operator="equal">
      <formula>"PMS"</formula>
    </cfRule>
    <cfRule type="containsText" dxfId="5778" priority="345" operator="containsText" text="CMS">
      <formula>NOT(ISERROR(SEARCH("CMS",M78)))</formula>
    </cfRule>
    <cfRule type="cellIs" dxfId="5777" priority="346" operator="equal">
      <formula>0</formula>
    </cfRule>
    <cfRule type="cellIs" dxfId="5776" priority="347" operator="greaterThan">
      <formula>0</formula>
    </cfRule>
    <cfRule type="cellIs" dxfId="5775" priority="348" operator="equal">
      <formula>"PMS"</formula>
    </cfRule>
    <cfRule type="containsText" dxfId="5774" priority="349" operator="containsText" text="CMS">
      <formula>NOT(ISERROR(SEARCH("CMS",M78)))</formula>
    </cfRule>
    <cfRule type="cellIs" dxfId="5773" priority="350" operator="equal">
      <formula>0</formula>
    </cfRule>
    <cfRule type="cellIs" dxfId="5772" priority="351" operator="greaterThan">
      <formula>0</formula>
    </cfRule>
  </conditionalFormatting>
  <conditionalFormatting sqref="M78:M79">
    <cfRule type="cellIs" dxfId="5771" priority="340" operator="equal">
      <formula>"PMS"</formula>
    </cfRule>
    <cfRule type="containsText" dxfId="5770" priority="341" operator="containsText" text="CMS">
      <formula>NOT(ISERROR(SEARCH("CMS",M78)))</formula>
    </cfRule>
    <cfRule type="cellIs" dxfId="5769" priority="342" operator="equal">
      <formula>0</formula>
    </cfRule>
    <cfRule type="cellIs" dxfId="5768" priority="343" operator="greaterThan">
      <formula>0</formula>
    </cfRule>
  </conditionalFormatting>
  <conditionalFormatting sqref="G79:K79">
    <cfRule type="cellIs" dxfId="5767" priority="332" operator="equal">
      <formula>"PMS"</formula>
    </cfRule>
    <cfRule type="containsText" dxfId="5766" priority="333" operator="containsText" text="CMS">
      <formula>NOT(ISERROR(SEARCH("CMS",G79)))</formula>
    </cfRule>
    <cfRule type="cellIs" dxfId="5765" priority="334" operator="equal">
      <formula>0</formula>
    </cfRule>
    <cfRule type="cellIs" dxfId="5764" priority="335" operator="greaterThan">
      <formula>0</formula>
    </cfRule>
    <cfRule type="cellIs" dxfId="5763" priority="336" operator="equal">
      <formula>"PMS"</formula>
    </cfRule>
    <cfRule type="containsText" dxfId="5762" priority="337" operator="containsText" text="CMS">
      <formula>NOT(ISERROR(SEARCH("CMS",G79)))</formula>
    </cfRule>
    <cfRule type="cellIs" dxfId="5761" priority="338" operator="equal">
      <formula>0</formula>
    </cfRule>
    <cfRule type="cellIs" dxfId="5760" priority="339" operator="greaterThan">
      <formula>0</formula>
    </cfRule>
  </conditionalFormatting>
  <conditionalFormatting sqref="G79:K79">
    <cfRule type="cellIs" dxfId="5759" priority="328" operator="equal">
      <formula>"PMS"</formula>
    </cfRule>
    <cfRule type="containsText" dxfId="5758" priority="329" operator="containsText" text="CMS">
      <formula>NOT(ISERROR(SEARCH("CMS",G79)))</formula>
    </cfRule>
    <cfRule type="cellIs" dxfId="5757" priority="330" operator="equal">
      <formula>0</formula>
    </cfRule>
    <cfRule type="cellIs" dxfId="5756" priority="331" operator="greaterThan">
      <formula>0</formula>
    </cfRule>
  </conditionalFormatting>
  <conditionalFormatting sqref="N14">
    <cfRule type="cellIs" dxfId="5755" priority="320" operator="equal">
      <formula>"PMS"</formula>
    </cfRule>
    <cfRule type="containsText" dxfId="5754" priority="321" operator="containsText" text="CMS">
      <formula>NOT(ISERROR(SEARCH("CMS",N14)))</formula>
    </cfRule>
    <cfRule type="cellIs" dxfId="5753" priority="322" operator="equal">
      <formula>0</formula>
    </cfRule>
    <cfRule type="cellIs" dxfId="5752" priority="323" operator="greaterThan">
      <formula>0</formula>
    </cfRule>
    <cfRule type="cellIs" dxfId="5751" priority="324" operator="equal">
      <formula>"PMS"</formula>
    </cfRule>
    <cfRule type="containsText" dxfId="5750" priority="325" operator="containsText" text="CMS">
      <formula>NOT(ISERROR(SEARCH("CMS",N14)))</formula>
    </cfRule>
    <cfRule type="cellIs" dxfId="5749" priority="326" operator="equal">
      <formula>0</formula>
    </cfRule>
    <cfRule type="cellIs" dxfId="5748" priority="327" operator="greaterThan">
      <formula>0</formula>
    </cfRule>
  </conditionalFormatting>
  <conditionalFormatting sqref="N14">
    <cfRule type="cellIs" dxfId="5747" priority="316" operator="equal">
      <formula>"PMS"</formula>
    </cfRule>
    <cfRule type="containsText" dxfId="5746" priority="317" operator="containsText" text="CMS">
      <formula>NOT(ISERROR(SEARCH("CMS",N14)))</formula>
    </cfRule>
    <cfRule type="cellIs" dxfId="5745" priority="318" operator="equal">
      <formula>0</formula>
    </cfRule>
    <cfRule type="cellIs" dxfId="5744" priority="319" operator="greaterThan">
      <formula>0</formula>
    </cfRule>
  </conditionalFormatting>
  <conditionalFormatting sqref="O51">
    <cfRule type="cellIs" dxfId="5743" priority="308" operator="equal">
      <formula>"PMS"</formula>
    </cfRule>
    <cfRule type="containsText" dxfId="5742" priority="309" operator="containsText" text="CMS">
      <formula>NOT(ISERROR(SEARCH("CMS",O51)))</formula>
    </cfRule>
    <cfRule type="cellIs" dxfId="5741" priority="310" operator="equal">
      <formula>0</formula>
    </cfRule>
    <cfRule type="cellIs" dxfId="5740" priority="311" operator="greaterThan">
      <formula>0</formula>
    </cfRule>
    <cfRule type="cellIs" dxfId="5739" priority="312" operator="equal">
      <formula>"PMS"</formula>
    </cfRule>
    <cfRule type="containsText" dxfId="5738" priority="313" operator="containsText" text="CMS">
      <formula>NOT(ISERROR(SEARCH("CMS",O51)))</formula>
    </cfRule>
    <cfRule type="cellIs" dxfId="5737" priority="314" operator="equal">
      <formula>0</formula>
    </cfRule>
    <cfRule type="cellIs" dxfId="5736" priority="315" operator="greaterThan">
      <formula>0</formula>
    </cfRule>
  </conditionalFormatting>
  <conditionalFormatting sqref="O51">
    <cfRule type="cellIs" dxfId="5735" priority="304" operator="equal">
      <formula>"PMS"</formula>
    </cfRule>
    <cfRule type="containsText" dxfId="5734" priority="305" operator="containsText" text="CMS">
      <formula>NOT(ISERROR(SEARCH("CMS",O51)))</formula>
    </cfRule>
    <cfRule type="cellIs" dxfId="5733" priority="306" operator="equal">
      <formula>0</formula>
    </cfRule>
    <cfRule type="cellIs" dxfId="5732" priority="307" operator="greaterThan">
      <formula>0</formula>
    </cfRule>
  </conditionalFormatting>
  <conditionalFormatting sqref="O56">
    <cfRule type="cellIs" dxfId="5731" priority="296" operator="equal">
      <formula>"PMS"</formula>
    </cfRule>
    <cfRule type="containsText" dxfId="5730" priority="297" operator="containsText" text="CMS">
      <formula>NOT(ISERROR(SEARCH("CMS",O56)))</formula>
    </cfRule>
    <cfRule type="cellIs" dxfId="5729" priority="298" operator="equal">
      <formula>0</formula>
    </cfRule>
    <cfRule type="cellIs" dxfId="5728" priority="299" operator="greaterThan">
      <formula>0</formula>
    </cfRule>
    <cfRule type="cellIs" dxfId="5727" priority="300" operator="equal">
      <formula>"PMS"</formula>
    </cfRule>
    <cfRule type="containsText" dxfId="5726" priority="301" operator="containsText" text="CMS">
      <formula>NOT(ISERROR(SEARCH("CMS",O56)))</formula>
    </cfRule>
    <cfRule type="cellIs" dxfId="5725" priority="302" operator="equal">
      <formula>0</formula>
    </cfRule>
    <cfRule type="cellIs" dxfId="5724" priority="303" operator="greaterThan">
      <formula>0</formula>
    </cfRule>
  </conditionalFormatting>
  <conditionalFormatting sqref="O56">
    <cfRule type="cellIs" dxfId="5723" priority="292" operator="equal">
      <formula>"PMS"</formula>
    </cfRule>
    <cfRule type="containsText" dxfId="5722" priority="293" operator="containsText" text="CMS">
      <formula>NOT(ISERROR(SEARCH("CMS",O56)))</formula>
    </cfRule>
    <cfRule type="cellIs" dxfId="5721" priority="294" operator="equal">
      <formula>0</formula>
    </cfRule>
    <cfRule type="cellIs" dxfId="5720" priority="295" operator="greaterThan">
      <formula>0</formula>
    </cfRule>
  </conditionalFormatting>
  <conditionalFormatting sqref="M14">
    <cfRule type="cellIs" dxfId="5719" priority="284" operator="equal">
      <formula>"PMS"</formula>
    </cfRule>
    <cfRule type="containsText" dxfId="5718" priority="285" operator="containsText" text="CMS">
      <formula>NOT(ISERROR(SEARCH("CMS",M14)))</formula>
    </cfRule>
    <cfRule type="cellIs" dxfId="5717" priority="286" operator="equal">
      <formula>0</formula>
    </cfRule>
    <cfRule type="cellIs" dxfId="5716" priority="287" operator="greaterThan">
      <formula>0</formula>
    </cfRule>
    <cfRule type="cellIs" dxfId="5715" priority="288" operator="equal">
      <formula>"PMS"</formula>
    </cfRule>
    <cfRule type="containsText" dxfId="5714" priority="289" operator="containsText" text="CMS">
      <formula>NOT(ISERROR(SEARCH("CMS",M14)))</formula>
    </cfRule>
    <cfRule type="cellIs" dxfId="5713" priority="290" operator="equal">
      <formula>0</formula>
    </cfRule>
    <cfRule type="cellIs" dxfId="5712" priority="291" operator="greaterThan">
      <formula>0</formula>
    </cfRule>
  </conditionalFormatting>
  <conditionalFormatting sqref="M14">
    <cfRule type="cellIs" dxfId="5711" priority="280" operator="equal">
      <formula>"PMS"</formula>
    </cfRule>
    <cfRule type="containsText" dxfId="5710" priority="281" operator="containsText" text="CMS">
      <formula>NOT(ISERROR(SEARCH("CMS",M14)))</formula>
    </cfRule>
    <cfRule type="cellIs" dxfId="5709" priority="282" operator="equal">
      <formula>0</formula>
    </cfRule>
    <cfRule type="cellIs" dxfId="5708" priority="283" operator="greaterThan">
      <formula>0</formula>
    </cfRule>
  </conditionalFormatting>
  <conditionalFormatting sqref="N78:N79">
    <cfRule type="cellIs" dxfId="5707" priority="272" operator="equal">
      <formula>"PMS"</formula>
    </cfRule>
    <cfRule type="containsText" dxfId="5706" priority="273" operator="containsText" text="CMS">
      <formula>NOT(ISERROR(SEARCH("CMS",N78)))</formula>
    </cfRule>
    <cfRule type="cellIs" dxfId="5705" priority="274" operator="equal">
      <formula>0</formula>
    </cfRule>
    <cfRule type="cellIs" dxfId="5704" priority="275" operator="greaterThan">
      <formula>0</formula>
    </cfRule>
    <cfRule type="cellIs" dxfId="5703" priority="276" operator="equal">
      <formula>"PMS"</formula>
    </cfRule>
    <cfRule type="containsText" dxfId="5702" priority="277" operator="containsText" text="CMS">
      <formula>NOT(ISERROR(SEARCH("CMS",N78)))</formula>
    </cfRule>
    <cfRule type="cellIs" dxfId="5701" priority="278" operator="equal">
      <formula>0</formula>
    </cfRule>
    <cfRule type="cellIs" dxfId="5700" priority="279" operator="greaterThan">
      <formula>0</formula>
    </cfRule>
  </conditionalFormatting>
  <conditionalFormatting sqref="N78:N79">
    <cfRule type="cellIs" dxfId="5699" priority="268" operator="equal">
      <formula>"PMS"</formula>
    </cfRule>
    <cfRule type="containsText" dxfId="5698" priority="269" operator="containsText" text="CMS">
      <formula>NOT(ISERROR(SEARCH("CMS",N78)))</formula>
    </cfRule>
    <cfRule type="cellIs" dxfId="5697" priority="270" operator="equal">
      <formula>0</formula>
    </cfRule>
    <cfRule type="cellIs" dxfId="5696" priority="271" operator="greaterThan">
      <formula>0</formula>
    </cfRule>
  </conditionalFormatting>
  <conditionalFormatting sqref="T28:U28">
    <cfRule type="cellIs" dxfId="5695" priority="260" operator="equal">
      <formula>"PMS"</formula>
    </cfRule>
    <cfRule type="containsText" dxfId="5694" priority="261" operator="containsText" text="CMS">
      <formula>NOT(ISERROR(SEARCH("CMS",T28)))</formula>
    </cfRule>
    <cfRule type="cellIs" dxfId="5693" priority="262" operator="equal">
      <formula>0</formula>
    </cfRule>
    <cfRule type="cellIs" dxfId="5692" priority="263" operator="greaterThan">
      <formula>0</formula>
    </cfRule>
    <cfRule type="cellIs" dxfId="5691" priority="264" operator="equal">
      <formula>"PMS"</formula>
    </cfRule>
    <cfRule type="containsText" dxfId="5690" priority="265" operator="containsText" text="CMS">
      <formula>NOT(ISERROR(SEARCH("CMS",T28)))</formula>
    </cfRule>
    <cfRule type="cellIs" dxfId="5689" priority="266" operator="equal">
      <formula>0</formula>
    </cfRule>
    <cfRule type="cellIs" dxfId="5688" priority="267" operator="greaterThan">
      <formula>0</formula>
    </cfRule>
  </conditionalFormatting>
  <conditionalFormatting sqref="T28:U28">
    <cfRule type="cellIs" dxfId="5687" priority="256" operator="equal">
      <formula>"PMS"</formula>
    </cfRule>
    <cfRule type="containsText" dxfId="5686" priority="257" operator="containsText" text="CMS">
      <formula>NOT(ISERROR(SEARCH("CMS",T28)))</formula>
    </cfRule>
    <cfRule type="cellIs" dxfId="5685" priority="258" operator="equal">
      <formula>0</formula>
    </cfRule>
    <cfRule type="cellIs" dxfId="5684" priority="259" operator="greaterThan">
      <formula>0</formula>
    </cfRule>
  </conditionalFormatting>
  <conditionalFormatting sqref="T78:U78">
    <cfRule type="cellIs" dxfId="5683" priority="248" operator="equal">
      <formula>"PMS"</formula>
    </cfRule>
    <cfRule type="containsText" dxfId="5682" priority="249" operator="containsText" text="CMS">
      <formula>NOT(ISERROR(SEARCH("CMS",T78)))</formula>
    </cfRule>
    <cfRule type="cellIs" dxfId="5681" priority="250" operator="equal">
      <formula>0</formula>
    </cfRule>
    <cfRule type="cellIs" dxfId="5680" priority="251" operator="greaterThan">
      <formula>0</formula>
    </cfRule>
    <cfRule type="cellIs" dxfId="5679" priority="252" operator="equal">
      <formula>"PMS"</formula>
    </cfRule>
    <cfRule type="containsText" dxfId="5678" priority="253" operator="containsText" text="CMS">
      <formula>NOT(ISERROR(SEARCH("CMS",T78)))</formula>
    </cfRule>
    <cfRule type="cellIs" dxfId="5677" priority="254" operator="equal">
      <formula>0</formula>
    </cfRule>
    <cfRule type="cellIs" dxfId="5676" priority="255" operator="greaterThan">
      <formula>0</formula>
    </cfRule>
  </conditionalFormatting>
  <conditionalFormatting sqref="T78:U78">
    <cfRule type="cellIs" dxfId="5675" priority="244" operator="equal">
      <formula>"PMS"</formula>
    </cfRule>
    <cfRule type="containsText" dxfId="5674" priority="245" operator="containsText" text="CMS">
      <formula>NOT(ISERROR(SEARCH("CMS",T78)))</formula>
    </cfRule>
    <cfRule type="cellIs" dxfId="5673" priority="246" operator="equal">
      <formula>0</formula>
    </cfRule>
    <cfRule type="cellIs" dxfId="5672" priority="247" operator="greaterThan">
      <formula>0</formula>
    </cfRule>
  </conditionalFormatting>
  <conditionalFormatting sqref="Z79">
    <cfRule type="cellIs" dxfId="5671" priority="236" operator="equal">
      <formula>"PMS"</formula>
    </cfRule>
    <cfRule type="containsText" dxfId="5670" priority="237" operator="containsText" text="CMS">
      <formula>NOT(ISERROR(SEARCH("CMS",Z79)))</formula>
    </cfRule>
    <cfRule type="cellIs" dxfId="5669" priority="238" operator="equal">
      <formula>0</formula>
    </cfRule>
    <cfRule type="cellIs" dxfId="5668" priority="239" operator="greaterThan">
      <formula>0</formula>
    </cfRule>
    <cfRule type="cellIs" dxfId="5667" priority="240" operator="equal">
      <formula>"PMS"</formula>
    </cfRule>
    <cfRule type="containsText" dxfId="5666" priority="241" operator="containsText" text="CMS">
      <formula>NOT(ISERROR(SEARCH("CMS",Z79)))</formula>
    </cfRule>
    <cfRule type="cellIs" dxfId="5665" priority="242" operator="equal">
      <formula>0</formula>
    </cfRule>
    <cfRule type="cellIs" dxfId="5664" priority="243" operator="greaterThan">
      <formula>0</formula>
    </cfRule>
  </conditionalFormatting>
  <conditionalFormatting sqref="Z79">
    <cfRule type="cellIs" dxfId="5663" priority="232" operator="equal">
      <formula>"PMS"</formula>
    </cfRule>
    <cfRule type="containsText" dxfId="5662" priority="233" operator="containsText" text="CMS">
      <formula>NOT(ISERROR(SEARCH("CMS",Z79)))</formula>
    </cfRule>
    <cfRule type="cellIs" dxfId="5661" priority="234" operator="equal">
      <formula>0</formula>
    </cfRule>
    <cfRule type="cellIs" dxfId="5660" priority="235" operator="greaterThan">
      <formula>0</formula>
    </cfRule>
  </conditionalFormatting>
  <conditionalFormatting sqref="F82">
    <cfRule type="cellIs" dxfId="5659" priority="224" operator="equal">
      <formula>"PMS"</formula>
    </cfRule>
    <cfRule type="containsText" dxfId="5658" priority="225" operator="containsText" text="CMS">
      <formula>NOT(ISERROR(SEARCH("CMS",F82)))</formula>
    </cfRule>
    <cfRule type="cellIs" dxfId="5657" priority="226" operator="equal">
      <formula>0</formula>
    </cfRule>
    <cfRule type="cellIs" dxfId="5656" priority="227" operator="greaterThan">
      <formula>0</formula>
    </cfRule>
    <cfRule type="cellIs" dxfId="5655" priority="228" operator="equal">
      <formula>"PMS"</formula>
    </cfRule>
    <cfRule type="containsText" dxfId="5654" priority="229" operator="containsText" text="CMS">
      <formula>NOT(ISERROR(SEARCH("CMS",F82)))</formula>
    </cfRule>
    <cfRule type="cellIs" dxfId="5653" priority="230" operator="equal">
      <formula>0</formula>
    </cfRule>
    <cfRule type="cellIs" dxfId="5652" priority="231" operator="greaterThan">
      <formula>0</formula>
    </cfRule>
  </conditionalFormatting>
  <conditionalFormatting sqref="F82">
    <cfRule type="cellIs" dxfId="5651" priority="220" operator="equal">
      <formula>"PMS"</formula>
    </cfRule>
    <cfRule type="containsText" dxfId="5650" priority="221" operator="containsText" text="CMS">
      <formula>NOT(ISERROR(SEARCH("CMS",F82)))</formula>
    </cfRule>
    <cfRule type="cellIs" dxfId="5649" priority="222" operator="equal">
      <formula>0</formula>
    </cfRule>
    <cfRule type="cellIs" dxfId="5648" priority="223" operator="greaterThan">
      <formula>0</formula>
    </cfRule>
  </conditionalFormatting>
  <conditionalFormatting sqref="H111:M111">
    <cfRule type="cellIs" dxfId="5647" priority="219" operator="greaterThan">
      <formula>60.3</formula>
    </cfRule>
  </conditionalFormatting>
  <conditionalFormatting sqref="F111:G111">
    <cfRule type="cellIs" dxfId="5646" priority="218" operator="greaterThan">
      <formula>60.3</formula>
    </cfRule>
  </conditionalFormatting>
  <conditionalFormatting sqref="N111:AC111">
    <cfRule type="cellIs" dxfId="5645" priority="217" operator="greaterThan">
      <formula>60.3</formula>
    </cfRule>
  </conditionalFormatting>
  <conditionalFormatting sqref="F36:F59">
    <cfRule type="cellIs" dxfId="5644" priority="209" operator="equal">
      <formula>"PMS"</formula>
    </cfRule>
    <cfRule type="containsText" dxfId="5643" priority="210" operator="containsText" text="CMS">
      <formula>NOT(ISERROR(SEARCH("CMS",F36)))</formula>
    </cfRule>
    <cfRule type="cellIs" dxfId="5642" priority="211" operator="equal">
      <formula>0</formula>
    </cfRule>
    <cfRule type="cellIs" dxfId="5641" priority="212" operator="greaterThan">
      <formula>0</formula>
    </cfRule>
    <cfRule type="cellIs" dxfId="5640" priority="213" operator="equal">
      <formula>"PMS"</formula>
    </cfRule>
    <cfRule type="containsText" dxfId="5639" priority="214" operator="containsText" text="CMS">
      <formula>NOT(ISERROR(SEARCH("CMS",F36)))</formula>
    </cfRule>
    <cfRule type="cellIs" dxfId="5638" priority="215" operator="equal">
      <formula>0</formula>
    </cfRule>
    <cfRule type="cellIs" dxfId="5637" priority="216" operator="greaterThan">
      <formula>0</formula>
    </cfRule>
  </conditionalFormatting>
  <conditionalFormatting sqref="F36:F59">
    <cfRule type="cellIs" dxfId="5636" priority="205" operator="equal">
      <formula>"PMS"</formula>
    </cfRule>
    <cfRule type="containsText" dxfId="5635" priority="206" operator="containsText" text="CMS">
      <formula>NOT(ISERROR(SEARCH("CMS",F36)))</formula>
    </cfRule>
    <cfRule type="cellIs" dxfId="5634" priority="207" operator="equal">
      <formula>0</formula>
    </cfRule>
    <cfRule type="cellIs" dxfId="5633" priority="208" operator="greaterThan">
      <formula>0</formula>
    </cfRule>
  </conditionalFormatting>
  <conditionalFormatting sqref="F67:F75">
    <cfRule type="cellIs" dxfId="5632" priority="197" operator="equal">
      <formula>"PMS"</formula>
    </cfRule>
    <cfRule type="containsText" dxfId="5631" priority="198" operator="containsText" text="CMS">
      <formula>NOT(ISERROR(SEARCH("CMS",F67)))</formula>
    </cfRule>
    <cfRule type="cellIs" dxfId="5630" priority="199" operator="equal">
      <formula>0</formula>
    </cfRule>
    <cfRule type="cellIs" dxfId="5629" priority="200" operator="greaterThan">
      <formula>0</formula>
    </cfRule>
    <cfRule type="cellIs" dxfId="5628" priority="201" operator="equal">
      <formula>"PMS"</formula>
    </cfRule>
    <cfRule type="containsText" dxfId="5627" priority="202" operator="containsText" text="CMS">
      <formula>NOT(ISERROR(SEARCH("CMS",F67)))</formula>
    </cfRule>
    <cfRule type="cellIs" dxfId="5626" priority="203" operator="equal">
      <formula>0</formula>
    </cfRule>
    <cfRule type="cellIs" dxfId="5625" priority="204" operator="greaterThan">
      <formula>0</formula>
    </cfRule>
  </conditionalFormatting>
  <conditionalFormatting sqref="F67:F75">
    <cfRule type="cellIs" dxfId="5624" priority="193" operator="equal">
      <formula>"PMS"</formula>
    </cfRule>
    <cfRule type="containsText" dxfId="5623" priority="194" operator="containsText" text="CMS">
      <formula>NOT(ISERROR(SEARCH("CMS",F67)))</formula>
    </cfRule>
    <cfRule type="cellIs" dxfId="5622" priority="195" operator="equal">
      <formula>0</formula>
    </cfRule>
    <cfRule type="cellIs" dxfId="5621" priority="196" operator="greaterThan">
      <formula>0</formula>
    </cfRule>
  </conditionalFormatting>
  <conditionalFormatting sqref="F19 F24">
    <cfRule type="cellIs" dxfId="5620" priority="185" operator="equal">
      <formula>"PMS"</formula>
    </cfRule>
    <cfRule type="containsText" dxfId="5619" priority="186" operator="containsText" text="CMS">
      <formula>NOT(ISERROR(SEARCH("CMS",F19)))</formula>
    </cfRule>
    <cfRule type="cellIs" dxfId="5618" priority="187" operator="equal">
      <formula>0</formula>
    </cfRule>
    <cfRule type="cellIs" dxfId="5617" priority="188" operator="greaterThan">
      <formula>0</formula>
    </cfRule>
    <cfRule type="cellIs" dxfId="5616" priority="189" operator="equal">
      <formula>"PMS"</formula>
    </cfRule>
    <cfRule type="containsText" dxfId="5615" priority="190" operator="containsText" text="CMS">
      <formula>NOT(ISERROR(SEARCH("CMS",F19)))</formula>
    </cfRule>
    <cfRule type="cellIs" dxfId="5614" priority="191" operator="equal">
      <formula>0</formula>
    </cfRule>
    <cfRule type="cellIs" dxfId="5613" priority="192" operator="greaterThan">
      <formula>0</formula>
    </cfRule>
  </conditionalFormatting>
  <conditionalFormatting sqref="F19 F24">
    <cfRule type="cellIs" dxfId="5612" priority="181" operator="equal">
      <formula>"PMS"</formula>
    </cfRule>
    <cfRule type="containsText" dxfId="5611" priority="182" operator="containsText" text="CMS">
      <formula>NOT(ISERROR(SEARCH("CMS",F19)))</formula>
    </cfRule>
    <cfRule type="cellIs" dxfId="5610" priority="183" operator="equal">
      <formula>0</formula>
    </cfRule>
    <cfRule type="cellIs" dxfId="5609" priority="184" operator="greaterThan">
      <formula>0</formula>
    </cfRule>
  </conditionalFormatting>
  <conditionalFormatting sqref="P64">
    <cfRule type="cellIs" dxfId="5608" priority="173" operator="equal">
      <formula>"PMS"</formula>
    </cfRule>
    <cfRule type="containsText" dxfId="5607" priority="174" operator="containsText" text="CMS">
      <formula>NOT(ISERROR(SEARCH("CMS",P64)))</formula>
    </cfRule>
    <cfRule type="cellIs" dxfId="5606" priority="175" operator="equal">
      <formula>0</formula>
    </cfRule>
    <cfRule type="cellIs" dxfId="5605" priority="176" operator="greaterThan">
      <formula>0</formula>
    </cfRule>
    <cfRule type="cellIs" dxfId="5604" priority="177" operator="equal">
      <formula>"PMS"</formula>
    </cfRule>
    <cfRule type="containsText" dxfId="5603" priority="178" operator="containsText" text="CMS">
      <formula>NOT(ISERROR(SEARCH("CMS",P64)))</formula>
    </cfRule>
    <cfRule type="cellIs" dxfId="5602" priority="179" operator="equal">
      <formula>0</formula>
    </cfRule>
    <cfRule type="cellIs" dxfId="5601" priority="180" operator="greaterThan">
      <formula>0</formula>
    </cfRule>
  </conditionalFormatting>
  <conditionalFormatting sqref="P64">
    <cfRule type="cellIs" dxfId="5600" priority="169" operator="equal">
      <formula>"PMS"</formula>
    </cfRule>
    <cfRule type="containsText" dxfId="5599" priority="170" operator="containsText" text="CMS">
      <formula>NOT(ISERROR(SEARCH("CMS",P64)))</formula>
    </cfRule>
    <cfRule type="cellIs" dxfId="5598" priority="171" operator="equal">
      <formula>0</formula>
    </cfRule>
    <cfRule type="cellIs" dxfId="5597" priority="172" operator="greaterThan">
      <formula>0</formula>
    </cfRule>
  </conditionalFormatting>
  <conditionalFormatting sqref="F27">
    <cfRule type="cellIs" dxfId="5596" priority="125" operator="equal">
      <formula>"PMS"</formula>
    </cfRule>
    <cfRule type="containsText" dxfId="5595" priority="126" operator="containsText" text="CMS">
      <formula>NOT(ISERROR(SEARCH("CMS",F27)))</formula>
    </cfRule>
    <cfRule type="cellIs" dxfId="5594" priority="127" operator="equal">
      <formula>0</formula>
    </cfRule>
    <cfRule type="cellIs" dxfId="5593" priority="128" operator="greaterThan">
      <formula>0</formula>
    </cfRule>
    <cfRule type="cellIs" dxfId="5592" priority="129" operator="equal">
      <formula>"PMS"</formula>
    </cfRule>
    <cfRule type="containsText" dxfId="5591" priority="130" operator="containsText" text="CMS">
      <formula>NOT(ISERROR(SEARCH("CMS",F27)))</formula>
    </cfRule>
    <cfRule type="cellIs" dxfId="5590" priority="131" operator="equal">
      <formula>0</formula>
    </cfRule>
    <cfRule type="cellIs" dxfId="5589" priority="132" operator="greaterThan">
      <formula>0</formula>
    </cfRule>
  </conditionalFormatting>
  <conditionalFormatting sqref="F27">
    <cfRule type="cellIs" dxfId="5588" priority="121" operator="equal">
      <formula>"PMS"</formula>
    </cfRule>
    <cfRule type="containsText" dxfId="5587" priority="122" operator="containsText" text="CMS">
      <formula>NOT(ISERROR(SEARCH("CMS",F27)))</formula>
    </cfRule>
    <cfRule type="cellIs" dxfId="5586" priority="123" operator="equal">
      <formula>0</formula>
    </cfRule>
    <cfRule type="cellIs" dxfId="5585" priority="124" operator="greaterThan">
      <formula>0</formula>
    </cfRule>
  </conditionalFormatting>
  <conditionalFormatting sqref="F13:F16">
    <cfRule type="cellIs" dxfId="5584" priority="77" operator="equal">
      <formula>"PMS"</formula>
    </cfRule>
    <cfRule type="containsText" dxfId="5583" priority="78" operator="containsText" text="CMS">
      <formula>NOT(ISERROR(SEARCH("CMS",F13)))</formula>
    </cfRule>
    <cfRule type="cellIs" dxfId="5582" priority="79" operator="equal">
      <formula>0</formula>
    </cfRule>
    <cfRule type="cellIs" dxfId="5581" priority="80" operator="greaterThan">
      <formula>0</formula>
    </cfRule>
    <cfRule type="cellIs" dxfId="5580" priority="81" operator="equal">
      <formula>"PMS"</formula>
    </cfRule>
    <cfRule type="containsText" dxfId="5579" priority="82" operator="containsText" text="CMS">
      <formula>NOT(ISERROR(SEARCH("CMS",F13)))</formula>
    </cfRule>
    <cfRule type="cellIs" dxfId="5578" priority="83" operator="equal">
      <formula>0</formula>
    </cfRule>
    <cfRule type="cellIs" dxfId="5577" priority="84" operator="greaterThan">
      <formula>0</formula>
    </cfRule>
  </conditionalFormatting>
  <conditionalFormatting sqref="F13:F16">
    <cfRule type="cellIs" dxfId="5576" priority="73" operator="equal">
      <formula>"PMS"</formula>
    </cfRule>
    <cfRule type="containsText" dxfId="5575" priority="74" operator="containsText" text="CMS">
      <formula>NOT(ISERROR(SEARCH("CMS",F13)))</formula>
    </cfRule>
    <cfRule type="cellIs" dxfId="5574" priority="75" operator="equal">
      <formula>0</formula>
    </cfRule>
    <cfRule type="cellIs" dxfId="5573" priority="76" operator="greaterThan">
      <formula>0</formula>
    </cfRule>
  </conditionalFormatting>
  <conditionalFormatting sqref="F20:F21">
    <cfRule type="cellIs" dxfId="5572" priority="65" operator="equal">
      <formula>"PMS"</formula>
    </cfRule>
    <cfRule type="containsText" dxfId="5571" priority="66" operator="containsText" text="CMS">
      <formula>NOT(ISERROR(SEARCH("CMS",F20)))</formula>
    </cfRule>
    <cfRule type="cellIs" dxfId="5570" priority="67" operator="equal">
      <formula>0</formula>
    </cfRule>
    <cfRule type="cellIs" dxfId="5569" priority="68" operator="greaterThan">
      <formula>0</formula>
    </cfRule>
    <cfRule type="cellIs" dxfId="5568" priority="69" operator="equal">
      <formula>"PMS"</formula>
    </cfRule>
    <cfRule type="containsText" dxfId="5567" priority="70" operator="containsText" text="CMS">
      <formula>NOT(ISERROR(SEARCH("CMS",F20)))</formula>
    </cfRule>
    <cfRule type="cellIs" dxfId="5566" priority="71" operator="equal">
      <formula>0</formula>
    </cfRule>
    <cfRule type="cellIs" dxfId="5565" priority="72" operator="greaterThan">
      <formula>0</formula>
    </cfRule>
  </conditionalFormatting>
  <conditionalFormatting sqref="F20:F21">
    <cfRule type="cellIs" dxfId="5564" priority="61" operator="equal">
      <formula>"PMS"</formula>
    </cfRule>
    <cfRule type="containsText" dxfId="5563" priority="62" operator="containsText" text="CMS">
      <formula>NOT(ISERROR(SEARCH("CMS",F20)))</formula>
    </cfRule>
    <cfRule type="cellIs" dxfId="5562" priority="63" operator="equal">
      <formula>0</formula>
    </cfRule>
    <cfRule type="cellIs" dxfId="5561" priority="64" operator="greaterThan">
      <formula>0</formula>
    </cfRule>
  </conditionalFormatting>
  <conditionalFormatting sqref="F28:F30">
    <cfRule type="cellIs" dxfId="5560" priority="53" operator="equal">
      <formula>"PMS"</formula>
    </cfRule>
    <cfRule type="containsText" dxfId="5559" priority="54" operator="containsText" text="CMS">
      <formula>NOT(ISERROR(SEARCH("CMS",F28)))</formula>
    </cfRule>
    <cfRule type="cellIs" dxfId="5558" priority="55" operator="equal">
      <formula>0</formula>
    </cfRule>
    <cfRule type="cellIs" dxfId="5557" priority="56" operator="greaterThan">
      <formula>0</formula>
    </cfRule>
    <cfRule type="cellIs" dxfId="5556" priority="57" operator="equal">
      <formula>"PMS"</formula>
    </cfRule>
    <cfRule type="containsText" dxfId="5555" priority="58" operator="containsText" text="CMS">
      <formula>NOT(ISERROR(SEARCH("CMS",F28)))</formula>
    </cfRule>
    <cfRule type="cellIs" dxfId="5554" priority="59" operator="equal">
      <formula>0</formula>
    </cfRule>
    <cfRule type="cellIs" dxfId="5553" priority="60" operator="greaterThan">
      <formula>0</formula>
    </cfRule>
  </conditionalFormatting>
  <conditionalFormatting sqref="F28:F30">
    <cfRule type="cellIs" dxfId="5552" priority="49" operator="equal">
      <formula>"PMS"</formula>
    </cfRule>
    <cfRule type="containsText" dxfId="5551" priority="50" operator="containsText" text="CMS">
      <formula>NOT(ISERROR(SEARCH("CMS",F28)))</formula>
    </cfRule>
    <cfRule type="cellIs" dxfId="5550" priority="51" operator="equal">
      <formula>0</formula>
    </cfRule>
    <cfRule type="cellIs" dxfId="5549" priority="52" operator="greaterThan">
      <formula>0</formula>
    </cfRule>
  </conditionalFormatting>
  <conditionalFormatting sqref="F33">
    <cfRule type="cellIs" dxfId="5548" priority="41" operator="equal">
      <formula>"PMS"</formula>
    </cfRule>
    <cfRule type="containsText" dxfId="5547" priority="42" operator="containsText" text="CMS">
      <formula>NOT(ISERROR(SEARCH("CMS",F33)))</formula>
    </cfRule>
    <cfRule type="cellIs" dxfId="5546" priority="43" operator="equal">
      <formula>0</formula>
    </cfRule>
    <cfRule type="cellIs" dxfId="5545" priority="44" operator="greaterThan">
      <formula>0</formula>
    </cfRule>
    <cfRule type="cellIs" dxfId="5544" priority="45" operator="equal">
      <formula>"PMS"</formula>
    </cfRule>
    <cfRule type="containsText" dxfId="5543" priority="46" operator="containsText" text="CMS">
      <formula>NOT(ISERROR(SEARCH("CMS",F33)))</formula>
    </cfRule>
    <cfRule type="cellIs" dxfId="5542" priority="47" operator="equal">
      <formula>0</formula>
    </cfRule>
    <cfRule type="cellIs" dxfId="5541" priority="48" operator="greaterThan">
      <formula>0</formula>
    </cfRule>
  </conditionalFormatting>
  <conditionalFormatting sqref="F33">
    <cfRule type="cellIs" dxfId="5540" priority="37" operator="equal">
      <formula>"PMS"</formula>
    </cfRule>
    <cfRule type="containsText" dxfId="5539" priority="38" operator="containsText" text="CMS">
      <formula>NOT(ISERROR(SEARCH("CMS",F33)))</formula>
    </cfRule>
    <cfRule type="cellIs" dxfId="5538" priority="39" operator="equal">
      <formula>0</formula>
    </cfRule>
    <cfRule type="cellIs" dxfId="5537" priority="40" operator="greaterThan">
      <formula>0</formula>
    </cfRule>
  </conditionalFormatting>
  <conditionalFormatting sqref="F62:F64">
    <cfRule type="cellIs" dxfId="5536" priority="29" operator="equal">
      <formula>"PMS"</formula>
    </cfRule>
    <cfRule type="containsText" dxfId="5535" priority="30" operator="containsText" text="CMS">
      <formula>NOT(ISERROR(SEARCH("CMS",F62)))</formula>
    </cfRule>
    <cfRule type="cellIs" dxfId="5534" priority="31" operator="equal">
      <formula>0</formula>
    </cfRule>
    <cfRule type="cellIs" dxfId="5533" priority="32" operator="greaterThan">
      <formula>0</formula>
    </cfRule>
    <cfRule type="cellIs" dxfId="5532" priority="33" operator="equal">
      <formula>"PMS"</formula>
    </cfRule>
    <cfRule type="containsText" dxfId="5531" priority="34" operator="containsText" text="CMS">
      <formula>NOT(ISERROR(SEARCH("CMS",F62)))</formula>
    </cfRule>
    <cfRule type="cellIs" dxfId="5530" priority="35" operator="equal">
      <formula>0</formula>
    </cfRule>
    <cfRule type="cellIs" dxfId="5529" priority="36" operator="greaterThan">
      <formula>0</formula>
    </cfRule>
  </conditionalFormatting>
  <conditionalFormatting sqref="F62:F64">
    <cfRule type="cellIs" dxfId="5528" priority="25" operator="equal">
      <formula>"PMS"</formula>
    </cfRule>
    <cfRule type="containsText" dxfId="5527" priority="26" operator="containsText" text="CMS">
      <formula>NOT(ISERROR(SEARCH("CMS",F62)))</formula>
    </cfRule>
    <cfRule type="cellIs" dxfId="5526" priority="27" operator="equal">
      <formula>0</formula>
    </cfRule>
    <cfRule type="cellIs" dxfId="5525" priority="28" operator="greaterThan">
      <formula>0</formula>
    </cfRule>
  </conditionalFormatting>
  <conditionalFormatting sqref="F78:F79">
    <cfRule type="cellIs" dxfId="5524" priority="17" operator="equal">
      <formula>"PMS"</formula>
    </cfRule>
    <cfRule type="containsText" dxfId="5523" priority="18" operator="containsText" text="CMS">
      <formula>NOT(ISERROR(SEARCH("CMS",F78)))</formula>
    </cfRule>
    <cfRule type="cellIs" dxfId="5522" priority="19" operator="equal">
      <formula>0</formula>
    </cfRule>
    <cfRule type="cellIs" dxfId="5521" priority="20" operator="greaterThan">
      <formula>0</formula>
    </cfRule>
    <cfRule type="cellIs" dxfId="5520" priority="21" operator="equal">
      <formula>"PMS"</formula>
    </cfRule>
    <cfRule type="containsText" dxfId="5519" priority="22" operator="containsText" text="CMS">
      <formula>NOT(ISERROR(SEARCH("CMS",F78)))</formula>
    </cfRule>
    <cfRule type="cellIs" dxfId="5518" priority="23" operator="equal">
      <formula>0</formula>
    </cfRule>
    <cfRule type="cellIs" dxfId="5517" priority="24" operator="greaterThan">
      <formula>0</formula>
    </cfRule>
  </conditionalFormatting>
  <conditionalFormatting sqref="F78:F79">
    <cfRule type="cellIs" dxfId="5516" priority="13" operator="equal">
      <formula>"PMS"</formula>
    </cfRule>
    <cfRule type="containsText" dxfId="5515" priority="14" operator="containsText" text="CMS">
      <formula>NOT(ISERROR(SEARCH("CMS",F78)))</formula>
    </cfRule>
    <cfRule type="cellIs" dxfId="5514" priority="15" operator="equal">
      <formula>0</formula>
    </cfRule>
    <cfRule type="cellIs" dxfId="5513" priority="16" operator="greaterThan">
      <formula>0</formula>
    </cfRule>
  </conditionalFormatting>
  <conditionalFormatting sqref="M56">
    <cfRule type="cellIs" dxfId="5512" priority="5" operator="equal">
      <formula>"PMS"</formula>
    </cfRule>
    <cfRule type="containsText" dxfId="5511" priority="6" operator="containsText" text="CMS">
      <formula>NOT(ISERROR(SEARCH("CMS",M56)))</formula>
    </cfRule>
    <cfRule type="cellIs" dxfId="5510" priority="7" operator="equal">
      <formula>0</formula>
    </cfRule>
    <cfRule type="cellIs" dxfId="5509" priority="8" operator="greaterThan">
      <formula>0</formula>
    </cfRule>
    <cfRule type="cellIs" dxfId="5508" priority="9" operator="equal">
      <formula>"PMS"</formula>
    </cfRule>
    <cfRule type="containsText" dxfId="5507" priority="10" operator="containsText" text="CMS">
      <formula>NOT(ISERROR(SEARCH("CMS",M56)))</formula>
    </cfRule>
    <cfRule type="cellIs" dxfId="5506" priority="11" operator="equal">
      <formula>0</formula>
    </cfRule>
    <cfRule type="cellIs" dxfId="5505" priority="12" operator="greaterThan">
      <formula>0</formula>
    </cfRule>
  </conditionalFormatting>
  <conditionalFormatting sqref="M56">
    <cfRule type="cellIs" dxfId="5504" priority="1" operator="equal">
      <formula>"PMS"</formula>
    </cfRule>
    <cfRule type="containsText" dxfId="5503" priority="2" operator="containsText" text="CMS">
      <formula>NOT(ISERROR(SEARCH("CMS",M56)))</formula>
    </cfRule>
    <cfRule type="cellIs" dxfId="5502" priority="3" operator="equal">
      <formula>0</formula>
    </cfRule>
    <cfRule type="cellIs" dxfId="550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96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63E88-4CFE-49E4-94E1-D2DF3E9DBE72}">
  <sheetPr codeName="Sheet245"/>
  <dimension ref="A2:DT141"/>
  <sheetViews>
    <sheetView zoomScale="70" zoomScaleNormal="70" workbookViewId="0">
      <pane xSplit="5" ySplit="11" topLeftCell="F85" activePane="bottomRight" state="frozen"/>
      <selection pane="bottomRight" activeCell="Y111" sqref="Y111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426.99999999999994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6.7</v>
      </c>
      <c r="H14" s="357">
        <v>6.5</v>
      </c>
      <c r="I14" s="357" t="s">
        <v>9</v>
      </c>
      <c r="J14" s="357" t="s">
        <v>9</v>
      </c>
      <c r="K14" s="357" t="s">
        <v>9</v>
      </c>
      <c r="L14" s="357" t="s">
        <v>9</v>
      </c>
      <c r="M14" s="357">
        <v>0</v>
      </c>
      <c r="N14" s="357">
        <v>1.5</v>
      </c>
      <c r="O14" s="357">
        <v>6.7</v>
      </c>
      <c r="P14" s="357">
        <v>6.6</v>
      </c>
      <c r="Q14" s="357">
        <v>6.8</v>
      </c>
      <c r="R14" s="357">
        <v>6.6</v>
      </c>
      <c r="S14" s="462">
        <v>6.7</v>
      </c>
      <c r="T14" s="462">
        <v>6.2</v>
      </c>
      <c r="U14" s="462">
        <v>6.6</v>
      </c>
      <c r="V14" s="357">
        <v>6.5</v>
      </c>
      <c r="W14" s="357">
        <v>6.5</v>
      </c>
      <c r="X14" s="357">
        <v>6.8</v>
      </c>
      <c r="Y14" s="357">
        <v>6.7</v>
      </c>
      <c r="Z14" s="462">
        <v>6.7</v>
      </c>
      <c r="AA14" s="462">
        <v>6.7</v>
      </c>
      <c r="AB14" s="462">
        <v>6.8</v>
      </c>
      <c r="AC14" s="357">
        <v>6.6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20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7</v>
      </c>
      <c r="G15" s="357"/>
      <c r="H15" s="357"/>
      <c r="I15" s="357">
        <v>6.5</v>
      </c>
      <c r="J15" s="357">
        <v>6.5</v>
      </c>
      <c r="K15" s="359">
        <v>6.7</v>
      </c>
      <c r="L15" s="359">
        <v>6.8</v>
      </c>
      <c r="M15" s="359">
        <v>6.9</v>
      </c>
      <c r="N15" s="357">
        <v>6.9</v>
      </c>
      <c r="O15" s="357">
        <v>6.7</v>
      </c>
      <c r="P15" s="357">
        <v>6.6</v>
      </c>
      <c r="Q15" s="357">
        <v>6.8</v>
      </c>
      <c r="R15" s="357">
        <v>6.6</v>
      </c>
      <c r="S15" s="462">
        <v>6.7</v>
      </c>
      <c r="T15" s="462">
        <v>6.2</v>
      </c>
      <c r="U15" s="462">
        <v>6.6</v>
      </c>
      <c r="V15" s="462">
        <v>6.5</v>
      </c>
      <c r="W15" s="357">
        <v>6.5</v>
      </c>
      <c r="X15" s="357">
        <v>6.8</v>
      </c>
      <c r="Y15" s="357">
        <v>6.7</v>
      </c>
      <c r="Z15" s="462">
        <v>6.7</v>
      </c>
      <c r="AA15" s="462">
        <v>6.7</v>
      </c>
      <c r="AB15" s="462">
        <v>6.8</v>
      </c>
      <c r="AC15" s="46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6.5</v>
      </c>
      <c r="G16" s="357">
        <v>6.7</v>
      </c>
      <c r="H16" s="357">
        <v>6.5</v>
      </c>
      <c r="I16" s="357">
        <v>6.5</v>
      </c>
      <c r="J16" s="357">
        <v>6.5</v>
      </c>
      <c r="K16" s="359">
        <v>6.7</v>
      </c>
      <c r="L16" s="359">
        <v>6.8</v>
      </c>
      <c r="M16" s="357">
        <v>6.9</v>
      </c>
      <c r="N16" s="359">
        <v>6.9</v>
      </c>
      <c r="O16" s="357">
        <v>6.7</v>
      </c>
      <c r="P16" s="357">
        <v>6.6</v>
      </c>
      <c r="Q16" s="357">
        <v>6.8</v>
      </c>
      <c r="R16" s="357">
        <v>6.6</v>
      </c>
      <c r="S16" s="462">
        <v>6.7</v>
      </c>
      <c r="T16" s="462">
        <v>6.2</v>
      </c>
      <c r="U16" s="462">
        <v>6.6</v>
      </c>
      <c r="V16" s="462">
        <v>6.5</v>
      </c>
      <c r="W16" s="357">
        <v>6.5</v>
      </c>
      <c r="X16" s="357">
        <v>6.8</v>
      </c>
      <c r="Y16" s="357">
        <v>6.7</v>
      </c>
      <c r="Z16" s="462">
        <v>6.7</v>
      </c>
      <c r="AA16" s="462">
        <v>6.7</v>
      </c>
      <c r="AB16" s="462">
        <v>6.8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13</v>
      </c>
      <c r="J17" s="19">
        <f t="shared" si="1"/>
        <v>13</v>
      </c>
      <c r="K17" s="19">
        <f t="shared" si="1"/>
        <v>13.4</v>
      </c>
      <c r="L17" s="19">
        <f t="shared" si="1"/>
        <v>13.6</v>
      </c>
      <c r="M17" s="19">
        <f t="shared" si="1"/>
        <v>13.8</v>
      </c>
      <c r="N17" s="19">
        <f t="shared" si="1"/>
        <v>15.3</v>
      </c>
      <c r="O17" s="19">
        <f t="shared" si="1"/>
        <v>20.100000000000001</v>
      </c>
      <c r="P17" s="19">
        <f t="shared" si="1"/>
        <v>19.799999999999997</v>
      </c>
      <c r="Q17" s="19">
        <f t="shared" si="1"/>
        <v>20.399999999999999</v>
      </c>
      <c r="R17" s="19">
        <f t="shared" si="1"/>
        <v>19.799999999999997</v>
      </c>
      <c r="S17" s="463">
        <f t="shared" si="1"/>
        <v>20.100000000000001</v>
      </c>
      <c r="T17" s="463">
        <f t="shared" si="1"/>
        <v>18.600000000000001</v>
      </c>
      <c r="U17" s="19">
        <f t="shared" si="1"/>
        <v>19.799999999999997</v>
      </c>
      <c r="V17" s="19">
        <f t="shared" si="1"/>
        <v>19.5</v>
      </c>
      <c r="W17" s="19">
        <f t="shared" si="1"/>
        <v>19.5</v>
      </c>
      <c r="X17" s="19">
        <f t="shared" si="1"/>
        <v>20.399999999999999</v>
      </c>
      <c r="Y17" s="19">
        <f t="shared" si="1"/>
        <v>20.100000000000001</v>
      </c>
      <c r="Z17" s="463">
        <f t="shared" si="1"/>
        <v>20.100000000000001</v>
      </c>
      <c r="AA17" s="463">
        <f t="shared" si="1"/>
        <v>20.100000000000001</v>
      </c>
      <c r="AB17" s="463">
        <f>SUM(AB13:AB16)</f>
        <v>20.399999999999999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32.6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2</v>
      </c>
      <c r="P19" s="357">
        <v>2.8</v>
      </c>
      <c r="Q19" s="357">
        <v>2.8</v>
      </c>
      <c r="R19" s="357">
        <v>2.8</v>
      </c>
      <c r="S19" s="462">
        <v>2.8</v>
      </c>
      <c r="T19" s="462">
        <v>2.6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2.8</v>
      </c>
      <c r="AA19" s="357"/>
      <c r="AB19" s="357"/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</v>
      </c>
      <c r="P22" s="19">
        <f t="shared" si="3"/>
        <v>2.8</v>
      </c>
      <c r="Q22" s="19">
        <f t="shared" si="3"/>
        <v>2.8</v>
      </c>
      <c r="R22" s="19">
        <f t="shared" si="3"/>
        <v>2.8</v>
      </c>
      <c r="S22" s="463">
        <f>SUM(S19:S21)</f>
        <v>2.8</v>
      </c>
      <c r="T22" s="463">
        <f t="shared" ref="T22" si="4">SUM(T19:T21)</f>
        <v>2.6</v>
      </c>
      <c r="U22" s="19">
        <f t="shared" si="3"/>
        <v>2.8</v>
      </c>
      <c r="V22" s="19">
        <f t="shared" si="3"/>
        <v>2.8</v>
      </c>
      <c r="W22" s="19">
        <f t="shared" si="3"/>
        <v>2.8</v>
      </c>
      <c r="X22" s="19">
        <f t="shared" si="3"/>
        <v>2.8</v>
      </c>
      <c r="Y22" s="19">
        <f t="shared" si="3"/>
        <v>2.8</v>
      </c>
      <c r="Z22" s="463">
        <f>SUM(Z19:Z21)</f>
        <v>2.8</v>
      </c>
      <c r="AA22" s="463">
        <f t="shared" si="3"/>
        <v>0</v>
      </c>
      <c r="AB22" s="463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44.899999999999991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2</v>
      </c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</v>
      </c>
      <c r="W24" s="357">
        <v>3</v>
      </c>
      <c r="X24" s="357">
        <v>3.5</v>
      </c>
      <c r="Y24" s="357">
        <v>3.8</v>
      </c>
      <c r="Z24" s="357">
        <v>3.8</v>
      </c>
      <c r="AA24" s="357">
        <v>3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3.8</v>
      </c>
      <c r="V25" s="19">
        <f t="shared" si="6"/>
        <v>3</v>
      </c>
      <c r="W25" s="19">
        <f t="shared" si="6"/>
        <v>3</v>
      </c>
      <c r="X25" s="19">
        <f t="shared" si="6"/>
        <v>3.5</v>
      </c>
      <c r="Y25" s="19">
        <f t="shared" si="6"/>
        <v>3.8</v>
      </c>
      <c r="Z25" s="463">
        <f t="shared" si="6"/>
        <v>3.8</v>
      </c>
      <c r="AA25" s="463">
        <f t="shared" si="6"/>
        <v>3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74.699999999999989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2.5</v>
      </c>
      <c r="N27" s="357">
        <v>3.9</v>
      </c>
      <c r="O27" s="357">
        <v>3.8</v>
      </c>
      <c r="P27" s="357">
        <v>3.8</v>
      </c>
      <c r="Q27" s="357">
        <v>3.8</v>
      </c>
      <c r="R27" s="357">
        <v>3.8</v>
      </c>
      <c r="S27" s="462">
        <v>3.7</v>
      </c>
      <c r="T27" s="462">
        <v>3.8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1.5</v>
      </c>
      <c r="G28" s="357">
        <v>1.5</v>
      </c>
      <c r="H28" s="357">
        <v>2</v>
      </c>
      <c r="I28" s="357">
        <v>2</v>
      </c>
      <c r="J28" s="359">
        <v>1.5</v>
      </c>
      <c r="K28" s="357">
        <v>1.7</v>
      </c>
      <c r="L28" s="359">
        <v>3.5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357">
        <v>0</v>
      </c>
      <c r="T28" s="462">
        <v>0</v>
      </c>
      <c r="U28" s="357">
        <v>3.8</v>
      </c>
      <c r="V28" s="359">
        <v>3.8</v>
      </c>
      <c r="W28" s="357">
        <v>3.8</v>
      </c>
      <c r="X28" s="357">
        <v>3.8</v>
      </c>
      <c r="Y28" s="357">
        <v>3.8</v>
      </c>
      <c r="Z28" s="357">
        <v>3.8</v>
      </c>
      <c r="AA28" s="357">
        <v>3.8</v>
      </c>
      <c r="AB28" s="357">
        <v>3.8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164.5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9"/>
      <c r="V29" s="357"/>
      <c r="W29" s="359"/>
      <c r="X29" s="357"/>
      <c r="Y29" s="359"/>
      <c r="Z29" s="357"/>
      <c r="AA29" s="357" t="s">
        <v>9</v>
      </c>
      <c r="AB29" s="357" t="s">
        <v>9</v>
      </c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4.5999999999999996</v>
      </c>
      <c r="G30" s="357">
        <v>7</v>
      </c>
      <c r="H30" s="357">
        <v>7</v>
      </c>
      <c r="I30" s="357">
        <v>6.9</v>
      </c>
      <c r="J30" s="357">
        <v>6.4</v>
      </c>
      <c r="K30" s="357">
        <v>6.3</v>
      </c>
      <c r="L30" s="357">
        <v>7</v>
      </c>
      <c r="M30" s="357">
        <v>7</v>
      </c>
      <c r="N30" s="357">
        <v>7</v>
      </c>
      <c r="O30" s="357">
        <v>7</v>
      </c>
      <c r="P30" s="357">
        <v>7.2</v>
      </c>
      <c r="Q30" s="357">
        <v>7.3</v>
      </c>
      <c r="R30" s="357">
        <v>7.1</v>
      </c>
      <c r="S30" s="462">
        <v>7.2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9">
        <v>6.5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6.1</v>
      </c>
      <c r="G31" s="19">
        <f>SUM(G27:G30)</f>
        <v>8.5</v>
      </c>
      <c r="H31" s="19">
        <f>SUM(H27:H30)</f>
        <v>9</v>
      </c>
      <c r="I31" s="19">
        <f t="shared" ref="I31:X31" si="8">SUM(I27:I30)</f>
        <v>8.9</v>
      </c>
      <c r="J31" s="19">
        <f t="shared" si="8"/>
        <v>7.9</v>
      </c>
      <c r="K31" s="19">
        <f t="shared" si="8"/>
        <v>8</v>
      </c>
      <c r="L31" s="19">
        <f t="shared" si="8"/>
        <v>10.5</v>
      </c>
      <c r="M31" s="19">
        <f t="shared" si="8"/>
        <v>9.5</v>
      </c>
      <c r="N31" s="19">
        <f t="shared" si="8"/>
        <v>10.9</v>
      </c>
      <c r="O31" s="19">
        <f t="shared" si="8"/>
        <v>10.8</v>
      </c>
      <c r="P31" s="19">
        <f t="shared" si="8"/>
        <v>11</v>
      </c>
      <c r="Q31" s="19">
        <f t="shared" si="8"/>
        <v>11.1</v>
      </c>
      <c r="R31" s="19">
        <f t="shared" si="8"/>
        <v>10.899999999999999</v>
      </c>
      <c r="S31" s="463">
        <f t="shared" si="8"/>
        <v>10.9</v>
      </c>
      <c r="T31" s="463">
        <f t="shared" si="8"/>
        <v>10.8</v>
      </c>
      <c r="U31" s="19">
        <f t="shared" si="8"/>
        <v>10.8</v>
      </c>
      <c r="V31" s="19">
        <f t="shared" si="8"/>
        <v>10.8</v>
      </c>
      <c r="W31" s="19">
        <f t="shared" si="8"/>
        <v>10.8</v>
      </c>
      <c r="X31" s="19">
        <f t="shared" si="8"/>
        <v>10.8</v>
      </c>
      <c r="Y31" s="19">
        <f>SUM(Y27:Y30)</f>
        <v>10.8</v>
      </c>
      <c r="Z31" s="19">
        <f t="shared" ref="Z31:AC31" si="9">SUM(Z27:Z30)</f>
        <v>10.8</v>
      </c>
      <c r="AA31" s="19">
        <f t="shared" si="9"/>
        <v>10.8</v>
      </c>
      <c r="AB31" s="19">
        <f t="shared" si="9"/>
        <v>10.8</v>
      </c>
      <c r="AC31" s="19">
        <f t="shared" si="9"/>
        <v>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342.30999999999995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14.26</v>
      </c>
      <c r="G33" s="357">
        <v>14.25</v>
      </c>
      <c r="H33" s="357">
        <v>14.27</v>
      </c>
      <c r="I33" s="359">
        <v>14.26</v>
      </c>
      <c r="J33" s="357">
        <v>14.28</v>
      </c>
      <c r="K33" s="357">
        <v>14.24</v>
      </c>
      <c r="L33" s="359">
        <v>14.26</v>
      </c>
      <c r="M33" s="357">
        <v>14.27</v>
      </c>
      <c r="N33" s="357">
        <v>14.26</v>
      </c>
      <c r="O33" s="357">
        <v>14.26</v>
      </c>
      <c r="P33" s="357">
        <v>14.28</v>
      </c>
      <c r="Q33" s="359">
        <v>14.25</v>
      </c>
      <c r="R33" s="357">
        <v>14.25</v>
      </c>
      <c r="S33" s="462">
        <v>14.27</v>
      </c>
      <c r="T33" s="462">
        <v>14.27</v>
      </c>
      <c r="U33" s="462">
        <v>14.26</v>
      </c>
      <c r="V33" s="359">
        <v>14.27</v>
      </c>
      <c r="W33" s="357">
        <v>14.26</v>
      </c>
      <c r="X33" s="357">
        <v>14.27</v>
      </c>
      <c r="Y33" s="357">
        <v>14.27</v>
      </c>
      <c r="Z33" s="357">
        <v>14.26</v>
      </c>
      <c r="AA33" s="357">
        <v>14.26</v>
      </c>
      <c r="AB33" s="357">
        <v>14.27</v>
      </c>
      <c r="AC33" s="357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14.26</v>
      </c>
      <c r="G34" s="19">
        <f t="shared" ref="G34:AC34" si="11">SUM(G33)</f>
        <v>14.25</v>
      </c>
      <c r="H34" s="19">
        <f t="shared" si="11"/>
        <v>14.27</v>
      </c>
      <c r="I34" s="19">
        <f t="shared" si="11"/>
        <v>14.26</v>
      </c>
      <c r="J34" s="19">
        <f t="shared" si="11"/>
        <v>14.28</v>
      </c>
      <c r="K34" s="19">
        <f t="shared" si="11"/>
        <v>14.24</v>
      </c>
      <c r="L34" s="19">
        <f t="shared" si="11"/>
        <v>14.26</v>
      </c>
      <c r="M34" s="19">
        <f t="shared" si="11"/>
        <v>14.27</v>
      </c>
      <c r="N34" s="19">
        <f t="shared" si="11"/>
        <v>14.26</v>
      </c>
      <c r="O34" s="19">
        <f t="shared" si="11"/>
        <v>14.26</v>
      </c>
      <c r="P34" s="19">
        <f t="shared" si="11"/>
        <v>14.28</v>
      </c>
      <c r="Q34" s="19">
        <f t="shared" si="11"/>
        <v>14.25</v>
      </c>
      <c r="R34" s="19">
        <f t="shared" si="11"/>
        <v>14.25</v>
      </c>
      <c r="S34" s="19">
        <f t="shared" si="11"/>
        <v>14.27</v>
      </c>
      <c r="T34" s="463">
        <f t="shared" si="11"/>
        <v>14.27</v>
      </c>
      <c r="U34" s="19">
        <f t="shared" si="11"/>
        <v>14.26</v>
      </c>
      <c r="V34" s="19">
        <f t="shared" si="11"/>
        <v>14.27</v>
      </c>
      <c r="W34" s="19">
        <f t="shared" si="11"/>
        <v>14.26</v>
      </c>
      <c r="X34" s="19">
        <f t="shared" si="11"/>
        <v>14.27</v>
      </c>
      <c r="Y34" s="19">
        <f t="shared" si="11"/>
        <v>14.27</v>
      </c>
      <c r="Z34" s="19">
        <f t="shared" si="11"/>
        <v>14.26</v>
      </c>
      <c r="AA34" s="19">
        <f t="shared" si="11"/>
        <v>14.26</v>
      </c>
      <c r="AB34" s="19">
        <f t="shared" si="11"/>
        <v>14.27</v>
      </c>
      <c r="AC34" s="19">
        <f t="shared" si="11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21.199999999999992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>
        <v>0</v>
      </c>
      <c r="P40" s="359">
        <v>0</v>
      </c>
      <c r="Q40" s="357">
        <v>0</v>
      </c>
      <c r="R40" s="357">
        <v>0</v>
      </c>
      <c r="S40" s="462">
        <v>0</v>
      </c>
      <c r="T40" s="462">
        <v>0</v>
      </c>
      <c r="U40" s="357">
        <v>0</v>
      </c>
      <c r="V40" s="462">
        <v>0</v>
      </c>
      <c r="W40" s="357">
        <v>0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15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9"/>
      <c r="N47" s="357"/>
      <c r="O47" s="357" t="s">
        <v>9</v>
      </c>
      <c r="P47" s="359" t="s">
        <v>9</v>
      </c>
      <c r="Q47" s="357" t="s">
        <v>9</v>
      </c>
      <c r="R47" s="357" t="s">
        <v>9</v>
      </c>
      <c r="S47" s="462" t="s">
        <v>9</v>
      </c>
      <c r="T47" s="357" t="s">
        <v>9</v>
      </c>
      <c r="U47" s="357" t="s">
        <v>9</v>
      </c>
      <c r="V47" s="462" t="s">
        <v>9</v>
      </c>
      <c r="W47" s="357" t="s">
        <v>9</v>
      </c>
      <c r="X47" s="357" t="s">
        <v>9</v>
      </c>
      <c r="Y47" s="357">
        <v>0.8</v>
      </c>
      <c r="Z47" s="357"/>
      <c r="AA47" s="357"/>
      <c r="AB47" s="357"/>
      <c r="AC47" s="357"/>
      <c r="AD47" s="41"/>
      <c r="AE47" s="41"/>
      <c r="AF47" s="11">
        <f t="shared" si="12"/>
        <v>10</v>
      </c>
      <c r="AG47" s="11">
        <f t="shared" si="13"/>
        <v>0</v>
      </c>
      <c r="AH47" s="11">
        <f t="shared" si="14"/>
        <v>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9"/>
      <c r="N48" s="357">
        <v>0.9</v>
      </c>
      <c r="O48" s="357">
        <v>0</v>
      </c>
      <c r="P48" s="359">
        <v>0.8</v>
      </c>
      <c r="Q48" s="357">
        <v>0.8</v>
      </c>
      <c r="R48" s="357">
        <v>0.8</v>
      </c>
      <c r="S48" s="462"/>
      <c r="T48" s="357">
        <v>0.75</v>
      </c>
      <c r="U48" s="357"/>
      <c r="V48" s="462"/>
      <c r="W48" s="357"/>
      <c r="X48" s="357"/>
      <c r="Y48" s="357">
        <v>0.8</v>
      </c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7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9"/>
      <c r="N50" s="357">
        <v>0.9</v>
      </c>
      <c r="O50" s="359">
        <v>0</v>
      </c>
      <c r="P50" s="359">
        <v>0</v>
      </c>
      <c r="Q50" s="357">
        <v>0.8</v>
      </c>
      <c r="R50" s="357">
        <v>0.8</v>
      </c>
      <c r="S50" s="462"/>
      <c r="T50" s="357"/>
      <c r="U50" s="357">
        <v>0.7</v>
      </c>
      <c r="V50" s="462">
        <v>0.7</v>
      </c>
      <c r="W50" s="357">
        <v>0.7</v>
      </c>
      <c r="X50" s="357"/>
      <c r="Y50" s="357">
        <v>0.7</v>
      </c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>
        <v>0.85</v>
      </c>
      <c r="O51" s="357">
        <v>0</v>
      </c>
      <c r="P51" s="359">
        <v>0.7</v>
      </c>
      <c r="Q51" s="357">
        <v>0.7</v>
      </c>
      <c r="R51" s="357">
        <v>0.7</v>
      </c>
      <c r="S51" s="462"/>
      <c r="T51" s="357">
        <v>0.75</v>
      </c>
      <c r="U51" s="357">
        <v>0.7</v>
      </c>
      <c r="V51" s="462">
        <v>0.7</v>
      </c>
      <c r="W51" s="357"/>
      <c r="X51" s="357"/>
      <c r="Y51" s="357"/>
      <c r="Z51" s="357"/>
      <c r="AA51" s="357">
        <v>0.8</v>
      </c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9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9"/>
      <c r="N56" s="357">
        <v>0.85</v>
      </c>
      <c r="O56" s="357">
        <v>0</v>
      </c>
      <c r="P56" s="359">
        <v>0.7</v>
      </c>
      <c r="Q56" s="357">
        <v>0.7</v>
      </c>
      <c r="R56" s="357">
        <v>0.7</v>
      </c>
      <c r="S56" s="462">
        <v>0.7</v>
      </c>
      <c r="T56" s="357"/>
      <c r="U56" s="357"/>
      <c r="V56" s="462"/>
      <c r="W56" s="357"/>
      <c r="X56" s="357"/>
      <c r="Y56" s="357">
        <v>0.7</v>
      </c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7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 t="shared" si="16"/>
        <v>3.5</v>
      </c>
      <c r="O60" s="19">
        <f t="shared" si="16"/>
        <v>0</v>
      </c>
      <c r="P60" s="19">
        <f t="shared" si="16"/>
        <v>2.2000000000000002</v>
      </c>
      <c r="Q60" s="19">
        <f t="shared" si="16"/>
        <v>3</v>
      </c>
      <c r="R60" s="19">
        <f t="shared" si="16"/>
        <v>3</v>
      </c>
      <c r="S60" s="19">
        <f t="shared" si="16"/>
        <v>0.7</v>
      </c>
      <c r="T60" s="19">
        <f t="shared" si="16"/>
        <v>1.5</v>
      </c>
      <c r="U60" s="19">
        <f t="shared" si="16"/>
        <v>1.4</v>
      </c>
      <c r="V60" s="19">
        <f t="shared" si="16"/>
        <v>1.4</v>
      </c>
      <c r="W60" s="19">
        <f t="shared" si="16"/>
        <v>0.7</v>
      </c>
      <c r="X60" s="19">
        <f t="shared" si="16"/>
        <v>0</v>
      </c>
      <c r="Y60" s="19">
        <f>SUM(Y36:Y59)</f>
        <v>3</v>
      </c>
      <c r="Z60" s="19">
        <f t="shared" si="16"/>
        <v>0</v>
      </c>
      <c r="AA60" s="19">
        <f t="shared" si="16"/>
        <v>0.8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26.104999999999997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0.48</v>
      </c>
      <c r="G62" s="357">
        <v>0.44</v>
      </c>
      <c r="H62" s="357">
        <v>0</v>
      </c>
      <c r="I62" s="359"/>
      <c r="J62" s="357"/>
      <c r="K62" s="357"/>
      <c r="L62" s="357"/>
      <c r="M62" s="357">
        <v>0.5</v>
      </c>
      <c r="N62" s="357">
        <f>1.03/2</f>
        <v>0.51500000000000001</v>
      </c>
      <c r="O62" s="357">
        <f>1.15/2</f>
        <v>0.57499999999999996</v>
      </c>
      <c r="P62" s="357">
        <v>0.57999999999999996</v>
      </c>
      <c r="Q62" s="357">
        <v>0.61</v>
      </c>
      <c r="R62" s="357">
        <v>0.6</v>
      </c>
      <c r="S62" s="357">
        <v>0.57999999999999996</v>
      </c>
      <c r="T62" s="357">
        <v>0.6</v>
      </c>
      <c r="U62" s="357">
        <v>0.61</v>
      </c>
      <c r="V62" s="357">
        <v>0.59</v>
      </c>
      <c r="W62" s="357">
        <f>1.13/2</f>
        <v>0.56499999999999995</v>
      </c>
      <c r="X62" s="462">
        <v>0.56000000000000005</v>
      </c>
      <c r="Y62" s="357"/>
      <c r="Z62" s="357"/>
      <c r="AA62" s="357"/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0.48</v>
      </c>
      <c r="G63" s="357">
        <v>0.44</v>
      </c>
      <c r="H63" s="357">
        <f>0.87/2</f>
        <v>0.435</v>
      </c>
      <c r="I63" s="359">
        <f>0.83/2</f>
        <v>0.41499999999999998</v>
      </c>
      <c r="J63" s="357">
        <f>0.79/2</f>
        <v>0.39500000000000002</v>
      </c>
      <c r="K63" s="357">
        <f>0.83/2</f>
        <v>0.41499999999999998</v>
      </c>
      <c r="L63" s="357">
        <f>0.92/2</f>
        <v>0.46</v>
      </c>
      <c r="M63" s="357">
        <v>0</v>
      </c>
      <c r="N63" s="357"/>
      <c r="O63" s="357"/>
      <c r="P63" s="357"/>
      <c r="Q63" s="357"/>
      <c r="R63" s="357"/>
      <c r="S63" s="357">
        <v>0.57999999999999996</v>
      </c>
      <c r="T63" s="462">
        <v>0.6</v>
      </c>
      <c r="U63" s="462">
        <v>0.61</v>
      </c>
      <c r="V63" s="462">
        <v>0.59</v>
      </c>
      <c r="W63" s="357">
        <f>1.13/2</f>
        <v>0.56499999999999995</v>
      </c>
      <c r="X63" s="462">
        <v>0.56000000000000005</v>
      </c>
      <c r="Y63" s="462">
        <v>0.68500000000000005</v>
      </c>
      <c r="Z63" s="357">
        <v>0.7</v>
      </c>
      <c r="AA63" s="462">
        <v>0.64</v>
      </c>
      <c r="AB63" s="357">
        <f>1.2/2</f>
        <v>0.6</v>
      </c>
      <c r="AC63" s="357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>
        <f>0.87/2</f>
        <v>0.435</v>
      </c>
      <c r="I64" s="359">
        <f>0.83/2</f>
        <v>0.41499999999999998</v>
      </c>
      <c r="J64" s="357">
        <f>0.79/2</f>
        <v>0.39500000000000002</v>
      </c>
      <c r="K64" s="357">
        <f>0.84/2</f>
        <v>0.42</v>
      </c>
      <c r="L64" s="357">
        <f>0.92/2</f>
        <v>0.46</v>
      </c>
      <c r="M64" s="357">
        <v>0.5</v>
      </c>
      <c r="N64" s="357">
        <f>1.03/2</f>
        <v>0.51500000000000001</v>
      </c>
      <c r="O64" s="357">
        <f>1.15/2</f>
        <v>0.57499999999999996</v>
      </c>
      <c r="P64" s="357">
        <v>0.57999999999999996</v>
      </c>
      <c r="Q64" s="357">
        <v>0.61</v>
      </c>
      <c r="R64" s="357">
        <v>0.6</v>
      </c>
      <c r="S64" s="357"/>
      <c r="T64" s="462"/>
      <c r="U64" s="462"/>
      <c r="V64" s="462"/>
      <c r="W64" s="462"/>
      <c r="X64" s="357"/>
      <c r="Y64" s="462">
        <v>0.68500000000000005</v>
      </c>
      <c r="Z64" s="462">
        <v>0.7</v>
      </c>
      <c r="AA64" s="462">
        <v>0.64</v>
      </c>
      <c r="AB64" s="357">
        <f>1.2/2</f>
        <v>0.6</v>
      </c>
      <c r="AC64" s="357">
        <f>1/2</f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0.96</v>
      </c>
      <c r="G65" s="19">
        <f t="shared" ref="G65:AB65" si="17">SUM(G62:G64)</f>
        <v>0.88</v>
      </c>
      <c r="H65" s="19">
        <f t="shared" si="17"/>
        <v>0.87</v>
      </c>
      <c r="I65" s="19">
        <f t="shared" si="17"/>
        <v>0.83</v>
      </c>
      <c r="J65" s="19">
        <f t="shared" si="17"/>
        <v>0.79</v>
      </c>
      <c r="K65" s="19">
        <f t="shared" si="17"/>
        <v>0.83499999999999996</v>
      </c>
      <c r="L65" s="19">
        <f t="shared" si="17"/>
        <v>0.92</v>
      </c>
      <c r="M65" s="19">
        <f t="shared" si="17"/>
        <v>1</v>
      </c>
      <c r="N65" s="19">
        <f t="shared" si="17"/>
        <v>1.03</v>
      </c>
      <c r="O65" s="19">
        <f t="shared" si="17"/>
        <v>1.1499999999999999</v>
      </c>
      <c r="P65" s="19">
        <f t="shared" si="17"/>
        <v>1.1599999999999999</v>
      </c>
      <c r="Q65" s="19">
        <f t="shared" si="17"/>
        <v>1.22</v>
      </c>
      <c r="R65" s="19">
        <f t="shared" si="17"/>
        <v>1.2</v>
      </c>
      <c r="S65" s="463">
        <f t="shared" si="17"/>
        <v>1.1599999999999999</v>
      </c>
      <c r="T65" s="463">
        <f t="shared" si="17"/>
        <v>1.2</v>
      </c>
      <c r="U65" s="463">
        <f t="shared" si="17"/>
        <v>1.22</v>
      </c>
      <c r="V65" s="19">
        <f>SUM(V62:V64)</f>
        <v>1.18</v>
      </c>
      <c r="W65" s="19">
        <f t="shared" si="17"/>
        <v>1.1299999999999999</v>
      </c>
      <c r="X65" s="19">
        <f t="shared" si="17"/>
        <v>1.1200000000000001</v>
      </c>
      <c r="Y65" s="19">
        <f>SUM(Y62:Y64)</f>
        <v>1.37</v>
      </c>
      <c r="Z65" s="19">
        <f>SUM(Z62:Z64)</f>
        <v>1.4</v>
      </c>
      <c r="AA65" s="19">
        <f t="shared" si="17"/>
        <v>1.28</v>
      </c>
      <c r="AB65" s="19">
        <f t="shared" si="17"/>
        <v>1.2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63">
        <f t="shared" si="22"/>
        <v>0</v>
      </c>
      <c r="T76" s="463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20.270000000000003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/>
      <c r="N78" s="359"/>
      <c r="O78" s="357">
        <v>0.82</v>
      </c>
      <c r="P78" s="357">
        <v>0.87</v>
      </c>
      <c r="Q78" s="357">
        <v>0.86</v>
      </c>
      <c r="R78" s="357">
        <v>0.91</v>
      </c>
      <c r="S78" s="357">
        <v>0.88</v>
      </c>
      <c r="T78" s="357">
        <v>0.9</v>
      </c>
      <c r="U78" s="357">
        <v>0.91</v>
      </c>
      <c r="V78" s="357">
        <v>0.9</v>
      </c>
      <c r="W78" s="357">
        <v>0.89</v>
      </c>
      <c r="X78" s="357">
        <v>0.84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0.81</v>
      </c>
      <c r="G79" s="357">
        <v>0.77</v>
      </c>
      <c r="H79" s="357">
        <v>0.73</v>
      </c>
      <c r="I79" s="357">
        <v>0.72</v>
      </c>
      <c r="J79" s="357">
        <v>0.71</v>
      </c>
      <c r="K79" s="357">
        <v>0.73</v>
      </c>
      <c r="L79" s="359">
        <v>0.76</v>
      </c>
      <c r="M79" s="359">
        <v>0.74</v>
      </c>
      <c r="N79" s="359">
        <v>0.76</v>
      </c>
      <c r="O79" s="357">
        <v>0</v>
      </c>
      <c r="P79" s="357">
        <v>0</v>
      </c>
      <c r="Q79" s="357">
        <v>0</v>
      </c>
      <c r="R79" s="357">
        <v>0</v>
      </c>
      <c r="S79" s="357">
        <v>0</v>
      </c>
      <c r="T79" s="357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0.97</v>
      </c>
      <c r="Z79" s="357">
        <v>1.02</v>
      </c>
      <c r="AA79" s="357">
        <v>0.99</v>
      </c>
      <c r="AB79" s="357">
        <v>0.92</v>
      </c>
      <c r="AC79" s="357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3">SUM(F78:F79)</f>
        <v>0.81</v>
      </c>
      <c r="G80" s="19">
        <f t="shared" si="23"/>
        <v>0.77</v>
      </c>
      <c r="H80" s="19">
        <f>SUM(H78:H79)</f>
        <v>0.73</v>
      </c>
      <c r="I80" s="19">
        <f>SUM(I78:I79)</f>
        <v>0.72</v>
      </c>
      <c r="J80" s="19">
        <f t="shared" ref="J80:AC80" si="24">SUM(J78:J79)</f>
        <v>0.71</v>
      </c>
      <c r="K80" s="19">
        <f t="shared" si="24"/>
        <v>0.73</v>
      </c>
      <c r="L80" s="19">
        <f>SUM(L78:L79)</f>
        <v>0.76</v>
      </c>
      <c r="M80" s="19">
        <f t="shared" si="24"/>
        <v>0.74</v>
      </c>
      <c r="N80" s="19">
        <f t="shared" si="24"/>
        <v>0.76</v>
      </c>
      <c r="O80" s="19">
        <f>SUM(O78:O79)</f>
        <v>0.82</v>
      </c>
      <c r="P80" s="19">
        <f>SUM(P78:P79)</f>
        <v>0.87</v>
      </c>
      <c r="Q80" s="19">
        <f t="shared" si="24"/>
        <v>0.86</v>
      </c>
      <c r="R80" s="19">
        <f t="shared" si="24"/>
        <v>0.91</v>
      </c>
      <c r="S80" s="463">
        <f t="shared" si="24"/>
        <v>0.88</v>
      </c>
      <c r="T80" s="463">
        <f t="shared" si="24"/>
        <v>0.9</v>
      </c>
      <c r="U80" s="19">
        <f t="shared" si="24"/>
        <v>0.91</v>
      </c>
      <c r="V80" s="19">
        <f t="shared" si="24"/>
        <v>0.9</v>
      </c>
      <c r="W80" s="19">
        <f t="shared" si="24"/>
        <v>0.89</v>
      </c>
      <c r="X80" s="19">
        <f t="shared" si="24"/>
        <v>0.84</v>
      </c>
      <c r="Y80" s="19">
        <f t="shared" si="24"/>
        <v>0.97</v>
      </c>
      <c r="Z80" s="19">
        <f t="shared" si="24"/>
        <v>1.02</v>
      </c>
      <c r="AA80" s="19">
        <f t="shared" si="24"/>
        <v>0.99</v>
      </c>
      <c r="AB80" s="19">
        <f t="shared" si="24"/>
        <v>0.92</v>
      </c>
      <c r="AC80" s="19">
        <f t="shared" si="24"/>
        <v>0.86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5">SUM(F17,F22,F25,F31,F34,F60,F65,F76,F80,F82)</f>
        <v>42.13</v>
      </c>
      <c r="G83" s="28">
        <f>SUM(G17,G22,G25,G31,G34,G60,G65,G76,G80,G82)</f>
        <v>37.800000000000004</v>
      </c>
      <c r="H83" s="28">
        <f t="shared" ref="H83:AC83" si="26">SUM(H17,H22,H25,H31,H34,H60,H65,H76,H80,H82)</f>
        <v>37.86999999999999</v>
      </c>
      <c r="I83" s="28">
        <f t="shared" si="26"/>
        <v>37.709999999999994</v>
      </c>
      <c r="J83" s="28">
        <f t="shared" si="26"/>
        <v>36.68</v>
      </c>
      <c r="K83" s="28">
        <f t="shared" si="26"/>
        <v>37.204999999999998</v>
      </c>
      <c r="L83" s="28">
        <f t="shared" si="26"/>
        <v>40.04</v>
      </c>
      <c r="M83" s="28">
        <f t="shared" si="26"/>
        <v>39.31</v>
      </c>
      <c r="N83" s="28">
        <f t="shared" si="26"/>
        <v>45.75</v>
      </c>
      <c r="O83" s="28">
        <f t="shared" si="26"/>
        <v>51.13</v>
      </c>
      <c r="P83" s="28">
        <f t="shared" si="26"/>
        <v>55.91</v>
      </c>
      <c r="Q83" s="28">
        <f t="shared" si="26"/>
        <v>57.43</v>
      </c>
      <c r="R83" s="28">
        <f t="shared" si="26"/>
        <v>56.66</v>
      </c>
      <c r="S83" s="518">
        <f t="shared" si="26"/>
        <v>54.610000000000007</v>
      </c>
      <c r="T83" s="518">
        <f t="shared" si="26"/>
        <v>53.670000000000009</v>
      </c>
      <c r="U83" s="518">
        <f t="shared" si="26"/>
        <v>54.989999999999995</v>
      </c>
      <c r="V83" s="28">
        <f t="shared" si="26"/>
        <v>53.85</v>
      </c>
      <c r="W83" s="28">
        <f t="shared" si="26"/>
        <v>53.080000000000005</v>
      </c>
      <c r="X83" s="28">
        <f t="shared" si="26"/>
        <v>53.73</v>
      </c>
      <c r="Y83" s="28">
        <f t="shared" si="26"/>
        <v>57.109999999999992</v>
      </c>
      <c r="Z83" s="28">
        <f t="shared" si="26"/>
        <v>54.18</v>
      </c>
      <c r="AA83" s="28">
        <f t="shared" si="26"/>
        <v>51.230000000000004</v>
      </c>
      <c r="AB83" s="28">
        <f t="shared" si="26"/>
        <v>47.59</v>
      </c>
      <c r="AC83" s="28">
        <f t="shared" si="26"/>
        <v>43.919999999999995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7">SUM(F22,F25)</f>
        <v>0</v>
      </c>
      <c r="G89" s="64">
        <f t="shared" si="27"/>
        <v>0</v>
      </c>
      <c r="H89" s="64">
        <f t="shared" si="27"/>
        <v>0</v>
      </c>
      <c r="I89" s="64">
        <f t="shared" si="27"/>
        <v>0</v>
      </c>
      <c r="J89" s="64">
        <f t="shared" si="27"/>
        <v>0</v>
      </c>
      <c r="K89" s="64">
        <f t="shared" si="27"/>
        <v>0</v>
      </c>
      <c r="L89" s="64">
        <f t="shared" si="27"/>
        <v>0</v>
      </c>
      <c r="M89" s="64">
        <f t="shared" si="27"/>
        <v>0</v>
      </c>
      <c r="N89" s="64">
        <f t="shared" si="27"/>
        <v>0</v>
      </c>
      <c r="O89" s="64">
        <f t="shared" si="27"/>
        <v>4</v>
      </c>
      <c r="P89" s="64">
        <f t="shared" si="27"/>
        <v>6.6</v>
      </c>
      <c r="Q89" s="64">
        <f t="shared" si="27"/>
        <v>6.6</v>
      </c>
      <c r="R89" s="64">
        <f t="shared" si="27"/>
        <v>6.6</v>
      </c>
      <c r="S89" s="64">
        <f t="shared" si="27"/>
        <v>6.6</v>
      </c>
      <c r="T89" s="64">
        <f t="shared" si="27"/>
        <v>6.4</v>
      </c>
      <c r="U89" s="64">
        <f t="shared" si="27"/>
        <v>6.6</v>
      </c>
      <c r="V89" s="64">
        <f t="shared" si="27"/>
        <v>5.8</v>
      </c>
      <c r="W89" s="64">
        <f t="shared" si="27"/>
        <v>5.8</v>
      </c>
      <c r="X89" s="64">
        <f t="shared" si="27"/>
        <v>6.3</v>
      </c>
      <c r="Y89" s="64">
        <f t="shared" si="27"/>
        <v>6.6</v>
      </c>
      <c r="Z89" s="64">
        <f t="shared" si="27"/>
        <v>6.6</v>
      </c>
      <c r="AA89" s="64">
        <f t="shared" si="27"/>
        <v>3</v>
      </c>
      <c r="AB89" s="64">
        <f t="shared" si="27"/>
        <v>0</v>
      </c>
      <c r="AC89" s="64">
        <f t="shared" si="27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0.21</v>
      </c>
      <c r="P90" s="68">
        <v>0.14299999999999999</v>
      </c>
      <c r="Q90" s="68">
        <v>0.192</v>
      </c>
      <c r="R90" s="68">
        <v>0.23499999999999999</v>
      </c>
      <c r="S90" s="68">
        <v>0.23400000000000001</v>
      </c>
      <c r="T90" s="68">
        <v>0.218</v>
      </c>
      <c r="U90" s="68">
        <v>0.24199999999999999</v>
      </c>
      <c r="V90" s="68">
        <v>0.22900000000000001</v>
      </c>
      <c r="W90" s="68">
        <v>0.245</v>
      </c>
      <c r="X90" s="68">
        <v>0.19900000000000001</v>
      </c>
      <c r="Y90" s="68">
        <v>0.23799999999999999</v>
      </c>
      <c r="Z90" s="68">
        <v>0.20599999999999999</v>
      </c>
      <c r="AA90" s="68">
        <v>0.25800000000000001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8">F17</f>
        <v>20</v>
      </c>
      <c r="G91" s="64">
        <f t="shared" si="28"/>
        <v>13.4</v>
      </c>
      <c r="H91" s="64">
        <f t="shared" si="28"/>
        <v>13</v>
      </c>
      <c r="I91" s="64">
        <f t="shared" si="28"/>
        <v>13</v>
      </c>
      <c r="J91" s="64">
        <f t="shared" si="28"/>
        <v>13</v>
      </c>
      <c r="K91" s="64">
        <f t="shared" si="28"/>
        <v>13.4</v>
      </c>
      <c r="L91" s="64">
        <f t="shared" si="28"/>
        <v>13.6</v>
      </c>
      <c r="M91" s="64">
        <f t="shared" si="28"/>
        <v>13.8</v>
      </c>
      <c r="N91" s="64">
        <f t="shared" si="28"/>
        <v>15.3</v>
      </c>
      <c r="O91" s="64">
        <f t="shared" si="28"/>
        <v>20.100000000000001</v>
      </c>
      <c r="P91" s="64">
        <f t="shared" si="28"/>
        <v>19.799999999999997</v>
      </c>
      <c r="Q91" s="64">
        <f t="shared" si="28"/>
        <v>20.399999999999999</v>
      </c>
      <c r="R91" s="64">
        <f t="shared" si="28"/>
        <v>19.799999999999997</v>
      </c>
      <c r="S91" s="64">
        <f t="shared" si="28"/>
        <v>20.100000000000001</v>
      </c>
      <c r="T91" s="64">
        <f t="shared" si="28"/>
        <v>18.600000000000001</v>
      </c>
      <c r="U91" s="64">
        <f t="shared" si="28"/>
        <v>19.799999999999997</v>
      </c>
      <c r="V91" s="64">
        <f t="shared" si="28"/>
        <v>19.5</v>
      </c>
      <c r="W91" s="64">
        <f t="shared" si="28"/>
        <v>19.5</v>
      </c>
      <c r="X91" s="64">
        <f t="shared" si="28"/>
        <v>20.399999999999999</v>
      </c>
      <c r="Y91" s="64">
        <f t="shared" si="28"/>
        <v>20.100000000000001</v>
      </c>
      <c r="Z91" s="64">
        <f t="shared" si="28"/>
        <v>20.100000000000001</v>
      </c>
      <c r="AA91" s="64">
        <f t="shared" si="28"/>
        <v>20.100000000000001</v>
      </c>
      <c r="AB91" s="64">
        <f t="shared" si="28"/>
        <v>20.399999999999999</v>
      </c>
      <c r="AC91" s="64">
        <f t="shared" si="28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0.55300000000000005</v>
      </c>
      <c r="G92" s="68">
        <v>0.51100000000000001</v>
      </c>
      <c r="H92" s="68">
        <v>0.51900000000000002</v>
      </c>
      <c r="I92" s="68">
        <v>0.70399999999999996</v>
      </c>
      <c r="J92" s="68">
        <v>0.67500000000000004</v>
      </c>
      <c r="K92" s="68">
        <v>0.68600000000000005</v>
      </c>
      <c r="L92" s="68">
        <v>0.53500000000000003</v>
      </c>
      <c r="M92" s="68">
        <v>0.49299999999999999</v>
      </c>
      <c r="N92" s="68">
        <v>0.6</v>
      </c>
      <c r="O92" s="68">
        <v>0.55900000000000005</v>
      </c>
      <c r="P92" s="68">
        <v>0.64300000000000002</v>
      </c>
      <c r="Q92" s="68">
        <v>0.63400000000000001</v>
      </c>
      <c r="R92" s="68">
        <v>0.61499999999999999</v>
      </c>
      <c r="S92" s="68">
        <v>0.623</v>
      </c>
      <c r="T92" s="68">
        <v>0.66400000000000003</v>
      </c>
      <c r="U92" s="68">
        <v>0.56799999999999995</v>
      </c>
      <c r="V92" s="68">
        <v>0.57599999999999996</v>
      </c>
      <c r="W92" s="68">
        <v>0.69299999999999995</v>
      </c>
      <c r="X92" s="68">
        <v>0.64700000000000002</v>
      </c>
      <c r="Y92" s="68">
        <v>0.65800000000000003</v>
      </c>
      <c r="Z92" s="68">
        <v>0.63800000000000001</v>
      </c>
      <c r="AA92" s="68">
        <v>0.75700000000000001</v>
      </c>
      <c r="AB92" s="68">
        <v>0.74</v>
      </c>
      <c r="AC92" s="68">
        <v>0.78400000000000003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9">F31</f>
        <v>6.1</v>
      </c>
      <c r="G93" s="65">
        <f t="shared" si="29"/>
        <v>8.5</v>
      </c>
      <c r="H93" s="65">
        <f t="shared" si="29"/>
        <v>9</v>
      </c>
      <c r="I93" s="65">
        <f t="shared" si="29"/>
        <v>8.9</v>
      </c>
      <c r="J93" s="65">
        <f t="shared" si="29"/>
        <v>7.9</v>
      </c>
      <c r="K93" s="65">
        <f t="shared" si="29"/>
        <v>8</v>
      </c>
      <c r="L93" s="65">
        <f t="shared" si="29"/>
        <v>10.5</v>
      </c>
      <c r="M93" s="65">
        <f t="shared" si="29"/>
        <v>9.5</v>
      </c>
      <c r="N93" s="65">
        <f t="shared" si="29"/>
        <v>10.9</v>
      </c>
      <c r="O93" s="65">
        <f t="shared" si="29"/>
        <v>10.8</v>
      </c>
      <c r="P93" s="65">
        <f t="shared" si="29"/>
        <v>11</v>
      </c>
      <c r="Q93" s="65">
        <f t="shared" si="29"/>
        <v>11.1</v>
      </c>
      <c r="R93" s="65">
        <f t="shared" si="29"/>
        <v>10.899999999999999</v>
      </c>
      <c r="S93" s="65">
        <f t="shared" si="29"/>
        <v>10.9</v>
      </c>
      <c r="T93" s="65">
        <f t="shared" si="29"/>
        <v>10.8</v>
      </c>
      <c r="U93" s="65">
        <f t="shared" si="29"/>
        <v>10.8</v>
      </c>
      <c r="V93" s="65">
        <f t="shared" si="29"/>
        <v>10.8</v>
      </c>
      <c r="W93" s="65">
        <f t="shared" si="29"/>
        <v>10.8</v>
      </c>
      <c r="X93" s="65">
        <f t="shared" si="29"/>
        <v>10.8</v>
      </c>
      <c r="Y93" s="65">
        <f t="shared" si="29"/>
        <v>10.8</v>
      </c>
      <c r="Z93" s="65">
        <f t="shared" si="29"/>
        <v>10.8</v>
      </c>
      <c r="AA93" s="65">
        <f t="shared" si="29"/>
        <v>10.8</v>
      </c>
      <c r="AB93" s="65">
        <f t="shared" si="29"/>
        <v>10.8</v>
      </c>
      <c r="AC93" s="65">
        <f t="shared" si="29"/>
        <v>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0.20799999999999999</v>
      </c>
      <c r="G94" s="68">
        <v>0.187</v>
      </c>
      <c r="H94" s="68">
        <v>0.20499999999999999</v>
      </c>
      <c r="I94" s="68">
        <v>0.20300000000000001</v>
      </c>
      <c r="J94" s="68">
        <v>0.19</v>
      </c>
      <c r="K94" s="68">
        <v>0.191</v>
      </c>
      <c r="L94" s="68">
        <v>0.19</v>
      </c>
      <c r="M94" s="68">
        <v>0.19800000000000001</v>
      </c>
      <c r="N94" s="68">
        <v>0.223</v>
      </c>
      <c r="O94" s="68">
        <v>0.21199999999999999</v>
      </c>
      <c r="P94" s="68">
        <v>0.20699999999999999</v>
      </c>
      <c r="Q94" s="68">
        <v>0.20200000000000001</v>
      </c>
      <c r="R94" s="68">
        <v>0.20499999999999999</v>
      </c>
      <c r="S94" s="68">
        <v>0.21199999999999999</v>
      </c>
      <c r="T94" s="68">
        <v>0.28399999999999997</v>
      </c>
      <c r="U94" s="68">
        <v>0.184</v>
      </c>
      <c r="V94" s="68">
        <v>0.22</v>
      </c>
      <c r="W94" s="68">
        <v>0.214</v>
      </c>
      <c r="X94" s="68">
        <v>0.224</v>
      </c>
      <c r="Y94" s="68">
        <v>0.21299999999999999</v>
      </c>
      <c r="Z94" s="68">
        <v>0.19400000000000001</v>
      </c>
      <c r="AA94" s="68">
        <v>0.191</v>
      </c>
      <c r="AB94" s="68">
        <v>0.19</v>
      </c>
      <c r="AC94" s="68">
        <v>0.22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0.218</v>
      </c>
      <c r="G95" s="68">
        <v>0.22070000000000001</v>
      </c>
      <c r="H95" s="68">
        <v>0.2051</v>
      </c>
      <c r="I95" s="68">
        <v>0.20860000000000001</v>
      </c>
      <c r="J95" s="68">
        <v>0.20860000000000001</v>
      </c>
      <c r="K95" s="68">
        <v>0.20979999999999999</v>
      </c>
      <c r="L95" s="68">
        <v>0.2235</v>
      </c>
      <c r="M95" s="68">
        <v>0.2117</v>
      </c>
      <c r="N95" s="68">
        <v>0.19600000000000001</v>
      </c>
      <c r="O95" s="68">
        <v>0.20499999999999999</v>
      </c>
      <c r="P95" s="68">
        <v>0.19900000000000001</v>
      </c>
      <c r="Q95" s="68">
        <v>0.20300000000000001</v>
      </c>
      <c r="R95" s="68">
        <v>0.21099999999999999</v>
      </c>
      <c r="S95" s="68">
        <v>0.21099999999999999</v>
      </c>
      <c r="T95" s="68">
        <v>0.215</v>
      </c>
      <c r="U95" s="68">
        <v>0.219</v>
      </c>
      <c r="V95" s="68">
        <v>0.21099999999999999</v>
      </c>
      <c r="W95" s="68">
        <v>0.217</v>
      </c>
      <c r="X95" s="68">
        <v>0.21199999999999999</v>
      </c>
      <c r="Y95" s="68">
        <v>0.21</v>
      </c>
      <c r="Z95" s="68">
        <v>0.2</v>
      </c>
      <c r="AA95" s="68">
        <v>0.20960000000000001</v>
      </c>
      <c r="AB95" s="68">
        <v>0.1996</v>
      </c>
      <c r="AC95" s="68">
        <v>0.1956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0">F34</f>
        <v>14.26</v>
      </c>
      <c r="G96" s="65">
        <f t="shared" si="30"/>
        <v>14.25</v>
      </c>
      <c r="H96" s="65">
        <f t="shared" si="30"/>
        <v>14.27</v>
      </c>
      <c r="I96" s="65">
        <f t="shared" si="30"/>
        <v>14.26</v>
      </c>
      <c r="J96" s="65">
        <f t="shared" si="30"/>
        <v>14.28</v>
      </c>
      <c r="K96" s="65">
        <f t="shared" si="30"/>
        <v>14.24</v>
      </c>
      <c r="L96" s="65">
        <f t="shared" si="30"/>
        <v>14.26</v>
      </c>
      <c r="M96" s="65">
        <f t="shared" si="30"/>
        <v>14.27</v>
      </c>
      <c r="N96" s="65">
        <f t="shared" si="30"/>
        <v>14.26</v>
      </c>
      <c r="O96" s="65">
        <f t="shared" si="30"/>
        <v>14.26</v>
      </c>
      <c r="P96" s="65">
        <f t="shared" si="30"/>
        <v>14.28</v>
      </c>
      <c r="Q96" s="65">
        <f t="shared" si="30"/>
        <v>14.25</v>
      </c>
      <c r="R96" s="65">
        <f t="shared" si="30"/>
        <v>14.25</v>
      </c>
      <c r="S96" s="65">
        <f t="shared" si="30"/>
        <v>14.27</v>
      </c>
      <c r="T96" s="65">
        <f t="shared" si="30"/>
        <v>14.27</v>
      </c>
      <c r="U96" s="65">
        <f t="shared" si="30"/>
        <v>14.26</v>
      </c>
      <c r="V96" s="65">
        <f t="shared" si="30"/>
        <v>14.27</v>
      </c>
      <c r="W96" s="65">
        <f t="shared" si="30"/>
        <v>14.26</v>
      </c>
      <c r="X96" s="65">
        <f t="shared" si="30"/>
        <v>14.27</v>
      </c>
      <c r="Y96" s="65">
        <f t="shared" si="30"/>
        <v>14.27</v>
      </c>
      <c r="Z96" s="65">
        <f t="shared" si="30"/>
        <v>14.26</v>
      </c>
      <c r="AA96" s="65">
        <f t="shared" si="30"/>
        <v>14.26</v>
      </c>
      <c r="AB96" s="65">
        <f t="shared" si="30"/>
        <v>14.27</v>
      </c>
      <c r="AC96" s="65">
        <f t="shared" si="30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0.74</v>
      </c>
      <c r="G97" s="68">
        <v>0.75</v>
      </c>
      <c r="H97" s="68">
        <v>0.73</v>
      </c>
      <c r="I97" s="68">
        <v>0.74</v>
      </c>
      <c r="J97" s="68">
        <v>0.72</v>
      </c>
      <c r="K97" s="68">
        <v>0.76</v>
      </c>
      <c r="L97" s="68">
        <v>0.74</v>
      </c>
      <c r="M97" s="68">
        <v>0.73</v>
      </c>
      <c r="N97" s="68">
        <v>0.74</v>
      </c>
      <c r="O97" s="68">
        <v>0.74</v>
      </c>
      <c r="P97" s="68">
        <v>0.72</v>
      </c>
      <c r="Q97" s="68">
        <v>0.75</v>
      </c>
      <c r="R97" s="68">
        <v>0.75</v>
      </c>
      <c r="S97" s="68">
        <v>0.73</v>
      </c>
      <c r="T97" s="68">
        <v>0.73</v>
      </c>
      <c r="U97" s="68">
        <v>0.74</v>
      </c>
      <c r="V97" s="68">
        <v>0.73</v>
      </c>
      <c r="W97" s="68">
        <v>0.74</v>
      </c>
      <c r="X97" s="68">
        <v>0.73</v>
      </c>
      <c r="Y97" s="68">
        <v>0.72</v>
      </c>
      <c r="Z97" s="68">
        <v>0.74</v>
      </c>
      <c r="AA97" s="68">
        <v>0.76</v>
      </c>
      <c r="AB97" s="68">
        <v>0.73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1">F60</f>
        <v>0</v>
      </c>
      <c r="G98" s="64">
        <f t="shared" si="31"/>
        <v>0</v>
      </c>
      <c r="H98" s="64">
        <f t="shared" si="31"/>
        <v>0</v>
      </c>
      <c r="I98" s="64">
        <f t="shared" si="31"/>
        <v>0</v>
      </c>
      <c r="J98" s="64">
        <f t="shared" si="31"/>
        <v>0</v>
      </c>
      <c r="K98" s="64">
        <f t="shared" si="31"/>
        <v>0</v>
      </c>
      <c r="L98" s="64">
        <f t="shared" si="31"/>
        <v>0</v>
      </c>
      <c r="M98" s="64">
        <f t="shared" si="31"/>
        <v>0</v>
      </c>
      <c r="N98" s="64">
        <f t="shared" si="31"/>
        <v>3.5</v>
      </c>
      <c r="O98" s="64">
        <f t="shared" si="31"/>
        <v>0</v>
      </c>
      <c r="P98" s="64">
        <f t="shared" si="31"/>
        <v>2.2000000000000002</v>
      </c>
      <c r="Q98" s="64">
        <f t="shared" si="31"/>
        <v>3</v>
      </c>
      <c r="R98" s="64">
        <f t="shared" si="31"/>
        <v>3</v>
      </c>
      <c r="S98" s="64">
        <f t="shared" si="31"/>
        <v>0.7</v>
      </c>
      <c r="T98" s="64">
        <f t="shared" si="31"/>
        <v>1.5</v>
      </c>
      <c r="U98" s="64">
        <f t="shared" si="31"/>
        <v>1.4</v>
      </c>
      <c r="V98" s="64">
        <f t="shared" si="31"/>
        <v>1.4</v>
      </c>
      <c r="W98" s="64">
        <f t="shared" si="31"/>
        <v>0.7</v>
      </c>
      <c r="X98" s="64">
        <f t="shared" si="31"/>
        <v>0</v>
      </c>
      <c r="Y98" s="64">
        <f t="shared" si="31"/>
        <v>3</v>
      </c>
      <c r="Z98" s="64">
        <f t="shared" si="31"/>
        <v>0</v>
      </c>
      <c r="AA98" s="64">
        <f t="shared" si="31"/>
        <v>0.8</v>
      </c>
      <c r="AB98" s="64">
        <f t="shared" si="31"/>
        <v>0</v>
      </c>
      <c r="AC98" s="64">
        <f t="shared" si="31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2">F65</f>
        <v>0.96</v>
      </c>
      <c r="G99" s="64">
        <f t="shared" si="32"/>
        <v>0.88</v>
      </c>
      <c r="H99" s="64">
        <f t="shared" si="32"/>
        <v>0.87</v>
      </c>
      <c r="I99" s="64">
        <f t="shared" si="32"/>
        <v>0.83</v>
      </c>
      <c r="J99" s="64">
        <f t="shared" si="32"/>
        <v>0.79</v>
      </c>
      <c r="K99" s="64">
        <f t="shared" si="32"/>
        <v>0.83499999999999996</v>
      </c>
      <c r="L99" s="64">
        <f t="shared" si="32"/>
        <v>0.92</v>
      </c>
      <c r="M99" s="64">
        <f t="shared" si="32"/>
        <v>1</v>
      </c>
      <c r="N99" s="64">
        <f t="shared" si="32"/>
        <v>1.03</v>
      </c>
      <c r="O99" s="64">
        <f t="shared" si="32"/>
        <v>1.1499999999999999</v>
      </c>
      <c r="P99" s="64">
        <f t="shared" si="32"/>
        <v>1.1599999999999999</v>
      </c>
      <c r="Q99" s="64">
        <f t="shared" si="32"/>
        <v>1.22</v>
      </c>
      <c r="R99" s="64">
        <f t="shared" si="32"/>
        <v>1.2</v>
      </c>
      <c r="S99" s="64">
        <f t="shared" si="32"/>
        <v>1.1599999999999999</v>
      </c>
      <c r="T99" s="64">
        <f t="shared" si="32"/>
        <v>1.2</v>
      </c>
      <c r="U99" s="64">
        <f t="shared" si="32"/>
        <v>1.22</v>
      </c>
      <c r="V99" s="64">
        <f t="shared" si="32"/>
        <v>1.18</v>
      </c>
      <c r="W99" s="64">
        <f t="shared" si="32"/>
        <v>1.1299999999999999</v>
      </c>
      <c r="X99" s="64">
        <f t="shared" si="32"/>
        <v>1.1200000000000001</v>
      </c>
      <c r="Y99" s="64">
        <f t="shared" si="32"/>
        <v>1.37</v>
      </c>
      <c r="Z99" s="64">
        <f t="shared" si="32"/>
        <v>1.4</v>
      </c>
      <c r="AA99" s="64">
        <f t="shared" si="32"/>
        <v>1.28</v>
      </c>
      <c r="AB99" s="64">
        <f t="shared" si="32"/>
        <v>1.2</v>
      </c>
      <c r="AC99" s="64">
        <f t="shared" si="32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3">F76</f>
        <v>0</v>
      </c>
      <c r="G100" s="64">
        <f t="shared" si="33"/>
        <v>0</v>
      </c>
      <c r="H100" s="64">
        <f t="shared" si="33"/>
        <v>0</v>
      </c>
      <c r="I100" s="64">
        <f t="shared" si="33"/>
        <v>0</v>
      </c>
      <c r="J100" s="64">
        <f t="shared" si="33"/>
        <v>0</v>
      </c>
      <c r="K100" s="64">
        <f t="shared" si="33"/>
        <v>0</v>
      </c>
      <c r="L100" s="64">
        <f t="shared" si="33"/>
        <v>0</v>
      </c>
      <c r="M100" s="64">
        <f t="shared" si="33"/>
        <v>0</v>
      </c>
      <c r="N100" s="64">
        <f t="shared" si="33"/>
        <v>0</v>
      </c>
      <c r="O100" s="64">
        <f t="shared" si="33"/>
        <v>0</v>
      </c>
      <c r="P100" s="64">
        <f t="shared" si="33"/>
        <v>0</v>
      </c>
      <c r="Q100" s="64">
        <f t="shared" si="33"/>
        <v>0</v>
      </c>
      <c r="R100" s="64">
        <f t="shared" si="33"/>
        <v>0</v>
      </c>
      <c r="S100" s="64">
        <f t="shared" si="33"/>
        <v>0</v>
      </c>
      <c r="T100" s="64">
        <f t="shared" si="33"/>
        <v>0</v>
      </c>
      <c r="U100" s="64">
        <f t="shared" si="33"/>
        <v>0</v>
      </c>
      <c r="V100" s="64">
        <f t="shared" si="33"/>
        <v>0</v>
      </c>
      <c r="W100" s="64">
        <f t="shared" si="33"/>
        <v>0</v>
      </c>
      <c r="X100" s="64">
        <f t="shared" si="33"/>
        <v>0</v>
      </c>
      <c r="Y100" s="64">
        <f t="shared" si="33"/>
        <v>0</v>
      </c>
      <c r="Z100" s="64">
        <f t="shared" si="33"/>
        <v>0</v>
      </c>
      <c r="AA100" s="64">
        <f t="shared" si="33"/>
        <v>0</v>
      </c>
      <c r="AB100" s="64">
        <f t="shared" si="33"/>
        <v>0</v>
      </c>
      <c r="AC100" s="64">
        <f t="shared" si="33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4">F80</f>
        <v>0.81</v>
      </c>
      <c r="G101" s="64">
        <f t="shared" si="34"/>
        <v>0.77</v>
      </c>
      <c r="H101" s="64">
        <f t="shared" si="34"/>
        <v>0.73</v>
      </c>
      <c r="I101" s="64">
        <f t="shared" si="34"/>
        <v>0.72</v>
      </c>
      <c r="J101" s="64">
        <f t="shared" si="34"/>
        <v>0.71</v>
      </c>
      <c r="K101" s="64">
        <f t="shared" si="34"/>
        <v>0.73</v>
      </c>
      <c r="L101" s="64">
        <f t="shared" si="34"/>
        <v>0.76</v>
      </c>
      <c r="M101" s="64">
        <f t="shared" si="34"/>
        <v>0.74</v>
      </c>
      <c r="N101" s="64">
        <f t="shared" si="34"/>
        <v>0.76</v>
      </c>
      <c r="O101" s="64">
        <f t="shared" si="34"/>
        <v>0.82</v>
      </c>
      <c r="P101" s="64">
        <f t="shared" si="34"/>
        <v>0.87</v>
      </c>
      <c r="Q101" s="64">
        <f t="shared" si="34"/>
        <v>0.86</v>
      </c>
      <c r="R101" s="64">
        <f t="shared" si="34"/>
        <v>0.91</v>
      </c>
      <c r="S101" s="64">
        <f t="shared" si="34"/>
        <v>0.88</v>
      </c>
      <c r="T101" s="64">
        <f t="shared" si="34"/>
        <v>0.9</v>
      </c>
      <c r="U101" s="64">
        <f t="shared" si="34"/>
        <v>0.91</v>
      </c>
      <c r="V101" s="64">
        <f t="shared" si="34"/>
        <v>0.9</v>
      </c>
      <c r="W101" s="64">
        <f t="shared" si="34"/>
        <v>0.89</v>
      </c>
      <c r="X101" s="64">
        <f t="shared" si="34"/>
        <v>0.84</v>
      </c>
      <c r="Y101" s="64">
        <f t="shared" si="34"/>
        <v>0.97</v>
      </c>
      <c r="Z101" s="64">
        <f t="shared" si="34"/>
        <v>1.02</v>
      </c>
      <c r="AA101" s="64">
        <f t="shared" si="34"/>
        <v>0.99</v>
      </c>
      <c r="AB101" s="64">
        <f t="shared" si="34"/>
        <v>0.92</v>
      </c>
      <c r="AC101" s="64">
        <f t="shared" si="34"/>
        <v>0.86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5">F82</f>
        <v>0</v>
      </c>
      <c r="G102" s="64">
        <f t="shared" si="35"/>
        <v>0</v>
      </c>
      <c r="H102" s="64">
        <f t="shared" si="35"/>
        <v>0</v>
      </c>
      <c r="I102" s="64">
        <f t="shared" si="35"/>
        <v>0</v>
      </c>
      <c r="J102" s="64">
        <f t="shared" si="35"/>
        <v>0</v>
      </c>
      <c r="K102" s="64">
        <f t="shared" si="35"/>
        <v>0</v>
      </c>
      <c r="L102" s="64">
        <f t="shared" si="35"/>
        <v>0</v>
      </c>
      <c r="M102" s="64">
        <f t="shared" si="35"/>
        <v>0</v>
      </c>
      <c r="N102" s="64">
        <f t="shared" si="35"/>
        <v>0</v>
      </c>
      <c r="O102" s="64">
        <f t="shared" si="35"/>
        <v>0</v>
      </c>
      <c r="P102" s="64">
        <f t="shared" si="35"/>
        <v>0</v>
      </c>
      <c r="Q102" s="64">
        <f t="shared" si="35"/>
        <v>0</v>
      </c>
      <c r="R102" s="64">
        <f t="shared" si="35"/>
        <v>0</v>
      </c>
      <c r="S102" s="64">
        <f t="shared" si="35"/>
        <v>0</v>
      </c>
      <c r="T102" s="64">
        <f t="shared" si="35"/>
        <v>0</v>
      </c>
      <c r="U102" s="64">
        <f t="shared" si="35"/>
        <v>0</v>
      </c>
      <c r="V102" s="64">
        <f t="shared" si="35"/>
        <v>0</v>
      </c>
      <c r="W102" s="64">
        <f t="shared" si="35"/>
        <v>0</v>
      </c>
      <c r="X102" s="64">
        <f t="shared" si="35"/>
        <v>0</v>
      </c>
      <c r="Y102" s="64">
        <f t="shared" si="35"/>
        <v>0</v>
      </c>
      <c r="Z102" s="64">
        <f t="shared" si="35"/>
        <v>0</v>
      </c>
      <c r="AA102" s="64">
        <f t="shared" si="35"/>
        <v>0</v>
      </c>
      <c r="AB102" s="64">
        <f t="shared" si="35"/>
        <v>0</v>
      </c>
      <c r="AC102" s="64">
        <f t="shared" si="35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6">SUM(F89,F91,F93,F96,F98:F102,F81)</f>
        <v>42.13</v>
      </c>
      <c r="G103" s="61">
        <f t="shared" si="36"/>
        <v>37.800000000000004</v>
      </c>
      <c r="H103" s="61">
        <f t="shared" si="36"/>
        <v>37.86999999999999</v>
      </c>
      <c r="I103" s="61">
        <f t="shared" si="36"/>
        <v>37.709999999999994</v>
      </c>
      <c r="J103" s="61">
        <f t="shared" si="36"/>
        <v>36.68</v>
      </c>
      <c r="K103" s="61">
        <f t="shared" si="36"/>
        <v>37.204999999999998</v>
      </c>
      <c r="L103" s="61">
        <f t="shared" si="36"/>
        <v>40.04</v>
      </c>
      <c r="M103" s="61">
        <f t="shared" si="36"/>
        <v>39.31</v>
      </c>
      <c r="N103" s="61">
        <f t="shared" si="36"/>
        <v>45.75</v>
      </c>
      <c r="O103" s="61">
        <f t="shared" si="36"/>
        <v>51.13</v>
      </c>
      <c r="P103" s="61">
        <f t="shared" si="36"/>
        <v>55.91</v>
      </c>
      <c r="Q103" s="61">
        <f t="shared" si="36"/>
        <v>57.43</v>
      </c>
      <c r="R103" s="61">
        <f t="shared" si="36"/>
        <v>56.66</v>
      </c>
      <c r="S103" s="61">
        <f t="shared" si="36"/>
        <v>54.610000000000007</v>
      </c>
      <c r="T103" s="61">
        <f t="shared" si="36"/>
        <v>53.669999999999995</v>
      </c>
      <c r="U103" s="61">
        <f t="shared" si="36"/>
        <v>54.989999999999995</v>
      </c>
      <c r="V103" s="61">
        <f t="shared" si="36"/>
        <v>53.85</v>
      </c>
      <c r="W103" s="61">
        <f t="shared" si="36"/>
        <v>53.080000000000005</v>
      </c>
      <c r="X103" s="61">
        <f t="shared" si="36"/>
        <v>53.73</v>
      </c>
      <c r="Y103" s="61">
        <f t="shared" si="36"/>
        <v>57.109999999999992</v>
      </c>
      <c r="Z103" s="61">
        <f t="shared" si="36"/>
        <v>54.18</v>
      </c>
      <c r="AA103" s="61">
        <f t="shared" si="36"/>
        <v>51.230000000000004</v>
      </c>
      <c r="AB103" s="61">
        <f t="shared" si="36"/>
        <v>47.59</v>
      </c>
      <c r="AC103" s="61">
        <f t="shared" si="36"/>
        <v>43.919999999999995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>
        <v>1.9</v>
      </c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f>1.46-0.25</f>
        <v>1.21</v>
      </c>
      <c r="U106" s="76"/>
      <c r="V106" s="76"/>
      <c r="W106" s="76"/>
      <c r="X106" s="536"/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7">SUM(F104:F106)</f>
        <v>0</v>
      </c>
      <c r="G107" s="61">
        <f t="shared" si="37"/>
        <v>1.9</v>
      </c>
      <c r="H107" s="61">
        <f t="shared" si="37"/>
        <v>0</v>
      </c>
      <c r="I107" s="61">
        <f t="shared" si="37"/>
        <v>0</v>
      </c>
      <c r="J107" s="61">
        <f t="shared" si="37"/>
        <v>0</v>
      </c>
      <c r="K107" s="61">
        <f t="shared" si="37"/>
        <v>0</v>
      </c>
      <c r="L107" s="61">
        <f t="shared" si="37"/>
        <v>0</v>
      </c>
      <c r="M107" s="61">
        <f t="shared" si="37"/>
        <v>0</v>
      </c>
      <c r="N107" s="61">
        <f t="shared" si="37"/>
        <v>0</v>
      </c>
      <c r="O107" s="61">
        <f t="shared" si="37"/>
        <v>0</v>
      </c>
      <c r="P107" s="61">
        <f t="shared" si="37"/>
        <v>0</v>
      </c>
      <c r="Q107" s="61">
        <f t="shared" si="37"/>
        <v>0</v>
      </c>
      <c r="R107" s="61">
        <f t="shared" si="37"/>
        <v>0</v>
      </c>
      <c r="S107" s="61">
        <f t="shared" si="37"/>
        <v>0</v>
      </c>
      <c r="T107" s="61">
        <f t="shared" si="37"/>
        <v>1.21</v>
      </c>
      <c r="U107" s="61">
        <f t="shared" si="37"/>
        <v>0</v>
      </c>
      <c r="V107" s="61">
        <f t="shared" si="37"/>
        <v>0</v>
      </c>
      <c r="W107" s="61">
        <f t="shared" si="37"/>
        <v>0</v>
      </c>
      <c r="X107" s="61">
        <f t="shared" si="37"/>
        <v>0</v>
      </c>
      <c r="Y107" s="61">
        <f t="shared" si="37"/>
        <v>0</v>
      </c>
      <c r="Z107" s="61">
        <f t="shared" si="37"/>
        <v>0</v>
      </c>
      <c r="AA107" s="61">
        <f t="shared" si="37"/>
        <v>0</v>
      </c>
      <c r="AB107" s="61">
        <f t="shared" si="37"/>
        <v>0</v>
      </c>
      <c r="AC107" s="61">
        <f t="shared" si="37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8">F103+F107</f>
        <v>42.13</v>
      </c>
      <c r="G108" s="62">
        <f t="shared" si="38"/>
        <v>39.700000000000003</v>
      </c>
      <c r="H108" s="62">
        <f t="shared" si="38"/>
        <v>37.86999999999999</v>
      </c>
      <c r="I108" s="62">
        <f t="shared" si="38"/>
        <v>37.709999999999994</v>
      </c>
      <c r="J108" s="62">
        <f t="shared" si="38"/>
        <v>36.68</v>
      </c>
      <c r="K108" s="62">
        <f t="shared" si="38"/>
        <v>37.204999999999998</v>
      </c>
      <c r="L108" s="62">
        <f t="shared" si="38"/>
        <v>40.04</v>
      </c>
      <c r="M108" s="62">
        <f t="shared" si="38"/>
        <v>39.31</v>
      </c>
      <c r="N108" s="62">
        <f>N103+N107</f>
        <v>45.75</v>
      </c>
      <c r="O108" s="62">
        <f t="shared" si="38"/>
        <v>51.13</v>
      </c>
      <c r="P108" s="62">
        <f>P103+P107</f>
        <v>55.91</v>
      </c>
      <c r="Q108" s="62">
        <f t="shared" si="38"/>
        <v>57.43</v>
      </c>
      <c r="R108" s="62">
        <f t="shared" si="38"/>
        <v>56.66</v>
      </c>
      <c r="S108" s="62">
        <f t="shared" si="38"/>
        <v>54.610000000000007</v>
      </c>
      <c r="T108" s="62">
        <f>T103+T107</f>
        <v>54.879999999999995</v>
      </c>
      <c r="U108" s="62">
        <f t="shared" si="38"/>
        <v>54.989999999999995</v>
      </c>
      <c r="V108" s="62">
        <f t="shared" si="38"/>
        <v>53.85</v>
      </c>
      <c r="W108" s="62">
        <f>W103+W107</f>
        <v>53.080000000000005</v>
      </c>
      <c r="X108" s="62">
        <f t="shared" si="38"/>
        <v>53.73</v>
      </c>
      <c r="Y108" s="62">
        <f t="shared" si="38"/>
        <v>57.109999999999992</v>
      </c>
      <c r="Z108" s="62">
        <f t="shared" si="38"/>
        <v>54.18</v>
      </c>
      <c r="AA108" s="62">
        <f t="shared" si="38"/>
        <v>51.230000000000004</v>
      </c>
      <c r="AB108" s="62">
        <f t="shared" si="38"/>
        <v>47.59</v>
      </c>
      <c r="AC108" s="62">
        <f t="shared" si="38"/>
        <v>43.919999999999995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9">(COUNT(F13:F16))*7.2+(COUNT(F27:F28)*4.9)+(COUNT(F19:F21)*4.5)-F91-F93</f>
        <v>0.40000000000000036</v>
      </c>
      <c r="G109" s="63">
        <f t="shared" si="39"/>
        <v>-2.5999999999999996</v>
      </c>
      <c r="H109" s="63">
        <f t="shared" si="39"/>
        <v>-2.6999999999999993</v>
      </c>
      <c r="I109" s="63">
        <f t="shared" si="39"/>
        <v>-2.5999999999999996</v>
      </c>
      <c r="J109" s="63">
        <f t="shared" si="39"/>
        <v>-1.5999999999999996</v>
      </c>
      <c r="K109" s="63">
        <f t="shared" si="39"/>
        <v>-2.0999999999999996</v>
      </c>
      <c r="L109" s="63">
        <f t="shared" si="39"/>
        <v>-4.7999999999999989</v>
      </c>
      <c r="M109" s="63">
        <f t="shared" si="39"/>
        <v>8.1000000000000014</v>
      </c>
      <c r="N109" s="63">
        <f t="shared" si="39"/>
        <v>5.2000000000000011</v>
      </c>
      <c r="O109" s="63">
        <f t="shared" si="39"/>
        <v>5.0000000000000036</v>
      </c>
      <c r="P109" s="63">
        <f t="shared" si="39"/>
        <v>5.1000000000000085</v>
      </c>
      <c r="Q109" s="63">
        <f t="shared" si="39"/>
        <v>4.4000000000000075</v>
      </c>
      <c r="R109" s="63">
        <f t="shared" si="39"/>
        <v>5.2000000000000099</v>
      </c>
      <c r="S109" s="63">
        <f t="shared" si="39"/>
        <v>4.9000000000000039</v>
      </c>
      <c r="T109" s="63">
        <f t="shared" si="39"/>
        <v>6.5000000000000036</v>
      </c>
      <c r="U109" s="63">
        <f t="shared" si="39"/>
        <v>0.40000000000000213</v>
      </c>
      <c r="V109" s="63">
        <f t="shared" si="39"/>
        <v>0.69999999999999929</v>
      </c>
      <c r="W109" s="63">
        <f t="shared" si="39"/>
        <v>0.69999999999999929</v>
      </c>
      <c r="X109" s="63">
        <f t="shared" si="39"/>
        <v>-0.19999999999999929</v>
      </c>
      <c r="Y109" s="63">
        <f t="shared" si="39"/>
        <v>9.9999999999997868E-2</v>
      </c>
      <c r="Z109" s="63">
        <f t="shared" si="39"/>
        <v>9.9999999999997868E-2</v>
      </c>
      <c r="AA109" s="63">
        <f t="shared" si="39"/>
        <v>-4.4000000000000021</v>
      </c>
      <c r="AB109" s="63">
        <f t="shared" si="39"/>
        <v>-4.6999999999999993</v>
      </c>
      <c r="AC109" s="63">
        <f t="shared" si="39"/>
        <v>-1.2999999999999972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0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-0.99999999999999822</v>
      </c>
      <c r="G110" s="205">
        <f t="shared" si="40"/>
        <v>-4</v>
      </c>
      <c r="H110" s="205">
        <f t="shared" si="40"/>
        <v>-4.0999999999999996</v>
      </c>
      <c r="I110" s="205">
        <f t="shared" si="40"/>
        <v>-4</v>
      </c>
      <c r="J110" s="205">
        <f t="shared" si="40"/>
        <v>-3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-3.5</v>
      </c>
      <c r="L110" s="205">
        <f t="shared" si="40"/>
        <v>-6.1999999999999993</v>
      </c>
      <c r="M110" s="205">
        <f t="shared" si="40"/>
        <v>-4</v>
      </c>
      <c r="N110" s="205">
        <f t="shared" si="40"/>
        <v>0.30000000000000071</v>
      </c>
      <c r="O110" s="205">
        <f t="shared" si="40"/>
        <v>-0.40000000000000036</v>
      </c>
      <c r="P110" s="205">
        <f t="shared" si="40"/>
        <v>-2.899999999999995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-3.5999999999999961</v>
      </c>
      <c r="R110" s="205">
        <f t="shared" ref="R110:AC110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-3.199999999999994</v>
      </c>
      <c r="S110" s="205">
        <f t="shared" si="41"/>
        <v>-3.5</v>
      </c>
      <c r="T110" s="205">
        <f t="shared" si="41"/>
        <v>-1.7000000000000006</v>
      </c>
      <c r="U110" s="205">
        <f t="shared" si="41"/>
        <v>-3.0999999999999961</v>
      </c>
      <c r="V110" s="205">
        <f t="shared" si="41"/>
        <v>-1.9999999999999991</v>
      </c>
      <c r="W110" s="205">
        <f t="shared" si="41"/>
        <v>-1.9999999999999991</v>
      </c>
      <c r="X110" s="205">
        <f t="shared" si="41"/>
        <v>-3.3999999999999977</v>
      </c>
      <c r="Y110" s="205">
        <f t="shared" si="41"/>
        <v>-3.4000000000000004</v>
      </c>
      <c r="Z110" s="205">
        <f t="shared" si="41"/>
        <v>-3.4000000000000004</v>
      </c>
      <c r="AA110" s="205">
        <f t="shared" si="41"/>
        <v>-3.3000000000000007</v>
      </c>
      <c r="AB110" s="205">
        <f t="shared" si="41"/>
        <v>-5.0999999999999979</v>
      </c>
      <c r="AC110" s="205">
        <f t="shared" si="41"/>
        <v>-1.6999999999999957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60.12</v>
      </c>
      <c r="G111" s="456">
        <v>60.09</v>
      </c>
      <c r="H111" s="456">
        <v>60.1</v>
      </c>
      <c r="I111" s="456">
        <v>60.15</v>
      </c>
      <c r="J111" s="456">
        <v>60.05</v>
      </c>
      <c r="K111" s="456">
        <v>60.13</v>
      </c>
      <c r="L111" s="456">
        <v>60.1</v>
      </c>
      <c r="M111" s="456">
        <v>60.07</v>
      </c>
      <c r="N111" s="456">
        <v>60.12</v>
      </c>
      <c r="O111" s="456">
        <v>60.12</v>
      </c>
      <c r="P111" s="456">
        <v>60.03</v>
      </c>
      <c r="Q111" s="456">
        <v>59.98</v>
      </c>
      <c r="R111" s="456">
        <v>60.06</v>
      </c>
      <c r="S111" s="456">
        <v>60.01</v>
      </c>
      <c r="T111" s="456">
        <v>60.23</v>
      </c>
      <c r="U111" s="456">
        <v>60.09</v>
      </c>
      <c r="V111" s="456">
        <v>60.09</v>
      </c>
      <c r="W111" s="456">
        <v>60.1</v>
      </c>
      <c r="X111" s="456">
        <v>60.04</v>
      </c>
      <c r="Y111" s="456">
        <v>6.1</v>
      </c>
      <c r="Z111" s="456">
        <v>60.04</v>
      </c>
      <c r="AA111" s="456">
        <v>60.2</v>
      </c>
      <c r="AB111" s="456">
        <v>60.05</v>
      </c>
      <c r="AC111" s="456">
        <v>60.11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 t="s">
        <v>107</v>
      </c>
      <c r="M115" s="520" t="s">
        <v>107</v>
      </c>
      <c r="N115" s="520" t="s">
        <v>107</v>
      </c>
      <c r="O115" s="520" t="s">
        <v>107</v>
      </c>
      <c r="P115" s="520" t="s">
        <v>107</v>
      </c>
      <c r="Q115" s="520" t="s">
        <v>107</v>
      </c>
      <c r="R115" s="520" t="s">
        <v>107</v>
      </c>
      <c r="S115" s="520" t="s">
        <v>107</v>
      </c>
      <c r="T115" s="520" t="s">
        <v>107</v>
      </c>
      <c r="U115" s="520" t="s">
        <v>107</v>
      </c>
      <c r="V115" s="520" t="s">
        <v>107</v>
      </c>
      <c r="W115" s="520" t="s">
        <v>107</v>
      </c>
      <c r="X115" s="520" t="s">
        <v>101</v>
      </c>
      <c r="Y115" s="520" t="s">
        <v>101</v>
      </c>
      <c r="Z115" s="520" t="s">
        <v>101</v>
      </c>
      <c r="AA115" s="520" t="s">
        <v>101</v>
      </c>
      <c r="AB115" s="520"/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H13:J13 N13:O13 D42:E42 N36:AC39 N57:AC59 O14:O16 L51:M55 L36:L50 N41:AC46 H36:J59 I15:N15 N16 L13:L14 O52:AA55 P40:AC40 I16:L16 L56:L59 P62:Z62 M47:M48 Q64:R64 P63:R63 M50 P13:AC16 AB51:AC56 P51:AA51 P56:AA56 P47:AC49 H14:K14 H62:L64 O50:AC50 S63:Z64 AA62:AC64">
    <cfRule type="cellIs" dxfId="5500" priority="780" operator="equal">
      <formula>"PMS"</formula>
    </cfRule>
    <cfRule type="containsText" dxfId="5499" priority="781" operator="containsText" text="CMS">
      <formula>NOT(ISERROR(SEARCH("CMS",D13)))</formula>
    </cfRule>
    <cfRule type="cellIs" dxfId="5498" priority="782" operator="equal">
      <formula>0</formula>
    </cfRule>
    <cfRule type="cellIs" dxfId="5497" priority="783" operator="greaterThan">
      <formula>0</formula>
    </cfRule>
    <cfRule type="cellIs" dxfId="5496" priority="784" operator="equal">
      <formula>"PMS"</formula>
    </cfRule>
    <cfRule type="containsText" dxfId="5495" priority="785" operator="containsText" text="CMS">
      <formula>NOT(ISERROR(SEARCH("CMS",D13)))</formula>
    </cfRule>
    <cfRule type="cellIs" dxfId="5494" priority="786" operator="equal">
      <formula>0</formula>
    </cfRule>
    <cfRule type="cellIs" dxfId="5493" priority="787" operator="greaterThan">
      <formula>0</formula>
    </cfRule>
  </conditionalFormatting>
  <conditionalFormatting sqref="H13:J13 N13:O13 D42:E42 N36:AC39 N57:AC59 O14:O16 L51:M55 L36:L50 N41:AC46 H36:J59 I15:N15 N16 L13:L14 O52:AA55 P40:AC40 I16:L16 L56:L59 P62:Z62 M47:M48 Q64:R64 P63:R63 M50 P13:AC16 AB51:AC56 P51:AA51 P56:AA56 P47:AC49 H14:K14 H62:L64 O50:AC50 S63:Z64 AA62:AC64">
    <cfRule type="cellIs" dxfId="5492" priority="776" operator="equal">
      <formula>"PMS"</formula>
    </cfRule>
    <cfRule type="containsText" dxfId="5491" priority="777" operator="containsText" text="CMS">
      <formula>NOT(ISERROR(SEARCH("CMS",D13)))</formula>
    </cfRule>
    <cfRule type="cellIs" dxfId="5490" priority="778" operator="equal">
      <formula>0</formula>
    </cfRule>
    <cfRule type="cellIs" dxfId="5489" priority="779" operator="greaterThan">
      <formula>0</formula>
    </cfRule>
  </conditionalFormatting>
  <conditionalFormatting sqref="G67:AC75">
    <cfRule type="cellIs" dxfId="5488" priority="768" operator="equal">
      <formula>"PMS"</formula>
    </cfRule>
    <cfRule type="containsText" dxfId="5487" priority="769" operator="containsText" text="CMS">
      <formula>NOT(ISERROR(SEARCH("CMS",G67)))</formula>
    </cfRule>
    <cfRule type="cellIs" dxfId="5486" priority="770" operator="equal">
      <formula>0</formula>
    </cfRule>
    <cfRule type="cellIs" dxfId="5485" priority="771" operator="greaterThan">
      <formula>0</formula>
    </cfRule>
    <cfRule type="cellIs" dxfId="5484" priority="772" operator="equal">
      <formula>"PMS"</formula>
    </cfRule>
    <cfRule type="containsText" dxfId="5483" priority="773" operator="containsText" text="CMS">
      <formula>NOT(ISERROR(SEARCH("CMS",G67)))</formula>
    </cfRule>
    <cfRule type="cellIs" dxfId="5482" priority="774" operator="equal">
      <formula>0</formula>
    </cfRule>
    <cfRule type="cellIs" dxfId="5481" priority="775" operator="greaterThan">
      <formula>0</formula>
    </cfRule>
  </conditionalFormatting>
  <conditionalFormatting sqref="G67:AC75">
    <cfRule type="cellIs" dxfId="5480" priority="764" operator="equal">
      <formula>"PMS"</formula>
    </cfRule>
    <cfRule type="containsText" dxfId="5479" priority="765" operator="containsText" text="CMS">
      <formula>NOT(ISERROR(SEARCH("CMS",G67)))</formula>
    </cfRule>
    <cfRule type="cellIs" dxfId="5478" priority="766" operator="equal">
      <formula>0</formula>
    </cfRule>
    <cfRule type="cellIs" dxfId="5477" priority="767" operator="greaterThan">
      <formula>0</formula>
    </cfRule>
  </conditionalFormatting>
  <conditionalFormatting sqref="G82:AC82">
    <cfRule type="cellIs" dxfId="5476" priority="756" operator="equal">
      <formula>"PMS"</formula>
    </cfRule>
    <cfRule type="containsText" dxfId="5475" priority="757" operator="containsText" text="CMS">
      <formula>NOT(ISERROR(SEARCH("CMS",G82)))</formula>
    </cfRule>
    <cfRule type="cellIs" dxfId="5474" priority="758" operator="equal">
      <formula>0</formula>
    </cfRule>
    <cfRule type="cellIs" dxfId="5473" priority="759" operator="greaterThan">
      <formula>0</formula>
    </cfRule>
    <cfRule type="cellIs" dxfId="5472" priority="760" operator="equal">
      <formula>"PMS"</formula>
    </cfRule>
    <cfRule type="containsText" dxfId="5471" priority="761" operator="containsText" text="CMS">
      <formula>NOT(ISERROR(SEARCH("CMS",G82)))</formula>
    </cfRule>
    <cfRule type="cellIs" dxfId="5470" priority="762" operator="equal">
      <formula>0</formula>
    </cfRule>
    <cfRule type="cellIs" dxfId="5469" priority="763" operator="greaterThan">
      <formula>0</formula>
    </cfRule>
  </conditionalFormatting>
  <conditionalFormatting sqref="G82:AC82">
    <cfRule type="cellIs" dxfId="5468" priority="752" operator="equal">
      <formula>"PMS"</formula>
    </cfRule>
    <cfRule type="containsText" dxfId="5467" priority="753" operator="containsText" text="CMS">
      <formula>NOT(ISERROR(SEARCH("CMS",G82)))</formula>
    </cfRule>
    <cfRule type="cellIs" dxfId="5466" priority="754" operator="equal">
      <formula>0</formula>
    </cfRule>
    <cfRule type="cellIs" dxfId="5465" priority="755" operator="greaterThan">
      <formula>0</formula>
    </cfRule>
  </conditionalFormatting>
  <conditionalFormatting sqref="G13">
    <cfRule type="cellIs" dxfId="5464" priority="744" operator="equal">
      <formula>"PMS"</formula>
    </cfRule>
    <cfRule type="containsText" dxfId="5463" priority="745" operator="containsText" text="CMS">
      <formula>NOT(ISERROR(SEARCH("CMS",G13)))</formula>
    </cfRule>
    <cfRule type="cellIs" dxfId="5462" priority="746" operator="equal">
      <formula>0</formula>
    </cfRule>
    <cfRule type="cellIs" dxfId="5461" priority="747" operator="greaterThan">
      <formula>0</formula>
    </cfRule>
    <cfRule type="cellIs" dxfId="5460" priority="748" operator="equal">
      <formula>"PMS"</formula>
    </cfRule>
    <cfRule type="containsText" dxfId="5459" priority="749" operator="containsText" text="CMS">
      <formula>NOT(ISERROR(SEARCH("CMS",G13)))</formula>
    </cfRule>
    <cfRule type="cellIs" dxfId="5458" priority="750" operator="equal">
      <formula>0</formula>
    </cfRule>
    <cfRule type="cellIs" dxfId="5457" priority="751" operator="greaterThan">
      <formula>0</formula>
    </cfRule>
  </conditionalFormatting>
  <conditionalFormatting sqref="G13">
    <cfRule type="cellIs" dxfId="5456" priority="740" operator="equal">
      <formula>"PMS"</formula>
    </cfRule>
    <cfRule type="containsText" dxfId="5455" priority="741" operator="containsText" text="CMS">
      <formula>NOT(ISERROR(SEARCH("CMS",G13)))</formula>
    </cfRule>
    <cfRule type="cellIs" dxfId="5454" priority="742" operator="equal">
      <formula>0</formula>
    </cfRule>
    <cfRule type="cellIs" dxfId="5453" priority="743" operator="greaterThan">
      <formula>0</formula>
    </cfRule>
  </conditionalFormatting>
  <conditionalFormatting sqref="M13">
    <cfRule type="cellIs" dxfId="5452" priority="732" operator="equal">
      <formula>"PMS"</formula>
    </cfRule>
    <cfRule type="containsText" dxfId="5451" priority="733" operator="containsText" text="CMS">
      <formula>NOT(ISERROR(SEARCH("CMS",M13)))</formula>
    </cfRule>
    <cfRule type="cellIs" dxfId="5450" priority="734" operator="equal">
      <formula>0</formula>
    </cfRule>
    <cfRule type="cellIs" dxfId="5449" priority="735" operator="greaterThan">
      <formula>0</formula>
    </cfRule>
    <cfRule type="cellIs" dxfId="5448" priority="736" operator="equal">
      <formula>"PMS"</formula>
    </cfRule>
    <cfRule type="containsText" dxfId="5447" priority="737" operator="containsText" text="CMS">
      <formula>NOT(ISERROR(SEARCH("CMS",M13)))</formula>
    </cfRule>
    <cfRule type="cellIs" dxfId="5446" priority="738" operator="equal">
      <formula>0</formula>
    </cfRule>
    <cfRule type="cellIs" dxfId="5445" priority="739" operator="greaterThan">
      <formula>0</formula>
    </cfRule>
  </conditionalFormatting>
  <conditionalFormatting sqref="M13">
    <cfRule type="cellIs" dxfId="5444" priority="728" operator="equal">
      <formula>"PMS"</formula>
    </cfRule>
    <cfRule type="containsText" dxfId="5443" priority="729" operator="containsText" text="CMS">
      <formula>NOT(ISERROR(SEARCH("CMS",M13)))</formula>
    </cfRule>
    <cfRule type="cellIs" dxfId="5442" priority="730" operator="equal">
      <formula>0</formula>
    </cfRule>
    <cfRule type="cellIs" dxfId="5441" priority="731" operator="greaterThan">
      <formula>0</formula>
    </cfRule>
  </conditionalFormatting>
  <conditionalFormatting sqref="K13">
    <cfRule type="cellIs" dxfId="5440" priority="720" operator="equal">
      <formula>"PMS"</formula>
    </cfRule>
    <cfRule type="containsText" dxfId="5439" priority="721" operator="containsText" text="CMS">
      <formula>NOT(ISERROR(SEARCH("CMS",K13)))</formula>
    </cfRule>
    <cfRule type="cellIs" dxfId="5438" priority="722" operator="equal">
      <formula>0</formula>
    </cfRule>
    <cfRule type="cellIs" dxfId="5437" priority="723" operator="greaterThan">
      <formula>0</formula>
    </cfRule>
    <cfRule type="cellIs" dxfId="5436" priority="724" operator="equal">
      <formula>"PMS"</formula>
    </cfRule>
    <cfRule type="containsText" dxfId="5435" priority="725" operator="containsText" text="CMS">
      <formula>NOT(ISERROR(SEARCH("CMS",K13)))</formula>
    </cfRule>
    <cfRule type="cellIs" dxfId="5434" priority="726" operator="equal">
      <formula>0</formula>
    </cfRule>
    <cfRule type="cellIs" dxfId="5433" priority="727" operator="greaterThan">
      <formula>0</formula>
    </cfRule>
  </conditionalFormatting>
  <conditionalFormatting sqref="K13">
    <cfRule type="cellIs" dxfId="5432" priority="716" operator="equal">
      <formula>"PMS"</formula>
    </cfRule>
    <cfRule type="containsText" dxfId="5431" priority="717" operator="containsText" text="CMS">
      <formula>NOT(ISERROR(SEARCH("CMS",K13)))</formula>
    </cfRule>
    <cfRule type="cellIs" dxfId="5430" priority="718" operator="equal">
      <formula>0</formula>
    </cfRule>
    <cfRule type="cellIs" dxfId="5429" priority="719" operator="greaterThan">
      <formula>0</formula>
    </cfRule>
  </conditionalFormatting>
  <conditionalFormatting sqref="G113:AC113">
    <cfRule type="cellIs" dxfId="5428" priority="715" operator="greaterThan">
      <formula>60.3</formula>
    </cfRule>
  </conditionalFormatting>
  <conditionalFormatting sqref="H112:M112">
    <cfRule type="cellIs" dxfId="5427" priority="714" operator="greaterThan">
      <formula>60.3</formula>
    </cfRule>
  </conditionalFormatting>
  <conditionalFormatting sqref="F112:G112">
    <cfRule type="cellIs" dxfId="5426" priority="713" operator="greaterThan">
      <formula>60.3</formula>
    </cfRule>
  </conditionalFormatting>
  <conditionalFormatting sqref="N112:AC112">
    <cfRule type="cellIs" dxfId="5425" priority="712" operator="greaterThan">
      <formula>60.3</formula>
    </cfRule>
  </conditionalFormatting>
  <conditionalFormatting sqref="G15:G16">
    <cfRule type="cellIs" dxfId="5424" priority="704" operator="equal">
      <formula>"PMS"</formula>
    </cfRule>
    <cfRule type="containsText" dxfId="5423" priority="705" operator="containsText" text="CMS">
      <formula>NOT(ISERROR(SEARCH("CMS",G15)))</formula>
    </cfRule>
    <cfRule type="cellIs" dxfId="5422" priority="706" operator="equal">
      <formula>0</formula>
    </cfRule>
    <cfRule type="cellIs" dxfId="5421" priority="707" operator="greaterThan">
      <formula>0</formula>
    </cfRule>
    <cfRule type="cellIs" dxfId="5420" priority="708" operator="equal">
      <formula>"PMS"</formula>
    </cfRule>
    <cfRule type="containsText" dxfId="5419" priority="709" operator="containsText" text="CMS">
      <formula>NOT(ISERROR(SEARCH("CMS",G15)))</formula>
    </cfRule>
    <cfRule type="cellIs" dxfId="5418" priority="710" operator="equal">
      <formula>0</formula>
    </cfRule>
    <cfRule type="cellIs" dxfId="5417" priority="711" operator="greaterThan">
      <formula>0</formula>
    </cfRule>
  </conditionalFormatting>
  <conditionalFormatting sqref="G15:G16">
    <cfRule type="cellIs" dxfId="5416" priority="700" operator="equal">
      <formula>"PMS"</formula>
    </cfRule>
    <cfRule type="containsText" dxfId="5415" priority="701" operator="containsText" text="CMS">
      <formula>NOT(ISERROR(SEARCH("CMS",G15)))</formula>
    </cfRule>
    <cfRule type="cellIs" dxfId="5414" priority="702" operator="equal">
      <formula>0</formula>
    </cfRule>
    <cfRule type="cellIs" dxfId="5413" priority="703" operator="greaterThan">
      <formula>0</formula>
    </cfRule>
  </conditionalFormatting>
  <conditionalFormatting sqref="G36:G38 G57:G59">
    <cfRule type="cellIs" dxfId="5412" priority="692" operator="equal">
      <formula>"PMS"</formula>
    </cfRule>
    <cfRule type="containsText" dxfId="5411" priority="693" operator="containsText" text="CMS">
      <formula>NOT(ISERROR(SEARCH("CMS",G36)))</formula>
    </cfRule>
    <cfRule type="cellIs" dxfId="5410" priority="694" operator="equal">
      <formula>0</formula>
    </cfRule>
    <cfRule type="cellIs" dxfId="5409" priority="695" operator="greaterThan">
      <formula>0</formula>
    </cfRule>
    <cfRule type="cellIs" dxfId="5408" priority="696" operator="equal">
      <formula>"PMS"</formula>
    </cfRule>
    <cfRule type="containsText" dxfId="5407" priority="697" operator="containsText" text="CMS">
      <formula>NOT(ISERROR(SEARCH("CMS",G36)))</formula>
    </cfRule>
    <cfRule type="cellIs" dxfId="5406" priority="698" operator="equal">
      <formula>0</formula>
    </cfRule>
    <cfRule type="cellIs" dxfId="5405" priority="699" operator="greaterThan">
      <formula>0</formula>
    </cfRule>
  </conditionalFormatting>
  <conditionalFormatting sqref="G36:G38 G57:G59">
    <cfRule type="cellIs" dxfId="5404" priority="688" operator="equal">
      <formula>"PMS"</formula>
    </cfRule>
    <cfRule type="containsText" dxfId="5403" priority="689" operator="containsText" text="CMS">
      <formula>NOT(ISERROR(SEARCH("CMS",G36)))</formula>
    </cfRule>
    <cfRule type="cellIs" dxfId="5402" priority="690" operator="equal">
      <formula>0</formula>
    </cfRule>
    <cfRule type="cellIs" dxfId="5401" priority="691" operator="greaterThan">
      <formula>0</formula>
    </cfRule>
  </conditionalFormatting>
  <conditionalFormatting sqref="M36:M38 M57:M59">
    <cfRule type="cellIs" dxfId="5400" priority="680" operator="equal">
      <formula>"PMS"</formula>
    </cfRule>
    <cfRule type="containsText" dxfId="5399" priority="681" operator="containsText" text="CMS">
      <formula>NOT(ISERROR(SEARCH("CMS",M36)))</formula>
    </cfRule>
    <cfRule type="cellIs" dxfId="5398" priority="682" operator="equal">
      <formula>0</formula>
    </cfRule>
    <cfRule type="cellIs" dxfId="5397" priority="683" operator="greaterThan">
      <formula>0</formula>
    </cfRule>
    <cfRule type="cellIs" dxfId="5396" priority="684" operator="equal">
      <formula>"PMS"</formula>
    </cfRule>
    <cfRule type="containsText" dxfId="5395" priority="685" operator="containsText" text="CMS">
      <formula>NOT(ISERROR(SEARCH("CMS",M36)))</formula>
    </cfRule>
    <cfRule type="cellIs" dxfId="5394" priority="686" operator="equal">
      <formula>0</formula>
    </cfRule>
    <cfRule type="cellIs" dxfId="5393" priority="687" operator="greaterThan">
      <formula>0</formula>
    </cfRule>
  </conditionalFormatting>
  <conditionalFormatting sqref="M36:M38 M57:M59">
    <cfRule type="cellIs" dxfId="5392" priority="676" operator="equal">
      <formula>"PMS"</formula>
    </cfRule>
    <cfRule type="containsText" dxfId="5391" priority="677" operator="containsText" text="CMS">
      <formula>NOT(ISERROR(SEARCH("CMS",M36)))</formula>
    </cfRule>
    <cfRule type="cellIs" dxfId="5390" priority="678" operator="equal">
      <formula>0</formula>
    </cfRule>
    <cfRule type="cellIs" dxfId="5389" priority="679" operator="greaterThan">
      <formula>0</formula>
    </cfRule>
  </conditionalFormatting>
  <conditionalFormatting sqref="K36:K38 K57:K59">
    <cfRule type="cellIs" dxfId="5388" priority="668" operator="equal">
      <formula>"PMS"</formula>
    </cfRule>
    <cfRule type="containsText" dxfId="5387" priority="669" operator="containsText" text="CMS">
      <formula>NOT(ISERROR(SEARCH("CMS",K36)))</formula>
    </cfRule>
    <cfRule type="cellIs" dxfId="5386" priority="670" operator="equal">
      <formula>0</formula>
    </cfRule>
    <cfRule type="cellIs" dxfId="5385" priority="671" operator="greaterThan">
      <formula>0</formula>
    </cfRule>
    <cfRule type="cellIs" dxfId="5384" priority="672" operator="equal">
      <formula>"PMS"</formula>
    </cfRule>
    <cfRule type="containsText" dxfId="5383" priority="673" operator="containsText" text="CMS">
      <formula>NOT(ISERROR(SEARCH("CMS",K36)))</formula>
    </cfRule>
    <cfRule type="cellIs" dxfId="5382" priority="674" operator="equal">
      <formula>0</formula>
    </cfRule>
    <cfRule type="cellIs" dxfId="5381" priority="675" operator="greaterThan">
      <formula>0</formula>
    </cfRule>
  </conditionalFormatting>
  <conditionalFormatting sqref="K36:K38 K57:K59">
    <cfRule type="cellIs" dxfId="5380" priority="664" operator="equal">
      <formula>"PMS"</formula>
    </cfRule>
    <cfRule type="containsText" dxfId="5379" priority="665" operator="containsText" text="CMS">
      <formula>NOT(ISERROR(SEARCH("CMS",K36)))</formula>
    </cfRule>
    <cfRule type="cellIs" dxfId="5378" priority="666" operator="equal">
      <formula>0</formula>
    </cfRule>
    <cfRule type="cellIs" dxfId="5377" priority="667" operator="greaterThan">
      <formula>0</formula>
    </cfRule>
  </conditionalFormatting>
  <conditionalFormatting sqref="G49">
    <cfRule type="cellIs" dxfId="5376" priority="656" operator="equal">
      <formula>"PMS"</formula>
    </cfRule>
    <cfRule type="containsText" dxfId="5375" priority="657" operator="containsText" text="CMS">
      <formula>NOT(ISERROR(SEARCH("CMS",G49)))</formula>
    </cfRule>
    <cfRule type="cellIs" dxfId="5374" priority="658" operator="equal">
      <formula>0</formula>
    </cfRule>
    <cfRule type="cellIs" dxfId="5373" priority="659" operator="greaterThan">
      <formula>0</formula>
    </cfRule>
    <cfRule type="cellIs" dxfId="5372" priority="660" operator="equal">
      <formula>"PMS"</formula>
    </cfRule>
    <cfRule type="containsText" dxfId="5371" priority="661" operator="containsText" text="CMS">
      <formula>NOT(ISERROR(SEARCH("CMS",G49)))</formula>
    </cfRule>
    <cfRule type="cellIs" dxfId="5370" priority="662" operator="equal">
      <formula>0</formula>
    </cfRule>
    <cfRule type="cellIs" dxfId="5369" priority="663" operator="greaterThan">
      <formula>0</formula>
    </cfRule>
  </conditionalFormatting>
  <conditionalFormatting sqref="G49">
    <cfRule type="cellIs" dxfId="5368" priority="652" operator="equal">
      <formula>"PMS"</formula>
    </cfRule>
    <cfRule type="containsText" dxfId="5367" priority="653" operator="containsText" text="CMS">
      <formula>NOT(ISERROR(SEARCH("CMS",G49)))</formula>
    </cfRule>
    <cfRule type="cellIs" dxfId="5366" priority="654" operator="equal">
      <formula>0</formula>
    </cfRule>
    <cfRule type="cellIs" dxfId="5365" priority="655" operator="greaterThan">
      <formula>0</formula>
    </cfRule>
  </conditionalFormatting>
  <conditionalFormatting sqref="M49:N49">
    <cfRule type="cellIs" dxfId="5364" priority="644" operator="equal">
      <formula>"PMS"</formula>
    </cfRule>
    <cfRule type="containsText" dxfId="5363" priority="645" operator="containsText" text="CMS">
      <formula>NOT(ISERROR(SEARCH("CMS",M49)))</formula>
    </cfRule>
    <cfRule type="cellIs" dxfId="5362" priority="646" operator="equal">
      <formula>0</formula>
    </cfRule>
    <cfRule type="cellIs" dxfId="5361" priority="647" operator="greaterThan">
      <formula>0</formula>
    </cfRule>
    <cfRule type="cellIs" dxfId="5360" priority="648" operator="equal">
      <formula>"PMS"</formula>
    </cfRule>
    <cfRule type="containsText" dxfId="5359" priority="649" operator="containsText" text="CMS">
      <formula>NOT(ISERROR(SEARCH("CMS",M49)))</formula>
    </cfRule>
    <cfRule type="cellIs" dxfId="5358" priority="650" operator="equal">
      <formula>0</formula>
    </cfRule>
    <cfRule type="cellIs" dxfId="5357" priority="651" operator="greaterThan">
      <formula>0</formula>
    </cfRule>
  </conditionalFormatting>
  <conditionalFormatting sqref="M49:N49">
    <cfRule type="cellIs" dxfId="5356" priority="640" operator="equal">
      <formula>"PMS"</formula>
    </cfRule>
    <cfRule type="containsText" dxfId="5355" priority="641" operator="containsText" text="CMS">
      <formula>NOT(ISERROR(SEARCH("CMS",M49)))</formula>
    </cfRule>
    <cfRule type="cellIs" dxfId="5354" priority="642" operator="equal">
      <formula>0</formula>
    </cfRule>
    <cfRule type="cellIs" dxfId="5353" priority="643" operator="greaterThan">
      <formula>0</formula>
    </cfRule>
  </conditionalFormatting>
  <conditionalFormatting sqref="K49">
    <cfRule type="cellIs" dxfId="5352" priority="632" operator="equal">
      <formula>"PMS"</formula>
    </cfRule>
    <cfRule type="containsText" dxfId="5351" priority="633" operator="containsText" text="CMS">
      <formula>NOT(ISERROR(SEARCH("CMS",K49)))</formula>
    </cfRule>
    <cfRule type="cellIs" dxfId="5350" priority="634" operator="equal">
      <formula>0</formula>
    </cfRule>
    <cfRule type="cellIs" dxfId="5349" priority="635" operator="greaterThan">
      <formula>0</formula>
    </cfRule>
    <cfRule type="cellIs" dxfId="5348" priority="636" operator="equal">
      <formula>"PMS"</formula>
    </cfRule>
    <cfRule type="containsText" dxfId="5347" priority="637" operator="containsText" text="CMS">
      <formula>NOT(ISERROR(SEARCH("CMS",K49)))</formula>
    </cfRule>
    <cfRule type="cellIs" dxfId="5346" priority="638" operator="equal">
      <formula>0</formula>
    </cfRule>
    <cfRule type="cellIs" dxfId="5345" priority="639" operator="greaterThan">
      <formula>0</formula>
    </cfRule>
  </conditionalFormatting>
  <conditionalFormatting sqref="K49">
    <cfRule type="cellIs" dxfId="5344" priority="628" operator="equal">
      <formula>"PMS"</formula>
    </cfRule>
    <cfRule type="containsText" dxfId="5343" priority="629" operator="containsText" text="CMS">
      <formula>NOT(ISERROR(SEARCH("CMS",K49)))</formula>
    </cfRule>
    <cfRule type="cellIs" dxfId="5342" priority="630" operator="equal">
      <formula>0</formula>
    </cfRule>
    <cfRule type="cellIs" dxfId="5341" priority="631" operator="greaterThan">
      <formula>0</formula>
    </cfRule>
  </conditionalFormatting>
  <conditionalFormatting sqref="L27:L29 H24:J24 H19:J20 L20:L21 Q28 P30 H27:J30 I21:K21 K19:M19 N30 AC79 M21:O21 Q21:AC21 N19:AC20 H33:L33 S78 N28:P29 V78:AC78 L24:AC24 S27 V28:AC30 Q29:U30 N33:AC33 O78:Q78 O79:Y79">
    <cfRule type="cellIs" dxfId="5340" priority="620" operator="equal">
      <formula>"PMS"</formula>
    </cfRule>
    <cfRule type="containsText" dxfId="5339" priority="621" operator="containsText" text="CMS">
      <formula>NOT(ISERROR(SEARCH("CMS",H19)))</formula>
    </cfRule>
    <cfRule type="cellIs" dxfId="5338" priority="622" operator="equal">
      <formula>0</formula>
    </cfRule>
    <cfRule type="cellIs" dxfId="5337" priority="623" operator="greaterThan">
      <formula>0</formula>
    </cfRule>
    <cfRule type="cellIs" dxfId="5336" priority="624" operator="equal">
      <formula>"PMS"</formula>
    </cfRule>
    <cfRule type="containsText" dxfId="5335" priority="625" operator="containsText" text="CMS">
      <formula>NOT(ISERROR(SEARCH("CMS",H19)))</formula>
    </cfRule>
    <cfRule type="cellIs" dxfId="5334" priority="626" operator="equal">
      <formula>0</formula>
    </cfRule>
    <cfRule type="cellIs" dxfId="5333" priority="627" operator="greaterThan">
      <formula>0</formula>
    </cfRule>
  </conditionalFormatting>
  <conditionalFormatting sqref="L27:L29 H24:J24 H19:J20 L20:L21 Q28 P30 H27:J30 I21:K21 K19:M19 N30 AC79 M21:O21 Q21:AC21 N19:AC20 H33:L33 S78 N28:P29 V78:AC78 L24:AC24 S27 V28:AC30 Q29:U30 N33:AC33 O78:Q78 O79:Y79">
    <cfRule type="cellIs" dxfId="5332" priority="616" operator="equal">
      <formula>"PMS"</formula>
    </cfRule>
    <cfRule type="containsText" dxfId="5331" priority="617" operator="containsText" text="CMS">
      <formula>NOT(ISERROR(SEARCH("CMS",H19)))</formula>
    </cfRule>
    <cfRule type="cellIs" dxfId="5330" priority="618" operator="equal">
      <formula>0</formula>
    </cfRule>
    <cfRule type="cellIs" dxfId="5329" priority="619" operator="greaterThan">
      <formula>0</formula>
    </cfRule>
  </conditionalFormatting>
  <conditionalFormatting sqref="G33 G24 G39:G48 G50:G56 G19:G21 H21 G27:G30">
    <cfRule type="cellIs" dxfId="5328" priority="608" operator="equal">
      <formula>"PMS"</formula>
    </cfRule>
    <cfRule type="containsText" dxfId="5327" priority="609" operator="containsText" text="CMS">
      <formula>NOT(ISERROR(SEARCH("CMS",G19)))</formula>
    </cfRule>
    <cfRule type="cellIs" dxfId="5326" priority="610" operator="equal">
      <formula>0</formula>
    </cfRule>
    <cfRule type="cellIs" dxfId="5325" priority="611" operator="greaterThan">
      <formula>0</formula>
    </cfRule>
    <cfRule type="cellIs" dxfId="5324" priority="612" operator="equal">
      <formula>"PMS"</formula>
    </cfRule>
    <cfRule type="containsText" dxfId="5323" priority="613" operator="containsText" text="CMS">
      <formula>NOT(ISERROR(SEARCH("CMS",G19)))</formula>
    </cfRule>
    <cfRule type="cellIs" dxfId="5322" priority="614" operator="equal">
      <formula>0</formula>
    </cfRule>
    <cfRule type="cellIs" dxfId="5321" priority="615" operator="greaterThan">
      <formula>0</formula>
    </cfRule>
  </conditionalFormatting>
  <conditionalFormatting sqref="G33 G24 G39:G48 G50:G56 G19:G21 H21 G27:G30">
    <cfRule type="cellIs" dxfId="5320" priority="604" operator="equal">
      <formula>"PMS"</formula>
    </cfRule>
    <cfRule type="containsText" dxfId="5319" priority="605" operator="containsText" text="CMS">
      <formula>NOT(ISERROR(SEARCH("CMS",G19)))</formula>
    </cfRule>
    <cfRule type="cellIs" dxfId="5318" priority="606" operator="equal">
      <formula>0</formula>
    </cfRule>
    <cfRule type="cellIs" dxfId="5317" priority="607" operator="greaterThan">
      <formula>0</formula>
    </cfRule>
  </conditionalFormatting>
  <conditionalFormatting sqref="M39:M46 M33 M27:M29 M20 AB27:AC27 N47:N48 T27:X27 N50:N56 M27:Q27 M62:M64">
    <cfRule type="cellIs" dxfId="5316" priority="596" operator="equal">
      <formula>"PMS"</formula>
    </cfRule>
    <cfRule type="containsText" dxfId="5315" priority="597" operator="containsText" text="CMS">
      <formula>NOT(ISERROR(SEARCH("CMS",M20)))</formula>
    </cfRule>
    <cfRule type="cellIs" dxfId="5314" priority="598" operator="equal">
      <formula>0</formula>
    </cfRule>
    <cfRule type="cellIs" dxfId="5313" priority="599" operator="greaterThan">
      <formula>0</formula>
    </cfRule>
    <cfRule type="cellIs" dxfId="5312" priority="600" operator="equal">
      <formula>"PMS"</formula>
    </cfRule>
    <cfRule type="containsText" dxfId="5311" priority="601" operator="containsText" text="CMS">
      <formula>NOT(ISERROR(SEARCH("CMS",M20)))</formula>
    </cfRule>
    <cfRule type="cellIs" dxfId="5310" priority="602" operator="equal">
      <formula>0</formula>
    </cfRule>
    <cfRule type="cellIs" dxfId="5309" priority="603" operator="greaterThan">
      <formula>0</formula>
    </cfRule>
  </conditionalFormatting>
  <conditionalFormatting sqref="M39:M46 M33 M27:M29 M20 AB27:AC27 N47:N48 T27:X27 N50:N56 M27:Q27 M62:M64">
    <cfRule type="cellIs" dxfId="5308" priority="592" operator="equal">
      <formula>"PMS"</formula>
    </cfRule>
    <cfRule type="containsText" dxfId="5307" priority="593" operator="containsText" text="CMS">
      <formula>NOT(ISERROR(SEARCH("CMS",M20)))</formula>
    </cfRule>
    <cfRule type="cellIs" dxfId="5306" priority="594" operator="equal">
      <formula>0</formula>
    </cfRule>
    <cfRule type="cellIs" dxfId="5305" priority="595" operator="greaterThan">
      <formula>0</formula>
    </cfRule>
  </conditionalFormatting>
  <conditionalFormatting sqref="K50:K56 K39:K48 K27 K24 K20 K29:K30 L30">
    <cfRule type="cellIs" dxfId="5304" priority="584" operator="equal">
      <formula>"PMS"</formula>
    </cfRule>
    <cfRule type="containsText" dxfId="5303" priority="585" operator="containsText" text="CMS">
      <formula>NOT(ISERROR(SEARCH("CMS",K20)))</formula>
    </cfRule>
    <cfRule type="cellIs" dxfId="5302" priority="586" operator="equal">
      <formula>0</formula>
    </cfRule>
    <cfRule type="cellIs" dxfId="5301" priority="587" operator="greaterThan">
      <formula>0</formula>
    </cfRule>
    <cfRule type="cellIs" dxfId="5300" priority="588" operator="equal">
      <formula>"PMS"</formula>
    </cfRule>
    <cfRule type="containsText" dxfId="5299" priority="589" operator="containsText" text="CMS">
      <formula>NOT(ISERROR(SEARCH("CMS",K20)))</formula>
    </cfRule>
    <cfRule type="cellIs" dxfId="5298" priority="590" operator="equal">
      <formula>0</formula>
    </cfRule>
    <cfRule type="cellIs" dxfId="5297" priority="591" operator="greaterThan">
      <formula>0</formula>
    </cfRule>
  </conditionalFormatting>
  <conditionalFormatting sqref="K50:K56 K39:K48 K27 K24 K20 K29:K30 L30">
    <cfRule type="cellIs" dxfId="5296" priority="580" operator="equal">
      <formula>"PMS"</formula>
    </cfRule>
    <cfRule type="containsText" dxfId="5295" priority="581" operator="containsText" text="CMS">
      <formula>NOT(ISERROR(SEARCH("CMS",K20)))</formula>
    </cfRule>
    <cfRule type="cellIs" dxfId="5294" priority="582" operator="equal">
      <formula>0</formula>
    </cfRule>
    <cfRule type="cellIs" dxfId="5293" priority="583" operator="greaterThan">
      <formula>0</formula>
    </cfRule>
  </conditionalFormatting>
  <conditionalFormatting sqref="K28">
    <cfRule type="cellIs" dxfId="5292" priority="572" operator="equal">
      <formula>"PMS"</formula>
    </cfRule>
    <cfRule type="containsText" dxfId="5291" priority="573" operator="containsText" text="CMS">
      <formula>NOT(ISERROR(SEARCH("CMS",K28)))</formula>
    </cfRule>
    <cfRule type="cellIs" dxfId="5290" priority="574" operator="equal">
      <formula>0</formula>
    </cfRule>
    <cfRule type="cellIs" dxfId="5289" priority="575" operator="greaterThan">
      <formula>0</formula>
    </cfRule>
    <cfRule type="cellIs" dxfId="5288" priority="576" operator="equal">
      <formula>"PMS"</formula>
    </cfRule>
    <cfRule type="containsText" dxfId="5287" priority="577" operator="containsText" text="CMS">
      <formula>NOT(ISERROR(SEARCH("CMS",K28)))</formula>
    </cfRule>
    <cfRule type="cellIs" dxfId="5286" priority="578" operator="equal">
      <formula>0</formula>
    </cfRule>
    <cfRule type="cellIs" dxfId="5285" priority="579" operator="greaterThan">
      <formula>0</formula>
    </cfRule>
  </conditionalFormatting>
  <conditionalFormatting sqref="K28">
    <cfRule type="cellIs" dxfId="5284" priority="568" operator="equal">
      <formula>"PMS"</formula>
    </cfRule>
    <cfRule type="containsText" dxfId="5283" priority="569" operator="containsText" text="CMS">
      <formula>NOT(ISERROR(SEARCH("CMS",K28)))</formula>
    </cfRule>
    <cfRule type="cellIs" dxfId="5282" priority="570" operator="equal">
      <formula>0</formula>
    </cfRule>
    <cfRule type="cellIs" dxfId="5281" priority="571" operator="greaterThan">
      <formula>0</formula>
    </cfRule>
  </conditionalFormatting>
  <conditionalFormatting sqref="N64:O64 O62:O64">
    <cfRule type="cellIs" dxfId="5280" priority="560" operator="equal">
      <formula>"PMS"</formula>
    </cfRule>
    <cfRule type="containsText" dxfId="5279" priority="561" operator="containsText" text="CMS">
      <formula>NOT(ISERROR(SEARCH("CMS",N62)))</formula>
    </cfRule>
    <cfRule type="cellIs" dxfId="5278" priority="562" operator="equal">
      <formula>0</formula>
    </cfRule>
    <cfRule type="cellIs" dxfId="5277" priority="563" operator="greaterThan">
      <formula>0</formula>
    </cfRule>
    <cfRule type="cellIs" dxfId="5276" priority="564" operator="equal">
      <formula>"PMS"</formula>
    </cfRule>
    <cfRule type="containsText" dxfId="5275" priority="565" operator="containsText" text="CMS">
      <formula>NOT(ISERROR(SEARCH("CMS",N62)))</formula>
    </cfRule>
    <cfRule type="cellIs" dxfId="5274" priority="566" operator="equal">
      <formula>0</formula>
    </cfRule>
    <cfRule type="cellIs" dxfId="5273" priority="567" operator="greaterThan">
      <formula>0</formula>
    </cfRule>
  </conditionalFormatting>
  <conditionalFormatting sqref="N64:O64 O62:O64">
    <cfRule type="cellIs" dxfId="5272" priority="556" operator="equal">
      <formula>"PMS"</formula>
    </cfRule>
    <cfRule type="containsText" dxfId="5271" priority="557" operator="containsText" text="CMS">
      <formula>NOT(ISERROR(SEARCH("CMS",N62)))</formula>
    </cfRule>
    <cfRule type="cellIs" dxfId="5270" priority="558" operator="equal">
      <formula>0</formula>
    </cfRule>
    <cfRule type="cellIs" dxfId="5269" priority="559" operator="greaterThan">
      <formula>0</formula>
    </cfRule>
  </conditionalFormatting>
  <conditionalFormatting sqref="Y27:AA27">
    <cfRule type="cellIs" dxfId="5268" priority="548" operator="equal">
      <formula>"PMS"</formula>
    </cfRule>
    <cfRule type="containsText" dxfId="5267" priority="549" operator="containsText" text="CMS">
      <formula>NOT(ISERROR(SEARCH("CMS",Y27)))</formula>
    </cfRule>
    <cfRule type="cellIs" dxfId="5266" priority="550" operator="equal">
      <formula>0</formula>
    </cfRule>
    <cfRule type="cellIs" dxfId="5265" priority="551" operator="greaterThan">
      <formula>0</formula>
    </cfRule>
    <cfRule type="cellIs" dxfId="5264" priority="552" operator="equal">
      <formula>"PMS"</formula>
    </cfRule>
    <cfRule type="containsText" dxfId="5263" priority="553" operator="containsText" text="CMS">
      <formula>NOT(ISERROR(SEARCH("CMS",Y27)))</formula>
    </cfRule>
    <cfRule type="cellIs" dxfId="5262" priority="554" operator="equal">
      <formula>0</formula>
    </cfRule>
    <cfRule type="cellIs" dxfId="5261" priority="555" operator="greaterThan">
      <formula>0</formula>
    </cfRule>
  </conditionalFormatting>
  <conditionalFormatting sqref="Y27:AA27">
    <cfRule type="cellIs" dxfId="5260" priority="544" operator="equal">
      <formula>"PMS"</formula>
    </cfRule>
    <cfRule type="containsText" dxfId="5259" priority="545" operator="containsText" text="CMS">
      <formula>NOT(ISERROR(SEARCH("CMS",Y27)))</formula>
    </cfRule>
    <cfRule type="cellIs" dxfId="5258" priority="546" operator="equal">
      <formula>0</formula>
    </cfRule>
    <cfRule type="cellIs" dxfId="5257" priority="547" operator="greaterThan">
      <formula>0</formula>
    </cfRule>
  </conditionalFormatting>
  <conditionalFormatting sqref="G62:G64">
    <cfRule type="cellIs" dxfId="5256" priority="536" operator="equal">
      <formula>"PMS"</formula>
    </cfRule>
    <cfRule type="containsText" dxfId="5255" priority="537" operator="containsText" text="CMS">
      <formula>NOT(ISERROR(SEARCH("CMS",G62)))</formula>
    </cfRule>
    <cfRule type="cellIs" dxfId="5254" priority="538" operator="equal">
      <formula>0</formula>
    </cfRule>
    <cfRule type="cellIs" dxfId="5253" priority="539" operator="greaterThan">
      <formula>0</formula>
    </cfRule>
    <cfRule type="cellIs" dxfId="5252" priority="540" operator="equal">
      <formula>"PMS"</formula>
    </cfRule>
    <cfRule type="containsText" dxfId="5251" priority="541" operator="containsText" text="CMS">
      <formula>NOT(ISERROR(SEARCH("CMS",G62)))</formula>
    </cfRule>
    <cfRule type="cellIs" dxfId="5250" priority="542" operator="equal">
      <formula>0</formula>
    </cfRule>
    <cfRule type="cellIs" dxfId="5249" priority="543" operator="greaterThan">
      <formula>0</formula>
    </cfRule>
  </conditionalFormatting>
  <conditionalFormatting sqref="G62:G64">
    <cfRule type="cellIs" dxfId="5248" priority="532" operator="equal">
      <formula>"PMS"</formula>
    </cfRule>
    <cfRule type="containsText" dxfId="5247" priority="533" operator="containsText" text="CMS">
      <formula>NOT(ISERROR(SEARCH("CMS",G62)))</formula>
    </cfRule>
    <cfRule type="cellIs" dxfId="5246" priority="534" operator="equal">
      <formula>0</formula>
    </cfRule>
    <cfRule type="cellIs" dxfId="5245" priority="535" operator="greaterThan">
      <formula>0</formula>
    </cfRule>
  </conditionalFormatting>
  <conditionalFormatting sqref="N40">
    <cfRule type="cellIs" dxfId="5244" priority="524" operator="equal">
      <formula>"PMS"</formula>
    </cfRule>
    <cfRule type="containsText" dxfId="5243" priority="525" operator="containsText" text="CMS">
      <formula>NOT(ISERROR(SEARCH("CMS",N40)))</formula>
    </cfRule>
    <cfRule type="cellIs" dxfId="5242" priority="526" operator="equal">
      <formula>0</formula>
    </cfRule>
    <cfRule type="cellIs" dxfId="5241" priority="527" operator="greaterThan">
      <formula>0</formula>
    </cfRule>
    <cfRule type="cellIs" dxfId="5240" priority="528" operator="equal">
      <formula>"PMS"</formula>
    </cfRule>
    <cfRule type="containsText" dxfId="5239" priority="529" operator="containsText" text="CMS">
      <formula>NOT(ISERROR(SEARCH("CMS",N40)))</formula>
    </cfRule>
    <cfRule type="cellIs" dxfId="5238" priority="530" operator="equal">
      <formula>0</formula>
    </cfRule>
    <cfRule type="cellIs" dxfId="5237" priority="531" operator="greaterThan">
      <formula>0</formula>
    </cfRule>
  </conditionalFormatting>
  <conditionalFormatting sqref="N40">
    <cfRule type="cellIs" dxfId="5236" priority="520" operator="equal">
      <formula>"PMS"</formula>
    </cfRule>
    <cfRule type="containsText" dxfId="5235" priority="521" operator="containsText" text="CMS">
      <formula>NOT(ISERROR(SEARCH("CMS",N40)))</formula>
    </cfRule>
    <cfRule type="cellIs" dxfId="5234" priority="522" operator="equal">
      <formula>0</formula>
    </cfRule>
    <cfRule type="cellIs" dxfId="5233" priority="523" operator="greaterThan">
      <formula>0</formula>
    </cfRule>
  </conditionalFormatting>
  <conditionalFormatting sqref="O30">
    <cfRule type="cellIs" dxfId="5232" priority="512" operator="equal">
      <formula>"PMS"</formula>
    </cfRule>
    <cfRule type="containsText" dxfId="5231" priority="513" operator="containsText" text="CMS">
      <formula>NOT(ISERROR(SEARCH("CMS",O30)))</formula>
    </cfRule>
    <cfRule type="cellIs" dxfId="5230" priority="514" operator="equal">
      <formula>0</formula>
    </cfRule>
    <cfRule type="cellIs" dxfId="5229" priority="515" operator="greaterThan">
      <formula>0</formula>
    </cfRule>
    <cfRule type="cellIs" dxfId="5228" priority="516" operator="equal">
      <formula>"PMS"</formula>
    </cfRule>
    <cfRule type="containsText" dxfId="5227" priority="517" operator="containsText" text="CMS">
      <formula>NOT(ISERROR(SEARCH("CMS",O30)))</formula>
    </cfRule>
    <cfRule type="cellIs" dxfId="5226" priority="518" operator="equal">
      <formula>0</formula>
    </cfRule>
    <cfRule type="cellIs" dxfId="5225" priority="519" operator="greaterThan">
      <formula>0</formula>
    </cfRule>
  </conditionalFormatting>
  <conditionalFormatting sqref="O30">
    <cfRule type="cellIs" dxfId="5224" priority="508" operator="equal">
      <formula>"PMS"</formula>
    </cfRule>
    <cfRule type="containsText" dxfId="5223" priority="509" operator="containsText" text="CMS">
      <formula>NOT(ISERROR(SEARCH("CMS",O30)))</formula>
    </cfRule>
    <cfRule type="cellIs" dxfId="5222" priority="510" operator="equal">
      <formula>0</formula>
    </cfRule>
    <cfRule type="cellIs" dxfId="5221" priority="511" operator="greaterThan">
      <formula>0</formula>
    </cfRule>
  </conditionalFormatting>
  <conditionalFormatting sqref="O47:O49">
    <cfRule type="cellIs" dxfId="5220" priority="500" operator="equal">
      <formula>"PMS"</formula>
    </cfRule>
    <cfRule type="containsText" dxfId="5219" priority="501" operator="containsText" text="CMS">
      <formula>NOT(ISERROR(SEARCH("CMS",O47)))</formula>
    </cfRule>
    <cfRule type="cellIs" dxfId="5218" priority="502" operator="equal">
      <formula>0</formula>
    </cfRule>
    <cfRule type="cellIs" dxfId="5217" priority="503" operator="greaterThan">
      <formula>0</formula>
    </cfRule>
    <cfRule type="cellIs" dxfId="5216" priority="504" operator="equal">
      <formula>"PMS"</formula>
    </cfRule>
    <cfRule type="containsText" dxfId="5215" priority="505" operator="containsText" text="CMS">
      <formula>NOT(ISERROR(SEARCH("CMS",O47)))</formula>
    </cfRule>
    <cfRule type="cellIs" dxfId="5214" priority="506" operator="equal">
      <formula>0</formula>
    </cfRule>
    <cfRule type="cellIs" dxfId="5213" priority="507" operator="greaterThan">
      <formula>0</formula>
    </cfRule>
  </conditionalFormatting>
  <conditionalFormatting sqref="O47:O49">
    <cfRule type="cellIs" dxfId="5212" priority="496" operator="equal">
      <formula>"PMS"</formula>
    </cfRule>
    <cfRule type="containsText" dxfId="5211" priority="497" operator="containsText" text="CMS">
      <formula>NOT(ISERROR(SEARCH("CMS",O47)))</formula>
    </cfRule>
    <cfRule type="cellIs" dxfId="5210" priority="498" operator="equal">
      <formula>0</formula>
    </cfRule>
    <cfRule type="cellIs" dxfId="5209" priority="499" operator="greaterThan">
      <formula>0</formula>
    </cfRule>
  </conditionalFormatting>
  <conditionalFormatting sqref="H15:H16">
    <cfRule type="cellIs" dxfId="5208" priority="488" operator="equal">
      <formula>"PMS"</formula>
    </cfRule>
    <cfRule type="containsText" dxfId="5207" priority="489" operator="containsText" text="CMS">
      <formula>NOT(ISERROR(SEARCH("CMS",H15)))</formula>
    </cfRule>
    <cfRule type="cellIs" dxfId="5206" priority="490" operator="equal">
      <formula>0</formula>
    </cfRule>
    <cfRule type="cellIs" dxfId="5205" priority="491" operator="greaterThan">
      <formula>0</formula>
    </cfRule>
    <cfRule type="cellIs" dxfId="5204" priority="492" operator="equal">
      <formula>"PMS"</formula>
    </cfRule>
    <cfRule type="containsText" dxfId="5203" priority="493" operator="containsText" text="CMS">
      <formula>NOT(ISERROR(SEARCH("CMS",H15)))</formula>
    </cfRule>
    <cfRule type="cellIs" dxfId="5202" priority="494" operator="equal">
      <formula>0</formula>
    </cfRule>
    <cfRule type="cellIs" dxfId="5201" priority="495" operator="greaterThan">
      <formula>0</formula>
    </cfRule>
  </conditionalFormatting>
  <conditionalFormatting sqref="H15:H16">
    <cfRule type="cellIs" dxfId="5200" priority="484" operator="equal">
      <formula>"PMS"</formula>
    </cfRule>
    <cfRule type="containsText" dxfId="5199" priority="485" operator="containsText" text="CMS">
      <formula>NOT(ISERROR(SEARCH("CMS",H15)))</formula>
    </cfRule>
    <cfRule type="cellIs" dxfId="5198" priority="486" operator="equal">
      <formula>0</formula>
    </cfRule>
    <cfRule type="cellIs" dxfId="5197" priority="487" operator="greaterThan">
      <formula>0</formula>
    </cfRule>
  </conditionalFormatting>
  <conditionalFormatting sqref="G14">
    <cfRule type="cellIs" dxfId="5196" priority="476" operator="equal">
      <formula>"PMS"</formula>
    </cfRule>
    <cfRule type="containsText" dxfId="5195" priority="477" operator="containsText" text="CMS">
      <formula>NOT(ISERROR(SEARCH("CMS",G14)))</formula>
    </cfRule>
    <cfRule type="cellIs" dxfId="5194" priority="478" operator="equal">
      <formula>0</formula>
    </cfRule>
    <cfRule type="cellIs" dxfId="5193" priority="479" operator="greaterThan">
      <formula>0</formula>
    </cfRule>
    <cfRule type="cellIs" dxfId="5192" priority="480" operator="equal">
      <formula>"PMS"</formula>
    </cfRule>
    <cfRule type="containsText" dxfId="5191" priority="481" operator="containsText" text="CMS">
      <formula>NOT(ISERROR(SEARCH("CMS",G14)))</formula>
    </cfRule>
    <cfRule type="cellIs" dxfId="5190" priority="482" operator="equal">
      <formula>0</formula>
    </cfRule>
    <cfRule type="cellIs" dxfId="5189" priority="483" operator="greaterThan">
      <formula>0</formula>
    </cfRule>
  </conditionalFormatting>
  <conditionalFormatting sqref="G14">
    <cfRule type="cellIs" dxfId="5188" priority="472" operator="equal">
      <formula>"PMS"</formula>
    </cfRule>
    <cfRule type="containsText" dxfId="5187" priority="473" operator="containsText" text="CMS">
      <formula>NOT(ISERROR(SEARCH("CMS",G14)))</formula>
    </cfRule>
    <cfRule type="cellIs" dxfId="5186" priority="474" operator="equal">
      <formula>0</formula>
    </cfRule>
    <cfRule type="cellIs" dxfId="5185" priority="475" operator="greaterThan">
      <formula>0</formula>
    </cfRule>
  </conditionalFormatting>
  <conditionalFormatting sqref="G78:K78">
    <cfRule type="cellIs" dxfId="5184" priority="452" operator="equal">
      <formula>"PMS"</formula>
    </cfRule>
    <cfRule type="containsText" dxfId="5183" priority="453" operator="containsText" text="CMS">
      <formula>NOT(ISERROR(SEARCH("CMS",G78)))</formula>
    </cfRule>
    <cfRule type="cellIs" dxfId="5182" priority="454" operator="equal">
      <formula>0</formula>
    </cfRule>
    <cfRule type="cellIs" dxfId="5181" priority="455" operator="greaterThan">
      <formula>0</formula>
    </cfRule>
    <cfRule type="cellIs" dxfId="5180" priority="456" operator="equal">
      <formula>"PMS"</formula>
    </cfRule>
    <cfRule type="containsText" dxfId="5179" priority="457" operator="containsText" text="CMS">
      <formula>NOT(ISERROR(SEARCH("CMS",G78)))</formula>
    </cfRule>
    <cfRule type="cellIs" dxfId="5178" priority="458" operator="equal">
      <formula>0</formula>
    </cfRule>
    <cfRule type="cellIs" dxfId="5177" priority="459" operator="greaterThan">
      <formula>0</formula>
    </cfRule>
  </conditionalFormatting>
  <conditionalFormatting sqref="G78:K78">
    <cfRule type="cellIs" dxfId="5176" priority="448" operator="equal">
      <formula>"PMS"</formula>
    </cfRule>
    <cfRule type="containsText" dxfId="5175" priority="449" operator="containsText" text="CMS">
      <formula>NOT(ISERROR(SEARCH("CMS",G78)))</formula>
    </cfRule>
    <cfRule type="cellIs" dxfId="5174" priority="450" operator="equal">
      <formula>0</formula>
    </cfRule>
    <cfRule type="cellIs" dxfId="5173" priority="451" operator="greaterThan">
      <formula>0</formula>
    </cfRule>
  </conditionalFormatting>
  <conditionalFormatting sqref="L78:L79">
    <cfRule type="cellIs" dxfId="5172" priority="440" operator="equal">
      <formula>"PMS"</formula>
    </cfRule>
    <cfRule type="containsText" dxfId="5171" priority="441" operator="containsText" text="CMS">
      <formula>NOT(ISERROR(SEARCH("CMS",L78)))</formula>
    </cfRule>
    <cfRule type="cellIs" dxfId="5170" priority="442" operator="equal">
      <formula>0</formula>
    </cfRule>
    <cfRule type="cellIs" dxfId="5169" priority="443" operator="greaterThan">
      <formula>0</formula>
    </cfRule>
    <cfRule type="cellIs" dxfId="5168" priority="444" operator="equal">
      <formula>"PMS"</formula>
    </cfRule>
    <cfRule type="containsText" dxfId="5167" priority="445" operator="containsText" text="CMS">
      <formula>NOT(ISERROR(SEARCH("CMS",L78)))</formula>
    </cfRule>
    <cfRule type="cellIs" dxfId="5166" priority="446" operator="equal">
      <formula>0</formula>
    </cfRule>
    <cfRule type="cellIs" dxfId="5165" priority="447" operator="greaterThan">
      <formula>0</formula>
    </cfRule>
  </conditionalFormatting>
  <conditionalFormatting sqref="L78:L79">
    <cfRule type="cellIs" dxfId="5164" priority="436" operator="equal">
      <formula>"PMS"</formula>
    </cfRule>
    <cfRule type="containsText" dxfId="5163" priority="437" operator="containsText" text="CMS">
      <formula>NOT(ISERROR(SEARCH("CMS",L78)))</formula>
    </cfRule>
    <cfRule type="cellIs" dxfId="5162" priority="438" operator="equal">
      <formula>0</formula>
    </cfRule>
    <cfRule type="cellIs" dxfId="5161" priority="439" operator="greaterThan">
      <formula>0</formula>
    </cfRule>
  </conditionalFormatting>
  <conditionalFormatting sqref="R27:R28 S28">
    <cfRule type="cellIs" dxfId="5160" priority="428" operator="equal">
      <formula>"PMS"</formula>
    </cfRule>
    <cfRule type="containsText" dxfId="5159" priority="429" operator="containsText" text="CMS">
      <formula>NOT(ISERROR(SEARCH("CMS",R27)))</formula>
    </cfRule>
    <cfRule type="cellIs" dxfId="5158" priority="430" operator="equal">
      <formula>0</formula>
    </cfRule>
    <cfRule type="cellIs" dxfId="5157" priority="431" operator="greaterThan">
      <formula>0</formula>
    </cfRule>
    <cfRule type="cellIs" dxfId="5156" priority="432" operator="equal">
      <formula>"PMS"</formula>
    </cfRule>
    <cfRule type="containsText" dxfId="5155" priority="433" operator="containsText" text="CMS">
      <formula>NOT(ISERROR(SEARCH("CMS",R27)))</formula>
    </cfRule>
    <cfRule type="cellIs" dxfId="5154" priority="434" operator="equal">
      <formula>0</formula>
    </cfRule>
    <cfRule type="cellIs" dxfId="5153" priority="435" operator="greaterThan">
      <formula>0</formula>
    </cfRule>
  </conditionalFormatting>
  <conditionalFormatting sqref="R27:R28 S28">
    <cfRule type="cellIs" dxfId="5152" priority="424" operator="equal">
      <formula>"PMS"</formula>
    </cfRule>
    <cfRule type="containsText" dxfId="5151" priority="425" operator="containsText" text="CMS">
      <formula>NOT(ISERROR(SEARCH("CMS",R27)))</formula>
    </cfRule>
    <cfRule type="cellIs" dxfId="5150" priority="426" operator="equal">
      <formula>0</formula>
    </cfRule>
    <cfRule type="cellIs" dxfId="5149" priority="427" operator="greaterThan">
      <formula>0</formula>
    </cfRule>
  </conditionalFormatting>
  <conditionalFormatting sqref="AA79:AB79">
    <cfRule type="cellIs" dxfId="5148" priority="416" operator="equal">
      <formula>"PMS"</formula>
    </cfRule>
    <cfRule type="containsText" dxfId="5147" priority="417" operator="containsText" text="CMS">
      <formula>NOT(ISERROR(SEARCH("CMS",AA79)))</formula>
    </cfRule>
    <cfRule type="cellIs" dxfId="5146" priority="418" operator="equal">
      <formula>0</formula>
    </cfRule>
    <cfRule type="cellIs" dxfId="5145" priority="419" operator="greaterThan">
      <formula>0</formula>
    </cfRule>
    <cfRule type="cellIs" dxfId="5144" priority="420" operator="equal">
      <formula>"PMS"</formula>
    </cfRule>
    <cfRule type="containsText" dxfId="5143" priority="421" operator="containsText" text="CMS">
      <formula>NOT(ISERROR(SEARCH("CMS",AA79)))</formula>
    </cfRule>
    <cfRule type="cellIs" dxfId="5142" priority="422" operator="equal">
      <formula>0</formula>
    </cfRule>
    <cfRule type="cellIs" dxfId="5141" priority="423" operator="greaterThan">
      <formula>0</formula>
    </cfRule>
  </conditionalFormatting>
  <conditionalFormatting sqref="AA79:AB79">
    <cfRule type="cellIs" dxfId="5140" priority="412" operator="equal">
      <formula>"PMS"</formula>
    </cfRule>
    <cfRule type="containsText" dxfId="5139" priority="413" operator="containsText" text="CMS">
      <formula>NOT(ISERROR(SEARCH("CMS",AA79)))</formula>
    </cfRule>
    <cfRule type="cellIs" dxfId="5138" priority="414" operator="equal">
      <formula>0</formula>
    </cfRule>
    <cfRule type="cellIs" dxfId="5137" priority="415" operator="greaterThan">
      <formula>0</formula>
    </cfRule>
  </conditionalFormatting>
  <conditionalFormatting sqref="M30">
    <cfRule type="cellIs" dxfId="5136" priority="404" operator="equal">
      <formula>"PMS"</formula>
    </cfRule>
    <cfRule type="containsText" dxfId="5135" priority="405" operator="containsText" text="CMS">
      <formula>NOT(ISERROR(SEARCH("CMS",M30)))</formula>
    </cfRule>
    <cfRule type="cellIs" dxfId="5134" priority="406" operator="equal">
      <formula>0</formula>
    </cfRule>
    <cfRule type="cellIs" dxfId="5133" priority="407" operator="greaterThan">
      <formula>0</formula>
    </cfRule>
    <cfRule type="cellIs" dxfId="5132" priority="408" operator="equal">
      <formula>"PMS"</formula>
    </cfRule>
    <cfRule type="containsText" dxfId="5131" priority="409" operator="containsText" text="CMS">
      <formula>NOT(ISERROR(SEARCH("CMS",M30)))</formula>
    </cfRule>
    <cfRule type="cellIs" dxfId="5130" priority="410" operator="equal">
      <formula>0</formula>
    </cfRule>
    <cfRule type="cellIs" dxfId="5129" priority="411" operator="greaterThan">
      <formula>0</formula>
    </cfRule>
  </conditionalFormatting>
  <conditionalFormatting sqref="M30">
    <cfRule type="cellIs" dxfId="5128" priority="400" operator="equal">
      <formula>"PMS"</formula>
    </cfRule>
    <cfRule type="containsText" dxfId="5127" priority="401" operator="containsText" text="CMS">
      <formula>NOT(ISERROR(SEARCH("CMS",M30)))</formula>
    </cfRule>
    <cfRule type="cellIs" dxfId="5126" priority="402" operator="equal">
      <formula>0</formula>
    </cfRule>
    <cfRule type="cellIs" dxfId="5125" priority="403" operator="greaterThan">
      <formula>0</formula>
    </cfRule>
  </conditionalFormatting>
  <conditionalFormatting sqref="R78">
    <cfRule type="cellIs" dxfId="5124" priority="392" operator="equal">
      <formula>"PMS"</formula>
    </cfRule>
    <cfRule type="containsText" dxfId="5123" priority="393" operator="containsText" text="CMS">
      <formula>NOT(ISERROR(SEARCH("CMS",R78)))</formula>
    </cfRule>
    <cfRule type="cellIs" dxfId="5122" priority="394" operator="equal">
      <formula>0</formula>
    </cfRule>
    <cfRule type="cellIs" dxfId="5121" priority="395" operator="greaterThan">
      <formula>0</formula>
    </cfRule>
    <cfRule type="cellIs" dxfId="5120" priority="396" operator="equal">
      <formula>"PMS"</formula>
    </cfRule>
    <cfRule type="containsText" dxfId="5119" priority="397" operator="containsText" text="CMS">
      <formula>NOT(ISERROR(SEARCH("CMS",R78)))</formula>
    </cfRule>
    <cfRule type="cellIs" dxfId="5118" priority="398" operator="equal">
      <formula>0</formula>
    </cfRule>
    <cfRule type="cellIs" dxfId="5117" priority="399" operator="greaterThan">
      <formula>0</formula>
    </cfRule>
  </conditionalFormatting>
  <conditionalFormatting sqref="R78">
    <cfRule type="cellIs" dxfId="5116" priority="388" operator="equal">
      <formula>"PMS"</formula>
    </cfRule>
    <cfRule type="containsText" dxfId="5115" priority="389" operator="containsText" text="CMS">
      <formula>NOT(ISERROR(SEARCH("CMS",R78)))</formula>
    </cfRule>
    <cfRule type="cellIs" dxfId="5114" priority="390" operator="equal">
      <formula>0</formula>
    </cfRule>
    <cfRule type="cellIs" dxfId="5113" priority="391" operator="greaterThan">
      <formula>0</formula>
    </cfRule>
  </conditionalFormatting>
  <conditionalFormatting sqref="M16">
    <cfRule type="cellIs" dxfId="5112" priority="380" operator="equal">
      <formula>"PMS"</formula>
    </cfRule>
    <cfRule type="containsText" dxfId="5111" priority="381" operator="containsText" text="CMS">
      <formula>NOT(ISERROR(SEARCH("CMS",M16)))</formula>
    </cfRule>
    <cfRule type="cellIs" dxfId="5110" priority="382" operator="equal">
      <formula>0</formula>
    </cfRule>
    <cfRule type="cellIs" dxfId="5109" priority="383" operator="greaterThan">
      <formula>0</formula>
    </cfRule>
    <cfRule type="cellIs" dxfId="5108" priority="384" operator="equal">
      <formula>"PMS"</formula>
    </cfRule>
    <cfRule type="containsText" dxfId="5107" priority="385" operator="containsText" text="CMS">
      <formula>NOT(ISERROR(SEARCH("CMS",M16)))</formula>
    </cfRule>
    <cfRule type="cellIs" dxfId="5106" priority="386" operator="equal">
      <formula>0</formula>
    </cfRule>
    <cfRule type="cellIs" dxfId="5105" priority="387" operator="greaterThan">
      <formula>0</formula>
    </cfRule>
  </conditionalFormatting>
  <conditionalFormatting sqref="M16">
    <cfRule type="cellIs" dxfId="5104" priority="376" operator="equal">
      <formula>"PMS"</formula>
    </cfRule>
    <cfRule type="containsText" dxfId="5103" priority="377" operator="containsText" text="CMS">
      <formula>NOT(ISERROR(SEARCH("CMS",M16)))</formula>
    </cfRule>
    <cfRule type="cellIs" dxfId="5102" priority="378" operator="equal">
      <formula>0</formula>
    </cfRule>
    <cfRule type="cellIs" dxfId="5101" priority="379" operator="greaterThan">
      <formula>0</formula>
    </cfRule>
  </conditionalFormatting>
  <conditionalFormatting sqref="O40">
    <cfRule type="cellIs" dxfId="5100" priority="368" operator="equal">
      <formula>"PMS"</formula>
    </cfRule>
    <cfRule type="containsText" dxfId="5099" priority="369" operator="containsText" text="CMS">
      <formula>NOT(ISERROR(SEARCH("CMS",O40)))</formula>
    </cfRule>
    <cfRule type="cellIs" dxfId="5098" priority="370" operator="equal">
      <formula>0</formula>
    </cfRule>
    <cfRule type="cellIs" dxfId="5097" priority="371" operator="greaterThan">
      <formula>0</formula>
    </cfRule>
    <cfRule type="cellIs" dxfId="5096" priority="372" operator="equal">
      <formula>"PMS"</formula>
    </cfRule>
    <cfRule type="containsText" dxfId="5095" priority="373" operator="containsText" text="CMS">
      <formula>NOT(ISERROR(SEARCH("CMS",O40)))</formula>
    </cfRule>
    <cfRule type="cellIs" dxfId="5094" priority="374" operator="equal">
      <formula>0</formula>
    </cfRule>
    <cfRule type="cellIs" dxfId="5093" priority="375" operator="greaterThan">
      <formula>0</formula>
    </cfRule>
  </conditionalFormatting>
  <conditionalFormatting sqref="O40">
    <cfRule type="cellIs" dxfId="5092" priority="364" operator="equal">
      <formula>"PMS"</formula>
    </cfRule>
    <cfRule type="containsText" dxfId="5091" priority="365" operator="containsText" text="CMS">
      <formula>NOT(ISERROR(SEARCH("CMS",O40)))</formula>
    </cfRule>
    <cfRule type="cellIs" dxfId="5090" priority="366" operator="equal">
      <formula>0</formula>
    </cfRule>
    <cfRule type="cellIs" dxfId="5089" priority="367" operator="greaterThan">
      <formula>0</formula>
    </cfRule>
  </conditionalFormatting>
  <conditionalFormatting sqref="P21">
    <cfRule type="cellIs" dxfId="5088" priority="356" operator="equal">
      <formula>"PMS"</formula>
    </cfRule>
    <cfRule type="containsText" dxfId="5087" priority="357" operator="containsText" text="CMS">
      <formula>NOT(ISERROR(SEARCH("CMS",P21)))</formula>
    </cfRule>
    <cfRule type="cellIs" dxfId="5086" priority="358" operator="equal">
      <formula>0</formula>
    </cfRule>
    <cfRule type="cellIs" dxfId="5085" priority="359" operator="greaterThan">
      <formula>0</formula>
    </cfRule>
    <cfRule type="cellIs" dxfId="5084" priority="360" operator="equal">
      <formula>"PMS"</formula>
    </cfRule>
    <cfRule type="containsText" dxfId="5083" priority="361" operator="containsText" text="CMS">
      <formula>NOT(ISERROR(SEARCH("CMS",P21)))</formula>
    </cfRule>
    <cfRule type="cellIs" dxfId="5082" priority="362" operator="equal">
      <formula>0</formula>
    </cfRule>
    <cfRule type="cellIs" dxfId="5081" priority="363" operator="greaterThan">
      <formula>0</formula>
    </cfRule>
  </conditionalFormatting>
  <conditionalFormatting sqref="P21">
    <cfRule type="cellIs" dxfId="5080" priority="352" operator="equal">
      <formula>"PMS"</formula>
    </cfRule>
    <cfRule type="containsText" dxfId="5079" priority="353" operator="containsText" text="CMS">
      <formula>NOT(ISERROR(SEARCH("CMS",P21)))</formula>
    </cfRule>
    <cfRule type="cellIs" dxfId="5078" priority="354" operator="equal">
      <formula>0</formula>
    </cfRule>
    <cfRule type="cellIs" dxfId="5077" priority="355" operator="greaterThan">
      <formula>0</formula>
    </cfRule>
  </conditionalFormatting>
  <conditionalFormatting sqref="M78:M79">
    <cfRule type="cellIs" dxfId="5076" priority="344" operator="equal">
      <formula>"PMS"</formula>
    </cfRule>
    <cfRule type="containsText" dxfId="5075" priority="345" operator="containsText" text="CMS">
      <formula>NOT(ISERROR(SEARCH("CMS",M78)))</formula>
    </cfRule>
    <cfRule type="cellIs" dxfId="5074" priority="346" operator="equal">
      <formula>0</formula>
    </cfRule>
    <cfRule type="cellIs" dxfId="5073" priority="347" operator="greaterThan">
      <formula>0</formula>
    </cfRule>
    <cfRule type="cellIs" dxfId="5072" priority="348" operator="equal">
      <formula>"PMS"</formula>
    </cfRule>
    <cfRule type="containsText" dxfId="5071" priority="349" operator="containsText" text="CMS">
      <formula>NOT(ISERROR(SEARCH("CMS",M78)))</formula>
    </cfRule>
    <cfRule type="cellIs" dxfId="5070" priority="350" operator="equal">
      <formula>0</formula>
    </cfRule>
    <cfRule type="cellIs" dxfId="5069" priority="351" operator="greaterThan">
      <formula>0</formula>
    </cfRule>
  </conditionalFormatting>
  <conditionalFormatting sqref="M78:M79">
    <cfRule type="cellIs" dxfId="5068" priority="340" operator="equal">
      <formula>"PMS"</formula>
    </cfRule>
    <cfRule type="containsText" dxfId="5067" priority="341" operator="containsText" text="CMS">
      <formula>NOT(ISERROR(SEARCH("CMS",M78)))</formula>
    </cfRule>
    <cfRule type="cellIs" dxfId="5066" priority="342" operator="equal">
      <formula>0</formula>
    </cfRule>
    <cfRule type="cellIs" dxfId="5065" priority="343" operator="greaterThan">
      <formula>0</formula>
    </cfRule>
  </conditionalFormatting>
  <conditionalFormatting sqref="G79:K79">
    <cfRule type="cellIs" dxfId="5064" priority="332" operator="equal">
      <formula>"PMS"</formula>
    </cfRule>
    <cfRule type="containsText" dxfId="5063" priority="333" operator="containsText" text="CMS">
      <formula>NOT(ISERROR(SEARCH("CMS",G79)))</formula>
    </cfRule>
    <cfRule type="cellIs" dxfId="5062" priority="334" operator="equal">
      <formula>0</formula>
    </cfRule>
    <cfRule type="cellIs" dxfId="5061" priority="335" operator="greaterThan">
      <formula>0</formula>
    </cfRule>
    <cfRule type="cellIs" dxfId="5060" priority="336" operator="equal">
      <formula>"PMS"</formula>
    </cfRule>
    <cfRule type="containsText" dxfId="5059" priority="337" operator="containsText" text="CMS">
      <formula>NOT(ISERROR(SEARCH("CMS",G79)))</formula>
    </cfRule>
    <cfRule type="cellIs" dxfId="5058" priority="338" operator="equal">
      <formula>0</formula>
    </cfRule>
    <cfRule type="cellIs" dxfId="5057" priority="339" operator="greaterThan">
      <formula>0</formula>
    </cfRule>
  </conditionalFormatting>
  <conditionalFormatting sqref="G79:K79">
    <cfRule type="cellIs" dxfId="5056" priority="328" operator="equal">
      <formula>"PMS"</formula>
    </cfRule>
    <cfRule type="containsText" dxfId="5055" priority="329" operator="containsText" text="CMS">
      <formula>NOT(ISERROR(SEARCH("CMS",G79)))</formula>
    </cfRule>
    <cfRule type="cellIs" dxfId="5054" priority="330" operator="equal">
      <formula>0</formula>
    </cfRule>
    <cfRule type="cellIs" dxfId="5053" priority="331" operator="greaterThan">
      <formula>0</formula>
    </cfRule>
  </conditionalFormatting>
  <conditionalFormatting sqref="N14">
    <cfRule type="cellIs" dxfId="5052" priority="320" operator="equal">
      <formula>"PMS"</formula>
    </cfRule>
    <cfRule type="containsText" dxfId="5051" priority="321" operator="containsText" text="CMS">
      <formula>NOT(ISERROR(SEARCH("CMS",N14)))</formula>
    </cfRule>
    <cfRule type="cellIs" dxfId="5050" priority="322" operator="equal">
      <formula>0</formula>
    </cfRule>
    <cfRule type="cellIs" dxfId="5049" priority="323" operator="greaterThan">
      <formula>0</formula>
    </cfRule>
    <cfRule type="cellIs" dxfId="5048" priority="324" operator="equal">
      <formula>"PMS"</formula>
    </cfRule>
    <cfRule type="containsText" dxfId="5047" priority="325" operator="containsText" text="CMS">
      <formula>NOT(ISERROR(SEARCH("CMS",N14)))</formula>
    </cfRule>
    <cfRule type="cellIs" dxfId="5046" priority="326" operator="equal">
      <formula>0</formula>
    </cfRule>
    <cfRule type="cellIs" dxfId="5045" priority="327" operator="greaterThan">
      <formula>0</formula>
    </cfRule>
  </conditionalFormatting>
  <conditionalFormatting sqref="N14">
    <cfRule type="cellIs" dxfId="5044" priority="316" operator="equal">
      <formula>"PMS"</formula>
    </cfRule>
    <cfRule type="containsText" dxfId="5043" priority="317" operator="containsText" text="CMS">
      <formula>NOT(ISERROR(SEARCH("CMS",N14)))</formula>
    </cfRule>
    <cfRule type="cellIs" dxfId="5042" priority="318" operator="equal">
      <formula>0</formula>
    </cfRule>
    <cfRule type="cellIs" dxfId="5041" priority="319" operator="greaterThan">
      <formula>0</formula>
    </cfRule>
  </conditionalFormatting>
  <conditionalFormatting sqref="O51">
    <cfRule type="cellIs" dxfId="5040" priority="308" operator="equal">
      <formula>"PMS"</formula>
    </cfRule>
    <cfRule type="containsText" dxfId="5039" priority="309" operator="containsText" text="CMS">
      <formula>NOT(ISERROR(SEARCH("CMS",O51)))</formula>
    </cfRule>
    <cfRule type="cellIs" dxfId="5038" priority="310" operator="equal">
      <formula>0</formula>
    </cfRule>
    <cfRule type="cellIs" dxfId="5037" priority="311" operator="greaterThan">
      <formula>0</formula>
    </cfRule>
    <cfRule type="cellIs" dxfId="5036" priority="312" operator="equal">
      <formula>"PMS"</formula>
    </cfRule>
    <cfRule type="containsText" dxfId="5035" priority="313" operator="containsText" text="CMS">
      <formula>NOT(ISERROR(SEARCH("CMS",O51)))</formula>
    </cfRule>
    <cfRule type="cellIs" dxfId="5034" priority="314" operator="equal">
      <formula>0</formula>
    </cfRule>
    <cfRule type="cellIs" dxfId="5033" priority="315" operator="greaterThan">
      <formula>0</formula>
    </cfRule>
  </conditionalFormatting>
  <conditionalFormatting sqref="O51">
    <cfRule type="cellIs" dxfId="5032" priority="304" operator="equal">
      <formula>"PMS"</formula>
    </cfRule>
    <cfRule type="containsText" dxfId="5031" priority="305" operator="containsText" text="CMS">
      <formula>NOT(ISERROR(SEARCH("CMS",O51)))</formula>
    </cfRule>
    <cfRule type="cellIs" dxfId="5030" priority="306" operator="equal">
      <formula>0</formula>
    </cfRule>
    <cfRule type="cellIs" dxfId="5029" priority="307" operator="greaterThan">
      <formula>0</formula>
    </cfRule>
  </conditionalFormatting>
  <conditionalFormatting sqref="O56">
    <cfRule type="cellIs" dxfId="5028" priority="296" operator="equal">
      <formula>"PMS"</formula>
    </cfRule>
    <cfRule type="containsText" dxfId="5027" priority="297" operator="containsText" text="CMS">
      <formula>NOT(ISERROR(SEARCH("CMS",O56)))</formula>
    </cfRule>
    <cfRule type="cellIs" dxfId="5026" priority="298" operator="equal">
      <formula>0</formula>
    </cfRule>
    <cfRule type="cellIs" dxfId="5025" priority="299" operator="greaterThan">
      <formula>0</formula>
    </cfRule>
    <cfRule type="cellIs" dxfId="5024" priority="300" operator="equal">
      <formula>"PMS"</formula>
    </cfRule>
    <cfRule type="containsText" dxfId="5023" priority="301" operator="containsText" text="CMS">
      <formula>NOT(ISERROR(SEARCH("CMS",O56)))</formula>
    </cfRule>
    <cfRule type="cellIs" dxfId="5022" priority="302" operator="equal">
      <formula>0</formula>
    </cfRule>
    <cfRule type="cellIs" dxfId="5021" priority="303" operator="greaterThan">
      <formula>0</formula>
    </cfRule>
  </conditionalFormatting>
  <conditionalFormatting sqref="O56">
    <cfRule type="cellIs" dxfId="5020" priority="292" operator="equal">
      <formula>"PMS"</formula>
    </cfRule>
    <cfRule type="containsText" dxfId="5019" priority="293" operator="containsText" text="CMS">
      <formula>NOT(ISERROR(SEARCH("CMS",O56)))</formula>
    </cfRule>
    <cfRule type="cellIs" dxfId="5018" priority="294" operator="equal">
      <formula>0</formula>
    </cfRule>
    <cfRule type="cellIs" dxfId="5017" priority="295" operator="greaterThan">
      <formula>0</formula>
    </cfRule>
  </conditionalFormatting>
  <conditionalFormatting sqref="M14">
    <cfRule type="cellIs" dxfId="5016" priority="284" operator="equal">
      <formula>"PMS"</formula>
    </cfRule>
    <cfRule type="containsText" dxfId="5015" priority="285" operator="containsText" text="CMS">
      <formula>NOT(ISERROR(SEARCH("CMS",M14)))</formula>
    </cfRule>
    <cfRule type="cellIs" dxfId="5014" priority="286" operator="equal">
      <formula>0</formula>
    </cfRule>
    <cfRule type="cellIs" dxfId="5013" priority="287" operator="greaterThan">
      <formula>0</formula>
    </cfRule>
    <cfRule type="cellIs" dxfId="5012" priority="288" operator="equal">
      <formula>"PMS"</formula>
    </cfRule>
    <cfRule type="containsText" dxfId="5011" priority="289" operator="containsText" text="CMS">
      <formula>NOT(ISERROR(SEARCH("CMS",M14)))</formula>
    </cfRule>
    <cfRule type="cellIs" dxfId="5010" priority="290" operator="equal">
      <formula>0</formula>
    </cfRule>
    <cfRule type="cellIs" dxfId="5009" priority="291" operator="greaterThan">
      <formula>0</formula>
    </cfRule>
  </conditionalFormatting>
  <conditionalFormatting sqref="M14">
    <cfRule type="cellIs" dxfId="5008" priority="280" operator="equal">
      <formula>"PMS"</formula>
    </cfRule>
    <cfRule type="containsText" dxfId="5007" priority="281" operator="containsText" text="CMS">
      <formula>NOT(ISERROR(SEARCH("CMS",M14)))</formula>
    </cfRule>
    <cfRule type="cellIs" dxfId="5006" priority="282" operator="equal">
      <formula>0</formula>
    </cfRule>
    <cfRule type="cellIs" dxfId="5005" priority="283" operator="greaterThan">
      <formula>0</formula>
    </cfRule>
  </conditionalFormatting>
  <conditionalFormatting sqref="N78:N79">
    <cfRule type="cellIs" dxfId="5004" priority="272" operator="equal">
      <formula>"PMS"</formula>
    </cfRule>
    <cfRule type="containsText" dxfId="5003" priority="273" operator="containsText" text="CMS">
      <formula>NOT(ISERROR(SEARCH("CMS",N78)))</formula>
    </cfRule>
    <cfRule type="cellIs" dxfId="5002" priority="274" operator="equal">
      <formula>0</formula>
    </cfRule>
    <cfRule type="cellIs" dxfId="5001" priority="275" operator="greaterThan">
      <formula>0</formula>
    </cfRule>
    <cfRule type="cellIs" dxfId="5000" priority="276" operator="equal">
      <formula>"PMS"</formula>
    </cfRule>
    <cfRule type="containsText" dxfId="4999" priority="277" operator="containsText" text="CMS">
      <formula>NOT(ISERROR(SEARCH("CMS",N78)))</formula>
    </cfRule>
    <cfRule type="cellIs" dxfId="4998" priority="278" operator="equal">
      <formula>0</formula>
    </cfRule>
    <cfRule type="cellIs" dxfId="4997" priority="279" operator="greaterThan">
      <formula>0</formula>
    </cfRule>
  </conditionalFormatting>
  <conditionalFormatting sqref="N78:N79">
    <cfRule type="cellIs" dxfId="4996" priority="268" operator="equal">
      <formula>"PMS"</formula>
    </cfRule>
    <cfRule type="containsText" dxfId="4995" priority="269" operator="containsText" text="CMS">
      <formula>NOT(ISERROR(SEARCH("CMS",N78)))</formula>
    </cfRule>
    <cfRule type="cellIs" dxfId="4994" priority="270" operator="equal">
      <formula>0</formula>
    </cfRule>
    <cfRule type="cellIs" dxfId="4993" priority="271" operator="greaterThan">
      <formula>0</formula>
    </cfRule>
  </conditionalFormatting>
  <conditionalFormatting sqref="T28">
    <cfRule type="cellIs" dxfId="4992" priority="260" operator="equal">
      <formula>"PMS"</formula>
    </cfRule>
    <cfRule type="containsText" dxfId="4991" priority="261" operator="containsText" text="CMS">
      <formula>NOT(ISERROR(SEARCH("CMS",T28)))</formula>
    </cfRule>
    <cfRule type="cellIs" dxfId="4990" priority="262" operator="equal">
      <formula>0</formula>
    </cfRule>
    <cfRule type="cellIs" dxfId="4989" priority="263" operator="greaterThan">
      <formula>0</formula>
    </cfRule>
    <cfRule type="cellIs" dxfId="4988" priority="264" operator="equal">
      <formula>"PMS"</formula>
    </cfRule>
    <cfRule type="containsText" dxfId="4987" priority="265" operator="containsText" text="CMS">
      <formula>NOT(ISERROR(SEARCH("CMS",T28)))</formula>
    </cfRule>
    <cfRule type="cellIs" dxfId="4986" priority="266" operator="equal">
      <formula>0</formula>
    </cfRule>
    <cfRule type="cellIs" dxfId="4985" priority="267" operator="greaterThan">
      <formula>0</formula>
    </cfRule>
  </conditionalFormatting>
  <conditionalFormatting sqref="T28">
    <cfRule type="cellIs" dxfId="4984" priority="256" operator="equal">
      <formula>"PMS"</formula>
    </cfRule>
    <cfRule type="containsText" dxfId="4983" priority="257" operator="containsText" text="CMS">
      <formula>NOT(ISERROR(SEARCH("CMS",T28)))</formula>
    </cfRule>
    <cfRule type="cellIs" dxfId="4982" priority="258" operator="equal">
      <formula>0</formula>
    </cfRule>
    <cfRule type="cellIs" dxfId="4981" priority="259" operator="greaterThan">
      <formula>0</formula>
    </cfRule>
  </conditionalFormatting>
  <conditionalFormatting sqref="T78:U78">
    <cfRule type="cellIs" dxfId="4980" priority="248" operator="equal">
      <formula>"PMS"</formula>
    </cfRule>
    <cfRule type="containsText" dxfId="4979" priority="249" operator="containsText" text="CMS">
      <formula>NOT(ISERROR(SEARCH("CMS",T78)))</formula>
    </cfRule>
    <cfRule type="cellIs" dxfId="4978" priority="250" operator="equal">
      <formula>0</formula>
    </cfRule>
    <cfRule type="cellIs" dxfId="4977" priority="251" operator="greaterThan">
      <formula>0</formula>
    </cfRule>
    <cfRule type="cellIs" dxfId="4976" priority="252" operator="equal">
      <formula>"PMS"</formula>
    </cfRule>
    <cfRule type="containsText" dxfId="4975" priority="253" operator="containsText" text="CMS">
      <formula>NOT(ISERROR(SEARCH("CMS",T78)))</formula>
    </cfRule>
    <cfRule type="cellIs" dxfId="4974" priority="254" operator="equal">
      <formula>0</formula>
    </cfRule>
    <cfRule type="cellIs" dxfId="4973" priority="255" operator="greaterThan">
      <formula>0</formula>
    </cfRule>
  </conditionalFormatting>
  <conditionalFormatting sqref="T78:U78">
    <cfRule type="cellIs" dxfId="4972" priority="244" operator="equal">
      <formula>"PMS"</formula>
    </cfRule>
    <cfRule type="containsText" dxfId="4971" priority="245" operator="containsText" text="CMS">
      <formula>NOT(ISERROR(SEARCH("CMS",T78)))</formula>
    </cfRule>
    <cfRule type="cellIs" dxfId="4970" priority="246" operator="equal">
      <formula>0</formula>
    </cfRule>
    <cfRule type="cellIs" dxfId="4969" priority="247" operator="greaterThan">
      <formula>0</formula>
    </cfRule>
  </conditionalFormatting>
  <conditionalFormatting sqref="Z79">
    <cfRule type="cellIs" dxfId="4968" priority="236" operator="equal">
      <formula>"PMS"</formula>
    </cfRule>
    <cfRule type="containsText" dxfId="4967" priority="237" operator="containsText" text="CMS">
      <formula>NOT(ISERROR(SEARCH("CMS",Z79)))</formula>
    </cfRule>
    <cfRule type="cellIs" dxfId="4966" priority="238" operator="equal">
      <formula>0</formula>
    </cfRule>
    <cfRule type="cellIs" dxfId="4965" priority="239" operator="greaterThan">
      <formula>0</formula>
    </cfRule>
    <cfRule type="cellIs" dxfId="4964" priority="240" operator="equal">
      <formula>"PMS"</formula>
    </cfRule>
    <cfRule type="containsText" dxfId="4963" priority="241" operator="containsText" text="CMS">
      <formula>NOT(ISERROR(SEARCH("CMS",Z79)))</formula>
    </cfRule>
    <cfRule type="cellIs" dxfId="4962" priority="242" operator="equal">
      <formula>0</formula>
    </cfRule>
    <cfRule type="cellIs" dxfId="4961" priority="243" operator="greaterThan">
      <formula>0</formula>
    </cfRule>
  </conditionalFormatting>
  <conditionalFormatting sqref="Z79">
    <cfRule type="cellIs" dxfId="4960" priority="232" operator="equal">
      <formula>"PMS"</formula>
    </cfRule>
    <cfRule type="containsText" dxfId="4959" priority="233" operator="containsText" text="CMS">
      <formula>NOT(ISERROR(SEARCH("CMS",Z79)))</formula>
    </cfRule>
    <cfRule type="cellIs" dxfId="4958" priority="234" operator="equal">
      <formula>0</formula>
    </cfRule>
    <cfRule type="cellIs" dxfId="4957" priority="235" operator="greaterThan">
      <formula>0</formula>
    </cfRule>
  </conditionalFormatting>
  <conditionalFormatting sqref="F82">
    <cfRule type="cellIs" dxfId="4956" priority="224" operator="equal">
      <formula>"PMS"</formula>
    </cfRule>
    <cfRule type="containsText" dxfId="4955" priority="225" operator="containsText" text="CMS">
      <formula>NOT(ISERROR(SEARCH("CMS",F82)))</formula>
    </cfRule>
    <cfRule type="cellIs" dxfId="4954" priority="226" operator="equal">
      <formula>0</formula>
    </cfRule>
    <cfRule type="cellIs" dxfId="4953" priority="227" operator="greaterThan">
      <formula>0</formula>
    </cfRule>
    <cfRule type="cellIs" dxfId="4952" priority="228" operator="equal">
      <formula>"PMS"</formula>
    </cfRule>
    <cfRule type="containsText" dxfId="4951" priority="229" operator="containsText" text="CMS">
      <formula>NOT(ISERROR(SEARCH("CMS",F82)))</formula>
    </cfRule>
    <cfRule type="cellIs" dxfId="4950" priority="230" operator="equal">
      <formula>0</formula>
    </cfRule>
    <cfRule type="cellIs" dxfId="4949" priority="231" operator="greaterThan">
      <formula>0</formula>
    </cfRule>
  </conditionalFormatting>
  <conditionalFormatting sqref="F82">
    <cfRule type="cellIs" dxfId="4948" priority="220" operator="equal">
      <formula>"PMS"</formula>
    </cfRule>
    <cfRule type="containsText" dxfId="4947" priority="221" operator="containsText" text="CMS">
      <formula>NOT(ISERROR(SEARCH("CMS",F82)))</formula>
    </cfRule>
    <cfRule type="cellIs" dxfId="4946" priority="222" operator="equal">
      <formula>0</formula>
    </cfRule>
    <cfRule type="cellIs" dxfId="4945" priority="223" operator="greaterThan">
      <formula>0</formula>
    </cfRule>
  </conditionalFormatting>
  <conditionalFormatting sqref="H111:M111">
    <cfRule type="cellIs" dxfId="4944" priority="219" operator="greaterThan">
      <formula>60.3</formula>
    </cfRule>
  </conditionalFormatting>
  <conditionalFormatting sqref="F111:G111">
    <cfRule type="cellIs" dxfId="4943" priority="218" operator="greaterThan">
      <formula>60.3</formula>
    </cfRule>
  </conditionalFormatting>
  <conditionalFormatting sqref="N111:AC111">
    <cfRule type="cellIs" dxfId="4942" priority="217" operator="greaterThan">
      <formula>60.3</formula>
    </cfRule>
  </conditionalFormatting>
  <conditionalFormatting sqref="P64">
    <cfRule type="cellIs" dxfId="4941" priority="173" operator="equal">
      <formula>"PMS"</formula>
    </cfRule>
    <cfRule type="containsText" dxfId="4940" priority="174" operator="containsText" text="CMS">
      <formula>NOT(ISERROR(SEARCH("CMS",P64)))</formula>
    </cfRule>
    <cfRule type="cellIs" dxfId="4939" priority="175" operator="equal">
      <formula>0</formula>
    </cfRule>
    <cfRule type="cellIs" dxfId="4938" priority="176" operator="greaterThan">
      <formula>0</formula>
    </cfRule>
    <cfRule type="cellIs" dxfId="4937" priority="177" operator="equal">
      <formula>"PMS"</formula>
    </cfRule>
    <cfRule type="containsText" dxfId="4936" priority="178" operator="containsText" text="CMS">
      <formula>NOT(ISERROR(SEARCH("CMS",P64)))</formula>
    </cfRule>
    <cfRule type="cellIs" dxfId="4935" priority="179" operator="equal">
      <formula>0</formula>
    </cfRule>
    <cfRule type="cellIs" dxfId="4934" priority="180" operator="greaterThan">
      <formula>0</formula>
    </cfRule>
  </conditionalFormatting>
  <conditionalFormatting sqref="P64">
    <cfRule type="cellIs" dxfId="4933" priority="169" operator="equal">
      <formula>"PMS"</formula>
    </cfRule>
    <cfRule type="containsText" dxfId="4932" priority="170" operator="containsText" text="CMS">
      <formula>NOT(ISERROR(SEARCH("CMS",P64)))</formula>
    </cfRule>
    <cfRule type="cellIs" dxfId="4931" priority="171" operator="equal">
      <formula>0</formula>
    </cfRule>
    <cfRule type="cellIs" dxfId="4930" priority="172" operator="greaterThan">
      <formula>0</formula>
    </cfRule>
  </conditionalFormatting>
  <conditionalFormatting sqref="M56">
    <cfRule type="cellIs" dxfId="4929" priority="77" operator="equal">
      <formula>"PMS"</formula>
    </cfRule>
    <cfRule type="containsText" dxfId="4928" priority="78" operator="containsText" text="CMS">
      <formula>NOT(ISERROR(SEARCH("CMS",M56)))</formula>
    </cfRule>
    <cfRule type="cellIs" dxfId="4927" priority="79" operator="equal">
      <formula>0</formula>
    </cfRule>
    <cfRule type="cellIs" dxfId="4926" priority="80" operator="greaterThan">
      <formula>0</formula>
    </cfRule>
    <cfRule type="cellIs" dxfId="4925" priority="81" operator="equal">
      <formula>"PMS"</formula>
    </cfRule>
    <cfRule type="containsText" dxfId="4924" priority="82" operator="containsText" text="CMS">
      <formula>NOT(ISERROR(SEARCH("CMS",M56)))</formula>
    </cfRule>
    <cfRule type="cellIs" dxfId="4923" priority="83" operator="equal">
      <formula>0</formula>
    </cfRule>
    <cfRule type="cellIs" dxfId="4922" priority="84" operator="greaterThan">
      <formula>0</formula>
    </cfRule>
  </conditionalFormatting>
  <conditionalFormatting sqref="M56">
    <cfRule type="cellIs" dxfId="4921" priority="73" operator="equal">
      <formula>"PMS"</formula>
    </cfRule>
    <cfRule type="containsText" dxfId="4920" priority="74" operator="containsText" text="CMS">
      <formula>NOT(ISERROR(SEARCH("CMS",M56)))</formula>
    </cfRule>
    <cfRule type="cellIs" dxfId="4919" priority="75" operator="equal">
      <formula>0</formula>
    </cfRule>
    <cfRule type="cellIs" dxfId="4918" priority="76" operator="greaterThan">
      <formula>0</formula>
    </cfRule>
  </conditionalFormatting>
  <conditionalFormatting sqref="F62:F64 F13:F16 F36:F59">
    <cfRule type="cellIs" dxfId="4917" priority="65" operator="equal">
      <formula>"PMS"</formula>
    </cfRule>
    <cfRule type="containsText" dxfId="4916" priority="66" operator="containsText" text="CMS">
      <formula>NOT(ISERROR(SEARCH("CMS",F13)))</formula>
    </cfRule>
    <cfRule type="cellIs" dxfId="4915" priority="67" operator="equal">
      <formula>0</formula>
    </cfRule>
    <cfRule type="cellIs" dxfId="4914" priority="68" operator="greaterThan">
      <formula>0</formula>
    </cfRule>
    <cfRule type="cellIs" dxfId="4913" priority="69" operator="equal">
      <formula>"PMS"</formula>
    </cfRule>
    <cfRule type="containsText" dxfId="4912" priority="70" operator="containsText" text="CMS">
      <formula>NOT(ISERROR(SEARCH("CMS",F13)))</formula>
    </cfRule>
    <cfRule type="cellIs" dxfId="4911" priority="71" operator="equal">
      <formula>0</formula>
    </cfRule>
    <cfRule type="cellIs" dxfId="4910" priority="72" operator="greaterThan">
      <formula>0</formula>
    </cfRule>
  </conditionalFormatting>
  <conditionalFormatting sqref="F62:F64 F13:F16 F36:F59">
    <cfRule type="cellIs" dxfId="4909" priority="61" operator="equal">
      <formula>"PMS"</formula>
    </cfRule>
    <cfRule type="containsText" dxfId="4908" priority="62" operator="containsText" text="CMS">
      <formula>NOT(ISERROR(SEARCH("CMS",F13)))</formula>
    </cfRule>
    <cfRule type="cellIs" dxfId="4907" priority="63" operator="equal">
      <formula>0</formula>
    </cfRule>
    <cfRule type="cellIs" dxfId="4906" priority="64" operator="greaterThan">
      <formula>0</formula>
    </cfRule>
  </conditionalFormatting>
  <conditionalFormatting sqref="F67:F75">
    <cfRule type="cellIs" dxfId="4905" priority="53" operator="equal">
      <formula>"PMS"</formula>
    </cfRule>
    <cfRule type="containsText" dxfId="4904" priority="54" operator="containsText" text="CMS">
      <formula>NOT(ISERROR(SEARCH("CMS",F67)))</formula>
    </cfRule>
    <cfRule type="cellIs" dxfId="4903" priority="55" operator="equal">
      <formula>0</formula>
    </cfRule>
    <cfRule type="cellIs" dxfId="4902" priority="56" operator="greaterThan">
      <formula>0</formula>
    </cfRule>
    <cfRule type="cellIs" dxfId="4901" priority="57" operator="equal">
      <formula>"PMS"</formula>
    </cfRule>
    <cfRule type="containsText" dxfId="4900" priority="58" operator="containsText" text="CMS">
      <formula>NOT(ISERROR(SEARCH("CMS",F67)))</formula>
    </cfRule>
    <cfRule type="cellIs" dxfId="4899" priority="59" operator="equal">
      <formula>0</formula>
    </cfRule>
    <cfRule type="cellIs" dxfId="4898" priority="60" operator="greaterThan">
      <formula>0</formula>
    </cfRule>
  </conditionalFormatting>
  <conditionalFormatting sqref="F67:F75">
    <cfRule type="cellIs" dxfId="4897" priority="49" operator="equal">
      <formula>"PMS"</formula>
    </cfRule>
    <cfRule type="containsText" dxfId="4896" priority="50" operator="containsText" text="CMS">
      <formula>NOT(ISERROR(SEARCH("CMS",F67)))</formula>
    </cfRule>
    <cfRule type="cellIs" dxfId="4895" priority="51" operator="equal">
      <formula>0</formula>
    </cfRule>
    <cfRule type="cellIs" dxfId="4894" priority="52" operator="greaterThan">
      <formula>0</formula>
    </cfRule>
  </conditionalFormatting>
  <conditionalFormatting sqref="F19:F21 F78:F79 F24 F28:F30 F33">
    <cfRule type="cellIs" dxfId="4893" priority="41" operator="equal">
      <formula>"PMS"</formula>
    </cfRule>
    <cfRule type="containsText" dxfId="4892" priority="42" operator="containsText" text="CMS">
      <formula>NOT(ISERROR(SEARCH("CMS",F19)))</formula>
    </cfRule>
    <cfRule type="cellIs" dxfId="4891" priority="43" operator="equal">
      <formula>0</formula>
    </cfRule>
    <cfRule type="cellIs" dxfId="4890" priority="44" operator="greaterThan">
      <formula>0</formula>
    </cfRule>
    <cfRule type="cellIs" dxfId="4889" priority="45" operator="equal">
      <formula>"PMS"</formula>
    </cfRule>
    <cfRule type="containsText" dxfId="4888" priority="46" operator="containsText" text="CMS">
      <formula>NOT(ISERROR(SEARCH("CMS",F19)))</formula>
    </cfRule>
    <cfRule type="cellIs" dxfId="4887" priority="47" operator="equal">
      <formula>0</formula>
    </cfRule>
    <cfRule type="cellIs" dxfId="4886" priority="48" operator="greaterThan">
      <formula>0</formula>
    </cfRule>
  </conditionalFormatting>
  <conditionalFormatting sqref="F19:F21 F78:F79 F24 F28:F30 F33">
    <cfRule type="cellIs" dxfId="4885" priority="37" operator="equal">
      <formula>"PMS"</formula>
    </cfRule>
    <cfRule type="containsText" dxfId="4884" priority="38" operator="containsText" text="CMS">
      <formula>NOT(ISERROR(SEARCH("CMS",F19)))</formula>
    </cfRule>
    <cfRule type="cellIs" dxfId="4883" priority="39" operator="equal">
      <formula>0</formula>
    </cfRule>
    <cfRule type="cellIs" dxfId="4882" priority="40" operator="greaterThan">
      <formula>0</formula>
    </cfRule>
  </conditionalFormatting>
  <conditionalFormatting sqref="F27">
    <cfRule type="cellIs" dxfId="4881" priority="29" operator="equal">
      <formula>"PMS"</formula>
    </cfRule>
    <cfRule type="containsText" dxfId="4880" priority="30" operator="containsText" text="CMS">
      <formula>NOT(ISERROR(SEARCH("CMS",F27)))</formula>
    </cfRule>
    <cfRule type="cellIs" dxfId="4879" priority="31" operator="equal">
      <formula>0</formula>
    </cfRule>
    <cfRule type="cellIs" dxfId="4878" priority="32" operator="greaterThan">
      <formula>0</formula>
    </cfRule>
    <cfRule type="cellIs" dxfId="4877" priority="33" operator="equal">
      <formula>"PMS"</formula>
    </cfRule>
    <cfRule type="containsText" dxfId="4876" priority="34" operator="containsText" text="CMS">
      <formula>NOT(ISERROR(SEARCH("CMS",F27)))</formula>
    </cfRule>
    <cfRule type="cellIs" dxfId="4875" priority="35" operator="equal">
      <formula>0</formula>
    </cfRule>
    <cfRule type="cellIs" dxfId="4874" priority="36" operator="greaterThan">
      <formula>0</formula>
    </cfRule>
  </conditionalFormatting>
  <conditionalFormatting sqref="F27">
    <cfRule type="cellIs" dxfId="4873" priority="25" operator="equal">
      <formula>"PMS"</formula>
    </cfRule>
    <cfRule type="containsText" dxfId="4872" priority="26" operator="containsText" text="CMS">
      <formula>NOT(ISERROR(SEARCH("CMS",F27)))</formula>
    </cfRule>
    <cfRule type="cellIs" dxfId="4871" priority="27" operator="equal">
      <formula>0</formula>
    </cfRule>
    <cfRule type="cellIs" dxfId="4870" priority="28" operator="greaterThan">
      <formula>0</formula>
    </cfRule>
  </conditionalFormatting>
  <conditionalFormatting sqref="N62:N63">
    <cfRule type="cellIs" dxfId="4869" priority="17" operator="equal">
      <formula>"PMS"</formula>
    </cfRule>
    <cfRule type="containsText" dxfId="4868" priority="18" operator="containsText" text="CMS">
      <formula>NOT(ISERROR(SEARCH("CMS",N62)))</formula>
    </cfRule>
    <cfRule type="cellIs" dxfId="4867" priority="19" operator="equal">
      <formula>0</formula>
    </cfRule>
    <cfRule type="cellIs" dxfId="4866" priority="20" operator="greaterThan">
      <formula>0</formula>
    </cfRule>
    <cfRule type="cellIs" dxfId="4865" priority="21" operator="equal">
      <formula>"PMS"</formula>
    </cfRule>
    <cfRule type="containsText" dxfId="4864" priority="22" operator="containsText" text="CMS">
      <formula>NOT(ISERROR(SEARCH("CMS",N62)))</formula>
    </cfRule>
    <cfRule type="cellIs" dxfId="4863" priority="23" operator="equal">
      <formula>0</formula>
    </cfRule>
    <cfRule type="cellIs" dxfId="4862" priority="24" operator="greaterThan">
      <formula>0</formula>
    </cfRule>
  </conditionalFormatting>
  <conditionalFormatting sqref="N62:N63">
    <cfRule type="cellIs" dxfId="4861" priority="13" operator="equal">
      <formula>"PMS"</formula>
    </cfRule>
    <cfRule type="containsText" dxfId="4860" priority="14" operator="containsText" text="CMS">
      <formula>NOT(ISERROR(SEARCH("CMS",N62)))</formula>
    </cfRule>
    <cfRule type="cellIs" dxfId="4859" priority="15" operator="equal">
      <formula>0</formula>
    </cfRule>
    <cfRule type="cellIs" dxfId="4858" priority="16" operator="greaterThan">
      <formula>0</formula>
    </cfRule>
  </conditionalFormatting>
  <conditionalFormatting sqref="U28">
    <cfRule type="cellIs" dxfId="4857" priority="5" operator="equal">
      <formula>"PMS"</formula>
    </cfRule>
    <cfRule type="containsText" dxfId="4856" priority="6" operator="containsText" text="CMS">
      <formula>NOT(ISERROR(SEARCH("CMS",U28)))</formula>
    </cfRule>
    <cfRule type="cellIs" dxfId="4855" priority="7" operator="equal">
      <formula>0</formula>
    </cfRule>
    <cfRule type="cellIs" dxfId="4854" priority="8" operator="greaterThan">
      <formula>0</formula>
    </cfRule>
    <cfRule type="cellIs" dxfId="4853" priority="9" operator="equal">
      <formula>"PMS"</formula>
    </cfRule>
    <cfRule type="containsText" dxfId="4852" priority="10" operator="containsText" text="CMS">
      <formula>NOT(ISERROR(SEARCH("CMS",U28)))</formula>
    </cfRule>
    <cfRule type="cellIs" dxfId="4851" priority="11" operator="equal">
      <formula>0</formula>
    </cfRule>
    <cfRule type="cellIs" dxfId="4850" priority="12" operator="greaterThan">
      <formula>0</formula>
    </cfRule>
  </conditionalFormatting>
  <conditionalFormatting sqref="U28">
    <cfRule type="cellIs" dxfId="4849" priority="1" operator="equal">
      <formula>"PMS"</formula>
    </cfRule>
    <cfRule type="containsText" dxfId="4848" priority="2" operator="containsText" text="CMS">
      <formula>NOT(ISERROR(SEARCH("CMS",U28)))</formula>
    </cfRule>
    <cfRule type="cellIs" dxfId="4847" priority="3" operator="equal">
      <formula>0</formula>
    </cfRule>
    <cfRule type="cellIs" dxfId="48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80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C163-A8C5-45D8-A6A5-48A7B71DF5C6}">
  <sheetPr codeName="Sheet246"/>
  <dimension ref="A2:DT141"/>
  <sheetViews>
    <sheetView zoomScale="70" zoomScaleNormal="70" workbookViewId="0">
      <pane xSplit="5" ySplit="11" topLeftCell="F12" activePane="bottomRight" state="frozen"/>
      <selection pane="bottomRight" activeCell="F108" sqref="F108:AC10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411.49999999999994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6.7</v>
      </c>
      <c r="G14" s="357">
        <v>6.6</v>
      </c>
      <c r="H14" s="357">
        <v>6.6</v>
      </c>
      <c r="I14" s="357">
        <v>6.6</v>
      </c>
      <c r="J14" s="357">
        <v>6.7</v>
      </c>
      <c r="K14" s="357">
        <v>6.7</v>
      </c>
      <c r="L14" s="357">
        <v>6.7</v>
      </c>
      <c r="M14" s="357">
        <v>6.6</v>
      </c>
      <c r="N14" s="357">
        <v>6.6</v>
      </c>
      <c r="O14" s="357">
        <v>6.6</v>
      </c>
      <c r="P14" s="357">
        <v>6.6</v>
      </c>
      <c r="Q14" s="357">
        <v>6.7</v>
      </c>
      <c r="R14" s="357">
        <v>6.4</v>
      </c>
      <c r="S14" s="462">
        <v>6.7</v>
      </c>
      <c r="T14" s="462">
        <v>6.7</v>
      </c>
      <c r="U14" s="462">
        <v>6.7</v>
      </c>
      <c r="V14" s="357">
        <v>6.6</v>
      </c>
      <c r="W14" s="357">
        <v>6.6</v>
      </c>
      <c r="X14" s="357">
        <v>6.8</v>
      </c>
      <c r="Y14" s="357">
        <v>6.5</v>
      </c>
      <c r="Z14" s="462">
        <v>6.8</v>
      </c>
      <c r="AA14" s="462">
        <v>6.7</v>
      </c>
      <c r="AB14" s="462">
        <v>6.7</v>
      </c>
      <c r="AC14" s="357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6.7</v>
      </c>
      <c r="G15" s="357">
        <v>2.2000000000000002</v>
      </c>
      <c r="H15" s="357"/>
      <c r="I15" s="357"/>
      <c r="J15" s="357"/>
      <c r="K15" s="359">
        <v>6.7</v>
      </c>
      <c r="L15" s="359">
        <v>6.7</v>
      </c>
      <c r="M15" s="359">
        <v>6.7</v>
      </c>
      <c r="N15" s="357">
        <v>6.6</v>
      </c>
      <c r="O15" s="357">
        <v>6.6</v>
      </c>
      <c r="P15" s="357">
        <v>6.6</v>
      </c>
      <c r="Q15" s="357">
        <v>6.7</v>
      </c>
      <c r="R15" s="357">
        <v>6.4</v>
      </c>
      <c r="S15" s="462">
        <v>6.7</v>
      </c>
      <c r="T15" s="462">
        <v>6.7</v>
      </c>
      <c r="U15" s="462">
        <v>6.7</v>
      </c>
      <c r="V15" s="462">
        <v>6.6</v>
      </c>
      <c r="W15" s="357">
        <v>6.6</v>
      </c>
      <c r="X15" s="357">
        <v>6.8</v>
      </c>
      <c r="Y15" s="357">
        <v>6.5</v>
      </c>
      <c r="Z15" s="462">
        <v>6.8</v>
      </c>
      <c r="AA15" s="462">
        <v>6.7</v>
      </c>
      <c r="AB15" s="462">
        <v>6.7</v>
      </c>
      <c r="AC15" s="462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6.7</v>
      </c>
      <c r="G16" s="357">
        <v>6.6</v>
      </c>
      <c r="H16" s="357">
        <v>6.6</v>
      </c>
      <c r="I16" s="357">
        <v>6.6</v>
      </c>
      <c r="J16" s="357">
        <v>6.7</v>
      </c>
      <c r="K16" s="359"/>
      <c r="L16" s="359"/>
      <c r="M16" s="357"/>
      <c r="N16" s="359">
        <v>3.6</v>
      </c>
      <c r="O16" s="357">
        <v>6.6</v>
      </c>
      <c r="P16" s="357">
        <v>6.6</v>
      </c>
      <c r="Q16" s="357">
        <v>6.7</v>
      </c>
      <c r="R16" s="357">
        <v>6.4</v>
      </c>
      <c r="S16" s="462">
        <v>6.7</v>
      </c>
      <c r="T16" s="462">
        <v>6.7</v>
      </c>
      <c r="U16" s="462">
        <v>6.7</v>
      </c>
      <c r="V16" s="462">
        <v>6.6</v>
      </c>
      <c r="W16" s="357">
        <v>6.6</v>
      </c>
      <c r="X16" s="357">
        <v>6.8</v>
      </c>
      <c r="Y16" s="357">
        <v>6.5</v>
      </c>
      <c r="Z16" s="462">
        <v>6.8</v>
      </c>
      <c r="AA16" s="462" t="s">
        <v>9</v>
      </c>
      <c r="AB16" s="462" t="s">
        <v>9</v>
      </c>
      <c r="AC16" s="357" t="s">
        <v>9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18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15.4</v>
      </c>
      <c r="H17" s="19">
        <f t="shared" si="0"/>
        <v>13.2</v>
      </c>
      <c r="I17" s="19">
        <f t="shared" si="0"/>
        <v>13.2</v>
      </c>
      <c r="J17" s="19">
        <f t="shared" si="0"/>
        <v>13.4</v>
      </c>
      <c r="K17" s="19">
        <f t="shared" si="0"/>
        <v>13.4</v>
      </c>
      <c r="L17" s="19">
        <f t="shared" si="0"/>
        <v>13.4</v>
      </c>
      <c r="M17" s="19">
        <f t="shared" si="0"/>
        <v>13.3</v>
      </c>
      <c r="N17" s="19">
        <f t="shared" si="0"/>
        <v>16.8</v>
      </c>
      <c r="O17" s="19">
        <f t="shared" si="0"/>
        <v>19.799999999999997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19.200000000000003</v>
      </c>
      <c r="S17" s="463">
        <f t="shared" si="0"/>
        <v>20.100000000000001</v>
      </c>
      <c r="T17" s="463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20.399999999999999</v>
      </c>
      <c r="Y17" s="19">
        <f t="shared" si="0"/>
        <v>19.5</v>
      </c>
      <c r="Z17" s="463">
        <f t="shared" si="0"/>
        <v>20.399999999999999</v>
      </c>
      <c r="AA17" s="463">
        <f t="shared" si="0"/>
        <v>13.4</v>
      </c>
      <c r="AB17" s="463">
        <f>SUM(AB13:AB16)</f>
        <v>13.4</v>
      </c>
      <c r="AC17" s="19">
        <f t="shared" si="0"/>
        <v>13.4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37.500000000000007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/>
      <c r="N19" s="357"/>
      <c r="O19" s="357">
        <v>1.6</v>
      </c>
      <c r="P19" s="357">
        <v>2.8</v>
      </c>
      <c r="Q19" s="357">
        <v>2.8</v>
      </c>
      <c r="R19" s="357">
        <v>2.8</v>
      </c>
      <c r="S19" s="462">
        <v>2.8</v>
      </c>
      <c r="T19" s="462">
        <v>2.8</v>
      </c>
      <c r="U19" s="357">
        <v>2.8</v>
      </c>
      <c r="V19" s="357">
        <v>2.8</v>
      </c>
      <c r="W19" s="357">
        <v>2.8</v>
      </c>
      <c r="X19" s="357">
        <v>2.8</v>
      </c>
      <c r="Y19" s="357">
        <v>2.8</v>
      </c>
      <c r="Z19" s="357">
        <v>2.5</v>
      </c>
      <c r="AA19" s="357">
        <v>2.6</v>
      </c>
      <c r="AB19" s="357">
        <v>2.8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1.6</v>
      </c>
      <c r="P22" s="19">
        <f t="shared" si="1"/>
        <v>2.8</v>
      </c>
      <c r="Q22" s="19">
        <f t="shared" si="1"/>
        <v>2.8</v>
      </c>
      <c r="R22" s="19">
        <f t="shared" si="1"/>
        <v>2.8</v>
      </c>
      <c r="S22" s="463">
        <f>SUM(S19:S21)</f>
        <v>2.8</v>
      </c>
      <c r="T22" s="463">
        <f t="shared" ref="T22" si="2">SUM(T19:T21)</f>
        <v>2.8</v>
      </c>
      <c r="U22" s="19">
        <f t="shared" si="1"/>
        <v>2.8</v>
      </c>
      <c r="V22" s="19">
        <f t="shared" si="1"/>
        <v>2.8</v>
      </c>
      <c r="W22" s="19">
        <f t="shared" si="1"/>
        <v>2.8</v>
      </c>
      <c r="X22" s="19">
        <f t="shared" si="1"/>
        <v>2.8</v>
      </c>
      <c r="Y22" s="19">
        <f t="shared" si="1"/>
        <v>2.8</v>
      </c>
      <c r="Z22" s="463">
        <f>SUM(Z19:Z21)</f>
        <v>2.5</v>
      </c>
      <c r="AA22" s="463">
        <f t="shared" si="1"/>
        <v>2.6</v>
      </c>
      <c r="AB22" s="463">
        <f>SUM(AB19:AB21)</f>
        <v>2.8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52.399999999999991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/>
      <c r="P24" s="357">
        <v>3.8</v>
      </c>
      <c r="Q24" s="357">
        <v>3.8</v>
      </c>
      <c r="R24" s="357">
        <v>3.8</v>
      </c>
      <c r="S24" s="357">
        <v>3.8</v>
      </c>
      <c r="T24" s="357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>
        <v>3</v>
      </c>
      <c r="AA24" s="357">
        <v>3.8</v>
      </c>
      <c r="AB24" s="357">
        <v>3.8</v>
      </c>
      <c r="AC24" s="357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463">
        <f t="shared" si="3"/>
        <v>3.8</v>
      </c>
      <c r="T25" s="463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463">
        <f t="shared" si="3"/>
        <v>3</v>
      </c>
      <c r="AA25" s="463">
        <f t="shared" si="3"/>
        <v>3.8</v>
      </c>
      <c r="AB25" s="463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78.999999999999986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2.5</v>
      </c>
      <c r="N27" s="357">
        <v>3.8</v>
      </c>
      <c r="O27" s="357">
        <v>3.8</v>
      </c>
      <c r="P27" s="357">
        <v>3.8</v>
      </c>
      <c r="Q27" s="357">
        <v>3.8</v>
      </c>
      <c r="R27" s="357">
        <v>3.8</v>
      </c>
      <c r="S27" s="462">
        <v>3.8</v>
      </c>
      <c r="T27" s="462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4.0999999999999996</v>
      </c>
      <c r="G28" s="357">
        <v>1.5</v>
      </c>
      <c r="H28" s="357">
        <v>1.5</v>
      </c>
      <c r="I28" s="357">
        <v>1.5</v>
      </c>
      <c r="J28" s="359">
        <v>1.6</v>
      </c>
      <c r="K28" s="357">
        <v>1.6</v>
      </c>
      <c r="L28" s="359">
        <v>3.5</v>
      </c>
      <c r="M28" s="357"/>
      <c r="N28" s="357"/>
      <c r="O28" s="357"/>
      <c r="P28" s="357"/>
      <c r="Q28" s="357"/>
      <c r="R28" s="357"/>
      <c r="S28" s="357"/>
      <c r="T28" s="462">
        <v>3.8</v>
      </c>
      <c r="U28" s="357">
        <v>3.8</v>
      </c>
      <c r="V28" s="359">
        <v>3.8</v>
      </c>
      <c r="W28" s="357">
        <v>3.8</v>
      </c>
      <c r="X28" s="357">
        <v>3.7</v>
      </c>
      <c r="Y28" s="357">
        <v>3.8</v>
      </c>
      <c r="Z28" s="357">
        <v>3.9</v>
      </c>
      <c r="AA28" s="357">
        <v>3.8</v>
      </c>
      <c r="AB28" s="357">
        <v>4</v>
      </c>
      <c r="AC28" s="357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17</v>
      </c>
      <c r="AI28" s="159">
        <f>SUM(F29:AC30)</f>
        <v>159.42000000000002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359"/>
      <c r="U29" s="359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0.92</v>
      </c>
      <c r="G30" s="357">
        <v>6.3</v>
      </c>
      <c r="H30" s="357">
        <v>6.8</v>
      </c>
      <c r="I30" s="357">
        <v>6.8</v>
      </c>
      <c r="J30" s="357">
        <v>5.8</v>
      </c>
      <c r="K30" s="357">
        <v>6.8</v>
      </c>
      <c r="L30" s="357">
        <v>7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7</v>
      </c>
      <c r="X30" s="357">
        <v>7</v>
      </c>
      <c r="Y30" s="359">
        <v>7</v>
      </c>
      <c r="Z30" s="357">
        <v>7</v>
      </c>
      <c r="AA30" s="357">
        <v>7</v>
      </c>
      <c r="AB30" s="359">
        <v>7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5.0199999999999996</v>
      </c>
      <c r="G31" s="19">
        <f>SUM(G27:G30)</f>
        <v>7.8</v>
      </c>
      <c r="H31" s="19">
        <f>SUM(H27:H30)</f>
        <v>8.3000000000000007</v>
      </c>
      <c r="I31" s="19">
        <f t="shared" ref="I31:X31" si="5">SUM(I27:I30)</f>
        <v>8.3000000000000007</v>
      </c>
      <c r="J31" s="19">
        <f t="shared" si="5"/>
        <v>7.4</v>
      </c>
      <c r="K31" s="19">
        <f t="shared" si="5"/>
        <v>8.4</v>
      </c>
      <c r="L31" s="19">
        <f t="shared" si="5"/>
        <v>10.5</v>
      </c>
      <c r="M31" s="19">
        <f t="shared" si="5"/>
        <v>9.5</v>
      </c>
      <c r="N31" s="19">
        <f t="shared" si="5"/>
        <v>10.8</v>
      </c>
      <c r="O31" s="19">
        <f t="shared" si="5"/>
        <v>10.8</v>
      </c>
      <c r="P31" s="19">
        <f t="shared" si="5"/>
        <v>10.8</v>
      </c>
      <c r="Q31" s="19">
        <f t="shared" si="5"/>
        <v>10.8</v>
      </c>
      <c r="R31" s="19">
        <f t="shared" si="5"/>
        <v>10.8</v>
      </c>
      <c r="S31" s="463">
        <f t="shared" si="5"/>
        <v>10.8</v>
      </c>
      <c r="T31" s="463">
        <f t="shared" si="5"/>
        <v>10.8</v>
      </c>
      <c r="U31" s="19">
        <f t="shared" si="5"/>
        <v>10.8</v>
      </c>
      <c r="V31" s="19">
        <f t="shared" si="5"/>
        <v>10.8</v>
      </c>
      <c r="W31" s="19">
        <f t="shared" si="5"/>
        <v>10.8</v>
      </c>
      <c r="X31" s="19">
        <f t="shared" si="5"/>
        <v>10.7</v>
      </c>
      <c r="Y31" s="19">
        <f>SUM(Y27:Y30)</f>
        <v>10.8</v>
      </c>
      <c r="Z31" s="19">
        <f t="shared" ref="Z31:AC31" si="6">SUM(Z27:Z30)</f>
        <v>10.9</v>
      </c>
      <c r="AA31" s="19">
        <f t="shared" si="6"/>
        <v>10.8</v>
      </c>
      <c r="AB31" s="19">
        <f t="shared" si="6"/>
        <v>11</v>
      </c>
      <c r="AC31" s="19">
        <f t="shared" si="6"/>
        <v>11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341.96000000000004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14.22</v>
      </c>
      <c r="G33" s="357">
        <v>14.22</v>
      </c>
      <c r="H33" s="357">
        <v>14.26</v>
      </c>
      <c r="I33" s="359">
        <v>14.25</v>
      </c>
      <c r="J33" s="357">
        <v>14.24</v>
      </c>
      <c r="K33" s="357">
        <v>14.28</v>
      </c>
      <c r="L33" s="359">
        <v>14.27</v>
      </c>
      <c r="M33" s="357">
        <v>14.25</v>
      </c>
      <c r="N33" s="357">
        <v>14.26</v>
      </c>
      <c r="O33" s="357">
        <v>14.27</v>
      </c>
      <c r="P33" s="357">
        <v>14.24</v>
      </c>
      <c r="Q33" s="359">
        <v>14.17</v>
      </c>
      <c r="R33" s="357">
        <v>14.22</v>
      </c>
      <c r="S33" s="462">
        <v>14.29</v>
      </c>
      <c r="T33" s="462">
        <v>14.25</v>
      </c>
      <c r="U33" s="462">
        <v>14.28</v>
      </c>
      <c r="V33" s="359">
        <v>14.29</v>
      </c>
      <c r="W33" s="357">
        <v>14.25</v>
      </c>
      <c r="X33" s="357">
        <v>14.16</v>
      </c>
      <c r="Y33" s="357">
        <v>14.24</v>
      </c>
      <c r="Z33" s="357">
        <v>14.24</v>
      </c>
      <c r="AA33" s="357">
        <v>14.27</v>
      </c>
      <c r="AB33" s="357">
        <v>14.29</v>
      </c>
      <c r="AC33" s="357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14.22</v>
      </c>
      <c r="G34" s="19">
        <f t="shared" si="7"/>
        <v>14.22</v>
      </c>
      <c r="H34" s="19">
        <f t="shared" si="7"/>
        <v>14.26</v>
      </c>
      <c r="I34" s="19">
        <f t="shared" si="7"/>
        <v>14.25</v>
      </c>
      <c r="J34" s="19">
        <f t="shared" si="7"/>
        <v>14.24</v>
      </c>
      <c r="K34" s="19">
        <f t="shared" si="7"/>
        <v>14.28</v>
      </c>
      <c r="L34" s="19">
        <f t="shared" si="7"/>
        <v>14.27</v>
      </c>
      <c r="M34" s="19">
        <f t="shared" si="7"/>
        <v>14.25</v>
      </c>
      <c r="N34" s="19">
        <f t="shared" si="7"/>
        <v>14.26</v>
      </c>
      <c r="O34" s="19">
        <f t="shared" si="7"/>
        <v>14.27</v>
      </c>
      <c r="P34" s="19">
        <f t="shared" si="7"/>
        <v>14.24</v>
      </c>
      <c r="Q34" s="19">
        <f t="shared" si="7"/>
        <v>14.17</v>
      </c>
      <c r="R34" s="19">
        <f t="shared" si="7"/>
        <v>14.22</v>
      </c>
      <c r="S34" s="19">
        <f t="shared" si="7"/>
        <v>14.29</v>
      </c>
      <c r="T34" s="463">
        <f t="shared" si="7"/>
        <v>14.25</v>
      </c>
      <c r="U34" s="19">
        <f t="shared" si="7"/>
        <v>14.28</v>
      </c>
      <c r="V34" s="19">
        <f t="shared" si="7"/>
        <v>14.29</v>
      </c>
      <c r="W34" s="19">
        <f t="shared" si="7"/>
        <v>14.25</v>
      </c>
      <c r="X34" s="19">
        <f t="shared" si="7"/>
        <v>14.16</v>
      </c>
      <c r="Y34" s="19">
        <f t="shared" si="7"/>
        <v>14.24</v>
      </c>
      <c r="Z34" s="19">
        <f t="shared" si="7"/>
        <v>14.24</v>
      </c>
      <c r="AA34" s="19">
        <f t="shared" si="7"/>
        <v>14.27</v>
      </c>
      <c r="AB34" s="19">
        <f t="shared" si="7"/>
        <v>14.29</v>
      </c>
      <c r="AC34" s="19">
        <f t="shared" si="7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29.500000000000007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462"/>
      <c r="W40" s="357"/>
      <c r="X40" s="357"/>
      <c r="Y40" s="357">
        <v>0.8</v>
      </c>
      <c r="Z40" s="357">
        <v>0</v>
      </c>
      <c r="AA40" s="357">
        <v>0.8</v>
      </c>
      <c r="AB40" s="357">
        <v>0</v>
      </c>
      <c r="AC40" s="357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5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9"/>
      <c r="N47" s="357"/>
      <c r="O47" s="357">
        <v>0.8</v>
      </c>
      <c r="P47" s="357">
        <v>0.8</v>
      </c>
      <c r="Q47" s="357">
        <v>0.8</v>
      </c>
      <c r="R47" s="357">
        <v>0.8</v>
      </c>
      <c r="S47" s="462">
        <v>0.75</v>
      </c>
      <c r="T47" s="357">
        <f>2.2/3</f>
        <v>0.73333333333333339</v>
      </c>
      <c r="U47" s="357">
        <f>3.1/4</f>
        <v>0.77500000000000002</v>
      </c>
      <c r="V47" s="462">
        <v>0</v>
      </c>
      <c r="W47" s="357">
        <v>0</v>
      </c>
      <c r="X47" s="357">
        <v>0.8</v>
      </c>
      <c r="Y47" s="357">
        <v>0.8</v>
      </c>
      <c r="Z47" s="357">
        <v>0</v>
      </c>
      <c r="AA47" s="357">
        <v>0.75</v>
      </c>
      <c r="AB47" s="357">
        <v>0</v>
      </c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9"/>
      <c r="N48" s="357"/>
      <c r="O48" s="357"/>
      <c r="P48" s="357">
        <v>0.8</v>
      </c>
      <c r="Q48" s="357">
        <v>0.8</v>
      </c>
      <c r="R48" s="357">
        <v>0.8</v>
      </c>
      <c r="S48" s="462"/>
      <c r="T48" s="357"/>
      <c r="U48" s="357">
        <f>3.1/4</f>
        <v>0.77500000000000002</v>
      </c>
      <c r="V48" s="462">
        <f>1.5/2</f>
        <v>0.75</v>
      </c>
      <c r="W48" s="357">
        <v>0.75</v>
      </c>
      <c r="X48" s="357">
        <v>0</v>
      </c>
      <c r="Y48" s="357">
        <v>0.75</v>
      </c>
      <c r="Z48" s="357">
        <v>0</v>
      </c>
      <c r="AA48" s="357">
        <v>0.75</v>
      </c>
      <c r="AB48" s="357">
        <v>0</v>
      </c>
      <c r="AC48" s="357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9"/>
      <c r="N50" s="357"/>
      <c r="O50" s="359"/>
      <c r="P50" s="359"/>
      <c r="Q50" s="357"/>
      <c r="R50" s="357">
        <v>0.8</v>
      </c>
      <c r="S50" s="462">
        <v>0.75</v>
      </c>
      <c r="T50" s="357">
        <f>2.2/3</f>
        <v>0.73333333333333339</v>
      </c>
      <c r="U50" s="357">
        <f>3.1/4</f>
        <v>0.77500000000000002</v>
      </c>
      <c r="V50" s="462">
        <v>0</v>
      </c>
      <c r="W50" s="357">
        <v>0</v>
      </c>
      <c r="X50" s="357">
        <v>0</v>
      </c>
      <c r="Y50" s="357">
        <v>0.8</v>
      </c>
      <c r="Z50" s="357">
        <v>0</v>
      </c>
      <c r="AA50" s="357">
        <v>0.75</v>
      </c>
      <c r="AB50" s="357">
        <v>0</v>
      </c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/>
      <c r="O51" s="357"/>
      <c r="P51" s="359">
        <v>0.8</v>
      </c>
      <c r="Q51" s="357">
        <v>0.8</v>
      </c>
      <c r="R51" s="357">
        <v>0.8</v>
      </c>
      <c r="S51" s="462"/>
      <c r="T51" s="357"/>
      <c r="U51" s="357"/>
      <c r="V51" s="462"/>
      <c r="W51" s="357">
        <v>0.75</v>
      </c>
      <c r="X51" s="357">
        <v>0</v>
      </c>
      <c r="Y51" s="357"/>
      <c r="Z51" s="357">
        <v>0</v>
      </c>
      <c r="AA51" s="357">
        <v>0.75</v>
      </c>
      <c r="AB51" s="357">
        <v>0</v>
      </c>
      <c r="AC51" s="357">
        <v>0</v>
      </c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9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9"/>
      <c r="N56" s="357"/>
      <c r="O56" s="357"/>
      <c r="P56" s="359">
        <v>0.8</v>
      </c>
      <c r="Q56" s="357">
        <v>0.8</v>
      </c>
      <c r="R56" s="357"/>
      <c r="S56" s="462"/>
      <c r="T56" s="357">
        <f>2.2/3</f>
        <v>0.73333333333333339</v>
      </c>
      <c r="U56" s="357">
        <f>3.1/4</f>
        <v>0.77500000000000002</v>
      </c>
      <c r="V56" s="462">
        <f>1.5/2</f>
        <v>0.75</v>
      </c>
      <c r="W56" s="357">
        <v>0</v>
      </c>
      <c r="X56" s="357">
        <v>0</v>
      </c>
      <c r="Y56" s="357">
        <v>0.75</v>
      </c>
      <c r="Z56" s="357">
        <v>0</v>
      </c>
      <c r="AA56" s="357">
        <v>0.8</v>
      </c>
      <c r="AB56" s="357">
        <v>0</v>
      </c>
      <c r="AC56" s="357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12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0</v>
      </c>
      <c r="M60" s="19">
        <f t="shared" si="11"/>
        <v>0</v>
      </c>
      <c r="N60" s="19">
        <f t="shared" si="11"/>
        <v>0</v>
      </c>
      <c r="O60" s="19">
        <f t="shared" si="11"/>
        <v>0.8</v>
      </c>
      <c r="P60" s="19">
        <f t="shared" si="11"/>
        <v>3.2</v>
      </c>
      <c r="Q60" s="19">
        <f t="shared" si="11"/>
        <v>3.2</v>
      </c>
      <c r="R60" s="19">
        <f t="shared" si="11"/>
        <v>3.2</v>
      </c>
      <c r="S60" s="19">
        <f t="shared" si="11"/>
        <v>1.5</v>
      </c>
      <c r="T60" s="19">
        <f t="shared" si="11"/>
        <v>2.2000000000000002</v>
      </c>
      <c r="U60" s="19">
        <f t="shared" si="11"/>
        <v>3.1</v>
      </c>
      <c r="V60" s="19">
        <f t="shared" si="11"/>
        <v>1.5</v>
      </c>
      <c r="W60" s="19">
        <f t="shared" si="11"/>
        <v>1.5</v>
      </c>
      <c r="X60" s="19">
        <f t="shared" si="11"/>
        <v>0.8</v>
      </c>
      <c r="Y60" s="19">
        <f>SUM(Y36:Y59)</f>
        <v>3.9000000000000004</v>
      </c>
      <c r="Z60" s="19">
        <f t="shared" si="11"/>
        <v>0</v>
      </c>
      <c r="AA60" s="19">
        <f t="shared" si="11"/>
        <v>4.5999999999999996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25.86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>
        <f>0.98/2</f>
        <v>0.49</v>
      </c>
      <c r="H62" s="357">
        <v>0.48</v>
      </c>
      <c r="I62" s="359">
        <v>0.47</v>
      </c>
      <c r="J62" s="357">
        <v>0.46</v>
      </c>
      <c r="K62" s="357">
        <v>0.48499999999999999</v>
      </c>
      <c r="L62" s="357">
        <f>1.02/2</f>
        <v>0.51</v>
      </c>
      <c r="M62" s="357">
        <f>1.05/2</f>
        <v>0.52500000000000002</v>
      </c>
      <c r="N62" s="357">
        <f>1.13/2</f>
        <v>0.56499999999999995</v>
      </c>
      <c r="O62" s="357">
        <f t="shared" ref="O62:Q63" si="12">1.17/2</f>
        <v>0.58499999999999996</v>
      </c>
      <c r="P62" s="357">
        <f t="shared" si="12"/>
        <v>0.58499999999999996</v>
      </c>
      <c r="Q62" s="357">
        <f t="shared" si="12"/>
        <v>0.58499999999999996</v>
      </c>
      <c r="R62" s="357">
        <v>0.6</v>
      </c>
      <c r="S62" s="357"/>
      <c r="T62" s="357"/>
      <c r="U62" s="357"/>
      <c r="V62" s="357"/>
      <c r="W62" s="357"/>
      <c r="X62" s="462"/>
      <c r="Y62" s="462">
        <v>0.6</v>
      </c>
      <c r="Z62" s="357">
        <f>0.96/2</f>
        <v>0.48</v>
      </c>
      <c r="AA62" s="357">
        <v>0.5</v>
      </c>
      <c r="AB62" s="357">
        <v>0.5</v>
      </c>
      <c r="AC62" s="357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f>0.95/2</f>
        <v>0.47499999999999998</v>
      </c>
      <c r="G63" s="357"/>
      <c r="H63" s="357"/>
      <c r="I63" s="359"/>
      <c r="J63" s="357"/>
      <c r="K63" s="357"/>
      <c r="L63" s="357"/>
      <c r="M63" s="357">
        <f>1.05/2</f>
        <v>0.52500000000000002</v>
      </c>
      <c r="N63" s="357">
        <f>1.13/2</f>
        <v>0.56499999999999995</v>
      </c>
      <c r="O63" s="357">
        <f t="shared" si="12"/>
        <v>0.58499999999999996</v>
      </c>
      <c r="P63" s="357">
        <f t="shared" si="12"/>
        <v>0.58499999999999996</v>
      </c>
      <c r="Q63" s="357">
        <f t="shared" si="12"/>
        <v>0.58499999999999996</v>
      </c>
      <c r="R63" s="357">
        <v>0.6</v>
      </c>
      <c r="S63" s="357">
        <v>0.60499999999999998</v>
      </c>
      <c r="T63" s="462">
        <f>1.22/2</f>
        <v>0.61</v>
      </c>
      <c r="U63" s="462">
        <f>1.25/2</f>
        <v>0.625</v>
      </c>
      <c r="V63" s="462">
        <f>1.24/2</f>
        <v>0.62</v>
      </c>
      <c r="W63" s="357">
        <f>1.19/2</f>
        <v>0.59499999999999997</v>
      </c>
      <c r="X63" s="462">
        <f>0.96/2</f>
        <v>0.48</v>
      </c>
      <c r="Y63" s="462">
        <v>0</v>
      </c>
      <c r="Z63" s="357">
        <v>0</v>
      </c>
      <c r="AA63" s="462">
        <v>0</v>
      </c>
      <c r="AB63" s="357">
        <v>0</v>
      </c>
      <c r="AC63" s="357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f>0.95/2</f>
        <v>0.47499999999999998</v>
      </c>
      <c r="G64" s="357">
        <f>0.98/2</f>
        <v>0.49</v>
      </c>
      <c r="H64" s="357">
        <v>0.48</v>
      </c>
      <c r="I64" s="359">
        <v>0.47</v>
      </c>
      <c r="J64" s="357">
        <v>0.46</v>
      </c>
      <c r="K64" s="357">
        <v>0.48499999999999999</v>
      </c>
      <c r="L64" s="357">
        <f>1.02/2</f>
        <v>0.51</v>
      </c>
      <c r="M64" s="357"/>
      <c r="N64" s="357"/>
      <c r="O64" s="357"/>
      <c r="P64" s="357"/>
      <c r="Q64" s="357"/>
      <c r="R64" s="357"/>
      <c r="S64" s="357">
        <v>0.60499999999999998</v>
      </c>
      <c r="T64" s="462">
        <f>1.22/2</f>
        <v>0.61</v>
      </c>
      <c r="U64" s="462">
        <f>1.25/2</f>
        <v>0.625</v>
      </c>
      <c r="V64" s="462">
        <f>1.24/2</f>
        <v>0.62</v>
      </c>
      <c r="W64" s="357">
        <f>1.19/2</f>
        <v>0.59499999999999997</v>
      </c>
      <c r="X64" s="462">
        <f>0.96/2</f>
        <v>0.48</v>
      </c>
      <c r="Y64" s="462">
        <v>0.6</v>
      </c>
      <c r="Z64" s="462">
        <f>0.96/2</f>
        <v>0.48</v>
      </c>
      <c r="AA64" s="462">
        <v>0.5</v>
      </c>
      <c r="AB64" s="357">
        <v>0.5</v>
      </c>
      <c r="AC64" s="357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0.95</v>
      </c>
      <c r="G65" s="19">
        <f t="shared" ref="G65:AB65" si="13">SUM(G62:G64)</f>
        <v>0.98</v>
      </c>
      <c r="H65" s="19">
        <f t="shared" si="13"/>
        <v>0.96</v>
      </c>
      <c r="I65" s="19">
        <f t="shared" si="13"/>
        <v>0.94</v>
      </c>
      <c r="J65" s="19">
        <f t="shared" si="13"/>
        <v>0.92</v>
      </c>
      <c r="K65" s="19">
        <f t="shared" si="13"/>
        <v>0.97</v>
      </c>
      <c r="L65" s="19">
        <f t="shared" si="13"/>
        <v>1.02</v>
      </c>
      <c r="M65" s="19">
        <f t="shared" si="13"/>
        <v>1.05</v>
      </c>
      <c r="N65" s="19">
        <f t="shared" si="13"/>
        <v>1.1299999999999999</v>
      </c>
      <c r="O65" s="19">
        <f t="shared" si="13"/>
        <v>1.17</v>
      </c>
      <c r="P65" s="19">
        <f t="shared" si="13"/>
        <v>1.17</v>
      </c>
      <c r="Q65" s="19">
        <f t="shared" si="13"/>
        <v>1.17</v>
      </c>
      <c r="R65" s="19">
        <f t="shared" si="13"/>
        <v>1.2</v>
      </c>
      <c r="S65" s="463">
        <f t="shared" si="13"/>
        <v>1.21</v>
      </c>
      <c r="T65" s="463">
        <f t="shared" si="13"/>
        <v>1.22</v>
      </c>
      <c r="U65" s="463">
        <f t="shared" si="13"/>
        <v>1.25</v>
      </c>
      <c r="V65" s="19">
        <f>SUM(V62:V64)</f>
        <v>1.24</v>
      </c>
      <c r="W65" s="19">
        <f t="shared" si="13"/>
        <v>1.19</v>
      </c>
      <c r="X65" s="19">
        <f t="shared" si="13"/>
        <v>0.96</v>
      </c>
      <c r="Y65" s="19">
        <f>SUM(Y62:Y64)</f>
        <v>1.2</v>
      </c>
      <c r="Z65" s="19">
        <f>SUM(Z62:Z64)</f>
        <v>0.96</v>
      </c>
      <c r="AA65" s="19">
        <f t="shared" si="13"/>
        <v>1</v>
      </c>
      <c r="AB65" s="19">
        <f t="shared" si="13"/>
        <v>1</v>
      </c>
      <c r="AC65" s="19">
        <f>SUM(AC62:AC64)</f>
        <v>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4">COUNTIF(F67:AC67,$AF$11)</f>
        <v>0</v>
      </c>
      <c r="AG67" s="11">
        <f t="shared" ref="AG67:AG75" si="15">COUNTIF(G67:AC67,$AG$11)</f>
        <v>0</v>
      </c>
      <c r="AH67" s="11">
        <f t="shared" ref="AH67:AH75" si="16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6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4"/>
        <v>0</v>
      </c>
      <c r="AG74" s="11">
        <f t="shared" si="15"/>
        <v>0</v>
      </c>
      <c r="AH74" s="11">
        <f t="shared" si="16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4"/>
        <v>0</v>
      </c>
      <c r="AG75" s="11">
        <f t="shared" si="15"/>
        <v>0</v>
      </c>
      <c r="AH75" s="11">
        <f t="shared" si="16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7">SUM(F67:F75)</f>
        <v>0</v>
      </c>
      <c r="G76" s="19">
        <f t="shared" si="17"/>
        <v>0</v>
      </c>
      <c r="H76" s="19">
        <f t="shared" si="17"/>
        <v>0</v>
      </c>
      <c r="I76" s="19">
        <f t="shared" si="17"/>
        <v>0</v>
      </c>
      <c r="J76" s="19">
        <f t="shared" si="17"/>
        <v>0</v>
      </c>
      <c r="K76" s="19">
        <f t="shared" si="17"/>
        <v>0</v>
      </c>
      <c r="L76" s="19">
        <f>SUM(L67:L75)</f>
        <v>0</v>
      </c>
      <c r="M76" s="19">
        <f t="shared" si="17"/>
        <v>0</v>
      </c>
      <c r="N76" s="19">
        <f t="shared" si="17"/>
        <v>0</v>
      </c>
      <c r="O76" s="19">
        <f t="shared" si="17"/>
        <v>0</v>
      </c>
      <c r="P76" s="19">
        <f t="shared" si="17"/>
        <v>0</v>
      </c>
      <c r="Q76" s="19">
        <f>SUM(Q67:Q75)</f>
        <v>0</v>
      </c>
      <c r="R76" s="19">
        <f t="shared" si="17"/>
        <v>0</v>
      </c>
      <c r="S76" s="463">
        <f t="shared" si="17"/>
        <v>0</v>
      </c>
      <c r="T76" s="463">
        <f t="shared" si="17"/>
        <v>0</v>
      </c>
      <c r="U76" s="19">
        <f t="shared" si="17"/>
        <v>0</v>
      </c>
      <c r="V76" s="19">
        <f t="shared" si="17"/>
        <v>0</v>
      </c>
      <c r="W76" s="19">
        <f t="shared" si="17"/>
        <v>0</v>
      </c>
      <c r="X76" s="19">
        <f t="shared" si="17"/>
        <v>0</v>
      </c>
      <c r="Y76" s="19">
        <f t="shared" si="17"/>
        <v>0</v>
      </c>
      <c r="Z76" s="19">
        <f t="shared" si="17"/>
        <v>0</v>
      </c>
      <c r="AA76" s="19">
        <f t="shared" si="17"/>
        <v>0</v>
      </c>
      <c r="AB76" s="19">
        <f t="shared" si="17"/>
        <v>0</v>
      </c>
      <c r="AC76" s="19">
        <f t="shared" si="17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20.340000000000003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9"/>
      <c r="N78" s="359">
        <v>0.78</v>
      </c>
      <c r="O78" s="357">
        <v>0.83</v>
      </c>
      <c r="P78" s="357">
        <v>0.89</v>
      </c>
      <c r="Q78" s="357">
        <v>0.98</v>
      </c>
      <c r="R78" s="357">
        <v>0.85</v>
      </c>
      <c r="S78" s="357">
        <v>0.86</v>
      </c>
      <c r="T78" s="357">
        <v>0.83</v>
      </c>
      <c r="U78" s="357">
        <v>0.86</v>
      </c>
      <c r="V78" s="462">
        <v>0.86</v>
      </c>
      <c r="W78" s="357">
        <v>0.9</v>
      </c>
      <c r="X78" s="357">
        <v>0.95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0.83</v>
      </c>
      <c r="G79" s="357">
        <v>0.79</v>
      </c>
      <c r="H79" s="357">
        <v>0.75</v>
      </c>
      <c r="I79" s="357">
        <v>0.76</v>
      </c>
      <c r="J79" s="357">
        <v>0.75</v>
      </c>
      <c r="K79" s="357">
        <v>0.77</v>
      </c>
      <c r="L79" s="359">
        <v>0.79</v>
      </c>
      <c r="M79" s="359">
        <v>0.79</v>
      </c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0.98</v>
      </c>
      <c r="Z79" s="357">
        <v>0.95</v>
      </c>
      <c r="AA79" s="357">
        <v>0.85</v>
      </c>
      <c r="AB79" s="357">
        <v>0.89</v>
      </c>
      <c r="AC79" s="357">
        <v>0.85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8">SUM(F78:F79)</f>
        <v>0.83</v>
      </c>
      <c r="G80" s="19">
        <f t="shared" si="18"/>
        <v>0.79</v>
      </c>
      <c r="H80" s="19">
        <f>SUM(H78:H79)</f>
        <v>0.75</v>
      </c>
      <c r="I80" s="19">
        <f>SUM(I78:I79)</f>
        <v>0.76</v>
      </c>
      <c r="J80" s="19">
        <f t="shared" ref="J80:AC80" si="19">SUM(J78:J79)</f>
        <v>0.75</v>
      </c>
      <c r="K80" s="19">
        <f t="shared" si="19"/>
        <v>0.77</v>
      </c>
      <c r="L80" s="19">
        <f>SUM(L78:L79)</f>
        <v>0.79</v>
      </c>
      <c r="M80" s="19">
        <f t="shared" si="19"/>
        <v>0.79</v>
      </c>
      <c r="N80" s="19">
        <f t="shared" si="19"/>
        <v>0.78</v>
      </c>
      <c r="O80" s="19">
        <f>SUM(O78:O79)</f>
        <v>0.83</v>
      </c>
      <c r="P80" s="19">
        <f>SUM(P78:P79)</f>
        <v>0.89</v>
      </c>
      <c r="Q80" s="19">
        <f t="shared" si="19"/>
        <v>0.98</v>
      </c>
      <c r="R80" s="19">
        <f t="shared" si="19"/>
        <v>0.85</v>
      </c>
      <c r="S80" s="463">
        <f t="shared" si="19"/>
        <v>0.86</v>
      </c>
      <c r="T80" s="463">
        <f t="shared" si="19"/>
        <v>0.83</v>
      </c>
      <c r="U80" s="19">
        <f t="shared" si="19"/>
        <v>0.86</v>
      </c>
      <c r="V80" s="19">
        <f t="shared" si="19"/>
        <v>0.86</v>
      </c>
      <c r="W80" s="19">
        <f t="shared" si="19"/>
        <v>0.9</v>
      </c>
      <c r="X80" s="19">
        <f t="shared" si="19"/>
        <v>0.95</v>
      </c>
      <c r="Y80" s="19">
        <f t="shared" si="19"/>
        <v>0.98</v>
      </c>
      <c r="Z80" s="19">
        <f t="shared" si="19"/>
        <v>0.95</v>
      </c>
      <c r="AA80" s="19">
        <f t="shared" si="19"/>
        <v>0.85</v>
      </c>
      <c r="AB80" s="19">
        <f t="shared" si="19"/>
        <v>0.89</v>
      </c>
      <c r="AC80" s="19">
        <f t="shared" si="19"/>
        <v>0.85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0">SUM(F17,F22,F25,F31,F34,F60,F65,F76,F80,F82)</f>
        <v>41.120000000000005</v>
      </c>
      <c r="G83" s="28">
        <f>SUM(G17,G22,G25,G31,G34,G60,G65,G76,G80,G82)</f>
        <v>39.19</v>
      </c>
      <c r="H83" s="28">
        <f t="shared" ref="H83:AC83" si="21">SUM(H17,H22,H25,H31,H34,H60,H65,H76,H80,H82)</f>
        <v>37.47</v>
      </c>
      <c r="I83" s="28">
        <f t="shared" si="21"/>
        <v>37.449999999999996</v>
      </c>
      <c r="J83" s="28">
        <f t="shared" si="21"/>
        <v>36.71</v>
      </c>
      <c r="K83" s="28">
        <f t="shared" si="21"/>
        <v>37.82</v>
      </c>
      <c r="L83" s="28">
        <f t="shared" si="21"/>
        <v>39.980000000000004</v>
      </c>
      <c r="M83" s="28">
        <f t="shared" si="21"/>
        <v>38.889999999999993</v>
      </c>
      <c r="N83" s="28">
        <f t="shared" si="21"/>
        <v>43.77</v>
      </c>
      <c r="O83" s="28">
        <f t="shared" si="21"/>
        <v>49.269999999999996</v>
      </c>
      <c r="P83" s="28">
        <f t="shared" si="21"/>
        <v>56.70000000000001</v>
      </c>
      <c r="Q83" s="28">
        <f t="shared" si="21"/>
        <v>57.02</v>
      </c>
      <c r="R83" s="28">
        <f t="shared" si="21"/>
        <v>56.070000000000014</v>
      </c>
      <c r="S83" s="518">
        <f t="shared" si="21"/>
        <v>55.36</v>
      </c>
      <c r="T83" s="518">
        <f t="shared" si="21"/>
        <v>56</v>
      </c>
      <c r="U83" s="518">
        <f t="shared" si="21"/>
        <v>56.99</v>
      </c>
      <c r="V83" s="28">
        <f t="shared" si="21"/>
        <v>55.09</v>
      </c>
      <c r="W83" s="28">
        <f t="shared" si="21"/>
        <v>55.04</v>
      </c>
      <c r="X83" s="28">
        <f t="shared" si="21"/>
        <v>54.57</v>
      </c>
      <c r="Y83" s="28">
        <f t="shared" si="21"/>
        <v>57.220000000000006</v>
      </c>
      <c r="Z83" s="28">
        <f t="shared" si="21"/>
        <v>52.95</v>
      </c>
      <c r="AA83" s="28">
        <f t="shared" si="21"/>
        <v>51.320000000000007</v>
      </c>
      <c r="AB83" s="28">
        <f t="shared" si="21"/>
        <v>47.18</v>
      </c>
      <c r="AC83" s="28">
        <f t="shared" si="21"/>
        <v>44.300000000000004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2">SUM(F22,F25)</f>
        <v>0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1.6</v>
      </c>
      <c r="P89" s="64">
        <f t="shared" si="22"/>
        <v>6.6</v>
      </c>
      <c r="Q89" s="64">
        <f t="shared" si="22"/>
        <v>6.6</v>
      </c>
      <c r="R89" s="64">
        <f t="shared" si="22"/>
        <v>6.6</v>
      </c>
      <c r="S89" s="64">
        <f t="shared" si="22"/>
        <v>6.6</v>
      </c>
      <c r="T89" s="64">
        <f t="shared" si="22"/>
        <v>6.6</v>
      </c>
      <c r="U89" s="64">
        <f t="shared" si="22"/>
        <v>6.6</v>
      </c>
      <c r="V89" s="64">
        <f t="shared" si="22"/>
        <v>6.6</v>
      </c>
      <c r="W89" s="64">
        <f t="shared" si="22"/>
        <v>6.6</v>
      </c>
      <c r="X89" s="64">
        <f t="shared" si="22"/>
        <v>6.6</v>
      </c>
      <c r="Y89" s="64">
        <f t="shared" si="22"/>
        <v>6.6</v>
      </c>
      <c r="Z89" s="64">
        <f t="shared" si="22"/>
        <v>5.5</v>
      </c>
      <c r="AA89" s="64">
        <f t="shared" si="22"/>
        <v>6.4</v>
      </c>
      <c r="AB89" s="64">
        <f t="shared" si="22"/>
        <v>6.6</v>
      </c>
      <c r="AC89" s="64">
        <f t="shared" si="22"/>
        <v>3.8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0.22800000000000001</v>
      </c>
      <c r="Q90" s="68">
        <v>0.20100000000000001</v>
      </c>
      <c r="R90" s="68">
        <v>0.26500000000000001</v>
      </c>
      <c r="S90" s="68">
        <v>0.21199999999999999</v>
      </c>
      <c r="T90" s="68">
        <v>0.252</v>
      </c>
      <c r="U90" s="68">
        <v>0.19500000000000001</v>
      </c>
      <c r="V90" s="68">
        <v>0.193</v>
      </c>
      <c r="W90" s="68">
        <v>0.20499999999999999</v>
      </c>
      <c r="X90" s="68">
        <v>0.24</v>
      </c>
      <c r="Y90" s="68">
        <v>0.22700000000000001</v>
      </c>
      <c r="Z90" s="68">
        <v>0.53100000000000003</v>
      </c>
      <c r="AA90" s="68">
        <v>0.25</v>
      </c>
      <c r="AB90" s="68">
        <v>0.224</v>
      </c>
      <c r="AC90" s="68">
        <v>0.2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3">F17</f>
        <v>20.100000000000001</v>
      </c>
      <c r="G91" s="64">
        <f t="shared" si="23"/>
        <v>15.4</v>
      </c>
      <c r="H91" s="64">
        <f t="shared" si="23"/>
        <v>13.2</v>
      </c>
      <c r="I91" s="64">
        <f t="shared" si="23"/>
        <v>13.2</v>
      </c>
      <c r="J91" s="64">
        <f t="shared" si="23"/>
        <v>13.4</v>
      </c>
      <c r="K91" s="64">
        <f t="shared" si="23"/>
        <v>13.4</v>
      </c>
      <c r="L91" s="64">
        <f t="shared" si="23"/>
        <v>13.4</v>
      </c>
      <c r="M91" s="64">
        <f t="shared" si="23"/>
        <v>13.3</v>
      </c>
      <c r="N91" s="64">
        <f t="shared" si="23"/>
        <v>16.8</v>
      </c>
      <c r="O91" s="64">
        <f t="shared" si="23"/>
        <v>19.799999999999997</v>
      </c>
      <c r="P91" s="64">
        <f t="shared" si="23"/>
        <v>19.799999999999997</v>
      </c>
      <c r="Q91" s="64">
        <f t="shared" si="23"/>
        <v>20.100000000000001</v>
      </c>
      <c r="R91" s="64">
        <f t="shared" si="23"/>
        <v>19.200000000000003</v>
      </c>
      <c r="S91" s="64">
        <f t="shared" si="23"/>
        <v>20.100000000000001</v>
      </c>
      <c r="T91" s="64">
        <f t="shared" si="23"/>
        <v>20.100000000000001</v>
      </c>
      <c r="U91" s="64">
        <f t="shared" si="23"/>
        <v>20.100000000000001</v>
      </c>
      <c r="V91" s="64">
        <f t="shared" si="23"/>
        <v>19.799999999999997</v>
      </c>
      <c r="W91" s="64">
        <f t="shared" si="23"/>
        <v>19.799999999999997</v>
      </c>
      <c r="X91" s="64">
        <f t="shared" si="23"/>
        <v>20.399999999999999</v>
      </c>
      <c r="Y91" s="64">
        <f t="shared" si="23"/>
        <v>19.5</v>
      </c>
      <c r="Z91" s="64">
        <f t="shared" si="23"/>
        <v>20.399999999999999</v>
      </c>
      <c r="AA91" s="64">
        <f t="shared" si="23"/>
        <v>13.4</v>
      </c>
      <c r="AB91" s="64">
        <f t="shared" si="23"/>
        <v>13.4</v>
      </c>
      <c r="AC91" s="64">
        <f t="shared" si="23"/>
        <v>13.4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0.56999999999999995</v>
      </c>
      <c r="G92" s="68">
        <v>0.55200000000000005</v>
      </c>
      <c r="H92" s="68">
        <v>0.5</v>
      </c>
      <c r="I92" s="68">
        <v>0.59599999999999997</v>
      </c>
      <c r="J92" s="68">
        <v>0.66500000000000004</v>
      </c>
      <c r="K92" s="68">
        <v>0.64300000000000002</v>
      </c>
      <c r="L92" s="68">
        <v>0.64100000000000001</v>
      </c>
      <c r="M92" s="68">
        <v>0.52</v>
      </c>
      <c r="N92" s="68">
        <v>0.65600000000000003</v>
      </c>
      <c r="O92" s="68">
        <v>0.53200000000000003</v>
      </c>
      <c r="P92" s="68">
        <v>0.626</v>
      </c>
      <c r="Q92" s="68">
        <v>0.624</v>
      </c>
      <c r="R92" s="68">
        <v>0.69199999999999995</v>
      </c>
      <c r="S92" s="68">
        <v>0.56100000000000005</v>
      </c>
      <c r="T92" s="68">
        <v>0.60499999999999998</v>
      </c>
      <c r="U92" s="68">
        <v>0.55700000000000005</v>
      </c>
      <c r="V92" s="68">
        <v>0.65900000000000003</v>
      </c>
      <c r="W92" s="68">
        <v>0.65200000000000002</v>
      </c>
      <c r="X92" s="68">
        <v>0.748</v>
      </c>
      <c r="Y92" s="68">
        <v>0.58899999999999997</v>
      </c>
      <c r="Z92" s="68">
        <v>0.53100000000000003</v>
      </c>
      <c r="AA92" s="68">
        <v>0.624</v>
      </c>
      <c r="AB92" s="68">
        <v>0.753</v>
      </c>
      <c r="AC92" s="68">
        <v>0.59499999999999997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4">F31</f>
        <v>5.0199999999999996</v>
      </c>
      <c r="G93" s="65">
        <f t="shared" si="24"/>
        <v>7.8</v>
      </c>
      <c r="H93" s="65">
        <f t="shared" si="24"/>
        <v>8.3000000000000007</v>
      </c>
      <c r="I93" s="65">
        <f t="shared" si="24"/>
        <v>8.3000000000000007</v>
      </c>
      <c r="J93" s="65">
        <f t="shared" si="24"/>
        <v>7.4</v>
      </c>
      <c r="K93" s="65">
        <f t="shared" si="24"/>
        <v>8.4</v>
      </c>
      <c r="L93" s="65">
        <f t="shared" si="24"/>
        <v>10.5</v>
      </c>
      <c r="M93" s="65">
        <f t="shared" si="24"/>
        <v>9.5</v>
      </c>
      <c r="N93" s="65">
        <f t="shared" si="24"/>
        <v>10.8</v>
      </c>
      <c r="O93" s="65">
        <f t="shared" si="24"/>
        <v>10.8</v>
      </c>
      <c r="P93" s="65">
        <f t="shared" si="24"/>
        <v>10.8</v>
      </c>
      <c r="Q93" s="65">
        <f t="shared" si="24"/>
        <v>10.8</v>
      </c>
      <c r="R93" s="65">
        <f t="shared" si="24"/>
        <v>10.8</v>
      </c>
      <c r="S93" s="65">
        <f t="shared" si="24"/>
        <v>10.8</v>
      </c>
      <c r="T93" s="65">
        <f t="shared" si="24"/>
        <v>10.8</v>
      </c>
      <c r="U93" s="65">
        <f t="shared" si="24"/>
        <v>10.8</v>
      </c>
      <c r="V93" s="65">
        <f t="shared" si="24"/>
        <v>10.8</v>
      </c>
      <c r="W93" s="65">
        <f t="shared" si="24"/>
        <v>10.8</v>
      </c>
      <c r="X93" s="65">
        <f t="shared" si="24"/>
        <v>10.7</v>
      </c>
      <c r="Y93" s="65">
        <f t="shared" si="24"/>
        <v>10.8</v>
      </c>
      <c r="Z93" s="65">
        <f t="shared" si="24"/>
        <v>10.9</v>
      </c>
      <c r="AA93" s="65">
        <f t="shared" si="24"/>
        <v>10.8</v>
      </c>
      <c r="AB93" s="65">
        <f t="shared" si="24"/>
        <v>11</v>
      </c>
      <c r="AC93" s="65">
        <f t="shared" si="24"/>
        <v>11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0.20899999999999999</v>
      </c>
      <c r="G94" s="68">
        <v>0.21</v>
      </c>
      <c r="H94" s="68">
        <v>0.2</v>
      </c>
      <c r="I94" s="68">
        <v>0.19500000000000001</v>
      </c>
      <c r="J94" s="68">
        <v>0.2</v>
      </c>
      <c r="K94" s="68">
        <v>0.186</v>
      </c>
      <c r="L94" s="68">
        <v>0.19600000000000001</v>
      </c>
      <c r="M94" s="68">
        <v>0.28499999999999998</v>
      </c>
      <c r="N94" s="68">
        <v>0.26500000000000001</v>
      </c>
      <c r="O94" s="68">
        <v>0.17599999999999999</v>
      </c>
      <c r="P94" s="68">
        <v>0.22600000000000001</v>
      </c>
      <c r="Q94" s="68">
        <v>0.23200000000000001</v>
      </c>
      <c r="R94" s="68">
        <v>0.219</v>
      </c>
      <c r="S94" s="68">
        <v>0.21299999999999999</v>
      </c>
      <c r="T94" s="68">
        <v>0.23799999999999999</v>
      </c>
      <c r="U94" s="68">
        <v>0.16800000000000001</v>
      </c>
      <c r="V94" s="68">
        <v>0.17399999999999999</v>
      </c>
      <c r="W94" s="68">
        <v>0.191</v>
      </c>
      <c r="X94" s="68">
        <v>0.19900000000000001</v>
      </c>
      <c r="Y94" s="68">
        <v>0.20200000000000001</v>
      </c>
      <c r="Z94" s="68">
        <v>0.19500000000000001</v>
      </c>
      <c r="AA94" s="68">
        <v>0.20100000000000001</v>
      </c>
      <c r="AB94" s="68">
        <v>0.21099999999999999</v>
      </c>
      <c r="AC94" s="68">
        <v>0.20799999999999999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0.20280000000000001</v>
      </c>
      <c r="G95" s="68">
        <v>0.21149999999999999</v>
      </c>
      <c r="H95" s="68">
        <v>0.21890000000000001</v>
      </c>
      <c r="I95" s="68">
        <v>0.19500000000000001</v>
      </c>
      <c r="J95" s="68">
        <v>0.219</v>
      </c>
      <c r="K95" s="68">
        <v>0.22270000000000001</v>
      </c>
      <c r="L95" s="68">
        <v>0.20519999999999999</v>
      </c>
      <c r="M95" s="68">
        <v>0.2389</v>
      </c>
      <c r="N95" s="68">
        <v>0.25679999999999997</v>
      </c>
      <c r="O95" s="68">
        <v>0.25</v>
      </c>
      <c r="P95" s="68">
        <v>0.25</v>
      </c>
      <c r="Q95" s="68">
        <v>0.25</v>
      </c>
      <c r="R95" s="68">
        <v>0.22</v>
      </c>
      <c r="S95" s="68">
        <v>0.2</v>
      </c>
      <c r="T95" s="68">
        <v>0.2</v>
      </c>
      <c r="U95" s="68">
        <v>0.2</v>
      </c>
      <c r="V95" s="68">
        <v>0.2</v>
      </c>
      <c r="W95" s="68">
        <v>0.2</v>
      </c>
      <c r="X95" s="68">
        <v>0.2</v>
      </c>
      <c r="Y95" s="68">
        <v>0.2</v>
      </c>
      <c r="Z95" s="68">
        <v>0.2</v>
      </c>
      <c r="AA95" s="68">
        <v>0.20599999999999999</v>
      </c>
      <c r="AB95" s="68">
        <v>0.22500000000000001</v>
      </c>
      <c r="AC95" s="68">
        <v>0.22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5">F34</f>
        <v>14.22</v>
      </c>
      <c r="G96" s="65">
        <f t="shared" si="25"/>
        <v>14.22</v>
      </c>
      <c r="H96" s="65">
        <f t="shared" si="25"/>
        <v>14.26</v>
      </c>
      <c r="I96" s="65">
        <f t="shared" si="25"/>
        <v>14.25</v>
      </c>
      <c r="J96" s="65">
        <f t="shared" si="25"/>
        <v>14.24</v>
      </c>
      <c r="K96" s="65">
        <f t="shared" si="25"/>
        <v>14.28</v>
      </c>
      <c r="L96" s="65">
        <f t="shared" si="25"/>
        <v>14.27</v>
      </c>
      <c r="M96" s="65">
        <f t="shared" si="25"/>
        <v>14.25</v>
      </c>
      <c r="N96" s="65">
        <f t="shared" si="25"/>
        <v>14.26</v>
      </c>
      <c r="O96" s="65">
        <f t="shared" si="25"/>
        <v>14.27</v>
      </c>
      <c r="P96" s="65">
        <f t="shared" si="25"/>
        <v>14.24</v>
      </c>
      <c r="Q96" s="65">
        <f t="shared" si="25"/>
        <v>14.17</v>
      </c>
      <c r="R96" s="65">
        <f t="shared" si="25"/>
        <v>14.22</v>
      </c>
      <c r="S96" s="65">
        <f t="shared" si="25"/>
        <v>14.29</v>
      </c>
      <c r="T96" s="65">
        <f t="shared" si="25"/>
        <v>14.25</v>
      </c>
      <c r="U96" s="65">
        <f t="shared" si="25"/>
        <v>14.28</v>
      </c>
      <c r="V96" s="65">
        <f t="shared" si="25"/>
        <v>14.29</v>
      </c>
      <c r="W96" s="65">
        <f t="shared" si="25"/>
        <v>14.25</v>
      </c>
      <c r="X96" s="65">
        <f t="shared" si="25"/>
        <v>14.16</v>
      </c>
      <c r="Y96" s="65">
        <f t="shared" si="25"/>
        <v>14.24</v>
      </c>
      <c r="Z96" s="65">
        <f t="shared" si="25"/>
        <v>14.24</v>
      </c>
      <c r="AA96" s="65">
        <f t="shared" si="25"/>
        <v>14.27</v>
      </c>
      <c r="AB96" s="65">
        <f t="shared" si="25"/>
        <v>14.29</v>
      </c>
      <c r="AC96" s="65">
        <f t="shared" si="25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0.78</v>
      </c>
      <c r="G97" s="68">
        <v>0.78</v>
      </c>
      <c r="H97" s="68">
        <v>0.74</v>
      </c>
      <c r="I97" s="68">
        <v>0.75</v>
      </c>
      <c r="J97" s="68">
        <v>0.76</v>
      </c>
      <c r="K97" s="68">
        <v>0.72</v>
      </c>
      <c r="L97" s="68">
        <v>0.73</v>
      </c>
      <c r="M97" s="68">
        <v>0.75</v>
      </c>
      <c r="N97" s="68">
        <v>0.74</v>
      </c>
      <c r="O97" s="68">
        <v>0.73</v>
      </c>
      <c r="P97" s="68">
        <v>0.76</v>
      </c>
      <c r="Q97" s="68">
        <v>0.83</v>
      </c>
      <c r="R97" s="68">
        <v>0.78</v>
      </c>
      <c r="S97" s="68">
        <v>0.71</v>
      </c>
      <c r="T97" s="68">
        <v>0.75</v>
      </c>
      <c r="U97" s="68">
        <v>0.72</v>
      </c>
      <c r="V97" s="68">
        <v>0.71</v>
      </c>
      <c r="W97" s="68">
        <v>0.75</v>
      </c>
      <c r="X97" s="68">
        <v>0.84</v>
      </c>
      <c r="Y97" s="68">
        <v>0.76</v>
      </c>
      <c r="Z97" s="68">
        <v>0.7</v>
      </c>
      <c r="AA97" s="68">
        <v>0.73</v>
      </c>
      <c r="AB97" s="68">
        <v>0.71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6">F60</f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0</v>
      </c>
      <c r="M98" s="64">
        <f t="shared" si="26"/>
        <v>0</v>
      </c>
      <c r="N98" s="64">
        <f t="shared" si="26"/>
        <v>0</v>
      </c>
      <c r="O98" s="64">
        <f t="shared" si="26"/>
        <v>0.8</v>
      </c>
      <c r="P98" s="64">
        <f t="shared" si="26"/>
        <v>3.2</v>
      </c>
      <c r="Q98" s="64">
        <f t="shared" si="26"/>
        <v>3.2</v>
      </c>
      <c r="R98" s="64">
        <f t="shared" si="26"/>
        <v>3.2</v>
      </c>
      <c r="S98" s="64">
        <f t="shared" si="26"/>
        <v>1.5</v>
      </c>
      <c r="T98" s="64">
        <f t="shared" si="26"/>
        <v>2.2000000000000002</v>
      </c>
      <c r="U98" s="64">
        <f t="shared" si="26"/>
        <v>3.1</v>
      </c>
      <c r="V98" s="64">
        <f t="shared" si="26"/>
        <v>1.5</v>
      </c>
      <c r="W98" s="64">
        <f t="shared" si="26"/>
        <v>1.5</v>
      </c>
      <c r="X98" s="64">
        <f t="shared" si="26"/>
        <v>0.8</v>
      </c>
      <c r="Y98" s="64">
        <f t="shared" si="26"/>
        <v>3.9000000000000004</v>
      </c>
      <c r="Z98" s="64">
        <f t="shared" si="26"/>
        <v>0</v>
      </c>
      <c r="AA98" s="64">
        <f t="shared" si="26"/>
        <v>4.5999999999999996</v>
      </c>
      <c r="AB98" s="64">
        <f t="shared" si="26"/>
        <v>0</v>
      </c>
      <c r="AC98" s="64">
        <f t="shared" si="26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7">F65</f>
        <v>0.95</v>
      </c>
      <c r="G99" s="64">
        <f t="shared" si="27"/>
        <v>0.98</v>
      </c>
      <c r="H99" s="64">
        <f t="shared" si="27"/>
        <v>0.96</v>
      </c>
      <c r="I99" s="64">
        <f t="shared" si="27"/>
        <v>0.94</v>
      </c>
      <c r="J99" s="64">
        <f t="shared" si="27"/>
        <v>0.92</v>
      </c>
      <c r="K99" s="64">
        <f t="shared" si="27"/>
        <v>0.97</v>
      </c>
      <c r="L99" s="64">
        <f t="shared" si="27"/>
        <v>1.02</v>
      </c>
      <c r="M99" s="64">
        <f t="shared" si="27"/>
        <v>1.05</v>
      </c>
      <c r="N99" s="64">
        <f t="shared" si="27"/>
        <v>1.1299999999999999</v>
      </c>
      <c r="O99" s="64">
        <f t="shared" si="27"/>
        <v>1.17</v>
      </c>
      <c r="P99" s="64">
        <f t="shared" si="27"/>
        <v>1.17</v>
      </c>
      <c r="Q99" s="64">
        <f t="shared" si="27"/>
        <v>1.17</v>
      </c>
      <c r="R99" s="64">
        <f t="shared" si="27"/>
        <v>1.2</v>
      </c>
      <c r="S99" s="64">
        <f t="shared" si="27"/>
        <v>1.21</v>
      </c>
      <c r="T99" s="64">
        <f t="shared" si="27"/>
        <v>1.22</v>
      </c>
      <c r="U99" s="64">
        <f t="shared" si="27"/>
        <v>1.25</v>
      </c>
      <c r="V99" s="64">
        <f t="shared" si="27"/>
        <v>1.24</v>
      </c>
      <c r="W99" s="64">
        <f t="shared" si="27"/>
        <v>1.19</v>
      </c>
      <c r="X99" s="64">
        <f t="shared" si="27"/>
        <v>0.96</v>
      </c>
      <c r="Y99" s="64">
        <f t="shared" si="27"/>
        <v>1.2</v>
      </c>
      <c r="Z99" s="64">
        <f t="shared" si="27"/>
        <v>0.96</v>
      </c>
      <c r="AA99" s="64">
        <f t="shared" si="27"/>
        <v>1</v>
      </c>
      <c r="AB99" s="64">
        <f t="shared" si="27"/>
        <v>1</v>
      </c>
      <c r="AC99" s="64">
        <f t="shared" si="27"/>
        <v>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8">F76</f>
        <v>0</v>
      </c>
      <c r="G100" s="64">
        <f t="shared" si="28"/>
        <v>0</v>
      </c>
      <c r="H100" s="64">
        <f t="shared" si="28"/>
        <v>0</v>
      </c>
      <c r="I100" s="64">
        <f t="shared" si="28"/>
        <v>0</v>
      </c>
      <c r="J100" s="64">
        <f t="shared" si="28"/>
        <v>0</v>
      </c>
      <c r="K100" s="64">
        <f t="shared" si="28"/>
        <v>0</v>
      </c>
      <c r="L100" s="64">
        <f t="shared" si="28"/>
        <v>0</v>
      </c>
      <c r="M100" s="64">
        <f t="shared" si="28"/>
        <v>0</v>
      </c>
      <c r="N100" s="64">
        <f t="shared" si="28"/>
        <v>0</v>
      </c>
      <c r="O100" s="64">
        <f t="shared" si="28"/>
        <v>0</v>
      </c>
      <c r="P100" s="64">
        <f t="shared" si="28"/>
        <v>0</v>
      </c>
      <c r="Q100" s="64">
        <f t="shared" si="28"/>
        <v>0</v>
      </c>
      <c r="R100" s="64">
        <f t="shared" si="28"/>
        <v>0</v>
      </c>
      <c r="S100" s="64">
        <f t="shared" si="28"/>
        <v>0</v>
      </c>
      <c r="T100" s="64">
        <f t="shared" si="28"/>
        <v>0</v>
      </c>
      <c r="U100" s="64">
        <f t="shared" si="28"/>
        <v>0</v>
      </c>
      <c r="V100" s="64">
        <f t="shared" si="28"/>
        <v>0</v>
      </c>
      <c r="W100" s="64">
        <f t="shared" si="28"/>
        <v>0</v>
      </c>
      <c r="X100" s="64">
        <f t="shared" si="28"/>
        <v>0</v>
      </c>
      <c r="Y100" s="64">
        <f t="shared" si="28"/>
        <v>0</v>
      </c>
      <c r="Z100" s="64">
        <f t="shared" si="28"/>
        <v>0</v>
      </c>
      <c r="AA100" s="64">
        <f t="shared" si="28"/>
        <v>0</v>
      </c>
      <c r="AB100" s="64">
        <f t="shared" si="28"/>
        <v>0</v>
      </c>
      <c r="AC100" s="64">
        <f t="shared" si="2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9">F80</f>
        <v>0.83</v>
      </c>
      <c r="G101" s="64">
        <f t="shared" si="29"/>
        <v>0.79</v>
      </c>
      <c r="H101" s="64">
        <f t="shared" si="29"/>
        <v>0.75</v>
      </c>
      <c r="I101" s="64">
        <f t="shared" si="29"/>
        <v>0.76</v>
      </c>
      <c r="J101" s="64">
        <f t="shared" si="29"/>
        <v>0.75</v>
      </c>
      <c r="K101" s="64">
        <f t="shared" si="29"/>
        <v>0.77</v>
      </c>
      <c r="L101" s="64">
        <f t="shared" si="29"/>
        <v>0.79</v>
      </c>
      <c r="M101" s="64">
        <f t="shared" si="29"/>
        <v>0.79</v>
      </c>
      <c r="N101" s="64">
        <f t="shared" si="29"/>
        <v>0.78</v>
      </c>
      <c r="O101" s="64">
        <f t="shared" si="29"/>
        <v>0.83</v>
      </c>
      <c r="P101" s="64">
        <f t="shared" si="29"/>
        <v>0.89</v>
      </c>
      <c r="Q101" s="64">
        <f t="shared" si="29"/>
        <v>0.98</v>
      </c>
      <c r="R101" s="64">
        <f t="shared" si="29"/>
        <v>0.85</v>
      </c>
      <c r="S101" s="64">
        <f t="shared" si="29"/>
        <v>0.86</v>
      </c>
      <c r="T101" s="64">
        <f t="shared" si="29"/>
        <v>0.83</v>
      </c>
      <c r="U101" s="64">
        <f t="shared" si="29"/>
        <v>0.86</v>
      </c>
      <c r="V101" s="64">
        <f t="shared" si="29"/>
        <v>0.86</v>
      </c>
      <c r="W101" s="64">
        <f t="shared" si="29"/>
        <v>0.9</v>
      </c>
      <c r="X101" s="64">
        <f t="shared" si="29"/>
        <v>0.95</v>
      </c>
      <c r="Y101" s="64">
        <f t="shared" si="29"/>
        <v>0.98</v>
      </c>
      <c r="Z101" s="64">
        <f t="shared" si="29"/>
        <v>0.95</v>
      </c>
      <c r="AA101" s="64">
        <f t="shared" si="29"/>
        <v>0.85</v>
      </c>
      <c r="AB101" s="64">
        <f t="shared" si="29"/>
        <v>0.89</v>
      </c>
      <c r="AC101" s="64">
        <f t="shared" si="29"/>
        <v>0.85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0">F82</f>
        <v>0</v>
      </c>
      <c r="G102" s="64">
        <f t="shared" si="30"/>
        <v>0</v>
      </c>
      <c r="H102" s="64">
        <f t="shared" si="30"/>
        <v>0</v>
      </c>
      <c r="I102" s="64">
        <f t="shared" si="30"/>
        <v>0</v>
      </c>
      <c r="J102" s="64">
        <f t="shared" si="30"/>
        <v>0</v>
      </c>
      <c r="K102" s="64">
        <f t="shared" si="30"/>
        <v>0</v>
      </c>
      <c r="L102" s="64">
        <f t="shared" si="30"/>
        <v>0</v>
      </c>
      <c r="M102" s="64">
        <f t="shared" si="30"/>
        <v>0</v>
      </c>
      <c r="N102" s="64">
        <f t="shared" si="30"/>
        <v>0</v>
      </c>
      <c r="O102" s="64">
        <f t="shared" si="30"/>
        <v>0</v>
      </c>
      <c r="P102" s="64">
        <f t="shared" si="30"/>
        <v>0</v>
      </c>
      <c r="Q102" s="64">
        <f t="shared" si="30"/>
        <v>0</v>
      </c>
      <c r="R102" s="64">
        <f t="shared" si="30"/>
        <v>0</v>
      </c>
      <c r="S102" s="64">
        <f t="shared" si="30"/>
        <v>0</v>
      </c>
      <c r="T102" s="64">
        <f t="shared" si="30"/>
        <v>0</v>
      </c>
      <c r="U102" s="64">
        <f t="shared" si="30"/>
        <v>0</v>
      </c>
      <c r="V102" s="64">
        <f t="shared" si="30"/>
        <v>0</v>
      </c>
      <c r="W102" s="64">
        <f t="shared" si="30"/>
        <v>0</v>
      </c>
      <c r="X102" s="64">
        <f t="shared" si="30"/>
        <v>0</v>
      </c>
      <c r="Y102" s="64">
        <f t="shared" si="30"/>
        <v>0</v>
      </c>
      <c r="Z102" s="64">
        <f t="shared" si="30"/>
        <v>0</v>
      </c>
      <c r="AA102" s="64">
        <f t="shared" si="30"/>
        <v>0</v>
      </c>
      <c r="AB102" s="64">
        <f t="shared" si="30"/>
        <v>0</v>
      </c>
      <c r="AC102" s="64">
        <f t="shared" si="30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1">SUM(F89,F91,F93,F96,F98:F102,F81)</f>
        <v>41.120000000000005</v>
      </c>
      <c r="G103" s="61">
        <f t="shared" si="31"/>
        <v>39.19</v>
      </c>
      <c r="H103" s="61">
        <f t="shared" si="31"/>
        <v>37.47</v>
      </c>
      <c r="I103" s="61">
        <f t="shared" si="31"/>
        <v>37.449999999999996</v>
      </c>
      <c r="J103" s="61">
        <f t="shared" si="31"/>
        <v>36.71</v>
      </c>
      <c r="K103" s="61">
        <f t="shared" si="31"/>
        <v>37.82</v>
      </c>
      <c r="L103" s="61">
        <f t="shared" si="31"/>
        <v>39.980000000000004</v>
      </c>
      <c r="M103" s="61">
        <f t="shared" si="31"/>
        <v>38.889999999999993</v>
      </c>
      <c r="N103" s="61">
        <f t="shared" si="31"/>
        <v>43.77</v>
      </c>
      <c r="O103" s="61">
        <f t="shared" si="31"/>
        <v>49.269999999999996</v>
      </c>
      <c r="P103" s="61">
        <f t="shared" si="31"/>
        <v>56.70000000000001</v>
      </c>
      <c r="Q103" s="61">
        <f t="shared" si="31"/>
        <v>57.02</v>
      </c>
      <c r="R103" s="61">
        <f t="shared" si="31"/>
        <v>56.070000000000014</v>
      </c>
      <c r="S103" s="61">
        <f t="shared" si="31"/>
        <v>55.36</v>
      </c>
      <c r="T103" s="61">
        <f t="shared" si="31"/>
        <v>56</v>
      </c>
      <c r="U103" s="61">
        <f t="shared" si="31"/>
        <v>56.99</v>
      </c>
      <c r="V103" s="61">
        <f t="shared" si="31"/>
        <v>55.09</v>
      </c>
      <c r="W103" s="61">
        <f t="shared" si="31"/>
        <v>55.04</v>
      </c>
      <c r="X103" s="61">
        <f t="shared" si="31"/>
        <v>54.57</v>
      </c>
      <c r="Y103" s="61">
        <f t="shared" si="31"/>
        <v>57.220000000000006</v>
      </c>
      <c r="Z103" s="61">
        <f t="shared" si="31"/>
        <v>52.95</v>
      </c>
      <c r="AA103" s="61">
        <f t="shared" si="31"/>
        <v>51.320000000000007</v>
      </c>
      <c r="AB103" s="61">
        <f t="shared" si="31"/>
        <v>47.18</v>
      </c>
      <c r="AC103" s="61">
        <f t="shared" si="31"/>
        <v>44.300000000000004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0.4</v>
      </c>
      <c r="P105" s="76">
        <v>0.4</v>
      </c>
      <c r="Q105" s="76">
        <v>0.4</v>
      </c>
      <c r="R105" s="76">
        <v>0.4</v>
      </c>
      <c r="S105" s="76">
        <v>0.4</v>
      </c>
      <c r="T105" s="76">
        <v>0.4</v>
      </c>
      <c r="U105" s="76">
        <v>0.4</v>
      </c>
      <c r="V105" s="76">
        <v>0.4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>
        <f>0.51+0.55</f>
        <v>1.06</v>
      </c>
      <c r="N106" s="76"/>
      <c r="O106" s="76"/>
      <c r="P106" s="76"/>
      <c r="Q106" s="76">
        <v>0.43</v>
      </c>
      <c r="R106" s="76"/>
      <c r="S106" s="76"/>
      <c r="T106" s="76"/>
      <c r="U106" s="76"/>
      <c r="V106" s="76"/>
      <c r="W106" s="76"/>
      <c r="X106" s="536"/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2">SUM(F104:F106)</f>
        <v>0</v>
      </c>
      <c r="G107" s="61">
        <f t="shared" si="32"/>
        <v>0</v>
      </c>
      <c r="H107" s="61">
        <f t="shared" si="32"/>
        <v>0</v>
      </c>
      <c r="I107" s="61">
        <f t="shared" si="32"/>
        <v>0</v>
      </c>
      <c r="J107" s="61">
        <f t="shared" si="32"/>
        <v>0</v>
      </c>
      <c r="K107" s="61">
        <f t="shared" si="32"/>
        <v>0</v>
      </c>
      <c r="L107" s="61">
        <f t="shared" si="32"/>
        <v>0</v>
      </c>
      <c r="M107" s="61">
        <f t="shared" si="32"/>
        <v>1.06</v>
      </c>
      <c r="N107" s="61">
        <f t="shared" si="32"/>
        <v>0</v>
      </c>
      <c r="O107" s="61">
        <f t="shared" si="32"/>
        <v>0.4</v>
      </c>
      <c r="P107" s="61">
        <f t="shared" si="32"/>
        <v>0.4</v>
      </c>
      <c r="Q107" s="61">
        <f t="shared" si="32"/>
        <v>0.83000000000000007</v>
      </c>
      <c r="R107" s="61">
        <f t="shared" si="32"/>
        <v>0.4</v>
      </c>
      <c r="S107" s="61">
        <f t="shared" si="32"/>
        <v>0.4</v>
      </c>
      <c r="T107" s="61">
        <f t="shared" si="32"/>
        <v>0.4</v>
      </c>
      <c r="U107" s="61">
        <f t="shared" si="32"/>
        <v>0.4</v>
      </c>
      <c r="V107" s="61">
        <f t="shared" si="32"/>
        <v>0.4</v>
      </c>
      <c r="W107" s="61">
        <f t="shared" si="32"/>
        <v>0</v>
      </c>
      <c r="X107" s="61">
        <f t="shared" si="32"/>
        <v>0</v>
      </c>
      <c r="Y107" s="61">
        <f t="shared" si="32"/>
        <v>0</v>
      </c>
      <c r="Z107" s="61">
        <f t="shared" si="32"/>
        <v>0</v>
      </c>
      <c r="AA107" s="61">
        <f t="shared" si="32"/>
        <v>0</v>
      </c>
      <c r="AB107" s="61">
        <f t="shared" si="32"/>
        <v>0</v>
      </c>
      <c r="AC107" s="61">
        <f t="shared" si="32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3">F103+F107</f>
        <v>41.120000000000005</v>
      </c>
      <c r="G108" s="62">
        <f t="shared" si="33"/>
        <v>39.19</v>
      </c>
      <c r="H108" s="62">
        <f t="shared" si="33"/>
        <v>37.47</v>
      </c>
      <c r="I108" s="62">
        <f t="shared" si="33"/>
        <v>37.449999999999996</v>
      </c>
      <c r="J108" s="62">
        <f t="shared" si="33"/>
        <v>36.71</v>
      </c>
      <c r="K108" s="62">
        <f t="shared" si="33"/>
        <v>37.82</v>
      </c>
      <c r="L108" s="62">
        <f t="shared" si="33"/>
        <v>39.980000000000004</v>
      </c>
      <c r="M108" s="62">
        <f t="shared" si="33"/>
        <v>39.949999999999996</v>
      </c>
      <c r="N108" s="62">
        <f>N103+N107</f>
        <v>43.77</v>
      </c>
      <c r="O108" s="62">
        <f t="shared" si="33"/>
        <v>49.669999999999995</v>
      </c>
      <c r="P108" s="62">
        <f>P103+P107</f>
        <v>57.100000000000009</v>
      </c>
      <c r="Q108" s="62">
        <f t="shared" si="33"/>
        <v>57.85</v>
      </c>
      <c r="R108" s="62">
        <f t="shared" si="33"/>
        <v>56.470000000000013</v>
      </c>
      <c r="S108" s="62">
        <f t="shared" si="33"/>
        <v>55.76</v>
      </c>
      <c r="T108" s="62">
        <f>T103+T107</f>
        <v>56.4</v>
      </c>
      <c r="U108" s="62">
        <f t="shared" si="33"/>
        <v>57.39</v>
      </c>
      <c r="V108" s="62">
        <f t="shared" si="33"/>
        <v>55.49</v>
      </c>
      <c r="W108" s="62">
        <f>W103+W107</f>
        <v>55.04</v>
      </c>
      <c r="X108" s="62">
        <f t="shared" si="33"/>
        <v>54.57</v>
      </c>
      <c r="Y108" s="62">
        <f t="shared" si="33"/>
        <v>57.220000000000006</v>
      </c>
      <c r="Z108" s="62">
        <f t="shared" si="33"/>
        <v>52.95</v>
      </c>
      <c r="AA108" s="62">
        <f t="shared" si="33"/>
        <v>51.320000000000007</v>
      </c>
      <c r="AB108" s="62">
        <f t="shared" si="33"/>
        <v>47.18</v>
      </c>
      <c r="AC108" s="62">
        <f t="shared" si="33"/>
        <v>44.300000000000004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4">(COUNT(F13:F16))*7.2+(COUNT(F27:F28)*4.9)+(COUNT(F19:F21)*4.5)-F91-F93</f>
        <v>1.379999999999999</v>
      </c>
      <c r="G109" s="63">
        <f t="shared" si="34"/>
        <v>3.3</v>
      </c>
      <c r="H109" s="63">
        <f t="shared" si="34"/>
        <v>-2.1999999999999993</v>
      </c>
      <c r="I109" s="63">
        <f t="shared" si="34"/>
        <v>-2.1999999999999993</v>
      </c>
      <c r="J109" s="63">
        <f t="shared" si="34"/>
        <v>-1.5</v>
      </c>
      <c r="K109" s="63">
        <f t="shared" si="34"/>
        <v>-2.5</v>
      </c>
      <c r="L109" s="63">
        <f t="shared" si="34"/>
        <v>-4.5999999999999996</v>
      </c>
      <c r="M109" s="63">
        <f t="shared" si="34"/>
        <v>-3.5</v>
      </c>
      <c r="N109" s="63">
        <f t="shared" si="34"/>
        <v>-1.1000000000000014</v>
      </c>
      <c r="O109" s="63">
        <f t="shared" si="34"/>
        <v>0.40000000000000213</v>
      </c>
      <c r="P109" s="63">
        <f t="shared" si="34"/>
        <v>0.40000000000000213</v>
      </c>
      <c r="Q109" s="63">
        <f t="shared" si="34"/>
        <v>9.9999999999997868E-2</v>
      </c>
      <c r="R109" s="63">
        <f t="shared" si="34"/>
        <v>0.99999999999999645</v>
      </c>
      <c r="S109" s="63">
        <f t="shared" si="34"/>
        <v>9.9999999999997868E-2</v>
      </c>
      <c r="T109" s="63">
        <f t="shared" si="34"/>
        <v>9.9999999999997868E-2</v>
      </c>
      <c r="U109" s="63">
        <f t="shared" si="34"/>
        <v>9.9999999999997868E-2</v>
      </c>
      <c r="V109" s="63">
        <f t="shared" si="34"/>
        <v>0.40000000000000213</v>
      </c>
      <c r="W109" s="63">
        <f t="shared" si="34"/>
        <v>0.40000000000000213</v>
      </c>
      <c r="X109" s="63">
        <f t="shared" si="34"/>
        <v>-9.9999999999997868E-2</v>
      </c>
      <c r="Y109" s="63">
        <f t="shared" si="34"/>
        <v>0.69999999999999929</v>
      </c>
      <c r="Z109" s="63">
        <f t="shared" si="34"/>
        <v>-0.29999999999999893</v>
      </c>
      <c r="AA109" s="63">
        <f t="shared" si="34"/>
        <v>-0.40000000000000036</v>
      </c>
      <c r="AB109" s="63">
        <f t="shared" si="34"/>
        <v>-0.59999999999999964</v>
      </c>
      <c r="AC109" s="63">
        <f t="shared" si="34"/>
        <v>-5.0999999999999996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-1.9999999999999574E-2</v>
      </c>
      <c r="G110" s="205">
        <f t="shared" si="35"/>
        <v>1.9000000000000012</v>
      </c>
      <c r="H110" s="205">
        <f t="shared" si="35"/>
        <v>-3.5999999999999996</v>
      </c>
      <c r="I110" s="205">
        <f t="shared" si="35"/>
        <v>-3.5999999999999996</v>
      </c>
      <c r="J110" s="205">
        <f t="shared" si="35"/>
        <v>-2.9000000000000004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-3.9000000000000004</v>
      </c>
      <c r="L110" s="205">
        <f t="shared" si="35"/>
        <v>-6</v>
      </c>
      <c r="M110" s="205">
        <f t="shared" si="35"/>
        <v>-3.5</v>
      </c>
      <c r="N110" s="205">
        <f t="shared" si="35"/>
        <v>-1.0999999999999996</v>
      </c>
      <c r="O110" s="205">
        <f t="shared" si="35"/>
        <v>-2.1999999999999962</v>
      </c>
      <c r="P110" s="205">
        <f t="shared" si="35"/>
        <v>-2.6999999999999957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-3</v>
      </c>
      <c r="R110" s="205">
        <f t="shared" ref="R110:AC110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-2.5000000000000018</v>
      </c>
      <c r="S110" s="205">
        <f t="shared" si="36"/>
        <v>-3.4000000000000004</v>
      </c>
      <c r="T110" s="205">
        <f t="shared" si="36"/>
        <v>-3.4000000000000004</v>
      </c>
      <c r="U110" s="205">
        <f t="shared" si="36"/>
        <v>-3.4000000000000004</v>
      </c>
      <c r="V110" s="205">
        <f t="shared" si="36"/>
        <v>-3.0999999999999961</v>
      </c>
      <c r="W110" s="205">
        <f t="shared" si="36"/>
        <v>-3.0999999999999961</v>
      </c>
      <c r="X110" s="205">
        <f t="shared" si="36"/>
        <v>-3.5999999999999961</v>
      </c>
      <c r="Y110" s="205">
        <f t="shared" si="36"/>
        <v>-2.7999999999999989</v>
      </c>
      <c r="Z110" s="205">
        <f t="shared" si="36"/>
        <v>-2.6999999999999975</v>
      </c>
      <c r="AA110" s="205">
        <f t="shared" si="36"/>
        <v>-3.7000000000000006</v>
      </c>
      <c r="AB110" s="205">
        <f t="shared" si="36"/>
        <v>-4.0999999999999996</v>
      </c>
      <c r="AC110" s="205">
        <f t="shared" si="36"/>
        <v>-4.8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60.08</v>
      </c>
      <c r="G111" s="456">
        <v>60.16</v>
      </c>
      <c r="H111" s="456">
        <v>60.1</v>
      </c>
      <c r="I111" s="456">
        <v>60.1</v>
      </c>
      <c r="J111" s="456">
        <v>60.07</v>
      </c>
      <c r="K111" s="456">
        <v>60.08</v>
      </c>
      <c r="L111" s="456">
        <v>60.05</v>
      </c>
      <c r="M111" s="456">
        <v>60.18</v>
      </c>
      <c r="N111" s="456">
        <v>60.14</v>
      </c>
      <c r="O111" s="456">
        <v>60.09</v>
      </c>
      <c r="P111" s="456">
        <v>60.07</v>
      </c>
      <c r="Q111" s="456">
        <v>60.07</v>
      </c>
      <c r="R111" s="456">
        <v>60.2</v>
      </c>
      <c r="S111" s="456">
        <v>60.08</v>
      </c>
      <c r="T111" s="456">
        <v>60.1</v>
      </c>
      <c r="U111" s="456">
        <v>60.12</v>
      </c>
      <c r="V111" s="456">
        <v>60.09</v>
      </c>
      <c r="W111" s="456">
        <v>60.15</v>
      </c>
      <c r="X111" s="456">
        <v>60.04</v>
      </c>
      <c r="Y111" s="456">
        <v>60</v>
      </c>
      <c r="Z111" s="456">
        <v>60.09</v>
      </c>
      <c r="AA111" s="456">
        <v>60.13</v>
      </c>
      <c r="AB111" s="456">
        <v>60.06</v>
      </c>
      <c r="AC111" s="456">
        <v>60.07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/>
      <c r="G115" s="520"/>
      <c r="H115" s="520"/>
      <c r="I115" s="520"/>
      <c r="J115" s="520"/>
      <c r="K115" s="520"/>
      <c r="L115" s="520" t="s">
        <v>100</v>
      </c>
      <c r="M115" s="520" t="s">
        <v>100</v>
      </c>
      <c r="N115" s="520" t="s">
        <v>100</v>
      </c>
      <c r="O115" s="520" t="s">
        <v>100</v>
      </c>
      <c r="P115" s="520" t="s">
        <v>100</v>
      </c>
      <c r="Q115" s="520" t="s">
        <v>100</v>
      </c>
      <c r="R115" s="520" t="s">
        <v>100</v>
      </c>
      <c r="S115" s="520" t="s">
        <v>100</v>
      </c>
      <c r="T115" s="520" t="s">
        <v>100</v>
      </c>
      <c r="U115" s="520" t="s">
        <v>100</v>
      </c>
      <c r="V115" s="520" t="s">
        <v>100</v>
      </c>
      <c r="W115" s="520" t="s">
        <v>100</v>
      </c>
      <c r="X115" s="520" t="s">
        <v>100</v>
      </c>
      <c r="Y115" s="520" t="s">
        <v>100</v>
      </c>
      <c r="Z115" s="520" t="s">
        <v>100</v>
      </c>
      <c r="AA115" s="520" t="s">
        <v>100</v>
      </c>
      <c r="AB115" s="520" t="s">
        <v>109</v>
      </c>
      <c r="AC115" s="520" t="s">
        <v>109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H13:J13 N13:O13 D42:E42 N36:AC39 N57:AC59 O14:O16 L51:M55 L36:L50 N41:AC46 H36:J59 I15:N15 N16 L13:L14 O52:AA55 P40:AC40 I16:L16 L56:L59 M47:M48 Q64:R64 P63:R63 M50 P13:AC16 AB51:AC56 P49:AC49 H14:K14 AA62:AC64 H62:L64 Q47:AC48 O50:AC50 S63:Z64 P62:Z62 P51:AA51 P56:AA56">
    <cfRule type="cellIs" dxfId="4845" priority="744" operator="equal">
      <formula>"PMS"</formula>
    </cfRule>
    <cfRule type="containsText" dxfId="4844" priority="745" operator="containsText" text="CMS">
      <formula>NOT(ISERROR(SEARCH("CMS",D13)))</formula>
    </cfRule>
    <cfRule type="cellIs" dxfId="4843" priority="746" operator="equal">
      <formula>0</formula>
    </cfRule>
    <cfRule type="cellIs" dxfId="4842" priority="747" operator="greaterThan">
      <formula>0</formula>
    </cfRule>
    <cfRule type="cellIs" dxfId="4841" priority="748" operator="equal">
      <formula>"PMS"</formula>
    </cfRule>
    <cfRule type="containsText" dxfId="4840" priority="749" operator="containsText" text="CMS">
      <formula>NOT(ISERROR(SEARCH("CMS",D13)))</formula>
    </cfRule>
    <cfRule type="cellIs" dxfId="4839" priority="750" operator="equal">
      <formula>0</formula>
    </cfRule>
    <cfRule type="cellIs" dxfId="4838" priority="751" operator="greaterThan">
      <formula>0</formula>
    </cfRule>
  </conditionalFormatting>
  <conditionalFormatting sqref="H13:J13 N13:O13 D42:E42 N36:AC39 N57:AC59 O14:O16 L51:M55 L36:L50 N41:AC46 H36:J59 I15:N15 N16 L13:L14 O52:AA55 P40:AC40 I16:L16 L56:L59 M47:M48 Q64:R64 P63:R63 M50 P13:AC16 AB51:AC56 P49:AC49 H14:K14 AA62:AC64 H62:L64 Q47:AC48 O50:AC50 S63:Z64 P62:Z62 P51:AA51 P56:AA56">
    <cfRule type="cellIs" dxfId="4837" priority="740" operator="equal">
      <formula>"PMS"</formula>
    </cfRule>
    <cfRule type="containsText" dxfId="4836" priority="741" operator="containsText" text="CMS">
      <formula>NOT(ISERROR(SEARCH("CMS",D13)))</formula>
    </cfRule>
    <cfRule type="cellIs" dxfId="4835" priority="742" operator="equal">
      <formula>0</formula>
    </cfRule>
    <cfRule type="cellIs" dxfId="4834" priority="743" operator="greaterThan">
      <formula>0</formula>
    </cfRule>
  </conditionalFormatting>
  <conditionalFormatting sqref="G67:AC75">
    <cfRule type="cellIs" dxfId="4833" priority="732" operator="equal">
      <formula>"PMS"</formula>
    </cfRule>
    <cfRule type="containsText" dxfId="4832" priority="733" operator="containsText" text="CMS">
      <formula>NOT(ISERROR(SEARCH("CMS",G67)))</formula>
    </cfRule>
    <cfRule type="cellIs" dxfId="4831" priority="734" operator="equal">
      <formula>0</formula>
    </cfRule>
    <cfRule type="cellIs" dxfId="4830" priority="735" operator="greaterThan">
      <formula>0</formula>
    </cfRule>
    <cfRule type="cellIs" dxfId="4829" priority="736" operator="equal">
      <formula>"PMS"</formula>
    </cfRule>
    <cfRule type="containsText" dxfId="4828" priority="737" operator="containsText" text="CMS">
      <formula>NOT(ISERROR(SEARCH("CMS",G67)))</formula>
    </cfRule>
    <cfRule type="cellIs" dxfId="4827" priority="738" operator="equal">
      <formula>0</formula>
    </cfRule>
    <cfRule type="cellIs" dxfId="4826" priority="739" operator="greaterThan">
      <formula>0</formula>
    </cfRule>
  </conditionalFormatting>
  <conditionalFormatting sqref="G67:AC75">
    <cfRule type="cellIs" dxfId="4825" priority="728" operator="equal">
      <formula>"PMS"</formula>
    </cfRule>
    <cfRule type="containsText" dxfId="4824" priority="729" operator="containsText" text="CMS">
      <formula>NOT(ISERROR(SEARCH("CMS",G67)))</formula>
    </cfRule>
    <cfRule type="cellIs" dxfId="4823" priority="730" operator="equal">
      <formula>0</formula>
    </cfRule>
    <cfRule type="cellIs" dxfId="4822" priority="731" operator="greaterThan">
      <formula>0</formula>
    </cfRule>
  </conditionalFormatting>
  <conditionalFormatting sqref="G82:AC82">
    <cfRule type="cellIs" dxfId="4821" priority="720" operator="equal">
      <formula>"PMS"</formula>
    </cfRule>
    <cfRule type="containsText" dxfId="4820" priority="721" operator="containsText" text="CMS">
      <formula>NOT(ISERROR(SEARCH("CMS",G82)))</formula>
    </cfRule>
    <cfRule type="cellIs" dxfId="4819" priority="722" operator="equal">
      <formula>0</formula>
    </cfRule>
    <cfRule type="cellIs" dxfId="4818" priority="723" operator="greaterThan">
      <formula>0</formula>
    </cfRule>
    <cfRule type="cellIs" dxfId="4817" priority="724" operator="equal">
      <formula>"PMS"</formula>
    </cfRule>
    <cfRule type="containsText" dxfId="4816" priority="725" operator="containsText" text="CMS">
      <formula>NOT(ISERROR(SEARCH("CMS",G82)))</formula>
    </cfRule>
    <cfRule type="cellIs" dxfId="4815" priority="726" operator="equal">
      <formula>0</formula>
    </cfRule>
    <cfRule type="cellIs" dxfId="4814" priority="727" operator="greaterThan">
      <formula>0</formula>
    </cfRule>
  </conditionalFormatting>
  <conditionalFormatting sqref="G82:AC82">
    <cfRule type="cellIs" dxfId="4813" priority="716" operator="equal">
      <formula>"PMS"</formula>
    </cfRule>
    <cfRule type="containsText" dxfId="4812" priority="717" operator="containsText" text="CMS">
      <formula>NOT(ISERROR(SEARCH("CMS",G82)))</formula>
    </cfRule>
    <cfRule type="cellIs" dxfId="4811" priority="718" operator="equal">
      <formula>0</formula>
    </cfRule>
    <cfRule type="cellIs" dxfId="4810" priority="719" operator="greaterThan">
      <formula>0</formula>
    </cfRule>
  </conditionalFormatting>
  <conditionalFormatting sqref="G13">
    <cfRule type="cellIs" dxfId="4809" priority="708" operator="equal">
      <formula>"PMS"</formula>
    </cfRule>
    <cfRule type="containsText" dxfId="4808" priority="709" operator="containsText" text="CMS">
      <formula>NOT(ISERROR(SEARCH("CMS",G13)))</formula>
    </cfRule>
    <cfRule type="cellIs" dxfId="4807" priority="710" operator="equal">
      <formula>0</formula>
    </cfRule>
    <cfRule type="cellIs" dxfId="4806" priority="711" operator="greaterThan">
      <formula>0</formula>
    </cfRule>
    <cfRule type="cellIs" dxfId="4805" priority="712" operator="equal">
      <formula>"PMS"</formula>
    </cfRule>
    <cfRule type="containsText" dxfId="4804" priority="713" operator="containsText" text="CMS">
      <formula>NOT(ISERROR(SEARCH("CMS",G13)))</formula>
    </cfRule>
    <cfRule type="cellIs" dxfId="4803" priority="714" operator="equal">
      <formula>0</formula>
    </cfRule>
    <cfRule type="cellIs" dxfId="4802" priority="715" operator="greaterThan">
      <formula>0</formula>
    </cfRule>
  </conditionalFormatting>
  <conditionalFormatting sqref="G13">
    <cfRule type="cellIs" dxfId="4801" priority="704" operator="equal">
      <formula>"PMS"</formula>
    </cfRule>
    <cfRule type="containsText" dxfId="4800" priority="705" operator="containsText" text="CMS">
      <formula>NOT(ISERROR(SEARCH("CMS",G13)))</formula>
    </cfRule>
    <cfRule type="cellIs" dxfId="4799" priority="706" operator="equal">
      <formula>0</formula>
    </cfRule>
    <cfRule type="cellIs" dxfId="4798" priority="707" operator="greaterThan">
      <formula>0</formula>
    </cfRule>
  </conditionalFormatting>
  <conditionalFormatting sqref="M13">
    <cfRule type="cellIs" dxfId="4797" priority="696" operator="equal">
      <formula>"PMS"</formula>
    </cfRule>
    <cfRule type="containsText" dxfId="4796" priority="697" operator="containsText" text="CMS">
      <formula>NOT(ISERROR(SEARCH("CMS",M13)))</formula>
    </cfRule>
    <cfRule type="cellIs" dxfId="4795" priority="698" operator="equal">
      <formula>0</formula>
    </cfRule>
    <cfRule type="cellIs" dxfId="4794" priority="699" operator="greaterThan">
      <formula>0</formula>
    </cfRule>
    <cfRule type="cellIs" dxfId="4793" priority="700" operator="equal">
      <formula>"PMS"</formula>
    </cfRule>
    <cfRule type="containsText" dxfId="4792" priority="701" operator="containsText" text="CMS">
      <formula>NOT(ISERROR(SEARCH("CMS",M13)))</formula>
    </cfRule>
    <cfRule type="cellIs" dxfId="4791" priority="702" operator="equal">
      <formula>0</formula>
    </cfRule>
    <cfRule type="cellIs" dxfId="4790" priority="703" operator="greaterThan">
      <formula>0</formula>
    </cfRule>
  </conditionalFormatting>
  <conditionalFormatting sqref="M13">
    <cfRule type="cellIs" dxfId="4789" priority="692" operator="equal">
      <formula>"PMS"</formula>
    </cfRule>
    <cfRule type="containsText" dxfId="4788" priority="693" operator="containsText" text="CMS">
      <formula>NOT(ISERROR(SEARCH("CMS",M13)))</formula>
    </cfRule>
    <cfRule type="cellIs" dxfId="4787" priority="694" operator="equal">
      <formula>0</formula>
    </cfRule>
    <cfRule type="cellIs" dxfId="4786" priority="695" operator="greaterThan">
      <formula>0</formula>
    </cfRule>
  </conditionalFormatting>
  <conditionalFormatting sqref="K13">
    <cfRule type="cellIs" dxfId="4785" priority="684" operator="equal">
      <formula>"PMS"</formula>
    </cfRule>
    <cfRule type="containsText" dxfId="4784" priority="685" operator="containsText" text="CMS">
      <formula>NOT(ISERROR(SEARCH("CMS",K13)))</formula>
    </cfRule>
    <cfRule type="cellIs" dxfId="4783" priority="686" operator="equal">
      <formula>0</formula>
    </cfRule>
    <cfRule type="cellIs" dxfId="4782" priority="687" operator="greaterThan">
      <formula>0</formula>
    </cfRule>
    <cfRule type="cellIs" dxfId="4781" priority="688" operator="equal">
      <formula>"PMS"</formula>
    </cfRule>
    <cfRule type="containsText" dxfId="4780" priority="689" operator="containsText" text="CMS">
      <formula>NOT(ISERROR(SEARCH("CMS",K13)))</formula>
    </cfRule>
    <cfRule type="cellIs" dxfId="4779" priority="690" operator="equal">
      <formula>0</formula>
    </cfRule>
    <cfRule type="cellIs" dxfId="4778" priority="691" operator="greaterThan">
      <formula>0</formula>
    </cfRule>
  </conditionalFormatting>
  <conditionalFormatting sqref="K13">
    <cfRule type="cellIs" dxfId="4777" priority="680" operator="equal">
      <formula>"PMS"</formula>
    </cfRule>
    <cfRule type="containsText" dxfId="4776" priority="681" operator="containsText" text="CMS">
      <formula>NOT(ISERROR(SEARCH("CMS",K13)))</formula>
    </cfRule>
    <cfRule type="cellIs" dxfId="4775" priority="682" operator="equal">
      <formula>0</formula>
    </cfRule>
    <cfRule type="cellIs" dxfId="4774" priority="683" operator="greaterThan">
      <formula>0</formula>
    </cfRule>
  </conditionalFormatting>
  <conditionalFormatting sqref="G113:AC113">
    <cfRule type="cellIs" dxfId="4773" priority="679" operator="greaterThan">
      <formula>60.3</formula>
    </cfRule>
  </conditionalFormatting>
  <conditionalFormatting sqref="H112:M112">
    <cfRule type="cellIs" dxfId="4772" priority="678" operator="greaterThan">
      <formula>60.3</formula>
    </cfRule>
  </conditionalFormatting>
  <conditionalFormatting sqref="F112:G112">
    <cfRule type="cellIs" dxfId="4771" priority="677" operator="greaterThan">
      <formula>60.3</formula>
    </cfRule>
  </conditionalFormatting>
  <conditionalFormatting sqref="N112:AC112">
    <cfRule type="cellIs" dxfId="4770" priority="676" operator="greaterThan">
      <formula>60.3</formula>
    </cfRule>
  </conditionalFormatting>
  <conditionalFormatting sqref="G15:G16">
    <cfRule type="cellIs" dxfId="4769" priority="668" operator="equal">
      <formula>"PMS"</formula>
    </cfRule>
    <cfRule type="containsText" dxfId="4768" priority="669" operator="containsText" text="CMS">
      <formula>NOT(ISERROR(SEARCH("CMS",G15)))</formula>
    </cfRule>
    <cfRule type="cellIs" dxfId="4767" priority="670" operator="equal">
      <formula>0</formula>
    </cfRule>
    <cfRule type="cellIs" dxfId="4766" priority="671" operator="greaterThan">
      <formula>0</formula>
    </cfRule>
    <cfRule type="cellIs" dxfId="4765" priority="672" operator="equal">
      <formula>"PMS"</formula>
    </cfRule>
    <cfRule type="containsText" dxfId="4764" priority="673" operator="containsText" text="CMS">
      <formula>NOT(ISERROR(SEARCH("CMS",G15)))</formula>
    </cfRule>
    <cfRule type="cellIs" dxfId="4763" priority="674" operator="equal">
      <formula>0</formula>
    </cfRule>
    <cfRule type="cellIs" dxfId="4762" priority="675" operator="greaterThan">
      <formula>0</formula>
    </cfRule>
  </conditionalFormatting>
  <conditionalFormatting sqref="G15:G16">
    <cfRule type="cellIs" dxfId="4761" priority="664" operator="equal">
      <formula>"PMS"</formula>
    </cfRule>
    <cfRule type="containsText" dxfId="4760" priority="665" operator="containsText" text="CMS">
      <formula>NOT(ISERROR(SEARCH("CMS",G15)))</formula>
    </cfRule>
    <cfRule type="cellIs" dxfId="4759" priority="666" operator="equal">
      <formula>0</formula>
    </cfRule>
    <cfRule type="cellIs" dxfId="4758" priority="667" operator="greaterThan">
      <formula>0</formula>
    </cfRule>
  </conditionalFormatting>
  <conditionalFormatting sqref="G36:G38 G57:G59">
    <cfRule type="cellIs" dxfId="4757" priority="656" operator="equal">
      <formula>"PMS"</formula>
    </cfRule>
    <cfRule type="containsText" dxfId="4756" priority="657" operator="containsText" text="CMS">
      <formula>NOT(ISERROR(SEARCH("CMS",G36)))</formula>
    </cfRule>
    <cfRule type="cellIs" dxfId="4755" priority="658" operator="equal">
      <formula>0</formula>
    </cfRule>
    <cfRule type="cellIs" dxfId="4754" priority="659" operator="greaterThan">
      <formula>0</formula>
    </cfRule>
    <cfRule type="cellIs" dxfId="4753" priority="660" operator="equal">
      <formula>"PMS"</formula>
    </cfRule>
    <cfRule type="containsText" dxfId="4752" priority="661" operator="containsText" text="CMS">
      <formula>NOT(ISERROR(SEARCH("CMS",G36)))</formula>
    </cfRule>
    <cfRule type="cellIs" dxfId="4751" priority="662" operator="equal">
      <formula>0</formula>
    </cfRule>
    <cfRule type="cellIs" dxfId="4750" priority="663" operator="greaterThan">
      <formula>0</formula>
    </cfRule>
  </conditionalFormatting>
  <conditionalFormatting sqref="G36:G38 G57:G59">
    <cfRule type="cellIs" dxfId="4749" priority="652" operator="equal">
      <formula>"PMS"</formula>
    </cfRule>
    <cfRule type="containsText" dxfId="4748" priority="653" operator="containsText" text="CMS">
      <formula>NOT(ISERROR(SEARCH("CMS",G36)))</formula>
    </cfRule>
    <cfRule type="cellIs" dxfId="4747" priority="654" operator="equal">
      <formula>0</formula>
    </cfRule>
    <cfRule type="cellIs" dxfId="4746" priority="655" operator="greaterThan">
      <formula>0</formula>
    </cfRule>
  </conditionalFormatting>
  <conditionalFormatting sqref="M36:M38 M57:M59">
    <cfRule type="cellIs" dxfId="4745" priority="644" operator="equal">
      <formula>"PMS"</formula>
    </cfRule>
    <cfRule type="containsText" dxfId="4744" priority="645" operator="containsText" text="CMS">
      <formula>NOT(ISERROR(SEARCH("CMS",M36)))</formula>
    </cfRule>
    <cfRule type="cellIs" dxfId="4743" priority="646" operator="equal">
      <formula>0</formula>
    </cfRule>
    <cfRule type="cellIs" dxfId="4742" priority="647" operator="greaterThan">
      <formula>0</formula>
    </cfRule>
    <cfRule type="cellIs" dxfId="4741" priority="648" operator="equal">
      <formula>"PMS"</formula>
    </cfRule>
    <cfRule type="containsText" dxfId="4740" priority="649" operator="containsText" text="CMS">
      <formula>NOT(ISERROR(SEARCH("CMS",M36)))</formula>
    </cfRule>
    <cfRule type="cellIs" dxfId="4739" priority="650" operator="equal">
      <formula>0</formula>
    </cfRule>
    <cfRule type="cellIs" dxfId="4738" priority="651" operator="greaterThan">
      <formula>0</formula>
    </cfRule>
  </conditionalFormatting>
  <conditionalFormatting sqref="M36:M38 M57:M59">
    <cfRule type="cellIs" dxfId="4737" priority="640" operator="equal">
      <formula>"PMS"</formula>
    </cfRule>
    <cfRule type="containsText" dxfId="4736" priority="641" operator="containsText" text="CMS">
      <formula>NOT(ISERROR(SEARCH("CMS",M36)))</formula>
    </cfRule>
    <cfRule type="cellIs" dxfId="4735" priority="642" operator="equal">
      <formula>0</formula>
    </cfRule>
    <cfRule type="cellIs" dxfId="4734" priority="643" operator="greaterThan">
      <formula>0</formula>
    </cfRule>
  </conditionalFormatting>
  <conditionalFormatting sqref="K36:K38 K57:K59">
    <cfRule type="cellIs" dxfId="4733" priority="632" operator="equal">
      <formula>"PMS"</formula>
    </cfRule>
    <cfRule type="containsText" dxfId="4732" priority="633" operator="containsText" text="CMS">
      <formula>NOT(ISERROR(SEARCH("CMS",K36)))</formula>
    </cfRule>
    <cfRule type="cellIs" dxfId="4731" priority="634" operator="equal">
      <formula>0</formula>
    </cfRule>
    <cfRule type="cellIs" dxfId="4730" priority="635" operator="greaterThan">
      <formula>0</formula>
    </cfRule>
    <cfRule type="cellIs" dxfId="4729" priority="636" operator="equal">
      <formula>"PMS"</formula>
    </cfRule>
    <cfRule type="containsText" dxfId="4728" priority="637" operator="containsText" text="CMS">
      <formula>NOT(ISERROR(SEARCH("CMS",K36)))</formula>
    </cfRule>
    <cfRule type="cellIs" dxfId="4727" priority="638" operator="equal">
      <formula>0</formula>
    </cfRule>
    <cfRule type="cellIs" dxfId="4726" priority="639" operator="greaterThan">
      <formula>0</formula>
    </cfRule>
  </conditionalFormatting>
  <conditionalFormatting sqref="K36:K38 K57:K59">
    <cfRule type="cellIs" dxfId="4725" priority="628" operator="equal">
      <formula>"PMS"</formula>
    </cfRule>
    <cfRule type="containsText" dxfId="4724" priority="629" operator="containsText" text="CMS">
      <formula>NOT(ISERROR(SEARCH("CMS",K36)))</formula>
    </cfRule>
    <cfRule type="cellIs" dxfId="4723" priority="630" operator="equal">
      <formula>0</formula>
    </cfRule>
    <cfRule type="cellIs" dxfId="4722" priority="631" operator="greaterThan">
      <formula>0</formula>
    </cfRule>
  </conditionalFormatting>
  <conditionalFormatting sqref="G49">
    <cfRule type="cellIs" dxfId="4721" priority="620" operator="equal">
      <formula>"PMS"</formula>
    </cfRule>
    <cfRule type="containsText" dxfId="4720" priority="621" operator="containsText" text="CMS">
      <formula>NOT(ISERROR(SEARCH("CMS",G49)))</formula>
    </cfRule>
    <cfRule type="cellIs" dxfId="4719" priority="622" operator="equal">
      <formula>0</formula>
    </cfRule>
    <cfRule type="cellIs" dxfId="4718" priority="623" operator="greaterThan">
      <formula>0</formula>
    </cfRule>
    <cfRule type="cellIs" dxfId="4717" priority="624" operator="equal">
      <formula>"PMS"</formula>
    </cfRule>
    <cfRule type="containsText" dxfId="4716" priority="625" operator="containsText" text="CMS">
      <formula>NOT(ISERROR(SEARCH("CMS",G49)))</formula>
    </cfRule>
    <cfRule type="cellIs" dxfId="4715" priority="626" operator="equal">
      <formula>0</formula>
    </cfRule>
    <cfRule type="cellIs" dxfId="4714" priority="627" operator="greaterThan">
      <formula>0</formula>
    </cfRule>
  </conditionalFormatting>
  <conditionalFormatting sqref="G49">
    <cfRule type="cellIs" dxfId="4713" priority="616" operator="equal">
      <formula>"PMS"</formula>
    </cfRule>
    <cfRule type="containsText" dxfId="4712" priority="617" operator="containsText" text="CMS">
      <formula>NOT(ISERROR(SEARCH("CMS",G49)))</formula>
    </cfRule>
    <cfRule type="cellIs" dxfId="4711" priority="618" operator="equal">
      <formula>0</formula>
    </cfRule>
    <cfRule type="cellIs" dxfId="4710" priority="619" operator="greaterThan">
      <formula>0</formula>
    </cfRule>
  </conditionalFormatting>
  <conditionalFormatting sqref="M49:N49">
    <cfRule type="cellIs" dxfId="4709" priority="608" operator="equal">
      <formula>"PMS"</formula>
    </cfRule>
    <cfRule type="containsText" dxfId="4708" priority="609" operator="containsText" text="CMS">
      <formula>NOT(ISERROR(SEARCH("CMS",M49)))</formula>
    </cfRule>
    <cfRule type="cellIs" dxfId="4707" priority="610" operator="equal">
      <formula>0</formula>
    </cfRule>
    <cfRule type="cellIs" dxfId="4706" priority="611" operator="greaterThan">
      <formula>0</formula>
    </cfRule>
    <cfRule type="cellIs" dxfId="4705" priority="612" operator="equal">
      <formula>"PMS"</formula>
    </cfRule>
    <cfRule type="containsText" dxfId="4704" priority="613" operator="containsText" text="CMS">
      <formula>NOT(ISERROR(SEARCH("CMS",M49)))</formula>
    </cfRule>
    <cfRule type="cellIs" dxfId="4703" priority="614" operator="equal">
      <formula>0</formula>
    </cfRule>
    <cfRule type="cellIs" dxfId="4702" priority="615" operator="greaterThan">
      <formula>0</formula>
    </cfRule>
  </conditionalFormatting>
  <conditionalFormatting sqref="M49:N49">
    <cfRule type="cellIs" dxfId="4701" priority="604" operator="equal">
      <formula>"PMS"</formula>
    </cfRule>
    <cfRule type="containsText" dxfId="4700" priority="605" operator="containsText" text="CMS">
      <formula>NOT(ISERROR(SEARCH("CMS",M49)))</formula>
    </cfRule>
    <cfRule type="cellIs" dxfId="4699" priority="606" operator="equal">
      <formula>0</formula>
    </cfRule>
    <cfRule type="cellIs" dxfId="4698" priority="607" operator="greaterThan">
      <formula>0</formula>
    </cfRule>
  </conditionalFormatting>
  <conditionalFormatting sqref="K49">
    <cfRule type="cellIs" dxfId="4697" priority="596" operator="equal">
      <formula>"PMS"</formula>
    </cfRule>
    <cfRule type="containsText" dxfId="4696" priority="597" operator="containsText" text="CMS">
      <formula>NOT(ISERROR(SEARCH("CMS",K49)))</formula>
    </cfRule>
    <cfRule type="cellIs" dxfId="4695" priority="598" operator="equal">
      <formula>0</formula>
    </cfRule>
    <cfRule type="cellIs" dxfId="4694" priority="599" operator="greaterThan">
      <formula>0</formula>
    </cfRule>
    <cfRule type="cellIs" dxfId="4693" priority="600" operator="equal">
      <formula>"PMS"</formula>
    </cfRule>
    <cfRule type="containsText" dxfId="4692" priority="601" operator="containsText" text="CMS">
      <formula>NOT(ISERROR(SEARCH("CMS",K49)))</formula>
    </cfRule>
    <cfRule type="cellIs" dxfId="4691" priority="602" operator="equal">
      <formula>0</formula>
    </cfRule>
    <cfRule type="cellIs" dxfId="4690" priority="603" operator="greaterThan">
      <formula>0</formula>
    </cfRule>
  </conditionalFormatting>
  <conditionalFormatting sqref="K49">
    <cfRule type="cellIs" dxfId="4689" priority="592" operator="equal">
      <formula>"PMS"</formula>
    </cfRule>
    <cfRule type="containsText" dxfId="4688" priority="593" operator="containsText" text="CMS">
      <formula>NOT(ISERROR(SEARCH("CMS",K49)))</formula>
    </cfRule>
    <cfRule type="cellIs" dxfId="4687" priority="594" operator="equal">
      <formula>0</formula>
    </cfRule>
    <cfRule type="cellIs" dxfId="4686" priority="595" operator="greaterThan">
      <formula>0</formula>
    </cfRule>
  </conditionalFormatting>
  <conditionalFormatting sqref="L27:L29 H24:J24 H19:J20 L20:L21 Q28 P30 H27:J30 I21:K21 K19:M19 N30 AC79 M21:O21 Q21:AC21 N19:AC20 H33:L33 S78 N28:P29 W78:AC78 L24:AC24 S27 Q29:U30 N33:AC33 O78:Q78 O79:Y79 V28:AC30">
    <cfRule type="cellIs" dxfId="4685" priority="584" operator="equal">
      <formula>"PMS"</formula>
    </cfRule>
    <cfRule type="containsText" dxfId="4684" priority="585" operator="containsText" text="CMS">
      <formula>NOT(ISERROR(SEARCH("CMS",H19)))</formula>
    </cfRule>
    <cfRule type="cellIs" dxfId="4683" priority="586" operator="equal">
      <formula>0</formula>
    </cfRule>
    <cfRule type="cellIs" dxfId="4682" priority="587" operator="greaterThan">
      <formula>0</formula>
    </cfRule>
    <cfRule type="cellIs" dxfId="4681" priority="588" operator="equal">
      <formula>"PMS"</formula>
    </cfRule>
    <cfRule type="containsText" dxfId="4680" priority="589" operator="containsText" text="CMS">
      <formula>NOT(ISERROR(SEARCH("CMS",H19)))</formula>
    </cfRule>
    <cfRule type="cellIs" dxfId="4679" priority="590" operator="equal">
      <formula>0</formula>
    </cfRule>
    <cfRule type="cellIs" dxfId="4678" priority="591" operator="greaterThan">
      <formula>0</formula>
    </cfRule>
  </conditionalFormatting>
  <conditionalFormatting sqref="L27:L29 H24:J24 H19:J20 L20:L21 Q28 P30 H27:J30 I21:K21 K19:M19 N30 AC79 M21:O21 Q21:AC21 N19:AC20 H33:L33 S78 N28:P29 W78:AC78 L24:AC24 S27 Q29:U30 N33:AC33 O78:Q78 O79:Y79 V28:AC30">
    <cfRule type="cellIs" dxfId="4677" priority="580" operator="equal">
      <formula>"PMS"</formula>
    </cfRule>
    <cfRule type="containsText" dxfId="4676" priority="581" operator="containsText" text="CMS">
      <formula>NOT(ISERROR(SEARCH("CMS",H19)))</formula>
    </cfRule>
    <cfRule type="cellIs" dxfId="4675" priority="582" operator="equal">
      <formula>0</formula>
    </cfRule>
    <cfRule type="cellIs" dxfId="4674" priority="583" operator="greaterThan">
      <formula>0</formula>
    </cfRule>
  </conditionalFormatting>
  <conditionalFormatting sqref="G33 G24 G39:G48 G50:G56 G19:G21 H21 G27:G30">
    <cfRule type="cellIs" dxfId="4673" priority="572" operator="equal">
      <formula>"PMS"</formula>
    </cfRule>
    <cfRule type="containsText" dxfId="4672" priority="573" operator="containsText" text="CMS">
      <formula>NOT(ISERROR(SEARCH("CMS",G19)))</formula>
    </cfRule>
    <cfRule type="cellIs" dxfId="4671" priority="574" operator="equal">
      <formula>0</formula>
    </cfRule>
    <cfRule type="cellIs" dxfId="4670" priority="575" operator="greaterThan">
      <formula>0</formula>
    </cfRule>
    <cfRule type="cellIs" dxfId="4669" priority="576" operator="equal">
      <formula>"PMS"</formula>
    </cfRule>
    <cfRule type="containsText" dxfId="4668" priority="577" operator="containsText" text="CMS">
      <formula>NOT(ISERROR(SEARCH("CMS",G19)))</formula>
    </cfRule>
    <cfRule type="cellIs" dxfId="4667" priority="578" operator="equal">
      <formula>0</formula>
    </cfRule>
    <cfRule type="cellIs" dxfId="4666" priority="579" operator="greaterThan">
      <formula>0</formula>
    </cfRule>
  </conditionalFormatting>
  <conditionalFormatting sqref="G33 G24 G39:G48 G50:G56 G19:G21 H21 G27:G30">
    <cfRule type="cellIs" dxfId="4665" priority="568" operator="equal">
      <formula>"PMS"</formula>
    </cfRule>
    <cfRule type="containsText" dxfId="4664" priority="569" operator="containsText" text="CMS">
      <formula>NOT(ISERROR(SEARCH("CMS",G19)))</formula>
    </cfRule>
    <cfRule type="cellIs" dxfId="4663" priority="570" operator="equal">
      <formula>0</formula>
    </cfRule>
    <cfRule type="cellIs" dxfId="4662" priority="571" operator="greaterThan">
      <formula>0</formula>
    </cfRule>
  </conditionalFormatting>
  <conditionalFormatting sqref="M39:M46 M33 M27:M29 M20 AB27:AC27 N47:N48 T27:X27 N50:N56 N27:Q27 M62:M64">
    <cfRule type="cellIs" dxfId="4661" priority="560" operator="equal">
      <formula>"PMS"</formula>
    </cfRule>
    <cfRule type="containsText" dxfId="4660" priority="561" operator="containsText" text="CMS">
      <formula>NOT(ISERROR(SEARCH("CMS",M20)))</formula>
    </cfRule>
    <cfRule type="cellIs" dxfId="4659" priority="562" operator="equal">
      <formula>0</formula>
    </cfRule>
    <cfRule type="cellIs" dxfId="4658" priority="563" operator="greaterThan">
      <formula>0</formula>
    </cfRule>
    <cfRule type="cellIs" dxfId="4657" priority="564" operator="equal">
      <formula>"PMS"</formula>
    </cfRule>
    <cfRule type="containsText" dxfId="4656" priority="565" operator="containsText" text="CMS">
      <formula>NOT(ISERROR(SEARCH("CMS",M20)))</formula>
    </cfRule>
    <cfRule type="cellIs" dxfId="4655" priority="566" operator="equal">
      <formula>0</formula>
    </cfRule>
    <cfRule type="cellIs" dxfId="4654" priority="567" operator="greaterThan">
      <formula>0</formula>
    </cfRule>
  </conditionalFormatting>
  <conditionalFormatting sqref="M39:M46 M33 M27:M29 M20 AB27:AC27 N47:N48 T27:X27 N50:N56 N27:Q27 M62:M64">
    <cfRule type="cellIs" dxfId="4653" priority="556" operator="equal">
      <formula>"PMS"</formula>
    </cfRule>
    <cfRule type="containsText" dxfId="4652" priority="557" operator="containsText" text="CMS">
      <formula>NOT(ISERROR(SEARCH("CMS",M20)))</formula>
    </cfRule>
    <cfRule type="cellIs" dxfId="4651" priority="558" operator="equal">
      <formula>0</formula>
    </cfRule>
    <cfRule type="cellIs" dxfId="4650" priority="559" operator="greaterThan">
      <formula>0</formula>
    </cfRule>
  </conditionalFormatting>
  <conditionalFormatting sqref="K50:K56 K39:K48 K27 K24 K20 K29:K30 L30">
    <cfRule type="cellIs" dxfId="4649" priority="548" operator="equal">
      <formula>"PMS"</formula>
    </cfRule>
    <cfRule type="containsText" dxfId="4648" priority="549" operator="containsText" text="CMS">
      <formula>NOT(ISERROR(SEARCH("CMS",K20)))</formula>
    </cfRule>
    <cfRule type="cellIs" dxfId="4647" priority="550" operator="equal">
      <formula>0</formula>
    </cfRule>
    <cfRule type="cellIs" dxfId="4646" priority="551" operator="greaterThan">
      <formula>0</formula>
    </cfRule>
    <cfRule type="cellIs" dxfId="4645" priority="552" operator="equal">
      <formula>"PMS"</formula>
    </cfRule>
    <cfRule type="containsText" dxfId="4644" priority="553" operator="containsText" text="CMS">
      <formula>NOT(ISERROR(SEARCH("CMS",K20)))</formula>
    </cfRule>
    <cfRule type="cellIs" dxfId="4643" priority="554" operator="equal">
      <formula>0</formula>
    </cfRule>
    <cfRule type="cellIs" dxfId="4642" priority="555" operator="greaterThan">
      <formula>0</formula>
    </cfRule>
  </conditionalFormatting>
  <conditionalFormatting sqref="K50:K56 K39:K48 K27 K24 K20 K29:K30 L30">
    <cfRule type="cellIs" dxfId="4641" priority="544" operator="equal">
      <formula>"PMS"</formula>
    </cfRule>
    <cfRule type="containsText" dxfId="4640" priority="545" operator="containsText" text="CMS">
      <formula>NOT(ISERROR(SEARCH("CMS",K20)))</formula>
    </cfRule>
    <cfRule type="cellIs" dxfId="4639" priority="546" operator="equal">
      <formula>0</formula>
    </cfRule>
    <cfRule type="cellIs" dxfId="4638" priority="547" operator="greaterThan">
      <formula>0</formula>
    </cfRule>
  </conditionalFormatting>
  <conditionalFormatting sqref="K28">
    <cfRule type="cellIs" dxfId="4637" priority="536" operator="equal">
      <formula>"PMS"</formula>
    </cfRule>
    <cfRule type="containsText" dxfId="4636" priority="537" operator="containsText" text="CMS">
      <formula>NOT(ISERROR(SEARCH("CMS",K28)))</formula>
    </cfRule>
    <cfRule type="cellIs" dxfId="4635" priority="538" operator="equal">
      <formula>0</formula>
    </cfRule>
    <cfRule type="cellIs" dxfId="4634" priority="539" operator="greaterThan">
      <formula>0</formula>
    </cfRule>
    <cfRule type="cellIs" dxfId="4633" priority="540" operator="equal">
      <formula>"PMS"</formula>
    </cfRule>
    <cfRule type="containsText" dxfId="4632" priority="541" operator="containsText" text="CMS">
      <formula>NOT(ISERROR(SEARCH("CMS",K28)))</formula>
    </cfRule>
    <cfRule type="cellIs" dxfId="4631" priority="542" operator="equal">
      <formula>0</formula>
    </cfRule>
    <cfRule type="cellIs" dxfId="4630" priority="543" operator="greaterThan">
      <formula>0</formula>
    </cfRule>
  </conditionalFormatting>
  <conditionalFormatting sqref="K28">
    <cfRule type="cellIs" dxfId="4629" priority="532" operator="equal">
      <formula>"PMS"</formula>
    </cfRule>
    <cfRule type="containsText" dxfId="4628" priority="533" operator="containsText" text="CMS">
      <formula>NOT(ISERROR(SEARCH("CMS",K28)))</formula>
    </cfRule>
    <cfRule type="cellIs" dxfId="4627" priority="534" operator="equal">
      <formula>0</formula>
    </cfRule>
    <cfRule type="cellIs" dxfId="4626" priority="535" operator="greaterThan">
      <formula>0</formula>
    </cfRule>
  </conditionalFormatting>
  <conditionalFormatting sqref="N64:O64 O62:O63">
    <cfRule type="cellIs" dxfId="4625" priority="524" operator="equal">
      <formula>"PMS"</formula>
    </cfRule>
    <cfRule type="containsText" dxfId="4624" priority="525" operator="containsText" text="CMS">
      <formula>NOT(ISERROR(SEARCH("CMS",N62)))</formula>
    </cfRule>
    <cfRule type="cellIs" dxfId="4623" priority="526" operator="equal">
      <formula>0</formula>
    </cfRule>
    <cfRule type="cellIs" dxfId="4622" priority="527" operator="greaterThan">
      <formula>0</formula>
    </cfRule>
    <cfRule type="cellIs" dxfId="4621" priority="528" operator="equal">
      <formula>"PMS"</formula>
    </cfRule>
    <cfRule type="containsText" dxfId="4620" priority="529" operator="containsText" text="CMS">
      <formula>NOT(ISERROR(SEARCH("CMS",N62)))</formula>
    </cfRule>
    <cfRule type="cellIs" dxfId="4619" priority="530" operator="equal">
      <formula>0</formula>
    </cfRule>
    <cfRule type="cellIs" dxfId="4618" priority="531" operator="greaterThan">
      <formula>0</formula>
    </cfRule>
  </conditionalFormatting>
  <conditionalFormatting sqref="N64:O64 O62:O63">
    <cfRule type="cellIs" dxfId="4617" priority="520" operator="equal">
      <formula>"PMS"</formula>
    </cfRule>
    <cfRule type="containsText" dxfId="4616" priority="521" operator="containsText" text="CMS">
      <formula>NOT(ISERROR(SEARCH("CMS",N62)))</formula>
    </cfRule>
    <cfRule type="cellIs" dxfId="4615" priority="522" operator="equal">
      <formula>0</formula>
    </cfRule>
    <cfRule type="cellIs" dxfId="4614" priority="523" operator="greaterThan">
      <formula>0</formula>
    </cfRule>
  </conditionalFormatting>
  <conditionalFormatting sqref="Y27:AA27">
    <cfRule type="cellIs" dxfId="4613" priority="512" operator="equal">
      <formula>"PMS"</formula>
    </cfRule>
    <cfRule type="containsText" dxfId="4612" priority="513" operator="containsText" text="CMS">
      <formula>NOT(ISERROR(SEARCH("CMS",Y27)))</formula>
    </cfRule>
    <cfRule type="cellIs" dxfId="4611" priority="514" operator="equal">
      <formula>0</formula>
    </cfRule>
    <cfRule type="cellIs" dxfId="4610" priority="515" operator="greaterThan">
      <formula>0</formula>
    </cfRule>
    <cfRule type="cellIs" dxfId="4609" priority="516" operator="equal">
      <formula>"PMS"</formula>
    </cfRule>
    <cfRule type="containsText" dxfId="4608" priority="517" operator="containsText" text="CMS">
      <formula>NOT(ISERROR(SEARCH("CMS",Y27)))</formula>
    </cfRule>
    <cfRule type="cellIs" dxfId="4607" priority="518" operator="equal">
      <formula>0</formula>
    </cfRule>
    <cfRule type="cellIs" dxfId="4606" priority="519" operator="greaterThan">
      <formula>0</formula>
    </cfRule>
  </conditionalFormatting>
  <conditionalFormatting sqref="Y27:AA27">
    <cfRule type="cellIs" dxfId="4605" priority="508" operator="equal">
      <formula>"PMS"</formula>
    </cfRule>
    <cfRule type="containsText" dxfId="4604" priority="509" operator="containsText" text="CMS">
      <formula>NOT(ISERROR(SEARCH("CMS",Y27)))</formula>
    </cfRule>
    <cfRule type="cellIs" dxfId="4603" priority="510" operator="equal">
      <formula>0</formula>
    </cfRule>
    <cfRule type="cellIs" dxfId="4602" priority="511" operator="greaterThan">
      <formula>0</formula>
    </cfRule>
  </conditionalFormatting>
  <conditionalFormatting sqref="G62:G64">
    <cfRule type="cellIs" dxfId="4601" priority="500" operator="equal">
      <formula>"PMS"</formula>
    </cfRule>
    <cfRule type="containsText" dxfId="4600" priority="501" operator="containsText" text="CMS">
      <formula>NOT(ISERROR(SEARCH("CMS",G62)))</formula>
    </cfRule>
    <cfRule type="cellIs" dxfId="4599" priority="502" operator="equal">
      <formula>0</formula>
    </cfRule>
    <cfRule type="cellIs" dxfId="4598" priority="503" operator="greaterThan">
      <formula>0</formula>
    </cfRule>
    <cfRule type="cellIs" dxfId="4597" priority="504" operator="equal">
      <formula>"PMS"</formula>
    </cfRule>
    <cfRule type="containsText" dxfId="4596" priority="505" operator="containsText" text="CMS">
      <formula>NOT(ISERROR(SEARCH("CMS",G62)))</formula>
    </cfRule>
    <cfRule type="cellIs" dxfId="4595" priority="506" operator="equal">
      <formula>0</formula>
    </cfRule>
    <cfRule type="cellIs" dxfId="4594" priority="507" operator="greaterThan">
      <formula>0</formula>
    </cfRule>
  </conditionalFormatting>
  <conditionalFormatting sqref="G62:G64">
    <cfRule type="cellIs" dxfId="4593" priority="496" operator="equal">
      <formula>"PMS"</formula>
    </cfRule>
    <cfRule type="containsText" dxfId="4592" priority="497" operator="containsText" text="CMS">
      <formula>NOT(ISERROR(SEARCH("CMS",G62)))</formula>
    </cfRule>
    <cfRule type="cellIs" dxfId="4591" priority="498" operator="equal">
      <formula>0</formula>
    </cfRule>
    <cfRule type="cellIs" dxfId="4590" priority="499" operator="greaterThan">
      <formula>0</formula>
    </cfRule>
  </conditionalFormatting>
  <conditionalFormatting sqref="N40">
    <cfRule type="cellIs" dxfId="4589" priority="488" operator="equal">
      <formula>"PMS"</formula>
    </cfRule>
    <cfRule type="containsText" dxfId="4588" priority="489" operator="containsText" text="CMS">
      <formula>NOT(ISERROR(SEARCH("CMS",N40)))</formula>
    </cfRule>
    <cfRule type="cellIs" dxfId="4587" priority="490" operator="equal">
      <formula>0</formula>
    </cfRule>
    <cfRule type="cellIs" dxfId="4586" priority="491" operator="greaterThan">
      <formula>0</formula>
    </cfRule>
    <cfRule type="cellIs" dxfId="4585" priority="492" operator="equal">
      <formula>"PMS"</formula>
    </cfRule>
    <cfRule type="containsText" dxfId="4584" priority="493" operator="containsText" text="CMS">
      <formula>NOT(ISERROR(SEARCH("CMS",N40)))</formula>
    </cfRule>
    <cfRule type="cellIs" dxfId="4583" priority="494" operator="equal">
      <formula>0</formula>
    </cfRule>
    <cfRule type="cellIs" dxfId="4582" priority="495" operator="greaterThan">
      <formula>0</formula>
    </cfRule>
  </conditionalFormatting>
  <conditionalFormatting sqref="N40">
    <cfRule type="cellIs" dxfId="4581" priority="484" operator="equal">
      <formula>"PMS"</formula>
    </cfRule>
    <cfRule type="containsText" dxfId="4580" priority="485" operator="containsText" text="CMS">
      <formula>NOT(ISERROR(SEARCH("CMS",N40)))</formula>
    </cfRule>
    <cfRule type="cellIs" dxfId="4579" priority="486" operator="equal">
      <formula>0</formula>
    </cfRule>
    <cfRule type="cellIs" dxfId="4578" priority="487" operator="greaterThan">
      <formula>0</formula>
    </cfRule>
  </conditionalFormatting>
  <conditionalFormatting sqref="O30">
    <cfRule type="cellIs" dxfId="4577" priority="476" operator="equal">
      <formula>"PMS"</formula>
    </cfRule>
    <cfRule type="containsText" dxfId="4576" priority="477" operator="containsText" text="CMS">
      <formula>NOT(ISERROR(SEARCH("CMS",O30)))</formula>
    </cfRule>
    <cfRule type="cellIs" dxfId="4575" priority="478" operator="equal">
      <formula>0</formula>
    </cfRule>
    <cfRule type="cellIs" dxfId="4574" priority="479" operator="greaterThan">
      <formula>0</formula>
    </cfRule>
    <cfRule type="cellIs" dxfId="4573" priority="480" operator="equal">
      <formula>"PMS"</formula>
    </cfRule>
    <cfRule type="containsText" dxfId="4572" priority="481" operator="containsText" text="CMS">
      <formula>NOT(ISERROR(SEARCH("CMS",O30)))</formula>
    </cfRule>
    <cfRule type="cellIs" dxfId="4571" priority="482" operator="equal">
      <formula>0</formula>
    </cfRule>
    <cfRule type="cellIs" dxfId="4570" priority="483" operator="greaterThan">
      <formula>0</formula>
    </cfRule>
  </conditionalFormatting>
  <conditionalFormatting sqref="O30">
    <cfRule type="cellIs" dxfId="4569" priority="472" operator="equal">
      <formula>"PMS"</formula>
    </cfRule>
    <cfRule type="containsText" dxfId="4568" priority="473" operator="containsText" text="CMS">
      <formula>NOT(ISERROR(SEARCH("CMS",O30)))</formula>
    </cfRule>
    <cfRule type="cellIs" dxfId="4567" priority="474" operator="equal">
      <formula>0</formula>
    </cfRule>
    <cfRule type="cellIs" dxfId="4566" priority="475" operator="greaterThan">
      <formula>0</formula>
    </cfRule>
  </conditionalFormatting>
  <conditionalFormatting sqref="O47:O49 P47:P48">
    <cfRule type="cellIs" dxfId="4565" priority="464" operator="equal">
      <formula>"PMS"</formula>
    </cfRule>
    <cfRule type="containsText" dxfId="4564" priority="465" operator="containsText" text="CMS">
      <formula>NOT(ISERROR(SEARCH("CMS",O47)))</formula>
    </cfRule>
    <cfRule type="cellIs" dxfId="4563" priority="466" operator="equal">
      <formula>0</formula>
    </cfRule>
    <cfRule type="cellIs" dxfId="4562" priority="467" operator="greaterThan">
      <formula>0</formula>
    </cfRule>
    <cfRule type="cellIs" dxfId="4561" priority="468" operator="equal">
      <formula>"PMS"</formula>
    </cfRule>
    <cfRule type="containsText" dxfId="4560" priority="469" operator="containsText" text="CMS">
      <formula>NOT(ISERROR(SEARCH("CMS",O47)))</formula>
    </cfRule>
    <cfRule type="cellIs" dxfId="4559" priority="470" operator="equal">
      <formula>0</formula>
    </cfRule>
    <cfRule type="cellIs" dxfId="4558" priority="471" operator="greaterThan">
      <formula>0</formula>
    </cfRule>
  </conditionalFormatting>
  <conditionalFormatting sqref="O47:O49 P47:P48">
    <cfRule type="cellIs" dxfId="4557" priority="460" operator="equal">
      <formula>"PMS"</formula>
    </cfRule>
    <cfRule type="containsText" dxfId="4556" priority="461" operator="containsText" text="CMS">
      <formula>NOT(ISERROR(SEARCH("CMS",O47)))</formula>
    </cfRule>
    <cfRule type="cellIs" dxfId="4555" priority="462" operator="equal">
      <formula>0</formula>
    </cfRule>
    <cfRule type="cellIs" dxfId="4554" priority="463" operator="greaterThan">
      <formula>0</formula>
    </cfRule>
  </conditionalFormatting>
  <conditionalFormatting sqref="H15:H16">
    <cfRule type="cellIs" dxfId="4553" priority="452" operator="equal">
      <formula>"PMS"</formula>
    </cfRule>
    <cfRule type="containsText" dxfId="4552" priority="453" operator="containsText" text="CMS">
      <formula>NOT(ISERROR(SEARCH("CMS",H15)))</formula>
    </cfRule>
    <cfRule type="cellIs" dxfId="4551" priority="454" operator="equal">
      <formula>0</formula>
    </cfRule>
    <cfRule type="cellIs" dxfId="4550" priority="455" operator="greaterThan">
      <formula>0</formula>
    </cfRule>
    <cfRule type="cellIs" dxfId="4549" priority="456" operator="equal">
      <formula>"PMS"</formula>
    </cfRule>
    <cfRule type="containsText" dxfId="4548" priority="457" operator="containsText" text="CMS">
      <formula>NOT(ISERROR(SEARCH("CMS",H15)))</formula>
    </cfRule>
    <cfRule type="cellIs" dxfId="4547" priority="458" operator="equal">
      <formula>0</formula>
    </cfRule>
    <cfRule type="cellIs" dxfId="4546" priority="459" operator="greaterThan">
      <formula>0</formula>
    </cfRule>
  </conditionalFormatting>
  <conditionalFormatting sqref="H15:H16">
    <cfRule type="cellIs" dxfId="4545" priority="448" operator="equal">
      <formula>"PMS"</formula>
    </cfRule>
    <cfRule type="containsText" dxfId="4544" priority="449" operator="containsText" text="CMS">
      <formula>NOT(ISERROR(SEARCH("CMS",H15)))</formula>
    </cfRule>
    <cfRule type="cellIs" dxfId="4543" priority="450" operator="equal">
      <formula>0</formula>
    </cfRule>
    <cfRule type="cellIs" dxfId="4542" priority="451" operator="greaterThan">
      <formula>0</formula>
    </cfRule>
  </conditionalFormatting>
  <conditionalFormatting sqref="G14">
    <cfRule type="cellIs" dxfId="4541" priority="440" operator="equal">
      <formula>"PMS"</formula>
    </cfRule>
    <cfRule type="containsText" dxfId="4540" priority="441" operator="containsText" text="CMS">
      <formula>NOT(ISERROR(SEARCH("CMS",G14)))</formula>
    </cfRule>
    <cfRule type="cellIs" dxfId="4539" priority="442" operator="equal">
      <formula>0</formula>
    </cfRule>
    <cfRule type="cellIs" dxfId="4538" priority="443" operator="greaterThan">
      <formula>0</formula>
    </cfRule>
    <cfRule type="cellIs" dxfId="4537" priority="444" operator="equal">
      <formula>"PMS"</formula>
    </cfRule>
    <cfRule type="containsText" dxfId="4536" priority="445" operator="containsText" text="CMS">
      <formula>NOT(ISERROR(SEARCH("CMS",G14)))</formula>
    </cfRule>
    <cfRule type="cellIs" dxfId="4535" priority="446" operator="equal">
      <formula>0</formula>
    </cfRule>
    <cfRule type="cellIs" dxfId="4534" priority="447" operator="greaterThan">
      <formula>0</formula>
    </cfRule>
  </conditionalFormatting>
  <conditionalFormatting sqref="G14">
    <cfRule type="cellIs" dxfId="4533" priority="436" operator="equal">
      <formula>"PMS"</formula>
    </cfRule>
    <cfRule type="containsText" dxfId="4532" priority="437" operator="containsText" text="CMS">
      <formula>NOT(ISERROR(SEARCH("CMS",G14)))</formula>
    </cfRule>
    <cfRule type="cellIs" dxfId="4531" priority="438" operator="equal">
      <formula>0</formula>
    </cfRule>
    <cfRule type="cellIs" dxfId="4530" priority="439" operator="greaterThan">
      <formula>0</formula>
    </cfRule>
  </conditionalFormatting>
  <conditionalFormatting sqref="G78:K78">
    <cfRule type="cellIs" dxfId="4529" priority="428" operator="equal">
      <formula>"PMS"</formula>
    </cfRule>
    <cfRule type="containsText" dxfId="4528" priority="429" operator="containsText" text="CMS">
      <formula>NOT(ISERROR(SEARCH("CMS",G78)))</formula>
    </cfRule>
    <cfRule type="cellIs" dxfId="4527" priority="430" operator="equal">
      <formula>0</formula>
    </cfRule>
    <cfRule type="cellIs" dxfId="4526" priority="431" operator="greaterThan">
      <formula>0</formula>
    </cfRule>
    <cfRule type="cellIs" dxfId="4525" priority="432" operator="equal">
      <formula>"PMS"</formula>
    </cfRule>
    <cfRule type="containsText" dxfId="4524" priority="433" operator="containsText" text="CMS">
      <formula>NOT(ISERROR(SEARCH("CMS",G78)))</formula>
    </cfRule>
    <cfRule type="cellIs" dxfId="4523" priority="434" operator="equal">
      <formula>0</formula>
    </cfRule>
    <cfRule type="cellIs" dxfId="4522" priority="435" operator="greaterThan">
      <formula>0</formula>
    </cfRule>
  </conditionalFormatting>
  <conditionalFormatting sqref="G78:K78">
    <cfRule type="cellIs" dxfId="4521" priority="424" operator="equal">
      <formula>"PMS"</formula>
    </cfRule>
    <cfRule type="containsText" dxfId="4520" priority="425" operator="containsText" text="CMS">
      <formula>NOT(ISERROR(SEARCH("CMS",G78)))</formula>
    </cfRule>
    <cfRule type="cellIs" dxfId="4519" priority="426" operator="equal">
      <formula>0</formula>
    </cfRule>
    <cfRule type="cellIs" dxfId="4518" priority="427" operator="greaterThan">
      <formula>0</formula>
    </cfRule>
  </conditionalFormatting>
  <conditionalFormatting sqref="L78:L79">
    <cfRule type="cellIs" dxfId="4517" priority="416" operator="equal">
      <formula>"PMS"</formula>
    </cfRule>
    <cfRule type="containsText" dxfId="4516" priority="417" operator="containsText" text="CMS">
      <formula>NOT(ISERROR(SEARCH("CMS",L78)))</formula>
    </cfRule>
    <cfRule type="cellIs" dxfId="4515" priority="418" operator="equal">
      <formula>0</formula>
    </cfRule>
    <cfRule type="cellIs" dxfId="4514" priority="419" operator="greaterThan">
      <formula>0</formula>
    </cfRule>
    <cfRule type="cellIs" dxfId="4513" priority="420" operator="equal">
      <formula>"PMS"</formula>
    </cfRule>
    <cfRule type="containsText" dxfId="4512" priority="421" operator="containsText" text="CMS">
      <formula>NOT(ISERROR(SEARCH("CMS",L78)))</formula>
    </cfRule>
    <cfRule type="cellIs" dxfId="4511" priority="422" operator="equal">
      <formula>0</formula>
    </cfRule>
    <cfRule type="cellIs" dxfId="4510" priority="423" operator="greaterThan">
      <formula>0</formula>
    </cfRule>
  </conditionalFormatting>
  <conditionalFormatting sqref="L78:L79">
    <cfRule type="cellIs" dxfId="4509" priority="412" operator="equal">
      <formula>"PMS"</formula>
    </cfRule>
    <cfRule type="containsText" dxfId="4508" priority="413" operator="containsText" text="CMS">
      <formula>NOT(ISERROR(SEARCH("CMS",L78)))</formula>
    </cfRule>
    <cfRule type="cellIs" dxfId="4507" priority="414" operator="equal">
      <formula>0</formula>
    </cfRule>
    <cfRule type="cellIs" dxfId="4506" priority="415" operator="greaterThan">
      <formula>0</formula>
    </cfRule>
  </conditionalFormatting>
  <conditionalFormatting sqref="R27:R28 S28">
    <cfRule type="cellIs" dxfId="4505" priority="404" operator="equal">
      <formula>"PMS"</formula>
    </cfRule>
    <cfRule type="containsText" dxfId="4504" priority="405" operator="containsText" text="CMS">
      <formula>NOT(ISERROR(SEARCH("CMS",R27)))</formula>
    </cfRule>
    <cfRule type="cellIs" dxfId="4503" priority="406" operator="equal">
      <formula>0</formula>
    </cfRule>
    <cfRule type="cellIs" dxfId="4502" priority="407" operator="greaterThan">
      <formula>0</formula>
    </cfRule>
    <cfRule type="cellIs" dxfId="4501" priority="408" operator="equal">
      <formula>"PMS"</formula>
    </cfRule>
    <cfRule type="containsText" dxfId="4500" priority="409" operator="containsText" text="CMS">
      <formula>NOT(ISERROR(SEARCH("CMS",R27)))</formula>
    </cfRule>
    <cfRule type="cellIs" dxfId="4499" priority="410" operator="equal">
      <formula>0</formula>
    </cfRule>
    <cfRule type="cellIs" dxfId="4498" priority="411" operator="greaterThan">
      <formula>0</formula>
    </cfRule>
  </conditionalFormatting>
  <conditionalFormatting sqref="R27:R28 S28">
    <cfRule type="cellIs" dxfId="4497" priority="400" operator="equal">
      <formula>"PMS"</formula>
    </cfRule>
    <cfRule type="containsText" dxfId="4496" priority="401" operator="containsText" text="CMS">
      <formula>NOT(ISERROR(SEARCH("CMS",R27)))</formula>
    </cfRule>
    <cfRule type="cellIs" dxfId="4495" priority="402" operator="equal">
      <formula>0</formula>
    </cfRule>
    <cfRule type="cellIs" dxfId="4494" priority="403" operator="greaterThan">
      <formula>0</formula>
    </cfRule>
  </conditionalFormatting>
  <conditionalFormatting sqref="AA79:AB79">
    <cfRule type="cellIs" dxfId="4493" priority="392" operator="equal">
      <formula>"PMS"</formula>
    </cfRule>
    <cfRule type="containsText" dxfId="4492" priority="393" operator="containsText" text="CMS">
      <formula>NOT(ISERROR(SEARCH("CMS",AA79)))</formula>
    </cfRule>
    <cfRule type="cellIs" dxfId="4491" priority="394" operator="equal">
      <formula>0</formula>
    </cfRule>
    <cfRule type="cellIs" dxfId="4490" priority="395" operator="greaterThan">
      <formula>0</formula>
    </cfRule>
    <cfRule type="cellIs" dxfId="4489" priority="396" operator="equal">
      <formula>"PMS"</formula>
    </cfRule>
    <cfRule type="containsText" dxfId="4488" priority="397" operator="containsText" text="CMS">
      <formula>NOT(ISERROR(SEARCH("CMS",AA79)))</formula>
    </cfRule>
    <cfRule type="cellIs" dxfId="4487" priority="398" operator="equal">
      <formula>0</formula>
    </cfRule>
    <cfRule type="cellIs" dxfId="4486" priority="399" operator="greaterThan">
      <formula>0</formula>
    </cfRule>
  </conditionalFormatting>
  <conditionalFormatting sqref="AA79:AB79">
    <cfRule type="cellIs" dxfId="4485" priority="388" operator="equal">
      <formula>"PMS"</formula>
    </cfRule>
    <cfRule type="containsText" dxfId="4484" priority="389" operator="containsText" text="CMS">
      <formula>NOT(ISERROR(SEARCH("CMS",AA79)))</formula>
    </cfRule>
    <cfRule type="cellIs" dxfId="4483" priority="390" operator="equal">
      <formula>0</formula>
    </cfRule>
    <cfRule type="cellIs" dxfId="4482" priority="391" operator="greaterThan">
      <formula>0</formula>
    </cfRule>
  </conditionalFormatting>
  <conditionalFormatting sqref="M30">
    <cfRule type="cellIs" dxfId="4481" priority="380" operator="equal">
      <formula>"PMS"</formula>
    </cfRule>
    <cfRule type="containsText" dxfId="4480" priority="381" operator="containsText" text="CMS">
      <formula>NOT(ISERROR(SEARCH("CMS",M30)))</formula>
    </cfRule>
    <cfRule type="cellIs" dxfId="4479" priority="382" operator="equal">
      <formula>0</formula>
    </cfRule>
    <cfRule type="cellIs" dxfId="4478" priority="383" operator="greaterThan">
      <formula>0</formula>
    </cfRule>
    <cfRule type="cellIs" dxfId="4477" priority="384" operator="equal">
      <formula>"PMS"</formula>
    </cfRule>
    <cfRule type="containsText" dxfId="4476" priority="385" operator="containsText" text="CMS">
      <formula>NOT(ISERROR(SEARCH("CMS",M30)))</formula>
    </cfRule>
    <cfRule type="cellIs" dxfId="4475" priority="386" operator="equal">
      <formula>0</formula>
    </cfRule>
    <cfRule type="cellIs" dxfId="4474" priority="387" operator="greaterThan">
      <formula>0</formula>
    </cfRule>
  </conditionalFormatting>
  <conditionalFormatting sqref="M30">
    <cfRule type="cellIs" dxfId="4473" priority="376" operator="equal">
      <formula>"PMS"</formula>
    </cfRule>
    <cfRule type="containsText" dxfId="4472" priority="377" operator="containsText" text="CMS">
      <formula>NOT(ISERROR(SEARCH("CMS",M30)))</formula>
    </cfRule>
    <cfRule type="cellIs" dxfId="4471" priority="378" operator="equal">
      <formula>0</formula>
    </cfRule>
    <cfRule type="cellIs" dxfId="4470" priority="379" operator="greaterThan">
      <formula>0</formula>
    </cfRule>
  </conditionalFormatting>
  <conditionalFormatting sqref="R78">
    <cfRule type="cellIs" dxfId="4469" priority="368" operator="equal">
      <formula>"PMS"</formula>
    </cfRule>
    <cfRule type="containsText" dxfId="4468" priority="369" operator="containsText" text="CMS">
      <formula>NOT(ISERROR(SEARCH("CMS",R78)))</formula>
    </cfRule>
    <cfRule type="cellIs" dxfId="4467" priority="370" operator="equal">
      <formula>0</formula>
    </cfRule>
    <cfRule type="cellIs" dxfId="4466" priority="371" operator="greaterThan">
      <formula>0</formula>
    </cfRule>
    <cfRule type="cellIs" dxfId="4465" priority="372" operator="equal">
      <formula>"PMS"</formula>
    </cfRule>
    <cfRule type="containsText" dxfId="4464" priority="373" operator="containsText" text="CMS">
      <formula>NOT(ISERROR(SEARCH("CMS",R78)))</formula>
    </cfRule>
    <cfRule type="cellIs" dxfId="4463" priority="374" operator="equal">
      <formula>0</formula>
    </cfRule>
    <cfRule type="cellIs" dxfId="4462" priority="375" operator="greaterThan">
      <formula>0</formula>
    </cfRule>
  </conditionalFormatting>
  <conditionalFormatting sqref="R78">
    <cfRule type="cellIs" dxfId="4461" priority="364" operator="equal">
      <formula>"PMS"</formula>
    </cfRule>
    <cfRule type="containsText" dxfId="4460" priority="365" operator="containsText" text="CMS">
      <formula>NOT(ISERROR(SEARCH("CMS",R78)))</formula>
    </cfRule>
    <cfRule type="cellIs" dxfId="4459" priority="366" operator="equal">
      <formula>0</formula>
    </cfRule>
    <cfRule type="cellIs" dxfId="4458" priority="367" operator="greaterThan">
      <formula>0</formula>
    </cfRule>
  </conditionalFormatting>
  <conditionalFormatting sqref="M16">
    <cfRule type="cellIs" dxfId="4457" priority="356" operator="equal">
      <formula>"PMS"</formula>
    </cfRule>
    <cfRule type="containsText" dxfId="4456" priority="357" operator="containsText" text="CMS">
      <formula>NOT(ISERROR(SEARCH("CMS",M16)))</formula>
    </cfRule>
    <cfRule type="cellIs" dxfId="4455" priority="358" operator="equal">
      <formula>0</formula>
    </cfRule>
    <cfRule type="cellIs" dxfId="4454" priority="359" operator="greaterThan">
      <formula>0</formula>
    </cfRule>
    <cfRule type="cellIs" dxfId="4453" priority="360" operator="equal">
      <formula>"PMS"</formula>
    </cfRule>
    <cfRule type="containsText" dxfId="4452" priority="361" operator="containsText" text="CMS">
      <formula>NOT(ISERROR(SEARCH("CMS",M16)))</formula>
    </cfRule>
    <cfRule type="cellIs" dxfId="4451" priority="362" operator="equal">
      <formula>0</formula>
    </cfRule>
    <cfRule type="cellIs" dxfId="4450" priority="363" operator="greaterThan">
      <formula>0</formula>
    </cfRule>
  </conditionalFormatting>
  <conditionalFormatting sqref="M16">
    <cfRule type="cellIs" dxfId="4449" priority="352" operator="equal">
      <formula>"PMS"</formula>
    </cfRule>
    <cfRule type="containsText" dxfId="4448" priority="353" operator="containsText" text="CMS">
      <formula>NOT(ISERROR(SEARCH("CMS",M16)))</formula>
    </cfRule>
    <cfRule type="cellIs" dxfId="4447" priority="354" operator="equal">
      <formula>0</formula>
    </cfRule>
    <cfRule type="cellIs" dxfId="4446" priority="355" operator="greaterThan">
      <formula>0</formula>
    </cfRule>
  </conditionalFormatting>
  <conditionalFormatting sqref="O40">
    <cfRule type="cellIs" dxfId="4445" priority="344" operator="equal">
      <formula>"PMS"</formula>
    </cfRule>
    <cfRule type="containsText" dxfId="4444" priority="345" operator="containsText" text="CMS">
      <formula>NOT(ISERROR(SEARCH("CMS",O40)))</formula>
    </cfRule>
    <cfRule type="cellIs" dxfId="4443" priority="346" operator="equal">
      <formula>0</formula>
    </cfRule>
    <cfRule type="cellIs" dxfId="4442" priority="347" operator="greaterThan">
      <formula>0</formula>
    </cfRule>
    <cfRule type="cellIs" dxfId="4441" priority="348" operator="equal">
      <formula>"PMS"</formula>
    </cfRule>
    <cfRule type="containsText" dxfId="4440" priority="349" operator="containsText" text="CMS">
      <formula>NOT(ISERROR(SEARCH("CMS",O40)))</formula>
    </cfRule>
    <cfRule type="cellIs" dxfId="4439" priority="350" operator="equal">
      <formula>0</formula>
    </cfRule>
    <cfRule type="cellIs" dxfId="4438" priority="351" operator="greaterThan">
      <formula>0</formula>
    </cfRule>
  </conditionalFormatting>
  <conditionalFormatting sqref="O40">
    <cfRule type="cellIs" dxfId="4437" priority="340" operator="equal">
      <formula>"PMS"</formula>
    </cfRule>
    <cfRule type="containsText" dxfId="4436" priority="341" operator="containsText" text="CMS">
      <formula>NOT(ISERROR(SEARCH("CMS",O40)))</formula>
    </cfRule>
    <cfRule type="cellIs" dxfId="4435" priority="342" operator="equal">
      <formula>0</formula>
    </cfRule>
    <cfRule type="cellIs" dxfId="4434" priority="343" operator="greaterThan">
      <formula>0</formula>
    </cfRule>
  </conditionalFormatting>
  <conditionalFormatting sqref="P21">
    <cfRule type="cellIs" dxfId="4433" priority="332" operator="equal">
      <formula>"PMS"</formula>
    </cfRule>
    <cfRule type="containsText" dxfId="4432" priority="333" operator="containsText" text="CMS">
      <formula>NOT(ISERROR(SEARCH("CMS",P21)))</formula>
    </cfRule>
    <cfRule type="cellIs" dxfId="4431" priority="334" operator="equal">
      <formula>0</formula>
    </cfRule>
    <cfRule type="cellIs" dxfId="4430" priority="335" operator="greaterThan">
      <formula>0</formula>
    </cfRule>
    <cfRule type="cellIs" dxfId="4429" priority="336" operator="equal">
      <formula>"PMS"</formula>
    </cfRule>
    <cfRule type="containsText" dxfId="4428" priority="337" operator="containsText" text="CMS">
      <formula>NOT(ISERROR(SEARCH("CMS",P21)))</formula>
    </cfRule>
    <cfRule type="cellIs" dxfId="4427" priority="338" operator="equal">
      <formula>0</formula>
    </cfRule>
    <cfRule type="cellIs" dxfId="4426" priority="339" operator="greaterThan">
      <formula>0</formula>
    </cfRule>
  </conditionalFormatting>
  <conditionalFormatting sqref="P21">
    <cfRule type="cellIs" dxfId="4425" priority="328" operator="equal">
      <formula>"PMS"</formula>
    </cfRule>
    <cfRule type="containsText" dxfId="4424" priority="329" operator="containsText" text="CMS">
      <formula>NOT(ISERROR(SEARCH("CMS",P21)))</formula>
    </cfRule>
    <cfRule type="cellIs" dxfId="4423" priority="330" operator="equal">
      <formula>0</formula>
    </cfRule>
    <cfRule type="cellIs" dxfId="4422" priority="331" operator="greaterThan">
      <formula>0</formula>
    </cfRule>
  </conditionalFormatting>
  <conditionalFormatting sqref="M78:M79">
    <cfRule type="cellIs" dxfId="4421" priority="320" operator="equal">
      <formula>"PMS"</formula>
    </cfRule>
    <cfRule type="containsText" dxfId="4420" priority="321" operator="containsText" text="CMS">
      <formula>NOT(ISERROR(SEARCH("CMS",M78)))</formula>
    </cfRule>
    <cfRule type="cellIs" dxfId="4419" priority="322" operator="equal">
      <formula>0</formula>
    </cfRule>
    <cfRule type="cellIs" dxfId="4418" priority="323" operator="greaterThan">
      <formula>0</formula>
    </cfRule>
    <cfRule type="cellIs" dxfId="4417" priority="324" operator="equal">
      <formula>"PMS"</formula>
    </cfRule>
    <cfRule type="containsText" dxfId="4416" priority="325" operator="containsText" text="CMS">
      <formula>NOT(ISERROR(SEARCH("CMS",M78)))</formula>
    </cfRule>
    <cfRule type="cellIs" dxfId="4415" priority="326" operator="equal">
      <formula>0</formula>
    </cfRule>
    <cfRule type="cellIs" dxfId="4414" priority="327" operator="greaterThan">
      <formula>0</formula>
    </cfRule>
  </conditionalFormatting>
  <conditionalFormatting sqref="M78:M79">
    <cfRule type="cellIs" dxfId="4413" priority="316" operator="equal">
      <formula>"PMS"</formula>
    </cfRule>
    <cfRule type="containsText" dxfId="4412" priority="317" operator="containsText" text="CMS">
      <formula>NOT(ISERROR(SEARCH("CMS",M78)))</formula>
    </cfRule>
    <cfRule type="cellIs" dxfId="4411" priority="318" operator="equal">
      <formula>0</formula>
    </cfRule>
    <cfRule type="cellIs" dxfId="4410" priority="319" operator="greaterThan">
      <formula>0</formula>
    </cfRule>
  </conditionalFormatting>
  <conditionalFormatting sqref="G79:K79">
    <cfRule type="cellIs" dxfId="4409" priority="308" operator="equal">
      <formula>"PMS"</formula>
    </cfRule>
    <cfRule type="containsText" dxfId="4408" priority="309" operator="containsText" text="CMS">
      <formula>NOT(ISERROR(SEARCH("CMS",G79)))</formula>
    </cfRule>
    <cfRule type="cellIs" dxfId="4407" priority="310" operator="equal">
      <formula>0</formula>
    </cfRule>
    <cfRule type="cellIs" dxfId="4406" priority="311" operator="greaterThan">
      <formula>0</formula>
    </cfRule>
    <cfRule type="cellIs" dxfId="4405" priority="312" operator="equal">
      <formula>"PMS"</formula>
    </cfRule>
    <cfRule type="containsText" dxfId="4404" priority="313" operator="containsText" text="CMS">
      <formula>NOT(ISERROR(SEARCH("CMS",G79)))</formula>
    </cfRule>
    <cfRule type="cellIs" dxfId="4403" priority="314" operator="equal">
      <formula>0</formula>
    </cfRule>
    <cfRule type="cellIs" dxfId="4402" priority="315" operator="greaterThan">
      <formula>0</formula>
    </cfRule>
  </conditionalFormatting>
  <conditionalFormatting sqref="G79:K79">
    <cfRule type="cellIs" dxfId="4401" priority="304" operator="equal">
      <formula>"PMS"</formula>
    </cfRule>
    <cfRule type="containsText" dxfId="4400" priority="305" operator="containsText" text="CMS">
      <formula>NOT(ISERROR(SEARCH("CMS",G79)))</formula>
    </cfRule>
    <cfRule type="cellIs" dxfId="4399" priority="306" operator="equal">
      <formula>0</formula>
    </cfRule>
    <cfRule type="cellIs" dxfId="4398" priority="307" operator="greaterThan">
      <formula>0</formula>
    </cfRule>
  </conditionalFormatting>
  <conditionalFormatting sqref="N14">
    <cfRule type="cellIs" dxfId="4397" priority="296" operator="equal">
      <formula>"PMS"</formula>
    </cfRule>
    <cfRule type="containsText" dxfId="4396" priority="297" operator="containsText" text="CMS">
      <formula>NOT(ISERROR(SEARCH("CMS",N14)))</formula>
    </cfRule>
    <cfRule type="cellIs" dxfId="4395" priority="298" operator="equal">
      <formula>0</formula>
    </cfRule>
    <cfRule type="cellIs" dxfId="4394" priority="299" operator="greaterThan">
      <formula>0</formula>
    </cfRule>
    <cfRule type="cellIs" dxfId="4393" priority="300" operator="equal">
      <formula>"PMS"</formula>
    </cfRule>
    <cfRule type="containsText" dxfId="4392" priority="301" operator="containsText" text="CMS">
      <formula>NOT(ISERROR(SEARCH("CMS",N14)))</formula>
    </cfRule>
    <cfRule type="cellIs" dxfId="4391" priority="302" operator="equal">
      <formula>0</formula>
    </cfRule>
    <cfRule type="cellIs" dxfId="4390" priority="303" operator="greaterThan">
      <formula>0</formula>
    </cfRule>
  </conditionalFormatting>
  <conditionalFormatting sqref="N14">
    <cfRule type="cellIs" dxfId="4389" priority="292" operator="equal">
      <formula>"PMS"</formula>
    </cfRule>
    <cfRule type="containsText" dxfId="4388" priority="293" operator="containsText" text="CMS">
      <formula>NOT(ISERROR(SEARCH("CMS",N14)))</formula>
    </cfRule>
    <cfRule type="cellIs" dxfId="4387" priority="294" operator="equal">
      <formula>0</formula>
    </cfRule>
    <cfRule type="cellIs" dxfId="4386" priority="295" operator="greaterThan">
      <formula>0</formula>
    </cfRule>
  </conditionalFormatting>
  <conditionalFormatting sqref="O51">
    <cfRule type="cellIs" dxfId="4385" priority="284" operator="equal">
      <formula>"PMS"</formula>
    </cfRule>
    <cfRule type="containsText" dxfId="4384" priority="285" operator="containsText" text="CMS">
      <formula>NOT(ISERROR(SEARCH("CMS",O51)))</formula>
    </cfRule>
    <cfRule type="cellIs" dxfId="4383" priority="286" operator="equal">
      <formula>0</formula>
    </cfRule>
    <cfRule type="cellIs" dxfId="4382" priority="287" operator="greaterThan">
      <formula>0</formula>
    </cfRule>
    <cfRule type="cellIs" dxfId="4381" priority="288" operator="equal">
      <formula>"PMS"</formula>
    </cfRule>
    <cfRule type="containsText" dxfId="4380" priority="289" operator="containsText" text="CMS">
      <formula>NOT(ISERROR(SEARCH("CMS",O51)))</formula>
    </cfRule>
    <cfRule type="cellIs" dxfId="4379" priority="290" operator="equal">
      <formula>0</formula>
    </cfRule>
    <cfRule type="cellIs" dxfId="4378" priority="291" operator="greaterThan">
      <formula>0</formula>
    </cfRule>
  </conditionalFormatting>
  <conditionalFormatting sqref="O51">
    <cfRule type="cellIs" dxfId="4377" priority="280" operator="equal">
      <formula>"PMS"</formula>
    </cfRule>
    <cfRule type="containsText" dxfId="4376" priority="281" operator="containsText" text="CMS">
      <formula>NOT(ISERROR(SEARCH("CMS",O51)))</formula>
    </cfRule>
    <cfRule type="cellIs" dxfId="4375" priority="282" operator="equal">
      <formula>0</formula>
    </cfRule>
    <cfRule type="cellIs" dxfId="4374" priority="283" operator="greaterThan">
      <formula>0</formula>
    </cfRule>
  </conditionalFormatting>
  <conditionalFormatting sqref="O56">
    <cfRule type="cellIs" dxfId="4373" priority="272" operator="equal">
      <formula>"PMS"</formula>
    </cfRule>
    <cfRule type="containsText" dxfId="4372" priority="273" operator="containsText" text="CMS">
      <formula>NOT(ISERROR(SEARCH("CMS",O56)))</formula>
    </cfRule>
    <cfRule type="cellIs" dxfId="4371" priority="274" operator="equal">
      <formula>0</formula>
    </cfRule>
    <cfRule type="cellIs" dxfId="4370" priority="275" operator="greaterThan">
      <formula>0</formula>
    </cfRule>
    <cfRule type="cellIs" dxfId="4369" priority="276" operator="equal">
      <formula>"PMS"</formula>
    </cfRule>
    <cfRule type="containsText" dxfId="4368" priority="277" operator="containsText" text="CMS">
      <formula>NOT(ISERROR(SEARCH("CMS",O56)))</formula>
    </cfRule>
    <cfRule type="cellIs" dxfId="4367" priority="278" operator="equal">
      <formula>0</formula>
    </cfRule>
    <cfRule type="cellIs" dxfId="4366" priority="279" operator="greaterThan">
      <formula>0</formula>
    </cfRule>
  </conditionalFormatting>
  <conditionalFormatting sqref="O56">
    <cfRule type="cellIs" dxfId="4365" priority="268" operator="equal">
      <formula>"PMS"</formula>
    </cfRule>
    <cfRule type="containsText" dxfId="4364" priority="269" operator="containsText" text="CMS">
      <formula>NOT(ISERROR(SEARCH("CMS",O56)))</formula>
    </cfRule>
    <cfRule type="cellIs" dxfId="4363" priority="270" operator="equal">
      <formula>0</formula>
    </cfRule>
    <cfRule type="cellIs" dxfId="4362" priority="271" operator="greaterThan">
      <formula>0</formula>
    </cfRule>
  </conditionalFormatting>
  <conditionalFormatting sqref="M14">
    <cfRule type="cellIs" dxfId="4361" priority="260" operator="equal">
      <formula>"PMS"</formula>
    </cfRule>
    <cfRule type="containsText" dxfId="4360" priority="261" operator="containsText" text="CMS">
      <formula>NOT(ISERROR(SEARCH("CMS",M14)))</formula>
    </cfRule>
    <cfRule type="cellIs" dxfId="4359" priority="262" operator="equal">
      <formula>0</formula>
    </cfRule>
    <cfRule type="cellIs" dxfId="4358" priority="263" operator="greaterThan">
      <formula>0</formula>
    </cfRule>
    <cfRule type="cellIs" dxfId="4357" priority="264" operator="equal">
      <formula>"PMS"</formula>
    </cfRule>
    <cfRule type="containsText" dxfId="4356" priority="265" operator="containsText" text="CMS">
      <formula>NOT(ISERROR(SEARCH("CMS",M14)))</formula>
    </cfRule>
    <cfRule type="cellIs" dxfId="4355" priority="266" operator="equal">
      <formula>0</formula>
    </cfRule>
    <cfRule type="cellIs" dxfId="4354" priority="267" operator="greaterThan">
      <formula>0</formula>
    </cfRule>
  </conditionalFormatting>
  <conditionalFormatting sqref="M14">
    <cfRule type="cellIs" dxfId="4353" priority="256" operator="equal">
      <formula>"PMS"</formula>
    </cfRule>
    <cfRule type="containsText" dxfId="4352" priority="257" operator="containsText" text="CMS">
      <formula>NOT(ISERROR(SEARCH("CMS",M14)))</formula>
    </cfRule>
    <cfRule type="cellIs" dxfId="4351" priority="258" operator="equal">
      <formula>0</formula>
    </cfRule>
    <cfRule type="cellIs" dxfId="4350" priority="259" operator="greaterThan">
      <formula>0</formula>
    </cfRule>
  </conditionalFormatting>
  <conditionalFormatting sqref="N78:N79">
    <cfRule type="cellIs" dxfId="4349" priority="248" operator="equal">
      <formula>"PMS"</formula>
    </cfRule>
    <cfRule type="containsText" dxfId="4348" priority="249" operator="containsText" text="CMS">
      <formula>NOT(ISERROR(SEARCH("CMS",N78)))</formula>
    </cfRule>
    <cfRule type="cellIs" dxfId="4347" priority="250" operator="equal">
      <formula>0</formula>
    </cfRule>
    <cfRule type="cellIs" dxfId="4346" priority="251" operator="greaterThan">
      <formula>0</formula>
    </cfRule>
    <cfRule type="cellIs" dxfId="4345" priority="252" operator="equal">
      <formula>"PMS"</formula>
    </cfRule>
    <cfRule type="containsText" dxfId="4344" priority="253" operator="containsText" text="CMS">
      <formula>NOT(ISERROR(SEARCH("CMS",N78)))</formula>
    </cfRule>
    <cfRule type="cellIs" dxfId="4343" priority="254" operator="equal">
      <formula>0</formula>
    </cfRule>
    <cfRule type="cellIs" dxfId="4342" priority="255" operator="greaterThan">
      <formula>0</formula>
    </cfRule>
  </conditionalFormatting>
  <conditionalFormatting sqref="N78:N79">
    <cfRule type="cellIs" dxfId="4341" priority="244" operator="equal">
      <formula>"PMS"</formula>
    </cfRule>
    <cfRule type="containsText" dxfId="4340" priority="245" operator="containsText" text="CMS">
      <formula>NOT(ISERROR(SEARCH("CMS",N78)))</formula>
    </cfRule>
    <cfRule type="cellIs" dxfId="4339" priority="246" operator="equal">
      <formula>0</formula>
    </cfRule>
    <cfRule type="cellIs" dxfId="4338" priority="247" operator="greaterThan">
      <formula>0</formula>
    </cfRule>
  </conditionalFormatting>
  <conditionalFormatting sqref="T28">
    <cfRule type="cellIs" dxfId="4337" priority="236" operator="equal">
      <formula>"PMS"</formula>
    </cfRule>
    <cfRule type="containsText" dxfId="4336" priority="237" operator="containsText" text="CMS">
      <formula>NOT(ISERROR(SEARCH("CMS",T28)))</formula>
    </cfRule>
    <cfRule type="cellIs" dxfId="4335" priority="238" operator="equal">
      <formula>0</formula>
    </cfRule>
    <cfRule type="cellIs" dxfId="4334" priority="239" operator="greaterThan">
      <formula>0</formula>
    </cfRule>
    <cfRule type="cellIs" dxfId="4333" priority="240" operator="equal">
      <formula>"PMS"</formula>
    </cfRule>
    <cfRule type="containsText" dxfId="4332" priority="241" operator="containsText" text="CMS">
      <formula>NOT(ISERROR(SEARCH("CMS",T28)))</formula>
    </cfRule>
    <cfRule type="cellIs" dxfId="4331" priority="242" operator="equal">
      <formula>0</formula>
    </cfRule>
    <cfRule type="cellIs" dxfId="4330" priority="243" operator="greaterThan">
      <formula>0</formula>
    </cfRule>
  </conditionalFormatting>
  <conditionalFormatting sqref="T28">
    <cfRule type="cellIs" dxfId="4329" priority="232" operator="equal">
      <formula>"PMS"</formula>
    </cfRule>
    <cfRule type="containsText" dxfId="4328" priority="233" operator="containsText" text="CMS">
      <formula>NOT(ISERROR(SEARCH("CMS",T28)))</formula>
    </cfRule>
    <cfRule type="cellIs" dxfId="4327" priority="234" operator="equal">
      <formula>0</formula>
    </cfRule>
    <cfRule type="cellIs" dxfId="4326" priority="235" operator="greaterThan">
      <formula>0</formula>
    </cfRule>
  </conditionalFormatting>
  <conditionalFormatting sqref="T78:U78">
    <cfRule type="cellIs" dxfId="4325" priority="224" operator="equal">
      <formula>"PMS"</formula>
    </cfRule>
    <cfRule type="containsText" dxfId="4324" priority="225" operator="containsText" text="CMS">
      <formula>NOT(ISERROR(SEARCH("CMS",T78)))</formula>
    </cfRule>
    <cfRule type="cellIs" dxfId="4323" priority="226" operator="equal">
      <formula>0</formula>
    </cfRule>
    <cfRule type="cellIs" dxfId="4322" priority="227" operator="greaterThan">
      <formula>0</formula>
    </cfRule>
    <cfRule type="cellIs" dxfId="4321" priority="228" operator="equal">
      <formula>"PMS"</formula>
    </cfRule>
    <cfRule type="containsText" dxfId="4320" priority="229" operator="containsText" text="CMS">
      <formula>NOT(ISERROR(SEARCH("CMS",T78)))</formula>
    </cfRule>
    <cfRule type="cellIs" dxfId="4319" priority="230" operator="equal">
      <formula>0</formula>
    </cfRule>
    <cfRule type="cellIs" dxfId="4318" priority="231" operator="greaterThan">
      <formula>0</formula>
    </cfRule>
  </conditionalFormatting>
  <conditionalFormatting sqref="T78:U78">
    <cfRule type="cellIs" dxfId="4317" priority="220" operator="equal">
      <formula>"PMS"</formula>
    </cfRule>
    <cfRule type="containsText" dxfId="4316" priority="221" operator="containsText" text="CMS">
      <formula>NOT(ISERROR(SEARCH("CMS",T78)))</formula>
    </cfRule>
    <cfRule type="cellIs" dxfId="4315" priority="222" operator="equal">
      <formula>0</formula>
    </cfRule>
    <cfRule type="cellIs" dxfId="4314" priority="223" operator="greaterThan">
      <formula>0</formula>
    </cfRule>
  </conditionalFormatting>
  <conditionalFormatting sqref="Z79">
    <cfRule type="cellIs" dxfId="4313" priority="212" operator="equal">
      <formula>"PMS"</formula>
    </cfRule>
    <cfRule type="containsText" dxfId="4312" priority="213" operator="containsText" text="CMS">
      <formula>NOT(ISERROR(SEARCH("CMS",Z79)))</formula>
    </cfRule>
    <cfRule type="cellIs" dxfId="4311" priority="214" operator="equal">
      <formula>0</formula>
    </cfRule>
    <cfRule type="cellIs" dxfId="4310" priority="215" operator="greaterThan">
      <formula>0</formula>
    </cfRule>
    <cfRule type="cellIs" dxfId="4309" priority="216" operator="equal">
      <formula>"PMS"</formula>
    </cfRule>
    <cfRule type="containsText" dxfId="4308" priority="217" operator="containsText" text="CMS">
      <formula>NOT(ISERROR(SEARCH("CMS",Z79)))</formula>
    </cfRule>
    <cfRule type="cellIs" dxfId="4307" priority="218" operator="equal">
      <formula>0</formula>
    </cfRule>
    <cfRule type="cellIs" dxfId="4306" priority="219" operator="greaterThan">
      <formula>0</formula>
    </cfRule>
  </conditionalFormatting>
  <conditionalFormatting sqref="Z79">
    <cfRule type="cellIs" dxfId="4305" priority="208" operator="equal">
      <formula>"PMS"</formula>
    </cfRule>
    <cfRule type="containsText" dxfId="4304" priority="209" operator="containsText" text="CMS">
      <formula>NOT(ISERROR(SEARCH("CMS",Z79)))</formula>
    </cfRule>
    <cfRule type="cellIs" dxfId="4303" priority="210" operator="equal">
      <formula>0</formula>
    </cfRule>
    <cfRule type="cellIs" dxfId="4302" priority="211" operator="greaterThan">
      <formula>0</formula>
    </cfRule>
  </conditionalFormatting>
  <conditionalFormatting sqref="F82">
    <cfRule type="cellIs" dxfId="4301" priority="200" operator="equal">
      <formula>"PMS"</formula>
    </cfRule>
    <cfRule type="containsText" dxfId="4300" priority="201" operator="containsText" text="CMS">
      <formula>NOT(ISERROR(SEARCH("CMS",F82)))</formula>
    </cfRule>
    <cfRule type="cellIs" dxfId="4299" priority="202" operator="equal">
      <formula>0</formula>
    </cfRule>
    <cfRule type="cellIs" dxfId="4298" priority="203" operator="greaterThan">
      <formula>0</formula>
    </cfRule>
    <cfRule type="cellIs" dxfId="4297" priority="204" operator="equal">
      <formula>"PMS"</formula>
    </cfRule>
    <cfRule type="containsText" dxfId="4296" priority="205" operator="containsText" text="CMS">
      <formula>NOT(ISERROR(SEARCH("CMS",F82)))</formula>
    </cfRule>
    <cfRule type="cellIs" dxfId="4295" priority="206" operator="equal">
      <formula>0</formula>
    </cfRule>
    <cfRule type="cellIs" dxfId="4294" priority="207" operator="greaterThan">
      <formula>0</formula>
    </cfRule>
  </conditionalFormatting>
  <conditionalFormatting sqref="F82">
    <cfRule type="cellIs" dxfId="4293" priority="196" operator="equal">
      <formula>"PMS"</formula>
    </cfRule>
    <cfRule type="containsText" dxfId="4292" priority="197" operator="containsText" text="CMS">
      <formula>NOT(ISERROR(SEARCH("CMS",F82)))</formula>
    </cfRule>
    <cfRule type="cellIs" dxfId="4291" priority="198" operator="equal">
      <formula>0</formula>
    </cfRule>
    <cfRule type="cellIs" dxfId="4290" priority="199" operator="greaterThan">
      <formula>0</formula>
    </cfRule>
  </conditionalFormatting>
  <conditionalFormatting sqref="H111:M111">
    <cfRule type="cellIs" dxfId="4289" priority="195" operator="greaterThan">
      <formula>60.3</formula>
    </cfRule>
  </conditionalFormatting>
  <conditionalFormatting sqref="F111:G111">
    <cfRule type="cellIs" dxfId="4288" priority="194" operator="greaterThan">
      <formula>60.3</formula>
    </cfRule>
  </conditionalFormatting>
  <conditionalFormatting sqref="N111:AC111">
    <cfRule type="cellIs" dxfId="4287" priority="193" operator="greaterThan">
      <formula>60.3</formula>
    </cfRule>
  </conditionalFormatting>
  <conditionalFormatting sqref="P64">
    <cfRule type="cellIs" dxfId="4286" priority="185" operator="equal">
      <formula>"PMS"</formula>
    </cfRule>
    <cfRule type="containsText" dxfId="4285" priority="186" operator="containsText" text="CMS">
      <formula>NOT(ISERROR(SEARCH("CMS",P64)))</formula>
    </cfRule>
    <cfRule type="cellIs" dxfId="4284" priority="187" operator="equal">
      <formula>0</formula>
    </cfRule>
    <cfRule type="cellIs" dxfId="4283" priority="188" operator="greaterThan">
      <formula>0</formula>
    </cfRule>
    <cfRule type="cellIs" dxfId="4282" priority="189" operator="equal">
      <formula>"PMS"</formula>
    </cfRule>
    <cfRule type="containsText" dxfId="4281" priority="190" operator="containsText" text="CMS">
      <formula>NOT(ISERROR(SEARCH("CMS",P64)))</formula>
    </cfRule>
    <cfRule type="cellIs" dxfId="4280" priority="191" operator="equal">
      <formula>0</formula>
    </cfRule>
    <cfRule type="cellIs" dxfId="4279" priority="192" operator="greaterThan">
      <formula>0</formula>
    </cfRule>
  </conditionalFormatting>
  <conditionalFormatting sqref="P64">
    <cfRule type="cellIs" dxfId="4278" priority="181" operator="equal">
      <formula>"PMS"</formula>
    </cfRule>
    <cfRule type="containsText" dxfId="4277" priority="182" operator="containsText" text="CMS">
      <formula>NOT(ISERROR(SEARCH("CMS",P64)))</formula>
    </cfRule>
    <cfRule type="cellIs" dxfId="4276" priority="183" operator="equal">
      <formula>0</formula>
    </cfRule>
    <cfRule type="cellIs" dxfId="4275" priority="184" operator="greaterThan">
      <formula>0</formula>
    </cfRule>
  </conditionalFormatting>
  <conditionalFormatting sqref="M56">
    <cfRule type="cellIs" dxfId="4274" priority="173" operator="equal">
      <formula>"PMS"</formula>
    </cfRule>
    <cfRule type="containsText" dxfId="4273" priority="174" operator="containsText" text="CMS">
      <formula>NOT(ISERROR(SEARCH("CMS",M56)))</formula>
    </cfRule>
    <cfRule type="cellIs" dxfId="4272" priority="175" operator="equal">
      <formula>0</formula>
    </cfRule>
    <cfRule type="cellIs" dxfId="4271" priority="176" operator="greaterThan">
      <formula>0</formula>
    </cfRule>
    <cfRule type="cellIs" dxfId="4270" priority="177" operator="equal">
      <formula>"PMS"</formula>
    </cfRule>
    <cfRule type="containsText" dxfId="4269" priority="178" operator="containsText" text="CMS">
      <formula>NOT(ISERROR(SEARCH("CMS",M56)))</formula>
    </cfRule>
    <cfRule type="cellIs" dxfId="4268" priority="179" operator="equal">
      <formula>0</formula>
    </cfRule>
    <cfRule type="cellIs" dxfId="4267" priority="180" operator="greaterThan">
      <formula>0</formula>
    </cfRule>
  </conditionalFormatting>
  <conditionalFormatting sqref="M56">
    <cfRule type="cellIs" dxfId="4266" priority="169" operator="equal">
      <formula>"PMS"</formula>
    </cfRule>
    <cfRule type="containsText" dxfId="4265" priority="170" operator="containsText" text="CMS">
      <formula>NOT(ISERROR(SEARCH("CMS",M56)))</formula>
    </cfRule>
    <cfRule type="cellIs" dxfId="4264" priority="171" operator="equal">
      <formula>0</formula>
    </cfRule>
    <cfRule type="cellIs" dxfId="4263" priority="172" operator="greaterThan">
      <formula>0</formula>
    </cfRule>
  </conditionalFormatting>
  <conditionalFormatting sqref="F36:F59">
    <cfRule type="cellIs" dxfId="4262" priority="161" operator="equal">
      <formula>"PMS"</formula>
    </cfRule>
    <cfRule type="containsText" dxfId="4261" priority="162" operator="containsText" text="CMS">
      <formula>NOT(ISERROR(SEARCH("CMS",F36)))</formula>
    </cfRule>
    <cfRule type="cellIs" dxfId="4260" priority="163" operator="equal">
      <formula>0</formula>
    </cfRule>
    <cfRule type="cellIs" dxfId="4259" priority="164" operator="greaterThan">
      <formula>0</formula>
    </cfRule>
    <cfRule type="cellIs" dxfId="4258" priority="165" operator="equal">
      <formula>"PMS"</formula>
    </cfRule>
    <cfRule type="containsText" dxfId="4257" priority="166" operator="containsText" text="CMS">
      <formula>NOT(ISERROR(SEARCH("CMS",F36)))</formula>
    </cfRule>
    <cfRule type="cellIs" dxfId="4256" priority="167" operator="equal">
      <formula>0</formula>
    </cfRule>
    <cfRule type="cellIs" dxfId="4255" priority="168" operator="greaterThan">
      <formula>0</formula>
    </cfRule>
  </conditionalFormatting>
  <conditionalFormatting sqref="F36:F59">
    <cfRule type="cellIs" dxfId="4254" priority="157" operator="equal">
      <formula>"PMS"</formula>
    </cfRule>
    <cfRule type="containsText" dxfId="4253" priority="158" operator="containsText" text="CMS">
      <formula>NOT(ISERROR(SEARCH("CMS",F36)))</formula>
    </cfRule>
    <cfRule type="cellIs" dxfId="4252" priority="159" operator="equal">
      <formula>0</formula>
    </cfRule>
    <cfRule type="cellIs" dxfId="4251" priority="160" operator="greaterThan">
      <formula>0</formula>
    </cfRule>
  </conditionalFormatting>
  <conditionalFormatting sqref="F67:F75">
    <cfRule type="cellIs" dxfId="4250" priority="149" operator="equal">
      <formula>"PMS"</formula>
    </cfRule>
    <cfRule type="containsText" dxfId="4249" priority="150" operator="containsText" text="CMS">
      <formula>NOT(ISERROR(SEARCH("CMS",F67)))</formula>
    </cfRule>
    <cfRule type="cellIs" dxfId="4248" priority="151" operator="equal">
      <formula>0</formula>
    </cfRule>
    <cfRule type="cellIs" dxfId="4247" priority="152" operator="greaterThan">
      <formula>0</formula>
    </cfRule>
    <cfRule type="cellIs" dxfId="4246" priority="153" operator="equal">
      <formula>"PMS"</formula>
    </cfRule>
    <cfRule type="containsText" dxfId="4245" priority="154" operator="containsText" text="CMS">
      <formula>NOT(ISERROR(SEARCH("CMS",F67)))</formula>
    </cfRule>
    <cfRule type="cellIs" dxfId="4244" priority="155" operator="equal">
      <formula>0</formula>
    </cfRule>
    <cfRule type="cellIs" dxfId="4243" priority="156" operator="greaterThan">
      <formula>0</formula>
    </cfRule>
  </conditionalFormatting>
  <conditionalFormatting sqref="F67:F75">
    <cfRule type="cellIs" dxfId="4242" priority="145" operator="equal">
      <formula>"PMS"</formula>
    </cfRule>
    <cfRule type="containsText" dxfId="4241" priority="146" operator="containsText" text="CMS">
      <formula>NOT(ISERROR(SEARCH("CMS",F67)))</formula>
    </cfRule>
    <cfRule type="cellIs" dxfId="4240" priority="147" operator="equal">
      <formula>0</formula>
    </cfRule>
    <cfRule type="cellIs" dxfId="4239" priority="148" operator="greaterThan">
      <formula>0</formula>
    </cfRule>
  </conditionalFormatting>
  <conditionalFormatting sqref="F78 F24">
    <cfRule type="cellIs" dxfId="4238" priority="137" operator="equal">
      <formula>"PMS"</formula>
    </cfRule>
    <cfRule type="containsText" dxfId="4237" priority="138" operator="containsText" text="CMS">
      <formula>NOT(ISERROR(SEARCH("CMS",F24)))</formula>
    </cfRule>
    <cfRule type="cellIs" dxfId="4236" priority="139" operator="equal">
      <formula>0</formula>
    </cfRule>
    <cfRule type="cellIs" dxfId="4235" priority="140" operator="greaterThan">
      <formula>0</formula>
    </cfRule>
    <cfRule type="cellIs" dxfId="4234" priority="141" operator="equal">
      <formula>"PMS"</formula>
    </cfRule>
    <cfRule type="containsText" dxfId="4233" priority="142" operator="containsText" text="CMS">
      <formula>NOT(ISERROR(SEARCH("CMS",F24)))</formula>
    </cfRule>
    <cfRule type="cellIs" dxfId="4232" priority="143" operator="equal">
      <formula>0</formula>
    </cfRule>
    <cfRule type="cellIs" dxfId="4231" priority="144" operator="greaterThan">
      <formula>0</formula>
    </cfRule>
  </conditionalFormatting>
  <conditionalFormatting sqref="F78 F24">
    <cfRule type="cellIs" dxfId="4230" priority="133" operator="equal">
      <formula>"PMS"</formula>
    </cfRule>
    <cfRule type="containsText" dxfId="4229" priority="134" operator="containsText" text="CMS">
      <formula>NOT(ISERROR(SEARCH("CMS",F24)))</formula>
    </cfRule>
    <cfRule type="cellIs" dxfId="4228" priority="135" operator="equal">
      <formula>0</formula>
    </cfRule>
    <cfRule type="cellIs" dxfId="4227" priority="136" operator="greaterThan">
      <formula>0</formula>
    </cfRule>
  </conditionalFormatting>
  <conditionalFormatting sqref="N62:N63">
    <cfRule type="cellIs" dxfId="4226" priority="113" operator="equal">
      <formula>"PMS"</formula>
    </cfRule>
    <cfRule type="containsText" dxfId="4225" priority="114" operator="containsText" text="CMS">
      <formula>NOT(ISERROR(SEARCH("CMS",N62)))</formula>
    </cfRule>
    <cfRule type="cellIs" dxfId="4224" priority="115" operator="equal">
      <formula>0</formula>
    </cfRule>
    <cfRule type="cellIs" dxfId="4223" priority="116" operator="greaterThan">
      <formula>0</formula>
    </cfRule>
    <cfRule type="cellIs" dxfId="4222" priority="117" operator="equal">
      <formula>"PMS"</formula>
    </cfRule>
    <cfRule type="containsText" dxfId="4221" priority="118" operator="containsText" text="CMS">
      <formula>NOT(ISERROR(SEARCH("CMS",N62)))</formula>
    </cfRule>
    <cfRule type="cellIs" dxfId="4220" priority="119" operator="equal">
      <formula>0</formula>
    </cfRule>
    <cfRule type="cellIs" dxfId="4219" priority="120" operator="greaterThan">
      <formula>0</formula>
    </cfRule>
  </conditionalFormatting>
  <conditionalFormatting sqref="N62:N63">
    <cfRule type="cellIs" dxfId="4218" priority="109" operator="equal">
      <formula>"PMS"</formula>
    </cfRule>
    <cfRule type="containsText" dxfId="4217" priority="110" operator="containsText" text="CMS">
      <formula>NOT(ISERROR(SEARCH("CMS",N62)))</formula>
    </cfRule>
    <cfRule type="cellIs" dxfId="4216" priority="111" operator="equal">
      <formula>0</formula>
    </cfRule>
    <cfRule type="cellIs" dxfId="4215" priority="112" operator="greaterThan">
      <formula>0</formula>
    </cfRule>
  </conditionalFormatting>
  <conditionalFormatting sqref="U28">
    <cfRule type="cellIs" dxfId="4214" priority="101" operator="equal">
      <formula>"PMS"</formula>
    </cfRule>
    <cfRule type="containsText" dxfId="4213" priority="102" operator="containsText" text="CMS">
      <formula>NOT(ISERROR(SEARCH("CMS",U28)))</formula>
    </cfRule>
    <cfRule type="cellIs" dxfId="4212" priority="103" operator="equal">
      <formula>0</formula>
    </cfRule>
    <cfRule type="cellIs" dxfId="4211" priority="104" operator="greaterThan">
      <formula>0</formula>
    </cfRule>
    <cfRule type="cellIs" dxfId="4210" priority="105" operator="equal">
      <formula>"PMS"</formula>
    </cfRule>
    <cfRule type="containsText" dxfId="4209" priority="106" operator="containsText" text="CMS">
      <formula>NOT(ISERROR(SEARCH("CMS",U28)))</formula>
    </cfRule>
    <cfRule type="cellIs" dxfId="4208" priority="107" operator="equal">
      <formula>0</formula>
    </cfRule>
    <cfRule type="cellIs" dxfId="4207" priority="108" operator="greaterThan">
      <formula>0</formula>
    </cfRule>
  </conditionalFormatting>
  <conditionalFormatting sqref="U28">
    <cfRule type="cellIs" dxfId="4206" priority="97" operator="equal">
      <formula>"PMS"</formula>
    </cfRule>
    <cfRule type="containsText" dxfId="4205" priority="98" operator="containsText" text="CMS">
      <formula>NOT(ISERROR(SEARCH("CMS",U28)))</formula>
    </cfRule>
    <cfRule type="cellIs" dxfId="4204" priority="99" operator="equal">
      <formula>0</formula>
    </cfRule>
    <cfRule type="cellIs" dxfId="4203" priority="100" operator="greaterThan">
      <formula>0</formula>
    </cfRule>
  </conditionalFormatting>
  <conditionalFormatting sqref="F13:F16">
    <cfRule type="cellIs" dxfId="4202" priority="89" operator="equal">
      <formula>"PMS"</formula>
    </cfRule>
    <cfRule type="containsText" dxfId="4201" priority="90" operator="containsText" text="CMS">
      <formula>NOT(ISERROR(SEARCH("CMS",F13)))</formula>
    </cfRule>
    <cfRule type="cellIs" dxfId="4200" priority="91" operator="equal">
      <formula>0</formula>
    </cfRule>
    <cfRule type="cellIs" dxfId="4199" priority="92" operator="greaterThan">
      <formula>0</formula>
    </cfRule>
    <cfRule type="cellIs" dxfId="4198" priority="93" operator="equal">
      <formula>"PMS"</formula>
    </cfRule>
    <cfRule type="containsText" dxfId="4197" priority="94" operator="containsText" text="CMS">
      <formula>NOT(ISERROR(SEARCH("CMS",F13)))</formula>
    </cfRule>
    <cfRule type="cellIs" dxfId="4196" priority="95" operator="equal">
      <formula>0</formula>
    </cfRule>
    <cfRule type="cellIs" dxfId="4195" priority="96" operator="greaterThan">
      <formula>0</formula>
    </cfRule>
  </conditionalFormatting>
  <conditionalFormatting sqref="F13:F16">
    <cfRule type="cellIs" dxfId="4194" priority="85" operator="equal">
      <formula>"PMS"</formula>
    </cfRule>
    <cfRule type="containsText" dxfId="4193" priority="86" operator="containsText" text="CMS">
      <formula>NOT(ISERROR(SEARCH("CMS",F13)))</formula>
    </cfRule>
    <cfRule type="cellIs" dxfId="4192" priority="87" operator="equal">
      <formula>0</formula>
    </cfRule>
    <cfRule type="cellIs" dxfId="4191" priority="88" operator="greaterThan">
      <formula>0</formula>
    </cfRule>
  </conditionalFormatting>
  <conditionalFormatting sqref="F19:F21">
    <cfRule type="cellIs" dxfId="4190" priority="77" operator="equal">
      <formula>"PMS"</formula>
    </cfRule>
    <cfRule type="containsText" dxfId="4189" priority="78" operator="containsText" text="CMS">
      <formula>NOT(ISERROR(SEARCH("CMS",F19)))</formula>
    </cfRule>
    <cfRule type="cellIs" dxfId="4188" priority="79" operator="equal">
      <formula>0</formula>
    </cfRule>
    <cfRule type="cellIs" dxfId="4187" priority="80" operator="greaterThan">
      <formula>0</formula>
    </cfRule>
    <cfRule type="cellIs" dxfId="4186" priority="81" operator="equal">
      <formula>"PMS"</formula>
    </cfRule>
    <cfRule type="containsText" dxfId="4185" priority="82" operator="containsText" text="CMS">
      <formula>NOT(ISERROR(SEARCH("CMS",F19)))</formula>
    </cfRule>
    <cfRule type="cellIs" dxfId="4184" priority="83" operator="equal">
      <formula>0</formula>
    </cfRule>
    <cfRule type="cellIs" dxfId="4183" priority="84" operator="greaterThan">
      <formula>0</formula>
    </cfRule>
  </conditionalFormatting>
  <conditionalFormatting sqref="F19:F21">
    <cfRule type="cellIs" dxfId="4182" priority="73" operator="equal">
      <formula>"PMS"</formula>
    </cfRule>
    <cfRule type="containsText" dxfId="4181" priority="74" operator="containsText" text="CMS">
      <formula>NOT(ISERROR(SEARCH("CMS",F19)))</formula>
    </cfRule>
    <cfRule type="cellIs" dxfId="4180" priority="75" operator="equal">
      <formula>0</formula>
    </cfRule>
    <cfRule type="cellIs" dxfId="4179" priority="76" operator="greaterThan">
      <formula>0</formula>
    </cfRule>
  </conditionalFormatting>
  <conditionalFormatting sqref="F28:F30">
    <cfRule type="cellIs" dxfId="4178" priority="65" operator="equal">
      <formula>"PMS"</formula>
    </cfRule>
    <cfRule type="containsText" dxfId="4177" priority="66" operator="containsText" text="CMS">
      <formula>NOT(ISERROR(SEARCH("CMS",F28)))</formula>
    </cfRule>
    <cfRule type="cellIs" dxfId="4176" priority="67" operator="equal">
      <formula>0</formula>
    </cfRule>
    <cfRule type="cellIs" dxfId="4175" priority="68" operator="greaterThan">
      <formula>0</formula>
    </cfRule>
    <cfRule type="cellIs" dxfId="4174" priority="69" operator="equal">
      <formula>"PMS"</formula>
    </cfRule>
    <cfRule type="containsText" dxfId="4173" priority="70" operator="containsText" text="CMS">
      <formula>NOT(ISERROR(SEARCH("CMS",F28)))</formula>
    </cfRule>
    <cfRule type="cellIs" dxfId="4172" priority="71" operator="equal">
      <formula>0</formula>
    </cfRule>
    <cfRule type="cellIs" dxfId="4171" priority="72" operator="greaterThan">
      <formula>0</formula>
    </cfRule>
  </conditionalFormatting>
  <conditionalFormatting sqref="F28:F30">
    <cfRule type="cellIs" dxfId="4170" priority="61" operator="equal">
      <formula>"PMS"</formula>
    </cfRule>
    <cfRule type="containsText" dxfId="4169" priority="62" operator="containsText" text="CMS">
      <formula>NOT(ISERROR(SEARCH("CMS",F28)))</formula>
    </cfRule>
    <cfRule type="cellIs" dxfId="4168" priority="63" operator="equal">
      <formula>0</formula>
    </cfRule>
    <cfRule type="cellIs" dxfId="4167" priority="64" operator="greaterThan">
      <formula>0</formula>
    </cfRule>
  </conditionalFormatting>
  <conditionalFormatting sqref="F27">
    <cfRule type="cellIs" dxfId="4166" priority="53" operator="equal">
      <formula>"PMS"</formula>
    </cfRule>
    <cfRule type="containsText" dxfId="4165" priority="54" operator="containsText" text="CMS">
      <formula>NOT(ISERROR(SEARCH("CMS",F27)))</formula>
    </cfRule>
    <cfRule type="cellIs" dxfId="4164" priority="55" operator="equal">
      <formula>0</formula>
    </cfRule>
    <cfRule type="cellIs" dxfId="4163" priority="56" operator="greaterThan">
      <formula>0</formula>
    </cfRule>
    <cfRule type="cellIs" dxfId="4162" priority="57" operator="equal">
      <formula>"PMS"</formula>
    </cfRule>
    <cfRule type="containsText" dxfId="4161" priority="58" operator="containsText" text="CMS">
      <formula>NOT(ISERROR(SEARCH("CMS",F27)))</formula>
    </cfRule>
    <cfRule type="cellIs" dxfId="4160" priority="59" operator="equal">
      <formula>0</formula>
    </cfRule>
    <cfRule type="cellIs" dxfId="4159" priority="60" operator="greaterThan">
      <formula>0</formula>
    </cfRule>
  </conditionalFormatting>
  <conditionalFormatting sqref="F27">
    <cfRule type="cellIs" dxfId="4158" priority="49" operator="equal">
      <formula>"PMS"</formula>
    </cfRule>
    <cfRule type="containsText" dxfId="4157" priority="50" operator="containsText" text="CMS">
      <formula>NOT(ISERROR(SEARCH("CMS",F27)))</formula>
    </cfRule>
    <cfRule type="cellIs" dxfId="4156" priority="51" operator="equal">
      <formula>0</formula>
    </cfRule>
    <cfRule type="cellIs" dxfId="4155" priority="52" operator="greaterThan">
      <formula>0</formula>
    </cfRule>
  </conditionalFormatting>
  <conditionalFormatting sqref="F33">
    <cfRule type="cellIs" dxfId="4154" priority="41" operator="equal">
      <formula>"PMS"</formula>
    </cfRule>
    <cfRule type="containsText" dxfId="4153" priority="42" operator="containsText" text="CMS">
      <formula>NOT(ISERROR(SEARCH("CMS",F33)))</formula>
    </cfRule>
    <cfRule type="cellIs" dxfId="4152" priority="43" operator="equal">
      <formula>0</formula>
    </cfRule>
    <cfRule type="cellIs" dxfId="4151" priority="44" operator="greaterThan">
      <formula>0</formula>
    </cfRule>
    <cfRule type="cellIs" dxfId="4150" priority="45" operator="equal">
      <formula>"PMS"</formula>
    </cfRule>
    <cfRule type="containsText" dxfId="4149" priority="46" operator="containsText" text="CMS">
      <formula>NOT(ISERROR(SEARCH("CMS",F33)))</formula>
    </cfRule>
    <cfRule type="cellIs" dxfId="4148" priority="47" operator="equal">
      <formula>0</formula>
    </cfRule>
    <cfRule type="cellIs" dxfId="4147" priority="48" operator="greaterThan">
      <formula>0</formula>
    </cfRule>
  </conditionalFormatting>
  <conditionalFormatting sqref="F33">
    <cfRule type="cellIs" dxfId="4146" priority="37" operator="equal">
      <formula>"PMS"</formula>
    </cfRule>
    <cfRule type="containsText" dxfId="4145" priority="38" operator="containsText" text="CMS">
      <formula>NOT(ISERROR(SEARCH("CMS",F33)))</formula>
    </cfRule>
    <cfRule type="cellIs" dxfId="4144" priority="39" operator="equal">
      <formula>0</formula>
    </cfRule>
    <cfRule type="cellIs" dxfId="4143" priority="40" operator="greaterThan">
      <formula>0</formula>
    </cfRule>
  </conditionalFormatting>
  <conditionalFormatting sqref="F62:F64">
    <cfRule type="cellIs" dxfId="4142" priority="29" operator="equal">
      <formula>"PMS"</formula>
    </cfRule>
    <cfRule type="containsText" dxfId="4141" priority="30" operator="containsText" text="CMS">
      <formula>NOT(ISERROR(SEARCH("CMS",F62)))</formula>
    </cfRule>
    <cfRule type="cellIs" dxfId="4140" priority="31" operator="equal">
      <formula>0</formula>
    </cfRule>
    <cfRule type="cellIs" dxfId="4139" priority="32" operator="greaterThan">
      <formula>0</formula>
    </cfRule>
    <cfRule type="cellIs" dxfId="4138" priority="33" operator="equal">
      <formula>"PMS"</formula>
    </cfRule>
    <cfRule type="containsText" dxfId="4137" priority="34" operator="containsText" text="CMS">
      <formula>NOT(ISERROR(SEARCH("CMS",F62)))</formula>
    </cfRule>
    <cfRule type="cellIs" dxfId="4136" priority="35" operator="equal">
      <formula>0</formula>
    </cfRule>
    <cfRule type="cellIs" dxfId="4135" priority="36" operator="greaterThan">
      <formula>0</formula>
    </cfRule>
  </conditionalFormatting>
  <conditionalFormatting sqref="F62:F64">
    <cfRule type="cellIs" dxfId="4134" priority="25" operator="equal">
      <formula>"PMS"</formula>
    </cfRule>
    <cfRule type="containsText" dxfId="4133" priority="26" operator="containsText" text="CMS">
      <formula>NOT(ISERROR(SEARCH("CMS",F62)))</formula>
    </cfRule>
    <cfRule type="cellIs" dxfId="4132" priority="27" operator="equal">
      <formula>0</formula>
    </cfRule>
    <cfRule type="cellIs" dxfId="4131" priority="28" operator="greaterThan">
      <formula>0</formula>
    </cfRule>
  </conditionalFormatting>
  <conditionalFormatting sqref="F79">
    <cfRule type="cellIs" dxfId="4130" priority="17" operator="equal">
      <formula>"PMS"</formula>
    </cfRule>
    <cfRule type="containsText" dxfId="4129" priority="18" operator="containsText" text="CMS">
      <formula>NOT(ISERROR(SEARCH("CMS",F79)))</formula>
    </cfRule>
    <cfRule type="cellIs" dxfId="4128" priority="19" operator="equal">
      <formula>0</formula>
    </cfRule>
    <cfRule type="cellIs" dxfId="4127" priority="20" operator="greaterThan">
      <formula>0</formula>
    </cfRule>
    <cfRule type="cellIs" dxfId="4126" priority="21" operator="equal">
      <formula>"PMS"</formula>
    </cfRule>
    <cfRule type="containsText" dxfId="4125" priority="22" operator="containsText" text="CMS">
      <formula>NOT(ISERROR(SEARCH("CMS",F79)))</formula>
    </cfRule>
    <cfRule type="cellIs" dxfId="4124" priority="23" operator="equal">
      <formula>0</formula>
    </cfRule>
    <cfRule type="cellIs" dxfId="4123" priority="24" operator="greaterThan">
      <formula>0</formula>
    </cfRule>
  </conditionalFormatting>
  <conditionalFormatting sqref="F79">
    <cfRule type="cellIs" dxfId="4122" priority="13" operator="equal">
      <formula>"PMS"</formula>
    </cfRule>
    <cfRule type="containsText" dxfId="4121" priority="14" operator="containsText" text="CMS">
      <formula>NOT(ISERROR(SEARCH("CMS",F79)))</formula>
    </cfRule>
    <cfRule type="cellIs" dxfId="4120" priority="15" operator="equal">
      <formula>0</formula>
    </cfRule>
    <cfRule type="cellIs" dxfId="4119" priority="16" operator="greaterThan">
      <formula>0</formula>
    </cfRule>
  </conditionalFormatting>
  <conditionalFormatting sqref="V78">
    <cfRule type="cellIs" dxfId="4118" priority="5" operator="equal">
      <formula>"PMS"</formula>
    </cfRule>
    <cfRule type="containsText" dxfId="4117" priority="6" operator="containsText" text="CMS">
      <formula>NOT(ISERROR(SEARCH("CMS",V78)))</formula>
    </cfRule>
    <cfRule type="cellIs" dxfId="4116" priority="7" operator="equal">
      <formula>0</formula>
    </cfRule>
    <cfRule type="cellIs" dxfId="4115" priority="8" operator="greaterThan">
      <formula>0</formula>
    </cfRule>
    <cfRule type="cellIs" dxfId="4114" priority="9" operator="equal">
      <formula>"PMS"</formula>
    </cfRule>
    <cfRule type="containsText" dxfId="4113" priority="10" operator="containsText" text="CMS">
      <formula>NOT(ISERROR(SEARCH("CMS",V78)))</formula>
    </cfRule>
    <cfRule type="cellIs" dxfId="4112" priority="11" operator="equal">
      <formula>0</formula>
    </cfRule>
    <cfRule type="cellIs" dxfId="4111" priority="12" operator="greaterThan">
      <formula>0</formula>
    </cfRule>
  </conditionalFormatting>
  <conditionalFormatting sqref="V78">
    <cfRule type="cellIs" dxfId="4110" priority="1" operator="equal">
      <formula>"PMS"</formula>
    </cfRule>
    <cfRule type="containsText" dxfId="4109" priority="2" operator="containsText" text="CMS">
      <formula>NOT(ISERROR(SEARCH("CMS",V78)))</formula>
    </cfRule>
    <cfRule type="cellIs" dxfId="4108" priority="3" operator="equal">
      <formula>0</formula>
    </cfRule>
    <cfRule type="cellIs" dxfId="410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0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FD46-30D5-4B30-BEA0-96ABC1B5923C}">
  <sheetPr codeName="Sheet247"/>
  <dimension ref="A2:DT141"/>
  <sheetViews>
    <sheetView zoomScale="70" zoomScaleNormal="70" workbookViewId="0">
      <pane xSplit="5" ySplit="11" topLeftCell="F12" activePane="bottomRight" state="frozen"/>
      <selection pane="bottomRight" activeCell="AC15" sqref="AC1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414.49999999999989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6.8</v>
      </c>
      <c r="G14" s="357">
        <v>6.8</v>
      </c>
      <c r="H14" s="357">
        <v>6.7</v>
      </c>
      <c r="I14" s="357">
        <v>6.5</v>
      </c>
      <c r="J14" s="357">
        <v>6.6</v>
      </c>
      <c r="K14" s="357">
        <v>6.8</v>
      </c>
      <c r="L14" s="357">
        <v>6.6</v>
      </c>
      <c r="M14" s="357">
        <v>6.6</v>
      </c>
      <c r="N14" s="357">
        <v>5.9</v>
      </c>
      <c r="O14" s="357">
        <v>6.7</v>
      </c>
      <c r="P14" s="357">
        <v>6.7</v>
      </c>
      <c r="Q14" s="357">
        <v>6.6</v>
      </c>
      <c r="R14" s="357">
        <v>6.5</v>
      </c>
      <c r="S14" s="462">
        <v>7</v>
      </c>
      <c r="T14" s="462">
        <v>6.7</v>
      </c>
      <c r="U14" s="462">
        <v>6.8</v>
      </c>
      <c r="V14" s="357">
        <v>6.8</v>
      </c>
      <c r="W14" s="357">
        <v>6.7</v>
      </c>
      <c r="X14" s="357">
        <v>6.7</v>
      </c>
      <c r="Y14" s="357">
        <v>6.7</v>
      </c>
      <c r="Z14" s="462">
        <v>6.7</v>
      </c>
      <c r="AA14" s="462">
        <v>6.6</v>
      </c>
      <c r="AB14" s="462">
        <v>6.7</v>
      </c>
      <c r="AC14" s="357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6.8</v>
      </c>
      <c r="G15" s="357">
        <v>6.8</v>
      </c>
      <c r="H15" s="357">
        <v>6.7</v>
      </c>
      <c r="I15" s="357">
        <v>6.5</v>
      </c>
      <c r="J15" s="357">
        <v>6.6</v>
      </c>
      <c r="K15" s="359">
        <v>6.8</v>
      </c>
      <c r="L15" s="359">
        <v>6.6</v>
      </c>
      <c r="M15" s="359">
        <v>6.6</v>
      </c>
      <c r="N15" s="357">
        <v>5.9</v>
      </c>
      <c r="O15" s="357">
        <v>6.7</v>
      </c>
      <c r="P15" s="357">
        <v>6.7</v>
      </c>
      <c r="Q15" s="357">
        <v>6.6</v>
      </c>
      <c r="R15" s="357">
        <v>6.5</v>
      </c>
      <c r="S15" s="462">
        <v>7</v>
      </c>
      <c r="T15" s="462">
        <v>6.7</v>
      </c>
      <c r="U15" s="462">
        <v>6.9</v>
      </c>
      <c r="V15" s="357">
        <v>6.8</v>
      </c>
      <c r="W15" s="357">
        <v>6.7</v>
      </c>
      <c r="X15" s="357">
        <v>6.7</v>
      </c>
      <c r="Y15" s="357">
        <v>6.7</v>
      </c>
      <c r="Z15" s="462">
        <v>6.7</v>
      </c>
      <c r="AA15" s="462">
        <v>6.6</v>
      </c>
      <c r="AB15" s="462">
        <v>6.7</v>
      </c>
      <c r="AC15" s="462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 t="s">
        <v>9</v>
      </c>
      <c r="G16" s="357" t="s">
        <v>9</v>
      </c>
      <c r="H16" s="357" t="s">
        <v>9</v>
      </c>
      <c r="I16" s="357" t="s">
        <v>9</v>
      </c>
      <c r="J16" s="357" t="s">
        <v>9</v>
      </c>
      <c r="K16" s="359" t="s">
        <v>9</v>
      </c>
      <c r="L16" s="359" t="s">
        <v>9</v>
      </c>
      <c r="M16" s="357" t="s">
        <v>9</v>
      </c>
      <c r="N16" s="359">
        <v>2</v>
      </c>
      <c r="O16" s="357">
        <v>6.1</v>
      </c>
      <c r="P16" s="357">
        <v>6.6</v>
      </c>
      <c r="Q16" s="357">
        <v>6.6</v>
      </c>
      <c r="R16" s="357">
        <v>6.5</v>
      </c>
      <c r="S16" s="462">
        <v>7</v>
      </c>
      <c r="T16" s="462">
        <v>6.7</v>
      </c>
      <c r="U16" s="462">
        <v>6.8</v>
      </c>
      <c r="V16" s="357">
        <v>6.8</v>
      </c>
      <c r="W16" s="357">
        <v>6.7</v>
      </c>
      <c r="X16" s="357">
        <v>6.7</v>
      </c>
      <c r="Y16" s="357">
        <v>6.7</v>
      </c>
      <c r="Z16" s="462">
        <v>6.7</v>
      </c>
      <c r="AA16" s="462">
        <v>6.6</v>
      </c>
      <c r="AB16" s="462">
        <v>6.7</v>
      </c>
      <c r="AC16" s="357">
        <v>6.4</v>
      </c>
      <c r="AD16" s="41"/>
      <c r="AE16" s="41"/>
      <c r="AF16" s="11">
        <f>COUNTIF(F16:AC16,$AJ$8)</f>
        <v>8</v>
      </c>
      <c r="AG16" s="11">
        <f>COUNTIF(G16:AD16,$AJ$7)</f>
        <v>0</v>
      </c>
      <c r="AH16" s="11">
        <f>COUNT(F16:AC16)</f>
        <v>16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13.6</v>
      </c>
      <c r="H17" s="19">
        <f t="shared" si="0"/>
        <v>13.4</v>
      </c>
      <c r="I17" s="19">
        <f t="shared" si="0"/>
        <v>13</v>
      </c>
      <c r="J17" s="19">
        <f t="shared" si="0"/>
        <v>13.2</v>
      </c>
      <c r="K17" s="19">
        <f t="shared" si="0"/>
        <v>13.6</v>
      </c>
      <c r="L17" s="19">
        <f t="shared" si="0"/>
        <v>13.2</v>
      </c>
      <c r="M17" s="19">
        <f t="shared" si="0"/>
        <v>13.2</v>
      </c>
      <c r="N17" s="19">
        <f t="shared" si="0"/>
        <v>13.8</v>
      </c>
      <c r="O17" s="19">
        <f t="shared" si="0"/>
        <v>19.5</v>
      </c>
      <c r="P17" s="19">
        <f t="shared" si="0"/>
        <v>20</v>
      </c>
      <c r="Q17" s="19">
        <f t="shared" si="0"/>
        <v>19.799999999999997</v>
      </c>
      <c r="R17" s="19">
        <f t="shared" si="0"/>
        <v>19.5</v>
      </c>
      <c r="S17" s="463">
        <f t="shared" si="0"/>
        <v>21</v>
      </c>
      <c r="T17" s="463">
        <f t="shared" si="0"/>
        <v>20.100000000000001</v>
      </c>
      <c r="U17" s="19">
        <f t="shared" si="0"/>
        <v>20.5</v>
      </c>
      <c r="V17" s="19">
        <f t="shared" si="0"/>
        <v>20.399999999999999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20.100000000000001</v>
      </c>
      <c r="Z17" s="463">
        <f t="shared" si="0"/>
        <v>20.100000000000001</v>
      </c>
      <c r="AA17" s="463">
        <f t="shared" si="0"/>
        <v>19.799999999999997</v>
      </c>
      <c r="AB17" s="463">
        <f>SUM(AB13:AB16)</f>
        <v>20.100000000000001</v>
      </c>
      <c r="AC17" s="19">
        <f t="shared" si="0"/>
        <v>12.8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9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/>
      <c r="V19" s="357"/>
      <c r="W19" s="357"/>
      <c r="X19" s="357"/>
      <c r="Y19" s="357"/>
      <c r="Z19" s="357"/>
      <c r="AA19" s="357"/>
      <c r="AB19" s="357"/>
      <c r="AC19" s="357"/>
      <c r="AD19" s="41"/>
      <c r="AE19" s="41"/>
      <c r="AF19" s="11">
        <f>COUNTIF(F19:AC19,$AJ$8)</f>
        <v>8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357" t="s">
        <v>9</v>
      </c>
      <c r="U20" s="357" t="s">
        <v>9</v>
      </c>
      <c r="V20" s="357" t="s">
        <v>9</v>
      </c>
      <c r="W20" s="357">
        <v>0.5</v>
      </c>
      <c r="X20" s="357">
        <v>1.5</v>
      </c>
      <c r="Y20" s="357">
        <v>2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21</v>
      </c>
      <c r="AG20" s="11">
        <f>COUNTIF(G20:AD20,$AJ$7)</f>
        <v>0</v>
      </c>
      <c r="AH20" s="11">
        <f>COUNT(F20:AC20)</f>
        <v>3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9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463">
        <f>SUM(S19:S21)</f>
        <v>0</v>
      </c>
      <c r="T22" s="463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0.5</v>
      </c>
      <c r="X22" s="19">
        <f t="shared" si="1"/>
        <v>1.5</v>
      </c>
      <c r="Y22" s="19">
        <f t="shared" si="1"/>
        <v>2</v>
      </c>
      <c r="Z22" s="463">
        <f>SUM(Z19:Z21)</f>
        <v>0</v>
      </c>
      <c r="AA22" s="463">
        <f t="shared" si="1"/>
        <v>0</v>
      </c>
      <c r="AB22" s="463">
        <f>SUM(AB19:AB21)</f>
        <v>0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34.200000000000003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9"/>
      <c r="N24" s="359"/>
      <c r="O24" s="357">
        <v>2</v>
      </c>
      <c r="P24" s="357">
        <v>3</v>
      </c>
      <c r="Q24" s="357">
        <v>3</v>
      </c>
      <c r="R24" s="357">
        <v>3</v>
      </c>
      <c r="S24" s="357">
        <v>3.8</v>
      </c>
      <c r="T24" s="357">
        <v>3.8</v>
      </c>
      <c r="U24" s="357">
        <v>3.8</v>
      </c>
      <c r="V24" s="357">
        <v>3</v>
      </c>
      <c r="W24" s="357">
        <v>2.5</v>
      </c>
      <c r="X24" s="357">
        <v>2</v>
      </c>
      <c r="Y24" s="357">
        <v>1.8</v>
      </c>
      <c r="Z24" s="357">
        <v>2.5</v>
      </c>
      <c r="AA24" s="357">
        <v>0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2</v>
      </c>
      <c r="P25" s="19">
        <f t="shared" si="3"/>
        <v>3</v>
      </c>
      <c r="Q25" s="19">
        <f t="shared" si="3"/>
        <v>3</v>
      </c>
      <c r="R25" s="19">
        <f t="shared" si="3"/>
        <v>3</v>
      </c>
      <c r="S25" s="463">
        <f t="shared" si="3"/>
        <v>3.8</v>
      </c>
      <c r="T25" s="463">
        <f t="shared" si="3"/>
        <v>3.8</v>
      </c>
      <c r="U25" s="19">
        <f t="shared" si="3"/>
        <v>3.8</v>
      </c>
      <c r="V25" s="19">
        <f t="shared" si="3"/>
        <v>3</v>
      </c>
      <c r="W25" s="19">
        <f t="shared" si="3"/>
        <v>2.5</v>
      </c>
      <c r="X25" s="19">
        <f t="shared" si="3"/>
        <v>2</v>
      </c>
      <c r="Y25" s="19">
        <f t="shared" si="3"/>
        <v>1.8</v>
      </c>
      <c r="Z25" s="463">
        <f t="shared" si="3"/>
        <v>2.5</v>
      </c>
      <c r="AA25" s="463">
        <f t="shared" si="3"/>
        <v>0</v>
      </c>
      <c r="AB25" s="463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54.8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2</v>
      </c>
      <c r="N27" s="357">
        <v>3.5</v>
      </c>
      <c r="O27" s="357">
        <v>3.8</v>
      </c>
      <c r="P27" s="357">
        <v>3.8</v>
      </c>
      <c r="Q27" s="357">
        <v>3.8</v>
      </c>
      <c r="R27" s="357">
        <v>2</v>
      </c>
      <c r="S27" s="462"/>
      <c r="T27" s="462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1.5</v>
      </c>
      <c r="H28" s="357"/>
      <c r="I28" s="357"/>
      <c r="J28" s="359"/>
      <c r="K28" s="357"/>
      <c r="L28" s="359"/>
      <c r="M28" s="357"/>
      <c r="N28" s="357"/>
      <c r="O28" s="357"/>
      <c r="P28" s="357"/>
      <c r="Q28" s="357"/>
      <c r="R28" s="357"/>
      <c r="S28" s="357">
        <v>3.8</v>
      </c>
      <c r="T28" s="462">
        <v>3.8</v>
      </c>
      <c r="U28" s="357">
        <v>3.8</v>
      </c>
      <c r="V28" s="359">
        <v>3</v>
      </c>
      <c r="W28" s="357">
        <v>1.5</v>
      </c>
      <c r="X28" s="357">
        <v>1.5</v>
      </c>
      <c r="Y28" s="357">
        <v>2.5</v>
      </c>
      <c r="Z28" s="357">
        <v>1.6</v>
      </c>
      <c r="AA28" s="357">
        <v>3.8</v>
      </c>
      <c r="AB28" s="357">
        <v>1.5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13</v>
      </c>
      <c r="AI28" s="159">
        <f>SUM(F29:AC30)</f>
        <v>171.49999999999997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3.3</v>
      </c>
      <c r="Q29" s="357">
        <v>3.3</v>
      </c>
      <c r="R29" s="357">
        <v>2.8</v>
      </c>
      <c r="S29" s="462"/>
      <c r="T29" s="359"/>
      <c r="U29" s="359"/>
      <c r="V29" s="357"/>
      <c r="W29" s="359"/>
      <c r="X29" s="357"/>
      <c r="Y29" s="359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7.2</v>
      </c>
      <c r="G30" s="357">
        <v>6.5</v>
      </c>
      <c r="H30" s="357">
        <v>7.2</v>
      </c>
      <c r="I30" s="357">
        <v>7</v>
      </c>
      <c r="J30" s="357">
        <v>6.5</v>
      </c>
      <c r="K30" s="357">
        <v>6</v>
      </c>
      <c r="L30" s="357">
        <v>7</v>
      </c>
      <c r="M30" s="357">
        <v>7</v>
      </c>
      <c r="N30" s="357">
        <v>7.2</v>
      </c>
      <c r="O30" s="357">
        <v>7.1</v>
      </c>
      <c r="P30" s="357">
        <v>7</v>
      </c>
      <c r="Q30" s="357">
        <v>7</v>
      </c>
      <c r="R30" s="357">
        <v>7</v>
      </c>
      <c r="S30" s="462">
        <v>7</v>
      </c>
      <c r="T30" s="359">
        <v>7</v>
      </c>
      <c r="U30" s="359">
        <v>7</v>
      </c>
      <c r="V30" s="357">
        <v>7</v>
      </c>
      <c r="W30" s="359">
        <v>6.5</v>
      </c>
      <c r="X30" s="357">
        <v>5.5</v>
      </c>
      <c r="Y30" s="359">
        <v>7.2</v>
      </c>
      <c r="Z30" s="357">
        <v>6.2</v>
      </c>
      <c r="AA30" s="357">
        <v>7</v>
      </c>
      <c r="AB30" s="359">
        <v>5</v>
      </c>
      <c r="AC30" s="359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4">SUM(F27:F30)</f>
        <v>11</v>
      </c>
      <c r="G31" s="19">
        <f>SUM(G27:G30)</f>
        <v>8</v>
      </c>
      <c r="H31" s="19">
        <f>SUM(H27:H30)</f>
        <v>7.2</v>
      </c>
      <c r="I31" s="19">
        <f t="shared" ref="I31:X31" si="5">SUM(I27:I30)</f>
        <v>7</v>
      </c>
      <c r="J31" s="19">
        <f t="shared" si="5"/>
        <v>6.5</v>
      </c>
      <c r="K31" s="19">
        <f t="shared" si="5"/>
        <v>6</v>
      </c>
      <c r="L31" s="19">
        <f t="shared" si="5"/>
        <v>7</v>
      </c>
      <c r="M31" s="19">
        <f t="shared" si="5"/>
        <v>9</v>
      </c>
      <c r="N31" s="19">
        <f t="shared" si="5"/>
        <v>10.7</v>
      </c>
      <c r="O31" s="19">
        <f t="shared" si="5"/>
        <v>10.899999999999999</v>
      </c>
      <c r="P31" s="19">
        <f t="shared" si="5"/>
        <v>14.1</v>
      </c>
      <c r="Q31" s="19">
        <f t="shared" si="5"/>
        <v>14.1</v>
      </c>
      <c r="R31" s="19">
        <f t="shared" si="5"/>
        <v>11.8</v>
      </c>
      <c r="S31" s="463">
        <f t="shared" si="5"/>
        <v>10.8</v>
      </c>
      <c r="T31" s="463">
        <f t="shared" si="5"/>
        <v>10.8</v>
      </c>
      <c r="U31" s="19">
        <f t="shared" si="5"/>
        <v>10.8</v>
      </c>
      <c r="V31" s="19">
        <f t="shared" si="5"/>
        <v>10</v>
      </c>
      <c r="W31" s="19">
        <f t="shared" si="5"/>
        <v>8</v>
      </c>
      <c r="X31" s="19">
        <f t="shared" si="5"/>
        <v>7</v>
      </c>
      <c r="Y31" s="19">
        <f>SUM(Y27:Y30)</f>
        <v>9.6999999999999993</v>
      </c>
      <c r="Z31" s="19">
        <f t="shared" ref="Z31:AC31" si="6">SUM(Z27:Z30)</f>
        <v>7.8000000000000007</v>
      </c>
      <c r="AA31" s="19">
        <f t="shared" si="6"/>
        <v>10.8</v>
      </c>
      <c r="AB31" s="19">
        <f t="shared" si="6"/>
        <v>6.5</v>
      </c>
      <c r="AC31" s="19">
        <f t="shared" si="6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342.24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14.32</v>
      </c>
      <c r="G33" s="357">
        <v>14.29</v>
      </c>
      <c r="H33" s="357">
        <v>14.3</v>
      </c>
      <c r="I33" s="359">
        <v>14.31</v>
      </c>
      <c r="J33" s="357">
        <v>14.28</v>
      </c>
      <c r="K33" s="357">
        <v>14.27</v>
      </c>
      <c r="L33" s="359">
        <v>14.24</v>
      </c>
      <c r="M33" s="357">
        <v>14.28</v>
      </c>
      <c r="N33" s="357">
        <v>14.29</v>
      </c>
      <c r="O33" s="357">
        <v>14.24</v>
      </c>
      <c r="P33" s="357">
        <v>14.15</v>
      </c>
      <c r="Q33" s="359">
        <v>14.18</v>
      </c>
      <c r="R33" s="357">
        <v>14.26</v>
      </c>
      <c r="S33" s="462">
        <v>14.28</v>
      </c>
      <c r="T33" s="462">
        <v>14.25</v>
      </c>
      <c r="U33" s="462">
        <v>14.27</v>
      </c>
      <c r="V33" s="359">
        <v>14.23</v>
      </c>
      <c r="W33" s="357">
        <v>14.25</v>
      </c>
      <c r="X33" s="357">
        <v>14.22</v>
      </c>
      <c r="Y33" s="357">
        <v>14.26</v>
      </c>
      <c r="Z33" s="357">
        <v>14.27</v>
      </c>
      <c r="AA33" s="357">
        <v>14.24</v>
      </c>
      <c r="AB33" s="357">
        <v>14.29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7">SUM(F33)</f>
        <v>14.32</v>
      </c>
      <c r="G34" s="19">
        <f t="shared" si="7"/>
        <v>14.29</v>
      </c>
      <c r="H34" s="19">
        <f t="shared" si="7"/>
        <v>14.3</v>
      </c>
      <c r="I34" s="19">
        <f t="shared" si="7"/>
        <v>14.31</v>
      </c>
      <c r="J34" s="19">
        <f t="shared" si="7"/>
        <v>14.28</v>
      </c>
      <c r="K34" s="19">
        <f t="shared" si="7"/>
        <v>14.27</v>
      </c>
      <c r="L34" s="19">
        <f t="shared" si="7"/>
        <v>14.24</v>
      </c>
      <c r="M34" s="19">
        <f t="shared" si="7"/>
        <v>14.28</v>
      </c>
      <c r="N34" s="19">
        <f t="shared" si="7"/>
        <v>14.29</v>
      </c>
      <c r="O34" s="19">
        <f t="shared" si="7"/>
        <v>14.24</v>
      </c>
      <c r="P34" s="19">
        <f t="shared" si="7"/>
        <v>14.15</v>
      </c>
      <c r="Q34" s="19">
        <f t="shared" si="7"/>
        <v>14.18</v>
      </c>
      <c r="R34" s="19">
        <f t="shared" si="7"/>
        <v>14.26</v>
      </c>
      <c r="S34" s="19">
        <f t="shared" si="7"/>
        <v>14.28</v>
      </c>
      <c r="T34" s="463">
        <f t="shared" si="7"/>
        <v>14.25</v>
      </c>
      <c r="U34" s="19">
        <f t="shared" si="7"/>
        <v>14.27</v>
      </c>
      <c r="V34" s="19">
        <f t="shared" si="7"/>
        <v>14.23</v>
      </c>
      <c r="W34" s="19">
        <f t="shared" si="7"/>
        <v>14.25</v>
      </c>
      <c r="X34" s="19">
        <f t="shared" si="7"/>
        <v>14.22</v>
      </c>
      <c r="Y34" s="19">
        <f t="shared" si="7"/>
        <v>14.26</v>
      </c>
      <c r="Z34" s="19">
        <f t="shared" si="7"/>
        <v>14.27</v>
      </c>
      <c r="AA34" s="19">
        <f t="shared" si="7"/>
        <v>14.24</v>
      </c>
      <c r="AB34" s="19">
        <f t="shared" si="7"/>
        <v>14.29</v>
      </c>
      <c r="AC34" s="19">
        <f t="shared" si="7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8">COUNTIF(F36:AC36,$AJ$8)</f>
        <v>0</v>
      </c>
      <c r="AG36" s="11">
        <f t="shared" ref="AG36:AG59" si="9">COUNTIF(G36:AD36,$AJ$7)</f>
        <v>0</v>
      </c>
      <c r="AH36" s="11">
        <f t="shared" ref="AH36:AH59" si="10">COUNT(F36:AC36)</f>
        <v>0</v>
      </c>
      <c r="AI36" s="159">
        <f>SUM(F36:AC38,F40:AC40,F45:AC59)</f>
        <v>11.500000000000002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8"/>
        <v>0</v>
      </c>
      <c r="AG37" s="11">
        <f t="shared" si="9"/>
        <v>0</v>
      </c>
      <c r="AH37" s="11">
        <f t="shared" si="10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8"/>
        <v>0</v>
      </c>
      <c r="AG38" s="11">
        <f t="shared" si="9"/>
        <v>0</v>
      </c>
      <c r="AH38" s="11">
        <f t="shared" si="10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9"/>
      <c r="Q40" s="357"/>
      <c r="R40" s="357"/>
      <c r="S40" s="462"/>
      <c r="T40" s="462"/>
      <c r="U40" s="357"/>
      <c r="V40" s="462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9"/>
      <c r="N47" s="357">
        <f>3.1/4</f>
        <v>0.77500000000000002</v>
      </c>
      <c r="O47" s="357">
        <v>0</v>
      </c>
      <c r="P47" s="357">
        <v>0</v>
      </c>
      <c r="Q47" s="357">
        <v>0.75</v>
      </c>
      <c r="R47" s="357"/>
      <c r="S47" s="462"/>
      <c r="T47" s="357"/>
      <c r="U47" s="357"/>
      <c r="V47" s="462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9"/>
      <c r="N48" s="357">
        <f>3.1/4</f>
        <v>0.77500000000000002</v>
      </c>
      <c r="O48" s="357">
        <v>0</v>
      </c>
      <c r="P48" s="357"/>
      <c r="Q48" s="357"/>
      <c r="R48" s="357"/>
      <c r="S48" s="462">
        <v>0.7</v>
      </c>
      <c r="T48" s="357">
        <v>0.7</v>
      </c>
      <c r="U48" s="357"/>
      <c r="V48" s="462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0.75</v>
      </c>
      <c r="M50" s="359">
        <v>0</v>
      </c>
      <c r="N50" s="357">
        <v>0</v>
      </c>
      <c r="O50" s="359">
        <v>0</v>
      </c>
      <c r="P50" s="359"/>
      <c r="Q50" s="357"/>
      <c r="R50" s="357"/>
      <c r="S50" s="462">
        <v>0.8</v>
      </c>
      <c r="T50" s="357"/>
      <c r="U50" s="357"/>
      <c r="V50" s="462"/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5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9"/>
      <c r="N51" s="357">
        <f>3.1/4</f>
        <v>0.77500000000000002</v>
      </c>
      <c r="O51" s="357">
        <v>0</v>
      </c>
      <c r="P51" s="359">
        <v>0.8</v>
      </c>
      <c r="Q51" s="357">
        <v>0.75</v>
      </c>
      <c r="R51" s="357"/>
      <c r="S51" s="462"/>
      <c r="T51" s="357">
        <v>0.8</v>
      </c>
      <c r="U51" s="357"/>
      <c r="V51" s="462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5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0.75</v>
      </c>
      <c r="M56" s="359">
        <v>0</v>
      </c>
      <c r="N56" s="357">
        <f>3.1/4</f>
        <v>0.77500000000000002</v>
      </c>
      <c r="O56" s="357">
        <v>0</v>
      </c>
      <c r="P56" s="359"/>
      <c r="Q56" s="357"/>
      <c r="R56" s="357"/>
      <c r="S56" s="462">
        <v>0.8</v>
      </c>
      <c r="T56" s="357">
        <v>0.8</v>
      </c>
      <c r="U56" s="357"/>
      <c r="V56" s="462"/>
      <c r="W56" s="357"/>
      <c r="X56" s="357"/>
      <c r="Y56" s="357"/>
      <c r="Z56" s="357"/>
      <c r="AA56" s="357"/>
      <c r="AB56" s="357"/>
      <c r="AC56" s="357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1.5</v>
      </c>
      <c r="M60" s="19">
        <f t="shared" si="11"/>
        <v>0</v>
      </c>
      <c r="N60" s="19">
        <f>SUM(N36:N59)</f>
        <v>3.1</v>
      </c>
      <c r="O60" s="19">
        <f t="shared" si="11"/>
        <v>0</v>
      </c>
      <c r="P60" s="19">
        <f t="shared" si="11"/>
        <v>0.8</v>
      </c>
      <c r="Q60" s="19">
        <f t="shared" si="11"/>
        <v>1.5</v>
      </c>
      <c r="R60" s="19">
        <f t="shared" si="11"/>
        <v>0</v>
      </c>
      <c r="S60" s="19">
        <f t="shared" si="11"/>
        <v>2.2999999999999998</v>
      </c>
      <c r="T60" s="19">
        <f t="shared" si="11"/>
        <v>2.2999999999999998</v>
      </c>
      <c r="U60" s="19">
        <f t="shared" si="11"/>
        <v>0</v>
      </c>
      <c r="V60" s="19">
        <f t="shared" si="11"/>
        <v>0</v>
      </c>
      <c r="W60" s="19">
        <f t="shared" si="11"/>
        <v>0</v>
      </c>
      <c r="X60" s="19">
        <f t="shared" si="11"/>
        <v>0</v>
      </c>
      <c r="Y60" s="19">
        <f>SUM(Y36:Y59)</f>
        <v>0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25.915000000000003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0.46500000000000002</v>
      </c>
      <c r="G62" s="357">
        <v>0.45</v>
      </c>
      <c r="H62" s="357">
        <v>0.44500000000000001</v>
      </c>
      <c r="I62" s="359">
        <f>0.93/2</f>
        <v>0.46500000000000002</v>
      </c>
      <c r="J62" s="357">
        <v>0.46</v>
      </c>
      <c r="K62" s="357">
        <v>0.47</v>
      </c>
      <c r="L62" s="357">
        <f>0.99/2</f>
        <v>0.495</v>
      </c>
      <c r="M62" s="357"/>
      <c r="N62" s="357"/>
      <c r="O62" s="357"/>
      <c r="P62" s="357"/>
      <c r="Q62" s="357"/>
      <c r="R62" s="357"/>
      <c r="S62" s="357">
        <v>0.62</v>
      </c>
      <c r="T62" s="357">
        <v>0.625</v>
      </c>
      <c r="U62" s="357">
        <f>1.21/2</f>
        <v>0.60499999999999998</v>
      </c>
      <c r="V62" s="357">
        <f>0.97/2</f>
        <v>0.48499999999999999</v>
      </c>
      <c r="W62" s="357">
        <v>0.51</v>
      </c>
      <c r="X62" s="462">
        <v>0.58499999999999996</v>
      </c>
      <c r="Y62" s="462">
        <v>0.67</v>
      </c>
      <c r="Z62" s="357">
        <f>1.31/2</f>
        <v>0.65500000000000003</v>
      </c>
      <c r="AA62" s="357">
        <f>1.21/2</f>
        <v>0.60499999999999998</v>
      </c>
      <c r="AB62" s="357">
        <v>0.5</v>
      </c>
      <c r="AC62" s="357">
        <f>0.97/2</f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</v>
      </c>
      <c r="G63" s="357">
        <v>0.45</v>
      </c>
      <c r="H63" s="357">
        <v>0.44500000000000001</v>
      </c>
      <c r="I63" s="359">
        <f>0.93/2</f>
        <v>0.46500000000000002</v>
      </c>
      <c r="J63" s="357">
        <v>0.46</v>
      </c>
      <c r="K63" s="357">
        <v>0.47</v>
      </c>
      <c r="L63" s="357">
        <f>0.99/2</f>
        <v>0.495</v>
      </c>
      <c r="M63" s="357">
        <v>0.5</v>
      </c>
      <c r="N63" s="357">
        <f>0.99/2</f>
        <v>0.495</v>
      </c>
      <c r="O63" s="357">
        <f>1.09/2</f>
        <v>0.54500000000000004</v>
      </c>
      <c r="P63" s="357">
        <v>0.6</v>
      </c>
      <c r="Q63" s="357">
        <v>0.61</v>
      </c>
      <c r="R63" s="357">
        <v>0.62</v>
      </c>
      <c r="S63" s="357"/>
      <c r="T63" s="462"/>
      <c r="U63" s="462"/>
      <c r="V63" s="462"/>
      <c r="W63" s="357"/>
      <c r="X63" s="462"/>
      <c r="Y63" s="462">
        <v>0.67</v>
      </c>
      <c r="Z63" s="357">
        <f>1.31/2</f>
        <v>0.65500000000000003</v>
      </c>
      <c r="AA63" s="357">
        <f>1.21/2</f>
        <v>0.60499999999999998</v>
      </c>
      <c r="AB63" s="357">
        <v>0.5</v>
      </c>
      <c r="AC63" s="357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0.46500000000000002</v>
      </c>
      <c r="G64" s="357"/>
      <c r="H64" s="357"/>
      <c r="I64" s="359"/>
      <c r="J64" s="357"/>
      <c r="K64" s="357"/>
      <c r="L64" s="357"/>
      <c r="M64" s="357">
        <v>0.5</v>
      </c>
      <c r="N64" s="357">
        <f>1/2</f>
        <v>0.5</v>
      </c>
      <c r="O64" s="357">
        <f>1.09/2</f>
        <v>0.54500000000000004</v>
      </c>
      <c r="P64" s="357">
        <v>0.6</v>
      </c>
      <c r="Q64" s="357">
        <v>0.61</v>
      </c>
      <c r="R64" s="357">
        <v>0.61</v>
      </c>
      <c r="S64" s="357">
        <v>0.61</v>
      </c>
      <c r="T64" s="462">
        <v>0.625</v>
      </c>
      <c r="U64" s="357">
        <f>1.21/2</f>
        <v>0.60499999999999998</v>
      </c>
      <c r="V64" s="357">
        <f>0.97/2</f>
        <v>0.48499999999999999</v>
      </c>
      <c r="W64" s="357">
        <v>0.51</v>
      </c>
      <c r="X64" s="462">
        <v>0.58499999999999996</v>
      </c>
      <c r="Y64" s="462"/>
      <c r="Z64" s="462"/>
      <c r="AA64" s="462"/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0.93</v>
      </c>
      <c r="G65" s="19">
        <f t="shared" ref="G65:AB65" si="12">SUM(G62:G64)</f>
        <v>0.9</v>
      </c>
      <c r="H65" s="19">
        <f t="shared" si="12"/>
        <v>0.89</v>
      </c>
      <c r="I65" s="19">
        <f t="shared" si="12"/>
        <v>0.93</v>
      </c>
      <c r="J65" s="19">
        <f t="shared" si="12"/>
        <v>0.92</v>
      </c>
      <c r="K65" s="19">
        <f t="shared" si="12"/>
        <v>0.94</v>
      </c>
      <c r="L65" s="19">
        <f t="shared" si="12"/>
        <v>0.99</v>
      </c>
      <c r="M65" s="19">
        <f t="shared" si="12"/>
        <v>1</v>
      </c>
      <c r="N65" s="19">
        <f t="shared" si="12"/>
        <v>0.995</v>
      </c>
      <c r="O65" s="19">
        <f t="shared" si="12"/>
        <v>1.0900000000000001</v>
      </c>
      <c r="P65" s="19">
        <f t="shared" si="12"/>
        <v>1.2</v>
      </c>
      <c r="Q65" s="19">
        <f t="shared" si="12"/>
        <v>1.22</v>
      </c>
      <c r="R65" s="19">
        <f t="shared" si="12"/>
        <v>1.23</v>
      </c>
      <c r="S65" s="463">
        <f t="shared" si="12"/>
        <v>1.23</v>
      </c>
      <c r="T65" s="463">
        <f t="shared" si="12"/>
        <v>1.25</v>
      </c>
      <c r="U65" s="463">
        <f t="shared" si="12"/>
        <v>1.21</v>
      </c>
      <c r="V65" s="19">
        <f>SUM(V62:V64)</f>
        <v>0.97</v>
      </c>
      <c r="W65" s="19">
        <f t="shared" si="12"/>
        <v>1.02</v>
      </c>
      <c r="X65" s="19">
        <f t="shared" si="12"/>
        <v>1.17</v>
      </c>
      <c r="Y65" s="19">
        <f>SUM(Y62:Y64)</f>
        <v>1.34</v>
      </c>
      <c r="Z65" s="19">
        <f>SUM(Z62:Z64)</f>
        <v>1.31</v>
      </c>
      <c r="AA65" s="19">
        <f t="shared" si="12"/>
        <v>1.21</v>
      </c>
      <c r="AB65" s="19">
        <f t="shared" si="12"/>
        <v>1</v>
      </c>
      <c r="AC65" s="19">
        <f>SUM(AC62:AC64)</f>
        <v>0.97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3">COUNTIF(F67:AC67,$AF$11)</f>
        <v>0</v>
      </c>
      <c r="AG67" s="11">
        <f t="shared" ref="AG67:AG75" si="14">COUNTIF(G67:AC67,$AG$11)</f>
        <v>0</v>
      </c>
      <c r="AH67" s="11">
        <f t="shared" ref="AH67:AH75" si="1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3"/>
        <v>0</v>
      </c>
      <c r="AG74" s="11">
        <f t="shared" si="14"/>
        <v>0</v>
      </c>
      <c r="AH74" s="11">
        <f t="shared" si="1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3"/>
        <v>0</v>
      </c>
      <c r="AG75" s="11">
        <f t="shared" si="14"/>
        <v>0</v>
      </c>
      <c r="AH75" s="11">
        <f t="shared" si="1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6">SUM(F67:F75)</f>
        <v>0</v>
      </c>
      <c r="G76" s="19">
        <f t="shared" si="16"/>
        <v>0</v>
      </c>
      <c r="H76" s="19">
        <f t="shared" si="16"/>
        <v>0</v>
      </c>
      <c r="I76" s="19">
        <f t="shared" si="16"/>
        <v>0</v>
      </c>
      <c r="J76" s="19">
        <f t="shared" si="16"/>
        <v>0</v>
      </c>
      <c r="K76" s="19">
        <f t="shared" si="16"/>
        <v>0</v>
      </c>
      <c r="L76" s="19">
        <f>SUM(L67:L75)</f>
        <v>0</v>
      </c>
      <c r="M76" s="19">
        <f t="shared" si="16"/>
        <v>0</v>
      </c>
      <c r="N76" s="19">
        <f t="shared" si="16"/>
        <v>0</v>
      </c>
      <c r="O76" s="19">
        <f t="shared" si="16"/>
        <v>0</v>
      </c>
      <c r="P76" s="19">
        <f t="shared" si="16"/>
        <v>0</v>
      </c>
      <c r="Q76" s="19">
        <f>SUM(Q67:Q75)</f>
        <v>0</v>
      </c>
      <c r="R76" s="19">
        <f t="shared" si="16"/>
        <v>0</v>
      </c>
      <c r="S76" s="463">
        <f t="shared" si="16"/>
        <v>0</v>
      </c>
      <c r="T76" s="463">
        <f t="shared" si="16"/>
        <v>0</v>
      </c>
      <c r="U76" s="19">
        <f t="shared" si="16"/>
        <v>0</v>
      </c>
      <c r="V76" s="19">
        <f t="shared" si="16"/>
        <v>0</v>
      </c>
      <c r="W76" s="19">
        <f t="shared" si="16"/>
        <v>0</v>
      </c>
      <c r="X76" s="19">
        <f t="shared" si="16"/>
        <v>0</v>
      </c>
      <c r="Y76" s="19">
        <f t="shared" si="16"/>
        <v>0</v>
      </c>
      <c r="Z76" s="19">
        <f t="shared" si="16"/>
        <v>0</v>
      </c>
      <c r="AA76" s="19">
        <f t="shared" si="16"/>
        <v>0</v>
      </c>
      <c r="AB76" s="19">
        <f t="shared" si="16"/>
        <v>0</v>
      </c>
      <c r="AC76" s="19">
        <f t="shared" si="16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19.16</v>
      </c>
    </row>
    <row r="78" spans="1:124">
      <c r="A78" s="14" t="s">
        <v>67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9">
        <v>0.76</v>
      </c>
      <c r="N78" s="359">
        <v>0.76</v>
      </c>
      <c r="O78" s="357">
        <v>0.81</v>
      </c>
      <c r="P78" s="357">
        <v>0.84</v>
      </c>
      <c r="Q78" s="357">
        <v>0.83</v>
      </c>
      <c r="R78" s="357">
        <v>0.86</v>
      </c>
      <c r="S78" s="357">
        <v>0.86</v>
      </c>
      <c r="T78" s="357">
        <v>0.84</v>
      </c>
      <c r="U78" s="357">
        <v>0.82</v>
      </c>
      <c r="V78" s="462">
        <v>0.76</v>
      </c>
      <c r="W78" s="357">
        <v>0.79</v>
      </c>
      <c r="X78" s="357">
        <v>0.83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</v>
      </c>
      <c r="G79" s="357">
        <v>0.76</v>
      </c>
      <c r="H79" s="357">
        <v>0.74</v>
      </c>
      <c r="I79" s="357">
        <v>0.72</v>
      </c>
      <c r="J79" s="357">
        <v>0.7</v>
      </c>
      <c r="K79" s="357">
        <v>0.7</v>
      </c>
      <c r="L79" s="359">
        <v>0.74</v>
      </c>
      <c r="M79" s="359"/>
      <c r="N79" s="359"/>
      <c r="O79" s="357"/>
      <c r="P79" s="357"/>
      <c r="Q79" s="357"/>
      <c r="R79" s="357"/>
      <c r="S79" s="357"/>
      <c r="T79" s="357"/>
      <c r="U79" s="357"/>
      <c r="V79" s="357"/>
      <c r="W79" s="357"/>
      <c r="X79" s="357"/>
      <c r="Y79" s="357">
        <v>0.81</v>
      </c>
      <c r="Z79" s="357">
        <v>0.9</v>
      </c>
      <c r="AA79" s="357">
        <v>0.87</v>
      </c>
      <c r="AB79" s="357">
        <v>0.84</v>
      </c>
      <c r="AC79" s="357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7">SUM(F78:F79)</f>
        <v>0.8</v>
      </c>
      <c r="G80" s="19">
        <f t="shared" si="17"/>
        <v>0.76</v>
      </c>
      <c r="H80" s="19">
        <f>SUM(H78:H79)</f>
        <v>0.74</v>
      </c>
      <c r="I80" s="19">
        <f>SUM(I78:I79)</f>
        <v>0.72</v>
      </c>
      <c r="J80" s="19">
        <f t="shared" ref="J80:AC80" si="18">SUM(J78:J79)</f>
        <v>0.7</v>
      </c>
      <c r="K80" s="19">
        <f t="shared" si="18"/>
        <v>0.7</v>
      </c>
      <c r="L80" s="19">
        <f>SUM(L78:L79)</f>
        <v>0.74</v>
      </c>
      <c r="M80" s="19">
        <f t="shared" si="18"/>
        <v>0.76</v>
      </c>
      <c r="N80" s="19">
        <f t="shared" si="18"/>
        <v>0.76</v>
      </c>
      <c r="O80" s="19">
        <f>SUM(O78:O79)</f>
        <v>0.81</v>
      </c>
      <c r="P80" s="19">
        <f>SUM(P78:P79)</f>
        <v>0.84</v>
      </c>
      <c r="Q80" s="19">
        <f t="shared" si="18"/>
        <v>0.83</v>
      </c>
      <c r="R80" s="19">
        <f t="shared" si="18"/>
        <v>0.86</v>
      </c>
      <c r="S80" s="463">
        <f t="shared" si="18"/>
        <v>0.86</v>
      </c>
      <c r="T80" s="463">
        <f t="shared" si="18"/>
        <v>0.84</v>
      </c>
      <c r="U80" s="19">
        <f t="shared" si="18"/>
        <v>0.82</v>
      </c>
      <c r="V80" s="19">
        <f t="shared" si="18"/>
        <v>0.76</v>
      </c>
      <c r="W80" s="19">
        <f t="shared" si="18"/>
        <v>0.79</v>
      </c>
      <c r="X80" s="19">
        <f t="shared" si="18"/>
        <v>0.83</v>
      </c>
      <c r="Y80" s="19">
        <f t="shared" si="18"/>
        <v>0.81</v>
      </c>
      <c r="Z80" s="19">
        <f t="shared" si="18"/>
        <v>0.9</v>
      </c>
      <c r="AA80" s="19">
        <f t="shared" si="18"/>
        <v>0.87</v>
      </c>
      <c r="AB80" s="19">
        <f t="shared" si="18"/>
        <v>0.84</v>
      </c>
      <c r="AC80" s="19">
        <f t="shared" si="18"/>
        <v>0.82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19">SUM(F17,F22,F25,F31,F34,F60,F65,F76,F80,F82)</f>
        <v>40.65</v>
      </c>
      <c r="G83" s="28">
        <f>SUM(G17,G22,G25,G31,G34,G60,G65,G76,G80,G82)</f>
        <v>37.549999999999997</v>
      </c>
      <c r="H83" s="28">
        <f t="shared" ref="H83:AC83" si="20">SUM(H17,H22,H25,H31,H34,H60,H65,H76,H80,H82)</f>
        <v>36.530000000000008</v>
      </c>
      <c r="I83" s="28">
        <f t="shared" si="20"/>
        <v>35.96</v>
      </c>
      <c r="J83" s="28">
        <f t="shared" si="20"/>
        <v>35.6</v>
      </c>
      <c r="K83" s="28">
        <f t="shared" si="20"/>
        <v>35.510000000000005</v>
      </c>
      <c r="L83" s="28">
        <f t="shared" si="20"/>
        <v>37.67</v>
      </c>
      <c r="M83" s="28">
        <f t="shared" si="20"/>
        <v>38.239999999999995</v>
      </c>
      <c r="N83" s="28">
        <f t="shared" si="20"/>
        <v>43.644999999999996</v>
      </c>
      <c r="O83" s="28">
        <f t="shared" si="20"/>
        <v>48.540000000000006</v>
      </c>
      <c r="P83" s="28">
        <f t="shared" si="20"/>
        <v>54.09</v>
      </c>
      <c r="Q83" s="28">
        <f t="shared" si="20"/>
        <v>54.629999999999995</v>
      </c>
      <c r="R83" s="28">
        <f t="shared" si="20"/>
        <v>50.649999999999991</v>
      </c>
      <c r="S83" s="518">
        <f t="shared" si="20"/>
        <v>54.269999999999996</v>
      </c>
      <c r="T83" s="518">
        <f t="shared" si="20"/>
        <v>53.34</v>
      </c>
      <c r="U83" s="518">
        <f t="shared" si="20"/>
        <v>51.400000000000006</v>
      </c>
      <c r="V83" s="28">
        <f t="shared" si="20"/>
        <v>49.359999999999992</v>
      </c>
      <c r="W83" s="28">
        <f t="shared" si="20"/>
        <v>47.160000000000004</v>
      </c>
      <c r="X83" s="28">
        <f t="shared" si="20"/>
        <v>46.82</v>
      </c>
      <c r="Y83" s="28">
        <f t="shared" si="20"/>
        <v>50.010000000000005</v>
      </c>
      <c r="Z83" s="28">
        <f t="shared" si="20"/>
        <v>46.88</v>
      </c>
      <c r="AA83" s="28">
        <f t="shared" si="20"/>
        <v>46.919999999999995</v>
      </c>
      <c r="AB83" s="28">
        <f t="shared" si="20"/>
        <v>42.730000000000004</v>
      </c>
      <c r="AC83" s="28">
        <f t="shared" si="20"/>
        <v>39.660000000000004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1">SUM(F22,F25)</f>
        <v>0</v>
      </c>
      <c r="G89" s="64">
        <f t="shared" si="21"/>
        <v>0</v>
      </c>
      <c r="H89" s="64">
        <f t="shared" si="21"/>
        <v>0</v>
      </c>
      <c r="I89" s="64">
        <f t="shared" si="21"/>
        <v>0</v>
      </c>
      <c r="J89" s="64">
        <f t="shared" si="21"/>
        <v>0</v>
      </c>
      <c r="K89" s="64">
        <f t="shared" si="21"/>
        <v>0</v>
      </c>
      <c r="L89" s="64">
        <f t="shared" si="21"/>
        <v>0</v>
      </c>
      <c r="M89" s="64">
        <f t="shared" si="21"/>
        <v>0</v>
      </c>
      <c r="N89" s="64">
        <f t="shared" si="21"/>
        <v>0</v>
      </c>
      <c r="O89" s="64">
        <f t="shared" si="21"/>
        <v>2</v>
      </c>
      <c r="P89" s="64">
        <f t="shared" si="21"/>
        <v>3</v>
      </c>
      <c r="Q89" s="64">
        <f t="shared" si="21"/>
        <v>3</v>
      </c>
      <c r="R89" s="64">
        <f t="shared" si="21"/>
        <v>3</v>
      </c>
      <c r="S89" s="64">
        <f t="shared" si="21"/>
        <v>3.8</v>
      </c>
      <c r="T89" s="64">
        <f t="shared" si="21"/>
        <v>3.8</v>
      </c>
      <c r="U89" s="64">
        <f t="shared" si="21"/>
        <v>3.8</v>
      </c>
      <c r="V89" s="64">
        <f t="shared" si="21"/>
        <v>3</v>
      </c>
      <c r="W89" s="64">
        <f t="shared" si="21"/>
        <v>3</v>
      </c>
      <c r="X89" s="64">
        <f t="shared" si="21"/>
        <v>3.5</v>
      </c>
      <c r="Y89" s="64">
        <f t="shared" si="21"/>
        <v>3.8</v>
      </c>
      <c r="Z89" s="64">
        <f t="shared" si="21"/>
        <v>2.5</v>
      </c>
      <c r="AA89" s="64">
        <f t="shared" si="21"/>
        <v>0</v>
      </c>
      <c r="AB89" s="64">
        <f t="shared" si="21"/>
        <v>0</v>
      </c>
      <c r="AC89" s="64">
        <f t="shared" si="21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0.23100000000000001</v>
      </c>
      <c r="Q90" s="68">
        <v>0.26500000000000001</v>
      </c>
      <c r="R90" s="68">
        <v>0.20499999999999999</v>
      </c>
      <c r="S90" s="68">
        <v>0.26800000000000002</v>
      </c>
      <c r="T90" s="68">
        <v>0.25</v>
      </c>
      <c r="U90" s="68">
        <v>0.246</v>
      </c>
      <c r="V90" s="68">
        <v>0.20599999999999999</v>
      </c>
      <c r="W90" s="68">
        <v>0.224</v>
      </c>
      <c r="X90" s="68">
        <v>0.248</v>
      </c>
      <c r="Y90" s="68">
        <v>0.245</v>
      </c>
      <c r="Z90" s="68">
        <v>0.26700000000000002</v>
      </c>
      <c r="AA90" s="68" t="s">
        <v>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2">F17</f>
        <v>13.6</v>
      </c>
      <c r="G91" s="64">
        <f t="shared" si="22"/>
        <v>13.6</v>
      </c>
      <c r="H91" s="64">
        <f t="shared" si="22"/>
        <v>13.4</v>
      </c>
      <c r="I91" s="64">
        <f t="shared" si="22"/>
        <v>13</v>
      </c>
      <c r="J91" s="64">
        <f t="shared" si="22"/>
        <v>13.2</v>
      </c>
      <c r="K91" s="64">
        <f t="shared" si="22"/>
        <v>13.6</v>
      </c>
      <c r="L91" s="64">
        <f t="shared" si="22"/>
        <v>13.2</v>
      </c>
      <c r="M91" s="64">
        <f t="shared" si="22"/>
        <v>13.2</v>
      </c>
      <c r="N91" s="64">
        <f t="shared" si="22"/>
        <v>13.8</v>
      </c>
      <c r="O91" s="64">
        <f t="shared" si="22"/>
        <v>19.5</v>
      </c>
      <c r="P91" s="64">
        <f t="shared" si="22"/>
        <v>20</v>
      </c>
      <c r="Q91" s="64">
        <f t="shared" si="22"/>
        <v>19.799999999999997</v>
      </c>
      <c r="R91" s="64">
        <f t="shared" si="22"/>
        <v>19.5</v>
      </c>
      <c r="S91" s="64">
        <f t="shared" si="22"/>
        <v>21</v>
      </c>
      <c r="T91" s="64">
        <f t="shared" si="22"/>
        <v>20.100000000000001</v>
      </c>
      <c r="U91" s="64">
        <f t="shared" si="22"/>
        <v>20.5</v>
      </c>
      <c r="V91" s="64">
        <f t="shared" si="22"/>
        <v>20.399999999999999</v>
      </c>
      <c r="W91" s="64">
        <f t="shared" si="22"/>
        <v>20.100000000000001</v>
      </c>
      <c r="X91" s="64">
        <f t="shared" si="22"/>
        <v>20.100000000000001</v>
      </c>
      <c r="Y91" s="64">
        <f t="shared" si="22"/>
        <v>20.100000000000001</v>
      </c>
      <c r="Z91" s="64">
        <f t="shared" si="22"/>
        <v>20.100000000000001</v>
      </c>
      <c r="AA91" s="64">
        <f t="shared" si="22"/>
        <v>19.799999999999997</v>
      </c>
      <c r="AB91" s="64">
        <f t="shared" si="22"/>
        <v>20.100000000000001</v>
      </c>
      <c r="AC91" s="64">
        <f t="shared" si="22"/>
        <v>12.8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0.52600000000000002</v>
      </c>
      <c r="G92" s="68">
        <v>0.48</v>
      </c>
      <c r="H92" s="68">
        <v>0.45</v>
      </c>
      <c r="I92" s="68">
        <v>0.58499999999999996</v>
      </c>
      <c r="J92" s="68">
        <v>0.63100000000000001</v>
      </c>
      <c r="K92" s="68">
        <v>0.69499999999999995</v>
      </c>
      <c r="L92" s="68">
        <v>0.68</v>
      </c>
      <c r="M92" s="68">
        <v>0.70199999999999996</v>
      </c>
      <c r="N92" s="68">
        <v>0.83</v>
      </c>
      <c r="O92" s="68">
        <v>0.60699999999999998</v>
      </c>
      <c r="P92" s="68">
        <v>0.53100000000000003</v>
      </c>
      <c r="Q92" s="68">
        <v>0.74</v>
      </c>
      <c r="R92" s="68">
        <v>0.58099999999999996</v>
      </c>
      <c r="S92" s="68">
        <v>0.54500000000000004</v>
      </c>
      <c r="T92" s="68">
        <v>0.72899999999999998</v>
      </c>
      <c r="U92" s="68">
        <v>0.73</v>
      </c>
      <c r="V92" s="68">
        <v>0.77200000000000002</v>
      </c>
      <c r="W92" s="68">
        <v>0.75800000000000001</v>
      </c>
      <c r="X92" s="68">
        <v>0.74199999999999999</v>
      </c>
      <c r="Y92" s="68">
        <v>0.746</v>
      </c>
      <c r="Z92" s="68">
        <v>0.60699999999999998</v>
      </c>
      <c r="AA92" s="68">
        <v>0.63300000000000001</v>
      </c>
      <c r="AB92" s="68">
        <v>0.65300000000000002</v>
      </c>
      <c r="AC92" s="68">
        <v>0.76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3">F31</f>
        <v>11</v>
      </c>
      <c r="G93" s="65">
        <f t="shared" si="23"/>
        <v>8</v>
      </c>
      <c r="H93" s="65">
        <f t="shared" si="23"/>
        <v>7.2</v>
      </c>
      <c r="I93" s="65">
        <f t="shared" si="23"/>
        <v>7</v>
      </c>
      <c r="J93" s="65">
        <f t="shared" si="23"/>
        <v>6.5</v>
      </c>
      <c r="K93" s="65">
        <f>K31</f>
        <v>6</v>
      </c>
      <c r="L93" s="65">
        <f t="shared" si="23"/>
        <v>7</v>
      </c>
      <c r="M93" s="65">
        <f t="shared" si="23"/>
        <v>9</v>
      </c>
      <c r="N93" s="65">
        <f t="shared" si="23"/>
        <v>10.7</v>
      </c>
      <c r="O93" s="65">
        <f t="shared" si="23"/>
        <v>10.899999999999999</v>
      </c>
      <c r="P93" s="65">
        <f t="shared" si="23"/>
        <v>14.1</v>
      </c>
      <c r="Q93" s="65">
        <f t="shared" si="23"/>
        <v>14.1</v>
      </c>
      <c r="R93" s="65">
        <f t="shared" si="23"/>
        <v>11.8</v>
      </c>
      <c r="S93" s="65">
        <f t="shared" si="23"/>
        <v>10.8</v>
      </c>
      <c r="T93" s="65">
        <f t="shared" si="23"/>
        <v>10.8</v>
      </c>
      <c r="U93" s="65">
        <f t="shared" si="23"/>
        <v>10.8</v>
      </c>
      <c r="V93" s="65">
        <f t="shared" si="23"/>
        <v>10</v>
      </c>
      <c r="W93" s="65">
        <f t="shared" si="23"/>
        <v>8</v>
      </c>
      <c r="X93" s="65">
        <f t="shared" si="23"/>
        <v>7</v>
      </c>
      <c r="Y93" s="65">
        <f t="shared" si="23"/>
        <v>9.6999999999999993</v>
      </c>
      <c r="Z93" s="65">
        <f t="shared" si="23"/>
        <v>7.8000000000000007</v>
      </c>
      <c r="AA93" s="65">
        <f t="shared" si="23"/>
        <v>10.8</v>
      </c>
      <c r="AB93" s="65">
        <f t="shared" si="23"/>
        <v>6.5</v>
      </c>
      <c r="AC93" s="65">
        <f t="shared" si="23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0.21</v>
      </c>
      <c r="G94" s="68">
        <v>0.20100000000000001</v>
      </c>
      <c r="H94" s="68">
        <v>0.18</v>
      </c>
      <c r="I94" s="68">
        <v>8.3000000000000004E-2</v>
      </c>
      <c r="J94" s="68">
        <v>8.2000000000000003E-2</v>
      </c>
      <c r="K94" s="68">
        <v>8.7999999999999995E-2</v>
      </c>
      <c r="L94" s="68">
        <v>0.159</v>
      </c>
      <c r="M94" s="68">
        <v>0.19900000000000001</v>
      </c>
      <c r="N94" s="68">
        <v>0.188</v>
      </c>
      <c r="O94" s="68">
        <v>0.20499999999999999</v>
      </c>
      <c r="P94" s="68">
        <v>0.19400000000000001</v>
      </c>
      <c r="Q94" s="68">
        <v>0.20100000000000001</v>
      </c>
      <c r="R94" s="68">
        <v>0.22500000000000001</v>
      </c>
      <c r="S94" s="68">
        <v>0.26200000000000001</v>
      </c>
      <c r="T94" s="68">
        <v>0.17</v>
      </c>
      <c r="U94" s="68">
        <v>0.17799999999999999</v>
      </c>
      <c r="V94" s="68">
        <v>0.19900000000000001</v>
      </c>
      <c r="W94" s="68">
        <v>0.192</v>
      </c>
      <c r="X94" s="68">
        <v>0.19800000000000001</v>
      </c>
      <c r="Y94" s="68">
        <v>0.191</v>
      </c>
      <c r="Z94" s="68">
        <v>0.17299999999999999</v>
      </c>
      <c r="AA94" s="68">
        <v>0.184</v>
      </c>
      <c r="AB94" s="68">
        <v>0.17799999999999999</v>
      </c>
      <c r="AC94" s="68">
        <v>0.17599999999999999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</v>
      </c>
      <c r="G95" s="68">
        <v>0.218</v>
      </c>
      <c r="H95" s="68">
        <v>0.20899999999999999</v>
      </c>
      <c r="I95" s="68">
        <v>0.2</v>
      </c>
      <c r="J95" s="68">
        <v>0.20100000000000001</v>
      </c>
      <c r="K95" s="68">
        <v>0.2</v>
      </c>
      <c r="L95" s="68">
        <v>0.20300000000000001</v>
      </c>
      <c r="M95" s="68">
        <v>0.19900000000000001</v>
      </c>
      <c r="N95" s="68">
        <v>0.22600000000000001</v>
      </c>
      <c r="O95" s="68">
        <v>0.221</v>
      </c>
      <c r="P95" s="68">
        <v>0.23</v>
      </c>
      <c r="Q95" s="68">
        <v>0.23200000000000001</v>
      </c>
      <c r="R95" s="68">
        <v>0.23200000000000001</v>
      </c>
      <c r="S95" s="68">
        <v>0.20100000000000001</v>
      </c>
      <c r="T95" s="68">
        <v>0.20100000000000001</v>
      </c>
      <c r="U95" s="68">
        <v>0.20100000000000001</v>
      </c>
      <c r="V95" s="68">
        <v>0.2</v>
      </c>
      <c r="W95" s="68">
        <v>0.2</v>
      </c>
      <c r="X95" s="68">
        <v>0.2</v>
      </c>
      <c r="Y95" s="68">
        <v>0.2</v>
      </c>
      <c r="Z95" s="68">
        <v>0.2</v>
      </c>
      <c r="AA95" s="68">
        <v>0.21099999999999999</v>
      </c>
      <c r="AB95" s="68">
        <v>0.20499999999999999</v>
      </c>
      <c r="AC95" s="68">
        <v>0.21299999999999999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4">F34</f>
        <v>14.32</v>
      </c>
      <c r="G96" s="65">
        <f t="shared" si="24"/>
        <v>14.29</v>
      </c>
      <c r="H96" s="65">
        <f t="shared" si="24"/>
        <v>14.3</v>
      </c>
      <c r="I96" s="65">
        <f t="shared" si="24"/>
        <v>14.31</v>
      </c>
      <c r="J96" s="65">
        <f t="shared" si="24"/>
        <v>14.28</v>
      </c>
      <c r="K96" s="65">
        <f t="shared" si="24"/>
        <v>14.27</v>
      </c>
      <c r="L96" s="65">
        <f t="shared" si="24"/>
        <v>14.24</v>
      </c>
      <c r="M96" s="65">
        <f t="shared" si="24"/>
        <v>14.28</v>
      </c>
      <c r="N96" s="65">
        <f t="shared" si="24"/>
        <v>14.29</v>
      </c>
      <c r="O96" s="65">
        <f t="shared" si="24"/>
        <v>14.24</v>
      </c>
      <c r="P96" s="65">
        <f t="shared" si="24"/>
        <v>14.15</v>
      </c>
      <c r="Q96" s="65">
        <f t="shared" si="24"/>
        <v>14.18</v>
      </c>
      <c r="R96" s="65">
        <f t="shared" si="24"/>
        <v>14.26</v>
      </c>
      <c r="S96" s="65">
        <f t="shared" si="24"/>
        <v>14.28</v>
      </c>
      <c r="T96" s="65">
        <f t="shared" si="24"/>
        <v>14.25</v>
      </c>
      <c r="U96" s="65">
        <f t="shared" si="24"/>
        <v>14.27</v>
      </c>
      <c r="V96" s="65">
        <f t="shared" si="24"/>
        <v>14.23</v>
      </c>
      <c r="W96" s="65">
        <f t="shared" si="24"/>
        <v>14.25</v>
      </c>
      <c r="X96" s="65">
        <f t="shared" si="24"/>
        <v>14.22</v>
      </c>
      <c r="Y96" s="65">
        <f t="shared" si="24"/>
        <v>14.26</v>
      </c>
      <c r="Z96" s="65">
        <f t="shared" si="24"/>
        <v>14.27</v>
      </c>
      <c r="AA96" s="65">
        <f t="shared" si="24"/>
        <v>14.24</v>
      </c>
      <c r="AB96" s="65">
        <f t="shared" si="24"/>
        <v>14.29</v>
      </c>
      <c r="AC96" s="65">
        <f t="shared" si="24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0.68</v>
      </c>
      <c r="G97" s="68">
        <v>0.71</v>
      </c>
      <c r="H97" s="68">
        <v>0.7</v>
      </c>
      <c r="I97" s="68">
        <v>0.69</v>
      </c>
      <c r="J97" s="68">
        <v>0.72</v>
      </c>
      <c r="K97" s="68">
        <v>0.73</v>
      </c>
      <c r="L97" s="68">
        <v>0.76</v>
      </c>
      <c r="M97" s="68">
        <v>0.72</v>
      </c>
      <c r="N97" s="68">
        <v>0.71</v>
      </c>
      <c r="O97" s="68">
        <v>0.76</v>
      </c>
      <c r="P97" s="68">
        <v>0.85</v>
      </c>
      <c r="Q97" s="68">
        <v>0.82</v>
      </c>
      <c r="R97" s="68">
        <v>0.74</v>
      </c>
      <c r="S97" s="68">
        <v>0.72</v>
      </c>
      <c r="T97" s="68">
        <v>0.75</v>
      </c>
      <c r="U97" s="68">
        <v>0.73</v>
      </c>
      <c r="V97" s="68">
        <v>0.77</v>
      </c>
      <c r="W97" s="68">
        <v>0.75</v>
      </c>
      <c r="X97" s="68">
        <v>0.78</v>
      </c>
      <c r="Y97" s="68">
        <v>0.74</v>
      </c>
      <c r="Z97" s="68">
        <v>0.73</v>
      </c>
      <c r="AA97" s="68">
        <v>0.76</v>
      </c>
      <c r="AB97" s="68">
        <v>0.71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5">F60</f>
        <v>0</v>
      </c>
      <c r="G98" s="64">
        <f t="shared" si="25"/>
        <v>0</v>
      </c>
      <c r="H98" s="64">
        <f t="shared" si="25"/>
        <v>0</v>
      </c>
      <c r="I98" s="64">
        <f t="shared" si="25"/>
        <v>0</v>
      </c>
      <c r="J98" s="64">
        <f t="shared" si="25"/>
        <v>0</v>
      </c>
      <c r="K98" s="64">
        <f t="shared" si="25"/>
        <v>0</v>
      </c>
      <c r="L98" s="64">
        <f t="shared" si="25"/>
        <v>1.5</v>
      </c>
      <c r="M98" s="64">
        <f t="shared" si="25"/>
        <v>0</v>
      </c>
      <c r="N98" s="64">
        <f t="shared" si="25"/>
        <v>3.1</v>
      </c>
      <c r="O98" s="64">
        <f t="shared" si="25"/>
        <v>0</v>
      </c>
      <c r="P98" s="64">
        <f t="shared" si="25"/>
        <v>0.8</v>
      </c>
      <c r="Q98" s="64">
        <f t="shared" si="25"/>
        <v>1.5</v>
      </c>
      <c r="R98" s="64">
        <f t="shared" si="25"/>
        <v>0</v>
      </c>
      <c r="S98" s="64">
        <f t="shared" si="25"/>
        <v>2.2999999999999998</v>
      </c>
      <c r="T98" s="64">
        <f t="shared" si="25"/>
        <v>2.2999999999999998</v>
      </c>
      <c r="U98" s="64">
        <f t="shared" si="25"/>
        <v>0</v>
      </c>
      <c r="V98" s="64">
        <f t="shared" si="25"/>
        <v>0</v>
      </c>
      <c r="W98" s="64">
        <f t="shared" si="25"/>
        <v>0</v>
      </c>
      <c r="X98" s="64">
        <f t="shared" si="25"/>
        <v>0</v>
      </c>
      <c r="Y98" s="64">
        <f t="shared" si="25"/>
        <v>0</v>
      </c>
      <c r="Z98" s="64">
        <f t="shared" si="25"/>
        <v>0</v>
      </c>
      <c r="AA98" s="64">
        <f t="shared" si="25"/>
        <v>0</v>
      </c>
      <c r="AB98" s="64">
        <f t="shared" si="25"/>
        <v>0</v>
      </c>
      <c r="AC98" s="64">
        <f t="shared" si="25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6">F65</f>
        <v>0.93</v>
      </c>
      <c r="G99" s="64">
        <f t="shared" si="26"/>
        <v>0.9</v>
      </c>
      <c r="H99" s="64">
        <f t="shared" si="26"/>
        <v>0.89</v>
      </c>
      <c r="I99" s="64">
        <f t="shared" si="26"/>
        <v>0.93</v>
      </c>
      <c r="J99" s="64">
        <f t="shared" si="26"/>
        <v>0.92</v>
      </c>
      <c r="K99" s="64">
        <f t="shared" si="26"/>
        <v>0.94</v>
      </c>
      <c r="L99" s="64">
        <f t="shared" si="26"/>
        <v>0.99</v>
      </c>
      <c r="M99" s="64">
        <f t="shared" si="26"/>
        <v>1</v>
      </c>
      <c r="N99" s="64">
        <f t="shared" si="26"/>
        <v>0.995</v>
      </c>
      <c r="O99" s="64">
        <f t="shared" si="26"/>
        <v>1.0900000000000001</v>
      </c>
      <c r="P99" s="64">
        <f t="shared" si="26"/>
        <v>1.2</v>
      </c>
      <c r="Q99" s="64">
        <f t="shared" si="26"/>
        <v>1.22</v>
      </c>
      <c r="R99" s="64">
        <f t="shared" si="26"/>
        <v>1.23</v>
      </c>
      <c r="S99" s="64">
        <f t="shared" si="26"/>
        <v>1.23</v>
      </c>
      <c r="T99" s="64">
        <f t="shared" si="26"/>
        <v>1.25</v>
      </c>
      <c r="U99" s="64">
        <f t="shared" si="26"/>
        <v>1.21</v>
      </c>
      <c r="V99" s="64">
        <f t="shared" si="26"/>
        <v>0.97</v>
      </c>
      <c r="W99" s="64">
        <f t="shared" si="26"/>
        <v>1.02</v>
      </c>
      <c r="X99" s="64">
        <f t="shared" si="26"/>
        <v>1.17</v>
      </c>
      <c r="Y99" s="64">
        <f t="shared" si="26"/>
        <v>1.34</v>
      </c>
      <c r="Z99" s="64">
        <f t="shared" si="26"/>
        <v>1.31</v>
      </c>
      <c r="AA99" s="64">
        <f t="shared" si="26"/>
        <v>1.21</v>
      </c>
      <c r="AB99" s="64">
        <f t="shared" si="26"/>
        <v>1</v>
      </c>
      <c r="AC99" s="64">
        <f t="shared" si="26"/>
        <v>0.97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27">F76</f>
        <v>0</v>
      </c>
      <c r="G100" s="64">
        <f t="shared" si="27"/>
        <v>0</v>
      </c>
      <c r="H100" s="64">
        <f t="shared" si="27"/>
        <v>0</v>
      </c>
      <c r="I100" s="64">
        <f t="shared" si="27"/>
        <v>0</v>
      </c>
      <c r="J100" s="64">
        <f t="shared" si="27"/>
        <v>0</v>
      </c>
      <c r="K100" s="64">
        <f t="shared" si="27"/>
        <v>0</v>
      </c>
      <c r="L100" s="64">
        <f t="shared" si="27"/>
        <v>0</v>
      </c>
      <c r="M100" s="64">
        <f t="shared" si="27"/>
        <v>0</v>
      </c>
      <c r="N100" s="64">
        <f t="shared" si="27"/>
        <v>0</v>
      </c>
      <c r="O100" s="64">
        <f t="shared" si="27"/>
        <v>0</v>
      </c>
      <c r="P100" s="64">
        <f t="shared" si="27"/>
        <v>0</v>
      </c>
      <c r="Q100" s="64">
        <f t="shared" si="27"/>
        <v>0</v>
      </c>
      <c r="R100" s="64">
        <f t="shared" si="27"/>
        <v>0</v>
      </c>
      <c r="S100" s="64">
        <f t="shared" si="27"/>
        <v>0</v>
      </c>
      <c r="T100" s="64">
        <f t="shared" si="27"/>
        <v>0</v>
      </c>
      <c r="U100" s="64">
        <f t="shared" si="27"/>
        <v>0</v>
      </c>
      <c r="V100" s="64">
        <f t="shared" si="27"/>
        <v>0</v>
      </c>
      <c r="W100" s="64">
        <f t="shared" si="27"/>
        <v>0</v>
      </c>
      <c r="X100" s="64">
        <f t="shared" si="27"/>
        <v>0</v>
      </c>
      <c r="Y100" s="64">
        <f t="shared" si="27"/>
        <v>0</v>
      </c>
      <c r="Z100" s="64">
        <f t="shared" si="27"/>
        <v>0</v>
      </c>
      <c r="AA100" s="64">
        <f t="shared" si="27"/>
        <v>0</v>
      </c>
      <c r="AB100" s="64">
        <f t="shared" si="27"/>
        <v>0</v>
      </c>
      <c r="AC100" s="64">
        <f t="shared" si="2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28">F80</f>
        <v>0.8</v>
      </c>
      <c r="G101" s="64">
        <f t="shared" si="28"/>
        <v>0.76</v>
      </c>
      <c r="H101" s="64">
        <f t="shared" si="28"/>
        <v>0.74</v>
      </c>
      <c r="I101" s="64">
        <f t="shared" si="28"/>
        <v>0.72</v>
      </c>
      <c r="J101" s="64">
        <f t="shared" si="28"/>
        <v>0.7</v>
      </c>
      <c r="K101" s="64">
        <f t="shared" si="28"/>
        <v>0.7</v>
      </c>
      <c r="L101" s="64">
        <f t="shared" si="28"/>
        <v>0.74</v>
      </c>
      <c r="M101" s="64">
        <f t="shared" si="28"/>
        <v>0.76</v>
      </c>
      <c r="N101" s="64">
        <f t="shared" si="28"/>
        <v>0.76</v>
      </c>
      <c r="O101" s="64">
        <f t="shared" si="28"/>
        <v>0.81</v>
      </c>
      <c r="P101" s="64">
        <f t="shared" si="28"/>
        <v>0.84</v>
      </c>
      <c r="Q101" s="64">
        <f t="shared" si="28"/>
        <v>0.83</v>
      </c>
      <c r="R101" s="64">
        <f t="shared" si="28"/>
        <v>0.86</v>
      </c>
      <c r="S101" s="64">
        <f t="shared" si="28"/>
        <v>0.86</v>
      </c>
      <c r="T101" s="64">
        <f t="shared" si="28"/>
        <v>0.84</v>
      </c>
      <c r="U101" s="64">
        <f t="shared" si="28"/>
        <v>0.82</v>
      </c>
      <c r="V101" s="64">
        <f t="shared" si="28"/>
        <v>0.76</v>
      </c>
      <c r="W101" s="64">
        <f t="shared" si="28"/>
        <v>0.79</v>
      </c>
      <c r="X101" s="64">
        <f t="shared" si="28"/>
        <v>0.83</v>
      </c>
      <c r="Y101" s="64">
        <f t="shared" si="28"/>
        <v>0.81</v>
      </c>
      <c r="Z101" s="64">
        <f t="shared" si="28"/>
        <v>0.9</v>
      </c>
      <c r="AA101" s="64">
        <f t="shared" si="28"/>
        <v>0.87</v>
      </c>
      <c r="AB101" s="64">
        <f t="shared" si="28"/>
        <v>0.84</v>
      </c>
      <c r="AC101" s="64">
        <f t="shared" si="28"/>
        <v>0.82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29">F82</f>
        <v>0</v>
      </c>
      <c r="G102" s="64">
        <f t="shared" si="29"/>
        <v>0</v>
      </c>
      <c r="H102" s="64">
        <f t="shared" si="29"/>
        <v>0</v>
      </c>
      <c r="I102" s="64">
        <f t="shared" si="29"/>
        <v>0</v>
      </c>
      <c r="J102" s="64">
        <f t="shared" si="29"/>
        <v>0</v>
      </c>
      <c r="K102" s="64">
        <f t="shared" si="29"/>
        <v>0</v>
      </c>
      <c r="L102" s="64">
        <f t="shared" si="29"/>
        <v>0</v>
      </c>
      <c r="M102" s="64">
        <f t="shared" si="29"/>
        <v>0</v>
      </c>
      <c r="N102" s="64">
        <f t="shared" si="29"/>
        <v>0</v>
      </c>
      <c r="O102" s="64">
        <f t="shared" si="29"/>
        <v>0</v>
      </c>
      <c r="P102" s="64">
        <f t="shared" si="29"/>
        <v>0</v>
      </c>
      <c r="Q102" s="64">
        <f t="shared" si="29"/>
        <v>0</v>
      </c>
      <c r="R102" s="64">
        <f t="shared" si="29"/>
        <v>0</v>
      </c>
      <c r="S102" s="64">
        <f t="shared" si="29"/>
        <v>0</v>
      </c>
      <c r="T102" s="64">
        <f t="shared" si="29"/>
        <v>0</v>
      </c>
      <c r="U102" s="64">
        <f t="shared" si="29"/>
        <v>0</v>
      </c>
      <c r="V102" s="64">
        <f t="shared" si="29"/>
        <v>0</v>
      </c>
      <c r="W102" s="64">
        <f t="shared" si="29"/>
        <v>0</v>
      </c>
      <c r="X102" s="64">
        <f t="shared" si="29"/>
        <v>0</v>
      </c>
      <c r="Y102" s="64">
        <f t="shared" si="29"/>
        <v>0</v>
      </c>
      <c r="Z102" s="64">
        <f t="shared" si="29"/>
        <v>0</v>
      </c>
      <c r="AA102" s="64">
        <f t="shared" si="29"/>
        <v>0</v>
      </c>
      <c r="AB102" s="64">
        <f t="shared" si="29"/>
        <v>0</v>
      </c>
      <c r="AC102" s="64">
        <f t="shared" si="29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0">SUM(F89,F91,F93,F96,F98:F102,F81)</f>
        <v>40.65</v>
      </c>
      <c r="G103" s="61">
        <f t="shared" si="30"/>
        <v>37.549999999999997</v>
      </c>
      <c r="H103" s="61">
        <f t="shared" si="30"/>
        <v>36.530000000000008</v>
      </c>
      <c r="I103" s="61">
        <f t="shared" si="30"/>
        <v>35.96</v>
      </c>
      <c r="J103" s="61">
        <f t="shared" si="30"/>
        <v>35.6</v>
      </c>
      <c r="K103" s="61">
        <f t="shared" si="30"/>
        <v>35.510000000000005</v>
      </c>
      <c r="L103" s="61">
        <f t="shared" si="30"/>
        <v>37.67</v>
      </c>
      <c r="M103" s="61">
        <f t="shared" si="30"/>
        <v>38.239999999999995</v>
      </c>
      <c r="N103" s="61">
        <f t="shared" si="30"/>
        <v>43.644999999999996</v>
      </c>
      <c r="O103" s="61">
        <f t="shared" si="30"/>
        <v>48.540000000000006</v>
      </c>
      <c r="P103" s="61">
        <f t="shared" si="30"/>
        <v>54.09</v>
      </c>
      <c r="Q103" s="61">
        <f t="shared" si="30"/>
        <v>54.629999999999995</v>
      </c>
      <c r="R103" s="61">
        <f t="shared" si="30"/>
        <v>50.649999999999991</v>
      </c>
      <c r="S103" s="61">
        <f t="shared" si="30"/>
        <v>54.269999999999996</v>
      </c>
      <c r="T103" s="61">
        <f t="shared" si="30"/>
        <v>53.34</v>
      </c>
      <c r="U103" s="61">
        <f t="shared" si="30"/>
        <v>51.400000000000006</v>
      </c>
      <c r="V103" s="61">
        <f t="shared" si="30"/>
        <v>49.359999999999992</v>
      </c>
      <c r="W103" s="61">
        <f t="shared" si="30"/>
        <v>47.160000000000004</v>
      </c>
      <c r="X103" s="61">
        <f t="shared" si="30"/>
        <v>46.82</v>
      </c>
      <c r="Y103" s="61">
        <f t="shared" si="30"/>
        <v>50.010000000000005</v>
      </c>
      <c r="Z103" s="61">
        <f t="shared" si="30"/>
        <v>46.88</v>
      </c>
      <c r="AA103" s="61">
        <f t="shared" si="30"/>
        <v>46.919999999999995</v>
      </c>
      <c r="AB103" s="61">
        <f t="shared" si="30"/>
        <v>42.730000000000004</v>
      </c>
      <c r="AC103" s="61">
        <f t="shared" si="30"/>
        <v>39.660000000000004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536"/>
      <c r="Y106" s="536"/>
      <c r="Z106" s="536">
        <v>1.4</v>
      </c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1">SUM(F104:F106)</f>
        <v>0</v>
      </c>
      <c r="G107" s="61">
        <f t="shared" si="31"/>
        <v>0</v>
      </c>
      <c r="H107" s="61">
        <f t="shared" si="31"/>
        <v>0</v>
      </c>
      <c r="I107" s="61">
        <f t="shared" si="31"/>
        <v>0</v>
      </c>
      <c r="J107" s="61">
        <f t="shared" si="31"/>
        <v>0</v>
      </c>
      <c r="K107" s="61">
        <f t="shared" si="31"/>
        <v>0</v>
      </c>
      <c r="L107" s="61">
        <f t="shared" si="31"/>
        <v>0</v>
      </c>
      <c r="M107" s="61">
        <f t="shared" si="31"/>
        <v>0</v>
      </c>
      <c r="N107" s="61">
        <f t="shared" si="31"/>
        <v>0</v>
      </c>
      <c r="O107" s="61">
        <f t="shared" si="31"/>
        <v>0</v>
      </c>
      <c r="P107" s="61">
        <f t="shared" si="31"/>
        <v>0</v>
      </c>
      <c r="Q107" s="61">
        <f t="shared" si="31"/>
        <v>0</v>
      </c>
      <c r="R107" s="61">
        <f t="shared" si="31"/>
        <v>0</v>
      </c>
      <c r="S107" s="61">
        <f t="shared" si="31"/>
        <v>0</v>
      </c>
      <c r="T107" s="61">
        <f t="shared" si="31"/>
        <v>0</v>
      </c>
      <c r="U107" s="61">
        <f t="shared" si="31"/>
        <v>0</v>
      </c>
      <c r="V107" s="61">
        <f t="shared" si="31"/>
        <v>0</v>
      </c>
      <c r="W107" s="61">
        <f t="shared" si="31"/>
        <v>0</v>
      </c>
      <c r="X107" s="61">
        <f t="shared" si="31"/>
        <v>0</v>
      </c>
      <c r="Y107" s="61">
        <f t="shared" si="31"/>
        <v>0</v>
      </c>
      <c r="Z107" s="61">
        <f t="shared" si="31"/>
        <v>1.4</v>
      </c>
      <c r="AA107" s="61">
        <f t="shared" si="31"/>
        <v>0</v>
      </c>
      <c r="AB107" s="61">
        <f t="shared" si="31"/>
        <v>0</v>
      </c>
      <c r="AC107" s="61">
        <f t="shared" si="31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2">F103+F107</f>
        <v>40.65</v>
      </c>
      <c r="G108" s="62">
        <f t="shared" si="32"/>
        <v>37.549999999999997</v>
      </c>
      <c r="H108" s="62">
        <f t="shared" si="32"/>
        <v>36.530000000000008</v>
      </c>
      <c r="I108" s="62">
        <f t="shared" si="32"/>
        <v>35.96</v>
      </c>
      <c r="J108" s="62">
        <f t="shared" si="32"/>
        <v>35.6</v>
      </c>
      <c r="K108" s="62">
        <f t="shared" si="32"/>
        <v>35.510000000000005</v>
      </c>
      <c r="L108" s="62">
        <f t="shared" si="32"/>
        <v>37.67</v>
      </c>
      <c r="M108" s="62">
        <f t="shared" si="32"/>
        <v>38.239999999999995</v>
      </c>
      <c r="N108" s="62">
        <f>N103+N107</f>
        <v>43.644999999999996</v>
      </c>
      <c r="O108" s="62">
        <f t="shared" si="32"/>
        <v>48.540000000000006</v>
      </c>
      <c r="P108" s="62">
        <f>P103+P107</f>
        <v>54.09</v>
      </c>
      <c r="Q108" s="62">
        <f t="shared" si="32"/>
        <v>54.629999999999995</v>
      </c>
      <c r="R108" s="62">
        <f t="shared" si="32"/>
        <v>50.649999999999991</v>
      </c>
      <c r="S108" s="62">
        <f t="shared" si="32"/>
        <v>54.269999999999996</v>
      </c>
      <c r="T108" s="62">
        <f>T103+T107</f>
        <v>53.34</v>
      </c>
      <c r="U108" s="62">
        <f t="shared" si="32"/>
        <v>51.400000000000006</v>
      </c>
      <c r="V108" s="62">
        <f t="shared" si="32"/>
        <v>49.359999999999992</v>
      </c>
      <c r="W108" s="62">
        <f>W103+W107</f>
        <v>47.160000000000004</v>
      </c>
      <c r="X108" s="62">
        <f t="shared" si="32"/>
        <v>46.82</v>
      </c>
      <c r="Y108" s="62">
        <f t="shared" si="32"/>
        <v>50.010000000000005</v>
      </c>
      <c r="Z108" s="62">
        <f t="shared" si="32"/>
        <v>48.28</v>
      </c>
      <c r="AA108" s="62">
        <f t="shared" si="32"/>
        <v>46.919999999999995</v>
      </c>
      <c r="AB108" s="62">
        <f t="shared" si="32"/>
        <v>42.730000000000004</v>
      </c>
      <c r="AC108" s="62">
        <f t="shared" si="32"/>
        <v>39.660000000000004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3">(COUNT(F13:F16))*7.2+(COUNT(F27:F28)*4.9)+(COUNT(F19:F21)*4.5)-F91-F93</f>
        <v>-5.2999999999999989</v>
      </c>
      <c r="G109" s="63">
        <f t="shared" si="33"/>
        <v>-2.2999999999999989</v>
      </c>
      <c r="H109" s="63">
        <f t="shared" si="33"/>
        <v>-6.2</v>
      </c>
      <c r="I109" s="63">
        <f t="shared" si="33"/>
        <v>-5.6</v>
      </c>
      <c r="J109" s="63">
        <f t="shared" si="33"/>
        <v>-5.2999999999999989</v>
      </c>
      <c r="K109" s="63">
        <f t="shared" si="33"/>
        <v>-5.1999999999999993</v>
      </c>
      <c r="L109" s="63">
        <f t="shared" si="33"/>
        <v>-5.7999999999999989</v>
      </c>
      <c r="M109" s="63">
        <f t="shared" si="33"/>
        <v>-2.8999999999999986</v>
      </c>
      <c r="N109" s="63">
        <f t="shared" si="33"/>
        <v>2</v>
      </c>
      <c r="O109" s="63">
        <f t="shared" si="33"/>
        <v>-3.8999999999999986</v>
      </c>
      <c r="P109" s="63">
        <f t="shared" si="33"/>
        <v>-7.6</v>
      </c>
      <c r="Q109" s="63">
        <f t="shared" si="33"/>
        <v>-7.3999999999999968</v>
      </c>
      <c r="R109" s="63">
        <f t="shared" si="33"/>
        <v>-4.8000000000000007</v>
      </c>
      <c r="S109" s="63">
        <f t="shared" si="33"/>
        <v>-5.3000000000000007</v>
      </c>
      <c r="T109" s="63">
        <f t="shared" si="33"/>
        <v>-4.4000000000000021</v>
      </c>
      <c r="U109" s="63">
        <f t="shared" si="33"/>
        <v>-4.8000000000000007</v>
      </c>
      <c r="V109" s="63">
        <f t="shared" si="33"/>
        <v>-3.8999999999999986</v>
      </c>
      <c r="W109" s="63">
        <f t="shared" si="33"/>
        <v>2.8999999999999986</v>
      </c>
      <c r="X109" s="63">
        <f t="shared" si="33"/>
        <v>3.8999999999999986</v>
      </c>
      <c r="Y109" s="63">
        <f t="shared" si="33"/>
        <v>1.1999999999999993</v>
      </c>
      <c r="Z109" s="63">
        <f t="shared" si="33"/>
        <v>-1.4000000000000021</v>
      </c>
      <c r="AA109" s="63">
        <f t="shared" si="33"/>
        <v>-4.0999999999999979</v>
      </c>
      <c r="AB109" s="63">
        <f t="shared" si="33"/>
        <v>-0.10000000000000142</v>
      </c>
      <c r="AC109" s="63">
        <f t="shared" si="33"/>
        <v>-4.3000000000000007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-6.6999999999999993</v>
      </c>
      <c r="G110" s="205">
        <f t="shared" si="34"/>
        <v>-3.6999999999999993</v>
      </c>
      <c r="H110" s="205">
        <f t="shared" si="34"/>
        <v>-6.2</v>
      </c>
      <c r="I110" s="205">
        <f t="shared" si="34"/>
        <v>-5.6</v>
      </c>
      <c r="J110" s="205">
        <f t="shared" si="34"/>
        <v>-5.2999999999999989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-5.1999999999999993</v>
      </c>
      <c r="L110" s="205">
        <f t="shared" si="34"/>
        <v>-5.7999999999999989</v>
      </c>
      <c r="M110" s="205">
        <f t="shared" si="34"/>
        <v>-2.8999999999999986</v>
      </c>
      <c r="N110" s="205">
        <f t="shared" si="34"/>
        <v>2.0000000000000018</v>
      </c>
      <c r="O110" s="205">
        <f t="shared" si="34"/>
        <v>-1.3999999999999968</v>
      </c>
      <c r="P110" s="205">
        <f t="shared" si="34"/>
        <v>-6.0999999999999979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-5.899999999999995</v>
      </c>
      <c r="R110" s="205">
        <f t="shared" ref="R110:AC110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-3.6999999999999993</v>
      </c>
      <c r="S110" s="205">
        <f t="shared" si="35"/>
        <v>-4.9999999999999991</v>
      </c>
      <c r="T110" s="205">
        <f t="shared" si="35"/>
        <v>-4.1000000000000005</v>
      </c>
      <c r="U110" s="205">
        <f t="shared" si="35"/>
        <v>-4.4999999999999991</v>
      </c>
      <c r="V110" s="205">
        <f t="shared" si="35"/>
        <v>-2.7999999999999972</v>
      </c>
      <c r="W110" s="205">
        <f t="shared" si="35"/>
        <v>4</v>
      </c>
      <c r="X110" s="205">
        <f t="shared" si="35"/>
        <v>4.5</v>
      </c>
      <c r="Y110" s="205">
        <f t="shared" si="35"/>
        <v>1.5000000000000009</v>
      </c>
      <c r="Z110" s="205">
        <f t="shared" si="35"/>
        <v>0.19999999999999929</v>
      </c>
      <c r="AA110" s="205">
        <f t="shared" si="35"/>
        <v>-4.4999999999999964</v>
      </c>
      <c r="AB110" s="205">
        <f t="shared" si="35"/>
        <v>-0.5</v>
      </c>
      <c r="AC110" s="205">
        <f t="shared" si="35"/>
        <v>-4.7000000000000011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60.03</v>
      </c>
      <c r="G111" s="456">
        <v>60.02</v>
      </c>
      <c r="H111" s="456">
        <v>60.1</v>
      </c>
      <c r="I111" s="456">
        <v>60.16</v>
      </c>
      <c r="J111" s="456">
        <v>60.07</v>
      </c>
      <c r="K111" s="456">
        <v>60.03</v>
      </c>
      <c r="L111" s="456">
        <v>60.07</v>
      </c>
      <c r="M111" s="456">
        <v>60.2</v>
      </c>
      <c r="N111" s="456">
        <v>60.02</v>
      </c>
      <c r="O111" s="456">
        <v>60.16</v>
      </c>
      <c r="P111" s="456">
        <v>60.08</v>
      </c>
      <c r="Q111" s="456">
        <v>60.1</v>
      </c>
      <c r="R111" s="456">
        <v>60.23</v>
      </c>
      <c r="S111" s="456">
        <v>60.05</v>
      </c>
      <c r="T111" s="456">
        <v>60.1</v>
      </c>
      <c r="U111" s="456">
        <v>60.05</v>
      </c>
      <c r="V111" s="456">
        <v>60.02</v>
      </c>
      <c r="W111" s="456">
        <v>60.07</v>
      </c>
      <c r="X111" s="456">
        <v>60.09</v>
      </c>
      <c r="Y111" s="456">
        <v>60.07</v>
      </c>
      <c r="Z111" s="456">
        <v>60.14</v>
      </c>
      <c r="AA111" s="456">
        <v>60.09</v>
      </c>
      <c r="AB111" s="456">
        <v>60.04</v>
      </c>
      <c r="AC111" s="456">
        <v>60.19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30">
      <c r="A115" s="579" t="s">
        <v>96</v>
      </c>
      <c r="B115" s="579"/>
      <c r="C115" s="579"/>
      <c r="D115" s="60"/>
      <c r="E115" s="72"/>
      <c r="F115" s="520" t="s">
        <v>103</v>
      </c>
      <c r="G115" s="520" t="s">
        <v>103</v>
      </c>
      <c r="H115" s="520" t="s">
        <v>103</v>
      </c>
      <c r="I115" s="520" t="s">
        <v>100</v>
      </c>
      <c r="J115" s="520" t="s">
        <v>100</v>
      </c>
      <c r="K115" s="520" t="s">
        <v>100</v>
      </c>
      <c r="L115" s="520" t="s">
        <v>100</v>
      </c>
      <c r="M115" s="520" t="s">
        <v>100</v>
      </c>
      <c r="N115" s="520" t="s">
        <v>100</v>
      </c>
      <c r="O115" s="520" t="s">
        <v>100</v>
      </c>
      <c r="P115" s="520" t="s">
        <v>100</v>
      </c>
      <c r="Q115" s="520" t="s">
        <v>104</v>
      </c>
      <c r="R115" s="520" t="s">
        <v>100</v>
      </c>
      <c r="S115" s="520" t="s">
        <v>109</v>
      </c>
      <c r="T115" s="520" t="s">
        <v>109</v>
      </c>
      <c r="U115" s="520" t="s">
        <v>109</v>
      </c>
      <c r="V115" s="520"/>
      <c r="W115" s="520" t="s">
        <v>100</v>
      </c>
      <c r="X115" s="520" t="s">
        <v>100</v>
      </c>
      <c r="Y115" s="520" t="s">
        <v>100</v>
      </c>
      <c r="Z115" s="520" t="s">
        <v>100</v>
      </c>
      <c r="AA115" s="520" t="s">
        <v>100</v>
      </c>
      <c r="AB115" s="520" t="s">
        <v>100</v>
      </c>
      <c r="AC115" s="520" t="s">
        <v>100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H13:J13 N13:O13 D42:E42 N36:AC39 N57:AC59 O14:O16 L36:L50 N41:AC46 H36:J59 I15:N15 N16 L13:L14 O52:AA55 P40:AC40 I16:L16 L56:L59 M47:M48 AB51:AC56 P49:AC49 H14:K14 Q47:AC48 O50:AC50 P51:AA51 P56:AA56 L50:M55 H62:L64 P13:AC16 P62:AC64">
    <cfRule type="cellIs" dxfId="4106" priority="732" operator="equal">
      <formula>"PMS"</formula>
    </cfRule>
    <cfRule type="containsText" dxfId="4105" priority="733" operator="containsText" text="CMS">
      <formula>NOT(ISERROR(SEARCH("CMS",D13)))</formula>
    </cfRule>
    <cfRule type="cellIs" dxfId="4104" priority="734" operator="equal">
      <formula>0</formula>
    </cfRule>
    <cfRule type="cellIs" dxfId="4103" priority="735" operator="greaterThan">
      <formula>0</formula>
    </cfRule>
    <cfRule type="cellIs" dxfId="4102" priority="736" operator="equal">
      <formula>"PMS"</formula>
    </cfRule>
    <cfRule type="containsText" dxfId="4101" priority="737" operator="containsText" text="CMS">
      <formula>NOT(ISERROR(SEARCH("CMS",D13)))</formula>
    </cfRule>
    <cfRule type="cellIs" dxfId="4100" priority="738" operator="equal">
      <formula>0</formula>
    </cfRule>
    <cfRule type="cellIs" dxfId="4099" priority="739" operator="greaterThan">
      <formula>0</formula>
    </cfRule>
  </conditionalFormatting>
  <conditionalFormatting sqref="H13:J13 N13:O13 D42:E42 N36:AC39 N57:AC59 O14:O16 L36:L50 N41:AC46 H36:J59 I15:N15 N16 L13:L14 O52:AA55 P40:AC40 I16:L16 L56:L59 M47:M48 AB51:AC56 P49:AC49 H14:K14 Q47:AC48 O50:AC50 P51:AA51 P56:AA56 L50:M55 H62:L64 P13:AC16 P62:AC64">
    <cfRule type="cellIs" dxfId="4098" priority="728" operator="equal">
      <formula>"PMS"</formula>
    </cfRule>
    <cfRule type="containsText" dxfId="4097" priority="729" operator="containsText" text="CMS">
      <formula>NOT(ISERROR(SEARCH("CMS",D13)))</formula>
    </cfRule>
    <cfRule type="cellIs" dxfId="4096" priority="730" operator="equal">
      <formula>0</formula>
    </cfRule>
    <cfRule type="cellIs" dxfId="4095" priority="731" operator="greaterThan">
      <formula>0</formula>
    </cfRule>
  </conditionalFormatting>
  <conditionalFormatting sqref="G67:AC75">
    <cfRule type="cellIs" dxfId="4094" priority="720" operator="equal">
      <formula>"PMS"</formula>
    </cfRule>
    <cfRule type="containsText" dxfId="4093" priority="721" operator="containsText" text="CMS">
      <formula>NOT(ISERROR(SEARCH("CMS",G67)))</formula>
    </cfRule>
    <cfRule type="cellIs" dxfId="4092" priority="722" operator="equal">
      <formula>0</formula>
    </cfRule>
    <cfRule type="cellIs" dxfId="4091" priority="723" operator="greaterThan">
      <formula>0</formula>
    </cfRule>
    <cfRule type="cellIs" dxfId="4090" priority="724" operator="equal">
      <formula>"PMS"</formula>
    </cfRule>
    <cfRule type="containsText" dxfId="4089" priority="725" operator="containsText" text="CMS">
      <formula>NOT(ISERROR(SEARCH("CMS",G67)))</formula>
    </cfRule>
    <cfRule type="cellIs" dxfId="4088" priority="726" operator="equal">
      <formula>0</formula>
    </cfRule>
    <cfRule type="cellIs" dxfId="4087" priority="727" operator="greaterThan">
      <formula>0</formula>
    </cfRule>
  </conditionalFormatting>
  <conditionalFormatting sqref="G67:AC75">
    <cfRule type="cellIs" dxfId="4086" priority="716" operator="equal">
      <formula>"PMS"</formula>
    </cfRule>
    <cfRule type="containsText" dxfId="4085" priority="717" operator="containsText" text="CMS">
      <formula>NOT(ISERROR(SEARCH("CMS",G67)))</formula>
    </cfRule>
    <cfRule type="cellIs" dxfId="4084" priority="718" operator="equal">
      <formula>0</formula>
    </cfRule>
    <cfRule type="cellIs" dxfId="4083" priority="719" operator="greaterThan">
      <formula>0</formula>
    </cfRule>
  </conditionalFormatting>
  <conditionalFormatting sqref="G82:AC82">
    <cfRule type="cellIs" dxfId="4082" priority="708" operator="equal">
      <formula>"PMS"</formula>
    </cfRule>
    <cfRule type="containsText" dxfId="4081" priority="709" operator="containsText" text="CMS">
      <formula>NOT(ISERROR(SEARCH("CMS",G82)))</formula>
    </cfRule>
    <cfRule type="cellIs" dxfId="4080" priority="710" operator="equal">
      <formula>0</formula>
    </cfRule>
    <cfRule type="cellIs" dxfId="4079" priority="711" operator="greaterThan">
      <formula>0</formula>
    </cfRule>
    <cfRule type="cellIs" dxfId="4078" priority="712" operator="equal">
      <formula>"PMS"</formula>
    </cfRule>
    <cfRule type="containsText" dxfId="4077" priority="713" operator="containsText" text="CMS">
      <formula>NOT(ISERROR(SEARCH("CMS",G82)))</formula>
    </cfRule>
    <cfRule type="cellIs" dxfId="4076" priority="714" operator="equal">
      <formula>0</formula>
    </cfRule>
    <cfRule type="cellIs" dxfId="4075" priority="715" operator="greaterThan">
      <formula>0</formula>
    </cfRule>
  </conditionalFormatting>
  <conditionalFormatting sqref="G82:AC82">
    <cfRule type="cellIs" dxfId="4074" priority="704" operator="equal">
      <formula>"PMS"</formula>
    </cfRule>
    <cfRule type="containsText" dxfId="4073" priority="705" operator="containsText" text="CMS">
      <formula>NOT(ISERROR(SEARCH("CMS",G82)))</formula>
    </cfRule>
    <cfRule type="cellIs" dxfId="4072" priority="706" operator="equal">
      <formula>0</formula>
    </cfRule>
    <cfRule type="cellIs" dxfId="4071" priority="707" operator="greaterThan">
      <formula>0</formula>
    </cfRule>
  </conditionalFormatting>
  <conditionalFormatting sqref="G13">
    <cfRule type="cellIs" dxfId="4070" priority="696" operator="equal">
      <formula>"PMS"</formula>
    </cfRule>
    <cfRule type="containsText" dxfId="4069" priority="697" operator="containsText" text="CMS">
      <formula>NOT(ISERROR(SEARCH("CMS",G13)))</formula>
    </cfRule>
    <cfRule type="cellIs" dxfId="4068" priority="698" operator="equal">
      <formula>0</formula>
    </cfRule>
    <cfRule type="cellIs" dxfId="4067" priority="699" operator="greaterThan">
      <formula>0</formula>
    </cfRule>
    <cfRule type="cellIs" dxfId="4066" priority="700" operator="equal">
      <formula>"PMS"</formula>
    </cfRule>
    <cfRule type="containsText" dxfId="4065" priority="701" operator="containsText" text="CMS">
      <formula>NOT(ISERROR(SEARCH("CMS",G13)))</formula>
    </cfRule>
    <cfRule type="cellIs" dxfId="4064" priority="702" operator="equal">
      <formula>0</formula>
    </cfRule>
    <cfRule type="cellIs" dxfId="4063" priority="703" operator="greaterThan">
      <formula>0</formula>
    </cfRule>
  </conditionalFormatting>
  <conditionalFormatting sqref="G13">
    <cfRule type="cellIs" dxfId="4062" priority="692" operator="equal">
      <formula>"PMS"</formula>
    </cfRule>
    <cfRule type="containsText" dxfId="4061" priority="693" operator="containsText" text="CMS">
      <formula>NOT(ISERROR(SEARCH("CMS",G13)))</formula>
    </cfRule>
    <cfRule type="cellIs" dxfId="4060" priority="694" operator="equal">
      <formula>0</formula>
    </cfRule>
    <cfRule type="cellIs" dxfId="4059" priority="695" operator="greaterThan">
      <formula>0</formula>
    </cfRule>
  </conditionalFormatting>
  <conditionalFormatting sqref="M13">
    <cfRule type="cellIs" dxfId="4058" priority="684" operator="equal">
      <formula>"PMS"</formula>
    </cfRule>
    <cfRule type="containsText" dxfId="4057" priority="685" operator="containsText" text="CMS">
      <formula>NOT(ISERROR(SEARCH("CMS",M13)))</formula>
    </cfRule>
    <cfRule type="cellIs" dxfId="4056" priority="686" operator="equal">
      <formula>0</formula>
    </cfRule>
    <cfRule type="cellIs" dxfId="4055" priority="687" operator="greaterThan">
      <formula>0</formula>
    </cfRule>
    <cfRule type="cellIs" dxfId="4054" priority="688" operator="equal">
      <formula>"PMS"</formula>
    </cfRule>
    <cfRule type="containsText" dxfId="4053" priority="689" operator="containsText" text="CMS">
      <formula>NOT(ISERROR(SEARCH("CMS",M13)))</formula>
    </cfRule>
    <cfRule type="cellIs" dxfId="4052" priority="690" operator="equal">
      <formula>0</formula>
    </cfRule>
    <cfRule type="cellIs" dxfId="4051" priority="691" operator="greaterThan">
      <formula>0</formula>
    </cfRule>
  </conditionalFormatting>
  <conditionalFormatting sqref="M13">
    <cfRule type="cellIs" dxfId="4050" priority="680" operator="equal">
      <formula>"PMS"</formula>
    </cfRule>
    <cfRule type="containsText" dxfId="4049" priority="681" operator="containsText" text="CMS">
      <formula>NOT(ISERROR(SEARCH("CMS",M13)))</formula>
    </cfRule>
    <cfRule type="cellIs" dxfId="4048" priority="682" operator="equal">
      <formula>0</formula>
    </cfRule>
    <cfRule type="cellIs" dxfId="4047" priority="683" operator="greaterThan">
      <formula>0</formula>
    </cfRule>
  </conditionalFormatting>
  <conditionalFormatting sqref="K13">
    <cfRule type="cellIs" dxfId="4046" priority="672" operator="equal">
      <formula>"PMS"</formula>
    </cfRule>
    <cfRule type="containsText" dxfId="4045" priority="673" operator="containsText" text="CMS">
      <formula>NOT(ISERROR(SEARCH("CMS",K13)))</formula>
    </cfRule>
    <cfRule type="cellIs" dxfId="4044" priority="674" operator="equal">
      <formula>0</formula>
    </cfRule>
    <cfRule type="cellIs" dxfId="4043" priority="675" operator="greaterThan">
      <formula>0</formula>
    </cfRule>
    <cfRule type="cellIs" dxfId="4042" priority="676" operator="equal">
      <formula>"PMS"</formula>
    </cfRule>
    <cfRule type="containsText" dxfId="4041" priority="677" operator="containsText" text="CMS">
      <formula>NOT(ISERROR(SEARCH("CMS",K13)))</formula>
    </cfRule>
    <cfRule type="cellIs" dxfId="4040" priority="678" operator="equal">
      <formula>0</formula>
    </cfRule>
    <cfRule type="cellIs" dxfId="4039" priority="679" operator="greaterThan">
      <formula>0</formula>
    </cfRule>
  </conditionalFormatting>
  <conditionalFormatting sqref="K13">
    <cfRule type="cellIs" dxfId="4038" priority="668" operator="equal">
      <formula>"PMS"</formula>
    </cfRule>
    <cfRule type="containsText" dxfId="4037" priority="669" operator="containsText" text="CMS">
      <formula>NOT(ISERROR(SEARCH("CMS",K13)))</formula>
    </cfRule>
    <cfRule type="cellIs" dxfId="4036" priority="670" operator="equal">
      <formula>0</formula>
    </cfRule>
    <cfRule type="cellIs" dxfId="4035" priority="671" operator="greaterThan">
      <formula>0</formula>
    </cfRule>
  </conditionalFormatting>
  <conditionalFormatting sqref="G113:AC113">
    <cfRule type="cellIs" dxfId="4034" priority="667" operator="greaterThan">
      <formula>60.3</formula>
    </cfRule>
  </conditionalFormatting>
  <conditionalFormatting sqref="H112:M112">
    <cfRule type="cellIs" dxfId="4033" priority="666" operator="greaterThan">
      <formula>60.3</formula>
    </cfRule>
  </conditionalFormatting>
  <conditionalFormatting sqref="F112:G112">
    <cfRule type="cellIs" dxfId="4032" priority="665" operator="greaterThan">
      <formula>60.3</formula>
    </cfRule>
  </conditionalFormatting>
  <conditionalFormatting sqref="N112:AC112">
    <cfRule type="cellIs" dxfId="4031" priority="664" operator="greaterThan">
      <formula>60.3</formula>
    </cfRule>
  </conditionalFormatting>
  <conditionalFormatting sqref="G15:G16">
    <cfRule type="cellIs" dxfId="4030" priority="656" operator="equal">
      <formula>"PMS"</formula>
    </cfRule>
    <cfRule type="containsText" dxfId="4029" priority="657" operator="containsText" text="CMS">
      <formula>NOT(ISERROR(SEARCH("CMS",G15)))</formula>
    </cfRule>
    <cfRule type="cellIs" dxfId="4028" priority="658" operator="equal">
      <formula>0</formula>
    </cfRule>
    <cfRule type="cellIs" dxfId="4027" priority="659" operator="greaterThan">
      <formula>0</formula>
    </cfRule>
    <cfRule type="cellIs" dxfId="4026" priority="660" operator="equal">
      <formula>"PMS"</formula>
    </cfRule>
    <cfRule type="containsText" dxfId="4025" priority="661" operator="containsText" text="CMS">
      <formula>NOT(ISERROR(SEARCH("CMS",G15)))</formula>
    </cfRule>
    <cfRule type="cellIs" dxfId="4024" priority="662" operator="equal">
      <formula>0</formula>
    </cfRule>
    <cfRule type="cellIs" dxfId="4023" priority="663" operator="greaterThan">
      <formula>0</formula>
    </cfRule>
  </conditionalFormatting>
  <conditionalFormatting sqref="G15:G16">
    <cfRule type="cellIs" dxfId="4022" priority="652" operator="equal">
      <formula>"PMS"</formula>
    </cfRule>
    <cfRule type="containsText" dxfId="4021" priority="653" operator="containsText" text="CMS">
      <formula>NOT(ISERROR(SEARCH("CMS",G15)))</formula>
    </cfRule>
    <cfRule type="cellIs" dxfId="4020" priority="654" operator="equal">
      <formula>0</formula>
    </cfRule>
    <cfRule type="cellIs" dxfId="4019" priority="655" operator="greaterThan">
      <formula>0</formula>
    </cfRule>
  </conditionalFormatting>
  <conditionalFormatting sqref="G36:G38 G57:G59">
    <cfRule type="cellIs" dxfId="4018" priority="644" operator="equal">
      <formula>"PMS"</formula>
    </cfRule>
    <cfRule type="containsText" dxfId="4017" priority="645" operator="containsText" text="CMS">
      <formula>NOT(ISERROR(SEARCH("CMS",G36)))</formula>
    </cfRule>
    <cfRule type="cellIs" dxfId="4016" priority="646" operator="equal">
      <formula>0</formula>
    </cfRule>
    <cfRule type="cellIs" dxfId="4015" priority="647" operator="greaterThan">
      <formula>0</formula>
    </cfRule>
    <cfRule type="cellIs" dxfId="4014" priority="648" operator="equal">
      <formula>"PMS"</formula>
    </cfRule>
    <cfRule type="containsText" dxfId="4013" priority="649" operator="containsText" text="CMS">
      <formula>NOT(ISERROR(SEARCH("CMS",G36)))</formula>
    </cfRule>
    <cfRule type="cellIs" dxfId="4012" priority="650" operator="equal">
      <formula>0</formula>
    </cfRule>
    <cfRule type="cellIs" dxfId="4011" priority="651" operator="greaterThan">
      <formula>0</formula>
    </cfRule>
  </conditionalFormatting>
  <conditionalFormatting sqref="G36:G38 G57:G59">
    <cfRule type="cellIs" dxfId="4010" priority="640" operator="equal">
      <formula>"PMS"</formula>
    </cfRule>
    <cfRule type="containsText" dxfId="4009" priority="641" operator="containsText" text="CMS">
      <formula>NOT(ISERROR(SEARCH("CMS",G36)))</formula>
    </cfRule>
    <cfRule type="cellIs" dxfId="4008" priority="642" operator="equal">
      <formula>0</formula>
    </cfRule>
    <cfRule type="cellIs" dxfId="4007" priority="643" operator="greaterThan">
      <formula>0</formula>
    </cfRule>
  </conditionalFormatting>
  <conditionalFormatting sqref="M36:M38 M57:M59">
    <cfRule type="cellIs" dxfId="4006" priority="632" operator="equal">
      <formula>"PMS"</formula>
    </cfRule>
    <cfRule type="containsText" dxfId="4005" priority="633" operator="containsText" text="CMS">
      <formula>NOT(ISERROR(SEARCH("CMS",M36)))</formula>
    </cfRule>
    <cfRule type="cellIs" dxfId="4004" priority="634" operator="equal">
      <formula>0</formula>
    </cfRule>
    <cfRule type="cellIs" dxfId="4003" priority="635" operator="greaterThan">
      <formula>0</formula>
    </cfRule>
    <cfRule type="cellIs" dxfId="4002" priority="636" operator="equal">
      <formula>"PMS"</formula>
    </cfRule>
    <cfRule type="containsText" dxfId="4001" priority="637" operator="containsText" text="CMS">
      <formula>NOT(ISERROR(SEARCH("CMS",M36)))</formula>
    </cfRule>
    <cfRule type="cellIs" dxfId="4000" priority="638" operator="equal">
      <formula>0</formula>
    </cfRule>
    <cfRule type="cellIs" dxfId="3999" priority="639" operator="greaterThan">
      <formula>0</formula>
    </cfRule>
  </conditionalFormatting>
  <conditionalFormatting sqref="M36:M38 M57:M59">
    <cfRule type="cellIs" dxfId="3998" priority="628" operator="equal">
      <formula>"PMS"</formula>
    </cfRule>
    <cfRule type="containsText" dxfId="3997" priority="629" operator="containsText" text="CMS">
      <formula>NOT(ISERROR(SEARCH("CMS",M36)))</formula>
    </cfRule>
    <cfRule type="cellIs" dxfId="3996" priority="630" operator="equal">
      <formula>0</formula>
    </cfRule>
    <cfRule type="cellIs" dxfId="3995" priority="631" operator="greaterThan">
      <formula>0</formula>
    </cfRule>
  </conditionalFormatting>
  <conditionalFormatting sqref="K36:K38 K57:K59">
    <cfRule type="cellIs" dxfId="3994" priority="620" operator="equal">
      <formula>"PMS"</formula>
    </cfRule>
    <cfRule type="containsText" dxfId="3993" priority="621" operator="containsText" text="CMS">
      <formula>NOT(ISERROR(SEARCH("CMS",K36)))</formula>
    </cfRule>
    <cfRule type="cellIs" dxfId="3992" priority="622" operator="equal">
      <formula>0</formula>
    </cfRule>
    <cfRule type="cellIs" dxfId="3991" priority="623" operator="greaterThan">
      <formula>0</formula>
    </cfRule>
    <cfRule type="cellIs" dxfId="3990" priority="624" operator="equal">
      <formula>"PMS"</formula>
    </cfRule>
    <cfRule type="containsText" dxfId="3989" priority="625" operator="containsText" text="CMS">
      <formula>NOT(ISERROR(SEARCH("CMS",K36)))</formula>
    </cfRule>
    <cfRule type="cellIs" dxfId="3988" priority="626" operator="equal">
      <formula>0</formula>
    </cfRule>
    <cfRule type="cellIs" dxfId="3987" priority="627" operator="greaterThan">
      <formula>0</formula>
    </cfRule>
  </conditionalFormatting>
  <conditionalFormatting sqref="K36:K38 K57:K59">
    <cfRule type="cellIs" dxfId="3986" priority="616" operator="equal">
      <formula>"PMS"</formula>
    </cfRule>
    <cfRule type="containsText" dxfId="3985" priority="617" operator="containsText" text="CMS">
      <formula>NOT(ISERROR(SEARCH("CMS",K36)))</formula>
    </cfRule>
    <cfRule type="cellIs" dxfId="3984" priority="618" operator="equal">
      <formula>0</formula>
    </cfRule>
    <cfRule type="cellIs" dxfId="3983" priority="619" operator="greaterThan">
      <formula>0</formula>
    </cfRule>
  </conditionalFormatting>
  <conditionalFormatting sqref="G49">
    <cfRule type="cellIs" dxfId="3982" priority="608" operator="equal">
      <formula>"PMS"</formula>
    </cfRule>
    <cfRule type="containsText" dxfId="3981" priority="609" operator="containsText" text="CMS">
      <formula>NOT(ISERROR(SEARCH("CMS",G49)))</formula>
    </cfRule>
    <cfRule type="cellIs" dxfId="3980" priority="610" operator="equal">
      <formula>0</formula>
    </cfRule>
    <cfRule type="cellIs" dxfId="3979" priority="611" operator="greaterThan">
      <formula>0</formula>
    </cfRule>
    <cfRule type="cellIs" dxfId="3978" priority="612" operator="equal">
      <formula>"PMS"</formula>
    </cfRule>
    <cfRule type="containsText" dxfId="3977" priority="613" operator="containsText" text="CMS">
      <formula>NOT(ISERROR(SEARCH("CMS",G49)))</formula>
    </cfRule>
    <cfRule type="cellIs" dxfId="3976" priority="614" operator="equal">
      <formula>0</formula>
    </cfRule>
    <cfRule type="cellIs" dxfId="3975" priority="615" operator="greaterThan">
      <formula>0</formula>
    </cfRule>
  </conditionalFormatting>
  <conditionalFormatting sqref="G49">
    <cfRule type="cellIs" dxfId="3974" priority="604" operator="equal">
      <formula>"PMS"</formula>
    </cfRule>
    <cfRule type="containsText" dxfId="3973" priority="605" operator="containsText" text="CMS">
      <formula>NOT(ISERROR(SEARCH("CMS",G49)))</formula>
    </cfRule>
    <cfRule type="cellIs" dxfId="3972" priority="606" operator="equal">
      <formula>0</formula>
    </cfRule>
    <cfRule type="cellIs" dxfId="3971" priority="607" operator="greaterThan">
      <formula>0</formula>
    </cfRule>
  </conditionalFormatting>
  <conditionalFormatting sqref="M49:N49">
    <cfRule type="cellIs" dxfId="3970" priority="596" operator="equal">
      <formula>"PMS"</formula>
    </cfRule>
    <cfRule type="containsText" dxfId="3969" priority="597" operator="containsText" text="CMS">
      <formula>NOT(ISERROR(SEARCH("CMS",M49)))</formula>
    </cfRule>
    <cfRule type="cellIs" dxfId="3968" priority="598" operator="equal">
      <formula>0</formula>
    </cfRule>
    <cfRule type="cellIs" dxfId="3967" priority="599" operator="greaterThan">
      <formula>0</formula>
    </cfRule>
    <cfRule type="cellIs" dxfId="3966" priority="600" operator="equal">
      <formula>"PMS"</formula>
    </cfRule>
    <cfRule type="containsText" dxfId="3965" priority="601" operator="containsText" text="CMS">
      <formula>NOT(ISERROR(SEARCH("CMS",M49)))</formula>
    </cfRule>
    <cfRule type="cellIs" dxfId="3964" priority="602" operator="equal">
      <formula>0</formula>
    </cfRule>
    <cfRule type="cellIs" dxfId="3963" priority="603" operator="greaterThan">
      <formula>0</formula>
    </cfRule>
  </conditionalFormatting>
  <conditionalFormatting sqref="M49:N49">
    <cfRule type="cellIs" dxfId="3962" priority="592" operator="equal">
      <formula>"PMS"</formula>
    </cfRule>
    <cfRule type="containsText" dxfId="3961" priority="593" operator="containsText" text="CMS">
      <formula>NOT(ISERROR(SEARCH("CMS",M49)))</formula>
    </cfRule>
    <cfRule type="cellIs" dxfId="3960" priority="594" operator="equal">
      <formula>0</formula>
    </cfRule>
    <cfRule type="cellIs" dxfId="3959" priority="595" operator="greaterThan">
      <formula>0</formula>
    </cfRule>
  </conditionalFormatting>
  <conditionalFormatting sqref="K49">
    <cfRule type="cellIs" dxfId="3958" priority="584" operator="equal">
      <formula>"PMS"</formula>
    </cfRule>
    <cfRule type="containsText" dxfId="3957" priority="585" operator="containsText" text="CMS">
      <formula>NOT(ISERROR(SEARCH("CMS",K49)))</formula>
    </cfRule>
    <cfRule type="cellIs" dxfId="3956" priority="586" operator="equal">
      <formula>0</formula>
    </cfRule>
    <cfRule type="cellIs" dxfId="3955" priority="587" operator="greaterThan">
      <formula>0</formula>
    </cfRule>
    <cfRule type="cellIs" dxfId="3954" priority="588" operator="equal">
      <formula>"PMS"</formula>
    </cfRule>
    <cfRule type="containsText" dxfId="3953" priority="589" operator="containsText" text="CMS">
      <formula>NOT(ISERROR(SEARCH("CMS",K49)))</formula>
    </cfRule>
    <cfRule type="cellIs" dxfId="3952" priority="590" operator="equal">
      <formula>0</formula>
    </cfRule>
    <cfRule type="cellIs" dxfId="3951" priority="591" operator="greaterThan">
      <formula>0</formula>
    </cfRule>
  </conditionalFormatting>
  <conditionalFormatting sqref="K49">
    <cfRule type="cellIs" dxfId="3950" priority="580" operator="equal">
      <formula>"PMS"</formula>
    </cfRule>
    <cfRule type="containsText" dxfId="3949" priority="581" operator="containsText" text="CMS">
      <formula>NOT(ISERROR(SEARCH("CMS",K49)))</formula>
    </cfRule>
    <cfRule type="cellIs" dxfId="3948" priority="582" operator="equal">
      <formula>0</formula>
    </cfRule>
    <cfRule type="cellIs" dxfId="3947" priority="583" operator="greaterThan">
      <formula>0</formula>
    </cfRule>
  </conditionalFormatting>
  <conditionalFormatting sqref="L27:L29 H24:J24 H19:J20 L20:L21 Q28 P30 H27:J30 I21:K21 K19:M19 N30 AC79 M21:O21 Q21:AC21 H33:L33 S78 N28:P29 W78:AC78 L24:AC24 S27 Q29:U30 O79:Y79 V28:AC30 O78:Q78 N19:AC20 N33:AC33">
    <cfRule type="cellIs" dxfId="3946" priority="572" operator="equal">
      <formula>"PMS"</formula>
    </cfRule>
    <cfRule type="containsText" dxfId="3945" priority="573" operator="containsText" text="CMS">
      <formula>NOT(ISERROR(SEARCH("CMS",H19)))</formula>
    </cfRule>
    <cfRule type="cellIs" dxfId="3944" priority="574" operator="equal">
      <formula>0</formula>
    </cfRule>
    <cfRule type="cellIs" dxfId="3943" priority="575" operator="greaterThan">
      <formula>0</formula>
    </cfRule>
    <cfRule type="cellIs" dxfId="3942" priority="576" operator="equal">
      <formula>"PMS"</formula>
    </cfRule>
    <cfRule type="containsText" dxfId="3941" priority="577" operator="containsText" text="CMS">
      <formula>NOT(ISERROR(SEARCH("CMS",H19)))</formula>
    </cfRule>
    <cfRule type="cellIs" dxfId="3940" priority="578" operator="equal">
      <formula>0</formula>
    </cfRule>
    <cfRule type="cellIs" dxfId="3939" priority="579" operator="greaterThan">
      <formula>0</formula>
    </cfRule>
  </conditionalFormatting>
  <conditionalFormatting sqref="L27:L29 H24:J24 H19:J20 L20:L21 Q28 P30 H27:J30 I21:K21 K19:M19 N30 AC79 M21:O21 Q21:AC21 H33:L33 S78 N28:P29 W78:AC78 L24:AC24 S27 Q29:U30 O79:Y79 V28:AC30 O78:Q78 N19:AC20 N33:AC33">
    <cfRule type="cellIs" dxfId="3938" priority="568" operator="equal">
      <formula>"PMS"</formula>
    </cfRule>
    <cfRule type="containsText" dxfId="3937" priority="569" operator="containsText" text="CMS">
      <formula>NOT(ISERROR(SEARCH("CMS",H19)))</formula>
    </cfRule>
    <cfRule type="cellIs" dxfId="3936" priority="570" operator="equal">
      <formula>0</formula>
    </cfRule>
    <cfRule type="cellIs" dxfId="3935" priority="571" operator="greaterThan">
      <formula>0</formula>
    </cfRule>
  </conditionalFormatting>
  <conditionalFormatting sqref="G33 G24 G39:G48 G50:G56 G19:G21 H21 G27:G30">
    <cfRule type="cellIs" dxfId="3934" priority="560" operator="equal">
      <formula>"PMS"</formula>
    </cfRule>
    <cfRule type="containsText" dxfId="3933" priority="561" operator="containsText" text="CMS">
      <formula>NOT(ISERROR(SEARCH("CMS",G19)))</formula>
    </cfRule>
    <cfRule type="cellIs" dxfId="3932" priority="562" operator="equal">
      <formula>0</formula>
    </cfRule>
    <cfRule type="cellIs" dxfId="3931" priority="563" operator="greaterThan">
      <formula>0</formula>
    </cfRule>
    <cfRule type="cellIs" dxfId="3930" priority="564" operator="equal">
      <formula>"PMS"</formula>
    </cfRule>
    <cfRule type="containsText" dxfId="3929" priority="565" operator="containsText" text="CMS">
      <formula>NOT(ISERROR(SEARCH("CMS",G19)))</formula>
    </cfRule>
    <cfRule type="cellIs" dxfId="3928" priority="566" operator="equal">
      <formula>0</formula>
    </cfRule>
    <cfRule type="cellIs" dxfId="3927" priority="567" operator="greaterThan">
      <formula>0</formula>
    </cfRule>
  </conditionalFormatting>
  <conditionalFormatting sqref="G33 G24 G39:G48 G50:G56 G19:G21 H21 G27:G30">
    <cfRule type="cellIs" dxfId="3926" priority="556" operator="equal">
      <formula>"PMS"</formula>
    </cfRule>
    <cfRule type="containsText" dxfId="3925" priority="557" operator="containsText" text="CMS">
      <formula>NOT(ISERROR(SEARCH("CMS",G19)))</formula>
    </cfRule>
    <cfRule type="cellIs" dxfId="3924" priority="558" operator="equal">
      <formula>0</formula>
    </cfRule>
    <cfRule type="cellIs" dxfId="3923" priority="559" operator="greaterThan">
      <formula>0</formula>
    </cfRule>
  </conditionalFormatting>
  <conditionalFormatting sqref="M39:M46 M33 M27:M29 M20 AB27:AC27 T27:X27 M62:M64 N47:N48 N50:N56 N27:Q27">
    <cfRule type="cellIs" dxfId="3922" priority="548" operator="equal">
      <formula>"PMS"</formula>
    </cfRule>
    <cfRule type="containsText" dxfId="3921" priority="549" operator="containsText" text="CMS">
      <formula>NOT(ISERROR(SEARCH("CMS",M20)))</formula>
    </cfRule>
    <cfRule type="cellIs" dxfId="3920" priority="550" operator="equal">
      <formula>0</formula>
    </cfRule>
    <cfRule type="cellIs" dxfId="3919" priority="551" operator="greaterThan">
      <formula>0</formula>
    </cfRule>
    <cfRule type="cellIs" dxfId="3918" priority="552" operator="equal">
      <formula>"PMS"</formula>
    </cfRule>
    <cfRule type="containsText" dxfId="3917" priority="553" operator="containsText" text="CMS">
      <formula>NOT(ISERROR(SEARCH("CMS",M20)))</formula>
    </cfRule>
    <cfRule type="cellIs" dxfId="3916" priority="554" operator="equal">
      <formula>0</formula>
    </cfRule>
    <cfRule type="cellIs" dxfId="3915" priority="555" operator="greaterThan">
      <formula>0</formula>
    </cfRule>
  </conditionalFormatting>
  <conditionalFormatting sqref="M39:M46 M33 M27:M29 M20 AB27:AC27 T27:X27 M62:M64 N47:N48 N50:N56 N27:Q27">
    <cfRule type="cellIs" dxfId="3914" priority="544" operator="equal">
      <formula>"PMS"</formula>
    </cfRule>
    <cfRule type="containsText" dxfId="3913" priority="545" operator="containsText" text="CMS">
      <formula>NOT(ISERROR(SEARCH("CMS",M20)))</formula>
    </cfRule>
    <cfRule type="cellIs" dxfId="3912" priority="546" operator="equal">
      <formula>0</formula>
    </cfRule>
    <cfRule type="cellIs" dxfId="3911" priority="547" operator="greaterThan">
      <formula>0</formula>
    </cfRule>
  </conditionalFormatting>
  <conditionalFormatting sqref="K50:K56 K39:K48 K27 K24 K20 K29:K30 L30">
    <cfRule type="cellIs" dxfId="3910" priority="536" operator="equal">
      <formula>"PMS"</formula>
    </cfRule>
    <cfRule type="containsText" dxfId="3909" priority="537" operator="containsText" text="CMS">
      <formula>NOT(ISERROR(SEARCH("CMS",K20)))</formula>
    </cfRule>
    <cfRule type="cellIs" dxfId="3908" priority="538" operator="equal">
      <formula>0</formula>
    </cfRule>
    <cfRule type="cellIs" dxfId="3907" priority="539" operator="greaterThan">
      <formula>0</formula>
    </cfRule>
    <cfRule type="cellIs" dxfId="3906" priority="540" operator="equal">
      <formula>"PMS"</formula>
    </cfRule>
    <cfRule type="containsText" dxfId="3905" priority="541" operator="containsText" text="CMS">
      <formula>NOT(ISERROR(SEARCH("CMS",K20)))</formula>
    </cfRule>
    <cfRule type="cellIs" dxfId="3904" priority="542" operator="equal">
      <formula>0</formula>
    </cfRule>
    <cfRule type="cellIs" dxfId="3903" priority="543" operator="greaterThan">
      <formula>0</formula>
    </cfRule>
  </conditionalFormatting>
  <conditionalFormatting sqref="K50:K56 K39:K48 K27 K24 K20 K29:K30 L30">
    <cfRule type="cellIs" dxfId="3902" priority="532" operator="equal">
      <formula>"PMS"</formula>
    </cfRule>
    <cfRule type="containsText" dxfId="3901" priority="533" operator="containsText" text="CMS">
      <formula>NOT(ISERROR(SEARCH("CMS",K20)))</formula>
    </cfRule>
    <cfRule type="cellIs" dxfId="3900" priority="534" operator="equal">
      <formula>0</formula>
    </cfRule>
    <cfRule type="cellIs" dxfId="3899" priority="535" operator="greaterThan">
      <formula>0</formula>
    </cfRule>
  </conditionalFormatting>
  <conditionalFormatting sqref="K28">
    <cfRule type="cellIs" dxfId="3898" priority="524" operator="equal">
      <formula>"PMS"</formula>
    </cfRule>
    <cfRule type="containsText" dxfId="3897" priority="525" operator="containsText" text="CMS">
      <formula>NOT(ISERROR(SEARCH("CMS",K28)))</formula>
    </cfRule>
    <cfRule type="cellIs" dxfId="3896" priority="526" operator="equal">
      <formula>0</formula>
    </cfRule>
    <cfRule type="cellIs" dxfId="3895" priority="527" operator="greaterThan">
      <formula>0</formula>
    </cfRule>
    <cfRule type="cellIs" dxfId="3894" priority="528" operator="equal">
      <formula>"PMS"</formula>
    </cfRule>
    <cfRule type="containsText" dxfId="3893" priority="529" operator="containsText" text="CMS">
      <formula>NOT(ISERROR(SEARCH("CMS",K28)))</formula>
    </cfRule>
    <cfRule type="cellIs" dxfId="3892" priority="530" operator="equal">
      <formula>0</formula>
    </cfRule>
    <cfRule type="cellIs" dxfId="3891" priority="531" operator="greaterThan">
      <formula>0</formula>
    </cfRule>
  </conditionalFormatting>
  <conditionalFormatting sqref="K28">
    <cfRule type="cellIs" dxfId="3890" priority="520" operator="equal">
      <formula>"PMS"</formula>
    </cfRule>
    <cfRule type="containsText" dxfId="3889" priority="521" operator="containsText" text="CMS">
      <formula>NOT(ISERROR(SEARCH("CMS",K28)))</formula>
    </cfRule>
    <cfRule type="cellIs" dxfId="3888" priority="522" operator="equal">
      <formula>0</formula>
    </cfRule>
    <cfRule type="cellIs" dxfId="3887" priority="523" operator="greaterThan">
      <formula>0</formula>
    </cfRule>
  </conditionalFormatting>
  <conditionalFormatting sqref="O62:O64">
    <cfRule type="cellIs" dxfId="3886" priority="512" operator="equal">
      <formula>"PMS"</formula>
    </cfRule>
    <cfRule type="containsText" dxfId="3885" priority="513" operator="containsText" text="CMS">
      <formula>NOT(ISERROR(SEARCH("CMS",O62)))</formula>
    </cfRule>
    <cfRule type="cellIs" dxfId="3884" priority="514" operator="equal">
      <formula>0</formula>
    </cfRule>
    <cfRule type="cellIs" dxfId="3883" priority="515" operator="greaterThan">
      <formula>0</formula>
    </cfRule>
    <cfRule type="cellIs" dxfId="3882" priority="516" operator="equal">
      <formula>"PMS"</formula>
    </cfRule>
    <cfRule type="containsText" dxfId="3881" priority="517" operator="containsText" text="CMS">
      <formula>NOT(ISERROR(SEARCH("CMS",O62)))</formula>
    </cfRule>
    <cfRule type="cellIs" dxfId="3880" priority="518" operator="equal">
      <formula>0</formula>
    </cfRule>
    <cfRule type="cellIs" dxfId="3879" priority="519" operator="greaterThan">
      <formula>0</formula>
    </cfRule>
  </conditionalFormatting>
  <conditionalFormatting sqref="O62:O64">
    <cfRule type="cellIs" dxfId="3878" priority="508" operator="equal">
      <formula>"PMS"</formula>
    </cfRule>
    <cfRule type="containsText" dxfId="3877" priority="509" operator="containsText" text="CMS">
      <formula>NOT(ISERROR(SEARCH("CMS",O62)))</formula>
    </cfRule>
    <cfRule type="cellIs" dxfId="3876" priority="510" operator="equal">
      <formula>0</formula>
    </cfRule>
    <cfRule type="cellIs" dxfId="3875" priority="511" operator="greaterThan">
      <formula>0</formula>
    </cfRule>
  </conditionalFormatting>
  <conditionalFormatting sqref="Y27:AA27">
    <cfRule type="cellIs" dxfId="3874" priority="500" operator="equal">
      <formula>"PMS"</formula>
    </cfRule>
    <cfRule type="containsText" dxfId="3873" priority="501" operator="containsText" text="CMS">
      <formula>NOT(ISERROR(SEARCH("CMS",Y27)))</formula>
    </cfRule>
    <cfRule type="cellIs" dxfId="3872" priority="502" operator="equal">
      <formula>0</formula>
    </cfRule>
    <cfRule type="cellIs" dxfId="3871" priority="503" operator="greaterThan">
      <formula>0</formula>
    </cfRule>
    <cfRule type="cellIs" dxfId="3870" priority="504" operator="equal">
      <formula>"PMS"</formula>
    </cfRule>
    <cfRule type="containsText" dxfId="3869" priority="505" operator="containsText" text="CMS">
      <formula>NOT(ISERROR(SEARCH("CMS",Y27)))</formula>
    </cfRule>
    <cfRule type="cellIs" dxfId="3868" priority="506" operator="equal">
      <formula>0</formula>
    </cfRule>
    <cfRule type="cellIs" dxfId="3867" priority="507" operator="greaterThan">
      <formula>0</formula>
    </cfRule>
  </conditionalFormatting>
  <conditionalFormatting sqref="Y27:AA27">
    <cfRule type="cellIs" dxfId="3866" priority="496" operator="equal">
      <formula>"PMS"</formula>
    </cfRule>
    <cfRule type="containsText" dxfId="3865" priority="497" operator="containsText" text="CMS">
      <formula>NOT(ISERROR(SEARCH("CMS",Y27)))</formula>
    </cfRule>
    <cfRule type="cellIs" dxfId="3864" priority="498" operator="equal">
      <formula>0</formula>
    </cfRule>
    <cfRule type="cellIs" dxfId="3863" priority="499" operator="greaterThan">
      <formula>0</formula>
    </cfRule>
  </conditionalFormatting>
  <conditionalFormatting sqref="G62:G64">
    <cfRule type="cellIs" dxfId="3862" priority="488" operator="equal">
      <formula>"PMS"</formula>
    </cfRule>
    <cfRule type="containsText" dxfId="3861" priority="489" operator="containsText" text="CMS">
      <formula>NOT(ISERROR(SEARCH("CMS",G62)))</formula>
    </cfRule>
    <cfRule type="cellIs" dxfId="3860" priority="490" operator="equal">
      <formula>0</formula>
    </cfRule>
    <cfRule type="cellIs" dxfId="3859" priority="491" operator="greaterThan">
      <formula>0</formula>
    </cfRule>
    <cfRule type="cellIs" dxfId="3858" priority="492" operator="equal">
      <formula>"PMS"</formula>
    </cfRule>
    <cfRule type="containsText" dxfId="3857" priority="493" operator="containsText" text="CMS">
      <formula>NOT(ISERROR(SEARCH("CMS",G62)))</formula>
    </cfRule>
    <cfRule type="cellIs" dxfId="3856" priority="494" operator="equal">
      <formula>0</formula>
    </cfRule>
    <cfRule type="cellIs" dxfId="3855" priority="495" operator="greaterThan">
      <formula>0</formula>
    </cfRule>
  </conditionalFormatting>
  <conditionalFormatting sqref="G62:G64">
    <cfRule type="cellIs" dxfId="3854" priority="484" operator="equal">
      <formula>"PMS"</formula>
    </cfRule>
    <cfRule type="containsText" dxfId="3853" priority="485" operator="containsText" text="CMS">
      <formula>NOT(ISERROR(SEARCH("CMS",G62)))</formula>
    </cfRule>
    <cfRule type="cellIs" dxfId="3852" priority="486" operator="equal">
      <formula>0</formula>
    </cfRule>
    <cfRule type="cellIs" dxfId="3851" priority="487" operator="greaterThan">
      <formula>0</formula>
    </cfRule>
  </conditionalFormatting>
  <conditionalFormatting sqref="N40">
    <cfRule type="cellIs" dxfId="3850" priority="476" operator="equal">
      <formula>"PMS"</formula>
    </cfRule>
    <cfRule type="containsText" dxfId="3849" priority="477" operator="containsText" text="CMS">
      <formula>NOT(ISERROR(SEARCH("CMS",N40)))</formula>
    </cfRule>
    <cfRule type="cellIs" dxfId="3848" priority="478" operator="equal">
      <formula>0</formula>
    </cfRule>
    <cfRule type="cellIs" dxfId="3847" priority="479" operator="greaterThan">
      <formula>0</formula>
    </cfRule>
    <cfRule type="cellIs" dxfId="3846" priority="480" operator="equal">
      <formula>"PMS"</formula>
    </cfRule>
    <cfRule type="containsText" dxfId="3845" priority="481" operator="containsText" text="CMS">
      <formula>NOT(ISERROR(SEARCH("CMS",N40)))</formula>
    </cfRule>
    <cfRule type="cellIs" dxfId="3844" priority="482" operator="equal">
      <formula>0</formula>
    </cfRule>
    <cfRule type="cellIs" dxfId="3843" priority="483" operator="greaterThan">
      <formula>0</formula>
    </cfRule>
  </conditionalFormatting>
  <conditionalFormatting sqref="N40">
    <cfRule type="cellIs" dxfId="3842" priority="472" operator="equal">
      <formula>"PMS"</formula>
    </cfRule>
    <cfRule type="containsText" dxfId="3841" priority="473" operator="containsText" text="CMS">
      <formula>NOT(ISERROR(SEARCH("CMS",N40)))</formula>
    </cfRule>
    <cfRule type="cellIs" dxfId="3840" priority="474" operator="equal">
      <formula>0</formula>
    </cfRule>
    <cfRule type="cellIs" dxfId="3839" priority="475" operator="greaterThan">
      <formula>0</formula>
    </cfRule>
  </conditionalFormatting>
  <conditionalFormatting sqref="O30">
    <cfRule type="cellIs" dxfId="3838" priority="464" operator="equal">
      <formula>"PMS"</formula>
    </cfRule>
    <cfRule type="containsText" dxfId="3837" priority="465" operator="containsText" text="CMS">
      <formula>NOT(ISERROR(SEARCH("CMS",O30)))</formula>
    </cfRule>
    <cfRule type="cellIs" dxfId="3836" priority="466" operator="equal">
      <formula>0</formula>
    </cfRule>
    <cfRule type="cellIs" dxfId="3835" priority="467" operator="greaterThan">
      <formula>0</formula>
    </cfRule>
    <cfRule type="cellIs" dxfId="3834" priority="468" operator="equal">
      <formula>"PMS"</formula>
    </cfRule>
    <cfRule type="containsText" dxfId="3833" priority="469" operator="containsText" text="CMS">
      <formula>NOT(ISERROR(SEARCH("CMS",O30)))</formula>
    </cfRule>
    <cfRule type="cellIs" dxfId="3832" priority="470" operator="equal">
      <formula>0</formula>
    </cfRule>
    <cfRule type="cellIs" dxfId="3831" priority="471" operator="greaterThan">
      <formula>0</formula>
    </cfRule>
  </conditionalFormatting>
  <conditionalFormatting sqref="O30">
    <cfRule type="cellIs" dxfId="3830" priority="460" operator="equal">
      <formula>"PMS"</formula>
    </cfRule>
    <cfRule type="containsText" dxfId="3829" priority="461" operator="containsText" text="CMS">
      <formula>NOT(ISERROR(SEARCH("CMS",O30)))</formula>
    </cfRule>
    <cfRule type="cellIs" dxfId="3828" priority="462" operator="equal">
      <formula>0</formula>
    </cfRule>
    <cfRule type="cellIs" dxfId="3827" priority="463" operator="greaterThan">
      <formula>0</formula>
    </cfRule>
  </conditionalFormatting>
  <conditionalFormatting sqref="O47:O49 P47:P48">
    <cfRule type="cellIs" dxfId="3826" priority="452" operator="equal">
      <formula>"PMS"</formula>
    </cfRule>
    <cfRule type="containsText" dxfId="3825" priority="453" operator="containsText" text="CMS">
      <formula>NOT(ISERROR(SEARCH("CMS",O47)))</formula>
    </cfRule>
    <cfRule type="cellIs" dxfId="3824" priority="454" operator="equal">
      <formula>0</formula>
    </cfRule>
    <cfRule type="cellIs" dxfId="3823" priority="455" operator="greaterThan">
      <formula>0</formula>
    </cfRule>
    <cfRule type="cellIs" dxfId="3822" priority="456" operator="equal">
      <formula>"PMS"</formula>
    </cfRule>
    <cfRule type="containsText" dxfId="3821" priority="457" operator="containsText" text="CMS">
      <formula>NOT(ISERROR(SEARCH("CMS",O47)))</formula>
    </cfRule>
    <cfRule type="cellIs" dxfId="3820" priority="458" operator="equal">
      <formula>0</formula>
    </cfRule>
    <cfRule type="cellIs" dxfId="3819" priority="459" operator="greaterThan">
      <formula>0</formula>
    </cfRule>
  </conditionalFormatting>
  <conditionalFormatting sqref="O47:O49 P47:P48">
    <cfRule type="cellIs" dxfId="3818" priority="448" operator="equal">
      <formula>"PMS"</formula>
    </cfRule>
    <cfRule type="containsText" dxfId="3817" priority="449" operator="containsText" text="CMS">
      <formula>NOT(ISERROR(SEARCH("CMS",O47)))</formula>
    </cfRule>
    <cfRule type="cellIs" dxfId="3816" priority="450" operator="equal">
      <formula>0</formula>
    </cfRule>
    <cfRule type="cellIs" dxfId="3815" priority="451" operator="greaterThan">
      <formula>0</formula>
    </cfRule>
  </conditionalFormatting>
  <conditionalFormatting sqref="H15:H16">
    <cfRule type="cellIs" dxfId="3814" priority="440" operator="equal">
      <formula>"PMS"</formula>
    </cfRule>
    <cfRule type="containsText" dxfId="3813" priority="441" operator="containsText" text="CMS">
      <formula>NOT(ISERROR(SEARCH("CMS",H15)))</formula>
    </cfRule>
    <cfRule type="cellIs" dxfId="3812" priority="442" operator="equal">
      <formula>0</formula>
    </cfRule>
    <cfRule type="cellIs" dxfId="3811" priority="443" operator="greaterThan">
      <formula>0</formula>
    </cfRule>
    <cfRule type="cellIs" dxfId="3810" priority="444" operator="equal">
      <formula>"PMS"</formula>
    </cfRule>
    <cfRule type="containsText" dxfId="3809" priority="445" operator="containsText" text="CMS">
      <formula>NOT(ISERROR(SEARCH("CMS",H15)))</formula>
    </cfRule>
    <cfRule type="cellIs" dxfId="3808" priority="446" operator="equal">
      <formula>0</formula>
    </cfRule>
    <cfRule type="cellIs" dxfId="3807" priority="447" operator="greaterThan">
      <formula>0</formula>
    </cfRule>
  </conditionalFormatting>
  <conditionalFormatting sqref="H15:H16">
    <cfRule type="cellIs" dxfId="3806" priority="436" operator="equal">
      <formula>"PMS"</formula>
    </cfRule>
    <cfRule type="containsText" dxfId="3805" priority="437" operator="containsText" text="CMS">
      <formula>NOT(ISERROR(SEARCH("CMS",H15)))</formula>
    </cfRule>
    <cfRule type="cellIs" dxfId="3804" priority="438" operator="equal">
      <formula>0</formula>
    </cfRule>
    <cfRule type="cellIs" dxfId="3803" priority="439" operator="greaterThan">
      <formula>0</formula>
    </cfRule>
  </conditionalFormatting>
  <conditionalFormatting sqref="G14">
    <cfRule type="cellIs" dxfId="3802" priority="428" operator="equal">
      <formula>"PMS"</formula>
    </cfRule>
    <cfRule type="containsText" dxfId="3801" priority="429" operator="containsText" text="CMS">
      <formula>NOT(ISERROR(SEARCH("CMS",G14)))</formula>
    </cfRule>
    <cfRule type="cellIs" dxfId="3800" priority="430" operator="equal">
      <formula>0</formula>
    </cfRule>
    <cfRule type="cellIs" dxfId="3799" priority="431" operator="greaterThan">
      <formula>0</formula>
    </cfRule>
    <cfRule type="cellIs" dxfId="3798" priority="432" operator="equal">
      <formula>"PMS"</formula>
    </cfRule>
    <cfRule type="containsText" dxfId="3797" priority="433" operator="containsText" text="CMS">
      <formula>NOT(ISERROR(SEARCH("CMS",G14)))</formula>
    </cfRule>
    <cfRule type="cellIs" dxfId="3796" priority="434" operator="equal">
      <formula>0</formula>
    </cfRule>
    <cfRule type="cellIs" dxfId="3795" priority="435" operator="greaterThan">
      <formula>0</formula>
    </cfRule>
  </conditionalFormatting>
  <conditionalFormatting sqref="G14">
    <cfRule type="cellIs" dxfId="3794" priority="424" operator="equal">
      <formula>"PMS"</formula>
    </cfRule>
    <cfRule type="containsText" dxfId="3793" priority="425" operator="containsText" text="CMS">
      <formula>NOT(ISERROR(SEARCH("CMS",G14)))</formula>
    </cfRule>
    <cfRule type="cellIs" dxfId="3792" priority="426" operator="equal">
      <formula>0</formula>
    </cfRule>
    <cfRule type="cellIs" dxfId="3791" priority="427" operator="greaterThan">
      <formula>0</formula>
    </cfRule>
  </conditionalFormatting>
  <conditionalFormatting sqref="G78:K78">
    <cfRule type="cellIs" dxfId="3790" priority="416" operator="equal">
      <formula>"PMS"</formula>
    </cfRule>
    <cfRule type="containsText" dxfId="3789" priority="417" operator="containsText" text="CMS">
      <formula>NOT(ISERROR(SEARCH("CMS",G78)))</formula>
    </cfRule>
    <cfRule type="cellIs" dxfId="3788" priority="418" operator="equal">
      <formula>0</formula>
    </cfRule>
    <cfRule type="cellIs" dxfId="3787" priority="419" operator="greaterThan">
      <formula>0</formula>
    </cfRule>
    <cfRule type="cellIs" dxfId="3786" priority="420" operator="equal">
      <formula>"PMS"</formula>
    </cfRule>
    <cfRule type="containsText" dxfId="3785" priority="421" operator="containsText" text="CMS">
      <formula>NOT(ISERROR(SEARCH("CMS",G78)))</formula>
    </cfRule>
    <cfRule type="cellIs" dxfId="3784" priority="422" operator="equal">
      <formula>0</formula>
    </cfRule>
    <cfRule type="cellIs" dxfId="3783" priority="423" operator="greaterThan">
      <formula>0</formula>
    </cfRule>
  </conditionalFormatting>
  <conditionalFormatting sqref="G78:K78">
    <cfRule type="cellIs" dxfId="3782" priority="412" operator="equal">
      <formula>"PMS"</formula>
    </cfRule>
    <cfRule type="containsText" dxfId="3781" priority="413" operator="containsText" text="CMS">
      <formula>NOT(ISERROR(SEARCH("CMS",G78)))</formula>
    </cfRule>
    <cfRule type="cellIs" dxfId="3780" priority="414" operator="equal">
      <formula>0</formula>
    </cfRule>
    <cfRule type="cellIs" dxfId="3779" priority="415" operator="greaterThan">
      <formula>0</formula>
    </cfRule>
  </conditionalFormatting>
  <conditionalFormatting sqref="L78:L79">
    <cfRule type="cellIs" dxfId="3778" priority="404" operator="equal">
      <formula>"PMS"</formula>
    </cfRule>
    <cfRule type="containsText" dxfId="3777" priority="405" operator="containsText" text="CMS">
      <formula>NOT(ISERROR(SEARCH("CMS",L78)))</formula>
    </cfRule>
    <cfRule type="cellIs" dxfId="3776" priority="406" operator="equal">
      <formula>0</formula>
    </cfRule>
    <cfRule type="cellIs" dxfId="3775" priority="407" operator="greaterThan">
      <formula>0</formula>
    </cfRule>
    <cfRule type="cellIs" dxfId="3774" priority="408" operator="equal">
      <formula>"PMS"</formula>
    </cfRule>
    <cfRule type="containsText" dxfId="3773" priority="409" operator="containsText" text="CMS">
      <formula>NOT(ISERROR(SEARCH("CMS",L78)))</formula>
    </cfRule>
    <cfRule type="cellIs" dxfId="3772" priority="410" operator="equal">
      <formula>0</formula>
    </cfRule>
    <cfRule type="cellIs" dxfId="3771" priority="411" operator="greaterThan">
      <formula>0</formula>
    </cfRule>
  </conditionalFormatting>
  <conditionalFormatting sqref="L78:L79">
    <cfRule type="cellIs" dxfId="3770" priority="400" operator="equal">
      <formula>"PMS"</formula>
    </cfRule>
    <cfRule type="containsText" dxfId="3769" priority="401" operator="containsText" text="CMS">
      <formula>NOT(ISERROR(SEARCH("CMS",L78)))</formula>
    </cfRule>
    <cfRule type="cellIs" dxfId="3768" priority="402" operator="equal">
      <formula>0</formula>
    </cfRule>
    <cfRule type="cellIs" dxfId="3767" priority="403" operator="greaterThan">
      <formula>0</formula>
    </cfRule>
  </conditionalFormatting>
  <conditionalFormatting sqref="R27:R28 S28">
    <cfRule type="cellIs" dxfId="3766" priority="392" operator="equal">
      <formula>"PMS"</formula>
    </cfRule>
    <cfRule type="containsText" dxfId="3765" priority="393" operator="containsText" text="CMS">
      <formula>NOT(ISERROR(SEARCH("CMS",R27)))</formula>
    </cfRule>
    <cfRule type="cellIs" dxfId="3764" priority="394" operator="equal">
      <formula>0</formula>
    </cfRule>
    <cfRule type="cellIs" dxfId="3763" priority="395" operator="greaterThan">
      <formula>0</formula>
    </cfRule>
    <cfRule type="cellIs" dxfId="3762" priority="396" operator="equal">
      <formula>"PMS"</formula>
    </cfRule>
    <cfRule type="containsText" dxfId="3761" priority="397" operator="containsText" text="CMS">
      <formula>NOT(ISERROR(SEARCH("CMS",R27)))</formula>
    </cfRule>
    <cfRule type="cellIs" dxfId="3760" priority="398" operator="equal">
      <formula>0</formula>
    </cfRule>
    <cfRule type="cellIs" dxfId="3759" priority="399" operator="greaterThan">
      <formula>0</formula>
    </cfRule>
  </conditionalFormatting>
  <conditionalFormatting sqref="R27:R28 S28">
    <cfRule type="cellIs" dxfId="3758" priority="388" operator="equal">
      <formula>"PMS"</formula>
    </cfRule>
    <cfRule type="containsText" dxfId="3757" priority="389" operator="containsText" text="CMS">
      <formula>NOT(ISERROR(SEARCH("CMS",R27)))</formula>
    </cfRule>
    <cfRule type="cellIs" dxfId="3756" priority="390" operator="equal">
      <formula>0</formula>
    </cfRule>
    <cfRule type="cellIs" dxfId="3755" priority="391" operator="greaterThan">
      <formula>0</formula>
    </cfRule>
  </conditionalFormatting>
  <conditionalFormatting sqref="AA79:AB79">
    <cfRule type="cellIs" dxfId="3754" priority="380" operator="equal">
      <formula>"PMS"</formula>
    </cfRule>
    <cfRule type="containsText" dxfId="3753" priority="381" operator="containsText" text="CMS">
      <formula>NOT(ISERROR(SEARCH("CMS",AA79)))</formula>
    </cfRule>
    <cfRule type="cellIs" dxfId="3752" priority="382" operator="equal">
      <formula>0</formula>
    </cfRule>
    <cfRule type="cellIs" dxfId="3751" priority="383" operator="greaterThan">
      <formula>0</formula>
    </cfRule>
    <cfRule type="cellIs" dxfId="3750" priority="384" operator="equal">
      <formula>"PMS"</formula>
    </cfRule>
    <cfRule type="containsText" dxfId="3749" priority="385" operator="containsText" text="CMS">
      <formula>NOT(ISERROR(SEARCH("CMS",AA79)))</formula>
    </cfRule>
    <cfRule type="cellIs" dxfId="3748" priority="386" operator="equal">
      <formula>0</formula>
    </cfRule>
    <cfRule type="cellIs" dxfId="3747" priority="387" operator="greaterThan">
      <formula>0</formula>
    </cfRule>
  </conditionalFormatting>
  <conditionalFormatting sqref="AA79:AB79">
    <cfRule type="cellIs" dxfId="3746" priority="376" operator="equal">
      <formula>"PMS"</formula>
    </cfRule>
    <cfRule type="containsText" dxfId="3745" priority="377" operator="containsText" text="CMS">
      <formula>NOT(ISERROR(SEARCH("CMS",AA79)))</formula>
    </cfRule>
    <cfRule type="cellIs" dxfId="3744" priority="378" operator="equal">
      <formula>0</formula>
    </cfRule>
    <cfRule type="cellIs" dxfId="3743" priority="379" operator="greaterThan">
      <formula>0</formula>
    </cfRule>
  </conditionalFormatting>
  <conditionalFormatting sqref="M30">
    <cfRule type="cellIs" dxfId="3742" priority="368" operator="equal">
      <formula>"PMS"</formula>
    </cfRule>
    <cfRule type="containsText" dxfId="3741" priority="369" operator="containsText" text="CMS">
      <formula>NOT(ISERROR(SEARCH("CMS",M30)))</formula>
    </cfRule>
    <cfRule type="cellIs" dxfId="3740" priority="370" operator="equal">
      <formula>0</formula>
    </cfRule>
    <cfRule type="cellIs" dxfId="3739" priority="371" operator="greaterThan">
      <formula>0</formula>
    </cfRule>
    <cfRule type="cellIs" dxfId="3738" priority="372" operator="equal">
      <formula>"PMS"</formula>
    </cfRule>
    <cfRule type="containsText" dxfId="3737" priority="373" operator="containsText" text="CMS">
      <formula>NOT(ISERROR(SEARCH("CMS",M30)))</formula>
    </cfRule>
    <cfRule type="cellIs" dxfId="3736" priority="374" operator="equal">
      <formula>0</formula>
    </cfRule>
    <cfRule type="cellIs" dxfId="3735" priority="375" operator="greaterThan">
      <formula>0</formula>
    </cfRule>
  </conditionalFormatting>
  <conditionalFormatting sqref="M30">
    <cfRule type="cellIs" dxfId="3734" priority="364" operator="equal">
      <formula>"PMS"</formula>
    </cfRule>
    <cfRule type="containsText" dxfId="3733" priority="365" operator="containsText" text="CMS">
      <formula>NOT(ISERROR(SEARCH("CMS",M30)))</formula>
    </cfRule>
    <cfRule type="cellIs" dxfId="3732" priority="366" operator="equal">
      <formula>0</formula>
    </cfRule>
    <cfRule type="cellIs" dxfId="3731" priority="367" operator="greaterThan">
      <formula>0</formula>
    </cfRule>
  </conditionalFormatting>
  <conditionalFormatting sqref="R78">
    <cfRule type="cellIs" dxfId="3730" priority="356" operator="equal">
      <formula>"PMS"</formula>
    </cfRule>
    <cfRule type="containsText" dxfId="3729" priority="357" operator="containsText" text="CMS">
      <formula>NOT(ISERROR(SEARCH("CMS",R78)))</formula>
    </cfRule>
    <cfRule type="cellIs" dxfId="3728" priority="358" operator="equal">
      <formula>0</formula>
    </cfRule>
    <cfRule type="cellIs" dxfId="3727" priority="359" operator="greaterThan">
      <formula>0</formula>
    </cfRule>
    <cfRule type="cellIs" dxfId="3726" priority="360" operator="equal">
      <formula>"PMS"</formula>
    </cfRule>
    <cfRule type="containsText" dxfId="3725" priority="361" operator="containsText" text="CMS">
      <formula>NOT(ISERROR(SEARCH("CMS",R78)))</formula>
    </cfRule>
    <cfRule type="cellIs" dxfId="3724" priority="362" operator="equal">
      <formula>0</formula>
    </cfRule>
    <cfRule type="cellIs" dxfId="3723" priority="363" operator="greaterThan">
      <formula>0</formula>
    </cfRule>
  </conditionalFormatting>
  <conditionalFormatting sqref="R78">
    <cfRule type="cellIs" dxfId="3722" priority="352" operator="equal">
      <formula>"PMS"</formula>
    </cfRule>
    <cfRule type="containsText" dxfId="3721" priority="353" operator="containsText" text="CMS">
      <formula>NOT(ISERROR(SEARCH("CMS",R78)))</formula>
    </cfRule>
    <cfRule type="cellIs" dxfId="3720" priority="354" operator="equal">
      <formula>0</formula>
    </cfRule>
    <cfRule type="cellIs" dxfId="3719" priority="355" operator="greaterThan">
      <formula>0</formula>
    </cfRule>
  </conditionalFormatting>
  <conditionalFormatting sqref="M16">
    <cfRule type="cellIs" dxfId="3718" priority="344" operator="equal">
      <formula>"PMS"</formula>
    </cfRule>
    <cfRule type="containsText" dxfId="3717" priority="345" operator="containsText" text="CMS">
      <formula>NOT(ISERROR(SEARCH("CMS",M16)))</formula>
    </cfRule>
    <cfRule type="cellIs" dxfId="3716" priority="346" operator="equal">
      <formula>0</formula>
    </cfRule>
    <cfRule type="cellIs" dxfId="3715" priority="347" operator="greaterThan">
      <formula>0</formula>
    </cfRule>
    <cfRule type="cellIs" dxfId="3714" priority="348" operator="equal">
      <formula>"PMS"</formula>
    </cfRule>
    <cfRule type="containsText" dxfId="3713" priority="349" operator="containsText" text="CMS">
      <formula>NOT(ISERROR(SEARCH("CMS",M16)))</formula>
    </cfRule>
    <cfRule type="cellIs" dxfId="3712" priority="350" operator="equal">
      <formula>0</formula>
    </cfRule>
    <cfRule type="cellIs" dxfId="3711" priority="351" operator="greaterThan">
      <formula>0</formula>
    </cfRule>
  </conditionalFormatting>
  <conditionalFormatting sqref="M16">
    <cfRule type="cellIs" dxfId="3710" priority="340" operator="equal">
      <formula>"PMS"</formula>
    </cfRule>
    <cfRule type="containsText" dxfId="3709" priority="341" operator="containsText" text="CMS">
      <formula>NOT(ISERROR(SEARCH("CMS",M16)))</formula>
    </cfRule>
    <cfRule type="cellIs" dxfId="3708" priority="342" operator="equal">
      <formula>0</formula>
    </cfRule>
    <cfRule type="cellIs" dxfId="3707" priority="343" operator="greaterThan">
      <formula>0</formula>
    </cfRule>
  </conditionalFormatting>
  <conditionalFormatting sqref="O40">
    <cfRule type="cellIs" dxfId="3706" priority="332" operator="equal">
      <formula>"PMS"</formula>
    </cfRule>
    <cfRule type="containsText" dxfId="3705" priority="333" operator="containsText" text="CMS">
      <formula>NOT(ISERROR(SEARCH("CMS",O40)))</formula>
    </cfRule>
    <cfRule type="cellIs" dxfId="3704" priority="334" operator="equal">
      <formula>0</formula>
    </cfRule>
    <cfRule type="cellIs" dxfId="3703" priority="335" operator="greaterThan">
      <formula>0</formula>
    </cfRule>
    <cfRule type="cellIs" dxfId="3702" priority="336" operator="equal">
      <formula>"PMS"</formula>
    </cfRule>
    <cfRule type="containsText" dxfId="3701" priority="337" operator="containsText" text="CMS">
      <formula>NOT(ISERROR(SEARCH("CMS",O40)))</formula>
    </cfRule>
    <cfRule type="cellIs" dxfId="3700" priority="338" operator="equal">
      <formula>0</formula>
    </cfRule>
    <cfRule type="cellIs" dxfId="3699" priority="339" operator="greaterThan">
      <formula>0</formula>
    </cfRule>
  </conditionalFormatting>
  <conditionalFormatting sqref="O40">
    <cfRule type="cellIs" dxfId="3698" priority="328" operator="equal">
      <formula>"PMS"</formula>
    </cfRule>
    <cfRule type="containsText" dxfId="3697" priority="329" operator="containsText" text="CMS">
      <formula>NOT(ISERROR(SEARCH("CMS",O40)))</formula>
    </cfRule>
    <cfRule type="cellIs" dxfId="3696" priority="330" operator="equal">
      <formula>0</formula>
    </cfRule>
    <cfRule type="cellIs" dxfId="3695" priority="331" operator="greaterThan">
      <formula>0</formula>
    </cfRule>
  </conditionalFormatting>
  <conditionalFormatting sqref="P21">
    <cfRule type="cellIs" dxfId="3694" priority="320" operator="equal">
      <formula>"PMS"</formula>
    </cfRule>
    <cfRule type="containsText" dxfId="3693" priority="321" operator="containsText" text="CMS">
      <formula>NOT(ISERROR(SEARCH("CMS",P21)))</formula>
    </cfRule>
    <cfRule type="cellIs" dxfId="3692" priority="322" operator="equal">
      <formula>0</formula>
    </cfRule>
    <cfRule type="cellIs" dxfId="3691" priority="323" operator="greaterThan">
      <formula>0</formula>
    </cfRule>
    <cfRule type="cellIs" dxfId="3690" priority="324" operator="equal">
      <formula>"PMS"</formula>
    </cfRule>
    <cfRule type="containsText" dxfId="3689" priority="325" operator="containsText" text="CMS">
      <formula>NOT(ISERROR(SEARCH("CMS",P21)))</formula>
    </cfRule>
    <cfRule type="cellIs" dxfId="3688" priority="326" operator="equal">
      <formula>0</formula>
    </cfRule>
    <cfRule type="cellIs" dxfId="3687" priority="327" operator="greaterThan">
      <formula>0</formula>
    </cfRule>
  </conditionalFormatting>
  <conditionalFormatting sqref="P21">
    <cfRule type="cellIs" dxfId="3686" priority="316" operator="equal">
      <formula>"PMS"</formula>
    </cfRule>
    <cfRule type="containsText" dxfId="3685" priority="317" operator="containsText" text="CMS">
      <formula>NOT(ISERROR(SEARCH("CMS",P21)))</formula>
    </cfRule>
    <cfRule type="cellIs" dxfId="3684" priority="318" operator="equal">
      <formula>0</formula>
    </cfRule>
    <cfRule type="cellIs" dxfId="3683" priority="319" operator="greaterThan">
      <formula>0</formula>
    </cfRule>
  </conditionalFormatting>
  <conditionalFormatting sqref="M78:M79">
    <cfRule type="cellIs" dxfId="3682" priority="308" operator="equal">
      <formula>"PMS"</formula>
    </cfRule>
    <cfRule type="containsText" dxfId="3681" priority="309" operator="containsText" text="CMS">
      <formula>NOT(ISERROR(SEARCH("CMS",M78)))</formula>
    </cfRule>
    <cfRule type="cellIs" dxfId="3680" priority="310" operator="equal">
      <formula>0</formula>
    </cfRule>
    <cfRule type="cellIs" dxfId="3679" priority="311" operator="greaterThan">
      <formula>0</formula>
    </cfRule>
    <cfRule type="cellIs" dxfId="3678" priority="312" operator="equal">
      <formula>"PMS"</formula>
    </cfRule>
    <cfRule type="containsText" dxfId="3677" priority="313" operator="containsText" text="CMS">
      <formula>NOT(ISERROR(SEARCH("CMS",M78)))</formula>
    </cfRule>
    <cfRule type="cellIs" dxfId="3676" priority="314" operator="equal">
      <formula>0</formula>
    </cfRule>
    <cfRule type="cellIs" dxfId="3675" priority="315" operator="greaterThan">
      <formula>0</formula>
    </cfRule>
  </conditionalFormatting>
  <conditionalFormatting sqref="M78:M79">
    <cfRule type="cellIs" dxfId="3674" priority="304" operator="equal">
      <formula>"PMS"</formula>
    </cfRule>
    <cfRule type="containsText" dxfId="3673" priority="305" operator="containsText" text="CMS">
      <formula>NOT(ISERROR(SEARCH("CMS",M78)))</formula>
    </cfRule>
    <cfRule type="cellIs" dxfId="3672" priority="306" operator="equal">
      <formula>0</formula>
    </cfRule>
    <cfRule type="cellIs" dxfId="3671" priority="307" operator="greaterThan">
      <formula>0</formula>
    </cfRule>
  </conditionalFormatting>
  <conditionalFormatting sqref="G79:K79">
    <cfRule type="cellIs" dxfId="3670" priority="296" operator="equal">
      <formula>"PMS"</formula>
    </cfRule>
    <cfRule type="containsText" dxfId="3669" priority="297" operator="containsText" text="CMS">
      <formula>NOT(ISERROR(SEARCH("CMS",G79)))</formula>
    </cfRule>
    <cfRule type="cellIs" dxfId="3668" priority="298" operator="equal">
      <formula>0</formula>
    </cfRule>
    <cfRule type="cellIs" dxfId="3667" priority="299" operator="greaterThan">
      <formula>0</formula>
    </cfRule>
    <cfRule type="cellIs" dxfId="3666" priority="300" operator="equal">
      <formula>"PMS"</formula>
    </cfRule>
    <cfRule type="containsText" dxfId="3665" priority="301" operator="containsText" text="CMS">
      <formula>NOT(ISERROR(SEARCH("CMS",G79)))</formula>
    </cfRule>
    <cfRule type="cellIs" dxfId="3664" priority="302" operator="equal">
      <formula>0</formula>
    </cfRule>
    <cfRule type="cellIs" dxfId="3663" priority="303" operator="greaterThan">
      <formula>0</formula>
    </cfRule>
  </conditionalFormatting>
  <conditionalFormatting sqref="G79:K79">
    <cfRule type="cellIs" dxfId="3662" priority="292" operator="equal">
      <formula>"PMS"</formula>
    </cfRule>
    <cfRule type="containsText" dxfId="3661" priority="293" operator="containsText" text="CMS">
      <formula>NOT(ISERROR(SEARCH("CMS",G79)))</formula>
    </cfRule>
    <cfRule type="cellIs" dxfId="3660" priority="294" operator="equal">
      <formula>0</formula>
    </cfRule>
    <cfRule type="cellIs" dxfId="3659" priority="295" operator="greaterThan">
      <formula>0</formula>
    </cfRule>
  </conditionalFormatting>
  <conditionalFormatting sqref="N14">
    <cfRule type="cellIs" dxfId="3658" priority="284" operator="equal">
      <formula>"PMS"</formula>
    </cfRule>
    <cfRule type="containsText" dxfId="3657" priority="285" operator="containsText" text="CMS">
      <formula>NOT(ISERROR(SEARCH("CMS",N14)))</formula>
    </cfRule>
    <cfRule type="cellIs" dxfId="3656" priority="286" operator="equal">
      <formula>0</formula>
    </cfRule>
    <cfRule type="cellIs" dxfId="3655" priority="287" operator="greaterThan">
      <formula>0</formula>
    </cfRule>
    <cfRule type="cellIs" dxfId="3654" priority="288" operator="equal">
      <formula>"PMS"</formula>
    </cfRule>
    <cfRule type="containsText" dxfId="3653" priority="289" operator="containsText" text="CMS">
      <formula>NOT(ISERROR(SEARCH("CMS",N14)))</formula>
    </cfRule>
    <cfRule type="cellIs" dxfId="3652" priority="290" operator="equal">
      <formula>0</formula>
    </cfRule>
    <cfRule type="cellIs" dxfId="3651" priority="291" operator="greaterThan">
      <formula>0</formula>
    </cfRule>
  </conditionalFormatting>
  <conditionalFormatting sqref="N14">
    <cfRule type="cellIs" dxfId="3650" priority="280" operator="equal">
      <formula>"PMS"</formula>
    </cfRule>
    <cfRule type="containsText" dxfId="3649" priority="281" operator="containsText" text="CMS">
      <formula>NOT(ISERROR(SEARCH("CMS",N14)))</formula>
    </cfRule>
    <cfRule type="cellIs" dxfId="3648" priority="282" operator="equal">
      <formula>0</formula>
    </cfRule>
    <cfRule type="cellIs" dxfId="3647" priority="283" operator="greaterThan">
      <formula>0</formula>
    </cfRule>
  </conditionalFormatting>
  <conditionalFormatting sqref="O51">
    <cfRule type="cellIs" dxfId="3646" priority="272" operator="equal">
      <formula>"PMS"</formula>
    </cfRule>
    <cfRule type="containsText" dxfId="3645" priority="273" operator="containsText" text="CMS">
      <formula>NOT(ISERROR(SEARCH("CMS",O51)))</formula>
    </cfRule>
    <cfRule type="cellIs" dxfId="3644" priority="274" operator="equal">
      <formula>0</formula>
    </cfRule>
    <cfRule type="cellIs" dxfId="3643" priority="275" operator="greaterThan">
      <formula>0</formula>
    </cfRule>
    <cfRule type="cellIs" dxfId="3642" priority="276" operator="equal">
      <formula>"PMS"</formula>
    </cfRule>
    <cfRule type="containsText" dxfId="3641" priority="277" operator="containsText" text="CMS">
      <formula>NOT(ISERROR(SEARCH("CMS",O51)))</formula>
    </cfRule>
    <cfRule type="cellIs" dxfId="3640" priority="278" operator="equal">
      <formula>0</formula>
    </cfRule>
    <cfRule type="cellIs" dxfId="3639" priority="279" operator="greaterThan">
      <formula>0</formula>
    </cfRule>
  </conditionalFormatting>
  <conditionalFormatting sqref="O51">
    <cfRule type="cellIs" dxfId="3638" priority="268" operator="equal">
      <formula>"PMS"</formula>
    </cfRule>
    <cfRule type="containsText" dxfId="3637" priority="269" operator="containsText" text="CMS">
      <formula>NOT(ISERROR(SEARCH("CMS",O51)))</formula>
    </cfRule>
    <cfRule type="cellIs" dxfId="3636" priority="270" operator="equal">
      <formula>0</formula>
    </cfRule>
    <cfRule type="cellIs" dxfId="3635" priority="271" operator="greaterThan">
      <formula>0</formula>
    </cfRule>
  </conditionalFormatting>
  <conditionalFormatting sqref="O56">
    <cfRule type="cellIs" dxfId="3634" priority="260" operator="equal">
      <formula>"PMS"</formula>
    </cfRule>
    <cfRule type="containsText" dxfId="3633" priority="261" operator="containsText" text="CMS">
      <formula>NOT(ISERROR(SEARCH("CMS",O56)))</formula>
    </cfRule>
    <cfRule type="cellIs" dxfId="3632" priority="262" operator="equal">
      <formula>0</formula>
    </cfRule>
    <cfRule type="cellIs" dxfId="3631" priority="263" operator="greaterThan">
      <formula>0</formula>
    </cfRule>
    <cfRule type="cellIs" dxfId="3630" priority="264" operator="equal">
      <formula>"PMS"</formula>
    </cfRule>
    <cfRule type="containsText" dxfId="3629" priority="265" operator="containsText" text="CMS">
      <formula>NOT(ISERROR(SEARCH("CMS",O56)))</formula>
    </cfRule>
    <cfRule type="cellIs" dxfId="3628" priority="266" operator="equal">
      <formula>0</formula>
    </cfRule>
    <cfRule type="cellIs" dxfId="3627" priority="267" operator="greaterThan">
      <formula>0</formula>
    </cfRule>
  </conditionalFormatting>
  <conditionalFormatting sqref="O56">
    <cfRule type="cellIs" dxfId="3626" priority="256" operator="equal">
      <formula>"PMS"</formula>
    </cfRule>
    <cfRule type="containsText" dxfId="3625" priority="257" operator="containsText" text="CMS">
      <formula>NOT(ISERROR(SEARCH("CMS",O56)))</formula>
    </cfRule>
    <cfRule type="cellIs" dxfId="3624" priority="258" operator="equal">
      <formula>0</formula>
    </cfRule>
    <cfRule type="cellIs" dxfId="3623" priority="259" operator="greaterThan">
      <formula>0</formula>
    </cfRule>
  </conditionalFormatting>
  <conditionalFormatting sqref="M14">
    <cfRule type="cellIs" dxfId="3622" priority="248" operator="equal">
      <formula>"PMS"</formula>
    </cfRule>
    <cfRule type="containsText" dxfId="3621" priority="249" operator="containsText" text="CMS">
      <formula>NOT(ISERROR(SEARCH("CMS",M14)))</formula>
    </cfRule>
    <cfRule type="cellIs" dxfId="3620" priority="250" operator="equal">
      <formula>0</formula>
    </cfRule>
    <cfRule type="cellIs" dxfId="3619" priority="251" operator="greaterThan">
      <formula>0</formula>
    </cfRule>
    <cfRule type="cellIs" dxfId="3618" priority="252" operator="equal">
      <formula>"PMS"</formula>
    </cfRule>
    <cfRule type="containsText" dxfId="3617" priority="253" operator="containsText" text="CMS">
      <formula>NOT(ISERROR(SEARCH("CMS",M14)))</formula>
    </cfRule>
    <cfRule type="cellIs" dxfId="3616" priority="254" operator="equal">
      <formula>0</formula>
    </cfRule>
    <cfRule type="cellIs" dxfId="3615" priority="255" operator="greaterThan">
      <formula>0</formula>
    </cfRule>
  </conditionalFormatting>
  <conditionalFormatting sqref="M14">
    <cfRule type="cellIs" dxfId="3614" priority="244" operator="equal">
      <formula>"PMS"</formula>
    </cfRule>
    <cfRule type="containsText" dxfId="3613" priority="245" operator="containsText" text="CMS">
      <formula>NOT(ISERROR(SEARCH("CMS",M14)))</formula>
    </cfRule>
    <cfRule type="cellIs" dxfId="3612" priority="246" operator="equal">
      <formula>0</formula>
    </cfRule>
    <cfRule type="cellIs" dxfId="3611" priority="247" operator="greaterThan">
      <formula>0</formula>
    </cfRule>
  </conditionalFormatting>
  <conditionalFormatting sqref="N78:N79">
    <cfRule type="cellIs" dxfId="3610" priority="236" operator="equal">
      <formula>"PMS"</formula>
    </cfRule>
    <cfRule type="containsText" dxfId="3609" priority="237" operator="containsText" text="CMS">
      <formula>NOT(ISERROR(SEARCH("CMS",N78)))</formula>
    </cfRule>
    <cfRule type="cellIs" dxfId="3608" priority="238" operator="equal">
      <formula>0</formula>
    </cfRule>
    <cfRule type="cellIs" dxfId="3607" priority="239" operator="greaterThan">
      <formula>0</formula>
    </cfRule>
    <cfRule type="cellIs" dxfId="3606" priority="240" operator="equal">
      <formula>"PMS"</formula>
    </cfRule>
    <cfRule type="containsText" dxfId="3605" priority="241" operator="containsText" text="CMS">
      <formula>NOT(ISERROR(SEARCH("CMS",N78)))</formula>
    </cfRule>
    <cfRule type="cellIs" dxfId="3604" priority="242" operator="equal">
      <formula>0</formula>
    </cfRule>
    <cfRule type="cellIs" dxfId="3603" priority="243" operator="greaterThan">
      <formula>0</formula>
    </cfRule>
  </conditionalFormatting>
  <conditionalFormatting sqref="N78:N79">
    <cfRule type="cellIs" dxfId="3602" priority="232" operator="equal">
      <formula>"PMS"</formula>
    </cfRule>
    <cfRule type="containsText" dxfId="3601" priority="233" operator="containsText" text="CMS">
      <formula>NOT(ISERROR(SEARCH("CMS",N78)))</formula>
    </cfRule>
    <cfRule type="cellIs" dxfId="3600" priority="234" operator="equal">
      <formula>0</formula>
    </cfRule>
    <cfRule type="cellIs" dxfId="3599" priority="235" operator="greaterThan">
      <formula>0</formula>
    </cfRule>
  </conditionalFormatting>
  <conditionalFormatting sqref="T28">
    <cfRule type="cellIs" dxfId="3598" priority="224" operator="equal">
      <formula>"PMS"</formula>
    </cfRule>
    <cfRule type="containsText" dxfId="3597" priority="225" operator="containsText" text="CMS">
      <formula>NOT(ISERROR(SEARCH("CMS",T28)))</formula>
    </cfRule>
    <cfRule type="cellIs" dxfId="3596" priority="226" operator="equal">
      <formula>0</formula>
    </cfRule>
    <cfRule type="cellIs" dxfId="3595" priority="227" operator="greaterThan">
      <formula>0</formula>
    </cfRule>
    <cfRule type="cellIs" dxfId="3594" priority="228" operator="equal">
      <formula>"PMS"</formula>
    </cfRule>
    <cfRule type="containsText" dxfId="3593" priority="229" operator="containsText" text="CMS">
      <formula>NOT(ISERROR(SEARCH("CMS",T28)))</formula>
    </cfRule>
    <cfRule type="cellIs" dxfId="3592" priority="230" operator="equal">
      <formula>0</formula>
    </cfRule>
    <cfRule type="cellIs" dxfId="3591" priority="231" operator="greaterThan">
      <formula>0</formula>
    </cfRule>
  </conditionalFormatting>
  <conditionalFormatting sqref="T28">
    <cfRule type="cellIs" dxfId="3590" priority="220" operator="equal">
      <formula>"PMS"</formula>
    </cfRule>
    <cfRule type="containsText" dxfId="3589" priority="221" operator="containsText" text="CMS">
      <formula>NOT(ISERROR(SEARCH("CMS",T28)))</formula>
    </cfRule>
    <cfRule type="cellIs" dxfId="3588" priority="222" operator="equal">
      <formula>0</formula>
    </cfRule>
    <cfRule type="cellIs" dxfId="3587" priority="223" operator="greaterThan">
      <formula>0</formula>
    </cfRule>
  </conditionalFormatting>
  <conditionalFormatting sqref="T78:U78">
    <cfRule type="cellIs" dxfId="3586" priority="212" operator="equal">
      <formula>"PMS"</formula>
    </cfRule>
    <cfRule type="containsText" dxfId="3585" priority="213" operator="containsText" text="CMS">
      <formula>NOT(ISERROR(SEARCH("CMS",T78)))</formula>
    </cfRule>
    <cfRule type="cellIs" dxfId="3584" priority="214" operator="equal">
      <formula>0</formula>
    </cfRule>
    <cfRule type="cellIs" dxfId="3583" priority="215" operator="greaterThan">
      <formula>0</formula>
    </cfRule>
    <cfRule type="cellIs" dxfId="3582" priority="216" operator="equal">
      <formula>"PMS"</formula>
    </cfRule>
    <cfRule type="containsText" dxfId="3581" priority="217" operator="containsText" text="CMS">
      <formula>NOT(ISERROR(SEARCH("CMS",T78)))</formula>
    </cfRule>
    <cfRule type="cellIs" dxfId="3580" priority="218" operator="equal">
      <formula>0</formula>
    </cfRule>
    <cfRule type="cellIs" dxfId="3579" priority="219" operator="greaterThan">
      <formula>0</formula>
    </cfRule>
  </conditionalFormatting>
  <conditionalFormatting sqref="T78:U78">
    <cfRule type="cellIs" dxfId="3578" priority="208" operator="equal">
      <formula>"PMS"</formula>
    </cfRule>
    <cfRule type="containsText" dxfId="3577" priority="209" operator="containsText" text="CMS">
      <formula>NOT(ISERROR(SEARCH("CMS",T78)))</formula>
    </cfRule>
    <cfRule type="cellIs" dxfId="3576" priority="210" operator="equal">
      <formula>0</formula>
    </cfRule>
    <cfRule type="cellIs" dxfId="3575" priority="211" operator="greaterThan">
      <formula>0</formula>
    </cfRule>
  </conditionalFormatting>
  <conditionalFormatting sqref="Z79">
    <cfRule type="cellIs" dxfId="3574" priority="200" operator="equal">
      <formula>"PMS"</formula>
    </cfRule>
    <cfRule type="containsText" dxfId="3573" priority="201" operator="containsText" text="CMS">
      <formula>NOT(ISERROR(SEARCH("CMS",Z79)))</formula>
    </cfRule>
    <cfRule type="cellIs" dxfId="3572" priority="202" operator="equal">
      <formula>0</formula>
    </cfRule>
    <cfRule type="cellIs" dxfId="3571" priority="203" operator="greaterThan">
      <formula>0</formula>
    </cfRule>
    <cfRule type="cellIs" dxfId="3570" priority="204" operator="equal">
      <formula>"PMS"</formula>
    </cfRule>
    <cfRule type="containsText" dxfId="3569" priority="205" operator="containsText" text="CMS">
      <formula>NOT(ISERROR(SEARCH("CMS",Z79)))</formula>
    </cfRule>
    <cfRule type="cellIs" dxfId="3568" priority="206" operator="equal">
      <formula>0</formula>
    </cfRule>
    <cfRule type="cellIs" dxfId="3567" priority="207" operator="greaterThan">
      <formula>0</formula>
    </cfRule>
  </conditionalFormatting>
  <conditionalFormatting sqref="Z79">
    <cfRule type="cellIs" dxfId="3566" priority="196" operator="equal">
      <formula>"PMS"</formula>
    </cfRule>
    <cfRule type="containsText" dxfId="3565" priority="197" operator="containsText" text="CMS">
      <formula>NOT(ISERROR(SEARCH("CMS",Z79)))</formula>
    </cfRule>
    <cfRule type="cellIs" dxfId="3564" priority="198" operator="equal">
      <formula>0</formula>
    </cfRule>
    <cfRule type="cellIs" dxfId="3563" priority="199" operator="greaterThan">
      <formula>0</formula>
    </cfRule>
  </conditionalFormatting>
  <conditionalFormatting sqref="F82">
    <cfRule type="cellIs" dxfId="3562" priority="188" operator="equal">
      <formula>"PMS"</formula>
    </cfRule>
    <cfRule type="containsText" dxfId="3561" priority="189" operator="containsText" text="CMS">
      <formula>NOT(ISERROR(SEARCH("CMS",F82)))</formula>
    </cfRule>
    <cfRule type="cellIs" dxfId="3560" priority="190" operator="equal">
      <formula>0</formula>
    </cfRule>
    <cfRule type="cellIs" dxfId="3559" priority="191" operator="greaterThan">
      <formula>0</formula>
    </cfRule>
    <cfRule type="cellIs" dxfId="3558" priority="192" operator="equal">
      <formula>"PMS"</formula>
    </cfRule>
    <cfRule type="containsText" dxfId="3557" priority="193" operator="containsText" text="CMS">
      <formula>NOT(ISERROR(SEARCH("CMS",F82)))</formula>
    </cfRule>
    <cfRule type="cellIs" dxfId="3556" priority="194" operator="equal">
      <formula>0</formula>
    </cfRule>
    <cfRule type="cellIs" dxfId="3555" priority="195" operator="greaterThan">
      <formula>0</formula>
    </cfRule>
  </conditionalFormatting>
  <conditionalFormatting sqref="F82">
    <cfRule type="cellIs" dxfId="3554" priority="184" operator="equal">
      <formula>"PMS"</formula>
    </cfRule>
    <cfRule type="containsText" dxfId="3553" priority="185" operator="containsText" text="CMS">
      <formula>NOT(ISERROR(SEARCH("CMS",F82)))</formula>
    </cfRule>
    <cfRule type="cellIs" dxfId="3552" priority="186" operator="equal">
      <formula>0</formula>
    </cfRule>
    <cfRule type="cellIs" dxfId="3551" priority="187" operator="greaterThan">
      <formula>0</formula>
    </cfRule>
  </conditionalFormatting>
  <conditionalFormatting sqref="H111:M111">
    <cfRule type="cellIs" dxfId="3550" priority="183" operator="greaterThan">
      <formula>60.3</formula>
    </cfRule>
  </conditionalFormatting>
  <conditionalFormatting sqref="F111:G111">
    <cfRule type="cellIs" dxfId="3549" priority="182" operator="greaterThan">
      <formula>60.3</formula>
    </cfRule>
  </conditionalFormatting>
  <conditionalFormatting sqref="N111:AC111">
    <cfRule type="cellIs" dxfId="3548" priority="181" operator="greaterThan">
      <formula>60.3</formula>
    </cfRule>
  </conditionalFormatting>
  <conditionalFormatting sqref="M56">
    <cfRule type="cellIs" dxfId="3547" priority="161" operator="equal">
      <formula>"PMS"</formula>
    </cfRule>
    <cfRule type="containsText" dxfId="3546" priority="162" operator="containsText" text="CMS">
      <formula>NOT(ISERROR(SEARCH("CMS",M56)))</formula>
    </cfRule>
    <cfRule type="cellIs" dxfId="3545" priority="163" operator="equal">
      <formula>0</formula>
    </cfRule>
    <cfRule type="cellIs" dxfId="3544" priority="164" operator="greaterThan">
      <formula>0</formula>
    </cfRule>
    <cfRule type="cellIs" dxfId="3543" priority="165" operator="equal">
      <formula>"PMS"</formula>
    </cfRule>
    <cfRule type="containsText" dxfId="3542" priority="166" operator="containsText" text="CMS">
      <formula>NOT(ISERROR(SEARCH("CMS",M56)))</formula>
    </cfRule>
    <cfRule type="cellIs" dxfId="3541" priority="167" operator="equal">
      <formula>0</formula>
    </cfRule>
    <cfRule type="cellIs" dxfId="3540" priority="168" operator="greaterThan">
      <formula>0</formula>
    </cfRule>
  </conditionalFormatting>
  <conditionalFormatting sqref="M56">
    <cfRule type="cellIs" dxfId="3539" priority="157" operator="equal">
      <formula>"PMS"</formula>
    </cfRule>
    <cfRule type="containsText" dxfId="3538" priority="158" operator="containsText" text="CMS">
      <formula>NOT(ISERROR(SEARCH("CMS",M56)))</formula>
    </cfRule>
    <cfRule type="cellIs" dxfId="3537" priority="159" operator="equal">
      <formula>0</formula>
    </cfRule>
    <cfRule type="cellIs" dxfId="3536" priority="160" operator="greaterThan">
      <formula>0</formula>
    </cfRule>
  </conditionalFormatting>
  <conditionalFormatting sqref="F36:F59">
    <cfRule type="cellIs" dxfId="3535" priority="149" operator="equal">
      <formula>"PMS"</formula>
    </cfRule>
    <cfRule type="containsText" dxfId="3534" priority="150" operator="containsText" text="CMS">
      <formula>NOT(ISERROR(SEARCH("CMS",F36)))</formula>
    </cfRule>
    <cfRule type="cellIs" dxfId="3533" priority="151" operator="equal">
      <formula>0</formula>
    </cfRule>
    <cfRule type="cellIs" dxfId="3532" priority="152" operator="greaterThan">
      <formula>0</formula>
    </cfRule>
    <cfRule type="cellIs" dxfId="3531" priority="153" operator="equal">
      <formula>"PMS"</formula>
    </cfRule>
    <cfRule type="containsText" dxfId="3530" priority="154" operator="containsText" text="CMS">
      <formula>NOT(ISERROR(SEARCH("CMS",F36)))</formula>
    </cfRule>
    <cfRule type="cellIs" dxfId="3529" priority="155" operator="equal">
      <formula>0</formula>
    </cfRule>
    <cfRule type="cellIs" dxfId="3528" priority="156" operator="greaterThan">
      <formula>0</formula>
    </cfRule>
  </conditionalFormatting>
  <conditionalFormatting sqref="F36:F59">
    <cfRule type="cellIs" dxfId="3527" priority="145" operator="equal">
      <formula>"PMS"</formula>
    </cfRule>
    <cfRule type="containsText" dxfId="3526" priority="146" operator="containsText" text="CMS">
      <formula>NOT(ISERROR(SEARCH("CMS",F36)))</formula>
    </cfRule>
    <cfRule type="cellIs" dxfId="3525" priority="147" operator="equal">
      <formula>0</formula>
    </cfRule>
    <cfRule type="cellIs" dxfId="3524" priority="148" operator="greaterThan">
      <formula>0</formula>
    </cfRule>
  </conditionalFormatting>
  <conditionalFormatting sqref="F67:F75">
    <cfRule type="cellIs" dxfId="3523" priority="137" operator="equal">
      <formula>"PMS"</formula>
    </cfRule>
    <cfRule type="containsText" dxfId="3522" priority="138" operator="containsText" text="CMS">
      <formula>NOT(ISERROR(SEARCH("CMS",F67)))</formula>
    </cfRule>
    <cfRule type="cellIs" dxfId="3521" priority="139" operator="equal">
      <formula>0</formula>
    </cfRule>
    <cfRule type="cellIs" dxfId="3520" priority="140" operator="greaterThan">
      <formula>0</formula>
    </cfRule>
    <cfRule type="cellIs" dxfId="3519" priority="141" operator="equal">
      <formula>"PMS"</formula>
    </cfRule>
    <cfRule type="containsText" dxfId="3518" priority="142" operator="containsText" text="CMS">
      <formula>NOT(ISERROR(SEARCH("CMS",F67)))</formula>
    </cfRule>
    <cfRule type="cellIs" dxfId="3517" priority="143" operator="equal">
      <formula>0</formula>
    </cfRule>
    <cfRule type="cellIs" dxfId="3516" priority="144" operator="greaterThan">
      <formula>0</formula>
    </cfRule>
  </conditionalFormatting>
  <conditionalFormatting sqref="F67:F75">
    <cfRule type="cellIs" dxfId="3515" priority="133" operator="equal">
      <formula>"PMS"</formula>
    </cfRule>
    <cfRule type="containsText" dxfId="3514" priority="134" operator="containsText" text="CMS">
      <formula>NOT(ISERROR(SEARCH("CMS",F67)))</formula>
    </cfRule>
    <cfRule type="cellIs" dxfId="3513" priority="135" operator="equal">
      <formula>0</formula>
    </cfRule>
    <cfRule type="cellIs" dxfId="3512" priority="136" operator="greaterThan">
      <formula>0</formula>
    </cfRule>
  </conditionalFormatting>
  <conditionalFormatting sqref="F78 F24">
    <cfRule type="cellIs" dxfId="3511" priority="125" operator="equal">
      <formula>"PMS"</formula>
    </cfRule>
    <cfRule type="containsText" dxfId="3510" priority="126" operator="containsText" text="CMS">
      <formula>NOT(ISERROR(SEARCH("CMS",F24)))</formula>
    </cfRule>
    <cfRule type="cellIs" dxfId="3509" priority="127" operator="equal">
      <formula>0</formula>
    </cfRule>
    <cfRule type="cellIs" dxfId="3508" priority="128" operator="greaterThan">
      <formula>0</formula>
    </cfRule>
    <cfRule type="cellIs" dxfId="3507" priority="129" operator="equal">
      <formula>"PMS"</formula>
    </cfRule>
    <cfRule type="containsText" dxfId="3506" priority="130" operator="containsText" text="CMS">
      <formula>NOT(ISERROR(SEARCH("CMS",F24)))</formula>
    </cfRule>
    <cfRule type="cellIs" dxfId="3505" priority="131" operator="equal">
      <formula>0</formula>
    </cfRule>
    <cfRule type="cellIs" dxfId="3504" priority="132" operator="greaterThan">
      <formula>0</formula>
    </cfRule>
  </conditionalFormatting>
  <conditionalFormatting sqref="F78 F24">
    <cfRule type="cellIs" dxfId="3503" priority="121" operator="equal">
      <formula>"PMS"</formula>
    </cfRule>
    <cfRule type="containsText" dxfId="3502" priority="122" operator="containsText" text="CMS">
      <formula>NOT(ISERROR(SEARCH("CMS",F24)))</formula>
    </cfRule>
    <cfRule type="cellIs" dxfId="3501" priority="123" operator="equal">
      <formula>0</formula>
    </cfRule>
    <cfRule type="cellIs" dxfId="3500" priority="124" operator="greaterThan">
      <formula>0</formula>
    </cfRule>
  </conditionalFormatting>
  <conditionalFormatting sqref="N62:N64">
    <cfRule type="cellIs" dxfId="3499" priority="113" operator="equal">
      <formula>"PMS"</formula>
    </cfRule>
    <cfRule type="containsText" dxfId="3498" priority="114" operator="containsText" text="CMS">
      <formula>NOT(ISERROR(SEARCH("CMS",N62)))</formula>
    </cfRule>
    <cfRule type="cellIs" dxfId="3497" priority="115" operator="equal">
      <formula>0</formula>
    </cfRule>
    <cfRule type="cellIs" dxfId="3496" priority="116" operator="greaterThan">
      <formula>0</formula>
    </cfRule>
    <cfRule type="cellIs" dxfId="3495" priority="117" operator="equal">
      <formula>"PMS"</formula>
    </cfRule>
    <cfRule type="containsText" dxfId="3494" priority="118" operator="containsText" text="CMS">
      <formula>NOT(ISERROR(SEARCH("CMS",N62)))</formula>
    </cfRule>
    <cfRule type="cellIs" dxfId="3493" priority="119" operator="equal">
      <formula>0</formula>
    </cfRule>
    <cfRule type="cellIs" dxfId="3492" priority="120" operator="greaterThan">
      <formula>0</formula>
    </cfRule>
  </conditionalFormatting>
  <conditionalFormatting sqref="N62:N64">
    <cfRule type="cellIs" dxfId="3491" priority="109" operator="equal">
      <formula>"PMS"</formula>
    </cfRule>
    <cfRule type="containsText" dxfId="3490" priority="110" operator="containsText" text="CMS">
      <formula>NOT(ISERROR(SEARCH("CMS",N62)))</formula>
    </cfRule>
    <cfRule type="cellIs" dxfId="3489" priority="111" operator="equal">
      <formula>0</formula>
    </cfRule>
    <cfRule type="cellIs" dxfId="3488" priority="112" operator="greaterThan">
      <formula>0</formula>
    </cfRule>
  </conditionalFormatting>
  <conditionalFormatting sqref="U28">
    <cfRule type="cellIs" dxfId="3487" priority="101" operator="equal">
      <formula>"PMS"</formula>
    </cfRule>
    <cfRule type="containsText" dxfId="3486" priority="102" operator="containsText" text="CMS">
      <formula>NOT(ISERROR(SEARCH("CMS",U28)))</formula>
    </cfRule>
    <cfRule type="cellIs" dxfId="3485" priority="103" operator="equal">
      <formula>0</formula>
    </cfRule>
    <cfRule type="cellIs" dxfId="3484" priority="104" operator="greaterThan">
      <formula>0</formula>
    </cfRule>
    <cfRule type="cellIs" dxfId="3483" priority="105" operator="equal">
      <formula>"PMS"</formula>
    </cfRule>
    <cfRule type="containsText" dxfId="3482" priority="106" operator="containsText" text="CMS">
      <formula>NOT(ISERROR(SEARCH("CMS",U28)))</formula>
    </cfRule>
    <cfRule type="cellIs" dxfId="3481" priority="107" operator="equal">
      <formula>0</formula>
    </cfRule>
    <cfRule type="cellIs" dxfId="3480" priority="108" operator="greaterThan">
      <formula>0</formula>
    </cfRule>
  </conditionalFormatting>
  <conditionalFormatting sqref="U28">
    <cfRule type="cellIs" dxfId="3479" priority="97" operator="equal">
      <formula>"PMS"</formula>
    </cfRule>
    <cfRule type="containsText" dxfId="3478" priority="98" operator="containsText" text="CMS">
      <formula>NOT(ISERROR(SEARCH("CMS",U28)))</formula>
    </cfRule>
    <cfRule type="cellIs" dxfId="3477" priority="99" operator="equal">
      <formula>0</formula>
    </cfRule>
    <cfRule type="cellIs" dxfId="3476" priority="100" operator="greaterThan">
      <formula>0</formula>
    </cfRule>
  </conditionalFormatting>
  <conditionalFormatting sqref="F13:F16">
    <cfRule type="cellIs" dxfId="3475" priority="89" operator="equal">
      <formula>"PMS"</formula>
    </cfRule>
    <cfRule type="containsText" dxfId="3474" priority="90" operator="containsText" text="CMS">
      <formula>NOT(ISERROR(SEARCH("CMS",F13)))</formula>
    </cfRule>
    <cfRule type="cellIs" dxfId="3473" priority="91" operator="equal">
      <formula>0</formula>
    </cfRule>
    <cfRule type="cellIs" dxfId="3472" priority="92" operator="greaterThan">
      <formula>0</formula>
    </cfRule>
    <cfRule type="cellIs" dxfId="3471" priority="93" operator="equal">
      <formula>"PMS"</formula>
    </cfRule>
    <cfRule type="containsText" dxfId="3470" priority="94" operator="containsText" text="CMS">
      <formula>NOT(ISERROR(SEARCH("CMS",F13)))</formula>
    </cfRule>
    <cfRule type="cellIs" dxfId="3469" priority="95" operator="equal">
      <formula>0</formula>
    </cfRule>
    <cfRule type="cellIs" dxfId="3468" priority="96" operator="greaterThan">
      <formula>0</formula>
    </cfRule>
  </conditionalFormatting>
  <conditionalFormatting sqref="F13:F16">
    <cfRule type="cellIs" dxfId="3467" priority="85" operator="equal">
      <formula>"PMS"</formula>
    </cfRule>
    <cfRule type="containsText" dxfId="3466" priority="86" operator="containsText" text="CMS">
      <formula>NOT(ISERROR(SEARCH("CMS",F13)))</formula>
    </cfRule>
    <cfRule type="cellIs" dxfId="3465" priority="87" operator="equal">
      <formula>0</formula>
    </cfRule>
    <cfRule type="cellIs" dxfId="3464" priority="88" operator="greaterThan">
      <formula>0</formula>
    </cfRule>
  </conditionalFormatting>
  <conditionalFormatting sqref="F19:F21">
    <cfRule type="cellIs" dxfId="3463" priority="77" operator="equal">
      <formula>"PMS"</formula>
    </cfRule>
    <cfRule type="containsText" dxfId="3462" priority="78" operator="containsText" text="CMS">
      <formula>NOT(ISERROR(SEARCH("CMS",F19)))</formula>
    </cfRule>
    <cfRule type="cellIs" dxfId="3461" priority="79" operator="equal">
      <formula>0</formula>
    </cfRule>
    <cfRule type="cellIs" dxfId="3460" priority="80" operator="greaterThan">
      <formula>0</formula>
    </cfRule>
    <cfRule type="cellIs" dxfId="3459" priority="81" operator="equal">
      <formula>"PMS"</formula>
    </cfRule>
    <cfRule type="containsText" dxfId="3458" priority="82" operator="containsText" text="CMS">
      <formula>NOT(ISERROR(SEARCH("CMS",F19)))</formula>
    </cfRule>
    <cfRule type="cellIs" dxfId="3457" priority="83" operator="equal">
      <formula>0</formula>
    </cfRule>
    <cfRule type="cellIs" dxfId="3456" priority="84" operator="greaterThan">
      <formula>0</formula>
    </cfRule>
  </conditionalFormatting>
  <conditionalFormatting sqref="F19:F21">
    <cfRule type="cellIs" dxfId="3455" priority="73" operator="equal">
      <formula>"PMS"</formula>
    </cfRule>
    <cfRule type="containsText" dxfId="3454" priority="74" operator="containsText" text="CMS">
      <formula>NOT(ISERROR(SEARCH("CMS",F19)))</formula>
    </cfRule>
    <cfRule type="cellIs" dxfId="3453" priority="75" operator="equal">
      <formula>0</formula>
    </cfRule>
    <cfRule type="cellIs" dxfId="3452" priority="76" operator="greaterThan">
      <formula>0</formula>
    </cfRule>
  </conditionalFormatting>
  <conditionalFormatting sqref="F28:F30">
    <cfRule type="cellIs" dxfId="3451" priority="65" operator="equal">
      <formula>"PMS"</formula>
    </cfRule>
    <cfRule type="containsText" dxfId="3450" priority="66" operator="containsText" text="CMS">
      <formula>NOT(ISERROR(SEARCH("CMS",F28)))</formula>
    </cfRule>
    <cfRule type="cellIs" dxfId="3449" priority="67" operator="equal">
      <formula>0</formula>
    </cfRule>
    <cfRule type="cellIs" dxfId="3448" priority="68" operator="greaterThan">
      <formula>0</formula>
    </cfRule>
    <cfRule type="cellIs" dxfId="3447" priority="69" operator="equal">
      <formula>"PMS"</formula>
    </cfRule>
    <cfRule type="containsText" dxfId="3446" priority="70" operator="containsText" text="CMS">
      <formula>NOT(ISERROR(SEARCH("CMS",F28)))</formula>
    </cfRule>
    <cfRule type="cellIs" dxfId="3445" priority="71" operator="equal">
      <formula>0</formula>
    </cfRule>
    <cfRule type="cellIs" dxfId="3444" priority="72" operator="greaterThan">
      <formula>0</formula>
    </cfRule>
  </conditionalFormatting>
  <conditionalFormatting sqref="F28:F30">
    <cfRule type="cellIs" dxfId="3443" priority="61" operator="equal">
      <formula>"PMS"</formula>
    </cfRule>
    <cfRule type="containsText" dxfId="3442" priority="62" operator="containsText" text="CMS">
      <formula>NOT(ISERROR(SEARCH("CMS",F28)))</formula>
    </cfRule>
    <cfRule type="cellIs" dxfId="3441" priority="63" operator="equal">
      <formula>0</formula>
    </cfRule>
    <cfRule type="cellIs" dxfId="3440" priority="64" operator="greaterThan">
      <formula>0</formula>
    </cfRule>
  </conditionalFormatting>
  <conditionalFormatting sqref="F27">
    <cfRule type="cellIs" dxfId="3439" priority="53" operator="equal">
      <formula>"PMS"</formula>
    </cfRule>
    <cfRule type="containsText" dxfId="3438" priority="54" operator="containsText" text="CMS">
      <formula>NOT(ISERROR(SEARCH("CMS",F27)))</formula>
    </cfRule>
    <cfRule type="cellIs" dxfId="3437" priority="55" operator="equal">
      <formula>0</formula>
    </cfRule>
    <cfRule type="cellIs" dxfId="3436" priority="56" operator="greaterThan">
      <formula>0</formula>
    </cfRule>
    <cfRule type="cellIs" dxfId="3435" priority="57" operator="equal">
      <formula>"PMS"</formula>
    </cfRule>
    <cfRule type="containsText" dxfId="3434" priority="58" operator="containsText" text="CMS">
      <formula>NOT(ISERROR(SEARCH("CMS",F27)))</formula>
    </cfRule>
    <cfRule type="cellIs" dxfId="3433" priority="59" operator="equal">
      <formula>0</formula>
    </cfRule>
    <cfRule type="cellIs" dxfId="3432" priority="60" operator="greaterThan">
      <formula>0</formula>
    </cfRule>
  </conditionalFormatting>
  <conditionalFormatting sqref="F27">
    <cfRule type="cellIs" dxfId="3431" priority="49" operator="equal">
      <formula>"PMS"</formula>
    </cfRule>
    <cfRule type="containsText" dxfId="3430" priority="50" operator="containsText" text="CMS">
      <formula>NOT(ISERROR(SEARCH("CMS",F27)))</formula>
    </cfRule>
    <cfRule type="cellIs" dxfId="3429" priority="51" operator="equal">
      <formula>0</formula>
    </cfRule>
    <cfRule type="cellIs" dxfId="3428" priority="52" operator="greaterThan">
      <formula>0</formula>
    </cfRule>
  </conditionalFormatting>
  <conditionalFormatting sqref="F33">
    <cfRule type="cellIs" dxfId="3427" priority="41" operator="equal">
      <formula>"PMS"</formula>
    </cfRule>
    <cfRule type="containsText" dxfId="3426" priority="42" operator="containsText" text="CMS">
      <formula>NOT(ISERROR(SEARCH("CMS",F33)))</formula>
    </cfRule>
    <cfRule type="cellIs" dxfId="3425" priority="43" operator="equal">
      <formula>0</formula>
    </cfRule>
    <cfRule type="cellIs" dxfId="3424" priority="44" operator="greaterThan">
      <formula>0</formula>
    </cfRule>
    <cfRule type="cellIs" dxfId="3423" priority="45" operator="equal">
      <formula>"PMS"</formula>
    </cfRule>
    <cfRule type="containsText" dxfId="3422" priority="46" operator="containsText" text="CMS">
      <formula>NOT(ISERROR(SEARCH("CMS",F33)))</formula>
    </cfRule>
    <cfRule type="cellIs" dxfId="3421" priority="47" operator="equal">
      <formula>0</formula>
    </cfRule>
    <cfRule type="cellIs" dxfId="3420" priority="48" operator="greaterThan">
      <formula>0</formula>
    </cfRule>
  </conditionalFormatting>
  <conditionalFormatting sqref="F33">
    <cfRule type="cellIs" dxfId="3419" priority="37" operator="equal">
      <formula>"PMS"</formula>
    </cfRule>
    <cfRule type="containsText" dxfId="3418" priority="38" operator="containsText" text="CMS">
      <formula>NOT(ISERROR(SEARCH("CMS",F33)))</formula>
    </cfRule>
    <cfRule type="cellIs" dxfId="3417" priority="39" operator="equal">
      <formula>0</formula>
    </cfRule>
    <cfRule type="cellIs" dxfId="3416" priority="40" operator="greaterThan">
      <formula>0</formula>
    </cfRule>
  </conditionalFormatting>
  <conditionalFormatting sqref="F62:F64">
    <cfRule type="cellIs" dxfId="3415" priority="29" operator="equal">
      <formula>"PMS"</formula>
    </cfRule>
    <cfRule type="containsText" dxfId="3414" priority="30" operator="containsText" text="CMS">
      <formula>NOT(ISERROR(SEARCH("CMS",F62)))</formula>
    </cfRule>
    <cfRule type="cellIs" dxfId="3413" priority="31" operator="equal">
      <formula>0</formula>
    </cfRule>
    <cfRule type="cellIs" dxfId="3412" priority="32" operator="greaterThan">
      <formula>0</formula>
    </cfRule>
    <cfRule type="cellIs" dxfId="3411" priority="33" operator="equal">
      <formula>"PMS"</formula>
    </cfRule>
    <cfRule type="containsText" dxfId="3410" priority="34" operator="containsText" text="CMS">
      <formula>NOT(ISERROR(SEARCH("CMS",F62)))</formula>
    </cfRule>
    <cfRule type="cellIs" dxfId="3409" priority="35" operator="equal">
      <formula>0</formula>
    </cfRule>
    <cfRule type="cellIs" dxfId="3408" priority="36" operator="greaterThan">
      <formula>0</formula>
    </cfRule>
  </conditionalFormatting>
  <conditionalFormatting sqref="F62:F64">
    <cfRule type="cellIs" dxfId="3407" priority="25" operator="equal">
      <formula>"PMS"</formula>
    </cfRule>
    <cfRule type="containsText" dxfId="3406" priority="26" operator="containsText" text="CMS">
      <formula>NOT(ISERROR(SEARCH("CMS",F62)))</formula>
    </cfRule>
    <cfRule type="cellIs" dxfId="3405" priority="27" operator="equal">
      <formula>0</formula>
    </cfRule>
    <cfRule type="cellIs" dxfId="3404" priority="28" operator="greaterThan">
      <formula>0</formula>
    </cfRule>
  </conditionalFormatting>
  <conditionalFormatting sqref="F79">
    <cfRule type="cellIs" dxfId="3403" priority="17" operator="equal">
      <formula>"PMS"</formula>
    </cfRule>
    <cfRule type="containsText" dxfId="3402" priority="18" operator="containsText" text="CMS">
      <formula>NOT(ISERROR(SEARCH("CMS",F79)))</formula>
    </cfRule>
    <cfRule type="cellIs" dxfId="3401" priority="19" operator="equal">
      <formula>0</formula>
    </cfRule>
    <cfRule type="cellIs" dxfId="3400" priority="20" operator="greaterThan">
      <formula>0</formula>
    </cfRule>
    <cfRule type="cellIs" dxfId="3399" priority="21" operator="equal">
      <formula>"PMS"</formula>
    </cfRule>
    <cfRule type="containsText" dxfId="3398" priority="22" operator="containsText" text="CMS">
      <formula>NOT(ISERROR(SEARCH("CMS",F79)))</formula>
    </cfRule>
    <cfRule type="cellIs" dxfId="3397" priority="23" operator="equal">
      <formula>0</formula>
    </cfRule>
    <cfRule type="cellIs" dxfId="3396" priority="24" operator="greaterThan">
      <formula>0</formula>
    </cfRule>
  </conditionalFormatting>
  <conditionalFormatting sqref="F79">
    <cfRule type="cellIs" dxfId="3395" priority="13" operator="equal">
      <formula>"PMS"</formula>
    </cfRule>
    <cfRule type="containsText" dxfId="3394" priority="14" operator="containsText" text="CMS">
      <formula>NOT(ISERROR(SEARCH("CMS",F79)))</formula>
    </cfRule>
    <cfRule type="cellIs" dxfId="3393" priority="15" operator="equal">
      <formula>0</formula>
    </cfRule>
    <cfRule type="cellIs" dxfId="3392" priority="16" operator="greaterThan">
      <formula>0</formula>
    </cfRule>
  </conditionalFormatting>
  <conditionalFormatting sqref="V78">
    <cfRule type="cellIs" dxfId="3391" priority="5" operator="equal">
      <formula>"PMS"</formula>
    </cfRule>
    <cfRule type="containsText" dxfId="3390" priority="6" operator="containsText" text="CMS">
      <formula>NOT(ISERROR(SEARCH("CMS",V78)))</formula>
    </cfRule>
    <cfRule type="cellIs" dxfId="3389" priority="7" operator="equal">
      <formula>0</formula>
    </cfRule>
    <cfRule type="cellIs" dxfId="3388" priority="8" operator="greaterThan">
      <formula>0</formula>
    </cfRule>
    <cfRule type="cellIs" dxfId="3387" priority="9" operator="equal">
      <formula>"PMS"</formula>
    </cfRule>
    <cfRule type="containsText" dxfId="3386" priority="10" operator="containsText" text="CMS">
      <formula>NOT(ISERROR(SEARCH("CMS",V78)))</formula>
    </cfRule>
    <cfRule type="cellIs" dxfId="3385" priority="11" operator="equal">
      <formula>0</formula>
    </cfRule>
    <cfRule type="cellIs" dxfId="3384" priority="12" operator="greaterThan">
      <formula>0</formula>
    </cfRule>
  </conditionalFormatting>
  <conditionalFormatting sqref="V78">
    <cfRule type="cellIs" dxfId="3383" priority="1" operator="equal">
      <formula>"PMS"</formula>
    </cfRule>
    <cfRule type="containsText" dxfId="3382" priority="2" operator="containsText" text="CMS">
      <formula>NOT(ISERROR(SEARCH("CMS",V78)))</formula>
    </cfRule>
    <cfRule type="cellIs" dxfId="3381" priority="3" operator="equal">
      <formula>0</formula>
    </cfRule>
    <cfRule type="cellIs" dxfId="338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6376-7B6F-4242-BF95-E198F3261CFD}">
  <sheetPr codeName="Sheet248"/>
  <dimension ref="A2:DT141"/>
  <sheetViews>
    <sheetView zoomScale="70" zoomScaleNormal="70" workbookViewId="0">
      <pane xSplit="5" ySplit="11" topLeftCell="S47" activePane="bottomRight" state="frozen"/>
      <selection pane="bottomRight" activeCell="AL28" sqref="AL2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405.40000000000003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>
        <v>6.3</v>
      </c>
      <c r="J14" s="357">
        <v>6.4</v>
      </c>
      <c r="K14" s="357">
        <v>6.3</v>
      </c>
      <c r="L14" s="357">
        <v>4.4000000000000004</v>
      </c>
      <c r="M14" s="357">
        <v>6.8</v>
      </c>
      <c r="N14" s="357">
        <v>6.8</v>
      </c>
      <c r="O14" s="357">
        <v>6.7</v>
      </c>
      <c r="P14" s="357">
        <v>6.7</v>
      </c>
      <c r="Q14" s="357">
        <v>6.6</v>
      </c>
      <c r="R14" s="357">
        <v>6.7</v>
      </c>
      <c r="S14" s="462">
        <v>6.8</v>
      </c>
      <c r="T14" s="462">
        <v>6.7</v>
      </c>
      <c r="U14" s="462">
        <v>6.4</v>
      </c>
      <c r="V14" s="357">
        <v>6.6</v>
      </c>
      <c r="W14" s="357">
        <v>6.6</v>
      </c>
      <c r="X14" s="357">
        <v>7.2</v>
      </c>
      <c r="Y14" s="357">
        <v>6.7</v>
      </c>
      <c r="Z14" s="462">
        <v>6.6</v>
      </c>
      <c r="AA14" s="462">
        <v>6.7</v>
      </c>
      <c r="AB14" s="462">
        <v>6.7</v>
      </c>
      <c r="AC14" s="357">
        <v>6.2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>
        <v>6.5</v>
      </c>
      <c r="H15" s="357">
        <v>6.6</v>
      </c>
      <c r="I15" s="357"/>
      <c r="J15" s="357"/>
      <c r="K15" s="359"/>
      <c r="L15" s="359">
        <v>3.8</v>
      </c>
      <c r="M15" s="359"/>
      <c r="N15" s="357"/>
      <c r="O15" s="357">
        <v>1.5</v>
      </c>
      <c r="P15" s="357">
        <v>6.7</v>
      </c>
      <c r="Q15" s="357">
        <v>6.6</v>
      </c>
      <c r="R15" s="357">
        <v>6.7</v>
      </c>
      <c r="S15" s="462">
        <v>6.8</v>
      </c>
      <c r="T15" s="462">
        <v>6.7</v>
      </c>
      <c r="U15" s="462">
        <v>6.4</v>
      </c>
      <c r="V15" s="357">
        <v>6.6</v>
      </c>
      <c r="W15" s="357">
        <v>6.6</v>
      </c>
      <c r="X15" s="357">
        <v>7.1</v>
      </c>
      <c r="Y15" s="357">
        <v>6.6</v>
      </c>
      <c r="Z15" s="462">
        <v>6.6</v>
      </c>
      <c r="AA15" s="462">
        <v>6.7</v>
      </c>
      <c r="AB15" s="462">
        <v>6.7</v>
      </c>
      <c r="AC15" s="462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6.6</v>
      </c>
      <c r="G16" s="357">
        <v>6.5</v>
      </c>
      <c r="H16" s="357">
        <v>6.6</v>
      </c>
      <c r="I16" s="357">
        <v>6.3</v>
      </c>
      <c r="J16" s="357">
        <v>6.4</v>
      </c>
      <c r="K16" s="359">
        <v>6.3</v>
      </c>
      <c r="L16" s="359">
        <v>4.8</v>
      </c>
      <c r="M16" s="357">
        <v>6.8</v>
      </c>
      <c r="N16" s="359">
        <v>6.8</v>
      </c>
      <c r="O16" s="357">
        <v>6.7</v>
      </c>
      <c r="P16" s="357">
        <v>6.7</v>
      </c>
      <c r="Q16" s="357">
        <v>6.6</v>
      </c>
      <c r="R16" s="357">
        <v>6.7</v>
      </c>
      <c r="S16" s="462">
        <v>6.8</v>
      </c>
      <c r="T16" s="462">
        <v>6.7</v>
      </c>
      <c r="U16" s="462">
        <v>6.4</v>
      </c>
      <c r="V16" s="357">
        <v>6.6</v>
      </c>
      <c r="W16" s="357">
        <v>6.6</v>
      </c>
      <c r="X16" s="357" t="s">
        <v>9</v>
      </c>
      <c r="Y16" s="357">
        <v>6.6</v>
      </c>
      <c r="Z16" s="462">
        <v>6.6</v>
      </c>
      <c r="AA16" s="462">
        <v>6.7</v>
      </c>
      <c r="AB16" s="462">
        <v>6.7</v>
      </c>
      <c r="AC16" s="357">
        <v>6.2</v>
      </c>
      <c r="AD16" s="41"/>
      <c r="AE16" s="41"/>
      <c r="AF16" s="11">
        <f>COUNTIF(F16:AC16,$AJ$8)</f>
        <v>1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</v>
      </c>
      <c r="H17" s="19">
        <f t="shared" si="1"/>
        <v>13.2</v>
      </c>
      <c r="I17" s="19">
        <f t="shared" si="1"/>
        <v>12.6</v>
      </c>
      <c r="J17" s="19">
        <f t="shared" si="1"/>
        <v>12.8</v>
      </c>
      <c r="K17" s="19">
        <f t="shared" si="1"/>
        <v>12.6</v>
      </c>
      <c r="L17" s="19">
        <f t="shared" si="1"/>
        <v>13</v>
      </c>
      <c r="M17" s="19">
        <f t="shared" si="1"/>
        <v>13.6</v>
      </c>
      <c r="N17" s="19">
        <f t="shared" si="1"/>
        <v>13.6</v>
      </c>
      <c r="O17" s="19">
        <f t="shared" si="1"/>
        <v>14.899999999999999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20.100000000000001</v>
      </c>
      <c r="S17" s="463">
        <f t="shared" si="1"/>
        <v>20.399999999999999</v>
      </c>
      <c r="T17" s="463">
        <f t="shared" si="1"/>
        <v>20.100000000000001</v>
      </c>
      <c r="U17" s="19">
        <f t="shared" si="1"/>
        <v>19.200000000000003</v>
      </c>
      <c r="V17" s="19">
        <f t="shared" si="1"/>
        <v>19.799999999999997</v>
      </c>
      <c r="W17" s="19">
        <f t="shared" si="1"/>
        <v>19.799999999999997</v>
      </c>
      <c r="X17" s="19">
        <f t="shared" si="1"/>
        <v>14.3</v>
      </c>
      <c r="Y17" s="19">
        <f t="shared" si="1"/>
        <v>19.899999999999999</v>
      </c>
      <c r="Z17" s="463">
        <f t="shared" si="1"/>
        <v>19.799999999999997</v>
      </c>
      <c r="AA17" s="463">
        <f t="shared" si="1"/>
        <v>20.100000000000001</v>
      </c>
      <c r="AB17" s="463">
        <f>SUM(AB13:AB16)</f>
        <v>20.100000000000001</v>
      </c>
      <c r="AC17" s="19">
        <f t="shared" si="1"/>
        <v>19.399999999999999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17.2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/>
      <c r="P19" s="357"/>
      <c r="Q19" s="357">
        <v>2</v>
      </c>
      <c r="R19" s="357">
        <v>2.8</v>
      </c>
      <c r="S19" s="462">
        <v>2.8</v>
      </c>
      <c r="T19" s="462">
        <v>2.8</v>
      </c>
      <c r="U19" s="357">
        <v>2.4</v>
      </c>
      <c r="V19" s="357">
        <v>2.4</v>
      </c>
      <c r="W19" s="357">
        <v>2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6</v>
      </c>
      <c r="AG19" s="11">
        <f>COUNTIF(G19:AD19,$AJ$7)</f>
        <v>0</v>
      </c>
      <c r="AH19" s="11">
        <f>COUNT(F19:AC19)</f>
        <v>7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462" t="s">
        <v>9</v>
      </c>
      <c r="U20" s="357" t="s">
        <v>9</v>
      </c>
      <c r="V20" s="357" t="s">
        <v>9</v>
      </c>
      <c r="W20" s="357" t="s">
        <v>9</v>
      </c>
      <c r="X20" s="357" t="s">
        <v>9</v>
      </c>
      <c r="Y20" s="357" t="s">
        <v>9</v>
      </c>
      <c r="Z20" s="357" t="s">
        <v>9</v>
      </c>
      <c r="AA20" s="357" t="s">
        <v>9</v>
      </c>
      <c r="AB20" s="357" t="s">
        <v>9</v>
      </c>
      <c r="AC20" s="357" t="s">
        <v>9</v>
      </c>
      <c r="AD20" s="41"/>
      <c r="AE20" s="41"/>
      <c r="AF20" s="11">
        <f>COUNTIF(F20:AC20,$AJ$8)</f>
        <v>24</v>
      </c>
      <c r="AG20" s="11">
        <f>COUNTIF(G20:AD20,$AJ$7)</f>
        <v>0</v>
      </c>
      <c r="AH20" s="11">
        <f>COUNT(F20:AC20)</f>
        <v>0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7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2</v>
      </c>
      <c r="R22" s="19">
        <f t="shared" si="3"/>
        <v>2.8</v>
      </c>
      <c r="S22" s="463">
        <f>SUM(S19:S21)</f>
        <v>2.8</v>
      </c>
      <c r="T22" s="463">
        <f t="shared" ref="T22" si="4">SUM(T19:T21)</f>
        <v>2.8</v>
      </c>
      <c r="U22" s="19">
        <f t="shared" si="3"/>
        <v>2.4</v>
      </c>
      <c r="V22" s="19">
        <f t="shared" si="3"/>
        <v>2.4</v>
      </c>
      <c r="W22" s="19">
        <f t="shared" si="3"/>
        <v>2</v>
      </c>
      <c r="X22" s="19">
        <f t="shared" si="3"/>
        <v>0</v>
      </c>
      <c r="Y22" s="19">
        <f t="shared" si="3"/>
        <v>0</v>
      </c>
      <c r="Z22" s="463">
        <f>SUM(Z19:Z21)</f>
        <v>0</v>
      </c>
      <c r="AA22" s="463">
        <f t="shared" si="3"/>
        <v>0</v>
      </c>
      <c r="AB22" s="463">
        <f>SUM(AB19:AB21)</f>
        <v>0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13.6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/>
      <c r="P24" s="357"/>
      <c r="Q24" s="357"/>
      <c r="R24" s="357"/>
      <c r="S24" s="462"/>
      <c r="T24" s="462"/>
      <c r="U24" s="357"/>
      <c r="V24" s="357"/>
      <c r="W24" s="357"/>
      <c r="X24" s="357">
        <v>3.8</v>
      </c>
      <c r="Y24" s="357">
        <v>3.8</v>
      </c>
      <c r="Z24" s="357">
        <v>3</v>
      </c>
      <c r="AA24" s="357">
        <v>3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4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463">
        <f t="shared" si="6"/>
        <v>0</v>
      </c>
      <c r="T25" s="463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3.8</v>
      </c>
      <c r="Y25" s="19">
        <f t="shared" si="6"/>
        <v>3.8</v>
      </c>
      <c r="Z25" s="463">
        <f t="shared" si="6"/>
        <v>3</v>
      </c>
      <c r="AA25" s="463">
        <f t="shared" si="6"/>
        <v>3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53.199999999999996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>
        <v>1.5</v>
      </c>
      <c r="O27" s="357">
        <v>3.8</v>
      </c>
      <c r="P27" s="357">
        <v>3.8</v>
      </c>
      <c r="Q27" s="357">
        <v>3.8</v>
      </c>
      <c r="R27" s="357">
        <v>3.2</v>
      </c>
      <c r="S27" s="462">
        <v>3.8</v>
      </c>
      <c r="T27" s="462">
        <v>3.8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/>
      <c r="G28" s="357"/>
      <c r="H28" s="357"/>
      <c r="I28" s="357"/>
      <c r="J28" s="357"/>
      <c r="K28" s="357"/>
      <c r="L28" s="359"/>
      <c r="M28" s="357"/>
      <c r="N28" s="357"/>
      <c r="O28" s="357"/>
      <c r="P28" s="357"/>
      <c r="Q28" s="357"/>
      <c r="R28" s="357"/>
      <c r="S28" s="462"/>
      <c r="T28" s="462"/>
      <c r="U28" s="357">
        <v>3.5</v>
      </c>
      <c r="V28" s="357">
        <v>3.8</v>
      </c>
      <c r="W28" s="357">
        <v>3.4</v>
      </c>
      <c r="X28" s="357">
        <v>4.2</v>
      </c>
      <c r="Y28" s="357">
        <v>3.9</v>
      </c>
      <c r="Z28" s="357">
        <v>3.4</v>
      </c>
      <c r="AA28" s="357">
        <v>3.3</v>
      </c>
      <c r="AB28" s="357">
        <v>2.5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9</v>
      </c>
      <c r="AI28" s="159">
        <f>SUM(F29:AC30)</f>
        <v>154.4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462"/>
      <c r="U29" s="357"/>
      <c r="V29" s="357"/>
      <c r="W29" s="357"/>
      <c r="X29" s="357"/>
      <c r="Y29" s="357">
        <v>3</v>
      </c>
      <c r="Z29" s="357">
        <v>2.7</v>
      </c>
      <c r="AA29" s="357">
        <v>0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7">
        <v>5</v>
      </c>
      <c r="H30" s="357">
        <v>4</v>
      </c>
      <c r="I30" s="357">
        <v>4</v>
      </c>
      <c r="J30" s="357">
        <v>3.5</v>
      </c>
      <c r="K30" s="357">
        <v>4</v>
      </c>
      <c r="L30" s="359">
        <v>5.5</v>
      </c>
      <c r="M30" s="357">
        <v>5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462">
        <v>7</v>
      </c>
      <c r="U30" s="357">
        <v>7</v>
      </c>
      <c r="V30" s="357">
        <v>7</v>
      </c>
      <c r="W30" s="357">
        <v>7</v>
      </c>
      <c r="X30" s="357">
        <v>7.2</v>
      </c>
      <c r="Y30" s="357">
        <v>7</v>
      </c>
      <c r="Z30" s="357">
        <v>7</v>
      </c>
      <c r="AA30" s="357">
        <v>7</v>
      </c>
      <c r="AB30" s="357">
        <v>7</v>
      </c>
      <c r="AC30" s="357">
        <v>5.5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7</v>
      </c>
      <c r="G31" s="19">
        <f>SUM(G27:G30)</f>
        <v>5</v>
      </c>
      <c r="H31" s="19">
        <f>SUM(H27:H30)</f>
        <v>4</v>
      </c>
      <c r="I31" s="19">
        <f t="shared" ref="I31:X31" si="8">SUM(I27:I30)</f>
        <v>4</v>
      </c>
      <c r="J31" s="19">
        <f t="shared" si="8"/>
        <v>3.5</v>
      </c>
      <c r="K31" s="19">
        <f t="shared" si="8"/>
        <v>4</v>
      </c>
      <c r="L31" s="19">
        <f t="shared" si="8"/>
        <v>5.5</v>
      </c>
      <c r="M31" s="19">
        <f t="shared" si="8"/>
        <v>5</v>
      </c>
      <c r="N31" s="19">
        <f t="shared" si="8"/>
        <v>8.5</v>
      </c>
      <c r="O31" s="19">
        <f t="shared" si="8"/>
        <v>10.8</v>
      </c>
      <c r="P31" s="19">
        <f t="shared" si="8"/>
        <v>10.8</v>
      </c>
      <c r="Q31" s="19">
        <f t="shared" si="8"/>
        <v>10.8</v>
      </c>
      <c r="R31" s="19">
        <f t="shared" si="8"/>
        <v>10.199999999999999</v>
      </c>
      <c r="S31" s="463">
        <f t="shared" si="8"/>
        <v>10.8</v>
      </c>
      <c r="T31" s="463">
        <f t="shared" si="8"/>
        <v>10.8</v>
      </c>
      <c r="U31" s="19">
        <f t="shared" si="8"/>
        <v>10.5</v>
      </c>
      <c r="V31" s="19">
        <f t="shared" si="8"/>
        <v>10.8</v>
      </c>
      <c r="W31" s="19">
        <f t="shared" si="8"/>
        <v>10.4</v>
      </c>
      <c r="X31" s="19">
        <f t="shared" si="8"/>
        <v>11.4</v>
      </c>
      <c r="Y31" s="19">
        <f>SUM(Y27:Y30)</f>
        <v>13.9</v>
      </c>
      <c r="Z31" s="19">
        <f t="shared" ref="Z31:AC31" si="9">SUM(Z27:Z30)</f>
        <v>13.1</v>
      </c>
      <c r="AA31" s="19">
        <f t="shared" si="9"/>
        <v>10.3</v>
      </c>
      <c r="AB31" s="19">
        <f t="shared" si="9"/>
        <v>9.5</v>
      </c>
      <c r="AC31" s="19">
        <f t="shared" si="9"/>
        <v>7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341.01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14.31</v>
      </c>
      <c r="G33" s="357">
        <v>14.29</v>
      </c>
      <c r="H33" s="357">
        <v>13.8</v>
      </c>
      <c r="I33" s="357">
        <v>13.82</v>
      </c>
      <c r="J33" s="357">
        <v>13.79</v>
      </c>
      <c r="K33" s="357">
        <v>14.28</v>
      </c>
      <c r="L33" s="359">
        <v>14.25</v>
      </c>
      <c r="M33" s="357">
        <v>14.27</v>
      </c>
      <c r="N33" s="357">
        <v>14.28</v>
      </c>
      <c r="O33" s="357">
        <v>14.24</v>
      </c>
      <c r="P33" s="357">
        <v>14.28</v>
      </c>
      <c r="Q33" s="357">
        <v>14.22</v>
      </c>
      <c r="R33" s="357">
        <v>14.29</v>
      </c>
      <c r="S33" s="462">
        <v>14.27</v>
      </c>
      <c r="T33" s="462">
        <v>14.25</v>
      </c>
      <c r="U33" s="357">
        <v>14.23</v>
      </c>
      <c r="V33" s="357">
        <v>14.26</v>
      </c>
      <c r="W33" s="357">
        <v>14.25</v>
      </c>
      <c r="X33" s="357">
        <v>14.29</v>
      </c>
      <c r="Y33" s="357">
        <v>14.28</v>
      </c>
      <c r="Z33" s="357">
        <v>14.26</v>
      </c>
      <c r="AA33" s="357">
        <v>14.26</v>
      </c>
      <c r="AB33" s="357">
        <v>14.29</v>
      </c>
      <c r="AC33" s="357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14.31</v>
      </c>
      <c r="G34" s="19">
        <f t="shared" ref="G34:AC34" si="11">SUM(G33)</f>
        <v>14.29</v>
      </c>
      <c r="H34" s="19">
        <f t="shared" si="11"/>
        <v>13.8</v>
      </c>
      <c r="I34" s="19">
        <f t="shared" si="11"/>
        <v>13.82</v>
      </c>
      <c r="J34" s="19">
        <f t="shared" si="11"/>
        <v>13.79</v>
      </c>
      <c r="K34" s="19">
        <f t="shared" si="11"/>
        <v>14.28</v>
      </c>
      <c r="L34" s="19">
        <f t="shared" si="11"/>
        <v>14.25</v>
      </c>
      <c r="M34" s="19">
        <f t="shared" si="11"/>
        <v>14.27</v>
      </c>
      <c r="N34" s="19">
        <f t="shared" si="11"/>
        <v>14.28</v>
      </c>
      <c r="O34" s="19">
        <f t="shared" si="11"/>
        <v>14.24</v>
      </c>
      <c r="P34" s="19">
        <f t="shared" si="11"/>
        <v>14.28</v>
      </c>
      <c r="Q34" s="19">
        <f t="shared" si="11"/>
        <v>14.22</v>
      </c>
      <c r="R34" s="19">
        <f t="shared" si="11"/>
        <v>14.29</v>
      </c>
      <c r="S34" s="19">
        <f t="shared" si="11"/>
        <v>14.27</v>
      </c>
      <c r="T34" s="463">
        <f t="shared" si="11"/>
        <v>14.25</v>
      </c>
      <c r="U34" s="19">
        <f t="shared" si="11"/>
        <v>14.23</v>
      </c>
      <c r="V34" s="19">
        <f t="shared" si="11"/>
        <v>14.26</v>
      </c>
      <c r="W34" s="19">
        <f t="shared" si="11"/>
        <v>14.25</v>
      </c>
      <c r="X34" s="19">
        <f t="shared" si="11"/>
        <v>14.29</v>
      </c>
      <c r="Y34" s="19">
        <f t="shared" si="11"/>
        <v>14.28</v>
      </c>
      <c r="Z34" s="19">
        <f t="shared" si="11"/>
        <v>14.26</v>
      </c>
      <c r="AA34" s="19">
        <f t="shared" si="11"/>
        <v>14.26</v>
      </c>
      <c r="AB34" s="19">
        <f t="shared" si="11"/>
        <v>14.29</v>
      </c>
      <c r="AC34" s="19">
        <f t="shared" si="11"/>
        <v>14.25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15.9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2"/>
      <c r="T40" s="462"/>
      <c r="U40" s="357"/>
      <c r="V40" s="357"/>
      <c r="W40" s="357"/>
      <c r="X40" s="357">
        <v>0.8</v>
      </c>
      <c r="Y40" s="357">
        <v>0.75</v>
      </c>
      <c r="Z40" s="357">
        <v>0</v>
      </c>
      <c r="AA40" s="357">
        <v>0</v>
      </c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4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>
        <v>0.75</v>
      </c>
      <c r="P47" s="357"/>
      <c r="Q47" s="357"/>
      <c r="R47" s="357"/>
      <c r="S47" s="462">
        <v>0.75</v>
      </c>
      <c r="T47" s="462">
        <v>0</v>
      </c>
      <c r="U47" s="357">
        <v>0.8</v>
      </c>
      <c r="V47" s="357"/>
      <c r="W47" s="357"/>
      <c r="X47" s="357">
        <v>0.75</v>
      </c>
      <c r="Y47" s="357">
        <v>0</v>
      </c>
      <c r="Z47" s="357">
        <v>0</v>
      </c>
      <c r="AA47" s="357">
        <v>0</v>
      </c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8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/>
      <c r="Q48" s="357"/>
      <c r="R48" s="357">
        <v>0.7</v>
      </c>
      <c r="S48" s="462">
        <v>0</v>
      </c>
      <c r="T48" s="462">
        <v>0.75</v>
      </c>
      <c r="U48" s="357">
        <v>0.8</v>
      </c>
      <c r="V48" s="357"/>
      <c r="W48" s="357"/>
      <c r="X48" s="357">
        <v>0.75</v>
      </c>
      <c r="Y48" s="357">
        <v>0.7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8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>
        <v>0.75</v>
      </c>
      <c r="P50" s="357"/>
      <c r="Q50" s="357"/>
      <c r="R50" s="357"/>
      <c r="S50" s="462">
        <v>0.75</v>
      </c>
      <c r="T50" s="462">
        <v>0</v>
      </c>
      <c r="U50" s="357">
        <v>0.8</v>
      </c>
      <c r="V50" s="357">
        <v>0.7</v>
      </c>
      <c r="W50" s="357"/>
      <c r="X50" s="357">
        <v>0.75</v>
      </c>
      <c r="Y50" s="357">
        <v>0</v>
      </c>
      <c r="Z50" s="357">
        <v>0</v>
      </c>
      <c r="AA50" s="357">
        <v>0</v>
      </c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9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/>
      <c r="Q51" s="357"/>
      <c r="R51" s="357"/>
      <c r="S51" s="462">
        <v>0</v>
      </c>
      <c r="T51" s="462">
        <v>0</v>
      </c>
      <c r="U51" s="357">
        <v>0.8</v>
      </c>
      <c r="V51" s="357"/>
      <c r="W51" s="357"/>
      <c r="X51" s="357">
        <v>0.75</v>
      </c>
      <c r="Y51" s="357">
        <v>0.75</v>
      </c>
      <c r="Z51" s="357">
        <v>0</v>
      </c>
      <c r="AA51" s="357">
        <v>0</v>
      </c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7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>
        <v>0</v>
      </c>
      <c r="R56" s="357">
        <v>0</v>
      </c>
      <c r="S56" s="462">
        <v>0</v>
      </c>
      <c r="T56" s="462">
        <v>0.75</v>
      </c>
      <c r="U56" s="357"/>
      <c r="V56" s="357"/>
      <c r="W56" s="357"/>
      <c r="X56" s="357">
        <v>0.8</v>
      </c>
      <c r="Y56" s="357">
        <v>0</v>
      </c>
      <c r="Z56" s="357">
        <v>0</v>
      </c>
      <c r="AA56" s="357">
        <v>0</v>
      </c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8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</v>
      </c>
      <c r="M60" s="19">
        <f t="shared" si="16"/>
        <v>0</v>
      </c>
      <c r="N60" s="19">
        <f>SUM(N36:N59)</f>
        <v>0</v>
      </c>
      <c r="O60" s="19">
        <f t="shared" si="16"/>
        <v>1.5</v>
      </c>
      <c r="P60" s="19">
        <f t="shared" si="16"/>
        <v>0</v>
      </c>
      <c r="Q60" s="19">
        <f t="shared" si="16"/>
        <v>0</v>
      </c>
      <c r="R60" s="19">
        <f t="shared" si="16"/>
        <v>0.7</v>
      </c>
      <c r="S60" s="19">
        <f t="shared" si="16"/>
        <v>1.5</v>
      </c>
      <c r="T60" s="19">
        <f t="shared" si="16"/>
        <v>1.5</v>
      </c>
      <c r="U60" s="19">
        <f t="shared" si="16"/>
        <v>3.2</v>
      </c>
      <c r="V60" s="19">
        <f t="shared" si="16"/>
        <v>0.7</v>
      </c>
      <c r="W60" s="19">
        <f t="shared" si="16"/>
        <v>0</v>
      </c>
      <c r="X60" s="19">
        <f t="shared" si="16"/>
        <v>4.5999999999999996</v>
      </c>
      <c r="Y60" s="19">
        <f>SUM(Y36:Y59)</f>
        <v>2.2000000000000002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26.790000000000003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0.43</v>
      </c>
      <c r="G62" s="357">
        <v>0.41499999999999998</v>
      </c>
      <c r="H62" s="357"/>
      <c r="I62" s="357"/>
      <c r="J62" s="357"/>
      <c r="K62" s="357"/>
      <c r="L62" s="359"/>
      <c r="M62" s="357">
        <v>0.5</v>
      </c>
      <c r="N62" s="357">
        <v>0.5</v>
      </c>
      <c r="O62" s="357">
        <f>1.14/2</f>
        <v>0.56999999999999995</v>
      </c>
      <c r="P62" s="357">
        <f>1.18/2</f>
        <v>0.59</v>
      </c>
      <c r="Q62" s="357">
        <f>1.23/2</f>
        <v>0.61499999999999999</v>
      </c>
      <c r="R62" s="357">
        <f>1.24/2</f>
        <v>0.62</v>
      </c>
      <c r="S62" s="462">
        <f>1.23/2</f>
        <v>0.61499999999999999</v>
      </c>
      <c r="T62" s="462">
        <v>0.64500000000000002</v>
      </c>
      <c r="U62" s="357">
        <v>0.65</v>
      </c>
      <c r="V62" s="357">
        <v>0.63</v>
      </c>
      <c r="W62" s="357">
        <v>0.6</v>
      </c>
      <c r="X62" s="357">
        <f>1.18/2</f>
        <v>0.59</v>
      </c>
      <c r="Y62" s="357">
        <v>0</v>
      </c>
      <c r="Z62" s="357">
        <v>0</v>
      </c>
      <c r="AA62" s="357">
        <v>0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0.43</v>
      </c>
      <c r="G63" s="357">
        <v>0.41499999999999998</v>
      </c>
      <c r="H63" s="357">
        <v>0.4</v>
      </c>
      <c r="I63" s="357">
        <v>0.38500000000000001</v>
      </c>
      <c r="J63" s="357">
        <v>0.41</v>
      </c>
      <c r="K63" s="357">
        <v>0.42499999999999999</v>
      </c>
      <c r="L63" s="359">
        <f>0.95/2</f>
        <v>0.47499999999999998</v>
      </c>
      <c r="M63" s="357"/>
      <c r="N63" s="357"/>
      <c r="O63" s="357"/>
      <c r="P63" s="357"/>
      <c r="Q63" s="357"/>
      <c r="R63" s="357"/>
      <c r="S63" s="462">
        <f>1.23/2</f>
        <v>0.61499999999999999</v>
      </c>
      <c r="T63" s="462">
        <v>0.64500000000000002</v>
      </c>
      <c r="U63" s="357">
        <v>0.65</v>
      </c>
      <c r="V63" s="357">
        <v>0.63</v>
      </c>
      <c r="W63" s="357">
        <v>0.6</v>
      </c>
      <c r="X63" s="357">
        <f>1.18/2</f>
        <v>0.59</v>
      </c>
      <c r="Y63" s="357">
        <f>1.41/2</f>
        <v>0.70499999999999996</v>
      </c>
      <c r="Z63" s="357">
        <f>1.47/2</f>
        <v>0.73499999999999999</v>
      </c>
      <c r="AA63" s="357">
        <f>1.38/2</f>
        <v>0.69</v>
      </c>
      <c r="AB63" s="357">
        <v>0.63</v>
      </c>
      <c r="AC63" s="357">
        <v>0.56999999999999995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/>
      <c r="G64" s="357"/>
      <c r="H64" s="357">
        <v>0.4</v>
      </c>
      <c r="I64" s="357">
        <v>0.38500000000000001</v>
      </c>
      <c r="J64" s="357">
        <v>0.41</v>
      </c>
      <c r="K64" s="357">
        <v>0.42499999999999999</v>
      </c>
      <c r="L64" s="359">
        <f>0.95/2</f>
        <v>0.47499999999999998</v>
      </c>
      <c r="M64" s="357">
        <v>0.5</v>
      </c>
      <c r="N64" s="357">
        <v>0.5</v>
      </c>
      <c r="O64" s="357">
        <f>1.14/2</f>
        <v>0.56999999999999995</v>
      </c>
      <c r="P64" s="357">
        <f>1.18/2</f>
        <v>0.59</v>
      </c>
      <c r="Q64" s="357">
        <f>1.23/2</f>
        <v>0.61499999999999999</v>
      </c>
      <c r="R64" s="357">
        <f>1.24/2</f>
        <v>0.62</v>
      </c>
      <c r="S64" s="462">
        <v>0</v>
      </c>
      <c r="T64" s="462">
        <v>0</v>
      </c>
      <c r="U64" s="357">
        <v>0</v>
      </c>
      <c r="V64" s="357">
        <v>0</v>
      </c>
      <c r="W64" s="357">
        <v>0</v>
      </c>
      <c r="X64" s="357">
        <v>0</v>
      </c>
      <c r="Y64" s="357">
        <f>1.41/2</f>
        <v>0.70499999999999996</v>
      </c>
      <c r="Z64" s="357">
        <f>1.47/2</f>
        <v>0.73499999999999999</v>
      </c>
      <c r="AA64" s="357">
        <f>1.38/2</f>
        <v>0.69</v>
      </c>
      <c r="AB64" s="357">
        <v>0.63</v>
      </c>
      <c r="AC64" s="357">
        <v>0.56999999999999995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22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0.86</v>
      </c>
      <c r="G65" s="19">
        <f t="shared" ref="G65:AB65" si="17">SUM(G62:G64)</f>
        <v>0.83</v>
      </c>
      <c r="H65" s="19">
        <f t="shared" si="17"/>
        <v>0.8</v>
      </c>
      <c r="I65" s="19">
        <f t="shared" si="17"/>
        <v>0.77</v>
      </c>
      <c r="J65" s="19">
        <f t="shared" si="17"/>
        <v>0.82</v>
      </c>
      <c r="K65" s="19">
        <f t="shared" si="17"/>
        <v>0.85</v>
      </c>
      <c r="L65" s="19">
        <f t="shared" si="17"/>
        <v>0.95</v>
      </c>
      <c r="M65" s="19">
        <f t="shared" si="17"/>
        <v>1</v>
      </c>
      <c r="N65" s="19">
        <f t="shared" si="17"/>
        <v>1</v>
      </c>
      <c r="O65" s="19">
        <f t="shared" si="17"/>
        <v>1.1399999999999999</v>
      </c>
      <c r="P65" s="19">
        <f t="shared" si="17"/>
        <v>1.18</v>
      </c>
      <c r="Q65" s="19">
        <f t="shared" si="17"/>
        <v>1.23</v>
      </c>
      <c r="R65" s="19">
        <f t="shared" si="17"/>
        <v>1.24</v>
      </c>
      <c r="S65" s="463">
        <f t="shared" si="17"/>
        <v>1.23</v>
      </c>
      <c r="T65" s="463">
        <f t="shared" si="17"/>
        <v>1.29</v>
      </c>
      <c r="U65" s="463">
        <f t="shared" si="17"/>
        <v>1.3</v>
      </c>
      <c r="V65" s="19">
        <f>SUM(V62:V64)</f>
        <v>1.26</v>
      </c>
      <c r="W65" s="19">
        <f t="shared" si="17"/>
        <v>1.2</v>
      </c>
      <c r="X65" s="19">
        <f t="shared" si="17"/>
        <v>1.18</v>
      </c>
      <c r="Y65" s="19">
        <f>SUM(Y62:Y64)</f>
        <v>1.41</v>
      </c>
      <c r="Z65" s="19">
        <f>SUM(Z62:Z64)</f>
        <v>1.47</v>
      </c>
      <c r="AA65" s="19">
        <f t="shared" si="17"/>
        <v>1.38</v>
      </c>
      <c r="AB65" s="19">
        <f t="shared" si="17"/>
        <v>1.26</v>
      </c>
      <c r="AC65" s="19">
        <f>SUM(AC62:AC64)</f>
        <v>1.1399999999999999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8">COUNTIF(F67:AC67,$AF$11)</f>
        <v>0</v>
      </c>
      <c r="AG67" s="11">
        <f t="shared" ref="AG67:AG75" si="19">COUNTIF(G67:AC67,$AG$11)</f>
        <v>0</v>
      </c>
      <c r="AH67" s="11">
        <f t="shared" ref="AH67:AH75" si="20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0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8"/>
        <v>0</v>
      </c>
      <c r="AG74" s="11">
        <f t="shared" si="19"/>
        <v>0</v>
      </c>
      <c r="AH74" s="11">
        <f t="shared" si="20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8"/>
        <v>0</v>
      </c>
      <c r="AG75" s="11">
        <f t="shared" si="19"/>
        <v>0</v>
      </c>
      <c r="AH75" s="11">
        <f t="shared" si="20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1">SUM(F67:F75)</f>
        <v>0</v>
      </c>
      <c r="G76" s="19">
        <f t="shared" ref="G76:AC76" si="22">SUM(G67:G75)</f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463">
        <f t="shared" si="22"/>
        <v>0</v>
      </c>
      <c r="T76" s="463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18.680000000000003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>
        <v>0.72</v>
      </c>
      <c r="M78" s="357">
        <v>0.74</v>
      </c>
      <c r="N78" s="357">
        <v>0.74</v>
      </c>
      <c r="O78" s="357">
        <v>0.78</v>
      </c>
      <c r="P78" s="357">
        <v>0.84</v>
      </c>
      <c r="Q78" s="357">
        <v>0.86</v>
      </c>
      <c r="R78" s="357">
        <v>0.86</v>
      </c>
      <c r="S78" s="462">
        <v>0.87</v>
      </c>
      <c r="T78" s="462">
        <v>0.88</v>
      </c>
      <c r="U78" s="357">
        <v>0.88</v>
      </c>
      <c r="V78" s="357">
        <v>0.85</v>
      </c>
      <c r="W78" s="357">
        <v>0.86</v>
      </c>
      <c r="X78" s="357">
        <v>0.81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0.75</v>
      </c>
      <c r="G79" s="357">
        <v>0.72</v>
      </c>
      <c r="H79" s="357">
        <v>0.71</v>
      </c>
      <c r="I79" s="357">
        <v>0.67</v>
      </c>
      <c r="J79" s="357">
        <v>0.65</v>
      </c>
      <c r="K79" s="357"/>
      <c r="L79" s="359"/>
      <c r="M79" s="357"/>
      <c r="N79" s="357"/>
      <c r="O79" s="357"/>
      <c r="P79" s="357"/>
      <c r="Q79" s="357"/>
      <c r="R79" s="357"/>
      <c r="S79" s="462"/>
      <c r="T79" s="462"/>
      <c r="U79" s="357"/>
      <c r="V79" s="357"/>
      <c r="W79" s="357"/>
      <c r="X79" s="357"/>
      <c r="Y79" s="357">
        <v>0.91</v>
      </c>
      <c r="Z79" s="357">
        <v>0.96</v>
      </c>
      <c r="AA79" s="357">
        <v>0.92</v>
      </c>
      <c r="AB79" s="357">
        <v>0.86</v>
      </c>
      <c r="AC79" s="357">
        <v>0.84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10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3">SUM(F78:F79)</f>
        <v>0.75</v>
      </c>
      <c r="G80" s="19">
        <f t="shared" ref="G80" si="24">SUM(G78:G79)</f>
        <v>0.72</v>
      </c>
      <c r="H80" s="19">
        <f>SUM(H78:H79)</f>
        <v>0.71</v>
      </c>
      <c r="I80" s="19">
        <f>SUM(I78:I79)</f>
        <v>0.67</v>
      </c>
      <c r="J80" s="19">
        <f t="shared" ref="J80:AC80" si="25">SUM(J78:J79)</f>
        <v>0.65</v>
      </c>
      <c r="K80" s="19">
        <f t="shared" si="25"/>
        <v>0</v>
      </c>
      <c r="L80" s="19">
        <f>SUM(L78:L79)</f>
        <v>0.72</v>
      </c>
      <c r="M80" s="19">
        <f t="shared" si="25"/>
        <v>0.74</v>
      </c>
      <c r="N80" s="19">
        <f t="shared" si="25"/>
        <v>0.74</v>
      </c>
      <c r="O80" s="19">
        <f>SUM(O78:O79)</f>
        <v>0.78</v>
      </c>
      <c r="P80" s="19">
        <f>SUM(P78:P79)</f>
        <v>0.84</v>
      </c>
      <c r="Q80" s="19">
        <f t="shared" si="25"/>
        <v>0.86</v>
      </c>
      <c r="R80" s="19">
        <f t="shared" si="25"/>
        <v>0.86</v>
      </c>
      <c r="S80" s="463">
        <f t="shared" si="25"/>
        <v>0.87</v>
      </c>
      <c r="T80" s="463">
        <f t="shared" si="25"/>
        <v>0.88</v>
      </c>
      <c r="U80" s="19">
        <f t="shared" si="25"/>
        <v>0.88</v>
      </c>
      <c r="V80" s="19">
        <f t="shared" si="25"/>
        <v>0.85</v>
      </c>
      <c r="W80" s="19">
        <f t="shared" si="25"/>
        <v>0.86</v>
      </c>
      <c r="X80" s="19">
        <f t="shared" si="25"/>
        <v>0.81</v>
      </c>
      <c r="Y80" s="19">
        <f t="shared" si="25"/>
        <v>0.91</v>
      </c>
      <c r="Z80" s="19">
        <f t="shared" si="25"/>
        <v>0.96</v>
      </c>
      <c r="AA80" s="19">
        <f t="shared" si="25"/>
        <v>0.92</v>
      </c>
      <c r="AB80" s="19">
        <f t="shared" si="25"/>
        <v>0.86</v>
      </c>
      <c r="AC80" s="19">
        <f t="shared" si="25"/>
        <v>0.84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6">SUM(F17,F22,F25,F31,F34,F60,F65,F76,F80,F82)</f>
        <v>36.119999999999997</v>
      </c>
      <c r="G83" s="28">
        <f>SUM(G17,G22,G25,G31,G34,G60,G65,G76,G80,G82)</f>
        <v>33.839999999999996</v>
      </c>
      <c r="H83" s="28">
        <f t="shared" ref="H83:AC83" si="27">SUM(H17,H22,H25,H31,H34,H60,H65,H76,H80,H82)</f>
        <v>32.51</v>
      </c>
      <c r="I83" s="28">
        <f t="shared" si="27"/>
        <v>31.860000000000003</v>
      </c>
      <c r="J83" s="28">
        <f t="shared" si="27"/>
        <v>31.56</v>
      </c>
      <c r="K83" s="28">
        <f t="shared" si="27"/>
        <v>31.730000000000004</v>
      </c>
      <c r="L83" s="28">
        <f t="shared" si="27"/>
        <v>34.42</v>
      </c>
      <c r="M83" s="28">
        <f t="shared" si="27"/>
        <v>34.610000000000007</v>
      </c>
      <c r="N83" s="28">
        <f t="shared" si="27"/>
        <v>38.120000000000005</v>
      </c>
      <c r="O83" s="28">
        <f t="shared" si="27"/>
        <v>43.36</v>
      </c>
      <c r="P83" s="28">
        <f t="shared" si="27"/>
        <v>47.2</v>
      </c>
      <c r="Q83" s="28">
        <f t="shared" si="27"/>
        <v>48.909999999999989</v>
      </c>
      <c r="R83" s="28">
        <f t="shared" si="27"/>
        <v>50.190000000000005</v>
      </c>
      <c r="S83" s="518">
        <f t="shared" si="27"/>
        <v>51.86999999999999</v>
      </c>
      <c r="T83" s="518">
        <f t="shared" si="27"/>
        <v>51.620000000000005</v>
      </c>
      <c r="U83" s="518">
        <f t="shared" si="27"/>
        <v>51.71</v>
      </c>
      <c r="V83" s="28">
        <f t="shared" si="27"/>
        <v>50.07</v>
      </c>
      <c r="W83" s="28">
        <f t="shared" si="27"/>
        <v>48.51</v>
      </c>
      <c r="X83" s="28">
        <f t="shared" si="27"/>
        <v>50.38</v>
      </c>
      <c r="Y83" s="28">
        <f t="shared" si="27"/>
        <v>56.4</v>
      </c>
      <c r="Z83" s="28">
        <f t="shared" si="27"/>
        <v>52.589999999999996</v>
      </c>
      <c r="AA83" s="28">
        <f t="shared" si="27"/>
        <v>49.960000000000008</v>
      </c>
      <c r="AB83" s="28">
        <f t="shared" si="27"/>
        <v>46.01</v>
      </c>
      <c r="AC83" s="28">
        <f t="shared" si="27"/>
        <v>42.63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0</v>
      </c>
      <c r="P89" s="64">
        <f t="shared" si="28"/>
        <v>0</v>
      </c>
      <c r="Q89" s="64">
        <f t="shared" si="28"/>
        <v>2</v>
      </c>
      <c r="R89" s="64">
        <f t="shared" si="28"/>
        <v>2.8</v>
      </c>
      <c r="S89" s="64">
        <f t="shared" si="28"/>
        <v>2.8</v>
      </c>
      <c r="T89" s="64">
        <f t="shared" si="28"/>
        <v>2.8</v>
      </c>
      <c r="U89" s="64">
        <f t="shared" si="28"/>
        <v>2.4</v>
      </c>
      <c r="V89" s="64">
        <f t="shared" si="28"/>
        <v>2.4</v>
      </c>
      <c r="W89" s="64">
        <f t="shared" si="28"/>
        <v>2</v>
      </c>
      <c r="X89" s="64">
        <f t="shared" si="28"/>
        <v>3.8</v>
      </c>
      <c r="Y89" s="64">
        <f t="shared" si="28"/>
        <v>3.8</v>
      </c>
      <c r="Z89" s="64">
        <f t="shared" si="28"/>
        <v>3</v>
      </c>
      <c r="AA89" s="64">
        <f t="shared" si="28"/>
        <v>3</v>
      </c>
      <c r="AB89" s="64">
        <f t="shared" si="28"/>
        <v>0</v>
      </c>
      <c r="AC89" s="64">
        <f t="shared" si="28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 t="s">
        <v>1</v>
      </c>
      <c r="Q90" s="68" t="s">
        <v>1</v>
      </c>
      <c r="R90" s="68" t="s">
        <v>1</v>
      </c>
      <c r="S90" s="68" t="s">
        <v>1</v>
      </c>
      <c r="T90" s="68" t="s">
        <v>1</v>
      </c>
      <c r="U90" s="68" t="s">
        <v>1</v>
      </c>
      <c r="V90" s="68" t="s">
        <v>1</v>
      </c>
      <c r="W90" s="68" t="s">
        <v>1</v>
      </c>
      <c r="X90" s="68">
        <v>0.23599999999999999</v>
      </c>
      <c r="Y90" s="68">
        <v>0.182</v>
      </c>
      <c r="Z90" s="68">
        <v>0.17599999999999999</v>
      </c>
      <c r="AA90" s="68">
        <v>0.161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9">F17</f>
        <v>13.2</v>
      </c>
      <c r="G91" s="64">
        <f t="shared" si="29"/>
        <v>13</v>
      </c>
      <c r="H91" s="64">
        <f t="shared" si="29"/>
        <v>13.2</v>
      </c>
      <c r="I91" s="64">
        <f t="shared" si="29"/>
        <v>12.6</v>
      </c>
      <c r="J91" s="64">
        <f t="shared" si="29"/>
        <v>12.8</v>
      </c>
      <c r="K91" s="64">
        <f t="shared" si="29"/>
        <v>12.6</v>
      </c>
      <c r="L91" s="64">
        <f t="shared" si="29"/>
        <v>13</v>
      </c>
      <c r="M91" s="64">
        <f t="shared" si="29"/>
        <v>13.6</v>
      </c>
      <c r="N91" s="64">
        <f t="shared" si="29"/>
        <v>13.6</v>
      </c>
      <c r="O91" s="64">
        <f t="shared" si="29"/>
        <v>14.899999999999999</v>
      </c>
      <c r="P91" s="64">
        <f t="shared" si="29"/>
        <v>20.100000000000001</v>
      </c>
      <c r="Q91" s="64">
        <f t="shared" si="29"/>
        <v>19.799999999999997</v>
      </c>
      <c r="R91" s="64">
        <f t="shared" si="29"/>
        <v>20.100000000000001</v>
      </c>
      <c r="S91" s="64">
        <f t="shared" si="29"/>
        <v>20.399999999999999</v>
      </c>
      <c r="T91" s="64">
        <f t="shared" si="29"/>
        <v>20.100000000000001</v>
      </c>
      <c r="U91" s="64">
        <f t="shared" si="29"/>
        <v>19.200000000000003</v>
      </c>
      <c r="V91" s="64">
        <f t="shared" si="29"/>
        <v>19.799999999999997</v>
      </c>
      <c r="W91" s="64">
        <f t="shared" si="29"/>
        <v>19.799999999999997</v>
      </c>
      <c r="X91" s="64">
        <f t="shared" si="29"/>
        <v>14.3</v>
      </c>
      <c r="Y91" s="64">
        <f t="shared" si="29"/>
        <v>19.899999999999999</v>
      </c>
      <c r="Z91" s="64">
        <f t="shared" si="29"/>
        <v>19.799999999999997</v>
      </c>
      <c r="AA91" s="64">
        <f t="shared" si="29"/>
        <v>20.100000000000001</v>
      </c>
      <c r="AB91" s="64">
        <f t="shared" si="29"/>
        <v>20.100000000000001</v>
      </c>
      <c r="AC91" s="64">
        <f t="shared" si="29"/>
        <v>19.399999999999999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0.53700000000000003</v>
      </c>
      <c r="G92" s="68">
        <v>0.47599999999999998</v>
      </c>
      <c r="H92" s="68">
        <v>0.46200000000000002</v>
      </c>
      <c r="I92" s="68">
        <v>0.47</v>
      </c>
      <c r="J92" s="68">
        <v>0.58199999999999996</v>
      </c>
      <c r="K92" s="68">
        <v>0.64500000000000002</v>
      </c>
      <c r="L92" s="68">
        <v>0.67200000000000004</v>
      </c>
      <c r="M92" s="68">
        <v>0.54800000000000004</v>
      </c>
      <c r="N92" s="68">
        <v>0.48899999999999999</v>
      </c>
      <c r="O92" s="68">
        <v>0.64800000000000002</v>
      </c>
      <c r="P92" s="68">
        <v>0.70299999999999996</v>
      </c>
      <c r="Q92" s="68">
        <v>0.80100000000000005</v>
      </c>
      <c r="R92" s="68">
        <v>0.74399999999999999</v>
      </c>
      <c r="S92" s="68">
        <v>0.60599999999999998</v>
      </c>
      <c r="T92" s="68">
        <v>0.60299999999999998</v>
      </c>
      <c r="U92" s="68">
        <v>0.71699999999999997</v>
      </c>
      <c r="V92" s="68">
        <v>0.77100000000000002</v>
      </c>
      <c r="W92" s="68">
        <v>0.67800000000000005</v>
      </c>
      <c r="X92" s="68">
        <v>0.57799999999999996</v>
      </c>
      <c r="Y92" s="68">
        <v>0.80600000000000005</v>
      </c>
      <c r="Z92" s="68">
        <v>0.76200000000000001</v>
      </c>
      <c r="AA92" s="68">
        <v>0.63100000000000001</v>
      </c>
      <c r="AB92" s="68">
        <v>0.55600000000000005</v>
      </c>
      <c r="AC92" s="68">
        <v>0.56499999999999995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0">F31</f>
        <v>7</v>
      </c>
      <c r="G93" s="65">
        <f t="shared" si="30"/>
        <v>5</v>
      </c>
      <c r="H93" s="65">
        <f t="shared" si="30"/>
        <v>4</v>
      </c>
      <c r="I93" s="65">
        <f t="shared" si="30"/>
        <v>4</v>
      </c>
      <c r="J93" s="65">
        <f t="shared" si="30"/>
        <v>3.5</v>
      </c>
      <c r="K93" s="65">
        <f>K31</f>
        <v>4</v>
      </c>
      <c r="L93" s="65">
        <f t="shared" si="30"/>
        <v>5.5</v>
      </c>
      <c r="M93" s="65">
        <f t="shared" si="30"/>
        <v>5</v>
      </c>
      <c r="N93" s="65">
        <f t="shared" si="30"/>
        <v>8.5</v>
      </c>
      <c r="O93" s="65">
        <f t="shared" si="30"/>
        <v>10.8</v>
      </c>
      <c r="P93" s="65">
        <f t="shared" si="30"/>
        <v>10.8</v>
      </c>
      <c r="Q93" s="65">
        <f t="shared" si="30"/>
        <v>10.8</v>
      </c>
      <c r="R93" s="65">
        <f t="shared" si="30"/>
        <v>10.199999999999999</v>
      </c>
      <c r="S93" s="65">
        <f t="shared" si="30"/>
        <v>10.8</v>
      </c>
      <c r="T93" s="65">
        <f t="shared" si="30"/>
        <v>10.8</v>
      </c>
      <c r="U93" s="65">
        <f t="shared" si="30"/>
        <v>10.5</v>
      </c>
      <c r="V93" s="65">
        <f t="shared" si="30"/>
        <v>10.8</v>
      </c>
      <c r="W93" s="65">
        <f t="shared" si="30"/>
        <v>10.4</v>
      </c>
      <c r="X93" s="65">
        <f t="shared" si="30"/>
        <v>11.4</v>
      </c>
      <c r="Y93" s="65">
        <f t="shared" si="30"/>
        <v>13.9</v>
      </c>
      <c r="Z93" s="65">
        <f t="shared" si="30"/>
        <v>13.1</v>
      </c>
      <c r="AA93" s="65">
        <f t="shared" si="30"/>
        <v>10.3</v>
      </c>
      <c r="AB93" s="65">
        <f t="shared" si="30"/>
        <v>9.5</v>
      </c>
      <c r="AC93" s="65">
        <f t="shared" si="30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0.184</v>
      </c>
      <c r="G94" s="68">
        <v>8.8999999999999996E-2</v>
      </c>
      <c r="H94" s="68">
        <v>8.8999999999999996E-2</v>
      </c>
      <c r="I94" s="68">
        <v>8.7999999999999995E-2</v>
      </c>
      <c r="J94" s="68">
        <v>8.7999999999999995E-2</v>
      </c>
      <c r="K94" s="68">
        <v>8.8999999999999996E-2</v>
      </c>
      <c r="L94" s="68">
        <v>0.127</v>
      </c>
      <c r="M94" s="68">
        <v>0.13700000000000001</v>
      </c>
      <c r="N94" s="68">
        <v>0.18099999999999999</v>
      </c>
      <c r="O94" s="68">
        <v>0.17</v>
      </c>
      <c r="P94" s="68">
        <v>0.16300000000000001</v>
      </c>
      <c r="Q94" s="68">
        <v>0.17</v>
      </c>
      <c r="R94" s="68">
        <v>0.17799999999999999</v>
      </c>
      <c r="S94" s="68">
        <v>0.32400000000000001</v>
      </c>
      <c r="T94" s="68">
        <v>0.24099999999999999</v>
      </c>
      <c r="U94" s="68">
        <v>0.16300000000000001</v>
      </c>
      <c r="V94" s="68">
        <v>0.16700000000000001</v>
      </c>
      <c r="W94" s="68">
        <v>0.17299999999999999</v>
      </c>
      <c r="X94" s="68">
        <v>0.16800000000000001</v>
      </c>
      <c r="Y94" s="68">
        <v>0.17</v>
      </c>
      <c r="Z94" s="68">
        <v>0.18099999999999999</v>
      </c>
      <c r="AA94" s="68">
        <v>0.17499999999999999</v>
      </c>
      <c r="AB94" s="68">
        <v>0.16800000000000001</v>
      </c>
      <c r="AC94" s="68">
        <v>0.17499999999999999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0.20899999999999999</v>
      </c>
      <c r="G95" s="68">
        <v>0.215</v>
      </c>
      <c r="H95" s="68">
        <v>0.21</v>
      </c>
      <c r="I95" s="68">
        <v>0.21099999999999999</v>
      </c>
      <c r="J95" s="68">
        <v>0.19900000000000001</v>
      </c>
      <c r="K95" s="68">
        <v>0.20799999999999999</v>
      </c>
      <c r="L95" s="68">
        <v>0.216</v>
      </c>
      <c r="M95" s="68">
        <v>0.215</v>
      </c>
      <c r="N95" s="68">
        <v>0.19900000000000001</v>
      </c>
      <c r="O95" s="68">
        <v>0.2</v>
      </c>
      <c r="P95" s="68">
        <v>0.2</v>
      </c>
      <c r="Q95" s="68">
        <v>0.2</v>
      </c>
      <c r="R95" s="68">
        <v>0.2</v>
      </c>
      <c r="S95" s="68">
        <v>0.2</v>
      </c>
      <c r="T95" s="68">
        <v>0.21299999999999999</v>
      </c>
      <c r="U95" s="68">
        <v>0.19500000000000001</v>
      </c>
      <c r="V95" s="68">
        <v>0.19700000000000001</v>
      </c>
      <c r="W95" s="68">
        <v>0.318</v>
      </c>
      <c r="X95" s="68">
        <v>0.19500000000000001</v>
      </c>
      <c r="Y95" s="68">
        <v>0.2</v>
      </c>
      <c r="Z95" s="68">
        <v>0.2</v>
      </c>
      <c r="AA95" s="68">
        <v>0.224</v>
      </c>
      <c r="AB95" s="68">
        <v>0.22</v>
      </c>
      <c r="AC95" s="68">
        <v>0.217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1">F34</f>
        <v>14.31</v>
      </c>
      <c r="G96" s="65">
        <f t="shared" si="31"/>
        <v>14.29</v>
      </c>
      <c r="H96" s="65">
        <f t="shared" si="31"/>
        <v>13.8</v>
      </c>
      <c r="I96" s="65">
        <f t="shared" si="31"/>
        <v>13.82</v>
      </c>
      <c r="J96" s="65">
        <f t="shared" si="31"/>
        <v>13.79</v>
      </c>
      <c r="K96" s="65">
        <f t="shared" si="31"/>
        <v>14.28</v>
      </c>
      <c r="L96" s="65">
        <f t="shared" si="31"/>
        <v>14.25</v>
      </c>
      <c r="M96" s="65">
        <f t="shared" si="31"/>
        <v>14.27</v>
      </c>
      <c r="N96" s="65">
        <f t="shared" si="31"/>
        <v>14.28</v>
      </c>
      <c r="O96" s="65">
        <f t="shared" si="31"/>
        <v>14.24</v>
      </c>
      <c r="P96" s="65">
        <f t="shared" si="31"/>
        <v>14.28</v>
      </c>
      <c r="Q96" s="65">
        <f t="shared" si="31"/>
        <v>14.22</v>
      </c>
      <c r="R96" s="65">
        <f t="shared" si="31"/>
        <v>14.29</v>
      </c>
      <c r="S96" s="65">
        <f t="shared" si="31"/>
        <v>14.27</v>
      </c>
      <c r="T96" s="65">
        <f t="shared" si="31"/>
        <v>14.25</v>
      </c>
      <c r="U96" s="65">
        <f t="shared" si="31"/>
        <v>14.23</v>
      </c>
      <c r="V96" s="65">
        <f t="shared" si="31"/>
        <v>14.26</v>
      </c>
      <c r="W96" s="65">
        <f t="shared" si="31"/>
        <v>14.25</v>
      </c>
      <c r="X96" s="65">
        <f t="shared" si="31"/>
        <v>14.29</v>
      </c>
      <c r="Y96" s="65">
        <f t="shared" si="31"/>
        <v>14.28</v>
      </c>
      <c r="Z96" s="65">
        <f t="shared" si="31"/>
        <v>14.26</v>
      </c>
      <c r="AA96" s="65">
        <f t="shared" si="31"/>
        <v>14.26</v>
      </c>
      <c r="AB96" s="65">
        <f t="shared" si="31"/>
        <v>14.29</v>
      </c>
      <c r="AC96" s="65">
        <f t="shared" si="31"/>
        <v>14.25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0.69</v>
      </c>
      <c r="G97" s="68">
        <v>0.71</v>
      </c>
      <c r="H97" s="68">
        <v>0.7</v>
      </c>
      <c r="I97" s="68">
        <v>0.68</v>
      </c>
      <c r="J97" s="68">
        <v>0.71</v>
      </c>
      <c r="K97" s="68">
        <v>0.72</v>
      </c>
      <c r="L97" s="68">
        <v>0.75</v>
      </c>
      <c r="M97" s="68">
        <v>0.73</v>
      </c>
      <c r="N97" s="68">
        <v>0.72</v>
      </c>
      <c r="O97" s="68">
        <v>0.76</v>
      </c>
      <c r="P97" s="68">
        <v>0.72</v>
      </c>
      <c r="Q97" s="68">
        <v>0.78</v>
      </c>
      <c r="R97" s="68">
        <v>0.71</v>
      </c>
      <c r="S97" s="68">
        <v>0.73</v>
      </c>
      <c r="T97" s="68">
        <v>0.75</v>
      </c>
      <c r="U97" s="68">
        <v>0.77</v>
      </c>
      <c r="V97" s="68">
        <v>0.74</v>
      </c>
      <c r="W97" s="68">
        <v>0.75</v>
      </c>
      <c r="X97" s="68">
        <v>0.71</v>
      </c>
      <c r="Y97" s="68">
        <v>0.72</v>
      </c>
      <c r="Z97" s="68">
        <v>0.74</v>
      </c>
      <c r="AA97" s="68">
        <v>0.74</v>
      </c>
      <c r="AB97" s="68">
        <v>0.71</v>
      </c>
      <c r="AC97" s="68">
        <v>0.75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2">F60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</v>
      </c>
      <c r="O98" s="64">
        <f t="shared" si="32"/>
        <v>1.5</v>
      </c>
      <c r="P98" s="64">
        <f t="shared" si="32"/>
        <v>0</v>
      </c>
      <c r="Q98" s="64">
        <f t="shared" si="32"/>
        <v>0</v>
      </c>
      <c r="R98" s="64">
        <f t="shared" si="32"/>
        <v>0.7</v>
      </c>
      <c r="S98" s="64">
        <f t="shared" si="32"/>
        <v>1.5</v>
      </c>
      <c r="T98" s="64">
        <f t="shared" si="32"/>
        <v>1.5</v>
      </c>
      <c r="U98" s="64">
        <f t="shared" si="32"/>
        <v>3.2</v>
      </c>
      <c r="V98" s="64">
        <f t="shared" si="32"/>
        <v>0.7</v>
      </c>
      <c r="W98" s="64">
        <f t="shared" si="32"/>
        <v>0</v>
      </c>
      <c r="X98" s="64">
        <f t="shared" si="32"/>
        <v>4.5999999999999996</v>
      </c>
      <c r="Y98" s="64">
        <f t="shared" si="32"/>
        <v>2.2000000000000002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3">F65</f>
        <v>0.86</v>
      </c>
      <c r="G99" s="64">
        <f t="shared" si="33"/>
        <v>0.83</v>
      </c>
      <c r="H99" s="64">
        <f t="shared" si="33"/>
        <v>0.8</v>
      </c>
      <c r="I99" s="64">
        <f t="shared" si="33"/>
        <v>0.77</v>
      </c>
      <c r="J99" s="64">
        <f t="shared" si="33"/>
        <v>0.82</v>
      </c>
      <c r="K99" s="64">
        <f t="shared" si="33"/>
        <v>0.85</v>
      </c>
      <c r="L99" s="64">
        <f t="shared" si="33"/>
        <v>0.95</v>
      </c>
      <c r="M99" s="64">
        <f t="shared" si="33"/>
        <v>1</v>
      </c>
      <c r="N99" s="64">
        <f t="shared" si="33"/>
        <v>1</v>
      </c>
      <c r="O99" s="64">
        <f t="shared" si="33"/>
        <v>1.1399999999999999</v>
      </c>
      <c r="P99" s="64">
        <f t="shared" si="33"/>
        <v>1.18</v>
      </c>
      <c r="Q99" s="64">
        <f t="shared" si="33"/>
        <v>1.23</v>
      </c>
      <c r="R99" s="64">
        <f t="shared" si="33"/>
        <v>1.24</v>
      </c>
      <c r="S99" s="64">
        <f t="shared" si="33"/>
        <v>1.23</v>
      </c>
      <c r="T99" s="64">
        <f t="shared" si="33"/>
        <v>1.29</v>
      </c>
      <c r="U99" s="64">
        <f t="shared" si="33"/>
        <v>1.3</v>
      </c>
      <c r="V99" s="64">
        <f t="shared" si="33"/>
        <v>1.26</v>
      </c>
      <c r="W99" s="64">
        <f t="shared" si="33"/>
        <v>1.2</v>
      </c>
      <c r="X99" s="64">
        <f t="shared" si="33"/>
        <v>1.18</v>
      </c>
      <c r="Y99" s="64">
        <f t="shared" si="33"/>
        <v>1.41</v>
      </c>
      <c r="Z99" s="64">
        <f t="shared" si="33"/>
        <v>1.47</v>
      </c>
      <c r="AA99" s="64">
        <f t="shared" si="33"/>
        <v>1.38</v>
      </c>
      <c r="AB99" s="64">
        <f t="shared" si="33"/>
        <v>1.26</v>
      </c>
      <c r="AC99" s="64">
        <f t="shared" si="33"/>
        <v>1.1399999999999999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4">F76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5">F80</f>
        <v>0.75</v>
      </c>
      <c r="G101" s="64">
        <f t="shared" si="35"/>
        <v>0.72</v>
      </c>
      <c r="H101" s="64">
        <f t="shared" si="35"/>
        <v>0.71</v>
      </c>
      <c r="I101" s="64">
        <f t="shared" si="35"/>
        <v>0.67</v>
      </c>
      <c r="J101" s="64">
        <f t="shared" si="35"/>
        <v>0.65</v>
      </c>
      <c r="K101" s="64">
        <f t="shared" si="35"/>
        <v>0</v>
      </c>
      <c r="L101" s="64">
        <f t="shared" si="35"/>
        <v>0.72</v>
      </c>
      <c r="M101" s="64">
        <f t="shared" si="35"/>
        <v>0.74</v>
      </c>
      <c r="N101" s="64">
        <f t="shared" si="35"/>
        <v>0.74</v>
      </c>
      <c r="O101" s="64">
        <f t="shared" si="35"/>
        <v>0.78</v>
      </c>
      <c r="P101" s="64">
        <f t="shared" si="35"/>
        <v>0.84</v>
      </c>
      <c r="Q101" s="64">
        <f t="shared" si="35"/>
        <v>0.86</v>
      </c>
      <c r="R101" s="64">
        <f t="shared" si="35"/>
        <v>0.86</v>
      </c>
      <c r="S101" s="64">
        <f t="shared" si="35"/>
        <v>0.87</v>
      </c>
      <c r="T101" s="64">
        <f t="shared" si="35"/>
        <v>0.88</v>
      </c>
      <c r="U101" s="64">
        <f t="shared" si="35"/>
        <v>0.88</v>
      </c>
      <c r="V101" s="64">
        <f t="shared" si="35"/>
        <v>0.85</v>
      </c>
      <c r="W101" s="64">
        <f t="shared" si="35"/>
        <v>0.86</v>
      </c>
      <c r="X101" s="64">
        <f t="shared" si="35"/>
        <v>0.81</v>
      </c>
      <c r="Y101" s="64">
        <f t="shared" si="35"/>
        <v>0.91</v>
      </c>
      <c r="Z101" s="64">
        <f t="shared" si="35"/>
        <v>0.96</v>
      </c>
      <c r="AA101" s="64">
        <f t="shared" si="35"/>
        <v>0.92</v>
      </c>
      <c r="AB101" s="64">
        <f t="shared" si="35"/>
        <v>0.86</v>
      </c>
      <c r="AC101" s="64">
        <f t="shared" si="35"/>
        <v>0.84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6">F82</f>
        <v>0</v>
      </c>
      <c r="G102" s="64">
        <f t="shared" si="36"/>
        <v>0</v>
      </c>
      <c r="H102" s="64">
        <f t="shared" si="36"/>
        <v>0</v>
      </c>
      <c r="I102" s="64">
        <f t="shared" si="36"/>
        <v>0</v>
      </c>
      <c r="J102" s="64">
        <f t="shared" si="36"/>
        <v>0</v>
      </c>
      <c r="K102" s="64">
        <f t="shared" si="36"/>
        <v>0</v>
      </c>
      <c r="L102" s="64">
        <f t="shared" si="36"/>
        <v>0</v>
      </c>
      <c r="M102" s="64">
        <f t="shared" si="36"/>
        <v>0</v>
      </c>
      <c r="N102" s="64">
        <f t="shared" si="36"/>
        <v>0</v>
      </c>
      <c r="O102" s="64">
        <f t="shared" si="36"/>
        <v>0</v>
      </c>
      <c r="P102" s="64">
        <f t="shared" si="36"/>
        <v>0</v>
      </c>
      <c r="Q102" s="64">
        <f t="shared" si="36"/>
        <v>0</v>
      </c>
      <c r="R102" s="64">
        <f t="shared" si="36"/>
        <v>0</v>
      </c>
      <c r="S102" s="64">
        <f t="shared" si="36"/>
        <v>0</v>
      </c>
      <c r="T102" s="64">
        <f t="shared" si="36"/>
        <v>0</v>
      </c>
      <c r="U102" s="64">
        <f t="shared" si="36"/>
        <v>0</v>
      </c>
      <c r="V102" s="64">
        <f t="shared" si="36"/>
        <v>0</v>
      </c>
      <c r="W102" s="64">
        <f t="shared" si="36"/>
        <v>0</v>
      </c>
      <c r="X102" s="64">
        <f t="shared" si="36"/>
        <v>0</v>
      </c>
      <c r="Y102" s="64">
        <f t="shared" si="36"/>
        <v>0</v>
      </c>
      <c r="Z102" s="64">
        <f t="shared" si="36"/>
        <v>0</v>
      </c>
      <c r="AA102" s="64">
        <f t="shared" si="36"/>
        <v>0</v>
      </c>
      <c r="AB102" s="64">
        <f t="shared" si="36"/>
        <v>0</v>
      </c>
      <c r="AC102" s="64">
        <f t="shared" si="36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7">SUM(F89,F91,F93,F96,F98:F102,F81)</f>
        <v>36.119999999999997</v>
      </c>
      <c r="G103" s="61">
        <f t="shared" si="37"/>
        <v>33.839999999999996</v>
      </c>
      <c r="H103" s="61">
        <f t="shared" si="37"/>
        <v>32.51</v>
      </c>
      <c r="I103" s="61">
        <f t="shared" si="37"/>
        <v>31.860000000000003</v>
      </c>
      <c r="J103" s="61">
        <f t="shared" si="37"/>
        <v>31.56</v>
      </c>
      <c r="K103" s="61">
        <f t="shared" si="37"/>
        <v>31.730000000000004</v>
      </c>
      <c r="L103" s="61">
        <f t="shared" si="37"/>
        <v>34.42</v>
      </c>
      <c r="M103" s="61">
        <f t="shared" si="37"/>
        <v>34.610000000000007</v>
      </c>
      <c r="N103" s="61">
        <f t="shared" si="37"/>
        <v>38.120000000000005</v>
      </c>
      <c r="O103" s="61">
        <f t="shared" si="37"/>
        <v>43.36</v>
      </c>
      <c r="P103" s="61">
        <f t="shared" si="37"/>
        <v>47.2</v>
      </c>
      <c r="Q103" s="61">
        <f t="shared" si="37"/>
        <v>48.909999999999989</v>
      </c>
      <c r="R103" s="61">
        <f t="shared" si="37"/>
        <v>50.190000000000005</v>
      </c>
      <c r="S103" s="61">
        <f t="shared" si="37"/>
        <v>51.86999999999999</v>
      </c>
      <c r="T103" s="61">
        <f t="shared" si="37"/>
        <v>51.620000000000005</v>
      </c>
      <c r="U103" s="61">
        <f t="shared" si="37"/>
        <v>51.71</v>
      </c>
      <c r="V103" s="61">
        <f t="shared" si="37"/>
        <v>50.07</v>
      </c>
      <c r="W103" s="61">
        <f t="shared" si="37"/>
        <v>48.51</v>
      </c>
      <c r="X103" s="61">
        <f t="shared" si="37"/>
        <v>50.38</v>
      </c>
      <c r="Y103" s="61">
        <f t="shared" si="37"/>
        <v>56.4</v>
      </c>
      <c r="Z103" s="61">
        <f t="shared" si="37"/>
        <v>52.589999999999996</v>
      </c>
      <c r="AA103" s="61">
        <f t="shared" si="37"/>
        <v>49.960000000000008</v>
      </c>
      <c r="AB103" s="61">
        <f t="shared" si="37"/>
        <v>46.01</v>
      </c>
      <c r="AC103" s="61">
        <f t="shared" si="37"/>
        <v>42.63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>
        <v>0.88</v>
      </c>
      <c r="P105" s="76">
        <v>0.88</v>
      </c>
      <c r="Q105" s="76">
        <v>0.88</v>
      </c>
      <c r="R105" s="76">
        <v>0.88</v>
      </c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v>1.07</v>
      </c>
      <c r="U106" s="76">
        <v>1.7</v>
      </c>
      <c r="V106" s="76">
        <f>1.7+0.88</f>
        <v>2.58</v>
      </c>
      <c r="W106" s="76">
        <f>1.7</f>
        <v>1.7</v>
      </c>
      <c r="X106" s="76">
        <f>1.7</f>
        <v>1.7</v>
      </c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8">SUM(F104:F106)</f>
        <v>0</v>
      </c>
      <c r="G107" s="61">
        <f t="shared" si="38"/>
        <v>0</v>
      </c>
      <c r="H107" s="61">
        <f t="shared" si="38"/>
        <v>0</v>
      </c>
      <c r="I107" s="61">
        <f t="shared" si="38"/>
        <v>0</v>
      </c>
      <c r="J107" s="61">
        <f t="shared" si="38"/>
        <v>0</v>
      </c>
      <c r="K107" s="61">
        <f t="shared" si="38"/>
        <v>0</v>
      </c>
      <c r="L107" s="61">
        <f t="shared" si="38"/>
        <v>0</v>
      </c>
      <c r="M107" s="61">
        <f t="shared" si="38"/>
        <v>0</v>
      </c>
      <c r="N107" s="61">
        <f t="shared" si="38"/>
        <v>0</v>
      </c>
      <c r="O107" s="61">
        <f t="shared" si="38"/>
        <v>0.88</v>
      </c>
      <c r="P107" s="61">
        <f t="shared" si="38"/>
        <v>0.88</v>
      </c>
      <c r="Q107" s="61">
        <f t="shared" si="38"/>
        <v>0.88</v>
      </c>
      <c r="R107" s="61">
        <f t="shared" si="38"/>
        <v>0.88</v>
      </c>
      <c r="S107" s="61">
        <f t="shared" si="38"/>
        <v>0</v>
      </c>
      <c r="T107" s="61">
        <f t="shared" si="38"/>
        <v>1.07</v>
      </c>
      <c r="U107" s="61">
        <f t="shared" si="38"/>
        <v>1.7</v>
      </c>
      <c r="V107" s="61">
        <f t="shared" si="38"/>
        <v>2.58</v>
      </c>
      <c r="W107" s="61">
        <f t="shared" si="38"/>
        <v>1.7</v>
      </c>
      <c r="X107" s="61">
        <f t="shared" si="38"/>
        <v>1.7</v>
      </c>
      <c r="Y107" s="61">
        <f t="shared" si="38"/>
        <v>0</v>
      </c>
      <c r="Z107" s="61">
        <f t="shared" si="38"/>
        <v>0</v>
      </c>
      <c r="AA107" s="61">
        <f t="shared" si="38"/>
        <v>0</v>
      </c>
      <c r="AB107" s="61">
        <f t="shared" si="38"/>
        <v>0</v>
      </c>
      <c r="AC107" s="61">
        <f t="shared" si="38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9">F103+F107</f>
        <v>36.119999999999997</v>
      </c>
      <c r="G108" s="62">
        <f t="shared" si="39"/>
        <v>33.839999999999996</v>
      </c>
      <c r="H108" s="62">
        <f t="shared" si="39"/>
        <v>32.51</v>
      </c>
      <c r="I108" s="62">
        <f t="shared" si="39"/>
        <v>31.860000000000003</v>
      </c>
      <c r="J108" s="62">
        <f t="shared" si="39"/>
        <v>31.56</v>
      </c>
      <c r="K108" s="62">
        <f t="shared" si="39"/>
        <v>31.730000000000004</v>
      </c>
      <c r="L108" s="62">
        <f t="shared" si="39"/>
        <v>34.42</v>
      </c>
      <c r="M108" s="62">
        <f t="shared" si="39"/>
        <v>34.610000000000007</v>
      </c>
      <c r="N108" s="62">
        <f>N103+N107</f>
        <v>38.120000000000005</v>
      </c>
      <c r="O108" s="62">
        <f t="shared" si="39"/>
        <v>44.24</v>
      </c>
      <c r="P108" s="62">
        <f>P103+P107</f>
        <v>48.080000000000005</v>
      </c>
      <c r="Q108" s="62">
        <f t="shared" si="39"/>
        <v>49.789999999999992</v>
      </c>
      <c r="R108" s="62">
        <f t="shared" si="39"/>
        <v>51.070000000000007</v>
      </c>
      <c r="S108" s="62">
        <f t="shared" si="39"/>
        <v>51.86999999999999</v>
      </c>
      <c r="T108" s="62">
        <f>T103+T107</f>
        <v>52.690000000000005</v>
      </c>
      <c r="U108" s="62">
        <f t="shared" si="39"/>
        <v>53.410000000000004</v>
      </c>
      <c r="V108" s="62">
        <f t="shared" si="39"/>
        <v>52.65</v>
      </c>
      <c r="W108" s="62">
        <f>W103+W107</f>
        <v>50.21</v>
      </c>
      <c r="X108" s="62">
        <f t="shared" si="39"/>
        <v>52.080000000000005</v>
      </c>
      <c r="Y108" s="62">
        <f t="shared" si="39"/>
        <v>56.4</v>
      </c>
      <c r="Z108" s="62">
        <f t="shared" si="39"/>
        <v>52.589999999999996</v>
      </c>
      <c r="AA108" s="62">
        <f t="shared" si="39"/>
        <v>49.960000000000008</v>
      </c>
      <c r="AB108" s="62">
        <f t="shared" si="39"/>
        <v>46.01</v>
      </c>
      <c r="AC108" s="62">
        <f t="shared" si="39"/>
        <v>42.63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0">(COUNT(F13:F16))*7.2+(COUNT(F27:F28)*4.9)+(COUNT(F19:F21)*4.5)-F91-F93</f>
        <v>-5.7999999999999989</v>
      </c>
      <c r="G109" s="63">
        <f t="shared" si="40"/>
        <v>-3.5999999999999996</v>
      </c>
      <c r="H109" s="63">
        <f t="shared" si="40"/>
        <v>-2.7999999999999989</v>
      </c>
      <c r="I109" s="63">
        <f t="shared" si="40"/>
        <v>-2.1999999999999993</v>
      </c>
      <c r="J109" s="63">
        <f t="shared" si="40"/>
        <v>-1.9000000000000004</v>
      </c>
      <c r="K109" s="63">
        <f t="shared" si="40"/>
        <v>-2.1999999999999993</v>
      </c>
      <c r="L109" s="63">
        <f t="shared" si="40"/>
        <v>3.1000000000000014</v>
      </c>
      <c r="M109" s="63">
        <f t="shared" si="40"/>
        <v>-4.1999999999999993</v>
      </c>
      <c r="N109" s="63">
        <f t="shared" si="40"/>
        <v>-2.7999999999999989</v>
      </c>
      <c r="O109" s="63">
        <f t="shared" si="40"/>
        <v>0.80000000000000071</v>
      </c>
      <c r="P109" s="63">
        <f t="shared" si="40"/>
        <v>-4.4000000000000021</v>
      </c>
      <c r="Q109" s="63">
        <f t="shared" si="40"/>
        <v>0.40000000000000213</v>
      </c>
      <c r="R109" s="63">
        <f t="shared" si="40"/>
        <v>0.69999999999999929</v>
      </c>
      <c r="S109" s="63">
        <f t="shared" si="40"/>
        <v>-0.19999999999999929</v>
      </c>
      <c r="T109" s="63">
        <f t="shared" si="40"/>
        <v>9.9999999999997868E-2</v>
      </c>
      <c r="U109" s="63">
        <f t="shared" si="40"/>
        <v>1.2999999999999972</v>
      </c>
      <c r="V109" s="63">
        <f t="shared" si="40"/>
        <v>0.40000000000000213</v>
      </c>
      <c r="W109" s="63">
        <f t="shared" si="40"/>
        <v>0.80000000000000249</v>
      </c>
      <c r="X109" s="63">
        <f t="shared" si="40"/>
        <v>-6.4</v>
      </c>
      <c r="Y109" s="63">
        <f t="shared" si="40"/>
        <v>-7.2999999999999989</v>
      </c>
      <c r="Z109" s="63">
        <f t="shared" si="40"/>
        <v>-6.3999999999999968</v>
      </c>
      <c r="AA109" s="63">
        <f t="shared" si="40"/>
        <v>-3.9000000000000021</v>
      </c>
      <c r="AB109" s="63">
        <f t="shared" si="40"/>
        <v>-3.1000000000000014</v>
      </c>
      <c r="AC109" s="63">
        <f t="shared" si="40"/>
        <v>0.10000000000000142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-5.7999999999999989</v>
      </c>
      <c r="G110" s="205">
        <f t="shared" si="41"/>
        <v>-3.5999999999999996</v>
      </c>
      <c r="H110" s="205">
        <f t="shared" si="41"/>
        <v>-2.7999999999999989</v>
      </c>
      <c r="I110" s="205">
        <f t="shared" si="41"/>
        <v>-2.1999999999999993</v>
      </c>
      <c r="J110" s="205">
        <f t="shared" si="41"/>
        <v>-1.9000000000000004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-2.1999999999999993</v>
      </c>
      <c r="L110" s="205">
        <f t="shared" si="41"/>
        <v>3.1000000000000014</v>
      </c>
      <c r="M110" s="205">
        <f t="shared" si="41"/>
        <v>-4.1999999999999993</v>
      </c>
      <c r="N110" s="205">
        <f t="shared" si="41"/>
        <v>-2.7999999999999989</v>
      </c>
      <c r="O110" s="205">
        <f t="shared" si="41"/>
        <v>0.80000000000000249</v>
      </c>
      <c r="P110" s="205">
        <f t="shared" si="41"/>
        <v>-4.4000000000000004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-2.5999999999999961</v>
      </c>
      <c r="R110" s="205">
        <f t="shared" ref="R110:AC110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-3.4999999999999991</v>
      </c>
      <c r="S110" s="205">
        <f t="shared" si="42"/>
        <v>-4.3999999999999977</v>
      </c>
      <c r="T110" s="205">
        <f t="shared" si="42"/>
        <v>-4.1000000000000005</v>
      </c>
      <c r="U110" s="205">
        <f t="shared" si="42"/>
        <v>-2.5000000000000013</v>
      </c>
      <c r="V110" s="205">
        <f t="shared" si="42"/>
        <v>-3.3999999999999964</v>
      </c>
      <c r="W110" s="205">
        <f t="shared" si="42"/>
        <v>-2.5999999999999961</v>
      </c>
      <c r="X110" s="205">
        <f t="shared" si="42"/>
        <v>-6.1000000000000005</v>
      </c>
      <c r="Y110" s="205">
        <f t="shared" si="42"/>
        <v>-6.9999999999999973</v>
      </c>
      <c r="Z110" s="205">
        <f t="shared" si="42"/>
        <v>-5.2999999999999954</v>
      </c>
      <c r="AA110" s="205">
        <f t="shared" si="42"/>
        <v>-2.8000000000000007</v>
      </c>
      <c r="AB110" s="205">
        <f t="shared" si="42"/>
        <v>-3.5</v>
      </c>
      <c r="AC110" s="205">
        <f t="shared" si="42"/>
        <v>-0.29999999999999716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60.13</v>
      </c>
      <c r="G111" s="456">
        <v>60.14</v>
      </c>
      <c r="H111" s="456">
        <v>60.05</v>
      </c>
      <c r="I111" s="456">
        <v>60.18</v>
      </c>
      <c r="J111" s="456">
        <v>60.12</v>
      </c>
      <c r="K111" s="456">
        <v>60.2</v>
      </c>
      <c r="L111" s="456">
        <v>60.15</v>
      </c>
      <c r="M111" s="456">
        <v>60.08</v>
      </c>
      <c r="N111" s="456">
        <v>60.15</v>
      </c>
      <c r="O111" s="456">
        <v>60.16</v>
      </c>
      <c r="P111" s="456">
        <v>60.08</v>
      </c>
      <c r="Q111" s="456">
        <v>60.14</v>
      </c>
      <c r="R111" s="456">
        <v>60.12</v>
      </c>
      <c r="S111" s="456">
        <v>60.04</v>
      </c>
      <c r="T111" s="456">
        <v>60.11</v>
      </c>
      <c r="U111" s="456">
        <v>60.15</v>
      </c>
      <c r="V111" s="456">
        <v>60.11</v>
      </c>
      <c r="W111" s="456">
        <v>60.05</v>
      </c>
      <c r="X111" s="456">
        <v>59.96</v>
      </c>
      <c r="Y111" s="456">
        <v>60.02</v>
      </c>
      <c r="Z111" s="456">
        <v>60.07</v>
      </c>
      <c r="AA111" s="456">
        <v>60.05</v>
      </c>
      <c r="AB111" s="456">
        <v>60</v>
      </c>
      <c r="AC111" s="456">
        <v>60.2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100</v>
      </c>
      <c r="G115" s="520" t="s">
        <v>100</v>
      </c>
      <c r="H115" s="520" t="s">
        <v>100</v>
      </c>
      <c r="I115" s="520" t="s">
        <v>101</v>
      </c>
      <c r="J115" s="520" t="s">
        <v>101</v>
      </c>
      <c r="K115" s="520" t="s">
        <v>101</v>
      </c>
      <c r="L115" s="520" t="s">
        <v>101</v>
      </c>
      <c r="M115" s="520" t="s">
        <v>101</v>
      </c>
      <c r="N115" s="520" t="s">
        <v>101</v>
      </c>
      <c r="O115" s="520" t="s">
        <v>101</v>
      </c>
      <c r="P115" s="520" t="s">
        <v>101</v>
      </c>
      <c r="Q115" s="520" t="s">
        <v>101</v>
      </c>
      <c r="R115" s="520" t="s">
        <v>101</v>
      </c>
      <c r="S115" s="520" t="s">
        <v>101</v>
      </c>
      <c r="T115" s="520" t="s">
        <v>101</v>
      </c>
      <c r="U115" s="520" t="s">
        <v>101</v>
      </c>
      <c r="V115" s="520" t="s">
        <v>101</v>
      </c>
      <c r="W115" s="520" t="s">
        <v>101</v>
      </c>
      <c r="X115" s="520" t="s">
        <v>100</v>
      </c>
      <c r="Y115" s="520" t="s">
        <v>100</v>
      </c>
      <c r="Z115" s="520" t="s">
        <v>100</v>
      </c>
      <c r="AA115" s="520" t="s">
        <v>100</v>
      </c>
      <c r="AB115" s="520" t="s">
        <v>100</v>
      </c>
      <c r="AC115" s="520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H13:J13 N13:O13 D42:E42 O14:O16 I15:N15 N16 L13:L14 I16:L16 O52:AC55 P49:AC49 H14:K14 M52:M55 N36:AC48 N50:AC51 H36:J59 L36:L59 N56:AC59 H62:J64 L62:L64 P13:AC16 N62:AC64">
    <cfRule type="cellIs" dxfId="3379" priority="852" operator="equal">
      <formula>"PMS"</formula>
    </cfRule>
    <cfRule type="containsText" dxfId="3378" priority="853" operator="containsText" text="CMS">
      <formula>NOT(ISERROR(SEARCH("CMS",D13)))</formula>
    </cfRule>
    <cfRule type="cellIs" dxfId="3377" priority="854" operator="equal">
      <formula>0</formula>
    </cfRule>
    <cfRule type="cellIs" dxfId="3376" priority="855" operator="greaterThan">
      <formula>0</formula>
    </cfRule>
    <cfRule type="cellIs" dxfId="3375" priority="856" operator="equal">
      <formula>"PMS"</formula>
    </cfRule>
    <cfRule type="containsText" dxfId="3374" priority="857" operator="containsText" text="CMS">
      <formula>NOT(ISERROR(SEARCH("CMS",D13)))</formula>
    </cfRule>
    <cfRule type="cellIs" dxfId="3373" priority="858" operator="equal">
      <formula>0</formula>
    </cfRule>
    <cfRule type="cellIs" dxfId="3372" priority="859" operator="greaterThan">
      <formula>0</formula>
    </cfRule>
  </conditionalFormatting>
  <conditionalFormatting sqref="H13:J13 N13:O13 D42:E42 O14:O16 I15:N15 N16 L13:L14 I16:L16 O52:AC55 P49:AC49 H14:K14 M52:M55 N36:AC48 N50:AC51 H36:J59 L36:L59 N56:AC59 H62:J64 L62:L64 P13:AC16 N62:AC64">
    <cfRule type="cellIs" dxfId="3371" priority="848" operator="equal">
      <formula>"PMS"</formula>
    </cfRule>
    <cfRule type="containsText" dxfId="3370" priority="849" operator="containsText" text="CMS">
      <formula>NOT(ISERROR(SEARCH("CMS",D13)))</formula>
    </cfRule>
    <cfRule type="cellIs" dxfId="3369" priority="850" operator="equal">
      <formula>0</formula>
    </cfRule>
    <cfRule type="cellIs" dxfId="3368" priority="851" operator="greaterThan">
      <formula>0</formula>
    </cfRule>
  </conditionalFormatting>
  <conditionalFormatting sqref="G67:AC75">
    <cfRule type="cellIs" dxfId="3367" priority="840" operator="equal">
      <formula>"PMS"</formula>
    </cfRule>
    <cfRule type="containsText" dxfId="3366" priority="841" operator="containsText" text="CMS">
      <formula>NOT(ISERROR(SEARCH("CMS",G67)))</formula>
    </cfRule>
    <cfRule type="cellIs" dxfId="3365" priority="842" operator="equal">
      <formula>0</formula>
    </cfRule>
    <cfRule type="cellIs" dxfId="3364" priority="843" operator="greaterThan">
      <formula>0</formula>
    </cfRule>
    <cfRule type="cellIs" dxfId="3363" priority="844" operator="equal">
      <formula>"PMS"</formula>
    </cfRule>
    <cfRule type="containsText" dxfId="3362" priority="845" operator="containsText" text="CMS">
      <formula>NOT(ISERROR(SEARCH("CMS",G67)))</formula>
    </cfRule>
    <cfRule type="cellIs" dxfId="3361" priority="846" operator="equal">
      <formula>0</formula>
    </cfRule>
    <cfRule type="cellIs" dxfId="3360" priority="847" operator="greaterThan">
      <formula>0</formula>
    </cfRule>
  </conditionalFormatting>
  <conditionalFormatting sqref="G67:AC75">
    <cfRule type="cellIs" dxfId="3359" priority="836" operator="equal">
      <formula>"PMS"</formula>
    </cfRule>
    <cfRule type="containsText" dxfId="3358" priority="837" operator="containsText" text="CMS">
      <formula>NOT(ISERROR(SEARCH("CMS",G67)))</formula>
    </cfRule>
    <cfRule type="cellIs" dxfId="3357" priority="838" operator="equal">
      <formula>0</formula>
    </cfRule>
    <cfRule type="cellIs" dxfId="3356" priority="839" operator="greaterThan">
      <formula>0</formula>
    </cfRule>
  </conditionalFormatting>
  <conditionalFormatting sqref="G82:AC82">
    <cfRule type="cellIs" dxfId="3355" priority="828" operator="equal">
      <formula>"PMS"</formula>
    </cfRule>
    <cfRule type="containsText" dxfId="3354" priority="829" operator="containsText" text="CMS">
      <formula>NOT(ISERROR(SEARCH("CMS",G82)))</formula>
    </cfRule>
    <cfRule type="cellIs" dxfId="3353" priority="830" operator="equal">
      <formula>0</formula>
    </cfRule>
    <cfRule type="cellIs" dxfId="3352" priority="831" operator="greaterThan">
      <formula>0</formula>
    </cfRule>
    <cfRule type="cellIs" dxfId="3351" priority="832" operator="equal">
      <formula>"PMS"</formula>
    </cfRule>
    <cfRule type="containsText" dxfId="3350" priority="833" operator="containsText" text="CMS">
      <formula>NOT(ISERROR(SEARCH("CMS",G82)))</formula>
    </cfRule>
    <cfRule type="cellIs" dxfId="3349" priority="834" operator="equal">
      <formula>0</formula>
    </cfRule>
    <cfRule type="cellIs" dxfId="3348" priority="835" operator="greaterThan">
      <formula>0</formula>
    </cfRule>
  </conditionalFormatting>
  <conditionalFormatting sqref="G82:AC82">
    <cfRule type="cellIs" dxfId="3347" priority="824" operator="equal">
      <formula>"PMS"</formula>
    </cfRule>
    <cfRule type="containsText" dxfId="3346" priority="825" operator="containsText" text="CMS">
      <formula>NOT(ISERROR(SEARCH("CMS",G82)))</formula>
    </cfRule>
    <cfRule type="cellIs" dxfId="3345" priority="826" operator="equal">
      <formula>0</formula>
    </cfRule>
    <cfRule type="cellIs" dxfId="3344" priority="827" operator="greaterThan">
      <formula>0</formula>
    </cfRule>
  </conditionalFormatting>
  <conditionalFormatting sqref="G13">
    <cfRule type="cellIs" dxfId="3343" priority="816" operator="equal">
      <formula>"PMS"</formula>
    </cfRule>
    <cfRule type="containsText" dxfId="3342" priority="817" operator="containsText" text="CMS">
      <formula>NOT(ISERROR(SEARCH("CMS",G13)))</formula>
    </cfRule>
    <cfRule type="cellIs" dxfId="3341" priority="818" operator="equal">
      <formula>0</formula>
    </cfRule>
    <cfRule type="cellIs" dxfId="3340" priority="819" operator="greaterThan">
      <formula>0</formula>
    </cfRule>
    <cfRule type="cellIs" dxfId="3339" priority="820" operator="equal">
      <formula>"PMS"</formula>
    </cfRule>
    <cfRule type="containsText" dxfId="3338" priority="821" operator="containsText" text="CMS">
      <formula>NOT(ISERROR(SEARCH("CMS",G13)))</formula>
    </cfRule>
    <cfRule type="cellIs" dxfId="3337" priority="822" operator="equal">
      <formula>0</formula>
    </cfRule>
    <cfRule type="cellIs" dxfId="3336" priority="823" operator="greaterThan">
      <formula>0</formula>
    </cfRule>
  </conditionalFormatting>
  <conditionalFormatting sqref="G13">
    <cfRule type="cellIs" dxfId="3335" priority="812" operator="equal">
      <formula>"PMS"</formula>
    </cfRule>
    <cfRule type="containsText" dxfId="3334" priority="813" operator="containsText" text="CMS">
      <formula>NOT(ISERROR(SEARCH("CMS",G13)))</formula>
    </cfRule>
    <cfRule type="cellIs" dxfId="3333" priority="814" operator="equal">
      <formula>0</formula>
    </cfRule>
    <cfRule type="cellIs" dxfId="3332" priority="815" operator="greaterThan">
      <formula>0</formula>
    </cfRule>
  </conditionalFormatting>
  <conditionalFormatting sqref="M13">
    <cfRule type="cellIs" dxfId="3331" priority="804" operator="equal">
      <formula>"PMS"</formula>
    </cfRule>
    <cfRule type="containsText" dxfId="3330" priority="805" operator="containsText" text="CMS">
      <formula>NOT(ISERROR(SEARCH("CMS",M13)))</formula>
    </cfRule>
    <cfRule type="cellIs" dxfId="3329" priority="806" operator="equal">
      <formula>0</formula>
    </cfRule>
    <cfRule type="cellIs" dxfId="3328" priority="807" operator="greaterThan">
      <formula>0</formula>
    </cfRule>
    <cfRule type="cellIs" dxfId="3327" priority="808" operator="equal">
      <formula>"PMS"</formula>
    </cfRule>
    <cfRule type="containsText" dxfId="3326" priority="809" operator="containsText" text="CMS">
      <formula>NOT(ISERROR(SEARCH("CMS",M13)))</formula>
    </cfRule>
    <cfRule type="cellIs" dxfId="3325" priority="810" operator="equal">
      <formula>0</formula>
    </cfRule>
    <cfRule type="cellIs" dxfId="3324" priority="811" operator="greaterThan">
      <formula>0</formula>
    </cfRule>
  </conditionalFormatting>
  <conditionalFormatting sqref="M13">
    <cfRule type="cellIs" dxfId="3323" priority="800" operator="equal">
      <formula>"PMS"</formula>
    </cfRule>
    <cfRule type="containsText" dxfId="3322" priority="801" operator="containsText" text="CMS">
      <formula>NOT(ISERROR(SEARCH("CMS",M13)))</formula>
    </cfRule>
    <cfRule type="cellIs" dxfId="3321" priority="802" operator="equal">
      <formula>0</formula>
    </cfRule>
    <cfRule type="cellIs" dxfId="3320" priority="803" operator="greaterThan">
      <formula>0</formula>
    </cfRule>
  </conditionalFormatting>
  <conditionalFormatting sqref="K13">
    <cfRule type="cellIs" dxfId="3319" priority="792" operator="equal">
      <formula>"PMS"</formula>
    </cfRule>
    <cfRule type="containsText" dxfId="3318" priority="793" operator="containsText" text="CMS">
      <formula>NOT(ISERROR(SEARCH("CMS",K13)))</formula>
    </cfRule>
    <cfRule type="cellIs" dxfId="3317" priority="794" operator="equal">
      <formula>0</formula>
    </cfRule>
    <cfRule type="cellIs" dxfId="3316" priority="795" operator="greaterThan">
      <formula>0</formula>
    </cfRule>
    <cfRule type="cellIs" dxfId="3315" priority="796" operator="equal">
      <formula>"PMS"</formula>
    </cfRule>
    <cfRule type="containsText" dxfId="3314" priority="797" operator="containsText" text="CMS">
      <formula>NOT(ISERROR(SEARCH("CMS",K13)))</formula>
    </cfRule>
    <cfRule type="cellIs" dxfId="3313" priority="798" operator="equal">
      <formula>0</formula>
    </cfRule>
    <cfRule type="cellIs" dxfId="3312" priority="799" operator="greaterThan">
      <formula>0</formula>
    </cfRule>
  </conditionalFormatting>
  <conditionalFormatting sqref="K13">
    <cfRule type="cellIs" dxfId="3311" priority="788" operator="equal">
      <formula>"PMS"</formula>
    </cfRule>
    <cfRule type="containsText" dxfId="3310" priority="789" operator="containsText" text="CMS">
      <formula>NOT(ISERROR(SEARCH("CMS",K13)))</formula>
    </cfRule>
    <cfRule type="cellIs" dxfId="3309" priority="790" operator="equal">
      <formula>0</formula>
    </cfRule>
    <cfRule type="cellIs" dxfId="3308" priority="791" operator="greaterThan">
      <formula>0</formula>
    </cfRule>
  </conditionalFormatting>
  <conditionalFormatting sqref="G113:AC113">
    <cfRule type="cellIs" dxfId="3307" priority="787" operator="greaterThan">
      <formula>60.3</formula>
    </cfRule>
  </conditionalFormatting>
  <conditionalFormatting sqref="H112:M112">
    <cfRule type="cellIs" dxfId="3306" priority="786" operator="greaterThan">
      <formula>60.3</formula>
    </cfRule>
  </conditionalFormatting>
  <conditionalFormatting sqref="F112:G112">
    <cfRule type="cellIs" dxfId="3305" priority="785" operator="greaterThan">
      <formula>60.3</formula>
    </cfRule>
  </conditionalFormatting>
  <conditionalFormatting sqref="N112:AC112">
    <cfRule type="cellIs" dxfId="3304" priority="784" operator="greaterThan">
      <formula>60.3</formula>
    </cfRule>
  </conditionalFormatting>
  <conditionalFormatting sqref="G15:G16">
    <cfRule type="cellIs" dxfId="3303" priority="776" operator="equal">
      <formula>"PMS"</formula>
    </cfRule>
    <cfRule type="containsText" dxfId="3302" priority="777" operator="containsText" text="CMS">
      <formula>NOT(ISERROR(SEARCH("CMS",G15)))</formula>
    </cfRule>
    <cfRule type="cellIs" dxfId="3301" priority="778" operator="equal">
      <formula>0</formula>
    </cfRule>
    <cfRule type="cellIs" dxfId="3300" priority="779" operator="greaterThan">
      <formula>0</formula>
    </cfRule>
    <cfRule type="cellIs" dxfId="3299" priority="780" operator="equal">
      <formula>"PMS"</formula>
    </cfRule>
    <cfRule type="containsText" dxfId="3298" priority="781" operator="containsText" text="CMS">
      <formula>NOT(ISERROR(SEARCH("CMS",G15)))</formula>
    </cfRule>
    <cfRule type="cellIs" dxfId="3297" priority="782" operator="equal">
      <formula>0</formula>
    </cfRule>
    <cfRule type="cellIs" dxfId="3296" priority="783" operator="greaterThan">
      <formula>0</formula>
    </cfRule>
  </conditionalFormatting>
  <conditionalFormatting sqref="G15:G16">
    <cfRule type="cellIs" dxfId="3295" priority="772" operator="equal">
      <formula>"PMS"</formula>
    </cfRule>
    <cfRule type="containsText" dxfId="3294" priority="773" operator="containsText" text="CMS">
      <formula>NOT(ISERROR(SEARCH("CMS",G15)))</formula>
    </cfRule>
    <cfRule type="cellIs" dxfId="3293" priority="774" operator="equal">
      <formula>0</formula>
    </cfRule>
    <cfRule type="cellIs" dxfId="3292" priority="775" operator="greaterThan">
      <formula>0</formula>
    </cfRule>
  </conditionalFormatting>
  <conditionalFormatting sqref="G36:G38 G57:G59">
    <cfRule type="cellIs" dxfId="3291" priority="764" operator="equal">
      <formula>"PMS"</formula>
    </cfRule>
    <cfRule type="containsText" dxfId="3290" priority="765" operator="containsText" text="CMS">
      <formula>NOT(ISERROR(SEARCH("CMS",G36)))</formula>
    </cfRule>
    <cfRule type="cellIs" dxfId="3289" priority="766" operator="equal">
      <formula>0</formula>
    </cfRule>
    <cfRule type="cellIs" dxfId="3288" priority="767" operator="greaterThan">
      <formula>0</formula>
    </cfRule>
    <cfRule type="cellIs" dxfId="3287" priority="768" operator="equal">
      <formula>"PMS"</formula>
    </cfRule>
    <cfRule type="containsText" dxfId="3286" priority="769" operator="containsText" text="CMS">
      <formula>NOT(ISERROR(SEARCH("CMS",G36)))</formula>
    </cfRule>
    <cfRule type="cellIs" dxfId="3285" priority="770" operator="equal">
      <formula>0</formula>
    </cfRule>
    <cfRule type="cellIs" dxfId="3284" priority="771" operator="greaterThan">
      <formula>0</formula>
    </cfRule>
  </conditionalFormatting>
  <conditionalFormatting sqref="G36:G38 G57:G59">
    <cfRule type="cellIs" dxfId="3283" priority="760" operator="equal">
      <formula>"PMS"</formula>
    </cfRule>
    <cfRule type="containsText" dxfId="3282" priority="761" operator="containsText" text="CMS">
      <formula>NOT(ISERROR(SEARCH("CMS",G36)))</formula>
    </cfRule>
    <cfRule type="cellIs" dxfId="3281" priority="762" operator="equal">
      <formula>0</formula>
    </cfRule>
    <cfRule type="cellIs" dxfId="3280" priority="763" operator="greaterThan">
      <formula>0</formula>
    </cfRule>
  </conditionalFormatting>
  <conditionalFormatting sqref="M36:M38 M57:M59">
    <cfRule type="cellIs" dxfId="3279" priority="752" operator="equal">
      <formula>"PMS"</formula>
    </cfRule>
    <cfRule type="containsText" dxfId="3278" priority="753" operator="containsText" text="CMS">
      <formula>NOT(ISERROR(SEARCH("CMS",M36)))</formula>
    </cfRule>
    <cfRule type="cellIs" dxfId="3277" priority="754" operator="equal">
      <formula>0</formula>
    </cfRule>
    <cfRule type="cellIs" dxfId="3276" priority="755" operator="greaterThan">
      <formula>0</formula>
    </cfRule>
    <cfRule type="cellIs" dxfId="3275" priority="756" operator="equal">
      <formula>"PMS"</formula>
    </cfRule>
    <cfRule type="containsText" dxfId="3274" priority="757" operator="containsText" text="CMS">
      <formula>NOT(ISERROR(SEARCH("CMS",M36)))</formula>
    </cfRule>
    <cfRule type="cellIs" dxfId="3273" priority="758" operator="equal">
      <formula>0</formula>
    </cfRule>
    <cfRule type="cellIs" dxfId="3272" priority="759" operator="greaterThan">
      <formula>0</formula>
    </cfRule>
  </conditionalFormatting>
  <conditionalFormatting sqref="M36:M38 M57:M59">
    <cfRule type="cellIs" dxfId="3271" priority="748" operator="equal">
      <formula>"PMS"</formula>
    </cfRule>
    <cfRule type="containsText" dxfId="3270" priority="749" operator="containsText" text="CMS">
      <formula>NOT(ISERROR(SEARCH("CMS",M36)))</formula>
    </cfRule>
    <cfRule type="cellIs" dxfId="3269" priority="750" operator="equal">
      <formula>0</formula>
    </cfRule>
    <cfRule type="cellIs" dxfId="3268" priority="751" operator="greaterThan">
      <formula>0</formula>
    </cfRule>
  </conditionalFormatting>
  <conditionalFormatting sqref="K36:K38 K57:K59">
    <cfRule type="cellIs" dxfId="3267" priority="740" operator="equal">
      <formula>"PMS"</formula>
    </cfRule>
    <cfRule type="containsText" dxfId="3266" priority="741" operator="containsText" text="CMS">
      <formula>NOT(ISERROR(SEARCH("CMS",K36)))</formula>
    </cfRule>
    <cfRule type="cellIs" dxfId="3265" priority="742" operator="equal">
      <formula>0</formula>
    </cfRule>
    <cfRule type="cellIs" dxfId="3264" priority="743" operator="greaterThan">
      <formula>0</formula>
    </cfRule>
    <cfRule type="cellIs" dxfId="3263" priority="744" operator="equal">
      <formula>"PMS"</formula>
    </cfRule>
    <cfRule type="containsText" dxfId="3262" priority="745" operator="containsText" text="CMS">
      <formula>NOT(ISERROR(SEARCH("CMS",K36)))</formula>
    </cfRule>
    <cfRule type="cellIs" dxfId="3261" priority="746" operator="equal">
      <formula>0</formula>
    </cfRule>
    <cfRule type="cellIs" dxfId="3260" priority="747" operator="greaterThan">
      <formula>0</formula>
    </cfRule>
  </conditionalFormatting>
  <conditionalFormatting sqref="K36:K38 K57:K59">
    <cfRule type="cellIs" dxfId="3259" priority="736" operator="equal">
      <formula>"PMS"</formula>
    </cfRule>
    <cfRule type="containsText" dxfId="3258" priority="737" operator="containsText" text="CMS">
      <formula>NOT(ISERROR(SEARCH("CMS",K36)))</formula>
    </cfRule>
    <cfRule type="cellIs" dxfId="3257" priority="738" operator="equal">
      <formula>0</formula>
    </cfRule>
    <cfRule type="cellIs" dxfId="3256" priority="739" operator="greaterThan">
      <formula>0</formula>
    </cfRule>
  </conditionalFormatting>
  <conditionalFormatting sqref="G49">
    <cfRule type="cellIs" dxfId="3255" priority="728" operator="equal">
      <formula>"PMS"</formula>
    </cfRule>
    <cfRule type="containsText" dxfId="3254" priority="729" operator="containsText" text="CMS">
      <formula>NOT(ISERROR(SEARCH("CMS",G49)))</formula>
    </cfRule>
    <cfRule type="cellIs" dxfId="3253" priority="730" operator="equal">
      <formula>0</formula>
    </cfRule>
    <cfRule type="cellIs" dxfId="3252" priority="731" operator="greaterThan">
      <formula>0</formula>
    </cfRule>
    <cfRule type="cellIs" dxfId="3251" priority="732" operator="equal">
      <formula>"PMS"</formula>
    </cfRule>
    <cfRule type="containsText" dxfId="3250" priority="733" operator="containsText" text="CMS">
      <formula>NOT(ISERROR(SEARCH("CMS",G49)))</formula>
    </cfRule>
    <cfRule type="cellIs" dxfId="3249" priority="734" operator="equal">
      <formula>0</formula>
    </cfRule>
    <cfRule type="cellIs" dxfId="3248" priority="735" operator="greaterThan">
      <formula>0</formula>
    </cfRule>
  </conditionalFormatting>
  <conditionalFormatting sqref="G49">
    <cfRule type="cellIs" dxfId="3247" priority="724" operator="equal">
      <formula>"PMS"</formula>
    </cfRule>
    <cfRule type="containsText" dxfId="3246" priority="725" operator="containsText" text="CMS">
      <formula>NOT(ISERROR(SEARCH("CMS",G49)))</formula>
    </cfRule>
    <cfRule type="cellIs" dxfId="3245" priority="726" operator="equal">
      <formula>0</formula>
    </cfRule>
    <cfRule type="cellIs" dxfId="3244" priority="727" operator="greaterThan">
      <formula>0</formula>
    </cfRule>
  </conditionalFormatting>
  <conditionalFormatting sqref="M49:N49">
    <cfRule type="cellIs" dxfId="3243" priority="716" operator="equal">
      <formula>"PMS"</formula>
    </cfRule>
    <cfRule type="containsText" dxfId="3242" priority="717" operator="containsText" text="CMS">
      <formula>NOT(ISERROR(SEARCH("CMS",M49)))</formula>
    </cfRule>
    <cfRule type="cellIs" dxfId="3241" priority="718" operator="equal">
      <formula>0</formula>
    </cfRule>
    <cfRule type="cellIs" dxfId="3240" priority="719" operator="greaterThan">
      <formula>0</formula>
    </cfRule>
    <cfRule type="cellIs" dxfId="3239" priority="720" operator="equal">
      <formula>"PMS"</formula>
    </cfRule>
    <cfRule type="containsText" dxfId="3238" priority="721" operator="containsText" text="CMS">
      <formula>NOT(ISERROR(SEARCH("CMS",M49)))</formula>
    </cfRule>
    <cfRule type="cellIs" dxfId="3237" priority="722" operator="equal">
      <formula>0</formula>
    </cfRule>
    <cfRule type="cellIs" dxfId="3236" priority="723" operator="greaterThan">
      <formula>0</formula>
    </cfRule>
  </conditionalFormatting>
  <conditionalFormatting sqref="M49:N49">
    <cfRule type="cellIs" dxfId="3235" priority="712" operator="equal">
      <formula>"PMS"</formula>
    </cfRule>
    <cfRule type="containsText" dxfId="3234" priority="713" operator="containsText" text="CMS">
      <formula>NOT(ISERROR(SEARCH("CMS",M49)))</formula>
    </cfRule>
    <cfRule type="cellIs" dxfId="3233" priority="714" operator="equal">
      <formula>0</formula>
    </cfRule>
    <cfRule type="cellIs" dxfId="3232" priority="715" operator="greaterThan">
      <formula>0</formula>
    </cfRule>
  </conditionalFormatting>
  <conditionalFormatting sqref="K49">
    <cfRule type="cellIs" dxfId="3231" priority="704" operator="equal">
      <formula>"PMS"</formula>
    </cfRule>
    <cfRule type="containsText" dxfId="3230" priority="705" operator="containsText" text="CMS">
      <formula>NOT(ISERROR(SEARCH("CMS",K49)))</formula>
    </cfRule>
    <cfRule type="cellIs" dxfId="3229" priority="706" operator="equal">
      <formula>0</formula>
    </cfRule>
    <cfRule type="cellIs" dxfId="3228" priority="707" operator="greaterThan">
      <formula>0</formula>
    </cfRule>
    <cfRule type="cellIs" dxfId="3227" priority="708" operator="equal">
      <formula>"PMS"</formula>
    </cfRule>
    <cfRule type="containsText" dxfId="3226" priority="709" operator="containsText" text="CMS">
      <formula>NOT(ISERROR(SEARCH("CMS",K49)))</formula>
    </cfRule>
    <cfRule type="cellIs" dxfId="3225" priority="710" operator="equal">
      <formula>0</formula>
    </cfRule>
    <cfRule type="cellIs" dxfId="3224" priority="711" operator="greaterThan">
      <formula>0</formula>
    </cfRule>
  </conditionalFormatting>
  <conditionalFormatting sqref="K49">
    <cfRule type="cellIs" dxfId="3223" priority="700" operator="equal">
      <formula>"PMS"</formula>
    </cfRule>
    <cfRule type="containsText" dxfId="3222" priority="701" operator="containsText" text="CMS">
      <formula>NOT(ISERROR(SEARCH("CMS",K49)))</formula>
    </cfRule>
    <cfRule type="cellIs" dxfId="3221" priority="702" operator="equal">
      <formula>0</formula>
    </cfRule>
    <cfRule type="cellIs" dxfId="3220" priority="703" operator="greaterThan">
      <formula>0</formula>
    </cfRule>
  </conditionalFormatting>
  <conditionalFormatting sqref="G41 G52:G55 G43 G45:G46">
    <cfRule type="cellIs" dxfId="3219" priority="680" operator="equal">
      <formula>"PMS"</formula>
    </cfRule>
    <cfRule type="containsText" dxfId="3218" priority="681" operator="containsText" text="CMS">
      <formula>NOT(ISERROR(SEARCH("CMS",G41)))</formula>
    </cfRule>
    <cfRule type="cellIs" dxfId="3217" priority="682" operator="equal">
      <formula>0</formula>
    </cfRule>
    <cfRule type="cellIs" dxfId="3216" priority="683" operator="greaterThan">
      <formula>0</formula>
    </cfRule>
    <cfRule type="cellIs" dxfId="3215" priority="684" operator="equal">
      <formula>"PMS"</formula>
    </cfRule>
    <cfRule type="containsText" dxfId="3214" priority="685" operator="containsText" text="CMS">
      <formula>NOT(ISERROR(SEARCH("CMS",G41)))</formula>
    </cfRule>
    <cfRule type="cellIs" dxfId="3213" priority="686" operator="equal">
      <formula>0</formula>
    </cfRule>
    <cfRule type="cellIs" dxfId="3212" priority="687" operator="greaterThan">
      <formula>0</formula>
    </cfRule>
  </conditionalFormatting>
  <conditionalFormatting sqref="G41 G52:G55 G43 G45:G46">
    <cfRule type="cellIs" dxfId="3211" priority="676" operator="equal">
      <formula>"PMS"</formula>
    </cfRule>
    <cfRule type="containsText" dxfId="3210" priority="677" operator="containsText" text="CMS">
      <formula>NOT(ISERROR(SEARCH("CMS",G41)))</formula>
    </cfRule>
    <cfRule type="cellIs" dxfId="3209" priority="678" operator="equal">
      <formula>0</formula>
    </cfRule>
    <cfRule type="cellIs" dxfId="3208" priority="679" operator="greaterThan">
      <formula>0</formula>
    </cfRule>
  </conditionalFormatting>
  <conditionalFormatting sqref="M41 N52:N55 M43 M45:M46">
    <cfRule type="cellIs" dxfId="3207" priority="668" operator="equal">
      <formula>"PMS"</formula>
    </cfRule>
    <cfRule type="containsText" dxfId="3206" priority="669" operator="containsText" text="CMS">
      <formula>NOT(ISERROR(SEARCH("CMS",M41)))</formula>
    </cfRule>
    <cfRule type="cellIs" dxfId="3205" priority="670" operator="equal">
      <formula>0</formula>
    </cfRule>
    <cfRule type="cellIs" dxfId="3204" priority="671" operator="greaterThan">
      <formula>0</formula>
    </cfRule>
    <cfRule type="cellIs" dxfId="3203" priority="672" operator="equal">
      <formula>"PMS"</formula>
    </cfRule>
    <cfRule type="containsText" dxfId="3202" priority="673" operator="containsText" text="CMS">
      <formula>NOT(ISERROR(SEARCH("CMS",M41)))</formula>
    </cfRule>
    <cfRule type="cellIs" dxfId="3201" priority="674" operator="equal">
      <formula>0</formula>
    </cfRule>
    <cfRule type="cellIs" dxfId="3200" priority="675" operator="greaterThan">
      <formula>0</formula>
    </cfRule>
  </conditionalFormatting>
  <conditionalFormatting sqref="M41 N52:N55 M43 M45:M46">
    <cfRule type="cellIs" dxfId="3199" priority="664" operator="equal">
      <formula>"PMS"</formula>
    </cfRule>
    <cfRule type="containsText" dxfId="3198" priority="665" operator="containsText" text="CMS">
      <formula>NOT(ISERROR(SEARCH("CMS",M41)))</formula>
    </cfRule>
    <cfRule type="cellIs" dxfId="3197" priority="666" operator="equal">
      <formula>0</formula>
    </cfRule>
    <cfRule type="cellIs" dxfId="3196" priority="667" operator="greaterThan">
      <formula>0</formula>
    </cfRule>
  </conditionalFormatting>
  <conditionalFormatting sqref="K52:K55 K41 K43 K45:K46">
    <cfRule type="cellIs" dxfId="3195" priority="656" operator="equal">
      <formula>"PMS"</formula>
    </cfRule>
    <cfRule type="containsText" dxfId="3194" priority="657" operator="containsText" text="CMS">
      <formula>NOT(ISERROR(SEARCH("CMS",K41)))</formula>
    </cfRule>
    <cfRule type="cellIs" dxfId="3193" priority="658" operator="equal">
      <formula>0</formula>
    </cfRule>
    <cfRule type="cellIs" dxfId="3192" priority="659" operator="greaterThan">
      <formula>0</formula>
    </cfRule>
    <cfRule type="cellIs" dxfId="3191" priority="660" operator="equal">
      <formula>"PMS"</formula>
    </cfRule>
    <cfRule type="containsText" dxfId="3190" priority="661" operator="containsText" text="CMS">
      <formula>NOT(ISERROR(SEARCH("CMS",K41)))</formula>
    </cfRule>
    <cfRule type="cellIs" dxfId="3189" priority="662" operator="equal">
      <formula>0</formula>
    </cfRule>
    <cfRule type="cellIs" dxfId="3188" priority="663" operator="greaterThan">
      <formula>0</formula>
    </cfRule>
  </conditionalFormatting>
  <conditionalFormatting sqref="K52:K55 K41 K43 K45:K46">
    <cfRule type="cellIs" dxfId="3187" priority="652" operator="equal">
      <formula>"PMS"</formula>
    </cfRule>
    <cfRule type="containsText" dxfId="3186" priority="653" operator="containsText" text="CMS">
      <formula>NOT(ISERROR(SEARCH("CMS",K41)))</formula>
    </cfRule>
    <cfRule type="cellIs" dxfId="3185" priority="654" operator="equal">
      <formula>0</formula>
    </cfRule>
    <cfRule type="cellIs" dxfId="3184" priority="655" operator="greaterThan">
      <formula>0</formula>
    </cfRule>
  </conditionalFormatting>
  <conditionalFormatting sqref="O49">
    <cfRule type="cellIs" dxfId="3183" priority="572" operator="equal">
      <formula>"PMS"</formula>
    </cfRule>
    <cfRule type="containsText" dxfId="3182" priority="573" operator="containsText" text="CMS">
      <formula>NOT(ISERROR(SEARCH("CMS",O49)))</formula>
    </cfRule>
    <cfRule type="cellIs" dxfId="3181" priority="574" operator="equal">
      <formula>0</formula>
    </cfRule>
    <cfRule type="cellIs" dxfId="3180" priority="575" operator="greaterThan">
      <formula>0</formula>
    </cfRule>
    <cfRule type="cellIs" dxfId="3179" priority="576" operator="equal">
      <formula>"PMS"</formula>
    </cfRule>
    <cfRule type="containsText" dxfId="3178" priority="577" operator="containsText" text="CMS">
      <formula>NOT(ISERROR(SEARCH("CMS",O49)))</formula>
    </cfRule>
    <cfRule type="cellIs" dxfId="3177" priority="578" operator="equal">
      <formula>0</formula>
    </cfRule>
    <cfRule type="cellIs" dxfId="3176" priority="579" operator="greaterThan">
      <formula>0</formula>
    </cfRule>
  </conditionalFormatting>
  <conditionalFormatting sqref="O49">
    <cfRule type="cellIs" dxfId="3175" priority="568" operator="equal">
      <formula>"PMS"</formula>
    </cfRule>
    <cfRule type="containsText" dxfId="3174" priority="569" operator="containsText" text="CMS">
      <formula>NOT(ISERROR(SEARCH("CMS",O49)))</formula>
    </cfRule>
    <cfRule type="cellIs" dxfId="3173" priority="570" operator="equal">
      <formula>0</formula>
    </cfRule>
    <cfRule type="cellIs" dxfId="3172" priority="571" operator="greaterThan">
      <formula>0</formula>
    </cfRule>
  </conditionalFormatting>
  <conditionalFormatting sqref="H15:H16">
    <cfRule type="cellIs" dxfId="3171" priority="560" operator="equal">
      <formula>"PMS"</formula>
    </cfRule>
    <cfRule type="containsText" dxfId="3170" priority="561" operator="containsText" text="CMS">
      <formula>NOT(ISERROR(SEARCH("CMS",H15)))</formula>
    </cfRule>
    <cfRule type="cellIs" dxfId="3169" priority="562" operator="equal">
      <formula>0</formula>
    </cfRule>
    <cfRule type="cellIs" dxfId="3168" priority="563" operator="greaterThan">
      <formula>0</formula>
    </cfRule>
    <cfRule type="cellIs" dxfId="3167" priority="564" operator="equal">
      <formula>"PMS"</formula>
    </cfRule>
    <cfRule type="containsText" dxfId="3166" priority="565" operator="containsText" text="CMS">
      <formula>NOT(ISERROR(SEARCH("CMS",H15)))</formula>
    </cfRule>
    <cfRule type="cellIs" dxfId="3165" priority="566" operator="equal">
      <formula>0</formula>
    </cfRule>
    <cfRule type="cellIs" dxfId="3164" priority="567" operator="greaterThan">
      <formula>0</formula>
    </cfRule>
  </conditionalFormatting>
  <conditionalFormatting sqref="H15:H16">
    <cfRule type="cellIs" dxfId="3163" priority="556" operator="equal">
      <formula>"PMS"</formula>
    </cfRule>
    <cfRule type="containsText" dxfId="3162" priority="557" operator="containsText" text="CMS">
      <formula>NOT(ISERROR(SEARCH("CMS",H15)))</formula>
    </cfRule>
    <cfRule type="cellIs" dxfId="3161" priority="558" operator="equal">
      <formula>0</formula>
    </cfRule>
    <cfRule type="cellIs" dxfId="3160" priority="559" operator="greaterThan">
      <formula>0</formula>
    </cfRule>
  </conditionalFormatting>
  <conditionalFormatting sqref="G14">
    <cfRule type="cellIs" dxfId="3159" priority="548" operator="equal">
      <formula>"PMS"</formula>
    </cfRule>
    <cfRule type="containsText" dxfId="3158" priority="549" operator="containsText" text="CMS">
      <formula>NOT(ISERROR(SEARCH("CMS",G14)))</formula>
    </cfRule>
    <cfRule type="cellIs" dxfId="3157" priority="550" operator="equal">
      <formula>0</formula>
    </cfRule>
    <cfRule type="cellIs" dxfId="3156" priority="551" operator="greaterThan">
      <formula>0</formula>
    </cfRule>
    <cfRule type="cellIs" dxfId="3155" priority="552" operator="equal">
      <formula>"PMS"</formula>
    </cfRule>
    <cfRule type="containsText" dxfId="3154" priority="553" operator="containsText" text="CMS">
      <formula>NOT(ISERROR(SEARCH("CMS",G14)))</formula>
    </cfRule>
    <cfRule type="cellIs" dxfId="3153" priority="554" operator="equal">
      <formula>0</formula>
    </cfRule>
    <cfRule type="cellIs" dxfId="3152" priority="555" operator="greaterThan">
      <formula>0</formula>
    </cfRule>
  </conditionalFormatting>
  <conditionalFormatting sqref="G14">
    <cfRule type="cellIs" dxfId="3151" priority="544" operator="equal">
      <formula>"PMS"</formula>
    </cfRule>
    <cfRule type="containsText" dxfId="3150" priority="545" operator="containsText" text="CMS">
      <formula>NOT(ISERROR(SEARCH("CMS",G14)))</formula>
    </cfRule>
    <cfRule type="cellIs" dxfId="3149" priority="546" operator="equal">
      <formula>0</formula>
    </cfRule>
    <cfRule type="cellIs" dxfId="3148" priority="547" operator="greaterThan">
      <formula>0</formula>
    </cfRule>
  </conditionalFormatting>
  <conditionalFormatting sqref="M16">
    <cfRule type="cellIs" dxfId="3147" priority="464" operator="equal">
      <formula>"PMS"</formula>
    </cfRule>
    <cfRule type="containsText" dxfId="3146" priority="465" operator="containsText" text="CMS">
      <formula>NOT(ISERROR(SEARCH("CMS",M16)))</formula>
    </cfRule>
    <cfRule type="cellIs" dxfId="3145" priority="466" operator="equal">
      <formula>0</formula>
    </cfRule>
    <cfRule type="cellIs" dxfId="3144" priority="467" operator="greaterThan">
      <formula>0</formula>
    </cfRule>
    <cfRule type="cellIs" dxfId="3143" priority="468" operator="equal">
      <formula>"PMS"</formula>
    </cfRule>
    <cfRule type="containsText" dxfId="3142" priority="469" operator="containsText" text="CMS">
      <formula>NOT(ISERROR(SEARCH("CMS",M16)))</formula>
    </cfRule>
    <cfRule type="cellIs" dxfId="3141" priority="470" operator="equal">
      <formula>0</formula>
    </cfRule>
    <cfRule type="cellIs" dxfId="3140" priority="471" operator="greaterThan">
      <formula>0</formula>
    </cfRule>
  </conditionalFormatting>
  <conditionalFormatting sqref="M16">
    <cfRule type="cellIs" dxfId="3139" priority="460" operator="equal">
      <formula>"PMS"</formula>
    </cfRule>
    <cfRule type="containsText" dxfId="3138" priority="461" operator="containsText" text="CMS">
      <formula>NOT(ISERROR(SEARCH("CMS",M16)))</formula>
    </cfRule>
    <cfRule type="cellIs" dxfId="3137" priority="462" operator="equal">
      <formula>0</formula>
    </cfRule>
    <cfRule type="cellIs" dxfId="3136" priority="463" operator="greaterThan">
      <formula>0</formula>
    </cfRule>
  </conditionalFormatting>
  <conditionalFormatting sqref="N14">
    <cfRule type="cellIs" dxfId="3135" priority="404" operator="equal">
      <formula>"PMS"</formula>
    </cfRule>
    <cfRule type="containsText" dxfId="3134" priority="405" operator="containsText" text="CMS">
      <formula>NOT(ISERROR(SEARCH("CMS",N14)))</formula>
    </cfRule>
    <cfRule type="cellIs" dxfId="3133" priority="406" operator="equal">
      <formula>0</formula>
    </cfRule>
    <cfRule type="cellIs" dxfId="3132" priority="407" operator="greaterThan">
      <formula>0</formula>
    </cfRule>
    <cfRule type="cellIs" dxfId="3131" priority="408" operator="equal">
      <formula>"PMS"</formula>
    </cfRule>
    <cfRule type="containsText" dxfId="3130" priority="409" operator="containsText" text="CMS">
      <formula>NOT(ISERROR(SEARCH("CMS",N14)))</formula>
    </cfRule>
    <cfRule type="cellIs" dxfId="3129" priority="410" operator="equal">
      <formula>0</formula>
    </cfRule>
    <cfRule type="cellIs" dxfId="3128" priority="411" operator="greaterThan">
      <formula>0</formula>
    </cfRule>
  </conditionalFormatting>
  <conditionalFormatting sqref="N14">
    <cfRule type="cellIs" dxfId="3127" priority="400" operator="equal">
      <formula>"PMS"</formula>
    </cfRule>
    <cfRule type="containsText" dxfId="3126" priority="401" operator="containsText" text="CMS">
      <formula>NOT(ISERROR(SEARCH("CMS",N14)))</formula>
    </cfRule>
    <cfRule type="cellIs" dxfId="3125" priority="402" operator="equal">
      <formula>0</formula>
    </cfRule>
    <cfRule type="cellIs" dxfId="3124" priority="403" operator="greaterThan">
      <formula>0</formula>
    </cfRule>
  </conditionalFormatting>
  <conditionalFormatting sqref="M14">
    <cfRule type="cellIs" dxfId="3123" priority="368" operator="equal">
      <formula>"PMS"</formula>
    </cfRule>
    <cfRule type="containsText" dxfId="3122" priority="369" operator="containsText" text="CMS">
      <formula>NOT(ISERROR(SEARCH("CMS",M14)))</formula>
    </cfRule>
    <cfRule type="cellIs" dxfId="3121" priority="370" operator="equal">
      <formula>0</formula>
    </cfRule>
    <cfRule type="cellIs" dxfId="3120" priority="371" operator="greaterThan">
      <formula>0</formula>
    </cfRule>
    <cfRule type="cellIs" dxfId="3119" priority="372" operator="equal">
      <formula>"PMS"</formula>
    </cfRule>
    <cfRule type="containsText" dxfId="3118" priority="373" operator="containsText" text="CMS">
      <formula>NOT(ISERROR(SEARCH("CMS",M14)))</formula>
    </cfRule>
    <cfRule type="cellIs" dxfId="3117" priority="374" operator="equal">
      <formula>0</formula>
    </cfRule>
    <cfRule type="cellIs" dxfId="3116" priority="375" operator="greaterThan">
      <formula>0</formula>
    </cfRule>
  </conditionalFormatting>
  <conditionalFormatting sqref="M14">
    <cfRule type="cellIs" dxfId="3115" priority="364" operator="equal">
      <formula>"PMS"</formula>
    </cfRule>
    <cfRule type="containsText" dxfId="3114" priority="365" operator="containsText" text="CMS">
      <formula>NOT(ISERROR(SEARCH("CMS",M14)))</formula>
    </cfRule>
    <cfRule type="cellIs" dxfId="3113" priority="366" operator="equal">
      <formula>0</formula>
    </cfRule>
    <cfRule type="cellIs" dxfId="3112" priority="367" operator="greaterThan">
      <formula>0</formula>
    </cfRule>
  </conditionalFormatting>
  <conditionalFormatting sqref="H111:M111">
    <cfRule type="cellIs" dxfId="3111" priority="303" operator="greaterThan">
      <formula>60.3</formula>
    </cfRule>
  </conditionalFormatting>
  <conditionalFormatting sqref="F111:G111">
    <cfRule type="cellIs" dxfId="3110" priority="302" operator="greaterThan">
      <formula>60.3</formula>
    </cfRule>
  </conditionalFormatting>
  <conditionalFormatting sqref="N111:AC111">
    <cfRule type="cellIs" dxfId="3109" priority="301" operator="greaterThan">
      <formula>60.3</formula>
    </cfRule>
  </conditionalFormatting>
  <conditionalFormatting sqref="H78:J79 L78:L79 H33:J33 L33 N33:AC33 H27:J30 L27:L30 H24:J24 L24 N24:AC24 H19:J21 N19:AC21 L19:L21 N78:Q78 S78:AC78 N79:AC79 N27:AC30">
    <cfRule type="cellIs" dxfId="3108" priority="125" operator="equal">
      <formula>"PMS"</formula>
    </cfRule>
    <cfRule type="containsText" dxfId="3107" priority="126" operator="containsText" text="CMS">
      <formula>NOT(ISERROR(SEARCH("CMS",H19)))</formula>
    </cfRule>
    <cfRule type="cellIs" dxfId="3106" priority="127" operator="equal">
      <formula>0</formula>
    </cfRule>
    <cfRule type="cellIs" dxfId="3105" priority="128" operator="greaterThan">
      <formula>0</formula>
    </cfRule>
    <cfRule type="cellIs" dxfId="3104" priority="129" operator="equal">
      <formula>"PMS"</formula>
    </cfRule>
    <cfRule type="containsText" dxfId="3103" priority="130" operator="containsText" text="CMS">
      <formula>NOT(ISERROR(SEARCH("CMS",H19)))</formula>
    </cfRule>
    <cfRule type="cellIs" dxfId="3102" priority="131" operator="equal">
      <formula>0</formula>
    </cfRule>
    <cfRule type="cellIs" dxfId="3101" priority="132" operator="greaterThan">
      <formula>0</formula>
    </cfRule>
  </conditionalFormatting>
  <conditionalFormatting sqref="H78:J79 L78:L79 H33:J33 L33 N33:AC33 H27:J30 L27:L30 H24:J24 L24 N24:AC24 H19:J21 N19:AC21 L19:L21 N78:Q78 S78:AC78 N79:AC79 N27:AC30">
    <cfRule type="cellIs" dxfId="3100" priority="121" operator="equal">
      <formula>"PMS"</formula>
    </cfRule>
    <cfRule type="containsText" dxfId="3099" priority="122" operator="containsText" text="CMS">
      <formula>NOT(ISERROR(SEARCH("CMS",H19)))</formula>
    </cfRule>
    <cfRule type="cellIs" dxfId="3098" priority="123" operator="equal">
      <formula>0</formula>
    </cfRule>
    <cfRule type="cellIs" dxfId="3097" priority="124" operator="greaterThan">
      <formula>0</formula>
    </cfRule>
  </conditionalFormatting>
  <conditionalFormatting sqref="G78:G79 G62:G64 G56 G50:G51 G47:G48 G44 G42 G39:G40 G33 G27:G30 G24 G19:G21">
    <cfRule type="cellIs" dxfId="3096" priority="113" operator="equal">
      <formula>"PMS"</formula>
    </cfRule>
    <cfRule type="containsText" dxfId="3095" priority="114" operator="containsText" text="CMS">
      <formula>NOT(ISERROR(SEARCH("CMS",G19)))</formula>
    </cfRule>
    <cfRule type="cellIs" dxfId="3094" priority="115" operator="equal">
      <formula>0</formula>
    </cfRule>
    <cfRule type="cellIs" dxfId="3093" priority="116" operator="greaterThan">
      <formula>0</formula>
    </cfRule>
    <cfRule type="cellIs" dxfId="3092" priority="117" operator="equal">
      <formula>"PMS"</formula>
    </cfRule>
    <cfRule type="containsText" dxfId="3091" priority="118" operator="containsText" text="CMS">
      <formula>NOT(ISERROR(SEARCH("CMS",G19)))</formula>
    </cfRule>
    <cfRule type="cellIs" dxfId="3090" priority="119" operator="equal">
      <formula>0</formula>
    </cfRule>
    <cfRule type="cellIs" dxfId="3089" priority="120" operator="greaterThan">
      <formula>0</formula>
    </cfRule>
  </conditionalFormatting>
  <conditionalFormatting sqref="G78:G79 G62:G64 G56 G50:G51 G47:G48 G44 G42 G39:G40 G33 G27:G30 G24 G19:G21">
    <cfRule type="cellIs" dxfId="3088" priority="109" operator="equal">
      <formula>"PMS"</formula>
    </cfRule>
    <cfRule type="containsText" dxfId="3087" priority="110" operator="containsText" text="CMS">
      <formula>NOT(ISERROR(SEARCH("CMS",G19)))</formula>
    </cfRule>
    <cfRule type="cellIs" dxfId="3086" priority="111" operator="equal">
      <formula>0</formula>
    </cfRule>
    <cfRule type="cellIs" dxfId="3085" priority="112" operator="greaterThan">
      <formula>0</formula>
    </cfRule>
  </conditionalFormatting>
  <conditionalFormatting sqref="M78:M79 M62:M64 M56 M50:M51 M47:M48 M44 M42 M39:M40 M33 M27:M30 M24 M19:M21">
    <cfRule type="cellIs" dxfId="3084" priority="101" operator="equal">
      <formula>"PMS"</formula>
    </cfRule>
    <cfRule type="containsText" dxfId="3083" priority="102" operator="containsText" text="CMS">
      <formula>NOT(ISERROR(SEARCH("CMS",M19)))</formula>
    </cfRule>
    <cfRule type="cellIs" dxfId="3082" priority="103" operator="equal">
      <formula>0</formula>
    </cfRule>
    <cfRule type="cellIs" dxfId="3081" priority="104" operator="greaterThan">
      <formula>0</formula>
    </cfRule>
    <cfRule type="cellIs" dxfId="3080" priority="105" operator="equal">
      <formula>"PMS"</formula>
    </cfRule>
    <cfRule type="containsText" dxfId="3079" priority="106" operator="containsText" text="CMS">
      <formula>NOT(ISERROR(SEARCH("CMS",M19)))</formula>
    </cfRule>
    <cfRule type="cellIs" dxfId="3078" priority="107" operator="equal">
      <formula>0</formula>
    </cfRule>
    <cfRule type="cellIs" dxfId="3077" priority="108" operator="greaterThan">
      <formula>0</formula>
    </cfRule>
  </conditionalFormatting>
  <conditionalFormatting sqref="M78:M79 M62:M64 M56 M50:M51 M47:M48 M44 M42 M39:M40 M33 M27:M30 M24 M19:M21">
    <cfRule type="cellIs" dxfId="3076" priority="97" operator="equal">
      <formula>"PMS"</formula>
    </cfRule>
    <cfRule type="containsText" dxfId="3075" priority="98" operator="containsText" text="CMS">
      <formula>NOT(ISERROR(SEARCH("CMS",M19)))</formula>
    </cfRule>
    <cfRule type="cellIs" dxfId="3074" priority="99" operator="equal">
      <formula>0</formula>
    </cfRule>
    <cfRule type="cellIs" dxfId="3073" priority="100" operator="greaterThan">
      <formula>0</formula>
    </cfRule>
  </conditionalFormatting>
  <conditionalFormatting sqref="K78:K79 K62:K64 K56 K50:K51 K47:K48 K44 K42 K39:K40 K33 K27:K30 K24 K19:K21">
    <cfRule type="cellIs" dxfId="3072" priority="89" operator="equal">
      <formula>"PMS"</formula>
    </cfRule>
    <cfRule type="containsText" dxfId="3071" priority="90" operator="containsText" text="CMS">
      <formula>NOT(ISERROR(SEARCH("CMS",K19)))</formula>
    </cfRule>
    <cfRule type="cellIs" dxfId="3070" priority="91" operator="equal">
      <formula>0</formula>
    </cfRule>
    <cfRule type="cellIs" dxfId="3069" priority="92" operator="greaterThan">
      <formula>0</formula>
    </cfRule>
    <cfRule type="cellIs" dxfId="3068" priority="93" operator="equal">
      <formula>"PMS"</formula>
    </cfRule>
    <cfRule type="containsText" dxfId="3067" priority="94" operator="containsText" text="CMS">
      <formula>NOT(ISERROR(SEARCH("CMS",K19)))</formula>
    </cfRule>
    <cfRule type="cellIs" dxfId="3066" priority="95" operator="equal">
      <formula>0</formula>
    </cfRule>
    <cfRule type="cellIs" dxfId="3065" priority="96" operator="greaterThan">
      <formula>0</formula>
    </cfRule>
  </conditionalFormatting>
  <conditionalFormatting sqref="K78:K79 K62:K64 K56 K50:K51 K47:K48 K44 K42 K39:K40 K33 K27:K30 K24 K19:K21">
    <cfRule type="cellIs" dxfId="3064" priority="85" operator="equal">
      <formula>"PMS"</formula>
    </cfRule>
    <cfRule type="containsText" dxfId="3063" priority="86" operator="containsText" text="CMS">
      <formula>NOT(ISERROR(SEARCH("CMS",K19)))</formula>
    </cfRule>
    <cfRule type="cellIs" dxfId="3062" priority="87" operator="equal">
      <formula>0</formula>
    </cfRule>
    <cfRule type="cellIs" dxfId="3061" priority="88" operator="greaterThan">
      <formula>0</formula>
    </cfRule>
  </conditionalFormatting>
  <conditionalFormatting sqref="F36:F59 F13:F16 F62:F64">
    <cfRule type="cellIs" dxfId="3060" priority="65" operator="equal">
      <formula>"PMS"</formula>
    </cfRule>
    <cfRule type="containsText" dxfId="3059" priority="66" operator="containsText" text="CMS">
      <formula>NOT(ISERROR(SEARCH("CMS",F13)))</formula>
    </cfRule>
    <cfRule type="cellIs" dxfId="3058" priority="67" operator="equal">
      <formula>0</formula>
    </cfRule>
    <cfRule type="cellIs" dxfId="3057" priority="68" operator="greaterThan">
      <formula>0</formula>
    </cfRule>
    <cfRule type="cellIs" dxfId="3056" priority="69" operator="equal">
      <formula>"PMS"</formula>
    </cfRule>
    <cfRule type="containsText" dxfId="3055" priority="70" operator="containsText" text="CMS">
      <formula>NOT(ISERROR(SEARCH("CMS",F13)))</formula>
    </cfRule>
    <cfRule type="cellIs" dxfId="3054" priority="71" operator="equal">
      <formula>0</formula>
    </cfRule>
    <cfRule type="cellIs" dxfId="3053" priority="72" operator="greaterThan">
      <formula>0</formula>
    </cfRule>
  </conditionalFormatting>
  <conditionalFormatting sqref="F36:F59 F13:F16 F62:F64">
    <cfRule type="cellIs" dxfId="3052" priority="61" operator="equal">
      <formula>"PMS"</formula>
    </cfRule>
    <cfRule type="containsText" dxfId="3051" priority="62" operator="containsText" text="CMS">
      <formula>NOT(ISERROR(SEARCH("CMS",F13)))</formula>
    </cfRule>
    <cfRule type="cellIs" dxfId="3050" priority="63" operator="equal">
      <formula>0</formula>
    </cfRule>
    <cfRule type="cellIs" dxfId="3049" priority="64" operator="greaterThan">
      <formula>0</formula>
    </cfRule>
  </conditionalFormatting>
  <conditionalFormatting sqref="F67:F75">
    <cfRule type="cellIs" dxfId="3048" priority="53" operator="equal">
      <formula>"PMS"</formula>
    </cfRule>
    <cfRule type="containsText" dxfId="3047" priority="54" operator="containsText" text="CMS">
      <formula>NOT(ISERROR(SEARCH("CMS",F67)))</formula>
    </cfRule>
    <cfRule type="cellIs" dxfId="3046" priority="55" operator="equal">
      <formula>0</formula>
    </cfRule>
    <cfRule type="cellIs" dxfId="3045" priority="56" operator="greaterThan">
      <formula>0</formula>
    </cfRule>
    <cfRule type="cellIs" dxfId="3044" priority="57" operator="equal">
      <formula>"PMS"</formula>
    </cfRule>
    <cfRule type="containsText" dxfId="3043" priority="58" operator="containsText" text="CMS">
      <formula>NOT(ISERROR(SEARCH("CMS",F67)))</formula>
    </cfRule>
    <cfRule type="cellIs" dxfId="3042" priority="59" operator="equal">
      <formula>0</formula>
    </cfRule>
    <cfRule type="cellIs" dxfId="3041" priority="60" operator="greaterThan">
      <formula>0</formula>
    </cfRule>
  </conditionalFormatting>
  <conditionalFormatting sqref="F67:F75">
    <cfRule type="cellIs" dxfId="3040" priority="49" operator="equal">
      <formula>"PMS"</formula>
    </cfRule>
    <cfRule type="containsText" dxfId="3039" priority="50" operator="containsText" text="CMS">
      <formula>NOT(ISERROR(SEARCH("CMS",F67)))</formula>
    </cfRule>
    <cfRule type="cellIs" dxfId="3038" priority="51" operator="equal">
      <formula>0</formula>
    </cfRule>
    <cfRule type="cellIs" dxfId="3037" priority="52" operator="greaterThan">
      <formula>0</formula>
    </cfRule>
  </conditionalFormatting>
  <conditionalFormatting sqref="F82">
    <cfRule type="cellIs" dxfId="3036" priority="41" operator="equal">
      <formula>"PMS"</formula>
    </cfRule>
    <cfRule type="containsText" dxfId="3035" priority="42" operator="containsText" text="CMS">
      <formula>NOT(ISERROR(SEARCH("CMS",F82)))</formula>
    </cfRule>
    <cfRule type="cellIs" dxfId="3034" priority="43" operator="equal">
      <formula>0</formula>
    </cfRule>
    <cfRule type="cellIs" dxfId="3033" priority="44" operator="greaterThan">
      <formula>0</formula>
    </cfRule>
    <cfRule type="cellIs" dxfId="3032" priority="45" operator="equal">
      <formula>"PMS"</formula>
    </cfRule>
    <cfRule type="containsText" dxfId="3031" priority="46" operator="containsText" text="CMS">
      <formula>NOT(ISERROR(SEARCH("CMS",F82)))</formula>
    </cfRule>
    <cfRule type="cellIs" dxfId="3030" priority="47" operator="equal">
      <formula>0</formula>
    </cfRule>
    <cfRule type="cellIs" dxfId="3029" priority="48" operator="greaterThan">
      <formula>0</formula>
    </cfRule>
  </conditionalFormatting>
  <conditionalFormatting sqref="F82">
    <cfRule type="cellIs" dxfId="3028" priority="37" operator="equal">
      <formula>"PMS"</formula>
    </cfRule>
    <cfRule type="containsText" dxfId="3027" priority="38" operator="containsText" text="CMS">
      <formula>NOT(ISERROR(SEARCH("CMS",F82)))</formula>
    </cfRule>
    <cfRule type="cellIs" dxfId="3026" priority="39" operator="equal">
      <formula>0</formula>
    </cfRule>
    <cfRule type="cellIs" dxfId="3025" priority="40" operator="greaterThan">
      <formula>0</formula>
    </cfRule>
  </conditionalFormatting>
  <conditionalFormatting sqref="F78:F79 F24 F28:F30 F19:F21 F33">
    <cfRule type="cellIs" dxfId="3024" priority="29" operator="equal">
      <formula>"PMS"</formula>
    </cfRule>
    <cfRule type="containsText" dxfId="3023" priority="30" operator="containsText" text="CMS">
      <formula>NOT(ISERROR(SEARCH("CMS",F19)))</formula>
    </cfRule>
    <cfRule type="cellIs" dxfId="3022" priority="31" operator="equal">
      <formula>0</formula>
    </cfRule>
    <cfRule type="cellIs" dxfId="3021" priority="32" operator="greaterThan">
      <formula>0</formula>
    </cfRule>
    <cfRule type="cellIs" dxfId="3020" priority="33" operator="equal">
      <formula>"PMS"</formula>
    </cfRule>
    <cfRule type="containsText" dxfId="3019" priority="34" operator="containsText" text="CMS">
      <formula>NOT(ISERROR(SEARCH("CMS",F19)))</formula>
    </cfRule>
    <cfRule type="cellIs" dxfId="3018" priority="35" operator="equal">
      <formula>0</formula>
    </cfRule>
    <cfRule type="cellIs" dxfId="3017" priority="36" operator="greaterThan">
      <formula>0</formula>
    </cfRule>
  </conditionalFormatting>
  <conditionalFormatting sqref="F78:F79 F24 F28:F30 F19:F21 F33">
    <cfRule type="cellIs" dxfId="3016" priority="25" operator="equal">
      <formula>"PMS"</formula>
    </cfRule>
    <cfRule type="containsText" dxfId="3015" priority="26" operator="containsText" text="CMS">
      <formula>NOT(ISERROR(SEARCH("CMS",F19)))</formula>
    </cfRule>
    <cfRule type="cellIs" dxfId="3014" priority="27" operator="equal">
      <formula>0</formula>
    </cfRule>
    <cfRule type="cellIs" dxfId="3013" priority="28" operator="greaterThan">
      <formula>0</formula>
    </cfRule>
  </conditionalFormatting>
  <conditionalFormatting sqref="F27">
    <cfRule type="cellIs" dxfId="3012" priority="17" operator="equal">
      <formula>"PMS"</formula>
    </cfRule>
    <cfRule type="containsText" dxfId="3011" priority="18" operator="containsText" text="CMS">
      <formula>NOT(ISERROR(SEARCH("CMS",F27)))</formula>
    </cfRule>
    <cfRule type="cellIs" dxfId="3010" priority="19" operator="equal">
      <formula>0</formula>
    </cfRule>
    <cfRule type="cellIs" dxfId="3009" priority="20" operator="greaterThan">
      <formula>0</formula>
    </cfRule>
    <cfRule type="cellIs" dxfId="3008" priority="21" operator="equal">
      <formula>"PMS"</formula>
    </cfRule>
    <cfRule type="containsText" dxfId="3007" priority="22" operator="containsText" text="CMS">
      <formula>NOT(ISERROR(SEARCH("CMS",F27)))</formula>
    </cfRule>
    <cfRule type="cellIs" dxfId="3006" priority="23" operator="equal">
      <formula>0</formula>
    </cfRule>
    <cfRule type="cellIs" dxfId="3005" priority="24" operator="greaterThan">
      <formula>0</formula>
    </cfRule>
  </conditionalFormatting>
  <conditionalFormatting sqref="F27">
    <cfRule type="cellIs" dxfId="3004" priority="13" operator="equal">
      <formula>"PMS"</formula>
    </cfRule>
    <cfRule type="containsText" dxfId="3003" priority="14" operator="containsText" text="CMS">
      <formula>NOT(ISERROR(SEARCH("CMS",F27)))</formula>
    </cfRule>
    <cfRule type="cellIs" dxfId="3002" priority="15" operator="equal">
      <formula>0</formula>
    </cfRule>
    <cfRule type="cellIs" dxfId="3001" priority="16" operator="greaterThan">
      <formula>0</formula>
    </cfRule>
  </conditionalFormatting>
  <conditionalFormatting sqref="R78">
    <cfRule type="cellIs" dxfId="3000" priority="5" operator="equal">
      <formula>"PMS"</formula>
    </cfRule>
    <cfRule type="containsText" dxfId="2999" priority="6" operator="containsText" text="CMS">
      <formula>NOT(ISERROR(SEARCH("CMS",R78)))</formula>
    </cfRule>
    <cfRule type="cellIs" dxfId="2998" priority="7" operator="equal">
      <formula>0</formula>
    </cfRule>
    <cfRule type="cellIs" dxfId="2997" priority="8" operator="greaterThan">
      <formula>0</formula>
    </cfRule>
    <cfRule type="cellIs" dxfId="2996" priority="9" operator="equal">
      <formula>"PMS"</formula>
    </cfRule>
    <cfRule type="containsText" dxfId="2995" priority="10" operator="containsText" text="CMS">
      <formula>NOT(ISERROR(SEARCH("CMS",R78)))</formula>
    </cfRule>
    <cfRule type="cellIs" dxfId="2994" priority="11" operator="equal">
      <formula>0</formula>
    </cfRule>
    <cfRule type="cellIs" dxfId="2993" priority="12" operator="greaterThan">
      <formula>0</formula>
    </cfRule>
  </conditionalFormatting>
  <conditionalFormatting sqref="R78">
    <cfRule type="cellIs" dxfId="2992" priority="1" operator="equal">
      <formula>"PMS"</formula>
    </cfRule>
    <cfRule type="containsText" dxfId="2991" priority="2" operator="containsText" text="CMS">
      <formula>NOT(ISERROR(SEARCH("CMS",R78)))</formula>
    </cfRule>
    <cfRule type="cellIs" dxfId="2990" priority="3" operator="equal">
      <formula>0</formula>
    </cfRule>
    <cfRule type="cellIs" dxfId="298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85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55963-D049-4741-9105-E84518EAC0FF}">
  <sheetPr codeName="Sheet249"/>
  <dimension ref="A2:DT141"/>
  <sheetViews>
    <sheetView zoomScale="70" zoomScaleNormal="70" workbookViewId="0">
      <pane xSplit="5" ySplit="11" topLeftCell="F12" activePane="bottomRight" state="frozen"/>
      <selection pane="bottomRight" activeCell="Q9" sqref="Q9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399.49999999999994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6.4</v>
      </c>
      <c r="G14" s="357">
        <v>6.5</v>
      </c>
      <c r="H14" s="357">
        <v>6.6</v>
      </c>
      <c r="I14" s="357">
        <v>6.5</v>
      </c>
      <c r="J14" s="357">
        <v>6.6</v>
      </c>
      <c r="K14" s="357">
        <v>6.5</v>
      </c>
      <c r="L14" s="357">
        <v>6.7</v>
      </c>
      <c r="M14" s="357">
        <v>6.8</v>
      </c>
      <c r="N14" s="357">
        <v>6.7</v>
      </c>
      <c r="O14" s="357">
        <v>6.9</v>
      </c>
      <c r="P14" s="357">
        <v>6.6</v>
      </c>
      <c r="Q14" s="357">
        <v>6.4</v>
      </c>
      <c r="R14" s="357">
        <v>6.6</v>
      </c>
      <c r="S14" s="462">
        <v>6.4</v>
      </c>
      <c r="T14" s="462">
        <v>6.7</v>
      </c>
      <c r="U14" s="462">
        <v>6.7</v>
      </c>
      <c r="V14" s="357">
        <v>6.5</v>
      </c>
      <c r="W14" s="357">
        <v>6.7</v>
      </c>
      <c r="X14" s="357">
        <v>6.8</v>
      </c>
      <c r="Y14" s="357">
        <v>6.8</v>
      </c>
      <c r="Z14" s="462">
        <v>6.7</v>
      </c>
      <c r="AA14" s="462">
        <v>6.6</v>
      </c>
      <c r="AB14" s="462">
        <v>6.5</v>
      </c>
      <c r="AC14" s="357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/>
      <c r="G15" s="357"/>
      <c r="H15" s="357"/>
      <c r="I15" s="357"/>
      <c r="J15" s="357"/>
      <c r="K15" s="359"/>
      <c r="L15" s="359"/>
      <c r="M15" s="359" t="s">
        <v>9</v>
      </c>
      <c r="N15" s="357" t="s">
        <v>9</v>
      </c>
      <c r="O15" s="357" t="s">
        <v>9</v>
      </c>
      <c r="P15" s="357" t="s">
        <v>9</v>
      </c>
      <c r="Q15" s="357">
        <v>2.8</v>
      </c>
      <c r="R15" s="357">
        <v>6.6</v>
      </c>
      <c r="S15" s="462">
        <v>6.4</v>
      </c>
      <c r="T15" s="462">
        <v>6.7</v>
      </c>
      <c r="U15" s="462">
        <v>6.7</v>
      </c>
      <c r="V15" s="357">
        <v>6.5</v>
      </c>
      <c r="W15" s="357">
        <v>6.7</v>
      </c>
      <c r="X15" s="357">
        <v>6.8</v>
      </c>
      <c r="Y15" s="357">
        <v>6.8</v>
      </c>
      <c r="Z15" s="462">
        <v>6.7</v>
      </c>
      <c r="AA15" s="462">
        <v>6.6</v>
      </c>
      <c r="AB15" s="462">
        <v>6.5</v>
      </c>
      <c r="AC15" s="462">
        <v>6.5</v>
      </c>
      <c r="AD15" s="41"/>
      <c r="AE15" s="41"/>
      <c r="AF15" s="11">
        <f>COUNTIF(F15:AC15,$AJ$8)</f>
        <v>4</v>
      </c>
      <c r="AG15" s="11">
        <f>COUNTIF(G15:AD15,$AJ$7)</f>
        <v>0</v>
      </c>
      <c r="AH15" s="11">
        <f>COUNT(F15:AC15)</f>
        <v>13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6.4</v>
      </c>
      <c r="G16" s="357">
        <v>6.5</v>
      </c>
      <c r="H16" s="357">
        <v>6.6</v>
      </c>
      <c r="I16" s="357">
        <v>6.5</v>
      </c>
      <c r="J16" s="357">
        <v>6.6</v>
      </c>
      <c r="K16" s="359">
        <v>6.5</v>
      </c>
      <c r="L16" s="359">
        <v>6.7</v>
      </c>
      <c r="M16" s="357">
        <v>6.8</v>
      </c>
      <c r="N16" s="359">
        <v>6.7</v>
      </c>
      <c r="O16" s="357">
        <v>6.9</v>
      </c>
      <c r="P16" s="357">
        <v>6.6</v>
      </c>
      <c r="Q16" s="357">
        <v>6.4</v>
      </c>
      <c r="R16" s="357">
        <v>6.6</v>
      </c>
      <c r="S16" s="462">
        <v>6.4</v>
      </c>
      <c r="T16" s="462">
        <v>6.7</v>
      </c>
      <c r="U16" s="462">
        <v>6.7</v>
      </c>
      <c r="V16" s="357">
        <v>6.5</v>
      </c>
      <c r="W16" s="357">
        <v>6.7</v>
      </c>
      <c r="X16" s="357">
        <v>6.8</v>
      </c>
      <c r="Y16" s="357">
        <v>6.8</v>
      </c>
      <c r="Z16" s="462">
        <v>6.7</v>
      </c>
      <c r="AA16" s="462">
        <v>6.6</v>
      </c>
      <c r="AB16" s="462">
        <v>6.4</v>
      </c>
      <c r="AC16" s="357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13</v>
      </c>
      <c r="H17" s="19">
        <f t="shared" si="0"/>
        <v>13.2</v>
      </c>
      <c r="I17" s="19">
        <f t="shared" si="0"/>
        <v>13</v>
      </c>
      <c r="J17" s="19">
        <f t="shared" si="0"/>
        <v>13.2</v>
      </c>
      <c r="K17" s="19">
        <f t="shared" si="0"/>
        <v>13</v>
      </c>
      <c r="L17" s="19">
        <f t="shared" si="0"/>
        <v>13.4</v>
      </c>
      <c r="M17" s="19">
        <f t="shared" si="0"/>
        <v>13.6</v>
      </c>
      <c r="N17" s="19">
        <f t="shared" si="0"/>
        <v>13.4</v>
      </c>
      <c r="O17" s="19">
        <f t="shared" si="0"/>
        <v>13.8</v>
      </c>
      <c r="P17" s="19">
        <f t="shared" si="0"/>
        <v>13.2</v>
      </c>
      <c r="Q17" s="19">
        <f t="shared" si="0"/>
        <v>15.6</v>
      </c>
      <c r="R17" s="19">
        <f t="shared" si="0"/>
        <v>19.799999999999997</v>
      </c>
      <c r="S17" s="463">
        <f t="shared" si="0"/>
        <v>19.200000000000003</v>
      </c>
      <c r="T17" s="463">
        <f t="shared" si="0"/>
        <v>20.100000000000001</v>
      </c>
      <c r="U17" s="19">
        <f t="shared" si="0"/>
        <v>20.100000000000001</v>
      </c>
      <c r="V17" s="19">
        <f t="shared" si="0"/>
        <v>19.5</v>
      </c>
      <c r="W17" s="19">
        <f t="shared" si="0"/>
        <v>20.100000000000001</v>
      </c>
      <c r="X17" s="19">
        <f t="shared" si="0"/>
        <v>20.399999999999999</v>
      </c>
      <c r="Y17" s="19">
        <f t="shared" si="0"/>
        <v>20.399999999999999</v>
      </c>
      <c r="Z17" s="463">
        <f t="shared" si="0"/>
        <v>20.100000000000001</v>
      </c>
      <c r="AA17" s="463">
        <f t="shared" si="0"/>
        <v>19.799999999999997</v>
      </c>
      <c r="AB17" s="463">
        <f>SUM(AB13:AB16)</f>
        <v>19.399999999999999</v>
      </c>
      <c r="AC17" s="19">
        <f t="shared" si="0"/>
        <v>19.399999999999999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16.8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 t="s">
        <v>9</v>
      </c>
      <c r="G20" s="357" t="s">
        <v>9</v>
      </c>
      <c r="H20" s="357" t="s">
        <v>9</v>
      </c>
      <c r="I20" s="357" t="s">
        <v>9</v>
      </c>
      <c r="J20" s="357" t="s">
        <v>9</v>
      </c>
      <c r="K20" s="357" t="s">
        <v>9</v>
      </c>
      <c r="L20" s="359" t="s">
        <v>9</v>
      </c>
      <c r="M20" s="357" t="s">
        <v>9</v>
      </c>
      <c r="N20" s="357" t="s">
        <v>9</v>
      </c>
      <c r="O20" s="357" t="s">
        <v>9</v>
      </c>
      <c r="P20" s="357">
        <v>1.5</v>
      </c>
      <c r="Q20" s="357">
        <v>2.5</v>
      </c>
      <c r="R20" s="357"/>
      <c r="S20" s="462"/>
      <c r="T20" s="462"/>
      <c r="U20" s="357"/>
      <c r="V20" s="357"/>
      <c r="W20" s="357"/>
      <c r="X20" s="357"/>
      <c r="Y20" s="357">
        <v>3.4</v>
      </c>
      <c r="Z20" s="357">
        <v>3.4</v>
      </c>
      <c r="AA20" s="357">
        <v>3</v>
      </c>
      <c r="AB20" s="357">
        <v>3</v>
      </c>
      <c r="AC20" s="357"/>
      <c r="AD20" s="41"/>
      <c r="AE20" s="41"/>
      <c r="AF20" s="11">
        <f>COUNTIF(F20:AC20,$AJ$8)</f>
        <v>10</v>
      </c>
      <c r="AG20" s="11">
        <f>COUNTIF(G20:AD20,$AJ$7)</f>
        <v>0</v>
      </c>
      <c r="AH20" s="11">
        <f>COUNT(F20:AC20)</f>
        <v>6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7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1.5</v>
      </c>
      <c r="Q22" s="19">
        <f t="shared" si="1"/>
        <v>2.5</v>
      </c>
      <c r="R22" s="19">
        <f t="shared" si="1"/>
        <v>0</v>
      </c>
      <c r="S22" s="463">
        <f>SUM(S19:S21)</f>
        <v>0</v>
      </c>
      <c r="T22" s="463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3.4</v>
      </c>
      <c r="Z22" s="463">
        <f>SUM(Z19:Z21)</f>
        <v>3.4</v>
      </c>
      <c r="AA22" s="463">
        <f t="shared" si="1"/>
        <v>3</v>
      </c>
      <c r="AB22" s="463">
        <f>SUM(AB19:AB21)</f>
        <v>3</v>
      </c>
      <c r="AC22" s="19">
        <f t="shared" si="1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38.4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2</v>
      </c>
      <c r="P24" s="357">
        <v>2.5</v>
      </c>
      <c r="Q24" s="357">
        <v>1.5</v>
      </c>
      <c r="R24" s="357">
        <v>3</v>
      </c>
      <c r="S24" s="462">
        <v>3</v>
      </c>
      <c r="T24" s="462">
        <v>3</v>
      </c>
      <c r="U24" s="357">
        <v>3</v>
      </c>
      <c r="V24" s="357">
        <v>3.8</v>
      </c>
      <c r="W24" s="357">
        <v>3</v>
      </c>
      <c r="X24" s="357">
        <v>3</v>
      </c>
      <c r="Y24" s="357">
        <v>3.8</v>
      </c>
      <c r="Z24" s="357">
        <v>3.8</v>
      </c>
      <c r="AA24" s="357">
        <v>3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2</v>
      </c>
      <c r="P25" s="19">
        <f t="shared" si="4"/>
        <v>2.5</v>
      </c>
      <c r="Q25" s="19">
        <f t="shared" si="4"/>
        <v>1.5</v>
      </c>
      <c r="R25" s="19">
        <f t="shared" si="4"/>
        <v>3</v>
      </c>
      <c r="S25" s="463">
        <f t="shared" si="4"/>
        <v>3</v>
      </c>
      <c r="T25" s="463">
        <f t="shared" si="4"/>
        <v>3</v>
      </c>
      <c r="U25" s="19">
        <f t="shared" si="4"/>
        <v>3</v>
      </c>
      <c r="V25" s="19">
        <f t="shared" si="4"/>
        <v>3.8</v>
      </c>
      <c r="W25" s="19">
        <f t="shared" si="4"/>
        <v>3</v>
      </c>
      <c r="X25" s="19">
        <f t="shared" si="4"/>
        <v>3</v>
      </c>
      <c r="Y25" s="19">
        <f t="shared" si="4"/>
        <v>3.8</v>
      </c>
      <c r="Z25" s="463">
        <f t="shared" si="4"/>
        <v>3.8</v>
      </c>
      <c r="AA25" s="463">
        <f t="shared" si="4"/>
        <v>3</v>
      </c>
      <c r="AB25" s="463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45.099999999999994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/>
      <c r="N27" s="357"/>
      <c r="O27" s="357">
        <v>3.7</v>
      </c>
      <c r="P27" s="357">
        <v>3.7</v>
      </c>
      <c r="Q27" s="357">
        <v>3.7</v>
      </c>
      <c r="R27" s="357">
        <v>2.5</v>
      </c>
      <c r="S27" s="462">
        <v>2</v>
      </c>
      <c r="T27" s="462">
        <v>2.2000000000000002</v>
      </c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3.5</v>
      </c>
      <c r="G28" s="357"/>
      <c r="H28" s="357"/>
      <c r="I28" s="357"/>
      <c r="J28" s="357"/>
      <c r="K28" s="357"/>
      <c r="L28" s="359"/>
      <c r="M28" s="357"/>
      <c r="N28" s="357"/>
      <c r="O28" s="357"/>
      <c r="P28" s="357"/>
      <c r="Q28" s="357"/>
      <c r="R28" s="357"/>
      <c r="S28" s="462"/>
      <c r="T28" s="462"/>
      <c r="U28" s="357">
        <v>2.2000000000000002</v>
      </c>
      <c r="V28" s="357">
        <v>3.8</v>
      </c>
      <c r="W28" s="357">
        <v>2</v>
      </c>
      <c r="X28" s="357">
        <v>2.7</v>
      </c>
      <c r="Y28" s="357">
        <v>3.8</v>
      </c>
      <c r="Z28" s="357">
        <v>3.8</v>
      </c>
      <c r="AA28" s="357">
        <v>2.5</v>
      </c>
      <c r="AB28" s="357">
        <v>1.5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  <c r="AI28" s="159">
        <f>SUM(F29:AC30)</f>
        <v>154.1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/>
      <c r="Q29" s="357"/>
      <c r="R29" s="357"/>
      <c r="S29" s="462"/>
      <c r="T29" s="462"/>
      <c r="U29" s="357"/>
      <c r="V29" s="357"/>
      <c r="W29" s="357"/>
      <c r="X29" s="357"/>
      <c r="Y29" s="357"/>
      <c r="Z29" s="357"/>
      <c r="AA29" s="357"/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9">
        <v>7</v>
      </c>
      <c r="G30" s="357">
        <v>7.1</v>
      </c>
      <c r="H30" s="357">
        <v>5.5</v>
      </c>
      <c r="I30" s="357">
        <v>4.5</v>
      </c>
      <c r="J30" s="357">
        <v>4</v>
      </c>
      <c r="K30" s="357">
        <v>4</v>
      </c>
      <c r="L30" s="357">
        <v>5.3</v>
      </c>
      <c r="M30" s="357">
        <v>5.2</v>
      </c>
      <c r="N30" s="357">
        <v>7.3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462">
        <v>7</v>
      </c>
      <c r="U30" s="357">
        <v>6.8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7</v>
      </c>
      <c r="AB30" s="357">
        <v>7</v>
      </c>
      <c r="AC30" s="357">
        <v>6.4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5">SUM(F27:F30)</f>
        <v>10.5</v>
      </c>
      <c r="G31" s="19">
        <f>SUM(G27:G30)</f>
        <v>7.1</v>
      </c>
      <c r="H31" s="19">
        <f>SUM(H27:H30)</f>
        <v>5.5</v>
      </c>
      <c r="I31" s="19">
        <f t="shared" ref="I31:X31" si="6">SUM(I27:I30)</f>
        <v>4.5</v>
      </c>
      <c r="J31" s="19">
        <f t="shared" si="6"/>
        <v>4</v>
      </c>
      <c r="K31" s="19">
        <f t="shared" si="6"/>
        <v>4</v>
      </c>
      <c r="L31" s="19">
        <f t="shared" si="6"/>
        <v>5.3</v>
      </c>
      <c r="M31" s="19">
        <f t="shared" si="6"/>
        <v>5.2</v>
      </c>
      <c r="N31" s="19">
        <f t="shared" si="6"/>
        <v>7.3</v>
      </c>
      <c r="O31" s="19">
        <f t="shared" si="6"/>
        <v>10.7</v>
      </c>
      <c r="P31" s="19">
        <f t="shared" si="6"/>
        <v>10.7</v>
      </c>
      <c r="Q31" s="19">
        <f t="shared" si="6"/>
        <v>10.7</v>
      </c>
      <c r="R31" s="19">
        <f t="shared" si="6"/>
        <v>9.5</v>
      </c>
      <c r="S31" s="463">
        <f t="shared" si="6"/>
        <v>9</v>
      </c>
      <c r="T31" s="463">
        <f t="shared" si="6"/>
        <v>9.1999999999999993</v>
      </c>
      <c r="U31" s="19">
        <f t="shared" si="6"/>
        <v>9</v>
      </c>
      <c r="V31" s="19">
        <f t="shared" si="6"/>
        <v>10.8</v>
      </c>
      <c r="W31" s="19">
        <f t="shared" si="6"/>
        <v>9</v>
      </c>
      <c r="X31" s="19">
        <f t="shared" si="6"/>
        <v>9.6999999999999993</v>
      </c>
      <c r="Y31" s="19">
        <f>SUM(Y27:Y30)</f>
        <v>10.8</v>
      </c>
      <c r="Z31" s="19">
        <f t="shared" ref="Z31:AC31" si="7">SUM(Z27:Z30)</f>
        <v>10.8</v>
      </c>
      <c r="AA31" s="19">
        <f t="shared" si="7"/>
        <v>9.5</v>
      </c>
      <c r="AB31" s="19">
        <f t="shared" si="7"/>
        <v>8.5</v>
      </c>
      <c r="AC31" s="19">
        <f t="shared" si="7"/>
        <v>7.9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342.31000000000006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14.27</v>
      </c>
      <c r="H33" s="357">
        <v>14.31</v>
      </c>
      <c r="I33" s="357">
        <v>14.26</v>
      </c>
      <c r="J33" s="357">
        <v>14.25</v>
      </c>
      <c r="K33" s="357">
        <v>14.31</v>
      </c>
      <c r="L33" s="357">
        <v>14.27</v>
      </c>
      <c r="M33" s="357">
        <v>14.29</v>
      </c>
      <c r="N33" s="357">
        <v>14.25</v>
      </c>
      <c r="O33" s="357">
        <v>14.27</v>
      </c>
      <c r="P33" s="357">
        <v>14.26</v>
      </c>
      <c r="Q33" s="357">
        <v>14.25</v>
      </c>
      <c r="R33" s="357">
        <v>14.26</v>
      </c>
      <c r="S33" s="462">
        <v>14.23</v>
      </c>
      <c r="T33" s="462">
        <v>14.27</v>
      </c>
      <c r="U33" s="357">
        <v>14.29</v>
      </c>
      <c r="V33" s="357">
        <v>14.23</v>
      </c>
      <c r="W33" s="357">
        <v>14.27</v>
      </c>
      <c r="X33" s="357">
        <v>14.22</v>
      </c>
      <c r="Y33" s="357">
        <v>14.24</v>
      </c>
      <c r="Z33" s="357">
        <v>14.29</v>
      </c>
      <c r="AA33" s="357">
        <v>14.3</v>
      </c>
      <c r="AB33" s="357">
        <v>14.25</v>
      </c>
      <c r="AC33" s="357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14.28</v>
      </c>
      <c r="G34" s="19">
        <f t="shared" ref="G34:AC34" si="9">SUM(G33)</f>
        <v>14.27</v>
      </c>
      <c r="H34" s="19">
        <f t="shared" si="9"/>
        <v>14.31</v>
      </c>
      <c r="I34" s="19">
        <f t="shared" si="9"/>
        <v>14.26</v>
      </c>
      <c r="J34" s="19">
        <f t="shared" si="9"/>
        <v>14.25</v>
      </c>
      <c r="K34" s="19">
        <f t="shared" si="9"/>
        <v>14.31</v>
      </c>
      <c r="L34" s="19">
        <f t="shared" si="9"/>
        <v>14.27</v>
      </c>
      <c r="M34" s="19">
        <f t="shared" si="9"/>
        <v>14.29</v>
      </c>
      <c r="N34" s="19">
        <f t="shared" si="9"/>
        <v>14.25</v>
      </c>
      <c r="O34" s="19">
        <f t="shared" si="9"/>
        <v>14.27</v>
      </c>
      <c r="P34" s="19">
        <f t="shared" si="9"/>
        <v>14.26</v>
      </c>
      <c r="Q34" s="19">
        <f t="shared" si="9"/>
        <v>14.25</v>
      </c>
      <c r="R34" s="19">
        <f t="shared" si="9"/>
        <v>14.26</v>
      </c>
      <c r="S34" s="19">
        <f t="shared" si="9"/>
        <v>14.23</v>
      </c>
      <c r="T34" s="463">
        <f t="shared" si="9"/>
        <v>14.27</v>
      </c>
      <c r="U34" s="19">
        <f t="shared" si="9"/>
        <v>14.29</v>
      </c>
      <c r="V34" s="19">
        <f t="shared" si="9"/>
        <v>14.23</v>
      </c>
      <c r="W34" s="19">
        <f t="shared" si="9"/>
        <v>14.27</v>
      </c>
      <c r="X34" s="19">
        <f t="shared" si="9"/>
        <v>14.22</v>
      </c>
      <c r="Y34" s="19">
        <f t="shared" si="9"/>
        <v>14.24</v>
      </c>
      <c r="Z34" s="19">
        <f t="shared" si="9"/>
        <v>14.29</v>
      </c>
      <c r="AA34" s="19">
        <f t="shared" si="9"/>
        <v>14.3</v>
      </c>
      <c r="AB34" s="19">
        <f t="shared" si="9"/>
        <v>14.25</v>
      </c>
      <c r="AC34" s="19">
        <f t="shared" si="9"/>
        <v>14.19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9">
        <f>SUM(F36:AC38,F40:AC40,F45:AC59)</f>
        <v>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2"/>
      <c r="T40" s="462"/>
      <c r="U40" s="357"/>
      <c r="V40" s="357"/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/>
      <c r="Q47" s="357"/>
      <c r="R47" s="357"/>
      <c r="S47" s="462"/>
      <c r="T47" s="462"/>
      <c r="U47" s="357"/>
      <c r="V47" s="357"/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0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/>
      <c r="P48" s="357">
        <v>0.75</v>
      </c>
      <c r="Q48" s="357"/>
      <c r="R48" s="357"/>
      <c r="S48" s="462"/>
      <c r="T48" s="462"/>
      <c r="U48" s="357"/>
      <c r="V48" s="357"/>
      <c r="W48" s="357"/>
      <c r="X48" s="357"/>
      <c r="Y48" s="357"/>
      <c r="Z48" s="357"/>
      <c r="AA48" s="357"/>
      <c r="AB48" s="357"/>
      <c r="AC48" s="357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/>
      <c r="M50" s="357"/>
      <c r="N50" s="357"/>
      <c r="O50" s="357"/>
      <c r="P50" s="357"/>
      <c r="Q50" s="357"/>
      <c r="R50" s="357"/>
      <c r="S50" s="462"/>
      <c r="T50" s="462"/>
      <c r="U50" s="357"/>
      <c r="V50" s="357"/>
      <c r="W50" s="357"/>
      <c r="X50" s="357"/>
      <c r="Y50" s="357">
        <v>0.75</v>
      </c>
      <c r="Z50" s="357"/>
      <c r="AA50" s="357"/>
      <c r="AB50" s="357"/>
      <c r="AC50" s="357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v>0.75</v>
      </c>
      <c r="Q51" s="357"/>
      <c r="R51" s="357"/>
      <c r="S51" s="462"/>
      <c r="T51" s="462"/>
      <c r="U51" s="357"/>
      <c r="V51" s="357"/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/>
      <c r="P56" s="357"/>
      <c r="Q56" s="357"/>
      <c r="R56" s="357"/>
      <c r="S56" s="462"/>
      <c r="T56" s="462"/>
      <c r="U56" s="357"/>
      <c r="V56" s="357"/>
      <c r="W56" s="357"/>
      <c r="X56" s="357"/>
      <c r="Y56" s="357">
        <v>0.75</v>
      </c>
      <c r="Z56" s="357"/>
      <c r="AA56" s="357"/>
      <c r="AB56" s="357"/>
      <c r="AC56" s="357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3">SUM(F36:F59)</f>
        <v>0</v>
      </c>
      <c r="G60" s="19">
        <f t="shared" si="13"/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0</v>
      </c>
      <c r="M60" s="19">
        <f t="shared" si="13"/>
        <v>0</v>
      </c>
      <c r="N60" s="19">
        <f>SUM(N36:N59)</f>
        <v>0</v>
      </c>
      <c r="O60" s="19">
        <f t="shared" si="13"/>
        <v>0</v>
      </c>
      <c r="P60" s="19">
        <f t="shared" si="13"/>
        <v>1.5</v>
      </c>
      <c r="Q60" s="19">
        <f t="shared" si="13"/>
        <v>0</v>
      </c>
      <c r="R60" s="19">
        <f t="shared" si="13"/>
        <v>0</v>
      </c>
      <c r="S60" s="19">
        <f t="shared" si="13"/>
        <v>0</v>
      </c>
      <c r="T60" s="19">
        <f t="shared" si="13"/>
        <v>0</v>
      </c>
      <c r="U60" s="19">
        <f t="shared" si="13"/>
        <v>0</v>
      </c>
      <c r="V60" s="19">
        <f t="shared" si="13"/>
        <v>0</v>
      </c>
      <c r="W60" s="19">
        <f t="shared" si="13"/>
        <v>0</v>
      </c>
      <c r="X60" s="19">
        <f t="shared" si="13"/>
        <v>0</v>
      </c>
      <c r="Y60" s="19">
        <f>SUM(Y36:Y59)</f>
        <v>1.5</v>
      </c>
      <c r="Z60" s="19">
        <f t="shared" si="13"/>
        <v>0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28.280000000000005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>
        <v>0.49</v>
      </c>
      <c r="H62" s="357">
        <f>0.93/2</f>
        <v>0.46500000000000002</v>
      </c>
      <c r="I62" s="357">
        <f>0.99/2</f>
        <v>0.495</v>
      </c>
      <c r="J62" s="357">
        <v>0.44</v>
      </c>
      <c r="K62" s="357">
        <v>0.44500000000000001</v>
      </c>
      <c r="L62" s="357">
        <f>0.96/2</f>
        <v>0.48</v>
      </c>
      <c r="M62" s="357">
        <f>1/2</f>
        <v>0.5</v>
      </c>
      <c r="N62" s="357">
        <f>1/2</f>
        <v>0.5</v>
      </c>
      <c r="O62" s="357">
        <f>1.12/2</f>
        <v>0.56000000000000005</v>
      </c>
      <c r="P62" s="357">
        <f>1.18/2</f>
        <v>0.59</v>
      </c>
      <c r="Q62" s="357">
        <f>1.21/2</f>
        <v>0.60499999999999998</v>
      </c>
      <c r="R62" s="357">
        <f>1.27/2</f>
        <v>0.63500000000000001</v>
      </c>
      <c r="S62" s="462"/>
      <c r="T62" s="462"/>
      <c r="U62" s="357"/>
      <c r="V62" s="357"/>
      <c r="W62" s="357"/>
      <c r="X62" s="357"/>
      <c r="Y62" s="357">
        <f>1.53/2</f>
        <v>0.76500000000000001</v>
      </c>
      <c r="Z62" s="357">
        <f>1.63/3</f>
        <v>0.54333333333333333</v>
      </c>
      <c r="AA62" s="357">
        <f>1.59/3</f>
        <v>0.53</v>
      </c>
      <c r="AB62" s="357">
        <f>1.38/3</f>
        <v>0.45999999999999996</v>
      </c>
      <c r="AC62" s="357"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0.5</v>
      </c>
      <c r="G63" s="357"/>
      <c r="H63" s="357"/>
      <c r="I63" s="357"/>
      <c r="J63" s="357"/>
      <c r="K63" s="357"/>
      <c r="L63" s="357">
        <f>0.96/2</f>
        <v>0.48</v>
      </c>
      <c r="M63" s="357">
        <f>1/2</f>
        <v>0.5</v>
      </c>
      <c r="N63" s="357">
        <f>1/2</f>
        <v>0.5</v>
      </c>
      <c r="O63" s="357">
        <f>1.12/2</f>
        <v>0.56000000000000005</v>
      </c>
      <c r="P63" s="357">
        <f>1.18/2</f>
        <v>0.59</v>
      </c>
      <c r="Q63" s="357">
        <f>1.21/2</f>
        <v>0.60499999999999998</v>
      </c>
      <c r="R63" s="357">
        <f>1.27/2</f>
        <v>0.63500000000000001</v>
      </c>
      <c r="S63" s="462">
        <f>1.28/2</f>
        <v>0.64</v>
      </c>
      <c r="T63" s="462">
        <v>0.63500000000000001</v>
      </c>
      <c r="U63" s="357">
        <v>0.625</v>
      </c>
      <c r="V63" s="357">
        <v>0.64</v>
      </c>
      <c r="W63" s="357">
        <v>0.63</v>
      </c>
      <c r="X63" s="357">
        <f>1.22/2</f>
        <v>0.61</v>
      </c>
      <c r="Y63" s="357">
        <v>0</v>
      </c>
      <c r="Z63" s="357">
        <f t="shared" ref="Z63:Z64" si="14">1.63/3</f>
        <v>0.54333333333333333</v>
      </c>
      <c r="AA63" s="357">
        <f t="shared" ref="AA63:AA64" si="15">1.59/3</f>
        <v>0.53</v>
      </c>
      <c r="AB63" s="357">
        <f>1.38/3</f>
        <v>0.45999999999999996</v>
      </c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0.5</v>
      </c>
      <c r="G64" s="357">
        <v>0.49</v>
      </c>
      <c r="H64" s="357">
        <f>0.93/2</f>
        <v>0.46500000000000002</v>
      </c>
      <c r="I64" s="357">
        <f>0.99/2</f>
        <v>0.495</v>
      </c>
      <c r="J64" s="357">
        <v>0.44</v>
      </c>
      <c r="K64" s="357">
        <v>0.44500000000000001</v>
      </c>
      <c r="L64" s="359"/>
      <c r="M64" s="357"/>
      <c r="N64" s="357"/>
      <c r="O64" s="357"/>
      <c r="P64" s="357"/>
      <c r="Q64" s="357"/>
      <c r="R64" s="357"/>
      <c r="S64" s="462">
        <f>1.28/2</f>
        <v>0.64</v>
      </c>
      <c r="T64" s="462">
        <v>0.63500000000000001</v>
      </c>
      <c r="U64" s="357">
        <v>0.625</v>
      </c>
      <c r="V64" s="357">
        <v>0.64</v>
      </c>
      <c r="W64" s="357">
        <v>0.63</v>
      </c>
      <c r="X64" s="357">
        <f>1.22/2</f>
        <v>0.61</v>
      </c>
      <c r="Y64" s="357">
        <f>1.53/2</f>
        <v>0.76500000000000001</v>
      </c>
      <c r="Z64" s="357">
        <f t="shared" si="14"/>
        <v>0.54333333333333333</v>
      </c>
      <c r="AA64" s="357">
        <f t="shared" si="15"/>
        <v>0.53</v>
      </c>
      <c r="AB64" s="357">
        <f>1.38/3</f>
        <v>0.45999999999999996</v>
      </c>
      <c r="AC64" s="357">
        <v>0.59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</v>
      </c>
      <c r="G65" s="19">
        <f t="shared" ref="G65:AB65" si="16">SUM(G62:G64)</f>
        <v>0.98</v>
      </c>
      <c r="H65" s="19">
        <f t="shared" si="16"/>
        <v>0.93</v>
      </c>
      <c r="I65" s="19">
        <f t="shared" si="16"/>
        <v>0.99</v>
      </c>
      <c r="J65" s="19">
        <f t="shared" si="16"/>
        <v>0.88</v>
      </c>
      <c r="K65" s="19">
        <f t="shared" si="16"/>
        <v>0.89</v>
      </c>
      <c r="L65" s="19">
        <f t="shared" si="16"/>
        <v>0.96</v>
      </c>
      <c r="M65" s="19">
        <f t="shared" si="16"/>
        <v>1</v>
      </c>
      <c r="N65" s="19">
        <f t="shared" si="16"/>
        <v>1</v>
      </c>
      <c r="O65" s="19">
        <f t="shared" si="16"/>
        <v>1.1200000000000001</v>
      </c>
      <c r="P65" s="19">
        <f t="shared" si="16"/>
        <v>1.18</v>
      </c>
      <c r="Q65" s="19">
        <f t="shared" si="16"/>
        <v>1.21</v>
      </c>
      <c r="R65" s="19">
        <f t="shared" si="16"/>
        <v>1.27</v>
      </c>
      <c r="S65" s="463">
        <f t="shared" si="16"/>
        <v>1.28</v>
      </c>
      <c r="T65" s="463">
        <f t="shared" si="16"/>
        <v>1.27</v>
      </c>
      <c r="U65" s="463">
        <f t="shared" si="16"/>
        <v>1.25</v>
      </c>
      <c r="V65" s="19">
        <f>SUM(V62:V64)</f>
        <v>1.28</v>
      </c>
      <c r="W65" s="19">
        <f t="shared" si="16"/>
        <v>1.26</v>
      </c>
      <c r="X65" s="19">
        <f t="shared" si="16"/>
        <v>1.22</v>
      </c>
      <c r="Y65" s="19">
        <f>SUM(Y62:Y64)</f>
        <v>1.53</v>
      </c>
      <c r="Z65" s="19">
        <f>SUM(Z62:Z64)</f>
        <v>1.63</v>
      </c>
      <c r="AA65" s="19">
        <f t="shared" si="16"/>
        <v>1.59</v>
      </c>
      <c r="AB65" s="19">
        <f t="shared" si="16"/>
        <v>1.38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463">
        <f t="shared" si="20"/>
        <v>0</v>
      </c>
      <c r="T76" s="463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19.87</v>
      </c>
    </row>
    <row r="78" spans="1:124">
      <c r="A78" s="14" t="s">
        <v>67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0.7</v>
      </c>
      <c r="N78" s="357">
        <v>0.77</v>
      </c>
      <c r="O78" s="357">
        <v>0.8</v>
      </c>
      <c r="P78" s="357">
        <v>0.84</v>
      </c>
      <c r="Q78" s="357">
        <v>0.86</v>
      </c>
      <c r="R78" s="357">
        <v>0.87</v>
      </c>
      <c r="S78" s="462">
        <v>0.87</v>
      </c>
      <c r="T78" s="462">
        <v>0.86</v>
      </c>
      <c r="U78" s="357">
        <v>0.86</v>
      </c>
      <c r="V78" s="357">
        <v>0.85</v>
      </c>
      <c r="W78" s="357">
        <v>0.85</v>
      </c>
      <c r="X78" s="357">
        <v>0.86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</v>
      </c>
      <c r="G79" s="357">
        <v>0.78</v>
      </c>
      <c r="H79" s="357">
        <v>0.74</v>
      </c>
      <c r="I79" s="357">
        <v>0.72</v>
      </c>
      <c r="J79" s="357">
        <v>0.7</v>
      </c>
      <c r="K79" s="357">
        <v>0.71</v>
      </c>
      <c r="L79" s="359">
        <v>0.71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2">
        <v>0</v>
      </c>
      <c r="T79" s="462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0.91</v>
      </c>
      <c r="Z79" s="357">
        <v>1</v>
      </c>
      <c r="AA79" s="357">
        <v>0.97</v>
      </c>
      <c r="AB79" s="357">
        <v>0.94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0.8</v>
      </c>
      <c r="G80" s="19">
        <f t="shared" si="21"/>
        <v>0.78</v>
      </c>
      <c r="H80" s="19">
        <f>SUM(H78:H79)</f>
        <v>0.74</v>
      </c>
      <c r="I80" s="19">
        <f>SUM(I78:I79)</f>
        <v>0.72</v>
      </c>
      <c r="J80" s="19">
        <f t="shared" ref="J80:AC80" si="22">SUM(J78:J79)</f>
        <v>0.7</v>
      </c>
      <c r="K80" s="19">
        <f t="shared" si="22"/>
        <v>0.71</v>
      </c>
      <c r="L80" s="19">
        <f>SUM(L78:L79)</f>
        <v>0.71</v>
      </c>
      <c r="M80" s="19">
        <f t="shared" si="22"/>
        <v>0.7</v>
      </c>
      <c r="N80" s="19">
        <f t="shared" si="22"/>
        <v>0.77</v>
      </c>
      <c r="O80" s="19">
        <f>SUM(O78:O79)</f>
        <v>0.8</v>
      </c>
      <c r="P80" s="19">
        <f>SUM(P78:P79)</f>
        <v>0.84</v>
      </c>
      <c r="Q80" s="19">
        <f t="shared" si="22"/>
        <v>0.86</v>
      </c>
      <c r="R80" s="19">
        <f t="shared" si="22"/>
        <v>0.87</v>
      </c>
      <c r="S80" s="463">
        <f t="shared" si="22"/>
        <v>0.87</v>
      </c>
      <c r="T80" s="463">
        <f t="shared" si="22"/>
        <v>0.86</v>
      </c>
      <c r="U80" s="19">
        <f t="shared" si="22"/>
        <v>0.86</v>
      </c>
      <c r="V80" s="19">
        <f t="shared" si="22"/>
        <v>0.85</v>
      </c>
      <c r="W80" s="19">
        <f t="shared" si="22"/>
        <v>0.85</v>
      </c>
      <c r="X80" s="19">
        <f t="shared" si="22"/>
        <v>0.86</v>
      </c>
      <c r="Y80" s="19">
        <f t="shared" si="22"/>
        <v>0.91</v>
      </c>
      <c r="Z80" s="19">
        <f t="shared" si="22"/>
        <v>1</v>
      </c>
      <c r="AA80" s="19">
        <f t="shared" si="22"/>
        <v>0.97</v>
      </c>
      <c r="AB80" s="19">
        <f t="shared" si="22"/>
        <v>0.94</v>
      </c>
      <c r="AC80" s="19">
        <f t="shared" si="22"/>
        <v>0.9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3">SUM(F17,F22,F25,F31,F34,F60,F65,F76,F80,F82)</f>
        <v>39.379999999999995</v>
      </c>
      <c r="G83" s="28">
        <f>SUM(G17,G22,G25,G31,G34,G60,G65,G76,G80,G82)</f>
        <v>36.130000000000003</v>
      </c>
      <c r="H83" s="28">
        <f t="shared" ref="H83:AC83" si="24">SUM(H17,H22,H25,H31,H34,H60,H65,H76,H80,H82)</f>
        <v>34.68</v>
      </c>
      <c r="I83" s="28">
        <f t="shared" si="24"/>
        <v>33.47</v>
      </c>
      <c r="J83" s="28">
        <f t="shared" si="24"/>
        <v>33.03</v>
      </c>
      <c r="K83" s="28">
        <f t="shared" si="24"/>
        <v>32.910000000000004</v>
      </c>
      <c r="L83" s="28">
        <f t="shared" si="24"/>
        <v>34.64</v>
      </c>
      <c r="M83" s="28">
        <f t="shared" si="24"/>
        <v>34.790000000000006</v>
      </c>
      <c r="N83" s="28">
        <f t="shared" si="24"/>
        <v>36.720000000000006</v>
      </c>
      <c r="O83" s="28">
        <f t="shared" si="24"/>
        <v>42.689999999999991</v>
      </c>
      <c r="P83" s="28">
        <f t="shared" si="24"/>
        <v>45.68</v>
      </c>
      <c r="Q83" s="28">
        <f t="shared" si="24"/>
        <v>46.62</v>
      </c>
      <c r="R83" s="28">
        <f t="shared" si="24"/>
        <v>48.699999999999996</v>
      </c>
      <c r="S83" s="518">
        <f t="shared" si="24"/>
        <v>47.580000000000005</v>
      </c>
      <c r="T83" s="518">
        <f t="shared" si="24"/>
        <v>48.699999999999996</v>
      </c>
      <c r="U83" s="518">
        <f t="shared" si="24"/>
        <v>48.5</v>
      </c>
      <c r="V83" s="28">
        <f t="shared" si="24"/>
        <v>50.46</v>
      </c>
      <c r="W83" s="28">
        <f t="shared" si="24"/>
        <v>48.480000000000004</v>
      </c>
      <c r="X83" s="28">
        <f t="shared" si="24"/>
        <v>49.399999999999991</v>
      </c>
      <c r="Y83" s="28">
        <f t="shared" si="24"/>
        <v>56.58</v>
      </c>
      <c r="Z83" s="28">
        <f t="shared" si="24"/>
        <v>55.02</v>
      </c>
      <c r="AA83" s="28">
        <f t="shared" si="24"/>
        <v>52.16</v>
      </c>
      <c r="AB83" s="28">
        <f t="shared" si="24"/>
        <v>47.47</v>
      </c>
      <c r="AC83" s="28">
        <f t="shared" si="24"/>
        <v>43.569999999999993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5">SUM(F22,F25)</f>
        <v>0</v>
      </c>
      <c r="G89" s="64">
        <f t="shared" si="25"/>
        <v>0</v>
      </c>
      <c r="H89" s="64">
        <f t="shared" si="25"/>
        <v>0</v>
      </c>
      <c r="I89" s="64">
        <f t="shared" si="25"/>
        <v>0</v>
      </c>
      <c r="J89" s="64">
        <f t="shared" si="25"/>
        <v>0</v>
      </c>
      <c r="K89" s="64">
        <f t="shared" si="25"/>
        <v>0</v>
      </c>
      <c r="L89" s="64">
        <f t="shared" si="25"/>
        <v>0</v>
      </c>
      <c r="M89" s="64">
        <f t="shared" si="25"/>
        <v>0</v>
      </c>
      <c r="N89" s="64">
        <f t="shared" si="25"/>
        <v>0</v>
      </c>
      <c r="O89" s="64">
        <f t="shared" si="25"/>
        <v>2</v>
      </c>
      <c r="P89" s="64">
        <f t="shared" si="25"/>
        <v>4</v>
      </c>
      <c r="Q89" s="64">
        <f t="shared" si="25"/>
        <v>4</v>
      </c>
      <c r="R89" s="64">
        <f t="shared" si="25"/>
        <v>3</v>
      </c>
      <c r="S89" s="64">
        <f t="shared" si="25"/>
        <v>3</v>
      </c>
      <c r="T89" s="64">
        <f t="shared" si="25"/>
        <v>3</v>
      </c>
      <c r="U89" s="64">
        <f t="shared" si="25"/>
        <v>3</v>
      </c>
      <c r="V89" s="64">
        <f t="shared" si="25"/>
        <v>3.8</v>
      </c>
      <c r="W89" s="64">
        <f t="shared" si="25"/>
        <v>3</v>
      </c>
      <c r="X89" s="64">
        <f t="shared" si="25"/>
        <v>3</v>
      </c>
      <c r="Y89" s="64">
        <f t="shared" si="25"/>
        <v>7.1999999999999993</v>
      </c>
      <c r="Z89" s="64">
        <f t="shared" si="25"/>
        <v>7.1999999999999993</v>
      </c>
      <c r="AA89" s="64">
        <f t="shared" si="25"/>
        <v>6</v>
      </c>
      <c r="AB89" s="64">
        <f t="shared" si="25"/>
        <v>3</v>
      </c>
      <c r="AC89" s="64">
        <f t="shared" si="25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0.192</v>
      </c>
      <c r="P90" s="68">
        <v>0.28100000000000003</v>
      </c>
      <c r="Q90" s="68">
        <v>0.28599999999999998</v>
      </c>
      <c r="R90" s="68">
        <v>0.26</v>
      </c>
      <c r="S90" s="68">
        <v>0.23300000000000001</v>
      </c>
      <c r="T90" s="68">
        <v>0.223</v>
      </c>
      <c r="U90" s="68">
        <v>0.19400000000000001</v>
      </c>
      <c r="V90" s="68">
        <v>0.24099999999999999</v>
      </c>
      <c r="W90" s="68">
        <v>0.28799999999999998</v>
      </c>
      <c r="X90" s="68">
        <v>0.249</v>
      </c>
      <c r="Y90" s="68">
        <v>0.29299999999999998</v>
      </c>
      <c r="Z90" s="68">
        <v>0.20399999999999999</v>
      </c>
      <c r="AA90" s="68">
        <v>0.22800000000000001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6">F17</f>
        <v>12.8</v>
      </c>
      <c r="G91" s="64">
        <f t="shared" si="26"/>
        <v>13</v>
      </c>
      <c r="H91" s="64">
        <f t="shared" si="26"/>
        <v>13.2</v>
      </c>
      <c r="I91" s="64">
        <f t="shared" si="26"/>
        <v>13</v>
      </c>
      <c r="J91" s="64">
        <f t="shared" si="26"/>
        <v>13.2</v>
      </c>
      <c r="K91" s="64">
        <f t="shared" si="26"/>
        <v>13</v>
      </c>
      <c r="L91" s="64">
        <f t="shared" si="26"/>
        <v>13.4</v>
      </c>
      <c r="M91" s="64">
        <f t="shared" si="26"/>
        <v>13.6</v>
      </c>
      <c r="N91" s="64">
        <f t="shared" si="26"/>
        <v>13.4</v>
      </c>
      <c r="O91" s="64">
        <f t="shared" si="26"/>
        <v>13.8</v>
      </c>
      <c r="P91" s="64">
        <f t="shared" si="26"/>
        <v>13.2</v>
      </c>
      <c r="Q91" s="64">
        <f t="shared" si="26"/>
        <v>15.6</v>
      </c>
      <c r="R91" s="64">
        <f t="shared" si="26"/>
        <v>19.799999999999997</v>
      </c>
      <c r="S91" s="64">
        <f t="shared" si="26"/>
        <v>19.200000000000003</v>
      </c>
      <c r="T91" s="64">
        <f t="shared" si="26"/>
        <v>20.100000000000001</v>
      </c>
      <c r="U91" s="64">
        <f t="shared" si="26"/>
        <v>20.100000000000001</v>
      </c>
      <c r="V91" s="64">
        <f t="shared" si="26"/>
        <v>19.5</v>
      </c>
      <c r="W91" s="64">
        <f t="shared" si="26"/>
        <v>20.100000000000001</v>
      </c>
      <c r="X91" s="64">
        <f t="shared" si="26"/>
        <v>20.399999999999999</v>
      </c>
      <c r="Y91" s="64">
        <f t="shared" si="26"/>
        <v>20.399999999999999</v>
      </c>
      <c r="Z91" s="64">
        <f t="shared" si="26"/>
        <v>20.100000000000001</v>
      </c>
      <c r="AA91" s="64">
        <f t="shared" si="26"/>
        <v>19.799999999999997</v>
      </c>
      <c r="AB91" s="64">
        <f t="shared" si="26"/>
        <v>19.399999999999999</v>
      </c>
      <c r="AC91" s="64">
        <f t="shared" si="26"/>
        <v>19.399999999999999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0.48099999999999998</v>
      </c>
      <c r="G92" s="68">
        <v>0.49299999999999999</v>
      </c>
      <c r="H92" s="68">
        <v>0.56200000000000006</v>
      </c>
      <c r="I92" s="68">
        <v>0.56200000000000006</v>
      </c>
      <c r="J92" s="68">
        <v>0.61399999999999999</v>
      </c>
      <c r="K92" s="68">
        <v>0.64200000000000002</v>
      </c>
      <c r="L92" s="68">
        <v>0.69499999999999995</v>
      </c>
      <c r="M92" s="68">
        <v>0.61199999999999999</v>
      </c>
      <c r="N92" s="68">
        <v>0.46600000000000003</v>
      </c>
      <c r="O92" s="68">
        <v>0.51800000000000002</v>
      </c>
      <c r="P92" s="68">
        <v>0.47899999999999998</v>
      </c>
      <c r="Q92" s="68">
        <v>0.68200000000000005</v>
      </c>
      <c r="R92" s="68">
        <v>0.79500000000000004</v>
      </c>
      <c r="S92" s="68">
        <v>0.5</v>
      </c>
      <c r="T92" s="68">
        <v>0.56999999999999995</v>
      </c>
      <c r="U92" s="68">
        <v>0.73799999999999999</v>
      </c>
      <c r="V92" s="68">
        <v>0.754</v>
      </c>
      <c r="W92" s="68">
        <v>0.78</v>
      </c>
      <c r="X92" s="68">
        <v>0.77400000000000002</v>
      </c>
      <c r="Y92" s="68">
        <v>0.77900000000000003</v>
      </c>
      <c r="Z92" s="68">
        <v>0.746</v>
      </c>
      <c r="AA92" s="68">
        <v>0.77600000000000002</v>
      </c>
      <c r="AB92" s="68">
        <v>0.76</v>
      </c>
      <c r="AC92" s="68">
        <v>0.745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7">F31</f>
        <v>10.5</v>
      </c>
      <c r="G93" s="65">
        <f t="shared" si="27"/>
        <v>7.1</v>
      </c>
      <c r="H93" s="65">
        <f t="shared" si="27"/>
        <v>5.5</v>
      </c>
      <c r="I93" s="65">
        <f t="shared" si="27"/>
        <v>4.5</v>
      </c>
      <c r="J93" s="65">
        <f t="shared" si="27"/>
        <v>4</v>
      </c>
      <c r="K93" s="65">
        <f>K31</f>
        <v>4</v>
      </c>
      <c r="L93" s="65">
        <f t="shared" si="27"/>
        <v>5.3</v>
      </c>
      <c r="M93" s="65">
        <f t="shared" si="27"/>
        <v>5.2</v>
      </c>
      <c r="N93" s="65">
        <f t="shared" si="27"/>
        <v>7.3</v>
      </c>
      <c r="O93" s="65">
        <f t="shared" si="27"/>
        <v>10.7</v>
      </c>
      <c r="P93" s="65">
        <f t="shared" si="27"/>
        <v>10.7</v>
      </c>
      <c r="Q93" s="65">
        <f t="shared" si="27"/>
        <v>10.7</v>
      </c>
      <c r="R93" s="65">
        <f t="shared" si="27"/>
        <v>9.5</v>
      </c>
      <c r="S93" s="65">
        <f t="shared" si="27"/>
        <v>9</v>
      </c>
      <c r="T93" s="65">
        <f t="shared" si="27"/>
        <v>9.1999999999999993</v>
      </c>
      <c r="U93" s="65">
        <f t="shared" si="27"/>
        <v>9</v>
      </c>
      <c r="V93" s="65">
        <f t="shared" si="27"/>
        <v>10.8</v>
      </c>
      <c r="W93" s="65">
        <f t="shared" si="27"/>
        <v>9</v>
      </c>
      <c r="X93" s="65">
        <f t="shared" si="27"/>
        <v>9.6999999999999993</v>
      </c>
      <c r="Y93" s="65">
        <f t="shared" si="27"/>
        <v>10.8</v>
      </c>
      <c r="Z93" s="65">
        <f t="shared" si="27"/>
        <v>10.8</v>
      </c>
      <c r="AA93" s="65">
        <f t="shared" si="27"/>
        <v>9.5</v>
      </c>
      <c r="AB93" s="65">
        <f t="shared" si="27"/>
        <v>8.5</v>
      </c>
      <c r="AC93" s="65">
        <f t="shared" si="27"/>
        <v>7.9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0.17</v>
      </c>
      <c r="G94" s="68">
        <v>0.16800000000000001</v>
      </c>
      <c r="H94" s="68">
        <v>8.5999999999999993E-2</v>
      </c>
      <c r="I94" s="68">
        <v>8.7999999999999995E-2</v>
      </c>
      <c r="J94" s="68">
        <v>8.5000000000000006E-2</v>
      </c>
      <c r="K94" s="68">
        <v>8.5999999999999993E-2</v>
      </c>
      <c r="L94" s="68">
        <v>8.5999999999999993E-2</v>
      </c>
      <c r="M94" s="68">
        <v>0.09</v>
      </c>
      <c r="N94" s="68">
        <v>9.7000000000000003E-2</v>
      </c>
      <c r="O94" s="68">
        <v>0.187</v>
      </c>
      <c r="P94" s="68">
        <v>0.193</v>
      </c>
      <c r="Q94" s="68">
        <v>0.19</v>
      </c>
      <c r="R94" s="68">
        <v>0.19700000000000001</v>
      </c>
      <c r="S94" s="68">
        <v>0.17199999999999999</v>
      </c>
      <c r="T94" s="68">
        <v>0.28100000000000003</v>
      </c>
      <c r="U94" s="68">
        <v>0.153</v>
      </c>
      <c r="V94" s="68">
        <v>0.157</v>
      </c>
      <c r="W94" s="68">
        <v>0.17599999999999999</v>
      </c>
      <c r="X94" s="68">
        <v>0.217</v>
      </c>
      <c r="Y94" s="68">
        <v>0.20599999999999999</v>
      </c>
      <c r="Z94" s="68">
        <v>0.20200000000000001</v>
      </c>
      <c r="AA94" s="68">
        <v>0.189</v>
      </c>
      <c r="AB94" s="68">
        <v>0.192</v>
      </c>
      <c r="AC94" s="68">
        <v>0.2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0.216</v>
      </c>
      <c r="G95" s="68">
        <v>0.21099999999999999</v>
      </c>
      <c r="H95" s="68">
        <v>0.217</v>
      </c>
      <c r="I95" s="68">
        <v>0.21199999999999999</v>
      </c>
      <c r="J95" s="68">
        <v>0.20300000000000001</v>
      </c>
      <c r="K95" s="68">
        <v>0.19900000000000001</v>
      </c>
      <c r="L95" s="68">
        <v>0.2</v>
      </c>
      <c r="M95" s="68">
        <v>0.2</v>
      </c>
      <c r="N95" s="68">
        <v>0.2</v>
      </c>
      <c r="O95" s="68">
        <v>0.2</v>
      </c>
      <c r="P95" s="68">
        <v>0.2039</v>
      </c>
      <c r="Q95" s="68">
        <v>0.20499999999999999</v>
      </c>
      <c r="R95" s="68">
        <v>0.20469999999999999</v>
      </c>
      <c r="S95" s="68">
        <v>0.1983</v>
      </c>
      <c r="T95" s="68">
        <v>0.21199999999999999</v>
      </c>
      <c r="U95" s="68">
        <v>0.21890000000000001</v>
      </c>
      <c r="V95" s="68">
        <v>0.21740000000000001</v>
      </c>
      <c r="W95" s="68">
        <v>0.22159999999999999</v>
      </c>
      <c r="X95" s="68">
        <v>0.2329</v>
      </c>
      <c r="Y95" s="68">
        <v>0.1986</v>
      </c>
      <c r="Z95" s="68">
        <v>0.20039999999999999</v>
      </c>
      <c r="AA95" s="68">
        <v>0.20530000000000001</v>
      </c>
      <c r="AB95" s="68">
        <v>0.20669999999999999</v>
      </c>
      <c r="AC95" s="68">
        <v>0.2104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8">F34</f>
        <v>14.28</v>
      </c>
      <c r="G96" s="65">
        <f t="shared" si="28"/>
        <v>14.27</v>
      </c>
      <c r="H96" s="65">
        <f t="shared" si="28"/>
        <v>14.31</v>
      </c>
      <c r="I96" s="65">
        <f t="shared" si="28"/>
        <v>14.26</v>
      </c>
      <c r="J96" s="65">
        <f t="shared" si="28"/>
        <v>14.25</v>
      </c>
      <c r="K96" s="65">
        <f t="shared" si="28"/>
        <v>14.31</v>
      </c>
      <c r="L96" s="65">
        <f t="shared" si="28"/>
        <v>14.27</v>
      </c>
      <c r="M96" s="65">
        <f t="shared" si="28"/>
        <v>14.29</v>
      </c>
      <c r="N96" s="65">
        <f t="shared" si="28"/>
        <v>14.25</v>
      </c>
      <c r="O96" s="65">
        <f t="shared" si="28"/>
        <v>14.27</v>
      </c>
      <c r="P96" s="65">
        <f t="shared" si="28"/>
        <v>14.26</v>
      </c>
      <c r="Q96" s="65">
        <f t="shared" si="28"/>
        <v>14.25</v>
      </c>
      <c r="R96" s="65">
        <f t="shared" si="28"/>
        <v>14.26</v>
      </c>
      <c r="S96" s="65">
        <f t="shared" si="28"/>
        <v>14.23</v>
      </c>
      <c r="T96" s="65">
        <f t="shared" si="28"/>
        <v>14.27</v>
      </c>
      <c r="U96" s="65">
        <f t="shared" si="28"/>
        <v>14.29</v>
      </c>
      <c r="V96" s="65">
        <f t="shared" si="28"/>
        <v>14.23</v>
      </c>
      <c r="W96" s="65">
        <f t="shared" si="28"/>
        <v>14.27</v>
      </c>
      <c r="X96" s="65">
        <f t="shared" si="28"/>
        <v>14.22</v>
      </c>
      <c r="Y96" s="65">
        <f t="shared" si="28"/>
        <v>14.24</v>
      </c>
      <c r="Z96" s="65">
        <f t="shared" si="28"/>
        <v>14.29</v>
      </c>
      <c r="AA96" s="65">
        <f t="shared" si="28"/>
        <v>14.3</v>
      </c>
      <c r="AB96" s="65">
        <f t="shared" si="28"/>
        <v>14.25</v>
      </c>
      <c r="AC96" s="65">
        <f t="shared" si="28"/>
        <v>14.19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0.72</v>
      </c>
      <c r="G97" s="68">
        <v>0.73</v>
      </c>
      <c r="H97" s="68">
        <v>0.69</v>
      </c>
      <c r="I97" s="68">
        <v>0.74</v>
      </c>
      <c r="J97" s="68">
        <v>0.75</v>
      </c>
      <c r="K97" s="68">
        <v>0.69</v>
      </c>
      <c r="L97" s="68">
        <v>0.73</v>
      </c>
      <c r="M97" s="68">
        <v>0.71</v>
      </c>
      <c r="N97" s="68">
        <v>0.75</v>
      </c>
      <c r="O97" s="68">
        <v>0.73</v>
      </c>
      <c r="P97" s="68">
        <v>0.74</v>
      </c>
      <c r="Q97" s="68">
        <v>0.75</v>
      </c>
      <c r="R97" s="68">
        <v>0.74</v>
      </c>
      <c r="S97" s="68">
        <v>0.77</v>
      </c>
      <c r="T97" s="68">
        <v>0.73</v>
      </c>
      <c r="U97" s="68">
        <v>0.71</v>
      </c>
      <c r="V97" s="68">
        <v>0.77</v>
      </c>
      <c r="W97" s="68">
        <v>0.73</v>
      </c>
      <c r="X97" s="68">
        <v>0.78</v>
      </c>
      <c r="Y97" s="68">
        <v>0.76</v>
      </c>
      <c r="Z97" s="68">
        <v>0.71</v>
      </c>
      <c r="AA97" s="68">
        <v>0.7</v>
      </c>
      <c r="AB97" s="68">
        <v>0.75</v>
      </c>
      <c r="AC97" s="68">
        <v>0.81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9">F60</f>
        <v>0</v>
      </c>
      <c r="G98" s="64">
        <f t="shared" si="29"/>
        <v>0</v>
      </c>
      <c r="H98" s="64">
        <f t="shared" si="29"/>
        <v>0</v>
      </c>
      <c r="I98" s="64">
        <f t="shared" si="29"/>
        <v>0</v>
      </c>
      <c r="J98" s="64">
        <f t="shared" si="29"/>
        <v>0</v>
      </c>
      <c r="K98" s="64">
        <f t="shared" si="29"/>
        <v>0</v>
      </c>
      <c r="L98" s="64">
        <f t="shared" si="29"/>
        <v>0</v>
      </c>
      <c r="M98" s="64">
        <f t="shared" si="29"/>
        <v>0</v>
      </c>
      <c r="N98" s="64">
        <f t="shared" si="29"/>
        <v>0</v>
      </c>
      <c r="O98" s="64">
        <f t="shared" si="29"/>
        <v>0</v>
      </c>
      <c r="P98" s="64">
        <f t="shared" si="29"/>
        <v>1.5</v>
      </c>
      <c r="Q98" s="64">
        <f t="shared" si="29"/>
        <v>0</v>
      </c>
      <c r="R98" s="64">
        <f t="shared" si="29"/>
        <v>0</v>
      </c>
      <c r="S98" s="64">
        <f t="shared" si="29"/>
        <v>0</v>
      </c>
      <c r="T98" s="64">
        <f t="shared" si="29"/>
        <v>0</v>
      </c>
      <c r="U98" s="64">
        <f t="shared" si="29"/>
        <v>0</v>
      </c>
      <c r="V98" s="64">
        <f t="shared" si="29"/>
        <v>0</v>
      </c>
      <c r="W98" s="64">
        <f t="shared" si="29"/>
        <v>0</v>
      </c>
      <c r="X98" s="64">
        <f t="shared" si="29"/>
        <v>0</v>
      </c>
      <c r="Y98" s="64">
        <f t="shared" si="29"/>
        <v>1.5</v>
      </c>
      <c r="Z98" s="64">
        <f t="shared" si="29"/>
        <v>0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0">F65</f>
        <v>1</v>
      </c>
      <c r="G99" s="64">
        <f t="shared" si="30"/>
        <v>0.98</v>
      </c>
      <c r="H99" s="64">
        <f t="shared" si="30"/>
        <v>0.93</v>
      </c>
      <c r="I99" s="64">
        <f t="shared" si="30"/>
        <v>0.99</v>
      </c>
      <c r="J99" s="64">
        <f t="shared" si="30"/>
        <v>0.88</v>
      </c>
      <c r="K99" s="64">
        <f t="shared" si="30"/>
        <v>0.89</v>
      </c>
      <c r="L99" s="64">
        <f t="shared" si="30"/>
        <v>0.96</v>
      </c>
      <c r="M99" s="64">
        <f t="shared" si="30"/>
        <v>1</v>
      </c>
      <c r="N99" s="64">
        <f t="shared" si="30"/>
        <v>1</v>
      </c>
      <c r="O99" s="64">
        <f t="shared" si="30"/>
        <v>1.1200000000000001</v>
      </c>
      <c r="P99" s="64">
        <f t="shared" si="30"/>
        <v>1.18</v>
      </c>
      <c r="Q99" s="64">
        <f t="shared" si="30"/>
        <v>1.21</v>
      </c>
      <c r="R99" s="64">
        <f t="shared" si="30"/>
        <v>1.27</v>
      </c>
      <c r="S99" s="64">
        <f t="shared" si="30"/>
        <v>1.28</v>
      </c>
      <c r="T99" s="64">
        <f t="shared" si="30"/>
        <v>1.27</v>
      </c>
      <c r="U99" s="64">
        <f t="shared" si="30"/>
        <v>1.25</v>
      </c>
      <c r="V99" s="64">
        <f t="shared" si="30"/>
        <v>1.28</v>
      </c>
      <c r="W99" s="64">
        <f t="shared" si="30"/>
        <v>1.26</v>
      </c>
      <c r="X99" s="64">
        <f t="shared" si="30"/>
        <v>1.22</v>
      </c>
      <c r="Y99" s="64">
        <f t="shared" si="30"/>
        <v>1.53</v>
      </c>
      <c r="Z99" s="64">
        <f t="shared" si="30"/>
        <v>1.63</v>
      </c>
      <c r="AA99" s="64">
        <f t="shared" si="30"/>
        <v>1.59</v>
      </c>
      <c r="AB99" s="64">
        <f t="shared" si="30"/>
        <v>1.38</v>
      </c>
      <c r="AC99" s="64">
        <f t="shared" si="30"/>
        <v>1.18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1">F76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2">F80</f>
        <v>0.8</v>
      </c>
      <c r="G101" s="64">
        <f t="shared" si="32"/>
        <v>0.78</v>
      </c>
      <c r="H101" s="64">
        <f t="shared" si="32"/>
        <v>0.74</v>
      </c>
      <c r="I101" s="64">
        <f t="shared" si="32"/>
        <v>0.72</v>
      </c>
      <c r="J101" s="64">
        <f t="shared" si="32"/>
        <v>0.7</v>
      </c>
      <c r="K101" s="64">
        <f t="shared" si="32"/>
        <v>0.71</v>
      </c>
      <c r="L101" s="64">
        <f t="shared" si="32"/>
        <v>0.71</v>
      </c>
      <c r="M101" s="64">
        <f t="shared" si="32"/>
        <v>0.7</v>
      </c>
      <c r="N101" s="64">
        <f t="shared" si="32"/>
        <v>0.77</v>
      </c>
      <c r="O101" s="64">
        <f t="shared" si="32"/>
        <v>0.8</v>
      </c>
      <c r="P101" s="64">
        <f t="shared" si="32"/>
        <v>0.84</v>
      </c>
      <c r="Q101" s="64">
        <f t="shared" si="32"/>
        <v>0.86</v>
      </c>
      <c r="R101" s="64">
        <f t="shared" si="32"/>
        <v>0.87</v>
      </c>
      <c r="S101" s="64">
        <f t="shared" si="32"/>
        <v>0.87</v>
      </c>
      <c r="T101" s="64">
        <f t="shared" si="32"/>
        <v>0.86</v>
      </c>
      <c r="U101" s="64">
        <f t="shared" si="32"/>
        <v>0.86</v>
      </c>
      <c r="V101" s="64">
        <f t="shared" si="32"/>
        <v>0.85</v>
      </c>
      <c r="W101" s="64">
        <f t="shared" si="32"/>
        <v>0.85</v>
      </c>
      <c r="X101" s="64">
        <f t="shared" si="32"/>
        <v>0.86</v>
      </c>
      <c r="Y101" s="64">
        <f t="shared" si="32"/>
        <v>0.91</v>
      </c>
      <c r="Z101" s="64">
        <f t="shared" si="32"/>
        <v>1</v>
      </c>
      <c r="AA101" s="64">
        <f t="shared" si="32"/>
        <v>0.97</v>
      </c>
      <c r="AB101" s="64">
        <f t="shared" si="32"/>
        <v>0.94</v>
      </c>
      <c r="AC101" s="64">
        <f t="shared" si="32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3">F82</f>
        <v>0</v>
      </c>
      <c r="G102" s="64">
        <f t="shared" si="33"/>
        <v>0</v>
      </c>
      <c r="H102" s="64">
        <f t="shared" si="33"/>
        <v>0</v>
      </c>
      <c r="I102" s="64">
        <f t="shared" si="33"/>
        <v>0</v>
      </c>
      <c r="J102" s="64">
        <f t="shared" si="33"/>
        <v>0</v>
      </c>
      <c r="K102" s="64">
        <f t="shared" si="33"/>
        <v>0</v>
      </c>
      <c r="L102" s="64">
        <f t="shared" si="33"/>
        <v>0</v>
      </c>
      <c r="M102" s="64">
        <f t="shared" si="33"/>
        <v>0</v>
      </c>
      <c r="N102" s="64">
        <f t="shared" si="33"/>
        <v>0</v>
      </c>
      <c r="O102" s="64">
        <f t="shared" si="33"/>
        <v>0</v>
      </c>
      <c r="P102" s="64">
        <f t="shared" si="33"/>
        <v>0</v>
      </c>
      <c r="Q102" s="64">
        <f t="shared" si="33"/>
        <v>0</v>
      </c>
      <c r="R102" s="64">
        <f t="shared" si="33"/>
        <v>0</v>
      </c>
      <c r="S102" s="64">
        <f t="shared" si="33"/>
        <v>0</v>
      </c>
      <c r="T102" s="64">
        <f t="shared" si="33"/>
        <v>0</v>
      </c>
      <c r="U102" s="64">
        <f t="shared" si="33"/>
        <v>0</v>
      </c>
      <c r="V102" s="64">
        <f t="shared" si="33"/>
        <v>0</v>
      </c>
      <c r="W102" s="64">
        <f t="shared" si="33"/>
        <v>0</v>
      </c>
      <c r="X102" s="64">
        <f t="shared" si="33"/>
        <v>0</v>
      </c>
      <c r="Y102" s="64">
        <f t="shared" si="33"/>
        <v>0</v>
      </c>
      <c r="Z102" s="64">
        <f t="shared" si="33"/>
        <v>0</v>
      </c>
      <c r="AA102" s="64">
        <f t="shared" si="33"/>
        <v>0</v>
      </c>
      <c r="AB102" s="64">
        <f t="shared" si="33"/>
        <v>0</v>
      </c>
      <c r="AC102" s="64">
        <f t="shared" si="33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4">SUM(F89,F91,F93,F96,F98:F102,F81)</f>
        <v>39.379999999999995</v>
      </c>
      <c r="G103" s="61">
        <f t="shared" si="34"/>
        <v>36.130000000000003</v>
      </c>
      <c r="H103" s="61">
        <f t="shared" si="34"/>
        <v>34.68</v>
      </c>
      <c r="I103" s="61">
        <f t="shared" si="34"/>
        <v>33.47</v>
      </c>
      <c r="J103" s="61">
        <f t="shared" si="34"/>
        <v>33.03</v>
      </c>
      <c r="K103" s="61">
        <f t="shared" si="34"/>
        <v>32.910000000000004</v>
      </c>
      <c r="L103" s="61">
        <f t="shared" si="34"/>
        <v>34.64</v>
      </c>
      <c r="M103" s="61">
        <f t="shared" si="34"/>
        <v>34.790000000000006</v>
      </c>
      <c r="N103" s="61">
        <f t="shared" si="34"/>
        <v>36.720000000000006</v>
      </c>
      <c r="O103" s="61">
        <f t="shared" si="34"/>
        <v>42.689999999999991</v>
      </c>
      <c r="P103" s="61">
        <f t="shared" si="34"/>
        <v>45.68</v>
      </c>
      <c r="Q103" s="61">
        <f t="shared" si="34"/>
        <v>46.62</v>
      </c>
      <c r="R103" s="61">
        <f t="shared" si="34"/>
        <v>48.699999999999996</v>
      </c>
      <c r="S103" s="61">
        <f t="shared" si="34"/>
        <v>47.580000000000005</v>
      </c>
      <c r="T103" s="61">
        <f t="shared" si="34"/>
        <v>48.699999999999996</v>
      </c>
      <c r="U103" s="61">
        <f t="shared" si="34"/>
        <v>48.5</v>
      </c>
      <c r="V103" s="61">
        <f t="shared" si="34"/>
        <v>50.46</v>
      </c>
      <c r="W103" s="61">
        <f t="shared" si="34"/>
        <v>48.480000000000004</v>
      </c>
      <c r="X103" s="61">
        <f t="shared" si="34"/>
        <v>49.399999999999991</v>
      </c>
      <c r="Y103" s="61">
        <f t="shared" si="34"/>
        <v>56.58</v>
      </c>
      <c r="Z103" s="61">
        <f t="shared" si="34"/>
        <v>55.02</v>
      </c>
      <c r="AA103" s="61">
        <f t="shared" si="34"/>
        <v>52.16</v>
      </c>
      <c r="AB103" s="61">
        <f t="shared" si="34"/>
        <v>47.47</v>
      </c>
      <c r="AC103" s="61">
        <f t="shared" si="34"/>
        <v>43.569999999999993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>
        <v>0.8</v>
      </c>
      <c r="S106" s="76">
        <v>0.8</v>
      </c>
      <c r="T106" s="76"/>
      <c r="U106" s="76"/>
      <c r="V106" s="76"/>
      <c r="W106" s="76">
        <v>0.21</v>
      </c>
      <c r="X106" s="76"/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5">SUM(F104:F106)</f>
        <v>0</v>
      </c>
      <c r="G107" s="61">
        <f t="shared" si="35"/>
        <v>0</v>
      </c>
      <c r="H107" s="61">
        <f t="shared" si="35"/>
        <v>0</v>
      </c>
      <c r="I107" s="61">
        <f t="shared" si="35"/>
        <v>0</v>
      </c>
      <c r="J107" s="61">
        <f t="shared" si="35"/>
        <v>0</v>
      </c>
      <c r="K107" s="61">
        <f t="shared" si="35"/>
        <v>0</v>
      </c>
      <c r="L107" s="61">
        <f t="shared" si="35"/>
        <v>0</v>
      </c>
      <c r="M107" s="61">
        <f t="shared" si="35"/>
        <v>0</v>
      </c>
      <c r="N107" s="61">
        <f t="shared" si="35"/>
        <v>0</v>
      </c>
      <c r="O107" s="61">
        <f t="shared" si="35"/>
        <v>0</v>
      </c>
      <c r="P107" s="61">
        <f t="shared" si="35"/>
        <v>0</v>
      </c>
      <c r="Q107" s="61">
        <f t="shared" si="35"/>
        <v>0</v>
      </c>
      <c r="R107" s="61">
        <f t="shared" si="35"/>
        <v>0.8</v>
      </c>
      <c r="S107" s="61">
        <f t="shared" si="35"/>
        <v>0.8</v>
      </c>
      <c r="T107" s="61">
        <f t="shared" si="35"/>
        <v>0</v>
      </c>
      <c r="U107" s="61">
        <f t="shared" si="35"/>
        <v>0</v>
      </c>
      <c r="V107" s="61">
        <f t="shared" si="35"/>
        <v>0</v>
      </c>
      <c r="W107" s="61">
        <f t="shared" si="35"/>
        <v>0.21</v>
      </c>
      <c r="X107" s="61">
        <f t="shared" si="35"/>
        <v>0</v>
      </c>
      <c r="Y107" s="61">
        <f t="shared" si="35"/>
        <v>0</v>
      </c>
      <c r="Z107" s="61">
        <f t="shared" si="35"/>
        <v>0</v>
      </c>
      <c r="AA107" s="61">
        <f t="shared" si="35"/>
        <v>0</v>
      </c>
      <c r="AB107" s="61">
        <f t="shared" si="35"/>
        <v>0</v>
      </c>
      <c r="AC107" s="61">
        <f t="shared" si="35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6">F103+F107</f>
        <v>39.379999999999995</v>
      </c>
      <c r="G108" s="62">
        <f t="shared" si="36"/>
        <v>36.130000000000003</v>
      </c>
      <c r="H108" s="62">
        <f t="shared" si="36"/>
        <v>34.68</v>
      </c>
      <c r="I108" s="62">
        <f t="shared" si="36"/>
        <v>33.47</v>
      </c>
      <c r="J108" s="62">
        <f t="shared" si="36"/>
        <v>33.03</v>
      </c>
      <c r="K108" s="62">
        <f t="shared" si="36"/>
        <v>32.910000000000004</v>
      </c>
      <c r="L108" s="62">
        <f t="shared" si="36"/>
        <v>34.64</v>
      </c>
      <c r="M108" s="62">
        <f t="shared" si="36"/>
        <v>34.790000000000006</v>
      </c>
      <c r="N108" s="62">
        <f>N103+N107</f>
        <v>36.720000000000006</v>
      </c>
      <c r="O108" s="62">
        <f t="shared" si="36"/>
        <v>42.689999999999991</v>
      </c>
      <c r="P108" s="62">
        <f>P103+P107</f>
        <v>45.68</v>
      </c>
      <c r="Q108" s="62">
        <f t="shared" si="36"/>
        <v>46.62</v>
      </c>
      <c r="R108" s="62">
        <f t="shared" si="36"/>
        <v>49.499999999999993</v>
      </c>
      <c r="S108" s="62">
        <f t="shared" si="36"/>
        <v>48.38</v>
      </c>
      <c r="T108" s="62">
        <f>T103+T107</f>
        <v>48.699999999999996</v>
      </c>
      <c r="U108" s="62">
        <f t="shared" si="36"/>
        <v>48.5</v>
      </c>
      <c r="V108" s="62">
        <f t="shared" si="36"/>
        <v>50.46</v>
      </c>
      <c r="W108" s="62">
        <f>W103+W107</f>
        <v>48.690000000000005</v>
      </c>
      <c r="X108" s="62">
        <f t="shared" si="36"/>
        <v>49.399999999999991</v>
      </c>
      <c r="Y108" s="62">
        <f t="shared" si="36"/>
        <v>56.58</v>
      </c>
      <c r="Z108" s="62">
        <f t="shared" si="36"/>
        <v>55.02</v>
      </c>
      <c r="AA108" s="62">
        <f t="shared" si="36"/>
        <v>52.16</v>
      </c>
      <c r="AB108" s="62">
        <f t="shared" si="36"/>
        <v>47.47</v>
      </c>
      <c r="AC108" s="62">
        <f t="shared" si="36"/>
        <v>43.569999999999993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7">(COUNT(F13:F16))*7.2+(COUNT(F27:F28)*4.9)+(COUNT(F19:F21)*4.5)-F91-F93</f>
        <v>-4</v>
      </c>
      <c r="G109" s="63">
        <f t="shared" si="37"/>
        <v>-5.6999999999999993</v>
      </c>
      <c r="H109" s="63">
        <f t="shared" si="37"/>
        <v>-4.2999999999999989</v>
      </c>
      <c r="I109" s="63">
        <f t="shared" si="37"/>
        <v>-3.0999999999999996</v>
      </c>
      <c r="J109" s="63">
        <f t="shared" si="37"/>
        <v>-2.7999999999999989</v>
      </c>
      <c r="K109" s="63">
        <f t="shared" si="37"/>
        <v>-2.5999999999999996</v>
      </c>
      <c r="L109" s="63">
        <f t="shared" si="37"/>
        <v>-4.3</v>
      </c>
      <c r="M109" s="63">
        <f t="shared" si="37"/>
        <v>-4.3999999999999995</v>
      </c>
      <c r="N109" s="63">
        <f t="shared" si="37"/>
        <v>-6.3</v>
      </c>
      <c r="O109" s="63">
        <f t="shared" si="37"/>
        <v>-5.1999999999999993</v>
      </c>
      <c r="P109" s="63">
        <f t="shared" si="37"/>
        <v>-9.9999999999997868E-2</v>
      </c>
      <c r="Q109" s="63">
        <f t="shared" si="37"/>
        <v>4.7000000000000011</v>
      </c>
      <c r="R109" s="63">
        <f t="shared" si="37"/>
        <v>-2.7999999999999972</v>
      </c>
      <c r="S109" s="63">
        <f t="shared" si="37"/>
        <v>-1.7000000000000028</v>
      </c>
      <c r="T109" s="63">
        <f t="shared" si="37"/>
        <v>-2.8000000000000007</v>
      </c>
      <c r="U109" s="63">
        <f t="shared" si="37"/>
        <v>-2.6000000000000014</v>
      </c>
      <c r="V109" s="63">
        <f t="shared" si="37"/>
        <v>-3.8000000000000007</v>
      </c>
      <c r="W109" s="63">
        <f t="shared" si="37"/>
        <v>-2.6000000000000014</v>
      </c>
      <c r="X109" s="63">
        <f t="shared" si="37"/>
        <v>-3.5999999999999979</v>
      </c>
      <c r="Y109" s="63">
        <f t="shared" si="37"/>
        <v>-0.19999999999999929</v>
      </c>
      <c r="Z109" s="63">
        <f t="shared" si="37"/>
        <v>9.9999999999997868E-2</v>
      </c>
      <c r="AA109" s="63">
        <f t="shared" si="37"/>
        <v>1.7000000000000028</v>
      </c>
      <c r="AB109" s="63">
        <f t="shared" si="37"/>
        <v>3.1000000000000014</v>
      </c>
      <c r="AC109" s="63">
        <f t="shared" si="37"/>
        <v>-0.79999999999999893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-5.4</v>
      </c>
      <c r="G110" s="205">
        <f t="shared" si="38"/>
        <v>-5.6999999999999993</v>
      </c>
      <c r="H110" s="205">
        <f t="shared" si="38"/>
        <v>-4.2999999999999989</v>
      </c>
      <c r="I110" s="205">
        <f t="shared" si="38"/>
        <v>-3.0999999999999996</v>
      </c>
      <c r="J110" s="205">
        <f t="shared" si="38"/>
        <v>-2.7999999999999989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-2.5999999999999996</v>
      </c>
      <c r="L110" s="205">
        <f t="shared" si="38"/>
        <v>-4.3</v>
      </c>
      <c r="M110" s="205">
        <f t="shared" si="38"/>
        <v>-4.3999999999999995</v>
      </c>
      <c r="N110" s="205">
        <f>(AND(IF(N13&lt;&gt;0,1,0),IF(N13&lt;&gt;"CMS",1,0))*7.2)+(AND(IF(N14&lt;&gt;0,1,0),IF(N14&lt;&gt;"CMS",1,0))*7.2)+(AND(IF(N15&lt;&gt;0,1,0),IF(N15&lt;&gt;"CMS",1,0))*7.2)+(AND(IF(N16&lt;&gt;0,1,0),IF(N16&lt;&gt;"CMS",1,0))*7.2)-N17
+(AND(IF(N27&lt;&gt;0,1,0),IF(N27&lt;&gt;"CMS",1,0))*4.9)+(AND(IF(N28&lt;&gt;0,1,0),IF(N28&lt;&gt;"CMS",1,0))*3.5)-N31
+AND(IF(N24&lt;&gt;0,1,0),IF(N24&lt;&gt;"CMS",1,0))*4.5-N25
+(AND(IF(N19&lt;&gt;0,1,0),IF(N19&lt;&gt;"CMS",1,0))*3.5)+(AND(IF(N20&lt;&gt;0,1,0),IF(N20&lt;&gt;"CMS",1,0))*4.5)+(AND(IF(N21&lt;&gt;0,1,0),IF(N21&lt;&gt;"CMS",1,0))*4.5)-N22</f>
        <v>-6.3</v>
      </c>
      <c r="O110" s="205">
        <f t="shared" si="38"/>
        <v>-2.6999999999999993</v>
      </c>
      <c r="P110" s="205">
        <f t="shared" si="38"/>
        <v>0.40000000000000213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5.2000000000000028</v>
      </c>
      <c r="R110" s="205">
        <f t="shared" ref="R110:AC110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-1.6999999999999957</v>
      </c>
      <c r="S110" s="205">
        <f t="shared" si="39"/>
        <v>-0.60000000000000142</v>
      </c>
      <c r="T110" s="205">
        <f t="shared" si="39"/>
        <v>-1.6999999999999993</v>
      </c>
      <c r="U110" s="205">
        <f t="shared" si="39"/>
        <v>-1.5</v>
      </c>
      <c r="V110" s="205">
        <f t="shared" si="39"/>
        <v>-3.4999999999999991</v>
      </c>
      <c r="W110" s="205">
        <f t="shared" si="39"/>
        <v>-1.5</v>
      </c>
      <c r="X110" s="205">
        <f t="shared" si="39"/>
        <v>-2.4999999999999964</v>
      </c>
      <c r="Y110" s="205">
        <f t="shared" si="39"/>
        <v>-3.2999999999999976</v>
      </c>
      <c r="Z110" s="205">
        <f t="shared" si="39"/>
        <v>-3.0000000000000004</v>
      </c>
      <c r="AA110" s="205">
        <f t="shared" si="39"/>
        <v>-0.19999999999999574</v>
      </c>
      <c r="AB110" s="205">
        <f t="shared" si="39"/>
        <v>-0.29999999999999716</v>
      </c>
      <c r="AC110" s="205">
        <f t="shared" si="39"/>
        <v>-1.1999999999999975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60.23</v>
      </c>
      <c r="G111" s="456">
        <v>60.12</v>
      </c>
      <c r="H111" s="456">
        <v>60.11</v>
      </c>
      <c r="I111" s="456">
        <v>60.09</v>
      </c>
      <c r="J111" s="456">
        <v>60.14</v>
      </c>
      <c r="K111" s="456">
        <v>60.1</v>
      </c>
      <c r="L111" s="456">
        <v>60.1</v>
      </c>
      <c r="M111" s="456">
        <v>60.11</v>
      </c>
      <c r="N111" s="456">
        <v>60.02</v>
      </c>
      <c r="O111" s="456">
        <v>60.05</v>
      </c>
      <c r="P111" s="456">
        <v>60.1</v>
      </c>
      <c r="Q111" s="456">
        <v>60.09</v>
      </c>
      <c r="R111" s="456">
        <v>60.14</v>
      </c>
      <c r="S111" s="456">
        <v>60.23</v>
      </c>
      <c r="T111" s="456">
        <v>60.12</v>
      </c>
      <c r="U111" s="456">
        <v>60.01</v>
      </c>
      <c r="V111" s="456">
        <v>60.04</v>
      </c>
      <c r="W111" s="456">
        <v>60.07</v>
      </c>
      <c r="X111" s="456">
        <v>60.05</v>
      </c>
      <c r="Y111" s="456">
        <v>60.02</v>
      </c>
      <c r="Z111" s="456">
        <v>60.04</v>
      </c>
      <c r="AA111" s="456">
        <v>60.06</v>
      </c>
      <c r="AB111" s="456">
        <v>60.07</v>
      </c>
      <c r="AC111" s="456">
        <v>60.18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101</v>
      </c>
      <c r="G115" s="520" t="s">
        <v>101</v>
      </c>
      <c r="H115" s="520" t="s">
        <v>101</v>
      </c>
      <c r="I115" s="520" t="s">
        <v>101</v>
      </c>
      <c r="J115" s="520" t="s">
        <v>101</v>
      </c>
      <c r="K115" s="520" t="s">
        <v>101</v>
      </c>
      <c r="L115" s="520" t="s">
        <v>101</v>
      </c>
      <c r="M115" s="520" t="s">
        <v>101</v>
      </c>
      <c r="N115" s="520" t="s">
        <v>101</v>
      </c>
      <c r="O115" s="520" t="s">
        <v>101</v>
      </c>
      <c r="P115" s="520" t="s">
        <v>101</v>
      </c>
      <c r="Q115" s="520" t="s">
        <v>101</v>
      </c>
      <c r="R115" s="520" t="s">
        <v>101</v>
      </c>
      <c r="S115" s="520" t="s">
        <v>101</v>
      </c>
      <c r="T115" s="520" t="s">
        <v>100</v>
      </c>
      <c r="U115" s="520" t="s">
        <v>100</v>
      </c>
      <c r="V115" s="520" t="s">
        <v>100</v>
      </c>
      <c r="W115" s="520" t="s">
        <v>101</v>
      </c>
      <c r="X115" s="520" t="s">
        <v>101</v>
      </c>
      <c r="Y115" s="520" t="s">
        <v>101</v>
      </c>
      <c r="Z115" s="520" t="s">
        <v>101</v>
      </c>
      <c r="AA115" s="520" t="s">
        <v>101</v>
      </c>
      <c r="AB115" s="520" t="s">
        <v>101</v>
      </c>
      <c r="AC115" s="520" t="s">
        <v>101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N13:O13 D42:E42 O14:O16 I15:N15 N16 L13:L14 I16:L16 O52:AC55 P49:AC49 H14:K14 M52:M55 N36:AC48 N50:AC51 H36:J59 L36:L59 N56:AC59 H63:J63 P13:AC16 I62:J62 I64:J64 L64 N62:AC64">
    <cfRule type="cellIs" dxfId="2988" priority="432" operator="equal">
      <formula>"PMS"</formula>
    </cfRule>
    <cfRule type="containsText" dxfId="2987" priority="433" operator="containsText" text="CMS">
      <formula>NOT(ISERROR(SEARCH("CMS",D13)))</formula>
    </cfRule>
    <cfRule type="cellIs" dxfId="2986" priority="434" operator="equal">
      <formula>0</formula>
    </cfRule>
    <cfRule type="cellIs" dxfId="2985" priority="435" operator="greaterThan">
      <formula>0</formula>
    </cfRule>
    <cfRule type="cellIs" dxfId="2984" priority="436" operator="equal">
      <formula>"PMS"</formula>
    </cfRule>
    <cfRule type="containsText" dxfId="2983" priority="437" operator="containsText" text="CMS">
      <formula>NOT(ISERROR(SEARCH("CMS",D13)))</formula>
    </cfRule>
    <cfRule type="cellIs" dxfId="2982" priority="438" operator="equal">
      <formula>0</formula>
    </cfRule>
    <cfRule type="cellIs" dxfId="2981" priority="439" operator="greaterThan">
      <formula>0</formula>
    </cfRule>
  </conditionalFormatting>
  <conditionalFormatting sqref="H13:J13 N13:O13 D42:E42 O14:O16 I15:N15 N16 L13:L14 I16:L16 O52:AC55 P49:AC49 H14:K14 M52:M55 N36:AC48 N50:AC51 H36:J59 L36:L59 N56:AC59 H63:J63 P13:AC16 I62:J62 I64:J64 L64 N62:AC64">
    <cfRule type="cellIs" dxfId="2980" priority="428" operator="equal">
      <formula>"PMS"</formula>
    </cfRule>
    <cfRule type="containsText" dxfId="2979" priority="429" operator="containsText" text="CMS">
      <formula>NOT(ISERROR(SEARCH("CMS",D13)))</formula>
    </cfRule>
    <cfRule type="cellIs" dxfId="2978" priority="430" operator="equal">
      <formula>0</formula>
    </cfRule>
    <cfRule type="cellIs" dxfId="2977" priority="431" operator="greaterThan">
      <formula>0</formula>
    </cfRule>
  </conditionalFormatting>
  <conditionalFormatting sqref="G67:AC75">
    <cfRule type="cellIs" dxfId="2976" priority="420" operator="equal">
      <formula>"PMS"</formula>
    </cfRule>
    <cfRule type="containsText" dxfId="2975" priority="421" operator="containsText" text="CMS">
      <formula>NOT(ISERROR(SEARCH("CMS",G67)))</formula>
    </cfRule>
    <cfRule type="cellIs" dxfId="2974" priority="422" operator="equal">
      <formula>0</formula>
    </cfRule>
    <cfRule type="cellIs" dxfId="2973" priority="423" operator="greaterThan">
      <formula>0</formula>
    </cfRule>
    <cfRule type="cellIs" dxfId="2972" priority="424" operator="equal">
      <formula>"PMS"</formula>
    </cfRule>
    <cfRule type="containsText" dxfId="2971" priority="425" operator="containsText" text="CMS">
      <formula>NOT(ISERROR(SEARCH("CMS",G67)))</formula>
    </cfRule>
    <cfRule type="cellIs" dxfId="2970" priority="426" operator="equal">
      <formula>0</formula>
    </cfRule>
    <cfRule type="cellIs" dxfId="2969" priority="427" operator="greaterThan">
      <formula>0</formula>
    </cfRule>
  </conditionalFormatting>
  <conditionalFormatting sqref="G67:AC75">
    <cfRule type="cellIs" dxfId="2968" priority="416" operator="equal">
      <formula>"PMS"</formula>
    </cfRule>
    <cfRule type="containsText" dxfId="2967" priority="417" operator="containsText" text="CMS">
      <formula>NOT(ISERROR(SEARCH("CMS",G67)))</formula>
    </cfRule>
    <cfRule type="cellIs" dxfId="2966" priority="418" operator="equal">
      <formula>0</formula>
    </cfRule>
    <cfRule type="cellIs" dxfId="2965" priority="419" operator="greaterThan">
      <formula>0</formula>
    </cfRule>
  </conditionalFormatting>
  <conditionalFormatting sqref="G82:AC82">
    <cfRule type="cellIs" dxfId="2964" priority="408" operator="equal">
      <formula>"PMS"</formula>
    </cfRule>
    <cfRule type="containsText" dxfId="2963" priority="409" operator="containsText" text="CMS">
      <formula>NOT(ISERROR(SEARCH("CMS",G82)))</formula>
    </cfRule>
    <cfRule type="cellIs" dxfId="2962" priority="410" operator="equal">
      <formula>0</formula>
    </cfRule>
    <cfRule type="cellIs" dxfId="2961" priority="411" operator="greaterThan">
      <formula>0</formula>
    </cfRule>
    <cfRule type="cellIs" dxfId="2960" priority="412" operator="equal">
      <formula>"PMS"</formula>
    </cfRule>
    <cfRule type="containsText" dxfId="2959" priority="413" operator="containsText" text="CMS">
      <formula>NOT(ISERROR(SEARCH("CMS",G82)))</formula>
    </cfRule>
    <cfRule type="cellIs" dxfId="2958" priority="414" operator="equal">
      <formula>0</formula>
    </cfRule>
    <cfRule type="cellIs" dxfId="2957" priority="415" operator="greaterThan">
      <formula>0</formula>
    </cfRule>
  </conditionalFormatting>
  <conditionalFormatting sqref="G82:AC82">
    <cfRule type="cellIs" dxfId="2956" priority="404" operator="equal">
      <formula>"PMS"</formula>
    </cfRule>
    <cfRule type="containsText" dxfId="2955" priority="405" operator="containsText" text="CMS">
      <formula>NOT(ISERROR(SEARCH("CMS",G82)))</formula>
    </cfRule>
    <cfRule type="cellIs" dxfId="2954" priority="406" operator="equal">
      <formula>0</formula>
    </cfRule>
    <cfRule type="cellIs" dxfId="2953" priority="407" operator="greaterThan">
      <formula>0</formula>
    </cfRule>
  </conditionalFormatting>
  <conditionalFormatting sqref="G13">
    <cfRule type="cellIs" dxfId="2952" priority="396" operator="equal">
      <formula>"PMS"</formula>
    </cfRule>
    <cfRule type="containsText" dxfId="2951" priority="397" operator="containsText" text="CMS">
      <formula>NOT(ISERROR(SEARCH("CMS",G13)))</formula>
    </cfRule>
    <cfRule type="cellIs" dxfId="2950" priority="398" operator="equal">
      <formula>0</formula>
    </cfRule>
    <cfRule type="cellIs" dxfId="2949" priority="399" operator="greaterThan">
      <formula>0</formula>
    </cfRule>
    <cfRule type="cellIs" dxfId="2948" priority="400" operator="equal">
      <formula>"PMS"</formula>
    </cfRule>
    <cfRule type="containsText" dxfId="2947" priority="401" operator="containsText" text="CMS">
      <formula>NOT(ISERROR(SEARCH("CMS",G13)))</formula>
    </cfRule>
    <cfRule type="cellIs" dxfId="2946" priority="402" operator="equal">
      <formula>0</formula>
    </cfRule>
    <cfRule type="cellIs" dxfId="2945" priority="403" operator="greaterThan">
      <formula>0</formula>
    </cfRule>
  </conditionalFormatting>
  <conditionalFormatting sqref="G13">
    <cfRule type="cellIs" dxfId="2944" priority="392" operator="equal">
      <formula>"PMS"</formula>
    </cfRule>
    <cfRule type="containsText" dxfId="2943" priority="393" operator="containsText" text="CMS">
      <formula>NOT(ISERROR(SEARCH("CMS",G13)))</formula>
    </cfRule>
    <cfRule type="cellIs" dxfId="2942" priority="394" operator="equal">
      <formula>0</formula>
    </cfRule>
    <cfRule type="cellIs" dxfId="2941" priority="395" operator="greaterThan">
      <formula>0</formula>
    </cfRule>
  </conditionalFormatting>
  <conditionalFormatting sqref="M13">
    <cfRule type="cellIs" dxfId="2940" priority="384" operator="equal">
      <formula>"PMS"</formula>
    </cfRule>
    <cfRule type="containsText" dxfId="2939" priority="385" operator="containsText" text="CMS">
      <formula>NOT(ISERROR(SEARCH("CMS",M13)))</formula>
    </cfRule>
    <cfRule type="cellIs" dxfId="2938" priority="386" operator="equal">
      <formula>0</formula>
    </cfRule>
    <cfRule type="cellIs" dxfId="2937" priority="387" operator="greaterThan">
      <formula>0</formula>
    </cfRule>
    <cfRule type="cellIs" dxfId="2936" priority="388" operator="equal">
      <formula>"PMS"</formula>
    </cfRule>
    <cfRule type="containsText" dxfId="2935" priority="389" operator="containsText" text="CMS">
      <formula>NOT(ISERROR(SEARCH("CMS",M13)))</formula>
    </cfRule>
    <cfRule type="cellIs" dxfId="2934" priority="390" operator="equal">
      <formula>0</formula>
    </cfRule>
    <cfRule type="cellIs" dxfId="2933" priority="391" operator="greaterThan">
      <formula>0</formula>
    </cfRule>
  </conditionalFormatting>
  <conditionalFormatting sqref="M13">
    <cfRule type="cellIs" dxfId="2932" priority="380" operator="equal">
      <formula>"PMS"</formula>
    </cfRule>
    <cfRule type="containsText" dxfId="2931" priority="381" operator="containsText" text="CMS">
      <formula>NOT(ISERROR(SEARCH("CMS",M13)))</formula>
    </cfRule>
    <cfRule type="cellIs" dxfId="2930" priority="382" operator="equal">
      <formula>0</formula>
    </cfRule>
    <cfRule type="cellIs" dxfId="2929" priority="383" operator="greaterThan">
      <formula>0</formula>
    </cfRule>
  </conditionalFormatting>
  <conditionalFormatting sqref="K13">
    <cfRule type="cellIs" dxfId="2928" priority="372" operator="equal">
      <formula>"PMS"</formula>
    </cfRule>
    <cfRule type="containsText" dxfId="2927" priority="373" operator="containsText" text="CMS">
      <formula>NOT(ISERROR(SEARCH("CMS",K13)))</formula>
    </cfRule>
    <cfRule type="cellIs" dxfId="2926" priority="374" operator="equal">
      <formula>0</formula>
    </cfRule>
    <cfRule type="cellIs" dxfId="2925" priority="375" operator="greaterThan">
      <formula>0</formula>
    </cfRule>
    <cfRule type="cellIs" dxfId="2924" priority="376" operator="equal">
      <formula>"PMS"</formula>
    </cfRule>
    <cfRule type="containsText" dxfId="2923" priority="377" operator="containsText" text="CMS">
      <formula>NOT(ISERROR(SEARCH("CMS",K13)))</formula>
    </cfRule>
    <cfRule type="cellIs" dxfId="2922" priority="378" operator="equal">
      <formula>0</formula>
    </cfRule>
    <cfRule type="cellIs" dxfId="2921" priority="379" operator="greaterThan">
      <formula>0</formula>
    </cfRule>
  </conditionalFormatting>
  <conditionalFormatting sqref="K13">
    <cfRule type="cellIs" dxfId="2920" priority="368" operator="equal">
      <formula>"PMS"</formula>
    </cfRule>
    <cfRule type="containsText" dxfId="2919" priority="369" operator="containsText" text="CMS">
      <formula>NOT(ISERROR(SEARCH("CMS",K13)))</formula>
    </cfRule>
    <cfRule type="cellIs" dxfId="2918" priority="370" operator="equal">
      <formula>0</formula>
    </cfRule>
    <cfRule type="cellIs" dxfId="2917" priority="371" operator="greaterThan">
      <formula>0</formula>
    </cfRule>
  </conditionalFormatting>
  <conditionalFormatting sqref="G113:AC113">
    <cfRule type="cellIs" dxfId="2916" priority="367" operator="greaterThan">
      <formula>60.3</formula>
    </cfRule>
  </conditionalFormatting>
  <conditionalFormatting sqref="H112:M112">
    <cfRule type="cellIs" dxfId="2915" priority="366" operator="greaterThan">
      <formula>60.3</formula>
    </cfRule>
  </conditionalFormatting>
  <conditionalFormatting sqref="F112:G112">
    <cfRule type="cellIs" dxfId="2914" priority="365" operator="greaterThan">
      <formula>60.3</formula>
    </cfRule>
  </conditionalFormatting>
  <conditionalFormatting sqref="N112:AC112">
    <cfRule type="cellIs" dxfId="2913" priority="364" operator="greaterThan">
      <formula>60.3</formula>
    </cfRule>
  </conditionalFormatting>
  <conditionalFormatting sqref="G15:G16">
    <cfRule type="cellIs" dxfId="2912" priority="356" operator="equal">
      <formula>"PMS"</formula>
    </cfRule>
    <cfRule type="containsText" dxfId="2911" priority="357" operator="containsText" text="CMS">
      <formula>NOT(ISERROR(SEARCH("CMS",G15)))</formula>
    </cfRule>
    <cfRule type="cellIs" dxfId="2910" priority="358" operator="equal">
      <formula>0</formula>
    </cfRule>
    <cfRule type="cellIs" dxfId="2909" priority="359" operator="greaterThan">
      <formula>0</formula>
    </cfRule>
    <cfRule type="cellIs" dxfId="2908" priority="360" operator="equal">
      <formula>"PMS"</formula>
    </cfRule>
    <cfRule type="containsText" dxfId="2907" priority="361" operator="containsText" text="CMS">
      <formula>NOT(ISERROR(SEARCH("CMS",G15)))</formula>
    </cfRule>
    <cfRule type="cellIs" dxfId="2906" priority="362" operator="equal">
      <formula>0</formula>
    </cfRule>
    <cfRule type="cellIs" dxfId="2905" priority="363" operator="greaterThan">
      <formula>0</formula>
    </cfRule>
  </conditionalFormatting>
  <conditionalFormatting sqref="G15:G16">
    <cfRule type="cellIs" dxfId="2904" priority="352" operator="equal">
      <formula>"PMS"</formula>
    </cfRule>
    <cfRule type="containsText" dxfId="2903" priority="353" operator="containsText" text="CMS">
      <formula>NOT(ISERROR(SEARCH("CMS",G15)))</formula>
    </cfRule>
    <cfRule type="cellIs" dxfId="2902" priority="354" operator="equal">
      <formula>0</formula>
    </cfRule>
    <cfRule type="cellIs" dxfId="2901" priority="355" operator="greaterThan">
      <formula>0</formula>
    </cfRule>
  </conditionalFormatting>
  <conditionalFormatting sqref="G36:G38 G57:G59">
    <cfRule type="cellIs" dxfId="2900" priority="344" operator="equal">
      <formula>"PMS"</formula>
    </cfRule>
    <cfRule type="containsText" dxfId="2899" priority="345" operator="containsText" text="CMS">
      <formula>NOT(ISERROR(SEARCH("CMS",G36)))</formula>
    </cfRule>
    <cfRule type="cellIs" dxfId="2898" priority="346" operator="equal">
      <formula>0</formula>
    </cfRule>
    <cfRule type="cellIs" dxfId="2897" priority="347" operator="greaterThan">
      <formula>0</formula>
    </cfRule>
    <cfRule type="cellIs" dxfId="2896" priority="348" operator="equal">
      <formula>"PMS"</formula>
    </cfRule>
    <cfRule type="containsText" dxfId="2895" priority="349" operator="containsText" text="CMS">
      <formula>NOT(ISERROR(SEARCH("CMS",G36)))</formula>
    </cfRule>
    <cfRule type="cellIs" dxfId="2894" priority="350" operator="equal">
      <formula>0</formula>
    </cfRule>
    <cfRule type="cellIs" dxfId="2893" priority="351" operator="greaterThan">
      <formula>0</formula>
    </cfRule>
  </conditionalFormatting>
  <conditionalFormatting sqref="G36:G38 G57:G59">
    <cfRule type="cellIs" dxfId="2892" priority="340" operator="equal">
      <formula>"PMS"</formula>
    </cfRule>
    <cfRule type="containsText" dxfId="2891" priority="341" operator="containsText" text="CMS">
      <formula>NOT(ISERROR(SEARCH("CMS",G36)))</formula>
    </cfRule>
    <cfRule type="cellIs" dxfId="2890" priority="342" operator="equal">
      <formula>0</formula>
    </cfRule>
    <cfRule type="cellIs" dxfId="2889" priority="343" operator="greaterThan">
      <formula>0</formula>
    </cfRule>
  </conditionalFormatting>
  <conditionalFormatting sqref="M36:M38 M57:M59">
    <cfRule type="cellIs" dxfId="2888" priority="332" operator="equal">
      <formula>"PMS"</formula>
    </cfRule>
    <cfRule type="containsText" dxfId="2887" priority="333" operator="containsText" text="CMS">
      <formula>NOT(ISERROR(SEARCH("CMS",M36)))</formula>
    </cfRule>
    <cfRule type="cellIs" dxfId="2886" priority="334" operator="equal">
      <formula>0</formula>
    </cfRule>
    <cfRule type="cellIs" dxfId="2885" priority="335" operator="greaterThan">
      <formula>0</formula>
    </cfRule>
    <cfRule type="cellIs" dxfId="2884" priority="336" operator="equal">
      <formula>"PMS"</formula>
    </cfRule>
    <cfRule type="containsText" dxfId="2883" priority="337" operator="containsText" text="CMS">
      <formula>NOT(ISERROR(SEARCH("CMS",M36)))</formula>
    </cfRule>
    <cfRule type="cellIs" dxfId="2882" priority="338" operator="equal">
      <formula>0</formula>
    </cfRule>
    <cfRule type="cellIs" dxfId="2881" priority="339" operator="greaterThan">
      <formula>0</formula>
    </cfRule>
  </conditionalFormatting>
  <conditionalFormatting sqref="M36:M38 M57:M59">
    <cfRule type="cellIs" dxfId="2880" priority="328" operator="equal">
      <formula>"PMS"</formula>
    </cfRule>
    <cfRule type="containsText" dxfId="2879" priority="329" operator="containsText" text="CMS">
      <formula>NOT(ISERROR(SEARCH("CMS",M36)))</formula>
    </cfRule>
    <cfRule type="cellIs" dxfId="2878" priority="330" operator="equal">
      <formula>0</formula>
    </cfRule>
    <cfRule type="cellIs" dxfId="2877" priority="331" operator="greaterThan">
      <formula>0</formula>
    </cfRule>
  </conditionalFormatting>
  <conditionalFormatting sqref="K36:K38 K57:K59">
    <cfRule type="cellIs" dxfId="2876" priority="320" operator="equal">
      <formula>"PMS"</formula>
    </cfRule>
    <cfRule type="containsText" dxfId="2875" priority="321" operator="containsText" text="CMS">
      <formula>NOT(ISERROR(SEARCH("CMS",K36)))</formula>
    </cfRule>
    <cfRule type="cellIs" dxfId="2874" priority="322" operator="equal">
      <formula>0</formula>
    </cfRule>
    <cfRule type="cellIs" dxfId="2873" priority="323" operator="greaterThan">
      <formula>0</formula>
    </cfRule>
    <cfRule type="cellIs" dxfId="2872" priority="324" operator="equal">
      <formula>"PMS"</formula>
    </cfRule>
    <cfRule type="containsText" dxfId="2871" priority="325" operator="containsText" text="CMS">
      <formula>NOT(ISERROR(SEARCH("CMS",K36)))</formula>
    </cfRule>
    <cfRule type="cellIs" dxfId="2870" priority="326" operator="equal">
      <formula>0</formula>
    </cfRule>
    <cfRule type="cellIs" dxfId="2869" priority="327" operator="greaterThan">
      <formula>0</formula>
    </cfRule>
  </conditionalFormatting>
  <conditionalFormatting sqref="K36:K38 K57:K59">
    <cfRule type="cellIs" dxfId="2868" priority="316" operator="equal">
      <formula>"PMS"</formula>
    </cfRule>
    <cfRule type="containsText" dxfId="2867" priority="317" operator="containsText" text="CMS">
      <formula>NOT(ISERROR(SEARCH("CMS",K36)))</formula>
    </cfRule>
    <cfRule type="cellIs" dxfId="2866" priority="318" operator="equal">
      <formula>0</formula>
    </cfRule>
    <cfRule type="cellIs" dxfId="2865" priority="319" operator="greaterThan">
      <formula>0</formula>
    </cfRule>
  </conditionalFormatting>
  <conditionalFormatting sqref="G49">
    <cfRule type="cellIs" dxfId="2864" priority="308" operator="equal">
      <formula>"PMS"</formula>
    </cfRule>
    <cfRule type="containsText" dxfId="2863" priority="309" operator="containsText" text="CMS">
      <formula>NOT(ISERROR(SEARCH("CMS",G49)))</formula>
    </cfRule>
    <cfRule type="cellIs" dxfId="2862" priority="310" operator="equal">
      <formula>0</formula>
    </cfRule>
    <cfRule type="cellIs" dxfId="2861" priority="311" operator="greaterThan">
      <formula>0</formula>
    </cfRule>
    <cfRule type="cellIs" dxfId="2860" priority="312" operator="equal">
      <formula>"PMS"</formula>
    </cfRule>
    <cfRule type="containsText" dxfId="2859" priority="313" operator="containsText" text="CMS">
      <formula>NOT(ISERROR(SEARCH("CMS",G49)))</formula>
    </cfRule>
    <cfRule type="cellIs" dxfId="2858" priority="314" operator="equal">
      <formula>0</formula>
    </cfRule>
    <cfRule type="cellIs" dxfId="2857" priority="315" operator="greaterThan">
      <formula>0</formula>
    </cfRule>
  </conditionalFormatting>
  <conditionalFormatting sqref="G49">
    <cfRule type="cellIs" dxfId="2856" priority="304" operator="equal">
      <formula>"PMS"</formula>
    </cfRule>
    <cfRule type="containsText" dxfId="2855" priority="305" operator="containsText" text="CMS">
      <formula>NOT(ISERROR(SEARCH("CMS",G49)))</formula>
    </cfRule>
    <cfRule type="cellIs" dxfId="2854" priority="306" operator="equal">
      <formula>0</formula>
    </cfRule>
    <cfRule type="cellIs" dxfId="2853" priority="307" operator="greaterThan">
      <formula>0</formula>
    </cfRule>
  </conditionalFormatting>
  <conditionalFormatting sqref="M49:N49">
    <cfRule type="cellIs" dxfId="2852" priority="296" operator="equal">
      <formula>"PMS"</formula>
    </cfRule>
    <cfRule type="containsText" dxfId="2851" priority="297" operator="containsText" text="CMS">
      <formula>NOT(ISERROR(SEARCH("CMS",M49)))</formula>
    </cfRule>
    <cfRule type="cellIs" dxfId="2850" priority="298" operator="equal">
      <formula>0</formula>
    </cfRule>
    <cfRule type="cellIs" dxfId="2849" priority="299" operator="greaterThan">
      <formula>0</formula>
    </cfRule>
    <cfRule type="cellIs" dxfId="2848" priority="300" operator="equal">
      <formula>"PMS"</formula>
    </cfRule>
    <cfRule type="containsText" dxfId="2847" priority="301" operator="containsText" text="CMS">
      <formula>NOT(ISERROR(SEARCH("CMS",M49)))</formula>
    </cfRule>
    <cfRule type="cellIs" dxfId="2846" priority="302" operator="equal">
      <formula>0</formula>
    </cfRule>
    <cfRule type="cellIs" dxfId="2845" priority="303" operator="greaterThan">
      <formula>0</formula>
    </cfRule>
  </conditionalFormatting>
  <conditionalFormatting sqref="M49:N49">
    <cfRule type="cellIs" dxfId="2844" priority="292" operator="equal">
      <formula>"PMS"</formula>
    </cfRule>
    <cfRule type="containsText" dxfId="2843" priority="293" operator="containsText" text="CMS">
      <formula>NOT(ISERROR(SEARCH("CMS",M49)))</formula>
    </cfRule>
    <cfRule type="cellIs" dxfId="2842" priority="294" operator="equal">
      <formula>0</formula>
    </cfRule>
    <cfRule type="cellIs" dxfId="2841" priority="295" operator="greaterThan">
      <formula>0</formula>
    </cfRule>
  </conditionalFormatting>
  <conditionalFormatting sqref="K49">
    <cfRule type="cellIs" dxfId="2840" priority="284" operator="equal">
      <formula>"PMS"</formula>
    </cfRule>
    <cfRule type="containsText" dxfId="2839" priority="285" operator="containsText" text="CMS">
      <formula>NOT(ISERROR(SEARCH("CMS",K49)))</formula>
    </cfRule>
    <cfRule type="cellIs" dxfId="2838" priority="286" operator="equal">
      <formula>0</formula>
    </cfRule>
    <cfRule type="cellIs" dxfId="2837" priority="287" operator="greaterThan">
      <formula>0</formula>
    </cfRule>
    <cfRule type="cellIs" dxfId="2836" priority="288" operator="equal">
      <formula>"PMS"</formula>
    </cfRule>
    <cfRule type="containsText" dxfId="2835" priority="289" operator="containsText" text="CMS">
      <formula>NOT(ISERROR(SEARCH("CMS",K49)))</formula>
    </cfRule>
    <cfRule type="cellIs" dxfId="2834" priority="290" operator="equal">
      <formula>0</formula>
    </cfRule>
    <cfRule type="cellIs" dxfId="2833" priority="291" operator="greaterThan">
      <formula>0</formula>
    </cfRule>
  </conditionalFormatting>
  <conditionalFormatting sqref="K49">
    <cfRule type="cellIs" dxfId="2832" priority="280" operator="equal">
      <formula>"PMS"</formula>
    </cfRule>
    <cfRule type="containsText" dxfId="2831" priority="281" operator="containsText" text="CMS">
      <formula>NOT(ISERROR(SEARCH("CMS",K49)))</formula>
    </cfRule>
    <cfRule type="cellIs" dxfId="2830" priority="282" operator="equal">
      <formula>0</formula>
    </cfRule>
    <cfRule type="cellIs" dxfId="2829" priority="283" operator="greaterThan">
      <formula>0</formula>
    </cfRule>
  </conditionalFormatting>
  <conditionalFormatting sqref="G41 G52:G55 G43 G45:G46">
    <cfRule type="cellIs" dxfId="2828" priority="272" operator="equal">
      <formula>"PMS"</formula>
    </cfRule>
    <cfRule type="containsText" dxfId="2827" priority="273" operator="containsText" text="CMS">
      <formula>NOT(ISERROR(SEARCH("CMS",G41)))</formula>
    </cfRule>
    <cfRule type="cellIs" dxfId="2826" priority="274" operator="equal">
      <formula>0</formula>
    </cfRule>
    <cfRule type="cellIs" dxfId="2825" priority="275" operator="greaterThan">
      <formula>0</formula>
    </cfRule>
    <cfRule type="cellIs" dxfId="2824" priority="276" operator="equal">
      <formula>"PMS"</formula>
    </cfRule>
    <cfRule type="containsText" dxfId="2823" priority="277" operator="containsText" text="CMS">
      <formula>NOT(ISERROR(SEARCH("CMS",G41)))</formula>
    </cfRule>
    <cfRule type="cellIs" dxfId="2822" priority="278" operator="equal">
      <formula>0</formula>
    </cfRule>
    <cfRule type="cellIs" dxfId="2821" priority="279" operator="greaterThan">
      <formula>0</formula>
    </cfRule>
  </conditionalFormatting>
  <conditionalFormatting sqref="G41 G52:G55 G43 G45:G46">
    <cfRule type="cellIs" dxfId="2820" priority="268" operator="equal">
      <formula>"PMS"</formula>
    </cfRule>
    <cfRule type="containsText" dxfId="2819" priority="269" operator="containsText" text="CMS">
      <formula>NOT(ISERROR(SEARCH("CMS",G41)))</formula>
    </cfRule>
    <cfRule type="cellIs" dxfId="2818" priority="270" operator="equal">
      <formula>0</formula>
    </cfRule>
    <cfRule type="cellIs" dxfId="2817" priority="271" operator="greaterThan">
      <formula>0</formula>
    </cfRule>
  </conditionalFormatting>
  <conditionalFormatting sqref="M41 N52:N55 M43 M45:M46">
    <cfRule type="cellIs" dxfId="2816" priority="260" operator="equal">
      <formula>"PMS"</formula>
    </cfRule>
    <cfRule type="containsText" dxfId="2815" priority="261" operator="containsText" text="CMS">
      <formula>NOT(ISERROR(SEARCH("CMS",M41)))</formula>
    </cfRule>
    <cfRule type="cellIs" dxfId="2814" priority="262" operator="equal">
      <formula>0</formula>
    </cfRule>
    <cfRule type="cellIs" dxfId="2813" priority="263" operator="greaterThan">
      <formula>0</formula>
    </cfRule>
    <cfRule type="cellIs" dxfId="2812" priority="264" operator="equal">
      <formula>"PMS"</formula>
    </cfRule>
    <cfRule type="containsText" dxfId="2811" priority="265" operator="containsText" text="CMS">
      <formula>NOT(ISERROR(SEARCH("CMS",M41)))</formula>
    </cfRule>
    <cfRule type="cellIs" dxfId="2810" priority="266" operator="equal">
      <formula>0</formula>
    </cfRule>
    <cfRule type="cellIs" dxfId="2809" priority="267" operator="greaterThan">
      <formula>0</formula>
    </cfRule>
  </conditionalFormatting>
  <conditionalFormatting sqref="M41 N52:N55 M43 M45:M46">
    <cfRule type="cellIs" dxfId="2808" priority="256" operator="equal">
      <formula>"PMS"</formula>
    </cfRule>
    <cfRule type="containsText" dxfId="2807" priority="257" operator="containsText" text="CMS">
      <formula>NOT(ISERROR(SEARCH("CMS",M41)))</formula>
    </cfRule>
    <cfRule type="cellIs" dxfId="2806" priority="258" operator="equal">
      <formula>0</formula>
    </cfRule>
    <cfRule type="cellIs" dxfId="2805" priority="259" operator="greaterThan">
      <formula>0</formula>
    </cfRule>
  </conditionalFormatting>
  <conditionalFormatting sqref="K52:K55 K41 K43 K45:K46">
    <cfRule type="cellIs" dxfId="2804" priority="248" operator="equal">
      <formula>"PMS"</formula>
    </cfRule>
    <cfRule type="containsText" dxfId="2803" priority="249" operator="containsText" text="CMS">
      <formula>NOT(ISERROR(SEARCH("CMS",K41)))</formula>
    </cfRule>
    <cfRule type="cellIs" dxfId="2802" priority="250" operator="equal">
      <formula>0</formula>
    </cfRule>
    <cfRule type="cellIs" dxfId="2801" priority="251" operator="greaterThan">
      <formula>0</formula>
    </cfRule>
    <cfRule type="cellIs" dxfId="2800" priority="252" operator="equal">
      <formula>"PMS"</formula>
    </cfRule>
    <cfRule type="containsText" dxfId="2799" priority="253" operator="containsText" text="CMS">
      <formula>NOT(ISERROR(SEARCH("CMS",K41)))</formula>
    </cfRule>
    <cfRule type="cellIs" dxfId="2798" priority="254" operator="equal">
      <formula>0</formula>
    </cfRule>
    <cfRule type="cellIs" dxfId="2797" priority="255" operator="greaterThan">
      <formula>0</formula>
    </cfRule>
  </conditionalFormatting>
  <conditionalFormatting sqref="K52:K55 K41 K43 K45:K46">
    <cfRule type="cellIs" dxfId="2796" priority="244" operator="equal">
      <formula>"PMS"</formula>
    </cfRule>
    <cfRule type="containsText" dxfId="2795" priority="245" operator="containsText" text="CMS">
      <formula>NOT(ISERROR(SEARCH("CMS",K41)))</formula>
    </cfRule>
    <cfRule type="cellIs" dxfId="2794" priority="246" operator="equal">
      <formula>0</formula>
    </cfRule>
    <cfRule type="cellIs" dxfId="2793" priority="247" operator="greaterThan">
      <formula>0</formula>
    </cfRule>
  </conditionalFormatting>
  <conditionalFormatting sqref="O49">
    <cfRule type="cellIs" dxfId="2792" priority="236" operator="equal">
      <formula>"PMS"</formula>
    </cfRule>
    <cfRule type="containsText" dxfId="2791" priority="237" operator="containsText" text="CMS">
      <formula>NOT(ISERROR(SEARCH("CMS",O49)))</formula>
    </cfRule>
    <cfRule type="cellIs" dxfId="2790" priority="238" operator="equal">
      <formula>0</formula>
    </cfRule>
    <cfRule type="cellIs" dxfId="2789" priority="239" operator="greaterThan">
      <formula>0</formula>
    </cfRule>
    <cfRule type="cellIs" dxfId="2788" priority="240" operator="equal">
      <formula>"PMS"</formula>
    </cfRule>
    <cfRule type="containsText" dxfId="2787" priority="241" operator="containsText" text="CMS">
      <formula>NOT(ISERROR(SEARCH("CMS",O49)))</formula>
    </cfRule>
    <cfRule type="cellIs" dxfId="2786" priority="242" operator="equal">
      <formula>0</formula>
    </cfRule>
    <cfRule type="cellIs" dxfId="2785" priority="243" operator="greaterThan">
      <formula>0</formula>
    </cfRule>
  </conditionalFormatting>
  <conditionalFormatting sqref="O49">
    <cfRule type="cellIs" dxfId="2784" priority="232" operator="equal">
      <formula>"PMS"</formula>
    </cfRule>
    <cfRule type="containsText" dxfId="2783" priority="233" operator="containsText" text="CMS">
      <formula>NOT(ISERROR(SEARCH("CMS",O49)))</formula>
    </cfRule>
    <cfRule type="cellIs" dxfId="2782" priority="234" operator="equal">
      <formula>0</formula>
    </cfRule>
    <cfRule type="cellIs" dxfId="2781" priority="235" operator="greaterThan">
      <formula>0</formula>
    </cfRule>
  </conditionalFormatting>
  <conditionalFormatting sqref="H15:H16">
    <cfRule type="cellIs" dxfId="2780" priority="224" operator="equal">
      <formula>"PMS"</formula>
    </cfRule>
    <cfRule type="containsText" dxfId="2779" priority="225" operator="containsText" text="CMS">
      <formula>NOT(ISERROR(SEARCH("CMS",H15)))</formula>
    </cfRule>
    <cfRule type="cellIs" dxfId="2778" priority="226" operator="equal">
      <formula>0</formula>
    </cfRule>
    <cfRule type="cellIs" dxfId="2777" priority="227" operator="greaterThan">
      <formula>0</formula>
    </cfRule>
    <cfRule type="cellIs" dxfId="2776" priority="228" operator="equal">
      <formula>"PMS"</formula>
    </cfRule>
    <cfRule type="containsText" dxfId="2775" priority="229" operator="containsText" text="CMS">
      <formula>NOT(ISERROR(SEARCH("CMS",H15)))</formula>
    </cfRule>
    <cfRule type="cellIs" dxfId="2774" priority="230" operator="equal">
      <formula>0</formula>
    </cfRule>
    <cfRule type="cellIs" dxfId="2773" priority="231" operator="greaterThan">
      <formula>0</formula>
    </cfRule>
  </conditionalFormatting>
  <conditionalFormatting sqref="H15:H16">
    <cfRule type="cellIs" dxfId="2772" priority="220" operator="equal">
      <formula>"PMS"</formula>
    </cfRule>
    <cfRule type="containsText" dxfId="2771" priority="221" operator="containsText" text="CMS">
      <formula>NOT(ISERROR(SEARCH("CMS",H15)))</formula>
    </cfRule>
    <cfRule type="cellIs" dxfId="2770" priority="222" operator="equal">
      <formula>0</formula>
    </cfRule>
    <cfRule type="cellIs" dxfId="2769" priority="223" operator="greaterThan">
      <formula>0</formula>
    </cfRule>
  </conditionalFormatting>
  <conditionalFormatting sqref="G14">
    <cfRule type="cellIs" dxfId="2768" priority="212" operator="equal">
      <formula>"PMS"</formula>
    </cfRule>
    <cfRule type="containsText" dxfId="2767" priority="213" operator="containsText" text="CMS">
      <formula>NOT(ISERROR(SEARCH("CMS",G14)))</formula>
    </cfRule>
    <cfRule type="cellIs" dxfId="2766" priority="214" operator="equal">
      <formula>0</formula>
    </cfRule>
    <cfRule type="cellIs" dxfId="2765" priority="215" operator="greaterThan">
      <formula>0</formula>
    </cfRule>
    <cfRule type="cellIs" dxfId="2764" priority="216" operator="equal">
      <formula>"PMS"</formula>
    </cfRule>
    <cfRule type="containsText" dxfId="2763" priority="217" operator="containsText" text="CMS">
      <formula>NOT(ISERROR(SEARCH("CMS",G14)))</formula>
    </cfRule>
    <cfRule type="cellIs" dxfId="2762" priority="218" operator="equal">
      <formula>0</formula>
    </cfRule>
    <cfRule type="cellIs" dxfId="2761" priority="219" operator="greaterThan">
      <formula>0</formula>
    </cfRule>
  </conditionalFormatting>
  <conditionalFormatting sqref="G14">
    <cfRule type="cellIs" dxfId="2760" priority="208" operator="equal">
      <formula>"PMS"</formula>
    </cfRule>
    <cfRule type="containsText" dxfId="2759" priority="209" operator="containsText" text="CMS">
      <formula>NOT(ISERROR(SEARCH("CMS",G14)))</formula>
    </cfRule>
    <cfRule type="cellIs" dxfId="2758" priority="210" operator="equal">
      <formula>0</formula>
    </cfRule>
    <cfRule type="cellIs" dxfId="2757" priority="211" operator="greaterThan">
      <formula>0</formula>
    </cfRule>
  </conditionalFormatting>
  <conditionalFormatting sqref="M16">
    <cfRule type="cellIs" dxfId="2756" priority="200" operator="equal">
      <formula>"PMS"</formula>
    </cfRule>
    <cfRule type="containsText" dxfId="2755" priority="201" operator="containsText" text="CMS">
      <formula>NOT(ISERROR(SEARCH("CMS",M16)))</formula>
    </cfRule>
    <cfRule type="cellIs" dxfId="2754" priority="202" operator="equal">
      <formula>0</formula>
    </cfRule>
    <cfRule type="cellIs" dxfId="2753" priority="203" operator="greaterThan">
      <formula>0</formula>
    </cfRule>
    <cfRule type="cellIs" dxfId="2752" priority="204" operator="equal">
      <formula>"PMS"</formula>
    </cfRule>
    <cfRule type="containsText" dxfId="2751" priority="205" operator="containsText" text="CMS">
      <formula>NOT(ISERROR(SEARCH("CMS",M16)))</formula>
    </cfRule>
    <cfRule type="cellIs" dxfId="2750" priority="206" operator="equal">
      <formula>0</formula>
    </cfRule>
    <cfRule type="cellIs" dxfId="2749" priority="207" operator="greaterThan">
      <formula>0</formula>
    </cfRule>
  </conditionalFormatting>
  <conditionalFormatting sqref="M16">
    <cfRule type="cellIs" dxfId="2748" priority="196" operator="equal">
      <formula>"PMS"</formula>
    </cfRule>
    <cfRule type="containsText" dxfId="2747" priority="197" operator="containsText" text="CMS">
      <formula>NOT(ISERROR(SEARCH("CMS",M16)))</formula>
    </cfRule>
    <cfRule type="cellIs" dxfId="2746" priority="198" operator="equal">
      <formula>0</formula>
    </cfRule>
    <cfRule type="cellIs" dxfId="2745" priority="199" operator="greaterThan">
      <formula>0</formula>
    </cfRule>
  </conditionalFormatting>
  <conditionalFormatting sqref="N14">
    <cfRule type="cellIs" dxfId="2744" priority="188" operator="equal">
      <formula>"PMS"</formula>
    </cfRule>
    <cfRule type="containsText" dxfId="2743" priority="189" operator="containsText" text="CMS">
      <formula>NOT(ISERROR(SEARCH("CMS",N14)))</formula>
    </cfRule>
    <cfRule type="cellIs" dxfId="2742" priority="190" operator="equal">
      <formula>0</formula>
    </cfRule>
    <cfRule type="cellIs" dxfId="2741" priority="191" operator="greaterThan">
      <formula>0</formula>
    </cfRule>
    <cfRule type="cellIs" dxfId="2740" priority="192" operator="equal">
      <formula>"PMS"</formula>
    </cfRule>
    <cfRule type="containsText" dxfId="2739" priority="193" operator="containsText" text="CMS">
      <formula>NOT(ISERROR(SEARCH("CMS",N14)))</formula>
    </cfRule>
    <cfRule type="cellIs" dxfId="2738" priority="194" operator="equal">
      <formula>0</formula>
    </cfRule>
    <cfRule type="cellIs" dxfId="2737" priority="195" operator="greaterThan">
      <formula>0</formula>
    </cfRule>
  </conditionalFormatting>
  <conditionalFormatting sqref="N14">
    <cfRule type="cellIs" dxfId="2736" priority="184" operator="equal">
      <formula>"PMS"</formula>
    </cfRule>
    <cfRule type="containsText" dxfId="2735" priority="185" operator="containsText" text="CMS">
      <formula>NOT(ISERROR(SEARCH("CMS",N14)))</formula>
    </cfRule>
    <cfRule type="cellIs" dxfId="2734" priority="186" operator="equal">
      <formula>0</formula>
    </cfRule>
    <cfRule type="cellIs" dxfId="2733" priority="187" operator="greaterThan">
      <formula>0</formula>
    </cfRule>
  </conditionalFormatting>
  <conditionalFormatting sqref="M14">
    <cfRule type="cellIs" dxfId="2732" priority="176" operator="equal">
      <formula>"PMS"</formula>
    </cfRule>
    <cfRule type="containsText" dxfId="2731" priority="177" operator="containsText" text="CMS">
      <formula>NOT(ISERROR(SEARCH("CMS",M14)))</formula>
    </cfRule>
    <cfRule type="cellIs" dxfId="2730" priority="178" operator="equal">
      <formula>0</formula>
    </cfRule>
    <cfRule type="cellIs" dxfId="2729" priority="179" operator="greaterThan">
      <formula>0</formula>
    </cfRule>
    <cfRule type="cellIs" dxfId="2728" priority="180" operator="equal">
      <formula>"PMS"</formula>
    </cfRule>
    <cfRule type="containsText" dxfId="2727" priority="181" operator="containsText" text="CMS">
      <formula>NOT(ISERROR(SEARCH("CMS",M14)))</formula>
    </cfRule>
    <cfRule type="cellIs" dxfId="2726" priority="182" operator="equal">
      <formula>0</formula>
    </cfRule>
    <cfRule type="cellIs" dxfId="2725" priority="183" operator="greaterThan">
      <formula>0</formula>
    </cfRule>
  </conditionalFormatting>
  <conditionalFormatting sqref="M14">
    <cfRule type="cellIs" dxfId="2724" priority="172" operator="equal">
      <formula>"PMS"</formula>
    </cfRule>
    <cfRule type="containsText" dxfId="2723" priority="173" operator="containsText" text="CMS">
      <formula>NOT(ISERROR(SEARCH("CMS",M14)))</formula>
    </cfRule>
    <cfRule type="cellIs" dxfId="2722" priority="174" operator="equal">
      <formula>0</formula>
    </cfRule>
    <cfRule type="cellIs" dxfId="2721" priority="175" operator="greaterThan">
      <formula>0</formula>
    </cfRule>
  </conditionalFormatting>
  <conditionalFormatting sqref="H111:M111">
    <cfRule type="cellIs" dxfId="2720" priority="171" operator="greaterThan">
      <formula>60.3</formula>
    </cfRule>
  </conditionalFormatting>
  <conditionalFormatting sqref="F111:G111">
    <cfRule type="cellIs" dxfId="2719" priority="170" operator="greaterThan">
      <formula>60.3</formula>
    </cfRule>
  </conditionalFormatting>
  <conditionalFormatting sqref="N111:AC111">
    <cfRule type="cellIs" dxfId="2718" priority="169" operator="greaterThan">
      <formula>60.3</formula>
    </cfRule>
  </conditionalFormatting>
  <conditionalFormatting sqref="H78:J78 L78:L79 H33:I33 N33:AC33 H27:J30 L27:L29 H24:J24 L24 N24:AC24 H19:J21 N19:AC21 L19:L21 N78:Q78 S78:AC78 I79:J79 N79:AC79 N27:AC30">
    <cfRule type="cellIs" dxfId="2717" priority="161" operator="equal">
      <formula>"PMS"</formula>
    </cfRule>
    <cfRule type="containsText" dxfId="2716" priority="162" operator="containsText" text="CMS">
      <formula>NOT(ISERROR(SEARCH("CMS",H19)))</formula>
    </cfRule>
    <cfRule type="cellIs" dxfId="2715" priority="163" operator="equal">
      <formula>0</formula>
    </cfRule>
    <cfRule type="cellIs" dxfId="2714" priority="164" operator="greaterThan">
      <formula>0</formula>
    </cfRule>
    <cfRule type="cellIs" dxfId="2713" priority="165" operator="equal">
      <formula>"PMS"</formula>
    </cfRule>
    <cfRule type="containsText" dxfId="2712" priority="166" operator="containsText" text="CMS">
      <formula>NOT(ISERROR(SEARCH("CMS",H19)))</formula>
    </cfRule>
    <cfRule type="cellIs" dxfId="2711" priority="167" operator="equal">
      <formula>0</formula>
    </cfRule>
    <cfRule type="cellIs" dxfId="2710" priority="168" operator="greaterThan">
      <formula>0</formula>
    </cfRule>
  </conditionalFormatting>
  <conditionalFormatting sqref="H78:J78 L78:L79 H33:I33 N33:AC33 H27:J30 L27:L29 H24:J24 L24 N24:AC24 H19:J21 N19:AC21 L19:L21 N78:Q78 S78:AC78 I79:J79 N79:AC79 N27:AC30">
    <cfRule type="cellIs" dxfId="2709" priority="157" operator="equal">
      <formula>"PMS"</formula>
    </cfRule>
    <cfRule type="containsText" dxfId="2708" priority="158" operator="containsText" text="CMS">
      <formula>NOT(ISERROR(SEARCH("CMS",H19)))</formula>
    </cfRule>
    <cfRule type="cellIs" dxfId="2707" priority="159" operator="equal">
      <formula>0</formula>
    </cfRule>
    <cfRule type="cellIs" dxfId="2706" priority="160" operator="greaterThan">
      <formula>0</formula>
    </cfRule>
  </conditionalFormatting>
  <conditionalFormatting sqref="G78:G79 G62:G64 G56 G50:G51 G47:G48 G44 G42 G39:G40 G33 G27:G30 G24 G19:G21">
    <cfRule type="cellIs" dxfId="2705" priority="149" operator="equal">
      <formula>"PMS"</formula>
    </cfRule>
    <cfRule type="containsText" dxfId="2704" priority="150" operator="containsText" text="CMS">
      <formula>NOT(ISERROR(SEARCH("CMS",G19)))</formula>
    </cfRule>
    <cfRule type="cellIs" dxfId="2703" priority="151" operator="equal">
      <formula>0</formula>
    </cfRule>
    <cfRule type="cellIs" dxfId="2702" priority="152" operator="greaterThan">
      <formula>0</formula>
    </cfRule>
    <cfRule type="cellIs" dxfId="2701" priority="153" operator="equal">
      <formula>"PMS"</formula>
    </cfRule>
    <cfRule type="containsText" dxfId="2700" priority="154" operator="containsText" text="CMS">
      <formula>NOT(ISERROR(SEARCH("CMS",G19)))</formula>
    </cfRule>
    <cfRule type="cellIs" dxfId="2699" priority="155" operator="equal">
      <formula>0</formula>
    </cfRule>
    <cfRule type="cellIs" dxfId="2698" priority="156" operator="greaterThan">
      <formula>0</formula>
    </cfRule>
  </conditionalFormatting>
  <conditionalFormatting sqref="G78:G79 G62:G64 G56 G50:G51 G47:G48 G44 G42 G39:G40 G33 G27:G30 G24 G19:G21">
    <cfRule type="cellIs" dxfId="2697" priority="145" operator="equal">
      <formula>"PMS"</formula>
    </cfRule>
    <cfRule type="containsText" dxfId="2696" priority="146" operator="containsText" text="CMS">
      <formula>NOT(ISERROR(SEARCH("CMS",G19)))</formula>
    </cfRule>
    <cfRule type="cellIs" dxfId="2695" priority="147" operator="equal">
      <formula>0</formula>
    </cfRule>
    <cfRule type="cellIs" dxfId="2694" priority="148" operator="greaterThan">
      <formula>0</formula>
    </cfRule>
  </conditionalFormatting>
  <conditionalFormatting sqref="M78:M79 M56 M50:M51 M47:M48 M44 M42 M39:M40 M27:M30 M24 M19:M21 L33:M33 L62:L63 L30 M62:M64">
    <cfRule type="cellIs" dxfId="2693" priority="137" operator="equal">
      <formula>"PMS"</formula>
    </cfRule>
    <cfRule type="containsText" dxfId="2692" priority="138" operator="containsText" text="CMS">
      <formula>NOT(ISERROR(SEARCH("CMS",L19)))</formula>
    </cfRule>
    <cfRule type="cellIs" dxfId="2691" priority="139" operator="equal">
      <formula>0</formula>
    </cfRule>
    <cfRule type="cellIs" dxfId="2690" priority="140" operator="greaterThan">
      <formula>0</formula>
    </cfRule>
    <cfRule type="cellIs" dxfId="2689" priority="141" operator="equal">
      <formula>"PMS"</formula>
    </cfRule>
    <cfRule type="containsText" dxfId="2688" priority="142" operator="containsText" text="CMS">
      <formula>NOT(ISERROR(SEARCH("CMS",L19)))</formula>
    </cfRule>
    <cfRule type="cellIs" dxfId="2687" priority="143" operator="equal">
      <formula>0</formula>
    </cfRule>
    <cfRule type="cellIs" dxfId="2686" priority="144" operator="greaterThan">
      <formula>0</formula>
    </cfRule>
  </conditionalFormatting>
  <conditionalFormatting sqref="M78:M79 M56 M50:M51 M47:M48 M44 M42 M39:M40 M27:M30 M24 M19:M21 L33:M33 L62:L63 L30 M62:M64">
    <cfRule type="cellIs" dxfId="2685" priority="133" operator="equal">
      <formula>"PMS"</formula>
    </cfRule>
    <cfRule type="containsText" dxfId="2684" priority="134" operator="containsText" text="CMS">
      <formula>NOT(ISERROR(SEARCH("CMS",L19)))</formula>
    </cfRule>
    <cfRule type="cellIs" dxfId="2683" priority="135" operator="equal">
      <formula>0</formula>
    </cfRule>
    <cfRule type="cellIs" dxfId="2682" priority="136" operator="greaterThan">
      <formula>0</formula>
    </cfRule>
  </conditionalFormatting>
  <conditionalFormatting sqref="K78:K79 K62:K64 K56 K50:K51 K47:K48 K44 K42 K39:K40 K27:K30 K24 K19:K21 J33:K33">
    <cfRule type="cellIs" dxfId="2681" priority="125" operator="equal">
      <formula>"PMS"</formula>
    </cfRule>
    <cfRule type="containsText" dxfId="2680" priority="126" operator="containsText" text="CMS">
      <formula>NOT(ISERROR(SEARCH("CMS",J19)))</formula>
    </cfRule>
    <cfRule type="cellIs" dxfId="2679" priority="127" operator="equal">
      <formula>0</formula>
    </cfRule>
    <cfRule type="cellIs" dxfId="2678" priority="128" operator="greaterThan">
      <formula>0</formula>
    </cfRule>
    <cfRule type="cellIs" dxfId="2677" priority="129" operator="equal">
      <formula>"PMS"</formula>
    </cfRule>
    <cfRule type="containsText" dxfId="2676" priority="130" operator="containsText" text="CMS">
      <formula>NOT(ISERROR(SEARCH("CMS",J19)))</formula>
    </cfRule>
    <cfRule type="cellIs" dxfId="2675" priority="131" operator="equal">
      <formula>0</formula>
    </cfRule>
    <cfRule type="cellIs" dxfId="2674" priority="132" operator="greaterThan">
      <formula>0</formula>
    </cfRule>
  </conditionalFormatting>
  <conditionalFormatting sqref="K78:K79 K62:K64 K56 K50:K51 K47:K48 K44 K42 K39:K40 K27:K30 K24 K19:K21 J33:K33">
    <cfRule type="cellIs" dxfId="2673" priority="121" operator="equal">
      <formula>"PMS"</formula>
    </cfRule>
    <cfRule type="containsText" dxfId="2672" priority="122" operator="containsText" text="CMS">
      <formula>NOT(ISERROR(SEARCH("CMS",J19)))</formula>
    </cfRule>
    <cfRule type="cellIs" dxfId="2671" priority="123" operator="equal">
      <formula>0</formula>
    </cfRule>
    <cfRule type="cellIs" dxfId="2670" priority="124" operator="greaterThan">
      <formula>0</formula>
    </cfRule>
  </conditionalFormatting>
  <conditionalFormatting sqref="F36:F59 F13:F16 F62:F64">
    <cfRule type="cellIs" dxfId="2669" priority="113" operator="equal">
      <formula>"PMS"</formula>
    </cfRule>
    <cfRule type="containsText" dxfId="2668" priority="114" operator="containsText" text="CMS">
      <formula>NOT(ISERROR(SEARCH("CMS",F13)))</formula>
    </cfRule>
    <cfRule type="cellIs" dxfId="2667" priority="115" operator="equal">
      <formula>0</formula>
    </cfRule>
    <cfRule type="cellIs" dxfId="2666" priority="116" operator="greaterThan">
      <formula>0</formula>
    </cfRule>
    <cfRule type="cellIs" dxfId="2665" priority="117" operator="equal">
      <formula>"PMS"</formula>
    </cfRule>
    <cfRule type="containsText" dxfId="2664" priority="118" operator="containsText" text="CMS">
      <formula>NOT(ISERROR(SEARCH("CMS",F13)))</formula>
    </cfRule>
    <cfRule type="cellIs" dxfId="2663" priority="119" operator="equal">
      <formula>0</formula>
    </cfRule>
    <cfRule type="cellIs" dxfId="2662" priority="120" operator="greaterThan">
      <formula>0</formula>
    </cfRule>
  </conditionalFormatting>
  <conditionalFormatting sqref="F36:F59 F13:F16 F62:F64">
    <cfRule type="cellIs" dxfId="2661" priority="109" operator="equal">
      <formula>"PMS"</formula>
    </cfRule>
    <cfRule type="containsText" dxfId="2660" priority="110" operator="containsText" text="CMS">
      <formula>NOT(ISERROR(SEARCH("CMS",F13)))</formula>
    </cfRule>
    <cfRule type="cellIs" dxfId="2659" priority="111" operator="equal">
      <formula>0</formula>
    </cfRule>
    <cfRule type="cellIs" dxfId="2658" priority="112" operator="greaterThan">
      <formula>0</formula>
    </cfRule>
  </conditionalFormatting>
  <conditionalFormatting sqref="F67:F75">
    <cfRule type="cellIs" dxfId="2657" priority="101" operator="equal">
      <formula>"PMS"</formula>
    </cfRule>
    <cfRule type="containsText" dxfId="2656" priority="102" operator="containsText" text="CMS">
      <formula>NOT(ISERROR(SEARCH("CMS",F67)))</formula>
    </cfRule>
    <cfRule type="cellIs" dxfId="2655" priority="103" operator="equal">
      <formula>0</formula>
    </cfRule>
    <cfRule type="cellIs" dxfId="2654" priority="104" operator="greaterThan">
      <formula>0</formula>
    </cfRule>
    <cfRule type="cellIs" dxfId="2653" priority="105" operator="equal">
      <formula>"PMS"</formula>
    </cfRule>
    <cfRule type="containsText" dxfId="2652" priority="106" operator="containsText" text="CMS">
      <formula>NOT(ISERROR(SEARCH("CMS",F67)))</formula>
    </cfRule>
    <cfRule type="cellIs" dxfId="2651" priority="107" operator="equal">
      <formula>0</formula>
    </cfRule>
    <cfRule type="cellIs" dxfId="2650" priority="108" operator="greaterThan">
      <formula>0</formula>
    </cfRule>
  </conditionalFormatting>
  <conditionalFormatting sqref="F67:F75">
    <cfRule type="cellIs" dxfId="2649" priority="97" operator="equal">
      <formula>"PMS"</formula>
    </cfRule>
    <cfRule type="containsText" dxfId="2648" priority="98" operator="containsText" text="CMS">
      <formula>NOT(ISERROR(SEARCH("CMS",F67)))</formula>
    </cfRule>
    <cfRule type="cellIs" dxfId="2647" priority="99" operator="equal">
      <formula>0</formula>
    </cfRule>
    <cfRule type="cellIs" dxfId="2646" priority="100" operator="greaterThan">
      <formula>0</formula>
    </cfRule>
  </conditionalFormatting>
  <conditionalFormatting sqref="F82">
    <cfRule type="cellIs" dxfId="2645" priority="89" operator="equal">
      <formula>"PMS"</formula>
    </cfRule>
    <cfRule type="containsText" dxfId="2644" priority="90" operator="containsText" text="CMS">
      <formula>NOT(ISERROR(SEARCH("CMS",F82)))</formula>
    </cfRule>
    <cfRule type="cellIs" dxfId="2643" priority="91" operator="equal">
      <formula>0</formula>
    </cfRule>
    <cfRule type="cellIs" dxfId="2642" priority="92" operator="greaterThan">
      <formula>0</formula>
    </cfRule>
    <cfRule type="cellIs" dxfId="2641" priority="93" operator="equal">
      <formula>"PMS"</formula>
    </cfRule>
    <cfRule type="containsText" dxfId="2640" priority="94" operator="containsText" text="CMS">
      <formula>NOT(ISERROR(SEARCH("CMS",F82)))</formula>
    </cfRule>
    <cfRule type="cellIs" dxfId="2639" priority="95" operator="equal">
      <formula>0</formula>
    </cfRule>
    <cfRule type="cellIs" dxfId="2638" priority="96" operator="greaterThan">
      <formula>0</formula>
    </cfRule>
  </conditionalFormatting>
  <conditionalFormatting sqref="F82">
    <cfRule type="cellIs" dxfId="2637" priority="85" operator="equal">
      <formula>"PMS"</formula>
    </cfRule>
    <cfRule type="containsText" dxfId="2636" priority="86" operator="containsText" text="CMS">
      <formula>NOT(ISERROR(SEARCH("CMS",F82)))</formula>
    </cfRule>
    <cfRule type="cellIs" dxfId="2635" priority="87" operator="equal">
      <formula>0</formula>
    </cfRule>
    <cfRule type="cellIs" dxfId="2634" priority="88" operator="greaterThan">
      <formula>0</formula>
    </cfRule>
  </conditionalFormatting>
  <conditionalFormatting sqref="F78:F79 F24 F28:F30 F19:F21 F33">
    <cfRule type="cellIs" dxfId="2633" priority="77" operator="equal">
      <formula>"PMS"</formula>
    </cfRule>
    <cfRule type="containsText" dxfId="2632" priority="78" operator="containsText" text="CMS">
      <formula>NOT(ISERROR(SEARCH("CMS",F19)))</formula>
    </cfRule>
    <cfRule type="cellIs" dxfId="2631" priority="79" operator="equal">
      <formula>0</formula>
    </cfRule>
    <cfRule type="cellIs" dxfId="2630" priority="80" operator="greaterThan">
      <formula>0</formula>
    </cfRule>
    <cfRule type="cellIs" dxfId="2629" priority="81" operator="equal">
      <formula>"PMS"</formula>
    </cfRule>
    <cfRule type="containsText" dxfId="2628" priority="82" operator="containsText" text="CMS">
      <formula>NOT(ISERROR(SEARCH("CMS",F19)))</formula>
    </cfRule>
    <cfRule type="cellIs" dxfId="2627" priority="83" operator="equal">
      <formula>0</formula>
    </cfRule>
    <cfRule type="cellIs" dxfId="2626" priority="84" operator="greaterThan">
      <formula>0</formula>
    </cfRule>
  </conditionalFormatting>
  <conditionalFormatting sqref="F78:F79 F24 F28:F30 F19:F21 F33">
    <cfRule type="cellIs" dxfId="2625" priority="73" operator="equal">
      <formula>"PMS"</formula>
    </cfRule>
    <cfRule type="containsText" dxfId="2624" priority="74" operator="containsText" text="CMS">
      <formula>NOT(ISERROR(SEARCH("CMS",F19)))</formula>
    </cfRule>
    <cfRule type="cellIs" dxfId="2623" priority="75" operator="equal">
      <formula>0</formula>
    </cfRule>
    <cfRule type="cellIs" dxfId="2622" priority="76" operator="greaterThan">
      <formula>0</formula>
    </cfRule>
  </conditionalFormatting>
  <conditionalFormatting sqref="F27">
    <cfRule type="cellIs" dxfId="2621" priority="65" operator="equal">
      <formula>"PMS"</formula>
    </cfRule>
    <cfRule type="containsText" dxfId="2620" priority="66" operator="containsText" text="CMS">
      <formula>NOT(ISERROR(SEARCH("CMS",F27)))</formula>
    </cfRule>
    <cfRule type="cellIs" dxfId="2619" priority="67" operator="equal">
      <formula>0</formula>
    </cfRule>
    <cfRule type="cellIs" dxfId="2618" priority="68" operator="greaterThan">
      <formula>0</formula>
    </cfRule>
    <cfRule type="cellIs" dxfId="2617" priority="69" operator="equal">
      <formula>"PMS"</formula>
    </cfRule>
    <cfRule type="containsText" dxfId="2616" priority="70" operator="containsText" text="CMS">
      <formula>NOT(ISERROR(SEARCH("CMS",F27)))</formula>
    </cfRule>
    <cfRule type="cellIs" dxfId="2615" priority="71" operator="equal">
      <formula>0</formula>
    </cfRule>
    <cfRule type="cellIs" dxfId="2614" priority="72" operator="greaterThan">
      <formula>0</formula>
    </cfRule>
  </conditionalFormatting>
  <conditionalFormatting sqref="F27">
    <cfRule type="cellIs" dxfId="2613" priority="61" operator="equal">
      <formula>"PMS"</formula>
    </cfRule>
    <cfRule type="containsText" dxfId="2612" priority="62" operator="containsText" text="CMS">
      <formula>NOT(ISERROR(SEARCH("CMS",F27)))</formula>
    </cfRule>
    <cfRule type="cellIs" dxfId="2611" priority="63" operator="equal">
      <formula>0</formula>
    </cfRule>
    <cfRule type="cellIs" dxfId="2610" priority="64" operator="greaterThan">
      <formula>0</formula>
    </cfRule>
  </conditionalFormatting>
  <conditionalFormatting sqref="R78">
    <cfRule type="cellIs" dxfId="2609" priority="53" operator="equal">
      <formula>"PMS"</formula>
    </cfRule>
    <cfRule type="containsText" dxfId="2608" priority="54" operator="containsText" text="CMS">
      <formula>NOT(ISERROR(SEARCH("CMS",R78)))</formula>
    </cfRule>
    <cfRule type="cellIs" dxfId="2607" priority="55" operator="equal">
      <formula>0</formula>
    </cfRule>
    <cfRule type="cellIs" dxfId="2606" priority="56" operator="greaterThan">
      <formula>0</formula>
    </cfRule>
    <cfRule type="cellIs" dxfId="2605" priority="57" operator="equal">
      <formula>"PMS"</formula>
    </cfRule>
    <cfRule type="containsText" dxfId="2604" priority="58" operator="containsText" text="CMS">
      <formula>NOT(ISERROR(SEARCH("CMS",R78)))</formula>
    </cfRule>
    <cfRule type="cellIs" dxfId="2603" priority="59" operator="equal">
      <formula>0</formula>
    </cfRule>
    <cfRule type="cellIs" dxfId="2602" priority="60" operator="greaterThan">
      <formula>0</formula>
    </cfRule>
  </conditionalFormatting>
  <conditionalFormatting sqref="R78">
    <cfRule type="cellIs" dxfId="2601" priority="49" operator="equal">
      <formula>"PMS"</formula>
    </cfRule>
    <cfRule type="containsText" dxfId="2600" priority="50" operator="containsText" text="CMS">
      <formula>NOT(ISERROR(SEARCH("CMS",R78)))</formula>
    </cfRule>
    <cfRule type="cellIs" dxfId="2599" priority="51" operator="equal">
      <formula>0</formula>
    </cfRule>
    <cfRule type="cellIs" dxfId="2598" priority="52" operator="greaterThan">
      <formula>0</formula>
    </cfRule>
  </conditionalFormatting>
  <conditionalFormatting sqref="H62">
    <cfRule type="cellIs" dxfId="2597" priority="41" operator="equal">
      <formula>"PMS"</formula>
    </cfRule>
    <cfRule type="containsText" dxfId="2596" priority="42" operator="containsText" text="CMS">
      <formula>NOT(ISERROR(SEARCH("CMS",H62)))</formula>
    </cfRule>
    <cfRule type="cellIs" dxfId="2595" priority="43" operator="equal">
      <formula>0</formula>
    </cfRule>
    <cfRule type="cellIs" dxfId="2594" priority="44" operator="greaterThan">
      <formula>0</formula>
    </cfRule>
    <cfRule type="cellIs" dxfId="2593" priority="45" operator="equal">
      <formula>"PMS"</formula>
    </cfRule>
    <cfRule type="containsText" dxfId="2592" priority="46" operator="containsText" text="CMS">
      <formula>NOT(ISERROR(SEARCH("CMS",H62)))</formula>
    </cfRule>
    <cfRule type="cellIs" dxfId="2591" priority="47" operator="equal">
      <formula>0</formula>
    </cfRule>
    <cfRule type="cellIs" dxfId="2590" priority="48" operator="greaterThan">
      <formula>0</formula>
    </cfRule>
  </conditionalFormatting>
  <conditionalFormatting sqref="H62">
    <cfRule type="cellIs" dxfId="2589" priority="37" operator="equal">
      <formula>"PMS"</formula>
    </cfRule>
    <cfRule type="containsText" dxfId="2588" priority="38" operator="containsText" text="CMS">
      <formula>NOT(ISERROR(SEARCH("CMS",H62)))</formula>
    </cfRule>
    <cfRule type="cellIs" dxfId="2587" priority="39" operator="equal">
      <formula>0</formula>
    </cfRule>
    <cfRule type="cellIs" dxfId="2586" priority="40" operator="greaterThan">
      <formula>0</formula>
    </cfRule>
  </conditionalFormatting>
  <conditionalFormatting sqref="H79">
    <cfRule type="cellIs" dxfId="2585" priority="17" operator="equal">
      <formula>"PMS"</formula>
    </cfRule>
    <cfRule type="containsText" dxfId="2584" priority="18" operator="containsText" text="CMS">
      <formula>NOT(ISERROR(SEARCH("CMS",H79)))</formula>
    </cfRule>
    <cfRule type="cellIs" dxfId="2583" priority="19" operator="equal">
      <formula>0</formula>
    </cfRule>
    <cfRule type="cellIs" dxfId="2582" priority="20" operator="greaterThan">
      <formula>0</formula>
    </cfRule>
    <cfRule type="cellIs" dxfId="2581" priority="21" operator="equal">
      <formula>"PMS"</formula>
    </cfRule>
    <cfRule type="containsText" dxfId="2580" priority="22" operator="containsText" text="CMS">
      <formula>NOT(ISERROR(SEARCH("CMS",H79)))</formula>
    </cfRule>
    <cfRule type="cellIs" dxfId="2579" priority="23" operator="equal">
      <formula>0</formula>
    </cfRule>
    <cfRule type="cellIs" dxfId="2578" priority="24" operator="greaterThan">
      <formula>0</formula>
    </cfRule>
  </conditionalFormatting>
  <conditionalFormatting sqref="H79">
    <cfRule type="cellIs" dxfId="2577" priority="13" operator="equal">
      <formula>"PMS"</formula>
    </cfRule>
    <cfRule type="containsText" dxfId="2576" priority="14" operator="containsText" text="CMS">
      <formula>NOT(ISERROR(SEARCH("CMS",H79)))</formula>
    </cfRule>
    <cfRule type="cellIs" dxfId="2575" priority="15" operator="equal">
      <formula>0</formula>
    </cfRule>
    <cfRule type="cellIs" dxfId="2574" priority="16" operator="greaterThan">
      <formula>0</formula>
    </cfRule>
  </conditionalFormatting>
  <conditionalFormatting sqref="H64">
    <cfRule type="cellIs" dxfId="2573" priority="5" operator="equal">
      <formula>"PMS"</formula>
    </cfRule>
    <cfRule type="containsText" dxfId="2572" priority="6" operator="containsText" text="CMS">
      <formula>NOT(ISERROR(SEARCH("CMS",H64)))</formula>
    </cfRule>
    <cfRule type="cellIs" dxfId="2571" priority="7" operator="equal">
      <formula>0</formula>
    </cfRule>
    <cfRule type="cellIs" dxfId="2570" priority="8" operator="greaterThan">
      <formula>0</formula>
    </cfRule>
    <cfRule type="cellIs" dxfId="2569" priority="9" operator="equal">
      <formula>"PMS"</formula>
    </cfRule>
    <cfRule type="containsText" dxfId="2568" priority="10" operator="containsText" text="CMS">
      <formula>NOT(ISERROR(SEARCH("CMS",H64)))</formula>
    </cfRule>
    <cfRule type="cellIs" dxfId="2567" priority="11" operator="equal">
      <formula>0</formula>
    </cfRule>
    <cfRule type="cellIs" dxfId="2566" priority="12" operator="greaterThan">
      <formula>0</formula>
    </cfRule>
  </conditionalFormatting>
  <conditionalFormatting sqref="H64">
    <cfRule type="cellIs" dxfId="2565" priority="1" operator="equal">
      <formula>"PMS"</formula>
    </cfRule>
    <cfRule type="containsText" dxfId="2564" priority="2" operator="containsText" text="CMS">
      <formula>NOT(ISERROR(SEARCH("CMS",H64)))</formula>
    </cfRule>
    <cfRule type="cellIs" dxfId="2563" priority="3" operator="equal">
      <formula>0</formula>
    </cfRule>
    <cfRule type="cellIs" dxfId="256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6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73DF6-496F-41A4-8430-CD39F5F9DC01}">
  <sheetPr codeName="Sheet250"/>
  <dimension ref="A2:DT141"/>
  <sheetViews>
    <sheetView zoomScale="70" zoomScaleNormal="70" workbookViewId="0">
      <pane xSplit="5" ySplit="11" topLeftCell="F12" activePane="bottomRight" state="frozen"/>
      <selection pane="bottomRight" activeCell="N48" sqref="N48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424.20000000000005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6.5</v>
      </c>
      <c r="H14" s="357">
        <v>6.9</v>
      </c>
      <c r="I14" s="357">
        <v>6.5</v>
      </c>
      <c r="J14" s="357">
        <v>5.2</v>
      </c>
      <c r="K14" s="357">
        <v>6.5</v>
      </c>
      <c r="L14" s="357">
        <v>6.7</v>
      </c>
      <c r="M14" s="357">
        <v>5.7</v>
      </c>
      <c r="N14" s="357">
        <v>6.8</v>
      </c>
      <c r="O14" s="357">
        <v>6.7</v>
      </c>
      <c r="P14" s="357">
        <v>6.6</v>
      </c>
      <c r="Q14" s="357">
        <v>6.6</v>
      </c>
      <c r="R14" s="357">
        <v>6.6</v>
      </c>
      <c r="S14" s="462">
        <v>6.7</v>
      </c>
      <c r="T14" s="462">
        <v>6.5</v>
      </c>
      <c r="U14" s="462">
        <v>6.8</v>
      </c>
      <c r="V14" s="357">
        <v>6.5</v>
      </c>
      <c r="W14" s="357">
        <v>6.6</v>
      </c>
      <c r="X14" s="357">
        <v>6.8</v>
      </c>
      <c r="Y14" s="357">
        <v>6.9</v>
      </c>
      <c r="Z14" s="462">
        <v>6.7</v>
      </c>
      <c r="AA14" s="462">
        <v>6.7</v>
      </c>
      <c r="AB14" s="462">
        <v>6.6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6.6</v>
      </c>
      <c r="G15" s="357"/>
      <c r="H15" s="357"/>
      <c r="I15" s="357"/>
      <c r="J15" s="357">
        <v>5.9</v>
      </c>
      <c r="K15" s="359" t="s">
        <v>9</v>
      </c>
      <c r="L15" s="359" t="s">
        <v>9</v>
      </c>
      <c r="M15" s="359">
        <v>5.2</v>
      </c>
      <c r="N15" s="357">
        <v>6.8</v>
      </c>
      <c r="O15" s="357">
        <v>6.7</v>
      </c>
      <c r="P15" s="357">
        <v>6.6</v>
      </c>
      <c r="Q15" s="357">
        <v>6.6</v>
      </c>
      <c r="R15" s="357">
        <v>6.6</v>
      </c>
      <c r="S15" s="462">
        <v>6.7</v>
      </c>
      <c r="T15" s="462">
        <v>6.5</v>
      </c>
      <c r="U15" s="462">
        <v>6.8</v>
      </c>
      <c r="V15" s="357">
        <v>6.5</v>
      </c>
      <c r="W15" s="357">
        <v>6.6</v>
      </c>
      <c r="X15" s="357">
        <v>6.8</v>
      </c>
      <c r="Y15" s="357">
        <v>6.9</v>
      </c>
      <c r="Z15" s="462">
        <v>6.6</v>
      </c>
      <c r="AA15" s="462">
        <v>6.6</v>
      </c>
      <c r="AB15" s="462">
        <v>6.5</v>
      </c>
      <c r="AC15" s="462">
        <v>6.4</v>
      </c>
      <c r="AD15" s="41"/>
      <c r="AE15" s="41"/>
      <c r="AF15" s="11">
        <f>COUNTIF(F15:AC15,$AJ$8)</f>
        <v>2</v>
      </c>
      <c r="AG15" s="11">
        <f>COUNTIF(G15:AD15,$AJ$7)</f>
        <v>0</v>
      </c>
      <c r="AH15" s="11">
        <f>COUNT(F15:AC15)</f>
        <v>19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6.5</v>
      </c>
      <c r="G16" s="357">
        <v>6.6</v>
      </c>
      <c r="H16" s="357">
        <v>6.9</v>
      </c>
      <c r="I16" s="357">
        <v>6.5</v>
      </c>
      <c r="J16" s="357">
        <v>1.9</v>
      </c>
      <c r="K16" s="359">
        <v>6.6</v>
      </c>
      <c r="L16" s="359">
        <v>6.6</v>
      </c>
      <c r="M16" s="357">
        <v>2.1</v>
      </c>
      <c r="N16" s="359"/>
      <c r="O16" s="357">
        <v>6.7</v>
      </c>
      <c r="P16" s="357">
        <v>6.6</v>
      </c>
      <c r="Q16" s="357">
        <v>6.6</v>
      </c>
      <c r="R16" s="357">
        <v>6.6</v>
      </c>
      <c r="S16" s="462">
        <v>6.7</v>
      </c>
      <c r="T16" s="462">
        <v>6.5</v>
      </c>
      <c r="U16" s="462">
        <v>6.8</v>
      </c>
      <c r="V16" s="357">
        <v>6.5</v>
      </c>
      <c r="W16" s="357">
        <v>6.6</v>
      </c>
      <c r="X16" s="357">
        <v>6.8</v>
      </c>
      <c r="Y16" s="357">
        <v>6.9</v>
      </c>
      <c r="Z16" s="462">
        <v>6.7</v>
      </c>
      <c r="AA16" s="462">
        <v>6.6</v>
      </c>
      <c r="AB16" s="462">
        <v>6.5</v>
      </c>
      <c r="AC16" s="357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19.600000000000001</v>
      </c>
      <c r="G17" s="19">
        <f t="shared" ref="G17:AC17" si="1">SUM(G13:G16)</f>
        <v>13.1</v>
      </c>
      <c r="H17" s="19">
        <f t="shared" si="1"/>
        <v>13.8</v>
      </c>
      <c r="I17" s="19">
        <f t="shared" si="1"/>
        <v>13</v>
      </c>
      <c r="J17" s="19">
        <f t="shared" si="1"/>
        <v>13.000000000000002</v>
      </c>
      <c r="K17" s="19">
        <f t="shared" si="1"/>
        <v>13.1</v>
      </c>
      <c r="L17" s="19">
        <f t="shared" si="1"/>
        <v>13.3</v>
      </c>
      <c r="M17" s="19">
        <f t="shared" si="1"/>
        <v>13</v>
      </c>
      <c r="N17" s="19">
        <f t="shared" si="1"/>
        <v>13.6</v>
      </c>
      <c r="O17" s="19">
        <f t="shared" si="1"/>
        <v>20.100000000000001</v>
      </c>
      <c r="P17" s="19">
        <f t="shared" si="1"/>
        <v>19.799999999999997</v>
      </c>
      <c r="Q17" s="19">
        <f t="shared" si="1"/>
        <v>19.799999999999997</v>
      </c>
      <c r="R17" s="19">
        <f t="shared" si="1"/>
        <v>19.799999999999997</v>
      </c>
      <c r="S17" s="463">
        <f t="shared" si="1"/>
        <v>20.100000000000001</v>
      </c>
      <c r="T17" s="463">
        <f t="shared" si="1"/>
        <v>19.5</v>
      </c>
      <c r="U17" s="19">
        <f t="shared" si="1"/>
        <v>20.399999999999999</v>
      </c>
      <c r="V17" s="19">
        <f t="shared" si="1"/>
        <v>19.5</v>
      </c>
      <c r="W17" s="19">
        <f t="shared" si="1"/>
        <v>19.799999999999997</v>
      </c>
      <c r="X17" s="19">
        <f t="shared" si="1"/>
        <v>20.399999999999999</v>
      </c>
      <c r="Y17" s="19">
        <f t="shared" si="1"/>
        <v>20.700000000000003</v>
      </c>
      <c r="Z17" s="463">
        <f t="shared" si="1"/>
        <v>20</v>
      </c>
      <c r="AA17" s="463">
        <f t="shared" si="1"/>
        <v>19.899999999999999</v>
      </c>
      <c r="AB17" s="463">
        <f>SUM(AB13:AB16)</f>
        <v>19.600000000000001</v>
      </c>
      <c r="AC17" s="19">
        <f t="shared" si="1"/>
        <v>19.3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28.9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 t="s">
        <v>9</v>
      </c>
      <c r="M20" s="357" t="s">
        <v>9</v>
      </c>
      <c r="N20" s="357" t="s">
        <v>9</v>
      </c>
      <c r="O20" s="357" t="s">
        <v>9</v>
      </c>
      <c r="P20" s="357" t="s">
        <v>9</v>
      </c>
      <c r="Q20" s="357" t="s">
        <v>9</v>
      </c>
      <c r="R20" s="357" t="s">
        <v>9</v>
      </c>
      <c r="S20" s="462" t="s">
        <v>9</v>
      </c>
      <c r="T20" s="462">
        <v>3.3</v>
      </c>
      <c r="U20" s="357">
        <v>3.3</v>
      </c>
      <c r="V20" s="357">
        <v>3.2</v>
      </c>
      <c r="W20" s="357">
        <v>3.2</v>
      </c>
      <c r="X20" s="357">
        <v>3</v>
      </c>
      <c r="Y20" s="357">
        <v>3.4</v>
      </c>
      <c r="Z20" s="357">
        <v>3.2</v>
      </c>
      <c r="AA20" s="357">
        <v>3</v>
      </c>
      <c r="AB20" s="357">
        <v>3.3</v>
      </c>
      <c r="AC20" s="357"/>
      <c r="AD20" s="41"/>
      <c r="AE20" s="41"/>
      <c r="AF20" s="11">
        <f>COUNTIF(F20:AC20,$AJ$8)</f>
        <v>8</v>
      </c>
      <c r="AG20" s="11">
        <f>COUNTIF(G20:AD20,$AJ$7)</f>
        <v>0</v>
      </c>
      <c r="AH20" s="11">
        <f>COUNT(F20:AC20)</f>
        <v>9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7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463">
        <f>SUM(S19:S21)</f>
        <v>0</v>
      </c>
      <c r="T22" s="463">
        <f t="shared" ref="T22" si="4">SUM(T19:T21)</f>
        <v>3.3</v>
      </c>
      <c r="U22" s="19">
        <f t="shared" si="3"/>
        <v>3.3</v>
      </c>
      <c r="V22" s="19">
        <f t="shared" si="3"/>
        <v>3.2</v>
      </c>
      <c r="W22" s="19">
        <f t="shared" si="3"/>
        <v>3.2</v>
      </c>
      <c r="X22" s="19">
        <f t="shared" si="3"/>
        <v>3</v>
      </c>
      <c r="Y22" s="19">
        <f t="shared" si="3"/>
        <v>3.4</v>
      </c>
      <c r="Z22" s="463">
        <f>SUM(Z19:Z21)</f>
        <v>3.2</v>
      </c>
      <c r="AA22" s="463">
        <f t="shared" si="3"/>
        <v>3</v>
      </c>
      <c r="AB22" s="463">
        <f>SUM(AB19:AB21)</f>
        <v>3.3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51.79999999999999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>
        <v>2</v>
      </c>
      <c r="N24" s="357">
        <v>2</v>
      </c>
      <c r="O24" s="357">
        <v>3.8</v>
      </c>
      <c r="P24" s="357">
        <v>3.8</v>
      </c>
      <c r="Q24" s="357">
        <v>3.8</v>
      </c>
      <c r="R24" s="357">
        <v>3.8</v>
      </c>
      <c r="S24" s="462">
        <v>3.8</v>
      </c>
      <c r="T24" s="462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3.8</v>
      </c>
      <c r="AA24" s="357">
        <v>3</v>
      </c>
      <c r="AB24" s="357"/>
      <c r="AC24" s="357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2</v>
      </c>
      <c r="N25" s="19">
        <f t="shared" si="6"/>
        <v>2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3">
        <f t="shared" si="6"/>
        <v>3.8</v>
      </c>
      <c r="AA25" s="463">
        <f t="shared" si="6"/>
        <v>3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99.199999999999989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>
        <v>2</v>
      </c>
      <c r="G27" s="357">
        <v>4</v>
      </c>
      <c r="H27" s="357">
        <v>2.5</v>
      </c>
      <c r="I27" s="357">
        <v>1.5</v>
      </c>
      <c r="J27" s="357">
        <v>2.5</v>
      </c>
      <c r="K27" s="357">
        <v>3.5</v>
      </c>
      <c r="L27" s="359">
        <v>3</v>
      </c>
      <c r="M27" s="357">
        <v>1.5</v>
      </c>
      <c r="N27" s="357"/>
      <c r="O27" s="357"/>
      <c r="P27" s="357"/>
      <c r="Q27" s="357"/>
      <c r="R27" s="357"/>
      <c r="S27" s="462"/>
      <c r="T27" s="462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</v>
      </c>
      <c r="G28" s="357">
        <v>4</v>
      </c>
      <c r="H28" s="357">
        <v>2.5</v>
      </c>
      <c r="I28" s="357">
        <v>1.5</v>
      </c>
      <c r="J28" s="357">
        <v>2.5</v>
      </c>
      <c r="K28" s="357">
        <v>3.5</v>
      </c>
      <c r="L28" s="359">
        <v>3.6</v>
      </c>
      <c r="M28" s="357">
        <v>1.5</v>
      </c>
      <c r="N28" s="357">
        <v>3</v>
      </c>
      <c r="O28" s="357">
        <v>3.8</v>
      </c>
      <c r="P28" s="357">
        <v>3.8</v>
      </c>
      <c r="Q28" s="357">
        <v>3.7</v>
      </c>
      <c r="R28" s="357">
        <v>3.8</v>
      </c>
      <c r="S28" s="462">
        <v>3.9</v>
      </c>
      <c r="T28" s="462">
        <v>3.5</v>
      </c>
      <c r="U28" s="357">
        <v>3.8</v>
      </c>
      <c r="V28" s="357">
        <v>3.7</v>
      </c>
      <c r="W28" s="357">
        <v>3.7</v>
      </c>
      <c r="X28" s="357">
        <v>2.5</v>
      </c>
      <c r="Y28" s="357">
        <v>3.7</v>
      </c>
      <c r="Z28" s="357">
        <v>3.8</v>
      </c>
      <c r="AA28" s="357">
        <v>3.3</v>
      </c>
      <c r="AB28" s="357">
        <v>3.8</v>
      </c>
      <c r="AC28" s="357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161.9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3.5</v>
      </c>
      <c r="Q29" s="357">
        <v>3.8</v>
      </c>
      <c r="R29" s="357">
        <v>4</v>
      </c>
      <c r="S29" s="462">
        <v>6.5</v>
      </c>
      <c r="T29" s="462">
        <v>3.1</v>
      </c>
      <c r="U29" s="357">
        <v>3.2</v>
      </c>
      <c r="V29" s="357">
        <v>3.8</v>
      </c>
      <c r="W29" s="357">
        <v>2.7</v>
      </c>
      <c r="X29" s="357">
        <v>2.8</v>
      </c>
      <c r="Y29" s="357">
        <v>4.7</v>
      </c>
      <c r="Z29" s="357">
        <v>3.7</v>
      </c>
      <c r="AA29" s="357">
        <v>2.7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 t="s">
        <v>9</v>
      </c>
      <c r="G30" s="357" t="s">
        <v>9</v>
      </c>
      <c r="H30" s="357" t="s">
        <v>9</v>
      </c>
      <c r="I30" s="357" t="s">
        <v>9</v>
      </c>
      <c r="J30" s="357" t="s">
        <v>9</v>
      </c>
      <c r="K30" s="357" t="s">
        <v>9</v>
      </c>
      <c r="L30" s="357">
        <v>2.7</v>
      </c>
      <c r="M30" s="357">
        <v>2.7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462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7</v>
      </c>
      <c r="AB30" s="357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4</v>
      </c>
      <c r="G31" s="19">
        <f>SUM(G27:G30)</f>
        <v>8</v>
      </c>
      <c r="H31" s="19">
        <f>SUM(H27:H30)</f>
        <v>5</v>
      </c>
      <c r="I31" s="19">
        <f t="shared" ref="I31:X31" si="8">SUM(I27:I30)</f>
        <v>3</v>
      </c>
      <c r="J31" s="19">
        <f t="shared" si="8"/>
        <v>5</v>
      </c>
      <c r="K31" s="19">
        <f t="shared" si="8"/>
        <v>7</v>
      </c>
      <c r="L31" s="19">
        <f t="shared" si="8"/>
        <v>9.3000000000000007</v>
      </c>
      <c r="M31" s="19">
        <f t="shared" si="8"/>
        <v>5.7</v>
      </c>
      <c r="N31" s="19">
        <f t="shared" si="8"/>
        <v>10</v>
      </c>
      <c r="O31" s="19">
        <f t="shared" si="8"/>
        <v>10.8</v>
      </c>
      <c r="P31" s="19">
        <f t="shared" si="8"/>
        <v>14.3</v>
      </c>
      <c r="Q31" s="19">
        <f t="shared" si="8"/>
        <v>14.5</v>
      </c>
      <c r="R31" s="19">
        <f t="shared" si="8"/>
        <v>14.8</v>
      </c>
      <c r="S31" s="463">
        <f t="shared" si="8"/>
        <v>17.399999999999999</v>
      </c>
      <c r="T31" s="463">
        <f t="shared" si="8"/>
        <v>13.6</v>
      </c>
      <c r="U31" s="19">
        <f t="shared" si="8"/>
        <v>14</v>
      </c>
      <c r="V31" s="19">
        <f t="shared" si="8"/>
        <v>14.5</v>
      </c>
      <c r="W31" s="19">
        <f t="shared" si="8"/>
        <v>13.4</v>
      </c>
      <c r="X31" s="19">
        <f t="shared" si="8"/>
        <v>12.3</v>
      </c>
      <c r="Y31" s="19">
        <f>SUM(Y27:Y30)</f>
        <v>15.4</v>
      </c>
      <c r="Z31" s="19">
        <f t="shared" ref="Z31:AC31" si="9">SUM(Z27:Z30)</f>
        <v>14.5</v>
      </c>
      <c r="AA31" s="19">
        <f t="shared" si="9"/>
        <v>13</v>
      </c>
      <c r="AB31" s="19">
        <f t="shared" si="9"/>
        <v>10.8</v>
      </c>
      <c r="AC31" s="19">
        <f t="shared" si="9"/>
        <v>10.8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342.22999999999996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14.28</v>
      </c>
      <c r="G33" s="357">
        <v>14.29</v>
      </c>
      <c r="H33" s="357">
        <v>14.27</v>
      </c>
      <c r="I33" s="357">
        <v>14.26</v>
      </c>
      <c r="J33" s="357">
        <v>14.27</v>
      </c>
      <c r="K33" s="357">
        <v>14.23</v>
      </c>
      <c r="L33" s="357">
        <v>14.24</v>
      </c>
      <c r="M33" s="357">
        <v>14.26</v>
      </c>
      <c r="N33" s="357">
        <v>14.27</v>
      </c>
      <c r="O33" s="357">
        <v>14.27</v>
      </c>
      <c r="P33" s="357">
        <v>14.26</v>
      </c>
      <c r="Q33" s="357">
        <v>14.25</v>
      </c>
      <c r="R33" s="357">
        <v>14.26</v>
      </c>
      <c r="S33" s="462">
        <v>14.24</v>
      </c>
      <c r="T33" s="462">
        <v>14.28</v>
      </c>
      <c r="U33" s="357">
        <v>14.29</v>
      </c>
      <c r="V33" s="357">
        <v>14.28</v>
      </c>
      <c r="W33" s="357">
        <v>14.28</v>
      </c>
      <c r="X33" s="357">
        <v>14.22</v>
      </c>
      <c r="Y33" s="357">
        <v>14.24</v>
      </c>
      <c r="Z33" s="357">
        <v>14.28</v>
      </c>
      <c r="AA33" s="357">
        <v>14.27</v>
      </c>
      <c r="AB33" s="357">
        <v>14.24</v>
      </c>
      <c r="AC33" s="357">
        <v>14.2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14.28</v>
      </c>
      <c r="G34" s="19">
        <f t="shared" ref="G34:AC34" si="11">SUM(G33)</f>
        <v>14.29</v>
      </c>
      <c r="H34" s="19">
        <f t="shared" si="11"/>
        <v>14.27</v>
      </c>
      <c r="I34" s="19">
        <f t="shared" si="11"/>
        <v>14.26</v>
      </c>
      <c r="J34" s="19">
        <f t="shared" si="11"/>
        <v>14.27</v>
      </c>
      <c r="K34" s="19">
        <f t="shared" si="11"/>
        <v>14.23</v>
      </c>
      <c r="L34" s="19">
        <f t="shared" si="11"/>
        <v>14.24</v>
      </c>
      <c r="M34" s="19">
        <f t="shared" si="11"/>
        <v>14.26</v>
      </c>
      <c r="N34" s="19">
        <f t="shared" si="11"/>
        <v>14.27</v>
      </c>
      <c r="O34" s="19">
        <f t="shared" si="11"/>
        <v>14.27</v>
      </c>
      <c r="P34" s="19">
        <f t="shared" si="11"/>
        <v>14.26</v>
      </c>
      <c r="Q34" s="19">
        <f t="shared" si="11"/>
        <v>14.25</v>
      </c>
      <c r="R34" s="19">
        <f t="shared" si="11"/>
        <v>14.26</v>
      </c>
      <c r="S34" s="19">
        <f t="shared" si="11"/>
        <v>14.24</v>
      </c>
      <c r="T34" s="463">
        <f t="shared" si="11"/>
        <v>14.28</v>
      </c>
      <c r="U34" s="19">
        <f t="shared" si="11"/>
        <v>14.29</v>
      </c>
      <c r="V34" s="19">
        <f t="shared" si="11"/>
        <v>14.28</v>
      </c>
      <c r="W34" s="19">
        <f t="shared" si="11"/>
        <v>14.28</v>
      </c>
      <c r="X34" s="19">
        <f t="shared" si="11"/>
        <v>14.22</v>
      </c>
      <c r="Y34" s="19">
        <f t="shared" si="11"/>
        <v>14.24</v>
      </c>
      <c r="Z34" s="19">
        <f t="shared" si="11"/>
        <v>14.28</v>
      </c>
      <c r="AA34" s="19">
        <f t="shared" si="11"/>
        <v>14.27</v>
      </c>
      <c r="AB34" s="19">
        <f t="shared" si="11"/>
        <v>14.24</v>
      </c>
      <c r="AC34" s="19">
        <f t="shared" si="11"/>
        <v>14.2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41.399999999999984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>
        <f>4.6/6</f>
        <v>0.76666666666666661</v>
      </c>
      <c r="R40" s="357">
        <f>4.6/6</f>
        <v>0.76666666666666661</v>
      </c>
      <c r="S40" s="462">
        <f>4.7/6</f>
        <v>0.78333333333333333</v>
      </c>
      <c r="T40" s="462">
        <f>4.6/6</f>
        <v>0.76666666666666661</v>
      </c>
      <c r="U40" s="357">
        <v>0.7</v>
      </c>
      <c r="V40" s="357">
        <v>0.7</v>
      </c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6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2"/>
        <v>0</v>
      </c>
      <c r="AG42" s="11">
        <f t="shared" si="13"/>
        <v>0</v>
      </c>
      <c r="AH42" s="11">
        <f t="shared" si="14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0.7</v>
      </c>
      <c r="M47" s="357"/>
      <c r="N47" s="357"/>
      <c r="O47" s="357"/>
      <c r="P47" s="357">
        <f>3/4</f>
        <v>0.75</v>
      </c>
      <c r="Q47" s="357">
        <f>4.6/6</f>
        <v>0.76666666666666661</v>
      </c>
      <c r="R47" s="357">
        <f>4.6/6</f>
        <v>0.76666666666666661</v>
      </c>
      <c r="S47" s="462">
        <f>4.7/6</f>
        <v>0.78333333333333333</v>
      </c>
      <c r="T47" s="462">
        <f>4.6/6</f>
        <v>0.76666666666666661</v>
      </c>
      <c r="U47" s="357">
        <v>0.8</v>
      </c>
      <c r="V47" s="357">
        <v>0.8</v>
      </c>
      <c r="W47" s="357">
        <v>0.75</v>
      </c>
      <c r="X47" s="357"/>
      <c r="Y47" s="357">
        <v>0.75</v>
      </c>
      <c r="Z47" s="357">
        <v>0</v>
      </c>
      <c r="AA47" s="357">
        <v>0</v>
      </c>
      <c r="AB47" s="357"/>
      <c r="AC47" s="357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12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/>
      <c r="M48" s="357"/>
      <c r="N48" s="357"/>
      <c r="O48" s="357">
        <v>0.75</v>
      </c>
      <c r="P48" s="357">
        <f>3/4</f>
        <v>0.75</v>
      </c>
      <c r="Q48" s="357">
        <f>4.6/6</f>
        <v>0.76666666666666661</v>
      </c>
      <c r="R48" s="357">
        <f>4.6/6</f>
        <v>0.76666666666666661</v>
      </c>
      <c r="S48" s="462">
        <f>4.7/6</f>
        <v>0.78333333333333333</v>
      </c>
      <c r="T48" s="462">
        <f>4.6/6</f>
        <v>0.76666666666666661</v>
      </c>
      <c r="U48" s="357">
        <v>0.8</v>
      </c>
      <c r="V48" s="357">
        <v>0.8</v>
      </c>
      <c r="W48" s="357"/>
      <c r="X48" s="357"/>
      <c r="Y48" s="357">
        <v>0.75</v>
      </c>
      <c r="Z48" s="357">
        <v>0</v>
      </c>
      <c r="AA48" s="357">
        <v>0</v>
      </c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11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0.75</v>
      </c>
      <c r="M50" s="357"/>
      <c r="N50" s="357"/>
      <c r="O50" s="357">
        <v>0.75</v>
      </c>
      <c r="P50" s="357">
        <f>3/4</f>
        <v>0.75</v>
      </c>
      <c r="Q50" s="357">
        <f>4.6/6</f>
        <v>0.76666666666666661</v>
      </c>
      <c r="R50" s="357">
        <f>4.6/6</f>
        <v>0.76666666666666661</v>
      </c>
      <c r="S50" s="462">
        <f>4.7/6</f>
        <v>0.78333333333333333</v>
      </c>
      <c r="T50" s="462">
        <f>4.6/6</f>
        <v>0.76666666666666661</v>
      </c>
      <c r="U50" s="357">
        <v>0.8</v>
      </c>
      <c r="V50" s="357">
        <v>0.8</v>
      </c>
      <c r="W50" s="357">
        <v>0.75</v>
      </c>
      <c r="X50" s="357"/>
      <c r="Y50" s="357"/>
      <c r="Z50" s="357"/>
      <c r="AA50" s="357"/>
      <c r="AB50" s="357">
        <v>0.8</v>
      </c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11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0.75</v>
      </c>
      <c r="M51" s="357">
        <v>0</v>
      </c>
      <c r="N51" s="357">
        <v>0</v>
      </c>
      <c r="O51" s="357"/>
      <c r="P51" s="357">
        <f>3/4</f>
        <v>0.75</v>
      </c>
      <c r="Q51" s="357">
        <f>4.6/6</f>
        <v>0.76666666666666661</v>
      </c>
      <c r="R51" s="357">
        <f>4.6/6</f>
        <v>0.76666666666666661</v>
      </c>
      <c r="S51" s="462">
        <f>4.7/6</f>
        <v>0.78333333333333333</v>
      </c>
      <c r="T51" s="462">
        <f>4.6/6</f>
        <v>0.76666666666666661</v>
      </c>
      <c r="U51" s="357">
        <v>0.8</v>
      </c>
      <c r="V51" s="357">
        <v>0.8</v>
      </c>
      <c r="W51" s="357">
        <v>0.75</v>
      </c>
      <c r="X51" s="357"/>
      <c r="Y51" s="357">
        <v>0.8</v>
      </c>
      <c r="Z51" s="357">
        <v>0</v>
      </c>
      <c r="AA51" s="357">
        <v>0</v>
      </c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14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/>
      <c r="M56" s="357"/>
      <c r="N56" s="357"/>
      <c r="O56" s="357">
        <v>0.7</v>
      </c>
      <c r="P56" s="357"/>
      <c r="Q56" s="357">
        <f>4.6/6</f>
        <v>0.76666666666666661</v>
      </c>
      <c r="R56" s="357">
        <f>4.6/6</f>
        <v>0.76666666666666661</v>
      </c>
      <c r="S56" s="462">
        <f>4.7/6</f>
        <v>0.78333333333333333</v>
      </c>
      <c r="T56" s="462">
        <f>4.6/6</f>
        <v>0.76666666666666661</v>
      </c>
      <c r="U56" s="357">
        <v>0.8</v>
      </c>
      <c r="V56" s="357">
        <v>0.8</v>
      </c>
      <c r="W56" s="357">
        <v>0.75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8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2.2000000000000002</v>
      </c>
      <c r="M60" s="19">
        <f t="shared" si="16"/>
        <v>0</v>
      </c>
      <c r="N60" s="19">
        <f>SUM(N36:N59)</f>
        <v>0</v>
      </c>
      <c r="O60" s="19">
        <f t="shared" si="16"/>
        <v>2.2000000000000002</v>
      </c>
      <c r="P60" s="19">
        <f t="shared" si="16"/>
        <v>3</v>
      </c>
      <c r="Q60" s="19">
        <f t="shared" si="16"/>
        <v>4.5999999999999996</v>
      </c>
      <c r="R60" s="19">
        <f t="shared" si="16"/>
        <v>4.5999999999999996</v>
      </c>
      <c r="S60" s="19">
        <f t="shared" si="16"/>
        <v>4.7</v>
      </c>
      <c r="T60" s="19">
        <f t="shared" si="16"/>
        <v>4.5999999999999996</v>
      </c>
      <c r="U60" s="19">
        <f t="shared" si="16"/>
        <v>4.6999999999999993</v>
      </c>
      <c r="V60" s="19">
        <f t="shared" si="16"/>
        <v>4.6999999999999993</v>
      </c>
      <c r="W60" s="19">
        <f t="shared" si="16"/>
        <v>3</v>
      </c>
      <c r="X60" s="19">
        <f t="shared" si="16"/>
        <v>0</v>
      </c>
      <c r="Y60" s="19">
        <f>SUM(Y36:Y59)</f>
        <v>2.2999999999999998</v>
      </c>
      <c r="Z60" s="19">
        <f t="shared" si="16"/>
        <v>0</v>
      </c>
      <c r="AA60" s="19">
        <f t="shared" si="16"/>
        <v>0</v>
      </c>
      <c r="AB60" s="19">
        <f t="shared" si="16"/>
        <v>0.8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31.870000000000015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0.51500000000000001</v>
      </c>
      <c r="G62" s="357">
        <v>0.495</v>
      </c>
      <c r="H62" s="357">
        <v>0.46</v>
      </c>
      <c r="I62" s="357">
        <v>0.44500000000000001</v>
      </c>
      <c r="J62" s="357">
        <v>0.44</v>
      </c>
      <c r="K62" s="357">
        <v>0.46</v>
      </c>
      <c r="L62" s="357">
        <f>1.26/2</f>
        <v>0.63</v>
      </c>
      <c r="M62" s="357">
        <f>1.09/2</f>
        <v>0.54500000000000004</v>
      </c>
      <c r="N62" s="357">
        <f>1.15/2</f>
        <v>0.57499999999999996</v>
      </c>
      <c r="O62" s="357">
        <f>1.32/2</f>
        <v>0.66</v>
      </c>
      <c r="P62" s="357">
        <f>1.41/2</f>
        <v>0.70499999999999996</v>
      </c>
      <c r="Q62" s="357">
        <v>0</v>
      </c>
      <c r="R62" s="357">
        <f>1.57/3</f>
        <v>0.52333333333333332</v>
      </c>
      <c r="S62" s="462">
        <f>1.58/3</f>
        <v>0.52666666666666673</v>
      </c>
      <c r="T62" s="462">
        <f>1.59/3</f>
        <v>0.53</v>
      </c>
      <c r="U62" s="357">
        <f>1.61/3</f>
        <v>0.53666666666666674</v>
      </c>
      <c r="V62" s="357">
        <f>1.6/3</f>
        <v>0.53333333333333333</v>
      </c>
      <c r="W62" s="357"/>
      <c r="X62" s="357"/>
      <c r="Y62" s="357">
        <f>1.6/3</f>
        <v>0.53333333333333333</v>
      </c>
      <c r="Z62" s="357">
        <f>1.73/3</f>
        <v>0.57666666666666666</v>
      </c>
      <c r="AA62" s="357">
        <f>1.63/3</f>
        <v>0.54333333333333333</v>
      </c>
      <c r="AB62" s="357">
        <f>1.44/3</f>
        <v>0.48</v>
      </c>
      <c r="AC62" s="357">
        <v>0.65500000000000003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/>
      <c r="H63" s="357">
        <v>0.46</v>
      </c>
      <c r="I63" s="357">
        <v>0.44500000000000001</v>
      </c>
      <c r="J63" s="357">
        <v>0.44</v>
      </c>
      <c r="K63" s="357">
        <v>0.46</v>
      </c>
      <c r="L63" s="357">
        <f>1.26/2</f>
        <v>0.63</v>
      </c>
      <c r="M63" s="357">
        <f>1.09/2</f>
        <v>0.54500000000000004</v>
      </c>
      <c r="N63" s="357">
        <f>1.15/2</f>
        <v>0.57499999999999996</v>
      </c>
      <c r="O63" s="357">
        <f>1.32/2</f>
        <v>0.66</v>
      </c>
      <c r="P63" s="357">
        <f>1.41/2</f>
        <v>0.70499999999999996</v>
      </c>
      <c r="Q63" s="357">
        <f>1.5/2</f>
        <v>0.75</v>
      </c>
      <c r="R63" s="357">
        <f t="shared" ref="R63:R64" si="17">1.57/3</f>
        <v>0.52333333333333332</v>
      </c>
      <c r="S63" s="462">
        <f t="shared" ref="S63:S64" si="18">1.58/3</f>
        <v>0.52666666666666673</v>
      </c>
      <c r="T63" s="462">
        <f>1.59/3</f>
        <v>0.53</v>
      </c>
      <c r="U63" s="357">
        <f>1.61/3</f>
        <v>0.53666666666666674</v>
      </c>
      <c r="V63" s="357">
        <f>1.6/3</f>
        <v>0.53333333333333333</v>
      </c>
      <c r="W63" s="357">
        <v>0.75</v>
      </c>
      <c r="X63" s="357">
        <f>1.35/2</f>
        <v>0.67500000000000004</v>
      </c>
      <c r="Y63" s="357">
        <f t="shared" ref="Y63:Y64" si="19">1.6/3</f>
        <v>0.53333333333333333</v>
      </c>
      <c r="Z63" s="357">
        <f t="shared" ref="Z63:Z64" si="20">1.73/3</f>
        <v>0.57666666666666666</v>
      </c>
      <c r="AA63" s="357">
        <f t="shared" ref="AA63:AA64" si="21">1.63/3</f>
        <v>0.54333333333333333</v>
      </c>
      <c r="AB63" s="357">
        <f>1.44/3</f>
        <v>0.48</v>
      </c>
      <c r="AC63" s="357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21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0.51500000000000001</v>
      </c>
      <c r="G64" s="357">
        <v>0.495</v>
      </c>
      <c r="H64" s="357"/>
      <c r="I64" s="357"/>
      <c r="J64" s="357"/>
      <c r="K64" s="357"/>
      <c r="L64" s="357"/>
      <c r="M64" s="357"/>
      <c r="N64" s="357"/>
      <c r="O64" s="357"/>
      <c r="P64" s="357"/>
      <c r="Q64" s="357">
        <f>1.5/2</f>
        <v>0.75</v>
      </c>
      <c r="R64" s="357">
        <f t="shared" si="17"/>
        <v>0.52333333333333332</v>
      </c>
      <c r="S64" s="462">
        <f t="shared" si="18"/>
        <v>0.52666666666666673</v>
      </c>
      <c r="T64" s="462">
        <f>1.59/3</f>
        <v>0.53</v>
      </c>
      <c r="U64" s="357">
        <f>1.61/3</f>
        <v>0.53666666666666674</v>
      </c>
      <c r="V64" s="357">
        <f>1.6/3</f>
        <v>0.53333333333333333</v>
      </c>
      <c r="W64" s="357">
        <v>0.75</v>
      </c>
      <c r="X64" s="357">
        <f>1.35/2</f>
        <v>0.67500000000000004</v>
      </c>
      <c r="Y64" s="357">
        <f t="shared" si="19"/>
        <v>0.53333333333333333</v>
      </c>
      <c r="Z64" s="357">
        <f t="shared" si="20"/>
        <v>0.57666666666666666</v>
      </c>
      <c r="AA64" s="357">
        <f t="shared" si="21"/>
        <v>0.54333333333333333</v>
      </c>
      <c r="AB64" s="357">
        <f>1.44/3</f>
        <v>0.48</v>
      </c>
      <c r="AC64" s="357">
        <v>0.65500000000000003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1.03</v>
      </c>
      <c r="G65" s="19">
        <f t="shared" ref="G65:AB65" si="22">SUM(G62:G64)</f>
        <v>0.99</v>
      </c>
      <c r="H65" s="19">
        <f t="shared" si="22"/>
        <v>0.92</v>
      </c>
      <c r="I65" s="19">
        <f t="shared" si="22"/>
        <v>0.89</v>
      </c>
      <c r="J65" s="19">
        <f t="shared" si="22"/>
        <v>0.88</v>
      </c>
      <c r="K65" s="19">
        <f t="shared" si="22"/>
        <v>0.92</v>
      </c>
      <c r="L65" s="19">
        <f t="shared" si="22"/>
        <v>1.26</v>
      </c>
      <c r="M65" s="19">
        <f t="shared" si="22"/>
        <v>1.0900000000000001</v>
      </c>
      <c r="N65" s="19">
        <f t="shared" si="22"/>
        <v>1.1499999999999999</v>
      </c>
      <c r="O65" s="19">
        <f t="shared" si="22"/>
        <v>1.32</v>
      </c>
      <c r="P65" s="19">
        <f t="shared" si="22"/>
        <v>1.41</v>
      </c>
      <c r="Q65" s="19">
        <f t="shared" si="22"/>
        <v>1.5</v>
      </c>
      <c r="R65" s="19">
        <f t="shared" si="22"/>
        <v>1.5699999999999998</v>
      </c>
      <c r="S65" s="463">
        <f t="shared" si="22"/>
        <v>1.58</v>
      </c>
      <c r="T65" s="463">
        <f t="shared" si="22"/>
        <v>1.59</v>
      </c>
      <c r="U65" s="463">
        <f t="shared" si="22"/>
        <v>1.6100000000000003</v>
      </c>
      <c r="V65" s="19">
        <f>SUM(V62:V64)</f>
        <v>1.6</v>
      </c>
      <c r="W65" s="19">
        <f t="shared" si="22"/>
        <v>1.5</v>
      </c>
      <c r="X65" s="19">
        <f t="shared" si="22"/>
        <v>1.35</v>
      </c>
      <c r="Y65" s="19">
        <f>SUM(Y62:Y64)</f>
        <v>1.6</v>
      </c>
      <c r="Z65" s="19">
        <f>SUM(Z62:Z64)</f>
        <v>1.73</v>
      </c>
      <c r="AA65" s="19">
        <f t="shared" si="22"/>
        <v>1.63</v>
      </c>
      <c r="AB65" s="19">
        <f t="shared" si="22"/>
        <v>1.44</v>
      </c>
      <c r="AC65" s="19">
        <f>SUM(AC62:AC64)</f>
        <v>1.31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3">COUNTIF(F67:AC67,$AF$11)</f>
        <v>0</v>
      </c>
      <c r="AG67" s="11">
        <f t="shared" ref="AG67:AG75" si="24">COUNTIF(G67:AC67,$AG$11)</f>
        <v>0</v>
      </c>
      <c r="AH67" s="11">
        <f t="shared" ref="AH67:AH75" si="2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3"/>
        <v>0</v>
      </c>
      <c r="AG73" s="11">
        <f t="shared" si="24"/>
        <v>0</v>
      </c>
      <c r="AH73" s="11">
        <f t="shared" si="2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3"/>
        <v>0</v>
      </c>
      <c r="AG74" s="11">
        <f t="shared" si="24"/>
        <v>0</v>
      </c>
      <c r="AH74" s="11">
        <f t="shared" si="2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3"/>
        <v>0</v>
      </c>
      <c r="AG75" s="11">
        <f t="shared" si="24"/>
        <v>0</v>
      </c>
      <c r="AH75" s="11">
        <f t="shared" si="2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6">SUM(F67:F75)</f>
        <v>0</v>
      </c>
      <c r="G76" s="19">
        <f t="shared" ref="G76:AC76" si="27">SUM(G67:G75)</f>
        <v>0</v>
      </c>
      <c r="H76" s="19">
        <f t="shared" si="27"/>
        <v>0</v>
      </c>
      <c r="I76" s="19">
        <f t="shared" si="27"/>
        <v>0</v>
      </c>
      <c r="J76" s="19">
        <f t="shared" si="27"/>
        <v>0</v>
      </c>
      <c r="K76" s="19">
        <f t="shared" si="27"/>
        <v>0</v>
      </c>
      <c r="L76" s="19">
        <f>SUM(L67:L75)</f>
        <v>0</v>
      </c>
      <c r="M76" s="19">
        <f t="shared" si="27"/>
        <v>0</v>
      </c>
      <c r="N76" s="19">
        <f t="shared" si="27"/>
        <v>0</v>
      </c>
      <c r="O76" s="19">
        <f t="shared" si="27"/>
        <v>0</v>
      </c>
      <c r="P76" s="19">
        <f t="shared" si="27"/>
        <v>0</v>
      </c>
      <c r="Q76" s="19">
        <f>SUM(Q67:Q75)</f>
        <v>0</v>
      </c>
      <c r="R76" s="19">
        <f t="shared" si="27"/>
        <v>0</v>
      </c>
      <c r="S76" s="463">
        <f t="shared" si="27"/>
        <v>0</v>
      </c>
      <c r="T76" s="463">
        <f t="shared" si="27"/>
        <v>0</v>
      </c>
      <c r="U76" s="19">
        <f t="shared" si="27"/>
        <v>0</v>
      </c>
      <c r="V76" s="19">
        <f t="shared" si="27"/>
        <v>0</v>
      </c>
      <c r="W76" s="19">
        <f t="shared" si="27"/>
        <v>0</v>
      </c>
      <c r="X76" s="19">
        <f t="shared" si="27"/>
        <v>0</v>
      </c>
      <c r="Y76" s="19">
        <f t="shared" si="27"/>
        <v>0</v>
      </c>
      <c r="Z76" s="19">
        <f t="shared" si="27"/>
        <v>0</v>
      </c>
      <c r="AA76" s="19">
        <f t="shared" si="27"/>
        <v>0</v>
      </c>
      <c r="AB76" s="19">
        <f t="shared" si="27"/>
        <v>0</v>
      </c>
      <c r="AC76" s="19">
        <f t="shared" si="27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20.580000000000005</v>
      </c>
    </row>
    <row r="78" spans="1:124">
      <c r="A78" s="14" t="s">
        <v>67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</v>
      </c>
      <c r="O78" s="357">
        <v>0.8</v>
      </c>
      <c r="P78" s="357">
        <v>0.85</v>
      </c>
      <c r="Q78" s="357">
        <v>0.87</v>
      </c>
      <c r="R78" s="357">
        <v>0.91</v>
      </c>
      <c r="S78" s="462">
        <v>0.91</v>
      </c>
      <c r="T78" s="462">
        <v>0.93</v>
      </c>
      <c r="U78" s="357">
        <v>0.94</v>
      </c>
      <c r="V78" s="357">
        <v>0.91</v>
      </c>
      <c r="W78" s="357">
        <v>0.9</v>
      </c>
      <c r="X78" s="357">
        <v>0.89</v>
      </c>
      <c r="Y78" s="357">
        <v>0</v>
      </c>
      <c r="Z78" s="357">
        <v>0</v>
      </c>
      <c r="AA78" s="357">
        <v>0</v>
      </c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0.81</v>
      </c>
      <c r="G79" s="357">
        <v>0.77</v>
      </c>
      <c r="H79" s="357">
        <v>0.76</v>
      </c>
      <c r="I79" s="357">
        <v>0.73</v>
      </c>
      <c r="J79" s="357">
        <v>0.71</v>
      </c>
      <c r="K79" s="357">
        <v>0.72</v>
      </c>
      <c r="L79" s="359">
        <v>0.83</v>
      </c>
      <c r="M79" s="357">
        <v>0.73</v>
      </c>
      <c r="N79" s="357">
        <v>0.72</v>
      </c>
      <c r="O79" s="357"/>
      <c r="P79" s="357"/>
      <c r="Q79" s="357"/>
      <c r="R79" s="357"/>
      <c r="S79" s="462"/>
      <c r="T79" s="462"/>
      <c r="U79" s="357"/>
      <c r="V79" s="357"/>
      <c r="W79" s="357"/>
      <c r="X79" s="357"/>
      <c r="Y79" s="357">
        <v>0.99</v>
      </c>
      <c r="Z79" s="357">
        <v>1.03</v>
      </c>
      <c r="AA79" s="357">
        <v>1.02</v>
      </c>
      <c r="AB79" s="357">
        <v>0.96</v>
      </c>
      <c r="AC79" s="357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8">SUM(F78:F79)</f>
        <v>0.81</v>
      </c>
      <c r="G80" s="19">
        <f t="shared" ref="G80" si="29">SUM(G78:G79)</f>
        <v>0.77</v>
      </c>
      <c r="H80" s="19">
        <f>SUM(H78:H79)</f>
        <v>0.76</v>
      </c>
      <c r="I80" s="19">
        <f>SUM(I78:I79)</f>
        <v>0.73</v>
      </c>
      <c r="J80" s="19">
        <f t="shared" ref="J80:AC80" si="30">SUM(J78:J79)</f>
        <v>0.71</v>
      </c>
      <c r="K80" s="19">
        <f t="shared" si="30"/>
        <v>0.72</v>
      </c>
      <c r="L80" s="19">
        <f>SUM(L78:L79)</f>
        <v>0.83</v>
      </c>
      <c r="M80" s="19">
        <f t="shared" si="30"/>
        <v>0.73</v>
      </c>
      <c r="N80" s="19">
        <f t="shared" si="30"/>
        <v>0.72</v>
      </c>
      <c r="O80" s="19">
        <f>SUM(O78:O79)</f>
        <v>0.8</v>
      </c>
      <c r="P80" s="19">
        <f>SUM(P78:P79)</f>
        <v>0.85</v>
      </c>
      <c r="Q80" s="19">
        <f t="shared" si="30"/>
        <v>0.87</v>
      </c>
      <c r="R80" s="19">
        <f t="shared" si="30"/>
        <v>0.91</v>
      </c>
      <c r="S80" s="463">
        <f t="shared" si="30"/>
        <v>0.91</v>
      </c>
      <c r="T80" s="463">
        <f t="shared" si="30"/>
        <v>0.93</v>
      </c>
      <c r="U80" s="19">
        <f t="shared" si="30"/>
        <v>0.94</v>
      </c>
      <c r="V80" s="19">
        <f t="shared" si="30"/>
        <v>0.91</v>
      </c>
      <c r="W80" s="19">
        <f t="shared" si="30"/>
        <v>0.9</v>
      </c>
      <c r="X80" s="19">
        <f t="shared" si="30"/>
        <v>0.89</v>
      </c>
      <c r="Y80" s="19">
        <f t="shared" si="30"/>
        <v>0.99</v>
      </c>
      <c r="Z80" s="19">
        <f t="shared" si="30"/>
        <v>1.03</v>
      </c>
      <c r="AA80" s="19">
        <f t="shared" si="30"/>
        <v>1.02</v>
      </c>
      <c r="AB80" s="19">
        <f t="shared" si="30"/>
        <v>0.96</v>
      </c>
      <c r="AC80" s="19">
        <f t="shared" si="30"/>
        <v>0.89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31">SUM(F17,F22,F25,F31,F34,F60,F65,F76,F80,F82)</f>
        <v>39.720000000000006</v>
      </c>
      <c r="G83" s="28">
        <f>SUM(G17,G22,G25,G31,G34,G60,G65,G76,G80,G82)</f>
        <v>37.150000000000006</v>
      </c>
      <c r="H83" s="28">
        <f t="shared" ref="H83:AC83" si="32">SUM(H17,H22,H25,H31,H34,H60,H65,H76,H80,H82)</f>
        <v>34.75</v>
      </c>
      <c r="I83" s="28">
        <f t="shared" si="32"/>
        <v>31.88</v>
      </c>
      <c r="J83" s="28">
        <f t="shared" si="32"/>
        <v>33.86</v>
      </c>
      <c r="K83" s="28">
        <f t="shared" si="32"/>
        <v>35.97</v>
      </c>
      <c r="L83" s="28">
        <f t="shared" si="32"/>
        <v>41.13</v>
      </c>
      <c r="M83" s="28">
        <f t="shared" si="32"/>
        <v>36.78</v>
      </c>
      <c r="N83" s="28">
        <f t="shared" si="32"/>
        <v>41.74</v>
      </c>
      <c r="O83" s="28">
        <f t="shared" si="32"/>
        <v>53.29</v>
      </c>
      <c r="P83" s="28">
        <f t="shared" si="32"/>
        <v>57.419999999999995</v>
      </c>
      <c r="Q83" s="28">
        <f t="shared" si="32"/>
        <v>59.319999999999993</v>
      </c>
      <c r="R83" s="28">
        <f t="shared" si="32"/>
        <v>59.739999999999995</v>
      </c>
      <c r="S83" s="518">
        <f t="shared" si="32"/>
        <v>62.73</v>
      </c>
      <c r="T83" s="518">
        <f t="shared" si="32"/>
        <v>61.600000000000009</v>
      </c>
      <c r="U83" s="518">
        <f t="shared" si="32"/>
        <v>63.039999999999992</v>
      </c>
      <c r="V83" s="28">
        <f t="shared" si="32"/>
        <v>62.49</v>
      </c>
      <c r="W83" s="28">
        <f t="shared" si="32"/>
        <v>59.879999999999995</v>
      </c>
      <c r="X83" s="28">
        <f t="shared" si="32"/>
        <v>55.160000000000004</v>
      </c>
      <c r="Y83" s="28">
        <f t="shared" si="32"/>
        <v>62.430000000000007</v>
      </c>
      <c r="Z83" s="28">
        <f t="shared" si="32"/>
        <v>58.54</v>
      </c>
      <c r="AA83" s="28">
        <f t="shared" si="32"/>
        <v>55.820000000000007</v>
      </c>
      <c r="AB83" s="28">
        <f t="shared" si="32"/>
        <v>51.14</v>
      </c>
      <c r="AC83" s="28">
        <f t="shared" si="32"/>
        <v>46.5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33">SUM(F22,F25)</f>
        <v>0</v>
      </c>
      <c r="G89" s="64">
        <f t="shared" si="33"/>
        <v>0</v>
      </c>
      <c r="H89" s="64">
        <f t="shared" si="33"/>
        <v>0</v>
      </c>
      <c r="I89" s="64">
        <f t="shared" si="33"/>
        <v>0</v>
      </c>
      <c r="J89" s="64">
        <f t="shared" si="33"/>
        <v>0</v>
      </c>
      <c r="K89" s="64">
        <f t="shared" si="33"/>
        <v>0</v>
      </c>
      <c r="L89" s="64">
        <f t="shared" si="33"/>
        <v>0</v>
      </c>
      <c r="M89" s="64">
        <f t="shared" si="33"/>
        <v>2</v>
      </c>
      <c r="N89" s="64">
        <f t="shared" si="33"/>
        <v>2</v>
      </c>
      <c r="O89" s="64">
        <f t="shared" si="33"/>
        <v>3.8</v>
      </c>
      <c r="P89" s="64">
        <f t="shared" si="33"/>
        <v>3.8</v>
      </c>
      <c r="Q89" s="64">
        <f t="shared" si="33"/>
        <v>3.8</v>
      </c>
      <c r="R89" s="64">
        <f t="shared" si="33"/>
        <v>3.8</v>
      </c>
      <c r="S89" s="64">
        <f t="shared" si="33"/>
        <v>3.8</v>
      </c>
      <c r="T89" s="64">
        <f t="shared" si="33"/>
        <v>7.1</v>
      </c>
      <c r="U89" s="64">
        <f t="shared" si="33"/>
        <v>7.1</v>
      </c>
      <c r="V89" s="64">
        <f t="shared" si="33"/>
        <v>7</v>
      </c>
      <c r="W89" s="64">
        <f t="shared" si="33"/>
        <v>7</v>
      </c>
      <c r="X89" s="64">
        <f t="shared" si="33"/>
        <v>6</v>
      </c>
      <c r="Y89" s="64">
        <f t="shared" si="33"/>
        <v>7.1999999999999993</v>
      </c>
      <c r="Z89" s="64">
        <f t="shared" si="33"/>
        <v>7</v>
      </c>
      <c r="AA89" s="64">
        <f t="shared" si="33"/>
        <v>6</v>
      </c>
      <c r="AB89" s="64">
        <f t="shared" si="33"/>
        <v>3.3</v>
      </c>
      <c r="AC89" s="64">
        <f t="shared" si="33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>
        <v>0.224</v>
      </c>
      <c r="N90" s="68">
        <v>0.22800000000000001</v>
      </c>
      <c r="O90" s="68">
        <v>0.187</v>
      </c>
      <c r="P90" s="68">
        <v>0.20100000000000001</v>
      </c>
      <c r="Q90" s="68">
        <v>0.25900000000000001</v>
      </c>
      <c r="R90" s="68">
        <v>0.254</v>
      </c>
      <c r="S90" s="68">
        <v>0.23400000000000001</v>
      </c>
      <c r="T90" s="68">
        <v>0.24299999999999999</v>
      </c>
      <c r="U90" s="68">
        <v>0.191</v>
      </c>
      <c r="V90" s="68">
        <v>0.215</v>
      </c>
      <c r="W90" s="68">
        <v>0.24399999999999999</v>
      </c>
      <c r="X90" s="68">
        <v>0.255</v>
      </c>
      <c r="Y90" s="68">
        <v>0.24099999999999999</v>
      </c>
      <c r="Z90" s="68">
        <v>0.22</v>
      </c>
      <c r="AA90" s="68">
        <v>0.188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34">F17</f>
        <v>19.600000000000001</v>
      </c>
      <c r="G91" s="64">
        <f t="shared" si="34"/>
        <v>13.1</v>
      </c>
      <c r="H91" s="64">
        <f t="shared" si="34"/>
        <v>13.8</v>
      </c>
      <c r="I91" s="64">
        <f t="shared" si="34"/>
        <v>13</v>
      </c>
      <c r="J91" s="64">
        <f t="shared" si="34"/>
        <v>13.000000000000002</v>
      </c>
      <c r="K91" s="64">
        <f t="shared" si="34"/>
        <v>13.1</v>
      </c>
      <c r="L91" s="64">
        <f t="shared" si="34"/>
        <v>13.3</v>
      </c>
      <c r="M91" s="64">
        <f t="shared" si="34"/>
        <v>13</v>
      </c>
      <c r="N91" s="64">
        <f t="shared" si="34"/>
        <v>13.6</v>
      </c>
      <c r="O91" s="64">
        <f t="shared" si="34"/>
        <v>20.100000000000001</v>
      </c>
      <c r="P91" s="64">
        <f t="shared" si="34"/>
        <v>19.799999999999997</v>
      </c>
      <c r="Q91" s="64">
        <f t="shared" si="34"/>
        <v>19.799999999999997</v>
      </c>
      <c r="R91" s="64">
        <f t="shared" si="34"/>
        <v>19.799999999999997</v>
      </c>
      <c r="S91" s="64">
        <f t="shared" si="34"/>
        <v>20.100000000000001</v>
      </c>
      <c r="T91" s="64">
        <f t="shared" si="34"/>
        <v>19.5</v>
      </c>
      <c r="U91" s="64">
        <f t="shared" si="34"/>
        <v>20.399999999999999</v>
      </c>
      <c r="V91" s="64">
        <f t="shared" si="34"/>
        <v>19.5</v>
      </c>
      <c r="W91" s="64">
        <f t="shared" si="34"/>
        <v>19.799999999999997</v>
      </c>
      <c r="X91" s="64">
        <f t="shared" si="34"/>
        <v>20.399999999999999</v>
      </c>
      <c r="Y91" s="64">
        <f t="shared" si="34"/>
        <v>20.700000000000003</v>
      </c>
      <c r="Z91" s="64">
        <f t="shared" si="34"/>
        <v>20</v>
      </c>
      <c r="AA91" s="64">
        <f t="shared" si="34"/>
        <v>19.899999999999999</v>
      </c>
      <c r="AB91" s="64">
        <f t="shared" si="34"/>
        <v>19.600000000000001</v>
      </c>
      <c r="AC91" s="64">
        <f t="shared" si="34"/>
        <v>19.3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0.61099999999999999</v>
      </c>
      <c r="G92" s="68">
        <v>0.52300000000000002</v>
      </c>
      <c r="H92" s="68">
        <v>0.45800000000000002</v>
      </c>
      <c r="I92" s="68">
        <v>0.47399999999999998</v>
      </c>
      <c r="J92" s="68">
        <v>0.57599999999999996</v>
      </c>
      <c r="K92" s="68">
        <v>0.49399999999999999</v>
      </c>
      <c r="L92" s="68">
        <v>0.7</v>
      </c>
      <c r="M92" s="68">
        <v>0.82899999999999996</v>
      </c>
      <c r="N92" s="68">
        <v>0.68100000000000005</v>
      </c>
      <c r="O92" s="68">
        <v>0.81499999999999995</v>
      </c>
      <c r="P92" s="68">
        <v>0.80800000000000005</v>
      </c>
      <c r="Q92" s="68">
        <v>0.61899999999999999</v>
      </c>
      <c r="R92" s="68">
        <v>0.58199999999999996</v>
      </c>
      <c r="S92" s="68">
        <v>0.72499999999999998</v>
      </c>
      <c r="T92" s="68">
        <v>0.8</v>
      </c>
      <c r="U92" s="68">
        <v>0.78700000000000003</v>
      </c>
      <c r="V92" s="68">
        <v>0.77600000000000002</v>
      </c>
      <c r="W92" s="68">
        <v>0.81699999999999995</v>
      </c>
      <c r="X92" s="68">
        <v>0.78</v>
      </c>
      <c r="Y92" s="68">
        <v>0.59899999999999998</v>
      </c>
      <c r="Z92" s="68">
        <v>0.58199999999999996</v>
      </c>
      <c r="AA92" s="68">
        <v>0.628</v>
      </c>
      <c r="AB92" s="68">
        <v>0.76400000000000001</v>
      </c>
      <c r="AC92" s="68">
        <v>0.79500000000000004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5">F31</f>
        <v>4</v>
      </c>
      <c r="G93" s="65">
        <f t="shared" si="35"/>
        <v>8</v>
      </c>
      <c r="H93" s="65">
        <f t="shared" si="35"/>
        <v>5</v>
      </c>
      <c r="I93" s="65">
        <f t="shared" si="35"/>
        <v>3</v>
      </c>
      <c r="J93" s="65">
        <f t="shared" si="35"/>
        <v>5</v>
      </c>
      <c r="K93" s="65">
        <f>K31</f>
        <v>7</v>
      </c>
      <c r="L93" s="65">
        <f t="shared" si="35"/>
        <v>9.3000000000000007</v>
      </c>
      <c r="M93" s="65">
        <f t="shared" si="35"/>
        <v>5.7</v>
      </c>
      <c r="N93" s="65">
        <f t="shared" si="35"/>
        <v>10</v>
      </c>
      <c r="O93" s="65">
        <f t="shared" si="35"/>
        <v>10.8</v>
      </c>
      <c r="P93" s="65">
        <f t="shared" si="35"/>
        <v>14.3</v>
      </c>
      <c r="Q93" s="65">
        <f t="shared" si="35"/>
        <v>14.5</v>
      </c>
      <c r="R93" s="65">
        <f t="shared" si="35"/>
        <v>14.8</v>
      </c>
      <c r="S93" s="65">
        <f t="shared" si="35"/>
        <v>17.399999999999999</v>
      </c>
      <c r="T93" s="65">
        <f t="shared" si="35"/>
        <v>13.6</v>
      </c>
      <c r="U93" s="65">
        <f t="shared" si="35"/>
        <v>14</v>
      </c>
      <c r="V93" s="65">
        <f t="shared" si="35"/>
        <v>14.5</v>
      </c>
      <c r="W93" s="65">
        <f t="shared" si="35"/>
        <v>13.4</v>
      </c>
      <c r="X93" s="65">
        <f t="shared" si="35"/>
        <v>12.3</v>
      </c>
      <c r="Y93" s="65">
        <f t="shared" si="35"/>
        <v>15.4</v>
      </c>
      <c r="Z93" s="65">
        <f t="shared" si="35"/>
        <v>14.5</v>
      </c>
      <c r="AA93" s="65">
        <f t="shared" si="35"/>
        <v>13</v>
      </c>
      <c r="AB93" s="65">
        <f t="shared" si="35"/>
        <v>10.8</v>
      </c>
      <c r="AC93" s="65">
        <f t="shared" si="35"/>
        <v>10.8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0.251</v>
      </c>
      <c r="G94" s="68">
        <v>0.25</v>
      </c>
      <c r="H94" s="68">
        <v>0.254</v>
      </c>
      <c r="I94" s="68">
        <v>0.25</v>
      </c>
      <c r="J94" s="68">
        <v>0.25600000000000001</v>
      </c>
      <c r="K94" s="68">
        <v>0.248</v>
      </c>
      <c r="L94" s="68">
        <v>0.25600000000000001</v>
      </c>
      <c r="M94" s="68">
        <v>0.25</v>
      </c>
      <c r="N94" s="68">
        <v>0.16300000000000001</v>
      </c>
      <c r="O94" s="68">
        <v>0.17599999999999999</v>
      </c>
      <c r="P94" s="68">
        <v>0.182</v>
      </c>
      <c r="Q94" s="68">
        <v>0.182</v>
      </c>
      <c r="R94" s="68">
        <v>0.20200000000000001</v>
      </c>
      <c r="S94" s="68">
        <v>0.192</v>
      </c>
      <c r="T94" s="68">
        <v>0.19900000000000001</v>
      </c>
      <c r="U94" s="68">
        <v>0.20200000000000001</v>
      </c>
      <c r="V94" s="68">
        <v>0.2</v>
      </c>
      <c r="W94" s="68">
        <v>0.21</v>
      </c>
      <c r="X94" s="68">
        <v>0.20399999999999999</v>
      </c>
      <c r="Y94" s="68">
        <v>0.192</v>
      </c>
      <c r="Z94" s="68">
        <v>0.16300000000000001</v>
      </c>
      <c r="AA94" s="68">
        <v>0.17199999999999999</v>
      </c>
      <c r="AB94" s="68">
        <v>0.16600000000000001</v>
      </c>
      <c r="AC94" s="68">
        <v>0.17199999999999999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2.2749999999999999E-2</v>
      </c>
      <c r="G95" s="68">
        <v>3.5200000000000002E-2</v>
      </c>
      <c r="H95" s="68">
        <v>0.03</v>
      </c>
      <c r="I95" s="68">
        <v>5.3600000000000002E-2</v>
      </c>
      <c r="J95" s="68">
        <v>5.2999999999999999E-2</v>
      </c>
      <c r="K95" s="68">
        <v>3.6400000000000002E-2</v>
      </c>
      <c r="L95" s="68">
        <v>0.2024</v>
      </c>
      <c r="M95" s="68">
        <v>0.22</v>
      </c>
      <c r="N95" s="68">
        <v>0.27829999999999999</v>
      </c>
      <c r="O95" s="68">
        <v>0.21479999999999999</v>
      </c>
      <c r="P95" s="68">
        <v>0.374</v>
      </c>
      <c r="Q95" s="68">
        <v>0.38600000000000001</v>
      </c>
      <c r="R95" s="68">
        <v>0.36899999999999999</v>
      </c>
      <c r="S95" s="68">
        <v>0.373</v>
      </c>
      <c r="T95" s="68">
        <v>0.40079999999999999</v>
      </c>
      <c r="U95" s="68">
        <v>0.38550000000000001</v>
      </c>
      <c r="V95" s="68">
        <v>0.38700000000000001</v>
      </c>
      <c r="W95" s="68">
        <v>0.38690000000000002</v>
      </c>
      <c r="X95" s="68">
        <v>0.373</v>
      </c>
      <c r="Y95" s="68">
        <v>0.4037</v>
      </c>
      <c r="Z95" s="68">
        <v>0.3805</v>
      </c>
      <c r="AA95" s="68">
        <v>0.40260000000000001</v>
      </c>
      <c r="AB95" s="68">
        <v>0.20530000000000001</v>
      </c>
      <c r="AC95" s="68">
        <v>0.20799999999999999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6">F34</f>
        <v>14.28</v>
      </c>
      <c r="G96" s="65">
        <f t="shared" si="36"/>
        <v>14.29</v>
      </c>
      <c r="H96" s="65">
        <f t="shared" si="36"/>
        <v>14.27</v>
      </c>
      <c r="I96" s="65">
        <f t="shared" si="36"/>
        <v>14.26</v>
      </c>
      <c r="J96" s="65">
        <f t="shared" si="36"/>
        <v>14.27</v>
      </c>
      <c r="K96" s="65">
        <f t="shared" si="36"/>
        <v>14.23</v>
      </c>
      <c r="L96" s="65">
        <f t="shared" si="36"/>
        <v>14.24</v>
      </c>
      <c r="M96" s="65">
        <f t="shared" si="36"/>
        <v>14.26</v>
      </c>
      <c r="N96" s="65">
        <f t="shared" si="36"/>
        <v>14.27</v>
      </c>
      <c r="O96" s="65">
        <f t="shared" si="36"/>
        <v>14.27</v>
      </c>
      <c r="P96" s="65">
        <f t="shared" si="36"/>
        <v>14.26</v>
      </c>
      <c r="Q96" s="65">
        <f t="shared" si="36"/>
        <v>14.25</v>
      </c>
      <c r="R96" s="65">
        <f t="shared" si="36"/>
        <v>14.26</v>
      </c>
      <c r="S96" s="65">
        <f t="shared" si="36"/>
        <v>14.24</v>
      </c>
      <c r="T96" s="65">
        <f t="shared" si="36"/>
        <v>14.28</v>
      </c>
      <c r="U96" s="65">
        <f t="shared" si="36"/>
        <v>14.29</v>
      </c>
      <c r="V96" s="65">
        <f t="shared" si="36"/>
        <v>14.28</v>
      </c>
      <c r="W96" s="65">
        <f t="shared" si="36"/>
        <v>14.28</v>
      </c>
      <c r="X96" s="65">
        <f t="shared" si="36"/>
        <v>14.22</v>
      </c>
      <c r="Y96" s="65">
        <f t="shared" si="36"/>
        <v>14.24</v>
      </c>
      <c r="Z96" s="65">
        <f t="shared" si="36"/>
        <v>14.28</v>
      </c>
      <c r="AA96" s="65">
        <f t="shared" si="36"/>
        <v>14.27</v>
      </c>
      <c r="AB96" s="65">
        <f t="shared" si="36"/>
        <v>14.24</v>
      </c>
      <c r="AC96" s="65">
        <f t="shared" si="36"/>
        <v>14.2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0.72</v>
      </c>
      <c r="G97" s="68">
        <v>0.71</v>
      </c>
      <c r="H97" s="68">
        <v>0.73</v>
      </c>
      <c r="I97" s="68">
        <v>0.74</v>
      </c>
      <c r="J97" s="68">
        <v>0.73</v>
      </c>
      <c r="K97" s="68">
        <v>0.77</v>
      </c>
      <c r="L97" s="68">
        <v>0.76</v>
      </c>
      <c r="M97" s="68">
        <v>0.74</v>
      </c>
      <c r="N97" s="68">
        <v>0.73</v>
      </c>
      <c r="O97" s="68">
        <v>0.73</v>
      </c>
      <c r="P97" s="68">
        <v>0.74</v>
      </c>
      <c r="Q97" s="68">
        <v>0.75</v>
      </c>
      <c r="R97" s="68">
        <v>0.74</v>
      </c>
      <c r="S97" s="68">
        <v>0.76</v>
      </c>
      <c r="T97" s="68">
        <v>0.72</v>
      </c>
      <c r="U97" s="68">
        <v>0.71</v>
      </c>
      <c r="V97" s="68">
        <v>0.72</v>
      </c>
      <c r="W97" s="68">
        <v>0.72</v>
      </c>
      <c r="X97" s="68">
        <v>0.78</v>
      </c>
      <c r="Y97" s="68">
        <v>0.76</v>
      </c>
      <c r="Z97" s="68">
        <v>0.72</v>
      </c>
      <c r="AA97" s="68">
        <v>0.73</v>
      </c>
      <c r="AB97" s="68">
        <v>0.76</v>
      </c>
      <c r="AC97" s="68">
        <v>0.8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7">F60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2.2000000000000002</v>
      </c>
      <c r="M98" s="64">
        <f t="shared" si="37"/>
        <v>0</v>
      </c>
      <c r="N98" s="64">
        <f t="shared" si="37"/>
        <v>0</v>
      </c>
      <c r="O98" s="64">
        <f t="shared" si="37"/>
        <v>2.2000000000000002</v>
      </c>
      <c r="P98" s="64">
        <f t="shared" si="37"/>
        <v>3</v>
      </c>
      <c r="Q98" s="64">
        <f t="shared" si="37"/>
        <v>4.5999999999999996</v>
      </c>
      <c r="R98" s="64">
        <f t="shared" si="37"/>
        <v>4.5999999999999996</v>
      </c>
      <c r="S98" s="64">
        <f t="shared" si="37"/>
        <v>4.7</v>
      </c>
      <c r="T98" s="64">
        <f t="shared" si="37"/>
        <v>4.5999999999999996</v>
      </c>
      <c r="U98" s="64">
        <f t="shared" si="37"/>
        <v>4.6999999999999993</v>
      </c>
      <c r="V98" s="64">
        <f t="shared" si="37"/>
        <v>4.6999999999999993</v>
      </c>
      <c r="W98" s="64">
        <f t="shared" si="37"/>
        <v>3</v>
      </c>
      <c r="X98" s="64">
        <f t="shared" si="37"/>
        <v>0</v>
      </c>
      <c r="Y98" s="64">
        <f t="shared" si="37"/>
        <v>2.2999999999999998</v>
      </c>
      <c r="Z98" s="64">
        <f t="shared" si="37"/>
        <v>0</v>
      </c>
      <c r="AA98" s="64">
        <f t="shared" si="37"/>
        <v>0</v>
      </c>
      <c r="AB98" s="64">
        <f t="shared" si="37"/>
        <v>0.8</v>
      </c>
      <c r="AC98" s="64">
        <f t="shared" si="3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8">F65</f>
        <v>1.03</v>
      </c>
      <c r="G99" s="64">
        <f t="shared" si="38"/>
        <v>0.99</v>
      </c>
      <c r="H99" s="64">
        <f t="shared" si="38"/>
        <v>0.92</v>
      </c>
      <c r="I99" s="64">
        <f t="shared" si="38"/>
        <v>0.89</v>
      </c>
      <c r="J99" s="64">
        <f t="shared" si="38"/>
        <v>0.88</v>
      </c>
      <c r="K99" s="64">
        <f t="shared" si="38"/>
        <v>0.92</v>
      </c>
      <c r="L99" s="64">
        <f t="shared" si="38"/>
        <v>1.26</v>
      </c>
      <c r="M99" s="64">
        <f t="shared" si="38"/>
        <v>1.0900000000000001</v>
      </c>
      <c r="N99" s="64">
        <f t="shared" si="38"/>
        <v>1.1499999999999999</v>
      </c>
      <c r="O99" s="64">
        <f t="shared" si="38"/>
        <v>1.32</v>
      </c>
      <c r="P99" s="64">
        <f t="shared" si="38"/>
        <v>1.41</v>
      </c>
      <c r="Q99" s="64">
        <f t="shared" si="38"/>
        <v>1.5</v>
      </c>
      <c r="R99" s="64">
        <f t="shared" si="38"/>
        <v>1.5699999999999998</v>
      </c>
      <c r="S99" s="64">
        <f t="shared" si="38"/>
        <v>1.58</v>
      </c>
      <c r="T99" s="64">
        <f t="shared" si="38"/>
        <v>1.59</v>
      </c>
      <c r="U99" s="64">
        <f t="shared" si="38"/>
        <v>1.6100000000000003</v>
      </c>
      <c r="V99" s="64">
        <f t="shared" si="38"/>
        <v>1.6</v>
      </c>
      <c r="W99" s="64">
        <f t="shared" si="38"/>
        <v>1.5</v>
      </c>
      <c r="X99" s="64">
        <f t="shared" si="38"/>
        <v>1.35</v>
      </c>
      <c r="Y99" s="64">
        <f t="shared" si="38"/>
        <v>1.6</v>
      </c>
      <c r="Z99" s="64">
        <f t="shared" si="38"/>
        <v>1.73</v>
      </c>
      <c r="AA99" s="64">
        <f t="shared" si="38"/>
        <v>1.63</v>
      </c>
      <c r="AB99" s="64">
        <f t="shared" si="38"/>
        <v>1.44</v>
      </c>
      <c r="AC99" s="64">
        <f t="shared" si="38"/>
        <v>1.31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9">F76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40">F80</f>
        <v>0.81</v>
      </c>
      <c r="G101" s="64">
        <f t="shared" si="40"/>
        <v>0.77</v>
      </c>
      <c r="H101" s="64">
        <f t="shared" si="40"/>
        <v>0.76</v>
      </c>
      <c r="I101" s="64">
        <f t="shared" si="40"/>
        <v>0.73</v>
      </c>
      <c r="J101" s="64">
        <f t="shared" si="40"/>
        <v>0.71</v>
      </c>
      <c r="K101" s="64">
        <f t="shared" si="40"/>
        <v>0.72</v>
      </c>
      <c r="L101" s="64">
        <f t="shared" si="40"/>
        <v>0.83</v>
      </c>
      <c r="M101" s="64">
        <f t="shared" si="40"/>
        <v>0.73</v>
      </c>
      <c r="N101" s="64">
        <f t="shared" si="40"/>
        <v>0.72</v>
      </c>
      <c r="O101" s="64">
        <f t="shared" si="40"/>
        <v>0.8</v>
      </c>
      <c r="P101" s="64">
        <f t="shared" si="40"/>
        <v>0.85</v>
      </c>
      <c r="Q101" s="64">
        <f t="shared" si="40"/>
        <v>0.87</v>
      </c>
      <c r="R101" s="64">
        <f t="shared" si="40"/>
        <v>0.91</v>
      </c>
      <c r="S101" s="64">
        <f t="shared" si="40"/>
        <v>0.91</v>
      </c>
      <c r="T101" s="64">
        <f t="shared" si="40"/>
        <v>0.93</v>
      </c>
      <c r="U101" s="64">
        <f t="shared" si="40"/>
        <v>0.94</v>
      </c>
      <c r="V101" s="64">
        <f t="shared" si="40"/>
        <v>0.91</v>
      </c>
      <c r="W101" s="64">
        <f t="shared" si="40"/>
        <v>0.9</v>
      </c>
      <c r="X101" s="64">
        <f t="shared" si="40"/>
        <v>0.89</v>
      </c>
      <c r="Y101" s="64">
        <f t="shared" si="40"/>
        <v>0.99</v>
      </c>
      <c r="Z101" s="64">
        <f t="shared" si="40"/>
        <v>1.03</v>
      </c>
      <c r="AA101" s="64">
        <f t="shared" si="40"/>
        <v>1.02</v>
      </c>
      <c r="AB101" s="64">
        <f t="shared" si="40"/>
        <v>0.96</v>
      </c>
      <c r="AC101" s="64">
        <f t="shared" si="40"/>
        <v>0.89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41">F82</f>
        <v>0</v>
      </c>
      <c r="G102" s="64">
        <f t="shared" si="41"/>
        <v>0</v>
      </c>
      <c r="H102" s="64">
        <f t="shared" si="41"/>
        <v>0</v>
      </c>
      <c r="I102" s="64">
        <f t="shared" si="41"/>
        <v>0</v>
      </c>
      <c r="J102" s="64">
        <f t="shared" si="41"/>
        <v>0</v>
      </c>
      <c r="K102" s="64">
        <f t="shared" si="41"/>
        <v>0</v>
      </c>
      <c r="L102" s="64">
        <f t="shared" si="41"/>
        <v>0</v>
      </c>
      <c r="M102" s="64">
        <f t="shared" si="41"/>
        <v>0</v>
      </c>
      <c r="N102" s="64">
        <f t="shared" si="41"/>
        <v>0</v>
      </c>
      <c r="O102" s="64">
        <f t="shared" si="41"/>
        <v>0</v>
      </c>
      <c r="P102" s="64">
        <f t="shared" si="41"/>
        <v>0</v>
      </c>
      <c r="Q102" s="64">
        <f t="shared" si="41"/>
        <v>0</v>
      </c>
      <c r="R102" s="64">
        <f t="shared" si="41"/>
        <v>0</v>
      </c>
      <c r="S102" s="64">
        <f t="shared" si="41"/>
        <v>0</v>
      </c>
      <c r="T102" s="64">
        <f t="shared" si="41"/>
        <v>0</v>
      </c>
      <c r="U102" s="64">
        <f t="shared" si="41"/>
        <v>0</v>
      </c>
      <c r="V102" s="64">
        <f t="shared" si="41"/>
        <v>0</v>
      </c>
      <c r="W102" s="64">
        <f t="shared" si="41"/>
        <v>0</v>
      </c>
      <c r="X102" s="64">
        <f t="shared" si="41"/>
        <v>0</v>
      </c>
      <c r="Y102" s="64">
        <f t="shared" si="41"/>
        <v>0</v>
      </c>
      <c r="Z102" s="64">
        <f t="shared" si="41"/>
        <v>0</v>
      </c>
      <c r="AA102" s="64">
        <f t="shared" si="41"/>
        <v>0</v>
      </c>
      <c r="AB102" s="64">
        <f t="shared" si="41"/>
        <v>0</v>
      </c>
      <c r="AC102" s="64">
        <f t="shared" si="4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42">SUM(F89,F91,F93,F96,F98:F102,F81)</f>
        <v>39.720000000000006</v>
      </c>
      <c r="G103" s="61">
        <f t="shared" si="42"/>
        <v>37.150000000000006</v>
      </c>
      <c r="H103" s="61">
        <f t="shared" si="42"/>
        <v>34.75</v>
      </c>
      <c r="I103" s="61">
        <f t="shared" si="42"/>
        <v>31.88</v>
      </c>
      <c r="J103" s="61">
        <f t="shared" si="42"/>
        <v>33.86</v>
      </c>
      <c r="K103" s="61">
        <f t="shared" si="42"/>
        <v>35.97</v>
      </c>
      <c r="L103" s="61">
        <f t="shared" si="42"/>
        <v>41.13</v>
      </c>
      <c r="M103" s="61">
        <f t="shared" si="42"/>
        <v>36.78</v>
      </c>
      <c r="N103" s="61">
        <f t="shared" si="42"/>
        <v>41.74</v>
      </c>
      <c r="O103" s="61">
        <f t="shared" si="42"/>
        <v>53.29</v>
      </c>
      <c r="P103" s="61">
        <f t="shared" si="42"/>
        <v>57.419999999999995</v>
      </c>
      <c r="Q103" s="61">
        <f t="shared" si="42"/>
        <v>59.319999999999993</v>
      </c>
      <c r="R103" s="61">
        <f t="shared" si="42"/>
        <v>59.739999999999995</v>
      </c>
      <c r="S103" s="61">
        <f t="shared" si="42"/>
        <v>62.73</v>
      </c>
      <c r="T103" s="61">
        <f t="shared" si="42"/>
        <v>61.600000000000009</v>
      </c>
      <c r="U103" s="61">
        <f t="shared" si="42"/>
        <v>63.039999999999992</v>
      </c>
      <c r="V103" s="61">
        <f t="shared" si="42"/>
        <v>62.49</v>
      </c>
      <c r="W103" s="61">
        <f t="shared" si="42"/>
        <v>59.879999999999995</v>
      </c>
      <c r="X103" s="61">
        <f t="shared" si="42"/>
        <v>55.160000000000004</v>
      </c>
      <c r="Y103" s="61">
        <f t="shared" si="42"/>
        <v>62.430000000000007</v>
      </c>
      <c r="Z103" s="61">
        <f t="shared" si="42"/>
        <v>58.54</v>
      </c>
      <c r="AA103" s="61">
        <f t="shared" si="42"/>
        <v>55.820000000000007</v>
      </c>
      <c r="AB103" s="61">
        <f t="shared" si="42"/>
        <v>51.14</v>
      </c>
      <c r="AC103" s="61">
        <f t="shared" si="42"/>
        <v>46.5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>
        <v>2.0699999999999998</v>
      </c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>
        <v>1.66</v>
      </c>
      <c r="U106" s="76">
        <v>1.66</v>
      </c>
      <c r="V106" s="76">
        <v>1.66</v>
      </c>
      <c r="W106" s="76">
        <v>1.66</v>
      </c>
      <c r="X106" s="76">
        <v>1.66</v>
      </c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43">SUM(F104:F106)</f>
        <v>0</v>
      </c>
      <c r="G107" s="61">
        <f t="shared" si="43"/>
        <v>0</v>
      </c>
      <c r="H107" s="61">
        <f t="shared" si="43"/>
        <v>0</v>
      </c>
      <c r="I107" s="61">
        <f t="shared" si="43"/>
        <v>2.0699999999999998</v>
      </c>
      <c r="J107" s="61">
        <f t="shared" si="43"/>
        <v>0</v>
      </c>
      <c r="K107" s="61">
        <f t="shared" si="43"/>
        <v>0</v>
      </c>
      <c r="L107" s="61">
        <f t="shared" si="43"/>
        <v>0</v>
      </c>
      <c r="M107" s="61">
        <f t="shared" si="43"/>
        <v>0</v>
      </c>
      <c r="N107" s="61">
        <f t="shared" si="43"/>
        <v>0</v>
      </c>
      <c r="O107" s="61">
        <f t="shared" si="43"/>
        <v>0</v>
      </c>
      <c r="P107" s="61">
        <f t="shared" si="43"/>
        <v>0</v>
      </c>
      <c r="Q107" s="61">
        <f t="shared" si="43"/>
        <v>0</v>
      </c>
      <c r="R107" s="61">
        <f t="shared" si="43"/>
        <v>0</v>
      </c>
      <c r="S107" s="61">
        <f t="shared" si="43"/>
        <v>0</v>
      </c>
      <c r="T107" s="61">
        <f t="shared" si="43"/>
        <v>1.66</v>
      </c>
      <c r="U107" s="61">
        <f t="shared" si="43"/>
        <v>1.66</v>
      </c>
      <c r="V107" s="61">
        <f t="shared" si="43"/>
        <v>1.66</v>
      </c>
      <c r="W107" s="61">
        <f t="shared" si="43"/>
        <v>1.66</v>
      </c>
      <c r="X107" s="61">
        <f t="shared" si="43"/>
        <v>1.66</v>
      </c>
      <c r="Y107" s="61">
        <f t="shared" si="43"/>
        <v>0</v>
      </c>
      <c r="Z107" s="61">
        <f t="shared" si="43"/>
        <v>0</v>
      </c>
      <c r="AA107" s="61">
        <f t="shared" si="43"/>
        <v>0</v>
      </c>
      <c r="AB107" s="61">
        <f t="shared" si="43"/>
        <v>0</v>
      </c>
      <c r="AC107" s="61">
        <f t="shared" si="4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44">F103+F107</f>
        <v>39.720000000000006</v>
      </c>
      <c r="G108" s="62">
        <f t="shared" si="44"/>
        <v>37.150000000000006</v>
      </c>
      <c r="H108" s="62">
        <f t="shared" si="44"/>
        <v>34.75</v>
      </c>
      <c r="I108" s="62">
        <f t="shared" si="44"/>
        <v>33.949999999999996</v>
      </c>
      <c r="J108" s="62">
        <f t="shared" si="44"/>
        <v>33.86</v>
      </c>
      <c r="K108" s="62">
        <f t="shared" si="44"/>
        <v>35.97</v>
      </c>
      <c r="L108" s="62">
        <f t="shared" si="44"/>
        <v>41.13</v>
      </c>
      <c r="M108" s="62">
        <f t="shared" si="44"/>
        <v>36.78</v>
      </c>
      <c r="N108" s="62">
        <f>N103+N107</f>
        <v>41.74</v>
      </c>
      <c r="O108" s="62">
        <f t="shared" si="44"/>
        <v>53.29</v>
      </c>
      <c r="P108" s="62">
        <f>P103+P107</f>
        <v>57.419999999999995</v>
      </c>
      <c r="Q108" s="62">
        <f t="shared" si="44"/>
        <v>59.319999999999993</v>
      </c>
      <c r="R108" s="62">
        <f t="shared" si="44"/>
        <v>59.739999999999995</v>
      </c>
      <c r="S108" s="62">
        <f t="shared" si="44"/>
        <v>62.73</v>
      </c>
      <c r="T108" s="62">
        <f>T103+T107</f>
        <v>63.260000000000005</v>
      </c>
      <c r="U108" s="62">
        <f t="shared" si="44"/>
        <v>64.699999999999989</v>
      </c>
      <c r="V108" s="62">
        <f t="shared" si="44"/>
        <v>64.150000000000006</v>
      </c>
      <c r="W108" s="62">
        <f>W103+W107</f>
        <v>61.539999999999992</v>
      </c>
      <c r="X108" s="62">
        <f t="shared" si="44"/>
        <v>56.82</v>
      </c>
      <c r="Y108" s="62">
        <f t="shared" si="44"/>
        <v>62.430000000000007</v>
      </c>
      <c r="Z108" s="62">
        <f t="shared" si="44"/>
        <v>58.54</v>
      </c>
      <c r="AA108" s="62">
        <f t="shared" si="44"/>
        <v>55.820000000000007</v>
      </c>
      <c r="AB108" s="62">
        <f t="shared" si="44"/>
        <v>51.14</v>
      </c>
      <c r="AC108" s="62">
        <f t="shared" si="44"/>
        <v>46.5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5">(COUNT(F13:F16))*7.2+(COUNT(F27:F28)*4.9)+(COUNT(F19:F21)*4.5)-F91-F93</f>
        <v>7.8000000000000007</v>
      </c>
      <c r="G109" s="63">
        <f t="shared" si="45"/>
        <v>3.1000000000000032</v>
      </c>
      <c r="H109" s="63">
        <f t="shared" si="45"/>
        <v>5.4000000000000021</v>
      </c>
      <c r="I109" s="63">
        <f t="shared" si="45"/>
        <v>8.2000000000000028</v>
      </c>
      <c r="J109" s="63">
        <f t="shared" si="45"/>
        <v>13.399999999999999</v>
      </c>
      <c r="K109" s="63">
        <f t="shared" si="45"/>
        <v>4.1000000000000032</v>
      </c>
      <c r="L109" s="63">
        <f t="shared" si="45"/>
        <v>1.6000000000000014</v>
      </c>
      <c r="M109" s="63">
        <f t="shared" si="45"/>
        <v>12.700000000000003</v>
      </c>
      <c r="N109" s="63">
        <f t="shared" si="45"/>
        <v>-4.2999999999999989</v>
      </c>
      <c r="O109" s="63">
        <f t="shared" si="45"/>
        <v>-4.4000000000000021</v>
      </c>
      <c r="P109" s="63">
        <f t="shared" si="45"/>
        <v>-7.5999999999999979</v>
      </c>
      <c r="Q109" s="63">
        <f t="shared" si="45"/>
        <v>-7.7999999999999972</v>
      </c>
      <c r="R109" s="63">
        <f t="shared" si="45"/>
        <v>-8.0999999999999979</v>
      </c>
      <c r="S109" s="63">
        <f t="shared" si="45"/>
        <v>-11</v>
      </c>
      <c r="T109" s="63">
        <f t="shared" si="45"/>
        <v>-2.0999999999999996</v>
      </c>
      <c r="U109" s="63">
        <f t="shared" si="45"/>
        <v>-3.3999999999999986</v>
      </c>
      <c r="V109" s="63">
        <f t="shared" si="45"/>
        <v>-3</v>
      </c>
      <c r="W109" s="63">
        <f t="shared" si="45"/>
        <v>-2.1999999999999975</v>
      </c>
      <c r="X109" s="63">
        <f t="shared" si="45"/>
        <v>-1.6999999999999993</v>
      </c>
      <c r="Y109" s="63">
        <f t="shared" si="45"/>
        <v>-5.1000000000000032</v>
      </c>
      <c r="Z109" s="63">
        <f t="shared" si="45"/>
        <v>-3.5</v>
      </c>
      <c r="AA109" s="63">
        <f t="shared" si="45"/>
        <v>-1.8999999999999986</v>
      </c>
      <c r="AB109" s="63">
        <f t="shared" si="45"/>
        <v>0.59999999999999787</v>
      </c>
      <c r="AC109" s="63">
        <f t="shared" si="45"/>
        <v>-3.6000000000000014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6.4</v>
      </c>
      <c r="G110" s="205">
        <f t="shared" si="46"/>
        <v>1.7000000000000011</v>
      </c>
      <c r="H110" s="205">
        <f t="shared" si="46"/>
        <v>4</v>
      </c>
      <c r="I110" s="205">
        <f t="shared" si="46"/>
        <v>6.8000000000000007</v>
      </c>
      <c r="J110" s="205">
        <f t="shared" si="46"/>
        <v>12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2.7000000000000011</v>
      </c>
      <c r="L110" s="205">
        <f t="shared" si="46"/>
        <v>0.19999999999999929</v>
      </c>
      <c r="M110" s="205">
        <f t="shared" si="46"/>
        <v>13.8</v>
      </c>
      <c r="N110" s="205">
        <f>(AND(IF(N13&lt;&gt;0,1,0),IF(N13&lt;&gt;"CMS",1,0))*7.2)+(AND(IF(N14&lt;&gt;0,1,0),IF(N14&lt;&gt;"CMS",1,0))*7.2)+(AND(IF(N15&lt;&gt;0,1,0),IF(N15&lt;&gt;"CMS",1,0))*7.2)+(AND(IF(N16&lt;&gt;0,1,0),IF(N16&lt;&gt;"CMS",1,0))*7.2)-N17
+(AND(IF(N27&lt;&gt;0,1,0),IF(N27&lt;&gt;"CMS",1,0))*4.9)+(AND(IF(N28&lt;&gt;0,1,0),IF(N28&lt;&gt;"CMS",1,0))*3.5)-N31
+AND(IF(N24&lt;&gt;0,1,0),IF(N24&lt;&gt;"CMS",1,0))*4.5-N25
+(AND(IF(N19&lt;&gt;0,1,0),IF(N19&lt;&gt;"CMS",1,0))*3.5)+(AND(IF(N20&lt;&gt;0,1,0),IF(N20&lt;&gt;"CMS",1,0))*4.5)+(AND(IF(N21&lt;&gt;0,1,0),IF(N21&lt;&gt;"CMS",1,0))*4.5)-N22</f>
        <v>-3.1999999999999993</v>
      </c>
      <c r="O110" s="205">
        <f t="shared" si="46"/>
        <v>-5.1000000000000005</v>
      </c>
      <c r="P110" s="205">
        <f t="shared" si="46"/>
        <v>-8.2999999999999972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-7.0999999999999952</v>
      </c>
      <c r="R110" s="205">
        <f t="shared" ref="R110:AC110" si="4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-7.7999999999999963</v>
      </c>
      <c r="S110" s="205">
        <f t="shared" si="47"/>
        <v>-10.7</v>
      </c>
      <c r="T110" s="205">
        <f t="shared" si="47"/>
        <v>-5.0999999999999979</v>
      </c>
      <c r="U110" s="205">
        <f t="shared" si="47"/>
        <v>-6.3999999999999968</v>
      </c>
      <c r="V110" s="205">
        <f t="shared" si="47"/>
        <v>-5.8999999999999986</v>
      </c>
      <c r="W110" s="205">
        <f t="shared" si="47"/>
        <v>-5.0999999999999961</v>
      </c>
      <c r="X110" s="205">
        <f t="shared" si="47"/>
        <v>-3.5999999999999979</v>
      </c>
      <c r="Y110" s="205">
        <f t="shared" si="47"/>
        <v>-8.2000000000000011</v>
      </c>
      <c r="Z110" s="205">
        <f t="shared" si="47"/>
        <v>-6.3999999999999986</v>
      </c>
      <c r="AA110" s="205">
        <f t="shared" si="47"/>
        <v>-3.7999999999999972</v>
      </c>
      <c r="AB110" s="205">
        <f t="shared" si="47"/>
        <v>-3.1000000000000005</v>
      </c>
      <c r="AC110" s="205">
        <f t="shared" si="47"/>
        <v>-4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60.12</v>
      </c>
      <c r="G111" s="456">
        <v>60.12</v>
      </c>
      <c r="H111" s="456">
        <v>60.01</v>
      </c>
      <c r="I111" s="456">
        <v>60.2</v>
      </c>
      <c r="J111" s="456">
        <v>60.08</v>
      </c>
      <c r="K111" s="456">
        <v>60.17</v>
      </c>
      <c r="L111" s="456">
        <v>60.12</v>
      </c>
      <c r="M111" s="456">
        <v>60.23</v>
      </c>
      <c r="N111" s="456">
        <v>60.03</v>
      </c>
      <c r="O111" s="456">
        <v>60.04</v>
      </c>
      <c r="P111" s="456">
        <v>60.06</v>
      </c>
      <c r="Q111" s="456">
        <v>60.11</v>
      </c>
      <c r="R111" s="456">
        <v>60.12</v>
      </c>
      <c r="S111" s="456">
        <v>60.09</v>
      </c>
      <c r="T111" s="456">
        <v>60.08</v>
      </c>
      <c r="U111" s="456">
        <v>60.06</v>
      </c>
      <c r="V111" s="456">
        <v>60.14</v>
      </c>
      <c r="W111" s="456">
        <v>60.1</v>
      </c>
      <c r="X111" s="456">
        <v>60.05</v>
      </c>
      <c r="Y111" s="456">
        <v>60.09</v>
      </c>
      <c r="Z111" s="456">
        <v>60.07</v>
      </c>
      <c r="AA111" s="456">
        <v>60.09</v>
      </c>
      <c r="AB111" s="456">
        <v>60.14</v>
      </c>
      <c r="AC111" s="456">
        <v>60.15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97</v>
      </c>
      <c r="G115" s="520" t="s">
        <v>97</v>
      </c>
      <c r="H115" s="520" t="s">
        <v>97</v>
      </c>
      <c r="I115" s="520" t="s">
        <v>97</v>
      </c>
      <c r="J115" s="520" t="s">
        <v>97</v>
      </c>
      <c r="K115" s="520" t="s">
        <v>97</v>
      </c>
      <c r="L115" s="520" t="s">
        <v>97</v>
      </c>
      <c r="M115" s="520" t="s">
        <v>97</v>
      </c>
      <c r="N115" s="520" t="s">
        <v>97</v>
      </c>
      <c r="O115" s="520" t="s">
        <v>97</v>
      </c>
      <c r="P115" s="520" t="s">
        <v>97</v>
      </c>
      <c r="Q115" s="520" t="s">
        <v>97</v>
      </c>
      <c r="R115" s="520" t="s">
        <v>97</v>
      </c>
      <c r="S115" s="520" t="s">
        <v>97</v>
      </c>
      <c r="T115" s="520" t="s">
        <v>97</v>
      </c>
      <c r="U115" s="520" t="s">
        <v>97</v>
      </c>
      <c r="V115" s="520" t="s">
        <v>97</v>
      </c>
      <c r="W115" s="520" t="s">
        <v>97</v>
      </c>
      <c r="X115" s="520" t="s">
        <v>97</v>
      </c>
      <c r="Y115" s="520" t="s">
        <v>97</v>
      </c>
      <c r="Z115" s="520" t="s">
        <v>97</v>
      </c>
      <c r="AA115" s="520" t="s">
        <v>97</v>
      </c>
      <c r="AB115" s="520" t="s">
        <v>97</v>
      </c>
      <c r="AC115" s="520" t="s">
        <v>97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N13:O13 D42:E42 O14:O16 I15:N15 N16 L13:L14 I16:L16 O52:AC55 P49:AC49 H14:K14 M52:M55 H36:J59 L36:L59 H63 I62:J64 N50:AC51 N56:AC59 N36:AC48 P13:AC16 N62:AC64">
    <cfRule type="cellIs" dxfId="2561" priority="468" operator="equal">
      <formula>"PMS"</formula>
    </cfRule>
    <cfRule type="containsText" dxfId="2560" priority="469" operator="containsText" text="CMS">
      <formula>NOT(ISERROR(SEARCH("CMS",D13)))</formula>
    </cfRule>
    <cfRule type="cellIs" dxfId="2559" priority="470" operator="equal">
      <formula>0</formula>
    </cfRule>
    <cfRule type="cellIs" dxfId="2558" priority="471" operator="greaterThan">
      <formula>0</formula>
    </cfRule>
    <cfRule type="cellIs" dxfId="2557" priority="472" operator="equal">
      <formula>"PMS"</formula>
    </cfRule>
    <cfRule type="containsText" dxfId="2556" priority="473" operator="containsText" text="CMS">
      <formula>NOT(ISERROR(SEARCH("CMS",D13)))</formula>
    </cfRule>
    <cfRule type="cellIs" dxfId="2555" priority="474" operator="equal">
      <formula>0</formula>
    </cfRule>
    <cfRule type="cellIs" dxfId="2554" priority="475" operator="greaterThan">
      <formula>0</formula>
    </cfRule>
  </conditionalFormatting>
  <conditionalFormatting sqref="H13:J13 N13:O13 D42:E42 O14:O16 I15:N15 N16 L13:L14 I16:L16 O52:AC55 P49:AC49 H14:K14 M52:M55 H36:J59 L36:L59 H63 I62:J64 N50:AC51 N56:AC59 N36:AC48 P13:AC16 N62:AC64">
    <cfRule type="cellIs" dxfId="2553" priority="464" operator="equal">
      <formula>"PMS"</formula>
    </cfRule>
    <cfRule type="containsText" dxfId="2552" priority="465" operator="containsText" text="CMS">
      <formula>NOT(ISERROR(SEARCH("CMS",D13)))</formula>
    </cfRule>
    <cfRule type="cellIs" dxfId="2551" priority="466" operator="equal">
      <formula>0</formula>
    </cfRule>
    <cfRule type="cellIs" dxfId="2550" priority="467" operator="greaterThan">
      <formula>0</formula>
    </cfRule>
  </conditionalFormatting>
  <conditionalFormatting sqref="G67:AC75">
    <cfRule type="cellIs" dxfId="2549" priority="456" operator="equal">
      <formula>"PMS"</formula>
    </cfRule>
    <cfRule type="containsText" dxfId="2548" priority="457" operator="containsText" text="CMS">
      <formula>NOT(ISERROR(SEARCH("CMS",G67)))</formula>
    </cfRule>
    <cfRule type="cellIs" dxfId="2547" priority="458" operator="equal">
      <formula>0</formula>
    </cfRule>
    <cfRule type="cellIs" dxfId="2546" priority="459" operator="greaterThan">
      <formula>0</formula>
    </cfRule>
    <cfRule type="cellIs" dxfId="2545" priority="460" operator="equal">
      <formula>"PMS"</formula>
    </cfRule>
    <cfRule type="containsText" dxfId="2544" priority="461" operator="containsText" text="CMS">
      <formula>NOT(ISERROR(SEARCH("CMS",G67)))</formula>
    </cfRule>
    <cfRule type="cellIs" dxfId="2543" priority="462" operator="equal">
      <formula>0</formula>
    </cfRule>
    <cfRule type="cellIs" dxfId="2542" priority="463" operator="greaterThan">
      <formula>0</formula>
    </cfRule>
  </conditionalFormatting>
  <conditionalFormatting sqref="G67:AC75">
    <cfRule type="cellIs" dxfId="2541" priority="452" operator="equal">
      <formula>"PMS"</formula>
    </cfRule>
    <cfRule type="containsText" dxfId="2540" priority="453" operator="containsText" text="CMS">
      <formula>NOT(ISERROR(SEARCH("CMS",G67)))</formula>
    </cfRule>
    <cfRule type="cellIs" dxfId="2539" priority="454" operator="equal">
      <formula>0</formula>
    </cfRule>
    <cfRule type="cellIs" dxfId="2538" priority="455" operator="greaterThan">
      <formula>0</formula>
    </cfRule>
  </conditionalFormatting>
  <conditionalFormatting sqref="G82:AC82">
    <cfRule type="cellIs" dxfId="2537" priority="444" operator="equal">
      <formula>"PMS"</formula>
    </cfRule>
    <cfRule type="containsText" dxfId="2536" priority="445" operator="containsText" text="CMS">
      <formula>NOT(ISERROR(SEARCH("CMS",G82)))</formula>
    </cfRule>
    <cfRule type="cellIs" dxfId="2535" priority="446" operator="equal">
      <formula>0</formula>
    </cfRule>
    <cfRule type="cellIs" dxfId="2534" priority="447" operator="greaterThan">
      <formula>0</formula>
    </cfRule>
    <cfRule type="cellIs" dxfId="2533" priority="448" operator="equal">
      <formula>"PMS"</formula>
    </cfRule>
    <cfRule type="containsText" dxfId="2532" priority="449" operator="containsText" text="CMS">
      <formula>NOT(ISERROR(SEARCH("CMS",G82)))</formula>
    </cfRule>
    <cfRule type="cellIs" dxfId="2531" priority="450" operator="equal">
      <formula>0</formula>
    </cfRule>
    <cfRule type="cellIs" dxfId="2530" priority="451" operator="greaterThan">
      <formula>0</formula>
    </cfRule>
  </conditionalFormatting>
  <conditionalFormatting sqref="G82:AC82">
    <cfRule type="cellIs" dxfId="2529" priority="440" operator="equal">
      <formula>"PMS"</formula>
    </cfRule>
    <cfRule type="containsText" dxfId="2528" priority="441" operator="containsText" text="CMS">
      <formula>NOT(ISERROR(SEARCH("CMS",G82)))</formula>
    </cfRule>
    <cfRule type="cellIs" dxfId="2527" priority="442" operator="equal">
      <formula>0</formula>
    </cfRule>
    <cfRule type="cellIs" dxfId="2526" priority="443" operator="greaterThan">
      <formula>0</formula>
    </cfRule>
  </conditionalFormatting>
  <conditionalFormatting sqref="G13">
    <cfRule type="cellIs" dxfId="2525" priority="432" operator="equal">
      <formula>"PMS"</formula>
    </cfRule>
    <cfRule type="containsText" dxfId="2524" priority="433" operator="containsText" text="CMS">
      <formula>NOT(ISERROR(SEARCH("CMS",G13)))</formula>
    </cfRule>
    <cfRule type="cellIs" dxfId="2523" priority="434" operator="equal">
      <formula>0</formula>
    </cfRule>
    <cfRule type="cellIs" dxfId="2522" priority="435" operator="greaterThan">
      <formula>0</formula>
    </cfRule>
    <cfRule type="cellIs" dxfId="2521" priority="436" operator="equal">
      <formula>"PMS"</formula>
    </cfRule>
    <cfRule type="containsText" dxfId="2520" priority="437" operator="containsText" text="CMS">
      <formula>NOT(ISERROR(SEARCH("CMS",G13)))</formula>
    </cfRule>
    <cfRule type="cellIs" dxfId="2519" priority="438" operator="equal">
      <formula>0</formula>
    </cfRule>
    <cfRule type="cellIs" dxfId="2518" priority="439" operator="greaterThan">
      <formula>0</formula>
    </cfRule>
  </conditionalFormatting>
  <conditionalFormatting sqref="G13">
    <cfRule type="cellIs" dxfId="2517" priority="428" operator="equal">
      <formula>"PMS"</formula>
    </cfRule>
    <cfRule type="containsText" dxfId="2516" priority="429" operator="containsText" text="CMS">
      <formula>NOT(ISERROR(SEARCH("CMS",G13)))</formula>
    </cfRule>
    <cfRule type="cellIs" dxfId="2515" priority="430" operator="equal">
      <formula>0</formula>
    </cfRule>
    <cfRule type="cellIs" dxfId="2514" priority="431" operator="greaterThan">
      <formula>0</formula>
    </cfRule>
  </conditionalFormatting>
  <conditionalFormatting sqref="M13">
    <cfRule type="cellIs" dxfId="2513" priority="420" operator="equal">
      <formula>"PMS"</formula>
    </cfRule>
    <cfRule type="containsText" dxfId="2512" priority="421" operator="containsText" text="CMS">
      <formula>NOT(ISERROR(SEARCH("CMS",M13)))</formula>
    </cfRule>
    <cfRule type="cellIs" dxfId="2511" priority="422" operator="equal">
      <formula>0</formula>
    </cfRule>
    <cfRule type="cellIs" dxfId="2510" priority="423" operator="greaterThan">
      <formula>0</formula>
    </cfRule>
    <cfRule type="cellIs" dxfId="2509" priority="424" operator="equal">
      <formula>"PMS"</formula>
    </cfRule>
    <cfRule type="containsText" dxfId="2508" priority="425" operator="containsText" text="CMS">
      <formula>NOT(ISERROR(SEARCH("CMS",M13)))</formula>
    </cfRule>
    <cfRule type="cellIs" dxfId="2507" priority="426" operator="equal">
      <formula>0</formula>
    </cfRule>
    <cfRule type="cellIs" dxfId="2506" priority="427" operator="greaterThan">
      <formula>0</formula>
    </cfRule>
  </conditionalFormatting>
  <conditionalFormatting sqref="M13">
    <cfRule type="cellIs" dxfId="2505" priority="416" operator="equal">
      <formula>"PMS"</formula>
    </cfRule>
    <cfRule type="containsText" dxfId="2504" priority="417" operator="containsText" text="CMS">
      <formula>NOT(ISERROR(SEARCH("CMS",M13)))</formula>
    </cfRule>
    <cfRule type="cellIs" dxfId="2503" priority="418" operator="equal">
      <formula>0</formula>
    </cfRule>
    <cfRule type="cellIs" dxfId="2502" priority="419" operator="greaterThan">
      <formula>0</formula>
    </cfRule>
  </conditionalFormatting>
  <conditionalFormatting sqref="K13">
    <cfRule type="cellIs" dxfId="2501" priority="408" operator="equal">
      <formula>"PMS"</formula>
    </cfRule>
    <cfRule type="containsText" dxfId="2500" priority="409" operator="containsText" text="CMS">
      <formula>NOT(ISERROR(SEARCH("CMS",K13)))</formula>
    </cfRule>
    <cfRule type="cellIs" dxfId="2499" priority="410" operator="equal">
      <formula>0</formula>
    </cfRule>
    <cfRule type="cellIs" dxfId="2498" priority="411" operator="greaterThan">
      <formula>0</formula>
    </cfRule>
    <cfRule type="cellIs" dxfId="2497" priority="412" operator="equal">
      <formula>"PMS"</formula>
    </cfRule>
    <cfRule type="containsText" dxfId="2496" priority="413" operator="containsText" text="CMS">
      <formula>NOT(ISERROR(SEARCH("CMS",K13)))</formula>
    </cfRule>
    <cfRule type="cellIs" dxfId="2495" priority="414" operator="equal">
      <formula>0</formula>
    </cfRule>
    <cfRule type="cellIs" dxfId="2494" priority="415" operator="greaterThan">
      <formula>0</formula>
    </cfRule>
  </conditionalFormatting>
  <conditionalFormatting sqref="K13">
    <cfRule type="cellIs" dxfId="2493" priority="404" operator="equal">
      <formula>"PMS"</formula>
    </cfRule>
    <cfRule type="containsText" dxfId="2492" priority="405" operator="containsText" text="CMS">
      <formula>NOT(ISERROR(SEARCH("CMS",K13)))</formula>
    </cfRule>
    <cfRule type="cellIs" dxfId="2491" priority="406" operator="equal">
      <formula>0</formula>
    </cfRule>
    <cfRule type="cellIs" dxfId="2490" priority="407" operator="greaterThan">
      <formula>0</formula>
    </cfRule>
  </conditionalFormatting>
  <conditionalFormatting sqref="G113:AC113">
    <cfRule type="cellIs" dxfId="2489" priority="403" operator="greaterThan">
      <formula>60.3</formula>
    </cfRule>
  </conditionalFormatting>
  <conditionalFormatting sqref="H112:M112">
    <cfRule type="cellIs" dxfId="2488" priority="402" operator="greaterThan">
      <formula>60.3</formula>
    </cfRule>
  </conditionalFormatting>
  <conditionalFormatting sqref="F112:G112">
    <cfRule type="cellIs" dxfId="2487" priority="401" operator="greaterThan">
      <formula>60.3</formula>
    </cfRule>
  </conditionalFormatting>
  <conditionalFormatting sqref="N112:AC112">
    <cfRule type="cellIs" dxfId="2486" priority="400" operator="greaterThan">
      <formula>60.3</formula>
    </cfRule>
  </conditionalFormatting>
  <conditionalFormatting sqref="G15:G16">
    <cfRule type="cellIs" dxfId="2485" priority="392" operator="equal">
      <formula>"PMS"</formula>
    </cfRule>
    <cfRule type="containsText" dxfId="2484" priority="393" operator="containsText" text="CMS">
      <formula>NOT(ISERROR(SEARCH("CMS",G15)))</formula>
    </cfRule>
    <cfRule type="cellIs" dxfId="2483" priority="394" operator="equal">
      <formula>0</formula>
    </cfRule>
    <cfRule type="cellIs" dxfId="2482" priority="395" operator="greaterThan">
      <formula>0</formula>
    </cfRule>
    <cfRule type="cellIs" dxfId="2481" priority="396" operator="equal">
      <formula>"PMS"</formula>
    </cfRule>
    <cfRule type="containsText" dxfId="2480" priority="397" operator="containsText" text="CMS">
      <formula>NOT(ISERROR(SEARCH("CMS",G15)))</formula>
    </cfRule>
    <cfRule type="cellIs" dxfId="2479" priority="398" operator="equal">
      <formula>0</formula>
    </cfRule>
    <cfRule type="cellIs" dxfId="2478" priority="399" operator="greaterThan">
      <formula>0</formula>
    </cfRule>
  </conditionalFormatting>
  <conditionalFormatting sqref="G15:G16">
    <cfRule type="cellIs" dxfId="2477" priority="388" operator="equal">
      <formula>"PMS"</formula>
    </cfRule>
    <cfRule type="containsText" dxfId="2476" priority="389" operator="containsText" text="CMS">
      <formula>NOT(ISERROR(SEARCH("CMS",G15)))</formula>
    </cfRule>
    <cfRule type="cellIs" dxfId="2475" priority="390" operator="equal">
      <formula>0</formula>
    </cfRule>
    <cfRule type="cellIs" dxfId="2474" priority="391" operator="greaterThan">
      <formula>0</formula>
    </cfRule>
  </conditionalFormatting>
  <conditionalFormatting sqref="G36:G38 G57:G59">
    <cfRule type="cellIs" dxfId="2473" priority="380" operator="equal">
      <formula>"PMS"</formula>
    </cfRule>
    <cfRule type="containsText" dxfId="2472" priority="381" operator="containsText" text="CMS">
      <formula>NOT(ISERROR(SEARCH("CMS",G36)))</formula>
    </cfRule>
    <cfRule type="cellIs" dxfId="2471" priority="382" operator="equal">
      <formula>0</formula>
    </cfRule>
    <cfRule type="cellIs" dxfId="2470" priority="383" operator="greaterThan">
      <formula>0</formula>
    </cfRule>
    <cfRule type="cellIs" dxfId="2469" priority="384" operator="equal">
      <formula>"PMS"</formula>
    </cfRule>
    <cfRule type="containsText" dxfId="2468" priority="385" operator="containsText" text="CMS">
      <formula>NOT(ISERROR(SEARCH("CMS",G36)))</formula>
    </cfRule>
    <cfRule type="cellIs" dxfId="2467" priority="386" operator="equal">
      <formula>0</formula>
    </cfRule>
    <cfRule type="cellIs" dxfId="2466" priority="387" operator="greaterThan">
      <formula>0</formula>
    </cfRule>
  </conditionalFormatting>
  <conditionalFormatting sqref="G36:G38 G57:G59">
    <cfRule type="cellIs" dxfId="2465" priority="376" operator="equal">
      <formula>"PMS"</formula>
    </cfRule>
    <cfRule type="containsText" dxfId="2464" priority="377" operator="containsText" text="CMS">
      <formula>NOT(ISERROR(SEARCH("CMS",G36)))</formula>
    </cfRule>
    <cfRule type="cellIs" dxfId="2463" priority="378" operator="equal">
      <formula>0</formula>
    </cfRule>
    <cfRule type="cellIs" dxfId="2462" priority="379" operator="greaterThan">
      <formula>0</formula>
    </cfRule>
  </conditionalFormatting>
  <conditionalFormatting sqref="M36:M38 M57:M59">
    <cfRule type="cellIs" dxfId="2461" priority="368" operator="equal">
      <formula>"PMS"</formula>
    </cfRule>
    <cfRule type="containsText" dxfId="2460" priority="369" operator="containsText" text="CMS">
      <formula>NOT(ISERROR(SEARCH("CMS",M36)))</formula>
    </cfRule>
    <cfRule type="cellIs" dxfId="2459" priority="370" operator="equal">
      <formula>0</formula>
    </cfRule>
    <cfRule type="cellIs" dxfId="2458" priority="371" operator="greaterThan">
      <formula>0</formula>
    </cfRule>
    <cfRule type="cellIs" dxfId="2457" priority="372" operator="equal">
      <formula>"PMS"</formula>
    </cfRule>
    <cfRule type="containsText" dxfId="2456" priority="373" operator="containsText" text="CMS">
      <formula>NOT(ISERROR(SEARCH("CMS",M36)))</formula>
    </cfRule>
    <cfRule type="cellIs" dxfId="2455" priority="374" operator="equal">
      <formula>0</formula>
    </cfRule>
    <cfRule type="cellIs" dxfId="2454" priority="375" operator="greaterThan">
      <formula>0</formula>
    </cfRule>
  </conditionalFormatting>
  <conditionalFormatting sqref="M36:M38 M57:M59">
    <cfRule type="cellIs" dxfId="2453" priority="364" operator="equal">
      <formula>"PMS"</formula>
    </cfRule>
    <cfRule type="containsText" dxfId="2452" priority="365" operator="containsText" text="CMS">
      <formula>NOT(ISERROR(SEARCH("CMS",M36)))</formula>
    </cfRule>
    <cfRule type="cellIs" dxfId="2451" priority="366" operator="equal">
      <formula>0</formula>
    </cfRule>
    <cfRule type="cellIs" dxfId="2450" priority="367" operator="greaterThan">
      <formula>0</formula>
    </cfRule>
  </conditionalFormatting>
  <conditionalFormatting sqref="K36:K38 K57:K59">
    <cfRule type="cellIs" dxfId="2449" priority="356" operator="equal">
      <formula>"PMS"</formula>
    </cfRule>
    <cfRule type="containsText" dxfId="2448" priority="357" operator="containsText" text="CMS">
      <formula>NOT(ISERROR(SEARCH("CMS",K36)))</formula>
    </cfRule>
    <cfRule type="cellIs" dxfId="2447" priority="358" operator="equal">
      <formula>0</formula>
    </cfRule>
    <cfRule type="cellIs" dxfId="2446" priority="359" operator="greaterThan">
      <formula>0</formula>
    </cfRule>
    <cfRule type="cellIs" dxfId="2445" priority="360" operator="equal">
      <formula>"PMS"</formula>
    </cfRule>
    <cfRule type="containsText" dxfId="2444" priority="361" operator="containsText" text="CMS">
      <formula>NOT(ISERROR(SEARCH("CMS",K36)))</formula>
    </cfRule>
    <cfRule type="cellIs" dxfId="2443" priority="362" operator="equal">
      <formula>0</formula>
    </cfRule>
    <cfRule type="cellIs" dxfId="2442" priority="363" operator="greaterThan">
      <formula>0</formula>
    </cfRule>
  </conditionalFormatting>
  <conditionalFormatting sqref="K36:K38 K57:K59">
    <cfRule type="cellIs" dxfId="2441" priority="352" operator="equal">
      <formula>"PMS"</formula>
    </cfRule>
    <cfRule type="containsText" dxfId="2440" priority="353" operator="containsText" text="CMS">
      <formula>NOT(ISERROR(SEARCH("CMS",K36)))</formula>
    </cfRule>
    <cfRule type="cellIs" dxfId="2439" priority="354" operator="equal">
      <formula>0</formula>
    </cfRule>
    <cfRule type="cellIs" dxfId="2438" priority="355" operator="greaterThan">
      <formula>0</formula>
    </cfRule>
  </conditionalFormatting>
  <conditionalFormatting sqref="G49">
    <cfRule type="cellIs" dxfId="2437" priority="344" operator="equal">
      <formula>"PMS"</formula>
    </cfRule>
    <cfRule type="containsText" dxfId="2436" priority="345" operator="containsText" text="CMS">
      <formula>NOT(ISERROR(SEARCH("CMS",G49)))</formula>
    </cfRule>
    <cfRule type="cellIs" dxfId="2435" priority="346" operator="equal">
      <formula>0</formula>
    </cfRule>
    <cfRule type="cellIs" dxfId="2434" priority="347" operator="greaterThan">
      <formula>0</formula>
    </cfRule>
    <cfRule type="cellIs" dxfId="2433" priority="348" operator="equal">
      <formula>"PMS"</formula>
    </cfRule>
    <cfRule type="containsText" dxfId="2432" priority="349" operator="containsText" text="CMS">
      <formula>NOT(ISERROR(SEARCH("CMS",G49)))</formula>
    </cfRule>
    <cfRule type="cellIs" dxfId="2431" priority="350" operator="equal">
      <formula>0</formula>
    </cfRule>
    <cfRule type="cellIs" dxfId="2430" priority="351" operator="greaterThan">
      <formula>0</formula>
    </cfRule>
  </conditionalFormatting>
  <conditionalFormatting sqref="G49">
    <cfRule type="cellIs" dxfId="2429" priority="340" operator="equal">
      <formula>"PMS"</formula>
    </cfRule>
    <cfRule type="containsText" dxfId="2428" priority="341" operator="containsText" text="CMS">
      <formula>NOT(ISERROR(SEARCH("CMS",G49)))</formula>
    </cfRule>
    <cfRule type="cellIs" dxfId="2427" priority="342" operator="equal">
      <formula>0</formula>
    </cfRule>
    <cfRule type="cellIs" dxfId="2426" priority="343" operator="greaterThan">
      <formula>0</formula>
    </cfRule>
  </conditionalFormatting>
  <conditionalFormatting sqref="M49:N49">
    <cfRule type="cellIs" dxfId="2425" priority="332" operator="equal">
      <formula>"PMS"</formula>
    </cfRule>
    <cfRule type="containsText" dxfId="2424" priority="333" operator="containsText" text="CMS">
      <formula>NOT(ISERROR(SEARCH("CMS",M49)))</formula>
    </cfRule>
    <cfRule type="cellIs" dxfId="2423" priority="334" operator="equal">
      <formula>0</formula>
    </cfRule>
    <cfRule type="cellIs" dxfId="2422" priority="335" operator="greaterThan">
      <formula>0</formula>
    </cfRule>
    <cfRule type="cellIs" dxfId="2421" priority="336" operator="equal">
      <formula>"PMS"</formula>
    </cfRule>
    <cfRule type="containsText" dxfId="2420" priority="337" operator="containsText" text="CMS">
      <formula>NOT(ISERROR(SEARCH("CMS",M49)))</formula>
    </cfRule>
    <cfRule type="cellIs" dxfId="2419" priority="338" operator="equal">
      <formula>0</formula>
    </cfRule>
    <cfRule type="cellIs" dxfId="2418" priority="339" operator="greaterThan">
      <formula>0</formula>
    </cfRule>
  </conditionalFormatting>
  <conditionalFormatting sqref="M49:N49">
    <cfRule type="cellIs" dxfId="2417" priority="328" operator="equal">
      <formula>"PMS"</formula>
    </cfRule>
    <cfRule type="containsText" dxfId="2416" priority="329" operator="containsText" text="CMS">
      <formula>NOT(ISERROR(SEARCH("CMS",M49)))</formula>
    </cfRule>
    <cfRule type="cellIs" dxfId="2415" priority="330" operator="equal">
      <formula>0</formula>
    </cfRule>
    <cfRule type="cellIs" dxfId="2414" priority="331" operator="greaterThan">
      <formula>0</formula>
    </cfRule>
  </conditionalFormatting>
  <conditionalFormatting sqref="K49">
    <cfRule type="cellIs" dxfId="2413" priority="320" operator="equal">
      <formula>"PMS"</formula>
    </cfRule>
    <cfRule type="containsText" dxfId="2412" priority="321" operator="containsText" text="CMS">
      <formula>NOT(ISERROR(SEARCH("CMS",K49)))</formula>
    </cfRule>
    <cfRule type="cellIs" dxfId="2411" priority="322" operator="equal">
      <formula>0</formula>
    </cfRule>
    <cfRule type="cellIs" dxfId="2410" priority="323" operator="greaterThan">
      <formula>0</formula>
    </cfRule>
    <cfRule type="cellIs" dxfId="2409" priority="324" operator="equal">
      <formula>"PMS"</formula>
    </cfRule>
    <cfRule type="containsText" dxfId="2408" priority="325" operator="containsText" text="CMS">
      <formula>NOT(ISERROR(SEARCH("CMS",K49)))</formula>
    </cfRule>
    <cfRule type="cellIs" dxfId="2407" priority="326" operator="equal">
      <formula>0</formula>
    </cfRule>
    <cfRule type="cellIs" dxfId="2406" priority="327" operator="greaterThan">
      <formula>0</formula>
    </cfRule>
  </conditionalFormatting>
  <conditionalFormatting sqref="K49">
    <cfRule type="cellIs" dxfId="2405" priority="316" operator="equal">
      <formula>"PMS"</formula>
    </cfRule>
    <cfRule type="containsText" dxfId="2404" priority="317" operator="containsText" text="CMS">
      <formula>NOT(ISERROR(SEARCH("CMS",K49)))</formula>
    </cfRule>
    <cfRule type="cellIs" dxfId="2403" priority="318" operator="equal">
      <formula>0</formula>
    </cfRule>
    <cfRule type="cellIs" dxfId="2402" priority="319" operator="greaterThan">
      <formula>0</formula>
    </cfRule>
  </conditionalFormatting>
  <conditionalFormatting sqref="G41 G52:G55 G43 G45:G46">
    <cfRule type="cellIs" dxfId="2401" priority="308" operator="equal">
      <formula>"PMS"</formula>
    </cfRule>
    <cfRule type="containsText" dxfId="2400" priority="309" operator="containsText" text="CMS">
      <formula>NOT(ISERROR(SEARCH("CMS",G41)))</formula>
    </cfRule>
    <cfRule type="cellIs" dxfId="2399" priority="310" operator="equal">
      <formula>0</formula>
    </cfRule>
    <cfRule type="cellIs" dxfId="2398" priority="311" operator="greaterThan">
      <formula>0</formula>
    </cfRule>
    <cfRule type="cellIs" dxfId="2397" priority="312" operator="equal">
      <formula>"PMS"</formula>
    </cfRule>
    <cfRule type="containsText" dxfId="2396" priority="313" operator="containsText" text="CMS">
      <formula>NOT(ISERROR(SEARCH("CMS",G41)))</formula>
    </cfRule>
    <cfRule type="cellIs" dxfId="2395" priority="314" operator="equal">
      <formula>0</formula>
    </cfRule>
    <cfRule type="cellIs" dxfId="2394" priority="315" operator="greaterThan">
      <formula>0</formula>
    </cfRule>
  </conditionalFormatting>
  <conditionalFormatting sqref="G41 G52:G55 G43 G45:G46">
    <cfRule type="cellIs" dxfId="2393" priority="304" operator="equal">
      <formula>"PMS"</formula>
    </cfRule>
    <cfRule type="containsText" dxfId="2392" priority="305" operator="containsText" text="CMS">
      <formula>NOT(ISERROR(SEARCH("CMS",G41)))</formula>
    </cfRule>
    <cfRule type="cellIs" dxfId="2391" priority="306" operator="equal">
      <formula>0</formula>
    </cfRule>
    <cfRule type="cellIs" dxfId="2390" priority="307" operator="greaterThan">
      <formula>0</formula>
    </cfRule>
  </conditionalFormatting>
  <conditionalFormatting sqref="M41 N52:N55 M43 M45:M46">
    <cfRule type="cellIs" dxfId="2389" priority="296" operator="equal">
      <formula>"PMS"</formula>
    </cfRule>
    <cfRule type="containsText" dxfId="2388" priority="297" operator="containsText" text="CMS">
      <formula>NOT(ISERROR(SEARCH("CMS",M41)))</formula>
    </cfRule>
    <cfRule type="cellIs" dxfId="2387" priority="298" operator="equal">
      <formula>0</formula>
    </cfRule>
    <cfRule type="cellIs" dxfId="2386" priority="299" operator="greaterThan">
      <formula>0</formula>
    </cfRule>
    <cfRule type="cellIs" dxfId="2385" priority="300" operator="equal">
      <formula>"PMS"</formula>
    </cfRule>
    <cfRule type="containsText" dxfId="2384" priority="301" operator="containsText" text="CMS">
      <formula>NOT(ISERROR(SEARCH("CMS",M41)))</formula>
    </cfRule>
    <cfRule type="cellIs" dxfId="2383" priority="302" operator="equal">
      <formula>0</formula>
    </cfRule>
    <cfRule type="cellIs" dxfId="2382" priority="303" operator="greaterThan">
      <formula>0</formula>
    </cfRule>
  </conditionalFormatting>
  <conditionalFormatting sqref="M41 N52:N55 M43 M45:M46">
    <cfRule type="cellIs" dxfId="2381" priority="292" operator="equal">
      <formula>"PMS"</formula>
    </cfRule>
    <cfRule type="containsText" dxfId="2380" priority="293" operator="containsText" text="CMS">
      <formula>NOT(ISERROR(SEARCH("CMS",M41)))</formula>
    </cfRule>
    <cfRule type="cellIs" dxfId="2379" priority="294" operator="equal">
      <formula>0</formula>
    </cfRule>
    <cfRule type="cellIs" dxfId="2378" priority="295" operator="greaterThan">
      <formula>0</formula>
    </cfRule>
  </conditionalFormatting>
  <conditionalFormatting sqref="K52:K55 K41 K43 K45:K46">
    <cfRule type="cellIs" dxfId="2377" priority="284" operator="equal">
      <formula>"PMS"</formula>
    </cfRule>
    <cfRule type="containsText" dxfId="2376" priority="285" operator="containsText" text="CMS">
      <formula>NOT(ISERROR(SEARCH("CMS",K41)))</formula>
    </cfRule>
    <cfRule type="cellIs" dxfId="2375" priority="286" operator="equal">
      <formula>0</formula>
    </cfRule>
    <cfRule type="cellIs" dxfId="2374" priority="287" operator="greaterThan">
      <formula>0</formula>
    </cfRule>
    <cfRule type="cellIs" dxfId="2373" priority="288" operator="equal">
      <formula>"PMS"</formula>
    </cfRule>
    <cfRule type="containsText" dxfId="2372" priority="289" operator="containsText" text="CMS">
      <formula>NOT(ISERROR(SEARCH("CMS",K41)))</formula>
    </cfRule>
    <cfRule type="cellIs" dxfId="2371" priority="290" operator="equal">
      <formula>0</formula>
    </cfRule>
    <cfRule type="cellIs" dxfId="2370" priority="291" operator="greaterThan">
      <formula>0</formula>
    </cfRule>
  </conditionalFormatting>
  <conditionalFormatting sqref="K52:K55 K41 K43 K45:K46">
    <cfRule type="cellIs" dxfId="2369" priority="280" operator="equal">
      <formula>"PMS"</formula>
    </cfRule>
    <cfRule type="containsText" dxfId="2368" priority="281" operator="containsText" text="CMS">
      <formula>NOT(ISERROR(SEARCH("CMS",K41)))</formula>
    </cfRule>
    <cfRule type="cellIs" dxfId="2367" priority="282" operator="equal">
      <formula>0</formula>
    </cfRule>
    <cfRule type="cellIs" dxfId="2366" priority="283" operator="greaterThan">
      <formula>0</formula>
    </cfRule>
  </conditionalFormatting>
  <conditionalFormatting sqref="O49">
    <cfRule type="cellIs" dxfId="2365" priority="272" operator="equal">
      <formula>"PMS"</formula>
    </cfRule>
    <cfRule type="containsText" dxfId="2364" priority="273" operator="containsText" text="CMS">
      <formula>NOT(ISERROR(SEARCH("CMS",O49)))</formula>
    </cfRule>
    <cfRule type="cellIs" dxfId="2363" priority="274" operator="equal">
      <formula>0</formula>
    </cfRule>
    <cfRule type="cellIs" dxfId="2362" priority="275" operator="greaterThan">
      <formula>0</formula>
    </cfRule>
    <cfRule type="cellIs" dxfId="2361" priority="276" operator="equal">
      <formula>"PMS"</formula>
    </cfRule>
    <cfRule type="containsText" dxfId="2360" priority="277" operator="containsText" text="CMS">
      <formula>NOT(ISERROR(SEARCH("CMS",O49)))</formula>
    </cfRule>
    <cfRule type="cellIs" dxfId="2359" priority="278" operator="equal">
      <formula>0</formula>
    </cfRule>
    <cfRule type="cellIs" dxfId="2358" priority="279" operator="greaterThan">
      <formula>0</formula>
    </cfRule>
  </conditionalFormatting>
  <conditionalFormatting sqref="O49">
    <cfRule type="cellIs" dxfId="2357" priority="268" operator="equal">
      <formula>"PMS"</formula>
    </cfRule>
    <cfRule type="containsText" dxfId="2356" priority="269" operator="containsText" text="CMS">
      <formula>NOT(ISERROR(SEARCH("CMS",O49)))</formula>
    </cfRule>
    <cfRule type="cellIs" dxfId="2355" priority="270" operator="equal">
      <formula>0</formula>
    </cfRule>
    <cfRule type="cellIs" dxfId="2354" priority="271" operator="greaterThan">
      <formula>0</formula>
    </cfRule>
  </conditionalFormatting>
  <conditionalFormatting sqref="H15:H16">
    <cfRule type="cellIs" dxfId="2353" priority="260" operator="equal">
      <formula>"PMS"</formula>
    </cfRule>
    <cfRule type="containsText" dxfId="2352" priority="261" operator="containsText" text="CMS">
      <formula>NOT(ISERROR(SEARCH("CMS",H15)))</formula>
    </cfRule>
    <cfRule type="cellIs" dxfId="2351" priority="262" operator="equal">
      <formula>0</formula>
    </cfRule>
    <cfRule type="cellIs" dxfId="2350" priority="263" operator="greaterThan">
      <formula>0</formula>
    </cfRule>
    <cfRule type="cellIs" dxfId="2349" priority="264" operator="equal">
      <formula>"PMS"</formula>
    </cfRule>
    <cfRule type="containsText" dxfId="2348" priority="265" operator="containsText" text="CMS">
      <formula>NOT(ISERROR(SEARCH("CMS",H15)))</formula>
    </cfRule>
    <cfRule type="cellIs" dxfId="2347" priority="266" operator="equal">
      <formula>0</formula>
    </cfRule>
    <cfRule type="cellIs" dxfId="2346" priority="267" operator="greaterThan">
      <formula>0</formula>
    </cfRule>
  </conditionalFormatting>
  <conditionalFormatting sqref="H15:H16">
    <cfRule type="cellIs" dxfId="2345" priority="256" operator="equal">
      <formula>"PMS"</formula>
    </cfRule>
    <cfRule type="containsText" dxfId="2344" priority="257" operator="containsText" text="CMS">
      <formula>NOT(ISERROR(SEARCH("CMS",H15)))</formula>
    </cfRule>
    <cfRule type="cellIs" dxfId="2343" priority="258" operator="equal">
      <formula>0</formula>
    </cfRule>
    <cfRule type="cellIs" dxfId="2342" priority="259" operator="greaterThan">
      <formula>0</formula>
    </cfRule>
  </conditionalFormatting>
  <conditionalFormatting sqref="G14">
    <cfRule type="cellIs" dxfId="2341" priority="248" operator="equal">
      <formula>"PMS"</formula>
    </cfRule>
    <cfRule type="containsText" dxfId="2340" priority="249" operator="containsText" text="CMS">
      <formula>NOT(ISERROR(SEARCH("CMS",G14)))</formula>
    </cfRule>
    <cfRule type="cellIs" dxfId="2339" priority="250" operator="equal">
      <formula>0</formula>
    </cfRule>
    <cfRule type="cellIs" dxfId="2338" priority="251" operator="greaterThan">
      <formula>0</formula>
    </cfRule>
    <cfRule type="cellIs" dxfId="2337" priority="252" operator="equal">
      <formula>"PMS"</formula>
    </cfRule>
    <cfRule type="containsText" dxfId="2336" priority="253" operator="containsText" text="CMS">
      <formula>NOT(ISERROR(SEARCH("CMS",G14)))</formula>
    </cfRule>
    <cfRule type="cellIs" dxfId="2335" priority="254" operator="equal">
      <formula>0</formula>
    </cfRule>
    <cfRule type="cellIs" dxfId="2334" priority="255" operator="greaterThan">
      <formula>0</formula>
    </cfRule>
  </conditionalFormatting>
  <conditionalFormatting sqref="G14">
    <cfRule type="cellIs" dxfId="2333" priority="244" operator="equal">
      <formula>"PMS"</formula>
    </cfRule>
    <cfRule type="containsText" dxfId="2332" priority="245" operator="containsText" text="CMS">
      <formula>NOT(ISERROR(SEARCH("CMS",G14)))</formula>
    </cfRule>
    <cfRule type="cellIs" dxfId="2331" priority="246" operator="equal">
      <formula>0</formula>
    </cfRule>
    <cfRule type="cellIs" dxfId="2330" priority="247" operator="greaterThan">
      <formula>0</formula>
    </cfRule>
  </conditionalFormatting>
  <conditionalFormatting sqref="M16">
    <cfRule type="cellIs" dxfId="2329" priority="236" operator="equal">
      <formula>"PMS"</formula>
    </cfRule>
    <cfRule type="containsText" dxfId="2328" priority="237" operator="containsText" text="CMS">
      <formula>NOT(ISERROR(SEARCH("CMS",M16)))</formula>
    </cfRule>
    <cfRule type="cellIs" dxfId="2327" priority="238" operator="equal">
      <formula>0</formula>
    </cfRule>
    <cfRule type="cellIs" dxfId="2326" priority="239" operator="greaterThan">
      <formula>0</formula>
    </cfRule>
    <cfRule type="cellIs" dxfId="2325" priority="240" operator="equal">
      <formula>"PMS"</formula>
    </cfRule>
    <cfRule type="containsText" dxfId="2324" priority="241" operator="containsText" text="CMS">
      <formula>NOT(ISERROR(SEARCH("CMS",M16)))</formula>
    </cfRule>
    <cfRule type="cellIs" dxfId="2323" priority="242" operator="equal">
      <formula>0</formula>
    </cfRule>
    <cfRule type="cellIs" dxfId="2322" priority="243" operator="greaterThan">
      <formula>0</formula>
    </cfRule>
  </conditionalFormatting>
  <conditionalFormatting sqref="M16">
    <cfRule type="cellIs" dxfId="2321" priority="232" operator="equal">
      <formula>"PMS"</formula>
    </cfRule>
    <cfRule type="containsText" dxfId="2320" priority="233" operator="containsText" text="CMS">
      <formula>NOT(ISERROR(SEARCH("CMS",M16)))</formula>
    </cfRule>
    <cfRule type="cellIs" dxfId="2319" priority="234" operator="equal">
      <formula>0</formula>
    </cfRule>
    <cfRule type="cellIs" dxfId="2318" priority="235" operator="greaterThan">
      <formula>0</formula>
    </cfRule>
  </conditionalFormatting>
  <conditionalFormatting sqref="N14">
    <cfRule type="cellIs" dxfId="2317" priority="224" operator="equal">
      <formula>"PMS"</formula>
    </cfRule>
    <cfRule type="containsText" dxfId="2316" priority="225" operator="containsText" text="CMS">
      <formula>NOT(ISERROR(SEARCH("CMS",N14)))</formula>
    </cfRule>
    <cfRule type="cellIs" dxfId="2315" priority="226" operator="equal">
      <formula>0</formula>
    </cfRule>
    <cfRule type="cellIs" dxfId="2314" priority="227" operator="greaterThan">
      <formula>0</formula>
    </cfRule>
    <cfRule type="cellIs" dxfId="2313" priority="228" operator="equal">
      <formula>"PMS"</formula>
    </cfRule>
    <cfRule type="containsText" dxfId="2312" priority="229" operator="containsText" text="CMS">
      <formula>NOT(ISERROR(SEARCH("CMS",N14)))</formula>
    </cfRule>
    <cfRule type="cellIs" dxfId="2311" priority="230" operator="equal">
      <formula>0</formula>
    </cfRule>
    <cfRule type="cellIs" dxfId="2310" priority="231" operator="greaterThan">
      <formula>0</formula>
    </cfRule>
  </conditionalFormatting>
  <conditionalFormatting sqref="N14">
    <cfRule type="cellIs" dxfId="2309" priority="220" operator="equal">
      <formula>"PMS"</formula>
    </cfRule>
    <cfRule type="containsText" dxfId="2308" priority="221" operator="containsText" text="CMS">
      <formula>NOT(ISERROR(SEARCH("CMS",N14)))</formula>
    </cfRule>
    <cfRule type="cellIs" dxfId="2307" priority="222" operator="equal">
      <formula>0</formula>
    </cfRule>
    <cfRule type="cellIs" dxfId="2306" priority="223" operator="greaterThan">
      <formula>0</formula>
    </cfRule>
  </conditionalFormatting>
  <conditionalFormatting sqref="M14">
    <cfRule type="cellIs" dxfId="2305" priority="212" operator="equal">
      <formula>"PMS"</formula>
    </cfRule>
    <cfRule type="containsText" dxfId="2304" priority="213" operator="containsText" text="CMS">
      <formula>NOT(ISERROR(SEARCH("CMS",M14)))</formula>
    </cfRule>
    <cfRule type="cellIs" dxfId="2303" priority="214" operator="equal">
      <formula>0</formula>
    </cfRule>
    <cfRule type="cellIs" dxfId="2302" priority="215" operator="greaterThan">
      <formula>0</formula>
    </cfRule>
    <cfRule type="cellIs" dxfId="2301" priority="216" operator="equal">
      <formula>"PMS"</formula>
    </cfRule>
    <cfRule type="containsText" dxfId="2300" priority="217" operator="containsText" text="CMS">
      <formula>NOT(ISERROR(SEARCH("CMS",M14)))</formula>
    </cfRule>
    <cfRule type="cellIs" dxfId="2299" priority="218" operator="equal">
      <formula>0</formula>
    </cfRule>
    <cfRule type="cellIs" dxfId="2298" priority="219" operator="greaterThan">
      <formula>0</formula>
    </cfRule>
  </conditionalFormatting>
  <conditionalFormatting sqref="M14">
    <cfRule type="cellIs" dxfId="2297" priority="208" operator="equal">
      <formula>"PMS"</formula>
    </cfRule>
    <cfRule type="containsText" dxfId="2296" priority="209" operator="containsText" text="CMS">
      <formula>NOT(ISERROR(SEARCH("CMS",M14)))</formula>
    </cfRule>
    <cfRule type="cellIs" dxfId="2295" priority="210" operator="equal">
      <formula>0</formula>
    </cfRule>
    <cfRule type="cellIs" dxfId="2294" priority="211" operator="greaterThan">
      <formula>0</formula>
    </cfRule>
  </conditionalFormatting>
  <conditionalFormatting sqref="H111:M111">
    <cfRule type="cellIs" dxfId="2293" priority="207" operator="greaterThan">
      <formula>60.3</formula>
    </cfRule>
  </conditionalFormatting>
  <conditionalFormatting sqref="F111:G111">
    <cfRule type="cellIs" dxfId="2292" priority="206" operator="greaterThan">
      <formula>60.3</formula>
    </cfRule>
  </conditionalFormatting>
  <conditionalFormatting sqref="N111:AC111">
    <cfRule type="cellIs" dxfId="2291" priority="205" operator="greaterThan">
      <formula>60.3</formula>
    </cfRule>
  </conditionalFormatting>
  <conditionalFormatting sqref="H78:J78 L78:L79 H33:I33 N33:AC33 H27:J30 L27:L29 H24:J24 L24 N24:AC24 H19:J21 N19:AC21 L19:L21 S78:AC78 I79:J79 N78:Q78 N79:AC79 N27:AC30">
    <cfRule type="cellIs" dxfId="2290" priority="197" operator="equal">
      <formula>"PMS"</formula>
    </cfRule>
    <cfRule type="containsText" dxfId="2289" priority="198" operator="containsText" text="CMS">
      <formula>NOT(ISERROR(SEARCH("CMS",H19)))</formula>
    </cfRule>
    <cfRule type="cellIs" dxfId="2288" priority="199" operator="equal">
      <formula>0</formula>
    </cfRule>
    <cfRule type="cellIs" dxfId="2287" priority="200" operator="greaterThan">
      <formula>0</formula>
    </cfRule>
    <cfRule type="cellIs" dxfId="2286" priority="201" operator="equal">
      <formula>"PMS"</formula>
    </cfRule>
    <cfRule type="containsText" dxfId="2285" priority="202" operator="containsText" text="CMS">
      <formula>NOT(ISERROR(SEARCH("CMS",H19)))</formula>
    </cfRule>
    <cfRule type="cellIs" dxfId="2284" priority="203" operator="equal">
      <formula>0</formula>
    </cfRule>
    <cfRule type="cellIs" dxfId="2283" priority="204" operator="greaterThan">
      <formula>0</formula>
    </cfRule>
  </conditionalFormatting>
  <conditionalFormatting sqref="H78:J78 L78:L79 H33:I33 N33:AC33 H27:J30 L27:L29 H24:J24 L24 N24:AC24 H19:J21 N19:AC21 L19:L21 S78:AC78 I79:J79 N78:Q78 N79:AC79 N27:AC30">
    <cfRule type="cellIs" dxfId="2282" priority="193" operator="equal">
      <formula>"PMS"</formula>
    </cfRule>
    <cfRule type="containsText" dxfId="2281" priority="194" operator="containsText" text="CMS">
      <formula>NOT(ISERROR(SEARCH("CMS",H19)))</formula>
    </cfRule>
    <cfRule type="cellIs" dxfId="2280" priority="195" operator="equal">
      <formula>0</formula>
    </cfRule>
    <cfRule type="cellIs" dxfId="2279" priority="196" operator="greaterThan">
      <formula>0</formula>
    </cfRule>
  </conditionalFormatting>
  <conditionalFormatting sqref="G78:G79 G62:G64 G56 G50:G51 G47:G48 G44 G42 G39:G40 G27:G30 G24 G19:G21">
    <cfRule type="cellIs" dxfId="2278" priority="185" operator="equal">
      <formula>"PMS"</formula>
    </cfRule>
    <cfRule type="containsText" dxfId="2277" priority="186" operator="containsText" text="CMS">
      <formula>NOT(ISERROR(SEARCH("CMS",G19)))</formula>
    </cfRule>
    <cfRule type="cellIs" dxfId="2276" priority="187" operator="equal">
      <formula>0</formula>
    </cfRule>
    <cfRule type="cellIs" dxfId="2275" priority="188" operator="greaterThan">
      <formula>0</formula>
    </cfRule>
    <cfRule type="cellIs" dxfId="2274" priority="189" operator="equal">
      <formula>"PMS"</formula>
    </cfRule>
    <cfRule type="containsText" dxfId="2273" priority="190" operator="containsText" text="CMS">
      <formula>NOT(ISERROR(SEARCH("CMS",G19)))</formula>
    </cfRule>
    <cfRule type="cellIs" dxfId="2272" priority="191" operator="equal">
      <formula>0</formula>
    </cfRule>
    <cfRule type="cellIs" dxfId="2271" priority="192" operator="greaterThan">
      <formula>0</formula>
    </cfRule>
  </conditionalFormatting>
  <conditionalFormatting sqref="G78:G79 G62:G64 G56 G50:G51 G47:G48 G44 G42 G39:G40 G27:G30 G24 G19:G21">
    <cfRule type="cellIs" dxfId="2270" priority="181" operator="equal">
      <formula>"PMS"</formula>
    </cfRule>
    <cfRule type="containsText" dxfId="2269" priority="182" operator="containsText" text="CMS">
      <formula>NOT(ISERROR(SEARCH("CMS",G19)))</formula>
    </cfRule>
    <cfRule type="cellIs" dxfId="2268" priority="183" operator="equal">
      <formula>0</formula>
    </cfRule>
    <cfRule type="cellIs" dxfId="2267" priority="184" operator="greaterThan">
      <formula>0</formula>
    </cfRule>
  </conditionalFormatting>
  <conditionalFormatting sqref="M78:M79 M56 M50:M51 M47:M48 M44 M42 M39:M40 M27:M30 M24 M19:M21 L33:M33 L30 L62:M64">
    <cfRule type="cellIs" dxfId="2266" priority="173" operator="equal">
      <formula>"PMS"</formula>
    </cfRule>
    <cfRule type="containsText" dxfId="2265" priority="174" operator="containsText" text="CMS">
      <formula>NOT(ISERROR(SEARCH("CMS",L19)))</formula>
    </cfRule>
    <cfRule type="cellIs" dxfId="2264" priority="175" operator="equal">
      <formula>0</formula>
    </cfRule>
    <cfRule type="cellIs" dxfId="2263" priority="176" operator="greaterThan">
      <formula>0</formula>
    </cfRule>
    <cfRule type="cellIs" dxfId="2262" priority="177" operator="equal">
      <formula>"PMS"</formula>
    </cfRule>
    <cfRule type="containsText" dxfId="2261" priority="178" operator="containsText" text="CMS">
      <formula>NOT(ISERROR(SEARCH("CMS",L19)))</formula>
    </cfRule>
    <cfRule type="cellIs" dxfId="2260" priority="179" operator="equal">
      <formula>0</formula>
    </cfRule>
    <cfRule type="cellIs" dxfId="2259" priority="180" operator="greaterThan">
      <formula>0</formula>
    </cfRule>
  </conditionalFormatting>
  <conditionalFormatting sqref="M78:M79 M56 M50:M51 M47:M48 M44 M42 M39:M40 M27:M30 M24 M19:M21 L33:M33 L30 L62:M64">
    <cfRule type="cellIs" dxfId="2258" priority="169" operator="equal">
      <formula>"PMS"</formula>
    </cfRule>
    <cfRule type="containsText" dxfId="2257" priority="170" operator="containsText" text="CMS">
      <formula>NOT(ISERROR(SEARCH("CMS",L19)))</formula>
    </cfRule>
    <cfRule type="cellIs" dxfId="2256" priority="171" operator="equal">
      <formula>0</formula>
    </cfRule>
    <cfRule type="cellIs" dxfId="2255" priority="172" operator="greaterThan">
      <formula>0</formula>
    </cfRule>
  </conditionalFormatting>
  <conditionalFormatting sqref="K78:K79 K56 K50:K51 K47:K48 K44 K42 K39:K40 K27:K30 K24 K19:K21 J33:K33 K62:K64">
    <cfRule type="cellIs" dxfId="2254" priority="161" operator="equal">
      <formula>"PMS"</formula>
    </cfRule>
    <cfRule type="containsText" dxfId="2253" priority="162" operator="containsText" text="CMS">
      <formula>NOT(ISERROR(SEARCH("CMS",J19)))</formula>
    </cfRule>
    <cfRule type="cellIs" dxfId="2252" priority="163" operator="equal">
      <formula>0</formula>
    </cfRule>
    <cfRule type="cellIs" dxfId="2251" priority="164" operator="greaterThan">
      <formula>0</formula>
    </cfRule>
    <cfRule type="cellIs" dxfId="2250" priority="165" operator="equal">
      <formula>"PMS"</formula>
    </cfRule>
    <cfRule type="containsText" dxfId="2249" priority="166" operator="containsText" text="CMS">
      <formula>NOT(ISERROR(SEARCH("CMS",J19)))</formula>
    </cfRule>
    <cfRule type="cellIs" dxfId="2248" priority="167" operator="equal">
      <formula>0</formula>
    </cfRule>
    <cfRule type="cellIs" dxfId="2247" priority="168" operator="greaterThan">
      <formula>0</formula>
    </cfRule>
  </conditionalFormatting>
  <conditionalFormatting sqref="K78:K79 K56 K50:K51 K47:K48 K44 K42 K39:K40 K27:K30 K24 K19:K21 J33:K33 K62:K64">
    <cfRule type="cellIs" dxfId="2246" priority="157" operator="equal">
      <formula>"PMS"</formula>
    </cfRule>
    <cfRule type="containsText" dxfId="2245" priority="158" operator="containsText" text="CMS">
      <formula>NOT(ISERROR(SEARCH("CMS",J19)))</formula>
    </cfRule>
    <cfRule type="cellIs" dxfId="2244" priority="159" operator="equal">
      <formula>0</formula>
    </cfRule>
    <cfRule type="cellIs" dxfId="2243" priority="160" operator="greaterThan">
      <formula>0</formula>
    </cfRule>
  </conditionalFormatting>
  <conditionalFormatting sqref="R78">
    <cfRule type="cellIs" dxfId="2242" priority="89" operator="equal">
      <formula>"PMS"</formula>
    </cfRule>
    <cfRule type="containsText" dxfId="2241" priority="90" operator="containsText" text="CMS">
      <formula>NOT(ISERROR(SEARCH("CMS",R78)))</formula>
    </cfRule>
    <cfRule type="cellIs" dxfId="2240" priority="91" operator="equal">
      <formula>0</formula>
    </cfRule>
    <cfRule type="cellIs" dxfId="2239" priority="92" operator="greaterThan">
      <formula>0</formula>
    </cfRule>
    <cfRule type="cellIs" dxfId="2238" priority="93" operator="equal">
      <formula>"PMS"</formula>
    </cfRule>
    <cfRule type="containsText" dxfId="2237" priority="94" operator="containsText" text="CMS">
      <formula>NOT(ISERROR(SEARCH("CMS",R78)))</formula>
    </cfRule>
    <cfRule type="cellIs" dxfId="2236" priority="95" operator="equal">
      <formula>0</formula>
    </cfRule>
    <cfRule type="cellIs" dxfId="2235" priority="96" operator="greaterThan">
      <formula>0</formula>
    </cfRule>
  </conditionalFormatting>
  <conditionalFormatting sqref="R78">
    <cfRule type="cellIs" dxfId="2234" priority="85" operator="equal">
      <formula>"PMS"</formula>
    </cfRule>
    <cfRule type="containsText" dxfId="2233" priority="86" operator="containsText" text="CMS">
      <formula>NOT(ISERROR(SEARCH("CMS",R78)))</formula>
    </cfRule>
    <cfRule type="cellIs" dxfId="2232" priority="87" operator="equal">
      <formula>0</formula>
    </cfRule>
    <cfRule type="cellIs" dxfId="2231" priority="88" operator="greaterThan">
      <formula>0</formula>
    </cfRule>
  </conditionalFormatting>
  <conditionalFormatting sqref="H62">
    <cfRule type="cellIs" dxfId="2230" priority="77" operator="equal">
      <formula>"PMS"</formula>
    </cfRule>
    <cfRule type="containsText" dxfId="2229" priority="78" operator="containsText" text="CMS">
      <formula>NOT(ISERROR(SEARCH("CMS",H62)))</formula>
    </cfRule>
    <cfRule type="cellIs" dxfId="2228" priority="79" operator="equal">
      <formula>0</formula>
    </cfRule>
    <cfRule type="cellIs" dxfId="2227" priority="80" operator="greaterThan">
      <formula>0</formula>
    </cfRule>
    <cfRule type="cellIs" dxfId="2226" priority="81" operator="equal">
      <formula>"PMS"</formula>
    </cfRule>
    <cfRule type="containsText" dxfId="2225" priority="82" operator="containsText" text="CMS">
      <formula>NOT(ISERROR(SEARCH("CMS",H62)))</formula>
    </cfRule>
    <cfRule type="cellIs" dxfId="2224" priority="83" operator="equal">
      <formula>0</formula>
    </cfRule>
    <cfRule type="cellIs" dxfId="2223" priority="84" operator="greaterThan">
      <formula>0</formula>
    </cfRule>
  </conditionalFormatting>
  <conditionalFormatting sqref="H62">
    <cfRule type="cellIs" dxfId="2222" priority="73" operator="equal">
      <formula>"PMS"</formula>
    </cfRule>
    <cfRule type="containsText" dxfId="2221" priority="74" operator="containsText" text="CMS">
      <formula>NOT(ISERROR(SEARCH("CMS",H62)))</formula>
    </cfRule>
    <cfRule type="cellIs" dxfId="2220" priority="75" operator="equal">
      <formula>0</formula>
    </cfRule>
    <cfRule type="cellIs" dxfId="2219" priority="76" operator="greaterThan">
      <formula>0</formula>
    </cfRule>
  </conditionalFormatting>
  <conditionalFormatting sqref="H79">
    <cfRule type="cellIs" dxfId="2218" priority="65" operator="equal">
      <formula>"PMS"</formula>
    </cfRule>
    <cfRule type="containsText" dxfId="2217" priority="66" operator="containsText" text="CMS">
      <formula>NOT(ISERROR(SEARCH("CMS",H79)))</formula>
    </cfRule>
    <cfRule type="cellIs" dxfId="2216" priority="67" operator="equal">
      <formula>0</formula>
    </cfRule>
    <cfRule type="cellIs" dxfId="2215" priority="68" operator="greaterThan">
      <formula>0</formula>
    </cfRule>
    <cfRule type="cellIs" dxfId="2214" priority="69" operator="equal">
      <formula>"PMS"</formula>
    </cfRule>
    <cfRule type="containsText" dxfId="2213" priority="70" operator="containsText" text="CMS">
      <formula>NOT(ISERROR(SEARCH("CMS",H79)))</formula>
    </cfRule>
    <cfRule type="cellIs" dxfId="2212" priority="71" operator="equal">
      <formula>0</formula>
    </cfRule>
    <cfRule type="cellIs" dxfId="2211" priority="72" operator="greaterThan">
      <formula>0</formula>
    </cfRule>
  </conditionalFormatting>
  <conditionalFormatting sqref="H79">
    <cfRule type="cellIs" dxfId="2210" priority="61" operator="equal">
      <formula>"PMS"</formula>
    </cfRule>
    <cfRule type="containsText" dxfId="2209" priority="62" operator="containsText" text="CMS">
      <formula>NOT(ISERROR(SEARCH("CMS",H79)))</formula>
    </cfRule>
    <cfRule type="cellIs" dxfId="2208" priority="63" operator="equal">
      <formula>0</formula>
    </cfRule>
    <cfRule type="cellIs" dxfId="2207" priority="64" operator="greaterThan">
      <formula>0</formula>
    </cfRule>
  </conditionalFormatting>
  <conditionalFormatting sqref="H64">
    <cfRule type="cellIs" dxfId="2206" priority="53" operator="equal">
      <formula>"PMS"</formula>
    </cfRule>
    <cfRule type="containsText" dxfId="2205" priority="54" operator="containsText" text="CMS">
      <formula>NOT(ISERROR(SEARCH("CMS",H64)))</formula>
    </cfRule>
    <cfRule type="cellIs" dxfId="2204" priority="55" operator="equal">
      <formula>0</formula>
    </cfRule>
    <cfRule type="cellIs" dxfId="2203" priority="56" operator="greaterThan">
      <formula>0</formula>
    </cfRule>
    <cfRule type="cellIs" dxfId="2202" priority="57" operator="equal">
      <formula>"PMS"</formula>
    </cfRule>
    <cfRule type="containsText" dxfId="2201" priority="58" operator="containsText" text="CMS">
      <formula>NOT(ISERROR(SEARCH("CMS",H64)))</formula>
    </cfRule>
    <cfRule type="cellIs" dxfId="2200" priority="59" operator="equal">
      <formula>0</formula>
    </cfRule>
    <cfRule type="cellIs" dxfId="2199" priority="60" operator="greaterThan">
      <formula>0</formula>
    </cfRule>
  </conditionalFormatting>
  <conditionalFormatting sqref="H64">
    <cfRule type="cellIs" dxfId="2198" priority="49" operator="equal">
      <formula>"PMS"</formula>
    </cfRule>
    <cfRule type="containsText" dxfId="2197" priority="50" operator="containsText" text="CMS">
      <formula>NOT(ISERROR(SEARCH("CMS",H64)))</formula>
    </cfRule>
    <cfRule type="cellIs" dxfId="2196" priority="51" operator="equal">
      <formula>0</formula>
    </cfRule>
    <cfRule type="cellIs" dxfId="2195" priority="52" operator="greaterThan">
      <formula>0</formula>
    </cfRule>
  </conditionalFormatting>
  <conditionalFormatting sqref="F36:F59 F13:F16 F62:F64">
    <cfRule type="cellIs" dxfId="2194" priority="41" operator="equal">
      <formula>"PMS"</formula>
    </cfRule>
    <cfRule type="containsText" dxfId="2193" priority="42" operator="containsText" text="CMS">
      <formula>NOT(ISERROR(SEARCH("CMS",F13)))</formula>
    </cfRule>
    <cfRule type="cellIs" dxfId="2192" priority="43" operator="equal">
      <formula>0</formula>
    </cfRule>
    <cfRule type="cellIs" dxfId="2191" priority="44" operator="greaterThan">
      <formula>0</formula>
    </cfRule>
    <cfRule type="cellIs" dxfId="2190" priority="45" operator="equal">
      <formula>"PMS"</formula>
    </cfRule>
    <cfRule type="containsText" dxfId="2189" priority="46" operator="containsText" text="CMS">
      <formula>NOT(ISERROR(SEARCH("CMS",F13)))</formula>
    </cfRule>
    <cfRule type="cellIs" dxfId="2188" priority="47" operator="equal">
      <formula>0</formula>
    </cfRule>
    <cfRule type="cellIs" dxfId="2187" priority="48" operator="greaterThan">
      <formula>0</formula>
    </cfRule>
  </conditionalFormatting>
  <conditionalFormatting sqref="F36:F59 F13:F16 F62:F64">
    <cfRule type="cellIs" dxfId="2186" priority="37" operator="equal">
      <formula>"PMS"</formula>
    </cfRule>
    <cfRule type="containsText" dxfId="2185" priority="38" operator="containsText" text="CMS">
      <formula>NOT(ISERROR(SEARCH("CMS",F13)))</formula>
    </cfRule>
    <cfRule type="cellIs" dxfId="2184" priority="39" operator="equal">
      <formula>0</formula>
    </cfRule>
    <cfRule type="cellIs" dxfId="2183" priority="40" operator="greaterThan">
      <formula>0</formula>
    </cfRule>
  </conditionalFormatting>
  <conditionalFormatting sqref="F67:F75">
    <cfRule type="cellIs" dxfId="2182" priority="29" operator="equal">
      <formula>"PMS"</formula>
    </cfRule>
    <cfRule type="containsText" dxfId="2181" priority="30" operator="containsText" text="CMS">
      <formula>NOT(ISERROR(SEARCH("CMS",F67)))</formula>
    </cfRule>
    <cfRule type="cellIs" dxfId="2180" priority="31" operator="equal">
      <formula>0</formula>
    </cfRule>
    <cfRule type="cellIs" dxfId="2179" priority="32" operator="greaterThan">
      <formula>0</formula>
    </cfRule>
    <cfRule type="cellIs" dxfId="2178" priority="33" operator="equal">
      <formula>"PMS"</formula>
    </cfRule>
    <cfRule type="containsText" dxfId="2177" priority="34" operator="containsText" text="CMS">
      <formula>NOT(ISERROR(SEARCH("CMS",F67)))</formula>
    </cfRule>
    <cfRule type="cellIs" dxfId="2176" priority="35" operator="equal">
      <formula>0</formula>
    </cfRule>
    <cfRule type="cellIs" dxfId="2175" priority="36" operator="greaterThan">
      <formula>0</formula>
    </cfRule>
  </conditionalFormatting>
  <conditionalFormatting sqref="F67:F75">
    <cfRule type="cellIs" dxfId="2174" priority="25" operator="equal">
      <formula>"PMS"</formula>
    </cfRule>
    <cfRule type="containsText" dxfId="2173" priority="26" operator="containsText" text="CMS">
      <formula>NOT(ISERROR(SEARCH("CMS",F67)))</formula>
    </cfRule>
    <cfRule type="cellIs" dxfId="2172" priority="27" operator="equal">
      <formula>0</formula>
    </cfRule>
    <cfRule type="cellIs" dxfId="2171" priority="28" operator="greaterThan">
      <formula>0</formula>
    </cfRule>
  </conditionalFormatting>
  <conditionalFormatting sqref="F82">
    <cfRule type="cellIs" dxfId="2170" priority="17" operator="equal">
      <formula>"PMS"</formula>
    </cfRule>
    <cfRule type="containsText" dxfId="2169" priority="18" operator="containsText" text="CMS">
      <formula>NOT(ISERROR(SEARCH("CMS",F82)))</formula>
    </cfRule>
    <cfRule type="cellIs" dxfId="2168" priority="19" operator="equal">
      <formula>0</formula>
    </cfRule>
    <cfRule type="cellIs" dxfId="2167" priority="20" operator="greaterThan">
      <formula>0</formula>
    </cfRule>
    <cfRule type="cellIs" dxfId="2166" priority="21" operator="equal">
      <formula>"PMS"</formula>
    </cfRule>
    <cfRule type="containsText" dxfId="2165" priority="22" operator="containsText" text="CMS">
      <formula>NOT(ISERROR(SEARCH("CMS",F82)))</formula>
    </cfRule>
    <cfRule type="cellIs" dxfId="2164" priority="23" operator="equal">
      <formula>0</formula>
    </cfRule>
    <cfRule type="cellIs" dxfId="2163" priority="24" operator="greaterThan">
      <formula>0</formula>
    </cfRule>
  </conditionalFormatting>
  <conditionalFormatting sqref="F82">
    <cfRule type="cellIs" dxfId="2162" priority="13" operator="equal">
      <formula>"PMS"</formula>
    </cfRule>
    <cfRule type="containsText" dxfId="2161" priority="14" operator="containsText" text="CMS">
      <formula>NOT(ISERROR(SEARCH("CMS",F82)))</formula>
    </cfRule>
    <cfRule type="cellIs" dxfId="2160" priority="15" operator="equal">
      <formula>0</formula>
    </cfRule>
    <cfRule type="cellIs" dxfId="2159" priority="16" operator="greaterThan">
      <formula>0</formula>
    </cfRule>
  </conditionalFormatting>
  <conditionalFormatting sqref="F27:F30 F24 F19:F21 F78:F79 F33:G33">
    <cfRule type="cellIs" dxfId="2158" priority="5" operator="equal">
      <formula>"PMS"</formula>
    </cfRule>
    <cfRule type="containsText" dxfId="2157" priority="6" operator="containsText" text="CMS">
      <formula>NOT(ISERROR(SEARCH("CMS",F19)))</formula>
    </cfRule>
    <cfRule type="cellIs" dxfId="2156" priority="7" operator="equal">
      <formula>0</formula>
    </cfRule>
    <cfRule type="cellIs" dxfId="2155" priority="8" operator="greaterThan">
      <formula>0</formula>
    </cfRule>
    <cfRule type="cellIs" dxfId="2154" priority="9" operator="equal">
      <formula>"PMS"</formula>
    </cfRule>
    <cfRule type="containsText" dxfId="2153" priority="10" operator="containsText" text="CMS">
      <formula>NOT(ISERROR(SEARCH("CMS",F19)))</formula>
    </cfRule>
    <cfRule type="cellIs" dxfId="2152" priority="11" operator="equal">
      <formula>0</formula>
    </cfRule>
    <cfRule type="cellIs" dxfId="2151" priority="12" operator="greaterThan">
      <formula>0</formula>
    </cfRule>
  </conditionalFormatting>
  <conditionalFormatting sqref="F27:F30 F24 F19:F21 F78:F79 F33:G33">
    <cfRule type="cellIs" dxfId="2150" priority="1" operator="equal">
      <formula>"PMS"</formula>
    </cfRule>
    <cfRule type="containsText" dxfId="2149" priority="2" operator="containsText" text="CMS">
      <formula>NOT(ISERROR(SEARCH("CMS",F19)))</formula>
    </cfRule>
    <cfRule type="cellIs" dxfId="2148" priority="3" operator="equal">
      <formula>0</formula>
    </cfRule>
    <cfRule type="cellIs" dxfId="214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79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F9A62-0AAD-46FB-B906-6ED179080509}">
  <sheetPr codeName="Sheet251"/>
  <dimension ref="A2:DT141"/>
  <sheetViews>
    <sheetView zoomScale="70" zoomScaleNormal="70" workbookViewId="0">
      <pane xSplit="5" ySplit="11" topLeftCell="F12" activePane="bottomRight" state="frozen"/>
      <selection pane="bottomRight" activeCell="A47" sqref="A47:XFD47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405.5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/>
      <c r="G14" s="357"/>
      <c r="H14" s="357"/>
      <c r="I14" s="357">
        <v>2.2000000000000002</v>
      </c>
      <c r="J14" s="357">
        <v>6.7</v>
      </c>
      <c r="K14" s="357">
        <v>6.7</v>
      </c>
      <c r="L14" s="357">
        <v>6.7</v>
      </c>
      <c r="M14" s="357">
        <v>6.7</v>
      </c>
      <c r="N14" s="357">
        <v>6.7</v>
      </c>
      <c r="O14" s="357">
        <v>7</v>
      </c>
      <c r="P14" s="357">
        <v>6.6</v>
      </c>
      <c r="Q14" s="357">
        <v>6.8</v>
      </c>
      <c r="R14" s="357">
        <v>6.6</v>
      </c>
      <c r="S14" s="462">
        <v>6.8</v>
      </c>
      <c r="T14" s="462">
        <v>6.7</v>
      </c>
      <c r="U14" s="462">
        <v>6.7</v>
      </c>
      <c r="V14" s="357">
        <v>6.6</v>
      </c>
      <c r="W14" s="357">
        <v>6.6</v>
      </c>
      <c r="X14" s="357">
        <v>6.7</v>
      </c>
      <c r="Y14" s="357">
        <v>7</v>
      </c>
      <c r="Z14" s="462">
        <v>6.9</v>
      </c>
      <c r="AA14" s="462">
        <v>6.7</v>
      </c>
      <c r="AB14" s="462">
        <v>6.7</v>
      </c>
      <c r="AC14" s="357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6.8</v>
      </c>
      <c r="G15" s="357">
        <v>6.5</v>
      </c>
      <c r="H15" s="357">
        <v>6.7</v>
      </c>
      <c r="I15" s="357">
        <v>6.7</v>
      </c>
      <c r="J15" s="357">
        <v>6.6</v>
      </c>
      <c r="K15" s="359">
        <v>6.7</v>
      </c>
      <c r="L15" s="359">
        <v>6.7</v>
      </c>
      <c r="M15" s="359">
        <v>6.7</v>
      </c>
      <c r="N15" s="357">
        <v>6.7</v>
      </c>
      <c r="O15" s="357">
        <v>7</v>
      </c>
      <c r="P15" s="357">
        <v>6.6</v>
      </c>
      <c r="Q15" s="357">
        <v>6.8</v>
      </c>
      <c r="R15" s="357">
        <v>6.6</v>
      </c>
      <c r="S15" s="462">
        <v>6.8</v>
      </c>
      <c r="T15" s="462">
        <v>6.7</v>
      </c>
      <c r="U15" s="462">
        <v>6.7</v>
      </c>
      <c r="V15" s="357">
        <v>6.6</v>
      </c>
      <c r="W15" s="357">
        <v>6.6</v>
      </c>
      <c r="X15" s="357">
        <v>6.7</v>
      </c>
      <c r="Y15" s="357">
        <v>7</v>
      </c>
      <c r="Z15" s="462">
        <v>7</v>
      </c>
      <c r="AA15" s="462" t="s">
        <v>9</v>
      </c>
      <c r="AB15" s="462" t="s">
        <v>9</v>
      </c>
      <c r="AC15" s="462" t="s">
        <v>9</v>
      </c>
      <c r="AD15" s="41"/>
      <c r="AE15" s="41"/>
      <c r="AF15" s="11">
        <f>COUNTIF(F15:AC15,$AJ$8)</f>
        <v>3</v>
      </c>
      <c r="AG15" s="11">
        <f>COUNTIF(G15:AD15,$AJ$7)</f>
        <v>0</v>
      </c>
      <c r="AH15" s="11">
        <f>COUNT(F15:AC15)</f>
        <v>21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6.8</v>
      </c>
      <c r="G16" s="357">
        <v>6.5</v>
      </c>
      <c r="H16" s="357">
        <v>6.7</v>
      </c>
      <c r="I16" s="357">
        <v>4.5</v>
      </c>
      <c r="J16" s="357"/>
      <c r="K16" s="359"/>
      <c r="L16" s="359"/>
      <c r="M16" s="357"/>
      <c r="N16" s="359">
        <v>2.1</v>
      </c>
      <c r="O16" s="357">
        <v>7</v>
      </c>
      <c r="P16" s="357">
        <v>6.6</v>
      </c>
      <c r="Q16" s="357">
        <v>6.8</v>
      </c>
      <c r="R16" s="357">
        <v>6.6</v>
      </c>
      <c r="S16" s="462">
        <v>6.8</v>
      </c>
      <c r="T16" s="462">
        <v>6.7</v>
      </c>
      <c r="U16" s="462">
        <v>6.7</v>
      </c>
      <c r="V16" s="357">
        <v>6.6</v>
      </c>
      <c r="W16" s="357">
        <v>6.6</v>
      </c>
      <c r="X16" s="357">
        <v>6.7</v>
      </c>
      <c r="Y16" s="357">
        <v>7</v>
      </c>
      <c r="Z16" s="462">
        <v>6.9</v>
      </c>
      <c r="AA16" s="462">
        <v>6.7</v>
      </c>
      <c r="AB16" s="462">
        <v>6.7</v>
      </c>
      <c r="AC16" s="357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</v>
      </c>
      <c r="H17" s="19">
        <f t="shared" si="0"/>
        <v>13.4</v>
      </c>
      <c r="I17" s="19">
        <f t="shared" si="0"/>
        <v>13.4</v>
      </c>
      <c r="J17" s="19">
        <f t="shared" si="0"/>
        <v>13.3</v>
      </c>
      <c r="K17" s="19">
        <f t="shared" si="0"/>
        <v>13.4</v>
      </c>
      <c r="L17" s="19">
        <f t="shared" si="0"/>
        <v>13.4</v>
      </c>
      <c r="M17" s="19">
        <f t="shared" si="0"/>
        <v>13.4</v>
      </c>
      <c r="N17" s="19">
        <f t="shared" si="0"/>
        <v>15.5</v>
      </c>
      <c r="O17" s="19">
        <f t="shared" si="0"/>
        <v>21</v>
      </c>
      <c r="P17" s="19">
        <f t="shared" si="0"/>
        <v>19.799999999999997</v>
      </c>
      <c r="Q17" s="19">
        <f t="shared" si="0"/>
        <v>20.399999999999999</v>
      </c>
      <c r="R17" s="19">
        <f t="shared" si="0"/>
        <v>19.799999999999997</v>
      </c>
      <c r="S17" s="463">
        <f t="shared" si="0"/>
        <v>20.399999999999999</v>
      </c>
      <c r="T17" s="463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19.799999999999997</v>
      </c>
      <c r="X17" s="19">
        <f t="shared" si="0"/>
        <v>20.100000000000001</v>
      </c>
      <c r="Y17" s="19">
        <f t="shared" si="0"/>
        <v>21</v>
      </c>
      <c r="Z17" s="463">
        <f t="shared" si="0"/>
        <v>20.8</v>
      </c>
      <c r="AA17" s="463">
        <f t="shared" si="0"/>
        <v>13.4</v>
      </c>
      <c r="AB17" s="463">
        <f>SUM(AB13:AB16)</f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49.3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 t="s">
        <v>9</v>
      </c>
      <c r="W19" s="357" t="s">
        <v>9</v>
      </c>
      <c r="X19" s="357" t="s">
        <v>9</v>
      </c>
      <c r="Y19" s="357" t="s">
        <v>9</v>
      </c>
      <c r="Z19" s="357" t="s">
        <v>9</v>
      </c>
      <c r="AA19" s="357" t="s">
        <v>9</v>
      </c>
      <c r="AB19" s="357" t="s">
        <v>9</v>
      </c>
      <c r="AC19" s="357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>
        <v>3.5</v>
      </c>
      <c r="P20" s="357">
        <v>3.3</v>
      </c>
      <c r="Q20" s="357">
        <v>3.5</v>
      </c>
      <c r="R20" s="357">
        <v>3.4</v>
      </c>
      <c r="S20" s="462">
        <v>3.5</v>
      </c>
      <c r="T20" s="462">
        <v>3.4</v>
      </c>
      <c r="U20" s="357">
        <v>3.3</v>
      </c>
      <c r="V20" s="357">
        <v>3.3</v>
      </c>
      <c r="W20" s="357">
        <v>3.3</v>
      </c>
      <c r="X20" s="357">
        <v>3</v>
      </c>
      <c r="Y20" s="357">
        <v>3.4</v>
      </c>
      <c r="Z20" s="357">
        <v>3</v>
      </c>
      <c r="AA20" s="357">
        <v>3.4</v>
      </c>
      <c r="AB20" s="357">
        <v>3</v>
      </c>
      <c r="AC20" s="357">
        <v>3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7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3.5</v>
      </c>
      <c r="P22" s="19">
        <f t="shared" si="1"/>
        <v>3.3</v>
      </c>
      <c r="Q22" s="19">
        <f t="shared" si="1"/>
        <v>3.5</v>
      </c>
      <c r="R22" s="19">
        <f t="shared" si="1"/>
        <v>3.4</v>
      </c>
      <c r="S22" s="463">
        <f>SUM(S19:S21)</f>
        <v>3.5</v>
      </c>
      <c r="T22" s="463">
        <f t="shared" ref="T22" si="2">SUM(T19:T21)</f>
        <v>3.4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</v>
      </c>
      <c r="Y22" s="19">
        <f t="shared" si="1"/>
        <v>3.4</v>
      </c>
      <c r="Z22" s="463">
        <f>SUM(Z19:Z21)</f>
        <v>3</v>
      </c>
      <c r="AA22" s="463">
        <f t="shared" si="1"/>
        <v>3.4</v>
      </c>
      <c r="AB22" s="463">
        <f>SUM(AB19:AB21)</f>
        <v>3</v>
      </c>
      <c r="AC22" s="19">
        <f t="shared" si="1"/>
        <v>3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53.8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>
        <v>3.8</v>
      </c>
      <c r="P24" s="357">
        <v>3.8</v>
      </c>
      <c r="Q24" s="357">
        <v>3.8</v>
      </c>
      <c r="R24" s="357">
        <v>3.8</v>
      </c>
      <c r="S24" s="462">
        <v>3.8</v>
      </c>
      <c r="T24" s="462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</v>
      </c>
      <c r="AA24" s="357">
        <v>3.8</v>
      </c>
      <c r="AB24" s="357">
        <v>3</v>
      </c>
      <c r="AC24" s="357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463">
        <f t="shared" si="4"/>
        <v>3.8</v>
      </c>
      <c r="T25" s="463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</v>
      </c>
      <c r="Y25" s="19">
        <f t="shared" si="4"/>
        <v>3.8</v>
      </c>
      <c r="Z25" s="463">
        <f t="shared" si="4"/>
        <v>3</v>
      </c>
      <c r="AA25" s="463">
        <f t="shared" si="4"/>
        <v>3.8</v>
      </c>
      <c r="AB25" s="463">
        <f t="shared" si="4"/>
        <v>3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73.199999999999974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3.8</v>
      </c>
      <c r="M27" s="357">
        <v>2</v>
      </c>
      <c r="N27" s="357">
        <v>3.8</v>
      </c>
      <c r="O27" s="357">
        <v>3.8</v>
      </c>
      <c r="P27" s="357">
        <v>3.7</v>
      </c>
      <c r="Q27" s="357">
        <v>3.7</v>
      </c>
      <c r="R27" s="357"/>
      <c r="S27" s="462"/>
      <c r="T27" s="462"/>
      <c r="U27" s="357"/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6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3.8</v>
      </c>
      <c r="G28" s="357">
        <v>3.6</v>
      </c>
      <c r="H28" s="357">
        <v>1.5</v>
      </c>
      <c r="I28" s="357">
        <v>1.5</v>
      </c>
      <c r="J28" s="357"/>
      <c r="K28" s="357"/>
      <c r="L28" s="359"/>
      <c r="M28" s="357"/>
      <c r="N28" s="357"/>
      <c r="O28" s="357"/>
      <c r="P28" s="357"/>
      <c r="Q28" s="357"/>
      <c r="R28" s="357">
        <v>3.8</v>
      </c>
      <c r="S28" s="462">
        <v>3.8</v>
      </c>
      <c r="T28" s="462">
        <v>3.8</v>
      </c>
      <c r="U28" s="357">
        <v>3.8</v>
      </c>
      <c r="V28" s="357">
        <v>3.8</v>
      </c>
      <c r="W28" s="357">
        <v>3.8</v>
      </c>
      <c r="X28" s="357">
        <v>2.9</v>
      </c>
      <c r="Y28" s="357">
        <v>4</v>
      </c>
      <c r="Z28" s="357">
        <v>3</v>
      </c>
      <c r="AA28" s="357">
        <v>4</v>
      </c>
      <c r="AB28" s="357">
        <v>2.2999999999999998</v>
      </c>
      <c r="AC28" s="357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  <c r="AI28" s="159">
        <f>SUM(F29:AC30)</f>
        <v>222.00000000000003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4</v>
      </c>
      <c r="Q29" s="357">
        <v>4.7</v>
      </c>
      <c r="R29" s="357">
        <v>4.3</v>
      </c>
      <c r="S29" s="462">
        <v>5.7</v>
      </c>
      <c r="T29" s="462">
        <v>7</v>
      </c>
      <c r="U29" s="357">
        <v>6</v>
      </c>
      <c r="V29" s="357">
        <v>3.5</v>
      </c>
      <c r="W29" s="357">
        <v>2.7</v>
      </c>
      <c r="X29" s="357">
        <v>2.7</v>
      </c>
      <c r="Y29" s="357">
        <v>4.3</v>
      </c>
      <c r="Z29" s="357">
        <v>2.7</v>
      </c>
      <c r="AA29" s="357">
        <v>5.5</v>
      </c>
      <c r="AB29" s="357">
        <v>2.7</v>
      </c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6.4</v>
      </c>
      <c r="I30" s="357">
        <v>5.7</v>
      </c>
      <c r="J30" s="357">
        <v>6.7</v>
      </c>
      <c r="K30" s="357">
        <v>7.4</v>
      </c>
      <c r="L30" s="357">
        <v>7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462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7</v>
      </c>
      <c r="AB30" s="462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5">SUM(F27:F30)</f>
        <v>10.8</v>
      </c>
      <c r="G31" s="19">
        <f>SUM(G27:G30)</f>
        <v>10.6</v>
      </c>
      <c r="H31" s="19">
        <f>SUM(H27:H30)</f>
        <v>7.9</v>
      </c>
      <c r="I31" s="19">
        <f t="shared" ref="I31:X31" si="6">SUM(I27:I30)</f>
        <v>7.2</v>
      </c>
      <c r="J31" s="19">
        <f t="shared" si="6"/>
        <v>6.7</v>
      </c>
      <c r="K31" s="19">
        <f t="shared" si="6"/>
        <v>7.4</v>
      </c>
      <c r="L31" s="19">
        <f t="shared" si="6"/>
        <v>10.8</v>
      </c>
      <c r="M31" s="19">
        <f t="shared" si="6"/>
        <v>9</v>
      </c>
      <c r="N31" s="19">
        <f t="shared" si="6"/>
        <v>10.8</v>
      </c>
      <c r="O31" s="19">
        <f t="shared" si="6"/>
        <v>10.8</v>
      </c>
      <c r="P31" s="19">
        <f t="shared" si="6"/>
        <v>14.7</v>
      </c>
      <c r="Q31" s="19">
        <f t="shared" si="6"/>
        <v>15.4</v>
      </c>
      <c r="R31" s="19">
        <f t="shared" si="6"/>
        <v>15.1</v>
      </c>
      <c r="S31" s="463">
        <f t="shared" si="6"/>
        <v>16.5</v>
      </c>
      <c r="T31" s="463">
        <f t="shared" si="6"/>
        <v>17.8</v>
      </c>
      <c r="U31" s="19">
        <f t="shared" si="6"/>
        <v>16.8</v>
      </c>
      <c r="V31" s="19">
        <f t="shared" si="6"/>
        <v>14.3</v>
      </c>
      <c r="W31" s="19">
        <f t="shared" si="6"/>
        <v>13.5</v>
      </c>
      <c r="X31" s="19">
        <f t="shared" si="6"/>
        <v>12.6</v>
      </c>
      <c r="Y31" s="19">
        <f>SUM(Y27:Y30)</f>
        <v>15.3</v>
      </c>
      <c r="Z31" s="19">
        <f t="shared" ref="Z31:AC31" si="7">SUM(Z27:Z30)</f>
        <v>12.7</v>
      </c>
      <c r="AA31" s="19">
        <f t="shared" si="7"/>
        <v>16.5</v>
      </c>
      <c r="AB31" s="19">
        <f t="shared" si="7"/>
        <v>12</v>
      </c>
      <c r="AC31" s="19">
        <f t="shared" si="7"/>
        <v>10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342.36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14.25</v>
      </c>
      <c r="G33" s="357">
        <v>14.29</v>
      </c>
      <c r="H33" s="357">
        <v>14.28</v>
      </c>
      <c r="I33" s="357">
        <v>14.3</v>
      </c>
      <c r="J33" s="357">
        <v>14.25</v>
      </c>
      <c r="K33" s="357">
        <v>14.21</v>
      </c>
      <c r="L33" s="357">
        <v>14.26</v>
      </c>
      <c r="M33" s="357">
        <v>14.29</v>
      </c>
      <c r="N33" s="357">
        <v>14.26</v>
      </c>
      <c r="O33" s="357">
        <v>14.22</v>
      </c>
      <c r="P33" s="357">
        <v>14.27</v>
      </c>
      <c r="Q33" s="357">
        <v>14.27</v>
      </c>
      <c r="R33" s="357">
        <v>14.29</v>
      </c>
      <c r="S33" s="462">
        <v>14.25</v>
      </c>
      <c r="T33" s="462">
        <v>14.28</v>
      </c>
      <c r="U33" s="357">
        <v>14.28</v>
      </c>
      <c r="V33" s="357">
        <v>14.25</v>
      </c>
      <c r="W33" s="357">
        <v>14.28</v>
      </c>
      <c r="X33" s="357">
        <v>14.25</v>
      </c>
      <c r="Y33" s="357">
        <v>14.29</v>
      </c>
      <c r="Z33" s="357">
        <v>14.26</v>
      </c>
      <c r="AA33" s="357">
        <v>14.25</v>
      </c>
      <c r="AB33" s="357">
        <v>14.26</v>
      </c>
      <c r="AC33" s="357">
        <v>14.27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8">SUM(F33)</f>
        <v>14.25</v>
      </c>
      <c r="G34" s="19">
        <f t="shared" ref="G34:AC34" si="9">SUM(G33)</f>
        <v>14.29</v>
      </c>
      <c r="H34" s="19">
        <f t="shared" si="9"/>
        <v>14.28</v>
      </c>
      <c r="I34" s="19">
        <f t="shared" si="9"/>
        <v>14.3</v>
      </c>
      <c r="J34" s="19">
        <f t="shared" si="9"/>
        <v>14.25</v>
      </c>
      <c r="K34" s="19">
        <f t="shared" si="9"/>
        <v>14.21</v>
      </c>
      <c r="L34" s="19">
        <f t="shared" si="9"/>
        <v>14.26</v>
      </c>
      <c r="M34" s="19">
        <f t="shared" si="9"/>
        <v>14.29</v>
      </c>
      <c r="N34" s="19">
        <f t="shared" si="9"/>
        <v>14.26</v>
      </c>
      <c r="O34" s="19">
        <f t="shared" si="9"/>
        <v>14.22</v>
      </c>
      <c r="P34" s="19">
        <f t="shared" si="9"/>
        <v>14.27</v>
      </c>
      <c r="Q34" s="19">
        <f t="shared" si="9"/>
        <v>14.27</v>
      </c>
      <c r="R34" s="19">
        <f t="shared" si="9"/>
        <v>14.29</v>
      </c>
      <c r="S34" s="19">
        <f t="shared" si="9"/>
        <v>14.25</v>
      </c>
      <c r="T34" s="463">
        <f t="shared" si="9"/>
        <v>14.28</v>
      </c>
      <c r="U34" s="19">
        <f t="shared" si="9"/>
        <v>14.28</v>
      </c>
      <c r="V34" s="19">
        <f t="shared" si="9"/>
        <v>14.25</v>
      </c>
      <c r="W34" s="19">
        <f t="shared" si="9"/>
        <v>14.28</v>
      </c>
      <c r="X34" s="19">
        <f t="shared" si="9"/>
        <v>14.25</v>
      </c>
      <c r="Y34" s="19">
        <f t="shared" si="9"/>
        <v>14.29</v>
      </c>
      <c r="Z34" s="19">
        <f t="shared" si="9"/>
        <v>14.26</v>
      </c>
      <c r="AA34" s="19">
        <f t="shared" si="9"/>
        <v>14.25</v>
      </c>
      <c r="AB34" s="19">
        <f t="shared" si="9"/>
        <v>14.26</v>
      </c>
      <c r="AC34" s="19">
        <f t="shared" si="9"/>
        <v>14.27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0">COUNTIF(F36:AC36,$AJ$8)</f>
        <v>0</v>
      </c>
      <c r="AG36" s="11">
        <f t="shared" ref="AG36:AG59" si="11">COUNTIF(G36:AD36,$AJ$7)</f>
        <v>0</v>
      </c>
      <c r="AH36" s="11">
        <f t="shared" ref="AH36:AH59" si="12">COUNT(F36:AC36)</f>
        <v>0</v>
      </c>
      <c r="AI36" s="159">
        <f>SUM(F36:AC38,F40:AC40,F45:AC59)</f>
        <v>28.839999999999993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6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/>
      <c r="Q40" s="357"/>
      <c r="R40" s="357"/>
      <c r="S40" s="462"/>
      <c r="T40" s="462"/>
      <c r="U40" s="357">
        <v>0.8</v>
      </c>
      <c r="V40" s="357">
        <v>0.8</v>
      </c>
      <c r="W40" s="357"/>
      <c r="X40" s="357"/>
      <c r="Y40" s="357"/>
      <c r="Z40" s="357"/>
      <c r="AA40" s="357"/>
      <c r="AB40" s="357"/>
      <c r="AC40" s="357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2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/>
      <c r="S42" s="462"/>
      <c r="T42" s="462"/>
      <c r="U42" s="357"/>
      <c r="V42" s="357"/>
      <c r="W42" s="357"/>
      <c r="X42" s="357"/>
      <c r="Y42" s="357"/>
      <c r="Z42" s="357"/>
      <c r="AA42" s="357"/>
      <c r="AB42" s="357"/>
      <c r="AC42" s="357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6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>
        <v>0.7</v>
      </c>
      <c r="Q47" s="357">
        <v>0.8</v>
      </c>
      <c r="R47" s="357">
        <v>0.7</v>
      </c>
      <c r="S47" s="462">
        <v>0.81</v>
      </c>
      <c r="T47" s="462">
        <v>0.81</v>
      </c>
      <c r="U47" s="357">
        <v>0.8</v>
      </c>
      <c r="V47" s="357">
        <v>0.8</v>
      </c>
      <c r="W47" s="357"/>
      <c r="X47" s="357"/>
      <c r="Y47" s="357"/>
      <c r="Z47" s="357"/>
      <c r="AA47" s="357"/>
      <c r="AB47" s="357"/>
      <c r="AC47" s="357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0.75</v>
      </c>
      <c r="M48" s="357">
        <v>0</v>
      </c>
      <c r="N48" s="357">
        <f>3.2/4</f>
        <v>0.8</v>
      </c>
      <c r="O48" s="357">
        <v>0</v>
      </c>
      <c r="P48" s="357">
        <v>0</v>
      </c>
      <c r="Q48" s="357">
        <v>0</v>
      </c>
      <c r="R48" s="357">
        <v>0</v>
      </c>
      <c r="S48" s="462">
        <v>0</v>
      </c>
      <c r="T48" s="462">
        <v>0.8</v>
      </c>
      <c r="U48" s="357">
        <v>0.7</v>
      </c>
      <c r="V48" s="357">
        <v>0.8</v>
      </c>
      <c r="W48" s="357">
        <v>0.7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12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9"/>
      <c r="Q49" s="357"/>
      <c r="R49" s="357"/>
      <c r="S49" s="462"/>
      <c r="T49" s="462"/>
      <c r="U49" s="462"/>
      <c r="V49" s="462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>
        <v>0.75</v>
      </c>
      <c r="G50" s="357"/>
      <c r="H50" s="357"/>
      <c r="I50" s="357"/>
      <c r="J50" s="357"/>
      <c r="K50" s="357"/>
      <c r="L50" s="359">
        <v>0.75</v>
      </c>
      <c r="M50" s="357">
        <v>0</v>
      </c>
      <c r="N50" s="357">
        <f>3.2/4</f>
        <v>0.8</v>
      </c>
      <c r="O50" s="357">
        <v>0</v>
      </c>
      <c r="P50" s="357">
        <v>0.72</v>
      </c>
      <c r="Q50" s="357">
        <v>0.7</v>
      </c>
      <c r="R50" s="357">
        <v>0.7</v>
      </c>
      <c r="S50" s="462">
        <v>0.7</v>
      </c>
      <c r="T50" s="462">
        <v>0.7</v>
      </c>
      <c r="U50" s="357">
        <v>0.7</v>
      </c>
      <c r="V50" s="357">
        <v>0.7</v>
      </c>
      <c r="W50" s="357"/>
      <c r="X50" s="357"/>
      <c r="Y50" s="357"/>
      <c r="Z50" s="357"/>
      <c r="AA50" s="357"/>
      <c r="AB50" s="357"/>
      <c r="AC50" s="357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12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>
        <v>0</v>
      </c>
      <c r="N51" s="357">
        <f>3.2/4</f>
        <v>0.8</v>
      </c>
      <c r="O51" s="357">
        <v>0</v>
      </c>
      <c r="P51" s="357">
        <v>0.7</v>
      </c>
      <c r="Q51" s="357">
        <v>0.7</v>
      </c>
      <c r="R51" s="357">
        <v>0.7</v>
      </c>
      <c r="S51" s="462">
        <v>0.7</v>
      </c>
      <c r="T51" s="462">
        <v>0.7</v>
      </c>
      <c r="U51" s="357">
        <v>0.7</v>
      </c>
      <c r="V51" s="357">
        <v>0.7</v>
      </c>
      <c r="W51" s="357"/>
      <c r="X51" s="357"/>
      <c r="Y51" s="357"/>
      <c r="Z51" s="357"/>
      <c r="AA51" s="357"/>
      <c r="AB51" s="357"/>
      <c r="AC51" s="357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10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9"/>
      <c r="N52" s="357"/>
      <c r="O52" s="357"/>
      <c r="P52" s="359"/>
      <c r="Q52" s="357"/>
      <c r="R52" s="357"/>
      <c r="S52" s="462"/>
      <c r="T52" s="357"/>
      <c r="U52" s="462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9"/>
      <c r="N53" s="357"/>
      <c r="O53" s="357"/>
      <c r="P53" s="359"/>
      <c r="Q53" s="357"/>
      <c r="R53" s="357"/>
      <c r="S53" s="462"/>
      <c r="T53" s="357"/>
      <c r="U53" s="462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9"/>
      <c r="N54" s="357"/>
      <c r="O54" s="357"/>
      <c r="P54" s="359"/>
      <c r="Q54" s="357"/>
      <c r="R54" s="357"/>
      <c r="S54" s="462"/>
      <c r="T54" s="357"/>
      <c r="U54" s="462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9"/>
      <c r="N55" s="357"/>
      <c r="O55" s="357"/>
      <c r="P55" s="359"/>
      <c r="Q55" s="357"/>
      <c r="R55" s="357"/>
      <c r="S55" s="462"/>
      <c r="T55" s="357"/>
      <c r="U55" s="462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>
        <v>0.75</v>
      </c>
      <c r="G56" s="357"/>
      <c r="H56" s="357"/>
      <c r="I56" s="357"/>
      <c r="J56" s="357"/>
      <c r="K56" s="357"/>
      <c r="L56" s="359"/>
      <c r="M56" s="357"/>
      <c r="N56" s="357">
        <f>3.2/4</f>
        <v>0.8</v>
      </c>
      <c r="O56" s="357">
        <v>0</v>
      </c>
      <c r="P56" s="357">
        <v>0</v>
      </c>
      <c r="Q56" s="357">
        <v>0</v>
      </c>
      <c r="R56" s="357">
        <v>0</v>
      </c>
      <c r="S56" s="462">
        <v>0</v>
      </c>
      <c r="T56" s="462">
        <v>0.7</v>
      </c>
      <c r="U56" s="357">
        <v>0.7</v>
      </c>
      <c r="V56" s="357">
        <v>0.7</v>
      </c>
      <c r="W56" s="357">
        <v>0.7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0"/>
        <v>0</v>
      </c>
      <c r="AG59" s="11">
        <f t="shared" si="11"/>
        <v>0</v>
      </c>
      <c r="AH59" s="11">
        <f t="shared" si="12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3">SUM(F36:F59)</f>
        <v>1.5</v>
      </c>
      <c r="G60" s="19">
        <f t="shared" si="13"/>
        <v>0</v>
      </c>
      <c r="H60" s="19">
        <f t="shared" si="13"/>
        <v>0</v>
      </c>
      <c r="I60" s="19">
        <f t="shared" si="13"/>
        <v>0</v>
      </c>
      <c r="J60" s="19">
        <f t="shared" si="13"/>
        <v>0</v>
      </c>
      <c r="K60" s="19">
        <f t="shared" si="13"/>
        <v>0</v>
      </c>
      <c r="L60" s="19">
        <f t="shared" si="13"/>
        <v>1.5</v>
      </c>
      <c r="M60" s="19">
        <f t="shared" si="13"/>
        <v>0</v>
      </c>
      <c r="N60" s="19">
        <f>SUM(N36:N59)</f>
        <v>3.2</v>
      </c>
      <c r="O60" s="19">
        <f t="shared" si="13"/>
        <v>0</v>
      </c>
      <c r="P60" s="19">
        <f t="shared" si="13"/>
        <v>2.12</v>
      </c>
      <c r="Q60" s="19">
        <f t="shared" si="13"/>
        <v>2.2000000000000002</v>
      </c>
      <c r="R60" s="19">
        <f t="shared" si="13"/>
        <v>2.0999999999999996</v>
      </c>
      <c r="S60" s="19">
        <f t="shared" si="13"/>
        <v>2.21</v>
      </c>
      <c r="T60" s="19">
        <f t="shared" si="13"/>
        <v>3.71</v>
      </c>
      <c r="U60" s="19">
        <f t="shared" si="13"/>
        <v>4.4000000000000004</v>
      </c>
      <c r="V60" s="19">
        <f t="shared" si="13"/>
        <v>4.5000000000000009</v>
      </c>
      <c r="W60" s="19">
        <f t="shared" si="13"/>
        <v>1.4</v>
      </c>
      <c r="X60" s="19">
        <f t="shared" si="13"/>
        <v>0</v>
      </c>
      <c r="Y60" s="19">
        <f>SUM(Y36:Y59)</f>
        <v>0</v>
      </c>
      <c r="Z60" s="19">
        <f t="shared" si="13"/>
        <v>0</v>
      </c>
      <c r="AA60" s="19">
        <f t="shared" si="13"/>
        <v>0</v>
      </c>
      <c r="AB60" s="19">
        <f t="shared" si="13"/>
        <v>0</v>
      </c>
      <c r="AC60" s="19">
        <f t="shared" si="13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32.159999999999997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>
        <v>0.58499999999999996</v>
      </c>
      <c r="G62" s="357">
        <v>0.53</v>
      </c>
      <c r="H62" s="357">
        <v>0.49</v>
      </c>
      <c r="I62" s="357">
        <v>0.47</v>
      </c>
      <c r="J62" s="357">
        <v>0.47499999999999998</v>
      </c>
      <c r="K62" s="357">
        <v>0.51</v>
      </c>
      <c r="L62" s="357">
        <f>1.27/2</f>
        <v>0.63500000000000001</v>
      </c>
      <c r="M62" s="357">
        <f>1.21/2</f>
        <v>0.60499999999999998</v>
      </c>
      <c r="N62" s="357">
        <f>1.25/2</f>
        <v>0.625</v>
      </c>
      <c r="O62" s="357">
        <f>1.43/2</f>
        <v>0.71499999999999997</v>
      </c>
      <c r="P62" s="357">
        <f>1.51/2</f>
        <v>0.755</v>
      </c>
      <c r="Q62" s="357">
        <f>1.52/2</f>
        <v>0.76</v>
      </c>
      <c r="R62" s="357">
        <f>1.55/3</f>
        <v>0.51666666666666672</v>
      </c>
      <c r="S62" s="462">
        <f>1.56/3</f>
        <v>0.52</v>
      </c>
      <c r="T62" s="462">
        <f>1.57/3</f>
        <v>0.52333333333333332</v>
      </c>
      <c r="U62" s="357">
        <f>1.54/3</f>
        <v>0.51333333333333331</v>
      </c>
      <c r="V62" s="357">
        <f>1.51/3</f>
        <v>0.5033333333333333</v>
      </c>
      <c r="W62" s="357"/>
      <c r="X62" s="357"/>
      <c r="Y62" s="357">
        <f>1.55/3</f>
        <v>0.51666666666666672</v>
      </c>
      <c r="Z62" s="357">
        <f>1.62/3</f>
        <v>0.54</v>
      </c>
      <c r="AA62" s="357">
        <f>1.54/3</f>
        <v>0.51333333333333331</v>
      </c>
      <c r="AB62" s="357"/>
      <c r="AC62" s="357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/>
      <c r="G63" s="357"/>
      <c r="H63" s="357"/>
      <c r="I63" s="357"/>
      <c r="J63" s="357"/>
      <c r="K63" s="357">
        <v>0.51</v>
      </c>
      <c r="L63" s="357">
        <f>1.27/2</f>
        <v>0.63500000000000001</v>
      </c>
      <c r="M63" s="357">
        <f>1.21/2</f>
        <v>0.60499999999999998</v>
      </c>
      <c r="N63" s="357">
        <f>1.25/2</f>
        <v>0.625</v>
      </c>
      <c r="O63" s="357">
        <f>1.43/2</f>
        <v>0.71499999999999997</v>
      </c>
      <c r="P63" s="357">
        <f>1.51/2</f>
        <v>0.755</v>
      </c>
      <c r="Q63" s="357">
        <f>1.52/2</f>
        <v>0.76</v>
      </c>
      <c r="R63" s="357">
        <f>1.55/3</f>
        <v>0.51666666666666672</v>
      </c>
      <c r="S63" s="462">
        <f>1.56/3</f>
        <v>0.52</v>
      </c>
      <c r="T63" s="462">
        <f>1.57/3</f>
        <v>0.52333333333333332</v>
      </c>
      <c r="U63" s="357">
        <f>1.54/3</f>
        <v>0.51333333333333331</v>
      </c>
      <c r="V63" s="357">
        <f>1.51/3</f>
        <v>0.5033333333333333</v>
      </c>
      <c r="W63" s="357">
        <v>0.72</v>
      </c>
      <c r="X63" s="357">
        <f>1.35/2</f>
        <v>0.67500000000000004</v>
      </c>
      <c r="Y63" s="357">
        <f t="shared" ref="Y63:Y64" si="14">1.55/3</f>
        <v>0.51666666666666672</v>
      </c>
      <c r="Z63" s="357">
        <f>1.62/3</f>
        <v>0.54</v>
      </c>
      <c r="AA63" s="357">
        <f>1.54/3</f>
        <v>0.51333333333333331</v>
      </c>
      <c r="AB63" s="357">
        <f>1.34/2</f>
        <v>0.67</v>
      </c>
      <c r="AC63" s="357">
        <v>0.64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0.58499999999999996</v>
      </c>
      <c r="G64" s="357">
        <v>0.53</v>
      </c>
      <c r="H64" s="357">
        <v>0.49</v>
      </c>
      <c r="I64" s="357">
        <v>0.47</v>
      </c>
      <c r="J64" s="357">
        <v>0.47499999999999998</v>
      </c>
      <c r="K64" s="357"/>
      <c r="L64" s="357"/>
      <c r="M64" s="357"/>
      <c r="N64" s="357"/>
      <c r="O64" s="357"/>
      <c r="P64" s="357"/>
      <c r="Q64" s="357"/>
      <c r="R64" s="357">
        <f>1.55/3</f>
        <v>0.51666666666666672</v>
      </c>
      <c r="S64" s="462">
        <f>1.56/3</f>
        <v>0.52</v>
      </c>
      <c r="T64" s="462">
        <f>1.57/3</f>
        <v>0.52333333333333332</v>
      </c>
      <c r="U64" s="357">
        <f>1.54/3</f>
        <v>0.51333333333333331</v>
      </c>
      <c r="V64" s="357">
        <f>1.51/3</f>
        <v>0.5033333333333333</v>
      </c>
      <c r="W64" s="357">
        <v>0.72</v>
      </c>
      <c r="X64" s="357">
        <f>1.35/2</f>
        <v>0.67500000000000004</v>
      </c>
      <c r="Y64" s="357">
        <f t="shared" si="14"/>
        <v>0.51666666666666672</v>
      </c>
      <c r="Z64" s="357">
        <f>1.62/3</f>
        <v>0.54</v>
      </c>
      <c r="AA64" s="357">
        <f>1.54/3</f>
        <v>0.51333333333333331</v>
      </c>
      <c r="AB64" s="357">
        <f>1.34/2</f>
        <v>0.67</v>
      </c>
      <c r="AC64" s="357">
        <v>0.64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1.17</v>
      </c>
      <c r="G65" s="19">
        <f t="shared" ref="G65:AB65" si="15">SUM(G62:G64)</f>
        <v>1.06</v>
      </c>
      <c r="H65" s="19">
        <f t="shared" si="15"/>
        <v>0.98</v>
      </c>
      <c r="I65" s="19">
        <f t="shared" si="15"/>
        <v>0.94</v>
      </c>
      <c r="J65" s="19">
        <f t="shared" si="15"/>
        <v>0.95</v>
      </c>
      <c r="K65" s="19">
        <f t="shared" si="15"/>
        <v>1.02</v>
      </c>
      <c r="L65" s="19">
        <f t="shared" si="15"/>
        <v>1.27</v>
      </c>
      <c r="M65" s="19">
        <f t="shared" si="15"/>
        <v>1.21</v>
      </c>
      <c r="N65" s="19">
        <f t="shared" si="15"/>
        <v>1.25</v>
      </c>
      <c r="O65" s="19">
        <f t="shared" si="15"/>
        <v>1.43</v>
      </c>
      <c r="P65" s="19">
        <f t="shared" si="15"/>
        <v>1.51</v>
      </c>
      <c r="Q65" s="19">
        <f t="shared" si="15"/>
        <v>1.52</v>
      </c>
      <c r="R65" s="19">
        <f t="shared" si="15"/>
        <v>1.5500000000000003</v>
      </c>
      <c r="S65" s="463">
        <f t="shared" si="15"/>
        <v>1.56</v>
      </c>
      <c r="T65" s="463">
        <f t="shared" si="15"/>
        <v>1.5699999999999998</v>
      </c>
      <c r="U65" s="463">
        <f t="shared" si="15"/>
        <v>1.54</v>
      </c>
      <c r="V65" s="19">
        <f>SUM(V62:V64)</f>
        <v>1.5099999999999998</v>
      </c>
      <c r="W65" s="19">
        <f t="shared" si="15"/>
        <v>1.44</v>
      </c>
      <c r="X65" s="19">
        <f t="shared" si="15"/>
        <v>1.35</v>
      </c>
      <c r="Y65" s="19">
        <f>SUM(Y62:Y64)</f>
        <v>1.5500000000000003</v>
      </c>
      <c r="Z65" s="19">
        <f>SUM(Z62:Z64)</f>
        <v>1.62</v>
      </c>
      <c r="AA65" s="19">
        <f t="shared" si="15"/>
        <v>1.54</v>
      </c>
      <c r="AB65" s="19">
        <f t="shared" si="15"/>
        <v>1.34</v>
      </c>
      <c r="AC65" s="19">
        <f>SUM(AC62:AC64)</f>
        <v>1.28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6">COUNTIF(F67:AC67,$AF$11)</f>
        <v>0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463">
        <f t="shared" si="19"/>
        <v>0</v>
      </c>
      <c r="T76" s="463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20.869999999999997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/>
      <c r="M78" s="357">
        <v>0.78</v>
      </c>
      <c r="N78" s="357">
        <v>0.79</v>
      </c>
      <c r="O78" s="357">
        <v>0.84</v>
      </c>
      <c r="P78" s="357">
        <v>0.86</v>
      </c>
      <c r="Q78" s="357">
        <v>0.88</v>
      </c>
      <c r="R78" s="357">
        <v>0.89</v>
      </c>
      <c r="S78" s="462">
        <v>0.92</v>
      </c>
      <c r="T78" s="462">
        <v>0.92</v>
      </c>
      <c r="U78" s="357">
        <v>0.93</v>
      </c>
      <c r="V78" s="357">
        <v>0.92</v>
      </c>
      <c r="W78" s="357">
        <v>0.91</v>
      </c>
      <c r="X78" s="357">
        <v>0.91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0.81</v>
      </c>
      <c r="G79" s="357">
        <v>0.78</v>
      </c>
      <c r="H79" s="357">
        <v>0.76</v>
      </c>
      <c r="I79" s="357">
        <v>0.75</v>
      </c>
      <c r="J79" s="357">
        <v>0.74</v>
      </c>
      <c r="K79" s="357">
        <v>0.76</v>
      </c>
      <c r="L79" s="359">
        <v>0.85</v>
      </c>
      <c r="M79" s="357">
        <v>0</v>
      </c>
      <c r="N79" s="357">
        <v>0</v>
      </c>
      <c r="O79" s="357">
        <v>0</v>
      </c>
      <c r="P79" s="357">
        <v>0</v>
      </c>
      <c r="Q79" s="357">
        <v>0</v>
      </c>
      <c r="R79" s="357">
        <v>0</v>
      </c>
      <c r="S79" s="462">
        <v>0</v>
      </c>
      <c r="T79" s="462">
        <v>0</v>
      </c>
      <c r="U79" s="357">
        <v>0</v>
      </c>
      <c r="V79" s="357">
        <v>0</v>
      </c>
      <c r="W79" s="357">
        <v>0</v>
      </c>
      <c r="X79" s="357">
        <v>0</v>
      </c>
      <c r="Y79" s="357">
        <v>0.97</v>
      </c>
      <c r="Z79" s="357">
        <v>1.04</v>
      </c>
      <c r="AA79" s="357">
        <v>1</v>
      </c>
      <c r="AB79" s="357">
        <v>0.96</v>
      </c>
      <c r="AC79" s="357">
        <v>0.9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0.81</v>
      </c>
      <c r="G80" s="19">
        <f t="shared" si="20"/>
        <v>0.78</v>
      </c>
      <c r="H80" s="19">
        <f>SUM(H78:H79)</f>
        <v>0.76</v>
      </c>
      <c r="I80" s="19">
        <f>SUM(I78:I79)</f>
        <v>0.75</v>
      </c>
      <c r="J80" s="19">
        <f t="shared" ref="J80:AC80" si="21">SUM(J78:J79)</f>
        <v>0.74</v>
      </c>
      <c r="K80" s="19">
        <f t="shared" si="21"/>
        <v>0.76</v>
      </c>
      <c r="L80" s="19">
        <f>SUM(L78:L79)</f>
        <v>0.85</v>
      </c>
      <c r="M80" s="19">
        <f t="shared" si="21"/>
        <v>0.78</v>
      </c>
      <c r="N80" s="19">
        <f t="shared" si="21"/>
        <v>0.79</v>
      </c>
      <c r="O80" s="19">
        <f>SUM(O78:O79)</f>
        <v>0.84</v>
      </c>
      <c r="P80" s="19">
        <f>SUM(P78:P79)</f>
        <v>0.86</v>
      </c>
      <c r="Q80" s="19">
        <f t="shared" si="21"/>
        <v>0.88</v>
      </c>
      <c r="R80" s="19">
        <f t="shared" si="21"/>
        <v>0.89</v>
      </c>
      <c r="S80" s="463">
        <f t="shared" si="21"/>
        <v>0.92</v>
      </c>
      <c r="T80" s="463">
        <f t="shared" si="21"/>
        <v>0.92</v>
      </c>
      <c r="U80" s="19">
        <f t="shared" si="21"/>
        <v>0.93</v>
      </c>
      <c r="V80" s="19">
        <f t="shared" si="21"/>
        <v>0.92</v>
      </c>
      <c r="W80" s="19">
        <f t="shared" si="21"/>
        <v>0.91</v>
      </c>
      <c r="X80" s="19">
        <f t="shared" si="21"/>
        <v>0.91</v>
      </c>
      <c r="Y80" s="19">
        <f t="shared" si="21"/>
        <v>0.97</v>
      </c>
      <c r="Z80" s="19">
        <f t="shared" si="21"/>
        <v>1.04</v>
      </c>
      <c r="AA80" s="19">
        <f t="shared" si="21"/>
        <v>1</v>
      </c>
      <c r="AB80" s="19">
        <f t="shared" si="21"/>
        <v>0.96</v>
      </c>
      <c r="AC80" s="19">
        <f t="shared" si="21"/>
        <v>0.9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22">SUM(F17,F22,F25,F31,F34,F60,F65,F76,F80,F82)</f>
        <v>42.13</v>
      </c>
      <c r="G83" s="28">
        <f>SUM(G17,G22,G25,G31,G34,G60,G65,G76,G80,G82)</f>
        <v>39.730000000000004</v>
      </c>
      <c r="H83" s="28">
        <f t="shared" ref="H83:AC83" si="23">SUM(H17,H22,H25,H31,H34,H60,H65,H76,H80,H82)</f>
        <v>37.319999999999993</v>
      </c>
      <c r="I83" s="28">
        <f t="shared" si="23"/>
        <v>36.590000000000003</v>
      </c>
      <c r="J83" s="28">
        <f t="shared" si="23"/>
        <v>35.940000000000005</v>
      </c>
      <c r="K83" s="28">
        <f t="shared" si="23"/>
        <v>36.790000000000006</v>
      </c>
      <c r="L83" s="28">
        <f t="shared" si="23"/>
        <v>42.080000000000005</v>
      </c>
      <c r="M83" s="28">
        <f t="shared" si="23"/>
        <v>38.68</v>
      </c>
      <c r="N83" s="28">
        <f t="shared" si="23"/>
        <v>45.800000000000004</v>
      </c>
      <c r="O83" s="28">
        <f t="shared" si="23"/>
        <v>55.59</v>
      </c>
      <c r="P83" s="28">
        <f t="shared" si="23"/>
        <v>60.359999999999985</v>
      </c>
      <c r="Q83" s="28">
        <f t="shared" si="23"/>
        <v>61.970000000000013</v>
      </c>
      <c r="R83" s="28">
        <f t="shared" si="23"/>
        <v>60.929999999999993</v>
      </c>
      <c r="S83" s="518">
        <f t="shared" si="23"/>
        <v>63.140000000000008</v>
      </c>
      <c r="T83" s="518">
        <f t="shared" si="23"/>
        <v>65.58</v>
      </c>
      <c r="U83" s="518">
        <f t="shared" si="23"/>
        <v>65.150000000000006</v>
      </c>
      <c r="V83" s="28">
        <f t="shared" si="23"/>
        <v>62.38</v>
      </c>
      <c r="W83" s="28">
        <f t="shared" si="23"/>
        <v>58.429999999999993</v>
      </c>
      <c r="X83" s="28">
        <f t="shared" si="23"/>
        <v>55.21</v>
      </c>
      <c r="Y83" s="28">
        <f t="shared" si="23"/>
        <v>60.309999999999995</v>
      </c>
      <c r="Z83" s="28">
        <f t="shared" si="23"/>
        <v>56.419999999999995</v>
      </c>
      <c r="AA83" s="28">
        <f t="shared" si="23"/>
        <v>53.89</v>
      </c>
      <c r="AB83" s="28">
        <f t="shared" si="23"/>
        <v>47.96</v>
      </c>
      <c r="AC83" s="28">
        <f t="shared" si="23"/>
        <v>45.65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4">SUM(F22,F25)</f>
        <v>0</v>
      </c>
      <c r="G89" s="64">
        <f t="shared" si="24"/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0</v>
      </c>
      <c r="O89" s="64">
        <f t="shared" si="24"/>
        <v>7.3</v>
      </c>
      <c r="P89" s="64">
        <f t="shared" si="24"/>
        <v>7.1</v>
      </c>
      <c r="Q89" s="64">
        <f t="shared" si="24"/>
        <v>7.3</v>
      </c>
      <c r="R89" s="64">
        <f t="shared" si="24"/>
        <v>7.1999999999999993</v>
      </c>
      <c r="S89" s="64">
        <f t="shared" si="24"/>
        <v>7.3</v>
      </c>
      <c r="T89" s="64">
        <f t="shared" si="24"/>
        <v>7.1999999999999993</v>
      </c>
      <c r="U89" s="64">
        <f t="shared" si="24"/>
        <v>7.1</v>
      </c>
      <c r="V89" s="64">
        <f t="shared" si="24"/>
        <v>7.1</v>
      </c>
      <c r="W89" s="64">
        <f t="shared" si="24"/>
        <v>7.1</v>
      </c>
      <c r="X89" s="64">
        <f t="shared" si="24"/>
        <v>6</v>
      </c>
      <c r="Y89" s="64">
        <f t="shared" si="24"/>
        <v>7.1999999999999993</v>
      </c>
      <c r="Z89" s="64">
        <f t="shared" si="24"/>
        <v>6</v>
      </c>
      <c r="AA89" s="64">
        <f t="shared" si="24"/>
        <v>7.1999999999999993</v>
      </c>
      <c r="AB89" s="64">
        <f t="shared" si="24"/>
        <v>6</v>
      </c>
      <c r="AC89" s="64">
        <f t="shared" si="24"/>
        <v>6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>
        <v>0.22800000000000001</v>
      </c>
      <c r="P90" s="68">
        <v>0.17599999999999999</v>
      </c>
      <c r="Q90" s="68">
        <v>0.153</v>
      </c>
      <c r="R90" s="68">
        <v>0.19</v>
      </c>
      <c r="S90" s="68">
        <v>0.21299999999999999</v>
      </c>
      <c r="T90" s="68">
        <v>0.19600000000000001</v>
      </c>
      <c r="U90" s="68">
        <v>0.24299999999999999</v>
      </c>
      <c r="V90" s="68">
        <v>0.24199999999999999</v>
      </c>
      <c r="W90" s="68">
        <v>0.21299999999999999</v>
      </c>
      <c r="X90" s="68">
        <v>0.188</v>
      </c>
      <c r="Y90" s="68">
        <v>0.19400000000000001</v>
      </c>
      <c r="Z90" s="68">
        <v>0.28899999999999998</v>
      </c>
      <c r="AA90" s="68">
        <v>0.23699999999999999</v>
      </c>
      <c r="AB90" s="68">
        <v>0.20799999999999999</v>
      </c>
      <c r="AC90" s="68">
        <v>0.28199999999999997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5">F17</f>
        <v>13.6</v>
      </c>
      <c r="G91" s="64">
        <f t="shared" si="25"/>
        <v>13</v>
      </c>
      <c r="H91" s="64">
        <f t="shared" si="25"/>
        <v>13.4</v>
      </c>
      <c r="I91" s="64">
        <f t="shared" si="25"/>
        <v>13.4</v>
      </c>
      <c r="J91" s="64">
        <f t="shared" si="25"/>
        <v>13.3</v>
      </c>
      <c r="K91" s="64">
        <f t="shared" si="25"/>
        <v>13.4</v>
      </c>
      <c r="L91" s="64">
        <f t="shared" si="25"/>
        <v>13.4</v>
      </c>
      <c r="M91" s="64">
        <f t="shared" si="25"/>
        <v>13.4</v>
      </c>
      <c r="N91" s="64">
        <f t="shared" si="25"/>
        <v>15.5</v>
      </c>
      <c r="O91" s="64">
        <f t="shared" si="25"/>
        <v>21</v>
      </c>
      <c r="P91" s="64">
        <f t="shared" si="25"/>
        <v>19.799999999999997</v>
      </c>
      <c r="Q91" s="64">
        <f t="shared" si="25"/>
        <v>20.399999999999999</v>
      </c>
      <c r="R91" s="64">
        <f t="shared" si="25"/>
        <v>19.799999999999997</v>
      </c>
      <c r="S91" s="64">
        <f t="shared" si="25"/>
        <v>20.399999999999999</v>
      </c>
      <c r="T91" s="64">
        <f t="shared" si="25"/>
        <v>20.100000000000001</v>
      </c>
      <c r="U91" s="64">
        <f t="shared" si="25"/>
        <v>20.100000000000001</v>
      </c>
      <c r="V91" s="64">
        <f t="shared" si="25"/>
        <v>19.799999999999997</v>
      </c>
      <c r="W91" s="64">
        <f t="shared" si="25"/>
        <v>19.799999999999997</v>
      </c>
      <c r="X91" s="64">
        <f t="shared" si="25"/>
        <v>20.100000000000001</v>
      </c>
      <c r="Y91" s="64">
        <f t="shared" si="25"/>
        <v>21</v>
      </c>
      <c r="Z91" s="64">
        <f t="shared" si="25"/>
        <v>20.8</v>
      </c>
      <c r="AA91" s="64">
        <f t="shared" si="25"/>
        <v>13.4</v>
      </c>
      <c r="AB91" s="64">
        <f t="shared" si="25"/>
        <v>13.4</v>
      </c>
      <c r="AC91" s="64">
        <f t="shared" si="25"/>
        <v>13.2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0.53100000000000003</v>
      </c>
      <c r="G92" s="68">
        <v>0.49099999999999999</v>
      </c>
      <c r="H92" s="68">
        <v>0.58899999999999997</v>
      </c>
      <c r="I92" s="68">
        <v>0.80700000000000005</v>
      </c>
      <c r="J92" s="68">
        <v>0.64200000000000002</v>
      </c>
      <c r="K92" s="68">
        <v>0.63600000000000001</v>
      </c>
      <c r="L92" s="68">
        <v>0.69899999999999995</v>
      </c>
      <c r="M92" s="68">
        <v>0.67100000000000004</v>
      </c>
      <c r="N92" s="68">
        <v>0.66500000000000004</v>
      </c>
      <c r="O92" s="68">
        <v>0.60799999999999998</v>
      </c>
      <c r="P92" s="68">
        <v>0.57999999999999996</v>
      </c>
      <c r="Q92" s="68">
        <v>0.72599999999999998</v>
      </c>
      <c r="R92" s="68">
        <v>0.78800000000000003</v>
      </c>
      <c r="S92" s="68">
        <v>0.79400000000000004</v>
      </c>
      <c r="T92" s="68">
        <v>0.77100000000000002</v>
      </c>
      <c r="U92" s="68">
        <v>0.78900000000000003</v>
      </c>
      <c r="V92" s="68">
        <v>0.751</v>
      </c>
      <c r="W92" s="68">
        <v>0.79</v>
      </c>
      <c r="X92" s="68">
        <v>0.69</v>
      </c>
      <c r="Y92" s="68">
        <v>0.59599999999999997</v>
      </c>
      <c r="Z92" s="68">
        <v>0.56899999999999995</v>
      </c>
      <c r="AA92" s="68">
        <v>0.54500000000000004</v>
      </c>
      <c r="AB92" s="68">
        <v>0.66400000000000003</v>
      </c>
      <c r="AC92" s="68">
        <v>0.61499999999999999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6">F31</f>
        <v>10.8</v>
      </c>
      <c r="G93" s="65">
        <f t="shared" si="26"/>
        <v>10.6</v>
      </c>
      <c r="H93" s="65">
        <f t="shared" si="26"/>
        <v>7.9</v>
      </c>
      <c r="I93" s="65">
        <f t="shared" si="26"/>
        <v>7.2</v>
      </c>
      <c r="J93" s="65">
        <f t="shared" si="26"/>
        <v>6.7</v>
      </c>
      <c r="K93" s="65">
        <f>K31</f>
        <v>7.4</v>
      </c>
      <c r="L93" s="65">
        <f t="shared" si="26"/>
        <v>10.8</v>
      </c>
      <c r="M93" s="65">
        <f t="shared" si="26"/>
        <v>9</v>
      </c>
      <c r="N93" s="65">
        <f t="shared" si="26"/>
        <v>10.8</v>
      </c>
      <c r="O93" s="65">
        <f t="shared" si="26"/>
        <v>10.8</v>
      </c>
      <c r="P93" s="65">
        <f t="shared" si="26"/>
        <v>14.7</v>
      </c>
      <c r="Q93" s="65">
        <f t="shared" si="26"/>
        <v>15.4</v>
      </c>
      <c r="R93" s="65">
        <f t="shared" si="26"/>
        <v>15.1</v>
      </c>
      <c r="S93" s="65">
        <f t="shared" si="26"/>
        <v>16.5</v>
      </c>
      <c r="T93" s="65">
        <f t="shared" si="26"/>
        <v>17.8</v>
      </c>
      <c r="U93" s="65">
        <f t="shared" si="26"/>
        <v>16.8</v>
      </c>
      <c r="V93" s="65">
        <f t="shared" si="26"/>
        <v>14.3</v>
      </c>
      <c r="W93" s="65">
        <f t="shared" si="26"/>
        <v>13.5</v>
      </c>
      <c r="X93" s="65">
        <f t="shared" si="26"/>
        <v>12.6</v>
      </c>
      <c r="Y93" s="65">
        <f t="shared" si="26"/>
        <v>15.3</v>
      </c>
      <c r="Z93" s="65">
        <f t="shared" si="26"/>
        <v>12.7</v>
      </c>
      <c r="AA93" s="65">
        <f t="shared" si="26"/>
        <v>16.5</v>
      </c>
      <c r="AB93" s="65">
        <f t="shared" si="26"/>
        <v>12</v>
      </c>
      <c r="AC93" s="65">
        <f t="shared" si="26"/>
        <v>10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0.185</v>
      </c>
      <c r="G94" s="68">
        <v>0.191</v>
      </c>
      <c r="H94" s="68">
        <v>0.17699999999999999</v>
      </c>
      <c r="I94" s="68">
        <v>0.16500000000000001</v>
      </c>
      <c r="J94" s="68">
        <v>8.1000000000000003E-2</v>
      </c>
      <c r="K94" s="68">
        <v>0.16500000000000001</v>
      </c>
      <c r="L94" s="68">
        <v>0.17100000000000001</v>
      </c>
      <c r="M94" s="68">
        <v>0.16500000000000001</v>
      </c>
      <c r="N94" s="68">
        <v>0.183</v>
      </c>
      <c r="O94" s="68">
        <v>0.18</v>
      </c>
      <c r="P94" s="68">
        <v>0.17799999999999999</v>
      </c>
      <c r="Q94" s="68">
        <v>0.19700000000000001</v>
      </c>
      <c r="R94" s="68">
        <v>0.183</v>
      </c>
      <c r="S94" s="68">
        <v>0.185</v>
      </c>
      <c r="T94" s="68">
        <v>0.185</v>
      </c>
      <c r="U94" s="68">
        <v>0.185</v>
      </c>
      <c r="V94" s="68">
        <v>0.18</v>
      </c>
      <c r="W94" s="68">
        <v>0.185</v>
      </c>
      <c r="X94" s="68">
        <v>0.155</v>
      </c>
      <c r="Y94" s="68">
        <v>0.20300000000000001</v>
      </c>
      <c r="Z94" s="68">
        <v>0.184</v>
      </c>
      <c r="AA94" s="68">
        <v>0.183</v>
      </c>
      <c r="AB94" s="68">
        <v>0.185</v>
      </c>
      <c r="AC94" s="68">
        <v>0.17299999999999999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0.2072</v>
      </c>
      <c r="G95" s="68">
        <v>0.20050000000000001</v>
      </c>
      <c r="H95" s="68">
        <v>0.20680000000000001</v>
      </c>
      <c r="I95" s="68">
        <v>0.2152</v>
      </c>
      <c r="J95" s="68">
        <v>0.216</v>
      </c>
      <c r="K95" s="68">
        <v>0.20399999999999999</v>
      </c>
      <c r="L95" s="68">
        <v>0.22600000000000001</v>
      </c>
      <c r="M95" s="68">
        <v>0.21</v>
      </c>
      <c r="N95" s="68">
        <v>0.19700000000000001</v>
      </c>
      <c r="O95" s="68">
        <v>0.20499999999999999</v>
      </c>
      <c r="P95" s="68">
        <v>0.35299999999999998</v>
      </c>
      <c r="Q95" s="68">
        <v>0.34499999999999997</v>
      </c>
      <c r="R95" s="68">
        <v>0.37</v>
      </c>
      <c r="S95" s="68">
        <v>0.34100000000000003</v>
      </c>
      <c r="T95" s="68">
        <v>0.35299999999999998</v>
      </c>
      <c r="U95" s="68">
        <v>0.35</v>
      </c>
      <c r="V95" s="68">
        <v>0.377</v>
      </c>
      <c r="W95" s="68">
        <v>0.37</v>
      </c>
      <c r="X95" s="68">
        <v>0.38800000000000001</v>
      </c>
      <c r="Y95" s="68">
        <v>0.38200000000000001</v>
      </c>
      <c r="Z95" s="68">
        <v>0.38600000000000001</v>
      </c>
      <c r="AA95" s="68">
        <v>0.39240000000000003</v>
      </c>
      <c r="AB95" s="68">
        <v>0.39800000000000002</v>
      </c>
      <c r="AC95" s="68">
        <v>0.28349999999999997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7">F34</f>
        <v>14.25</v>
      </c>
      <c r="G96" s="65">
        <f t="shared" si="27"/>
        <v>14.29</v>
      </c>
      <c r="H96" s="65">
        <f t="shared" si="27"/>
        <v>14.28</v>
      </c>
      <c r="I96" s="65">
        <f t="shared" si="27"/>
        <v>14.3</v>
      </c>
      <c r="J96" s="65">
        <f t="shared" si="27"/>
        <v>14.25</v>
      </c>
      <c r="K96" s="65">
        <f t="shared" si="27"/>
        <v>14.21</v>
      </c>
      <c r="L96" s="65">
        <f t="shared" si="27"/>
        <v>14.26</v>
      </c>
      <c r="M96" s="65">
        <f t="shared" si="27"/>
        <v>14.29</v>
      </c>
      <c r="N96" s="65">
        <f t="shared" si="27"/>
        <v>14.26</v>
      </c>
      <c r="O96" s="65">
        <f t="shared" si="27"/>
        <v>14.22</v>
      </c>
      <c r="P96" s="65">
        <f t="shared" si="27"/>
        <v>14.27</v>
      </c>
      <c r="Q96" s="65">
        <f t="shared" si="27"/>
        <v>14.27</v>
      </c>
      <c r="R96" s="65">
        <f t="shared" si="27"/>
        <v>14.29</v>
      </c>
      <c r="S96" s="65">
        <f t="shared" si="27"/>
        <v>14.25</v>
      </c>
      <c r="T96" s="65">
        <f t="shared" si="27"/>
        <v>14.28</v>
      </c>
      <c r="U96" s="65">
        <f t="shared" si="27"/>
        <v>14.28</v>
      </c>
      <c r="V96" s="65">
        <f t="shared" si="27"/>
        <v>14.25</v>
      </c>
      <c r="W96" s="65">
        <f t="shared" si="27"/>
        <v>14.28</v>
      </c>
      <c r="X96" s="65">
        <f t="shared" si="27"/>
        <v>14.25</v>
      </c>
      <c r="Y96" s="65">
        <f t="shared" si="27"/>
        <v>14.29</v>
      </c>
      <c r="Z96" s="65">
        <f t="shared" si="27"/>
        <v>14.26</v>
      </c>
      <c r="AA96" s="65">
        <f t="shared" si="27"/>
        <v>14.25</v>
      </c>
      <c r="AB96" s="65">
        <f t="shared" si="27"/>
        <v>14.26</v>
      </c>
      <c r="AC96" s="65">
        <f t="shared" si="27"/>
        <v>14.27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0.75</v>
      </c>
      <c r="G97" s="68">
        <v>0.71</v>
      </c>
      <c r="H97" s="68">
        <v>0.72</v>
      </c>
      <c r="I97" s="68">
        <v>0.7</v>
      </c>
      <c r="J97" s="68">
        <v>0.75</v>
      </c>
      <c r="K97" s="68">
        <v>0.79</v>
      </c>
      <c r="L97" s="68">
        <v>0.74</v>
      </c>
      <c r="M97" s="68">
        <v>0.71</v>
      </c>
      <c r="N97" s="68">
        <v>0.74</v>
      </c>
      <c r="O97" s="68">
        <v>0.78</v>
      </c>
      <c r="P97" s="68">
        <v>0.73</v>
      </c>
      <c r="Q97" s="68">
        <v>0.73</v>
      </c>
      <c r="R97" s="68">
        <v>0.71</v>
      </c>
      <c r="S97" s="68">
        <v>0.75</v>
      </c>
      <c r="T97" s="68">
        <v>0.72</v>
      </c>
      <c r="U97" s="68">
        <v>0.72</v>
      </c>
      <c r="V97" s="68">
        <v>0.75</v>
      </c>
      <c r="W97" s="68">
        <v>0.72</v>
      </c>
      <c r="X97" s="68">
        <v>0.75</v>
      </c>
      <c r="Y97" s="68">
        <v>0.71</v>
      </c>
      <c r="Z97" s="68">
        <v>0.74</v>
      </c>
      <c r="AA97" s="68">
        <v>0.75</v>
      </c>
      <c r="AB97" s="68">
        <v>0.74</v>
      </c>
      <c r="AC97" s="68">
        <v>0.73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8">F60</f>
        <v>1.5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1.5</v>
      </c>
      <c r="M98" s="64">
        <f t="shared" si="28"/>
        <v>0</v>
      </c>
      <c r="N98" s="64">
        <f t="shared" si="28"/>
        <v>3.2</v>
      </c>
      <c r="O98" s="64">
        <f t="shared" si="28"/>
        <v>0</v>
      </c>
      <c r="P98" s="64">
        <f t="shared" si="28"/>
        <v>2.12</v>
      </c>
      <c r="Q98" s="64">
        <f t="shared" si="28"/>
        <v>2.2000000000000002</v>
      </c>
      <c r="R98" s="64">
        <f t="shared" si="28"/>
        <v>2.0999999999999996</v>
      </c>
      <c r="S98" s="64">
        <f t="shared" si="28"/>
        <v>2.21</v>
      </c>
      <c r="T98" s="64">
        <f t="shared" si="28"/>
        <v>3.71</v>
      </c>
      <c r="U98" s="64">
        <f t="shared" si="28"/>
        <v>4.4000000000000004</v>
      </c>
      <c r="V98" s="64">
        <f t="shared" si="28"/>
        <v>4.5000000000000009</v>
      </c>
      <c r="W98" s="64">
        <f t="shared" si="28"/>
        <v>1.4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9">F65</f>
        <v>1.17</v>
      </c>
      <c r="G99" s="64">
        <f t="shared" si="29"/>
        <v>1.06</v>
      </c>
      <c r="H99" s="64">
        <f t="shared" si="29"/>
        <v>0.98</v>
      </c>
      <c r="I99" s="64">
        <f t="shared" si="29"/>
        <v>0.94</v>
      </c>
      <c r="J99" s="64">
        <f t="shared" si="29"/>
        <v>0.95</v>
      </c>
      <c r="K99" s="64">
        <f t="shared" si="29"/>
        <v>1.02</v>
      </c>
      <c r="L99" s="64">
        <f t="shared" si="29"/>
        <v>1.27</v>
      </c>
      <c r="M99" s="64">
        <f t="shared" si="29"/>
        <v>1.21</v>
      </c>
      <c r="N99" s="64">
        <f t="shared" si="29"/>
        <v>1.25</v>
      </c>
      <c r="O99" s="64">
        <f t="shared" si="29"/>
        <v>1.43</v>
      </c>
      <c r="P99" s="64">
        <f t="shared" si="29"/>
        <v>1.51</v>
      </c>
      <c r="Q99" s="64">
        <f t="shared" si="29"/>
        <v>1.52</v>
      </c>
      <c r="R99" s="64">
        <f t="shared" si="29"/>
        <v>1.5500000000000003</v>
      </c>
      <c r="S99" s="64">
        <f t="shared" si="29"/>
        <v>1.56</v>
      </c>
      <c r="T99" s="64">
        <f t="shared" si="29"/>
        <v>1.5699999999999998</v>
      </c>
      <c r="U99" s="64">
        <f t="shared" si="29"/>
        <v>1.54</v>
      </c>
      <c r="V99" s="64">
        <f t="shared" si="29"/>
        <v>1.5099999999999998</v>
      </c>
      <c r="W99" s="64">
        <f t="shared" si="29"/>
        <v>1.44</v>
      </c>
      <c r="X99" s="64">
        <f t="shared" si="29"/>
        <v>1.35</v>
      </c>
      <c r="Y99" s="64">
        <f t="shared" si="29"/>
        <v>1.5500000000000003</v>
      </c>
      <c r="Z99" s="64">
        <f t="shared" si="29"/>
        <v>1.62</v>
      </c>
      <c r="AA99" s="64">
        <f t="shared" si="29"/>
        <v>1.54</v>
      </c>
      <c r="AB99" s="64">
        <f t="shared" si="29"/>
        <v>1.34</v>
      </c>
      <c r="AC99" s="64">
        <f t="shared" si="29"/>
        <v>1.28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1">F80</f>
        <v>0.81</v>
      </c>
      <c r="G101" s="64">
        <f t="shared" si="31"/>
        <v>0.78</v>
      </c>
      <c r="H101" s="64">
        <f t="shared" si="31"/>
        <v>0.76</v>
      </c>
      <c r="I101" s="64">
        <f t="shared" si="31"/>
        <v>0.75</v>
      </c>
      <c r="J101" s="64">
        <f t="shared" si="31"/>
        <v>0.74</v>
      </c>
      <c r="K101" s="64">
        <f t="shared" si="31"/>
        <v>0.76</v>
      </c>
      <c r="L101" s="64">
        <f t="shared" si="31"/>
        <v>0.85</v>
      </c>
      <c r="M101" s="64">
        <f t="shared" si="31"/>
        <v>0.78</v>
      </c>
      <c r="N101" s="64">
        <f t="shared" si="31"/>
        <v>0.79</v>
      </c>
      <c r="O101" s="64">
        <f t="shared" si="31"/>
        <v>0.84</v>
      </c>
      <c r="P101" s="64">
        <f t="shared" si="31"/>
        <v>0.86</v>
      </c>
      <c r="Q101" s="64">
        <f t="shared" si="31"/>
        <v>0.88</v>
      </c>
      <c r="R101" s="64">
        <f t="shared" si="31"/>
        <v>0.89</v>
      </c>
      <c r="S101" s="64">
        <f t="shared" si="31"/>
        <v>0.92</v>
      </c>
      <c r="T101" s="64">
        <f t="shared" si="31"/>
        <v>0.92</v>
      </c>
      <c r="U101" s="64">
        <f t="shared" si="31"/>
        <v>0.93</v>
      </c>
      <c r="V101" s="64">
        <f t="shared" si="31"/>
        <v>0.92</v>
      </c>
      <c r="W101" s="64">
        <f t="shared" si="31"/>
        <v>0.91</v>
      </c>
      <c r="X101" s="64">
        <f t="shared" si="31"/>
        <v>0.91</v>
      </c>
      <c r="Y101" s="64">
        <f t="shared" si="31"/>
        <v>0.97</v>
      </c>
      <c r="Z101" s="64">
        <f t="shared" si="31"/>
        <v>1.04</v>
      </c>
      <c r="AA101" s="64">
        <f t="shared" si="31"/>
        <v>1</v>
      </c>
      <c r="AB101" s="64">
        <f t="shared" si="31"/>
        <v>0.96</v>
      </c>
      <c r="AC101" s="64">
        <f t="shared" si="31"/>
        <v>0.9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33">SUM(F89,F91,F93,F96,F98:F102,F81)</f>
        <v>42.13</v>
      </c>
      <c r="G103" s="61">
        <f t="shared" si="33"/>
        <v>39.730000000000004</v>
      </c>
      <c r="H103" s="61">
        <f t="shared" si="33"/>
        <v>37.319999999999993</v>
      </c>
      <c r="I103" s="61">
        <f t="shared" si="33"/>
        <v>36.590000000000003</v>
      </c>
      <c r="J103" s="61">
        <f t="shared" si="33"/>
        <v>35.940000000000005</v>
      </c>
      <c r="K103" s="61">
        <f t="shared" si="33"/>
        <v>36.790000000000006</v>
      </c>
      <c r="L103" s="61">
        <f t="shared" si="33"/>
        <v>42.080000000000005</v>
      </c>
      <c r="M103" s="61">
        <f t="shared" si="33"/>
        <v>38.68</v>
      </c>
      <c r="N103" s="61">
        <f t="shared" si="33"/>
        <v>45.800000000000004</v>
      </c>
      <c r="O103" s="61">
        <f t="shared" si="33"/>
        <v>55.59</v>
      </c>
      <c r="P103" s="61">
        <f t="shared" si="33"/>
        <v>60.359999999999985</v>
      </c>
      <c r="Q103" s="61">
        <f t="shared" si="33"/>
        <v>61.970000000000013</v>
      </c>
      <c r="R103" s="61">
        <f t="shared" si="33"/>
        <v>60.929999999999993</v>
      </c>
      <c r="S103" s="61">
        <f t="shared" si="33"/>
        <v>63.140000000000008</v>
      </c>
      <c r="T103" s="61">
        <f t="shared" si="33"/>
        <v>65.58</v>
      </c>
      <c r="U103" s="61">
        <f t="shared" si="33"/>
        <v>65.150000000000006</v>
      </c>
      <c r="V103" s="61">
        <f t="shared" si="33"/>
        <v>62.38</v>
      </c>
      <c r="W103" s="61">
        <f t="shared" si="33"/>
        <v>58.429999999999993</v>
      </c>
      <c r="X103" s="61">
        <f t="shared" si="33"/>
        <v>55.21</v>
      </c>
      <c r="Y103" s="61">
        <f t="shared" si="33"/>
        <v>60.309999999999995</v>
      </c>
      <c r="Z103" s="61">
        <f t="shared" si="33"/>
        <v>56.419999999999995</v>
      </c>
      <c r="AA103" s="61">
        <f t="shared" si="33"/>
        <v>53.89</v>
      </c>
      <c r="AB103" s="61">
        <f t="shared" si="33"/>
        <v>47.96</v>
      </c>
      <c r="AC103" s="61">
        <f t="shared" si="33"/>
        <v>45.65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>
        <v>0.88</v>
      </c>
      <c r="L106" s="76">
        <v>0.88</v>
      </c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4">SUM(F104:F106)</f>
        <v>0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0.88</v>
      </c>
      <c r="L107" s="61">
        <f t="shared" si="34"/>
        <v>0.88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0</v>
      </c>
      <c r="AC107" s="61">
        <f t="shared" si="34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5">F103+F107</f>
        <v>42.13</v>
      </c>
      <c r="G108" s="62">
        <f t="shared" si="35"/>
        <v>39.730000000000004</v>
      </c>
      <c r="H108" s="62">
        <f t="shared" si="35"/>
        <v>37.319999999999993</v>
      </c>
      <c r="I108" s="62">
        <f t="shared" si="35"/>
        <v>36.590000000000003</v>
      </c>
      <c r="J108" s="62">
        <f t="shared" si="35"/>
        <v>35.940000000000005</v>
      </c>
      <c r="K108" s="62">
        <f t="shared" si="35"/>
        <v>37.670000000000009</v>
      </c>
      <c r="L108" s="62">
        <f t="shared" si="35"/>
        <v>42.960000000000008</v>
      </c>
      <c r="M108" s="62">
        <f t="shared" si="35"/>
        <v>38.68</v>
      </c>
      <c r="N108" s="62">
        <f>N103+N107</f>
        <v>45.800000000000004</v>
      </c>
      <c r="O108" s="62">
        <f t="shared" si="35"/>
        <v>55.59</v>
      </c>
      <c r="P108" s="62">
        <f>P103+P107</f>
        <v>60.359999999999985</v>
      </c>
      <c r="Q108" s="62">
        <f t="shared" si="35"/>
        <v>61.970000000000013</v>
      </c>
      <c r="R108" s="62">
        <f t="shared" si="35"/>
        <v>60.929999999999993</v>
      </c>
      <c r="S108" s="62">
        <f t="shared" si="35"/>
        <v>63.140000000000008</v>
      </c>
      <c r="T108" s="62">
        <f>T103+T107</f>
        <v>65.58</v>
      </c>
      <c r="U108" s="62">
        <f t="shared" si="35"/>
        <v>65.150000000000006</v>
      </c>
      <c r="V108" s="62">
        <f t="shared" si="35"/>
        <v>62.38</v>
      </c>
      <c r="W108" s="62">
        <f>W103+W107</f>
        <v>58.429999999999993</v>
      </c>
      <c r="X108" s="62">
        <f t="shared" si="35"/>
        <v>55.21</v>
      </c>
      <c r="Y108" s="62">
        <f t="shared" si="35"/>
        <v>60.309999999999995</v>
      </c>
      <c r="Z108" s="62">
        <f t="shared" si="35"/>
        <v>56.419999999999995</v>
      </c>
      <c r="AA108" s="62">
        <f t="shared" si="35"/>
        <v>53.89</v>
      </c>
      <c r="AB108" s="62">
        <f t="shared" si="35"/>
        <v>47.96</v>
      </c>
      <c r="AC108" s="62">
        <f t="shared" si="35"/>
        <v>45.65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6">(COUNT(F13:F16))*7.2+(COUNT(F27:F28)*4.9)+(COUNT(F19:F21)*4.5)-F91-F93</f>
        <v>-5.0999999999999996</v>
      </c>
      <c r="G109" s="63">
        <f t="shared" si="36"/>
        <v>-4.2999999999999989</v>
      </c>
      <c r="H109" s="63">
        <f t="shared" si="36"/>
        <v>-2</v>
      </c>
      <c r="I109" s="63">
        <f t="shared" si="36"/>
        <v>5.8999999999999995</v>
      </c>
      <c r="J109" s="63">
        <f t="shared" si="36"/>
        <v>-5.6000000000000005</v>
      </c>
      <c r="K109" s="63">
        <f t="shared" si="36"/>
        <v>-6.4</v>
      </c>
      <c r="L109" s="63">
        <f t="shared" si="36"/>
        <v>-4.9000000000000004</v>
      </c>
      <c r="M109" s="63">
        <f t="shared" si="36"/>
        <v>-3.0999999999999996</v>
      </c>
      <c r="N109" s="63">
        <f t="shared" si="36"/>
        <v>0.19999999999999929</v>
      </c>
      <c r="O109" s="63">
        <f t="shared" si="36"/>
        <v>-0.80000000000000071</v>
      </c>
      <c r="P109" s="63">
        <f t="shared" si="36"/>
        <v>-3.4999999999999964</v>
      </c>
      <c r="Q109" s="63">
        <f t="shared" si="36"/>
        <v>-4.7999999999999989</v>
      </c>
      <c r="R109" s="63">
        <f t="shared" si="36"/>
        <v>-3.8999999999999968</v>
      </c>
      <c r="S109" s="63">
        <f t="shared" si="36"/>
        <v>-5.8999999999999986</v>
      </c>
      <c r="T109" s="63">
        <f t="shared" si="36"/>
        <v>-6.9000000000000021</v>
      </c>
      <c r="U109" s="63">
        <f t="shared" si="36"/>
        <v>-5.9000000000000021</v>
      </c>
      <c r="V109" s="63">
        <f t="shared" si="36"/>
        <v>-3.0999999999999979</v>
      </c>
      <c r="W109" s="63">
        <f t="shared" si="36"/>
        <v>-2.2999999999999972</v>
      </c>
      <c r="X109" s="63">
        <f t="shared" si="36"/>
        <v>-1.7000000000000011</v>
      </c>
      <c r="Y109" s="63">
        <f t="shared" si="36"/>
        <v>-5.3000000000000007</v>
      </c>
      <c r="Z109" s="63">
        <f t="shared" si="36"/>
        <v>-2.5</v>
      </c>
      <c r="AA109" s="63">
        <f t="shared" si="36"/>
        <v>-6.1</v>
      </c>
      <c r="AB109" s="63">
        <f t="shared" si="36"/>
        <v>-1.5999999999999996</v>
      </c>
      <c r="AC109" s="63">
        <f t="shared" si="36"/>
        <v>0.60000000000000142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-6.5</v>
      </c>
      <c r="G110" s="205">
        <f t="shared" si="37"/>
        <v>-5.6999999999999993</v>
      </c>
      <c r="H110" s="205">
        <f t="shared" si="37"/>
        <v>-3.4000000000000004</v>
      </c>
      <c r="I110" s="205">
        <f t="shared" si="37"/>
        <v>4.5000000000000009</v>
      </c>
      <c r="J110" s="205">
        <f t="shared" si="37"/>
        <v>-5.6000000000000005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-6.4</v>
      </c>
      <c r="L110" s="205">
        <f t="shared" si="37"/>
        <v>-4.9000000000000004</v>
      </c>
      <c r="M110" s="205">
        <f t="shared" si="37"/>
        <v>-3.0999999999999996</v>
      </c>
      <c r="N110" s="205">
        <f>(AND(IF(N13&lt;&gt;0,1,0),IF(N13&lt;&gt;"CMS",1,0))*7.2)+(AND(IF(N14&lt;&gt;0,1,0),IF(N14&lt;&gt;"CMS",1,0))*7.2)+(AND(IF(N15&lt;&gt;0,1,0),IF(N15&lt;&gt;"CMS",1,0))*7.2)+(AND(IF(N16&lt;&gt;0,1,0),IF(N16&lt;&gt;"CMS",1,0))*7.2)-N17
+(AND(IF(N27&lt;&gt;0,1,0),IF(N27&lt;&gt;"CMS",1,0))*4.9)+(AND(IF(N28&lt;&gt;0,1,0),IF(N28&lt;&gt;"CMS",1,0))*3.5)-N31
+AND(IF(N24&lt;&gt;0,1,0),IF(N24&lt;&gt;"CMS",1,0))*4.5-N25
+(AND(IF(N19&lt;&gt;0,1,0),IF(N19&lt;&gt;"CMS",1,0))*3.5)+(AND(IF(N20&lt;&gt;0,1,0),IF(N20&lt;&gt;"CMS",1,0))*4.5)+(AND(IF(N21&lt;&gt;0,1,0),IF(N21&lt;&gt;"CMS",1,0))*4.5)-N22</f>
        <v>0.20000000000000107</v>
      </c>
      <c r="O110" s="205">
        <f t="shared" si="37"/>
        <v>-3.5999999999999988</v>
      </c>
      <c r="P110" s="205">
        <f t="shared" si="37"/>
        <v>-6.0999999999999943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-7.5999999999999979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-6.9999999999999947</v>
      </c>
      <c r="S110" s="205">
        <f t="shared" si="38"/>
        <v>-9.0999999999999979</v>
      </c>
      <c r="T110" s="205">
        <f t="shared" si="38"/>
        <v>-10.000000000000002</v>
      </c>
      <c r="U110" s="205">
        <f t="shared" si="38"/>
        <v>-8.9000000000000021</v>
      </c>
      <c r="V110" s="205">
        <f t="shared" si="38"/>
        <v>-6.0999999999999961</v>
      </c>
      <c r="W110" s="205">
        <f t="shared" si="38"/>
        <v>-5.2999999999999954</v>
      </c>
      <c r="X110" s="205">
        <f t="shared" si="38"/>
        <v>-3.5999999999999996</v>
      </c>
      <c r="Y110" s="205">
        <f t="shared" si="38"/>
        <v>-8.4</v>
      </c>
      <c r="Z110" s="205">
        <f t="shared" si="38"/>
        <v>-4.3999999999999986</v>
      </c>
      <c r="AA110" s="205">
        <f t="shared" si="38"/>
        <v>-9.2000000000000011</v>
      </c>
      <c r="AB110" s="205">
        <f t="shared" si="38"/>
        <v>-3.5</v>
      </c>
      <c r="AC110" s="205">
        <f t="shared" si="38"/>
        <v>-1.2999999999999989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60.07</v>
      </c>
      <c r="G111" s="456">
        <v>60.16</v>
      </c>
      <c r="H111" s="456">
        <v>60.09</v>
      </c>
      <c r="I111" s="456">
        <v>60.15</v>
      </c>
      <c r="J111" s="456">
        <v>60.06</v>
      </c>
      <c r="K111" s="456">
        <v>60.19</v>
      </c>
      <c r="L111" s="456">
        <v>60.16</v>
      </c>
      <c r="M111" s="456">
        <v>60.1</v>
      </c>
      <c r="N111" s="456">
        <v>60.13</v>
      </c>
      <c r="O111" s="456">
        <v>60.02</v>
      </c>
      <c r="P111" s="456">
        <v>60.15</v>
      </c>
      <c r="Q111" s="456">
        <v>60.05</v>
      </c>
      <c r="R111" s="456">
        <v>60.09</v>
      </c>
      <c r="S111" s="456">
        <v>60.05</v>
      </c>
      <c r="T111" s="456">
        <v>60.1</v>
      </c>
      <c r="U111" s="456">
        <v>60.11</v>
      </c>
      <c r="V111" s="456">
        <v>60.1</v>
      </c>
      <c r="W111" s="456">
        <v>60.12</v>
      </c>
      <c r="X111" s="456">
        <v>60.08</v>
      </c>
      <c r="Y111" s="456">
        <v>60.03</v>
      </c>
      <c r="Z111" s="456">
        <v>60.07</v>
      </c>
      <c r="AA111" s="456">
        <v>60.01</v>
      </c>
      <c r="AB111" s="456">
        <v>60.08</v>
      </c>
      <c r="AC111" s="456">
        <v>60.19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97</v>
      </c>
      <c r="G115" s="520" t="s">
        <v>97</v>
      </c>
      <c r="H115" s="520" t="s">
        <v>97</v>
      </c>
      <c r="I115" s="520" t="s">
        <v>97</v>
      </c>
      <c r="J115" s="520" t="s">
        <v>97</v>
      </c>
      <c r="K115" s="520" t="s">
        <v>97</v>
      </c>
      <c r="L115" s="520" t="s">
        <v>97</v>
      </c>
      <c r="M115" s="520" t="s">
        <v>97</v>
      </c>
      <c r="N115" s="520" t="s">
        <v>97</v>
      </c>
      <c r="O115" s="520" t="s">
        <v>97</v>
      </c>
      <c r="P115" s="520" t="s">
        <v>97</v>
      </c>
      <c r="Q115" s="520" t="s">
        <v>97</v>
      </c>
      <c r="R115" s="520" t="s">
        <v>97</v>
      </c>
      <c r="S115" s="520" t="s">
        <v>97</v>
      </c>
      <c r="T115" s="520" t="s">
        <v>101</v>
      </c>
      <c r="U115" s="520" t="s">
        <v>109</v>
      </c>
      <c r="V115" s="520" t="s">
        <v>109</v>
      </c>
      <c r="W115" s="520" t="s">
        <v>100</v>
      </c>
      <c r="X115" s="520" t="s">
        <v>100</v>
      </c>
      <c r="Y115" s="520" t="s">
        <v>100</v>
      </c>
      <c r="Z115" s="520" t="s">
        <v>100</v>
      </c>
      <c r="AA115" s="520" t="s">
        <v>100</v>
      </c>
      <c r="AB115" s="520" t="s">
        <v>101</v>
      </c>
      <c r="AC115" s="520" t="s">
        <v>101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28:C128"/>
    <mergeCell ref="A129:C129"/>
    <mergeCell ref="A122:C122"/>
    <mergeCell ref="A123:C123"/>
    <mergeCell ref="A124:C124"/>
    <mergeCell ref="A125:C125"/>
    <mergeCell ref="A126:C126"/>
    <mergeCell ref="A127:C127"/>
  </mergeCells>
  <conditionalFormatting sqref="H13:J13 N13:O13 D42:E42 O14:O16 I15:N15 N16 L13:L14 I16:L16 O52:AC55 P49:AC49 M52:M55 H36:J59 H63 I62:J64 N36:AC48 H14:K14 L36:L59 N50:AC51 N56:AC59 O62:AC62 N64:X64 P13:AC16 O63:X63 Y63:AC64">
    <cfRule type="cellIs" dxfId="2146" priority="420" operator="equal">
      <formula>"PMS"</formula>
    </cfRule>
    <cfRule type="containsText" dxfId="2145" priority="421" operator="containsText" text="CMS">
      <formula>NOT(ISERROR(SEARCH("CMS",D13)))</formula>
    </cfRule>
    <cfRule type="cellIs" dxfId="2144" priority="422" operator="equal">
      <formula>0</formula>
    </cfRule>
    <cfRule type="cellIs" dxfId="2143" priority="423" operator="greaterThan">
      <formula>0</formula>
    </cfRule>
    <cfRule type="cellIs" dxfId="2142" priority="424" operator="equal">
      <formula>"PMS"</formula>
    </cfRule>
    <cfRule type="containsText" dxfId="2141" priority="425" operator="containsText" text="CMS">
      <formula>NOT(ISERROR(SEARCH("CMS",D13)))</formula>
    </cfRule>
    <cfRule type="cellIs" dxfId="2140" priority="426" operator="equal">
      <formula>0</formula>
    </cfRule>
    <cfRule type="cellIs" dxfId="2139" priority="427" operator="greaterThan">
      <formula>0</formula>
    </cfRule>
  </conditionalFormatting>
  <conditionalFormatting sqref="H13:J13 N13:O13 D42:E42 O14:O16 I15:N15 N16 L13:L14 I16:L16 O52:AC55 P49:AC49 M52:M55 H36:J59 H63 I62:J64 N36:AC48 H14:K14 L36:L59 N50:AC51 N56:AC59 O62:AC62 N64:X64 P13:AC16 O63:X63 Y63:AC64">
    <cfRule type="cellIs" dxfId="2138" priority="416" operator="equal">
      <formula>"PMS"</formula>
    </cfRule>
    <cfRule type="containsText" dxfId="2137" priority="417" operator="containsText" text="CMS">
      <formula>NOT(ISERROR(SEARCH("CMS",D13)))</formula>
    </cfRule>
    <cfRule type="cellIs" dxfId="2136" priority="418" operator="equal">
      <formula>0</formula>
    </cfRule>
    <cfRule type="cellIs" dxfId="2135" priority="419" operator="greaterThan">
      <formula>0</formula>
    </cfRule>
  </conditionalFormatting>
  <conditionalFormatting sqref="G67:AC75">
    <cfRule type="cellIs" dxfId="2134" priority="408" operator="equal">
      <formula>"PMS"</formula>
    </cfRule>
    <cfRule type="containsText" dxfId="2133" priority="409" operator="containsText" text="CMS">
      <formula>NOT(ISERROR(SEARCH("CMS",G67)))</formula>
    </cfRule>
    <cfRule type="cellIs" dxfId="2132" priority="410" operator="equal">
      <formula>0</formula>
    </cfRule>
    <cfRule type="cellIs" dxfId="2131" priority="411" operator="greaterThan">
      <formula>0</formula>
    </cfRule>
    <cfRule type="cellIs" dxfId="2130" priority="412" operator="equal">
      <formula>"PMS"</formula>
    </cfRule>
    <cfRule type="containsText" dxfId="2129" priority="413" operator="containsText" text="CMS">
      <formula>NOT(ISERROR(SEARCH("CMS",G67)))</formula>
    </cfRule>
    <cfRule type="cellIs" dxfId="2128" priority="414" operator="equal">
      <formula>0</formula>
    </cfRule>
    <cfRule type="cellIs" dxfId="2127" priority="415" operator="greaterThan">
      <formula>0</formula>
    </cfRule>
  </conditionalFormatting>
  <conditionalFormatting sqref="G67:AC75">
    <cfRule type="cellIs" dxfId="2126" priority="404" operator="equal">
      <formula>"PMS"</formula>
    </cfRule>
    <cfRule type="containsText" dxfId="2125" priority="405" operator="containsText" text="CMS">
      <formula>NOT(ISERROR(SEARCH("CMS",G67)))</formula>
    </cfRule>
    <cfRule type="cellIs" dxfId="2124" priority="406" operator="equal">
      <formula>0</formula>
    </cfRule>
    <cfRule type="cellIs" dxfId="2123" priority="407" operator="greaterThan">
      <formula>0</formula>
    </cfRule>
  </conditionalFormatting>
  <conditionalFormatting sqref="G82:AC82">
    <cfRule type="cellIs" dxfId="2122" priority="396" operator="equal">
      <formula>"PMS"</formula>
    </cfRule>
    <cfRule type="containsText" dxfId="2121" priority="397" operator="containsText" text="CMS">
      <formula>NOT(ISERROR(SEARCH("CMS",G82)))</formula>
    </cfRule>
    <cfRule type="cellIs" dxfId="2120" priority="398" operator="equal">
      <formula>0</formula>
    </cfRule>
    <cfRule type="cellIs" dxfId="2119" priority="399" operator="greaterThan">
      <formula>0</formula>
    </cfRule>
    <cfRule type="cellIs" dxfId="2118" priority="400" operator="equal">
      <formula>"PMS"</formula>
    </cfRule>
    <cfRule type="containsText" dxfId="2117" priority="401" operator="containsText" text="CMS">
      <formula>NOT(ISERROR(SEARCH("CMS",G82)))</formula>
    </cfRule>
    <cfRule type="cellIs" dxfId="2116" priority="402" operator="equal">
      <formula>0</formula>
    </cfRule>
    <cfRule type="cellIs" dxfId="2115" priority="403" operator="greaterThan">
      <formula>0</formula>
    </cfRule>
  </conditionalFormatting>
  <conditionalFormatting sqref="G82:AC82">
    <cfRule type="cellIs" dxfId="2114" priority="392" operator="equal">
      <formula>"PMS"</formula>
    </cfRule>
    <cfRule type="containsText" dxfId="2113" priority="393" operator="containsText" text="CMS">
      <formula>NOT(ISERROR(SEARCH("CMS",G82)))</formula>
    </cfRule>
    <cfRule type="cellIs" dxfId="2112" priority="394" operator="equal">
      <formula>0</formula>
    </cfRule>
    <cfRule type="cellIs" dxfId="2111" priority="395" operator="greaterThan">
      <formula>0</formula>
    </cfRule>
  </conditionalFormatting>
  <conditionalFormatting sqref="G13">
    <cfRule type="cellIs" dxfId="2110" priority="384" operator="equal">
      <formula>"PMS"</formula>
    </cfRule>
    <cfRule type="containsText" dxfId="2109" priority="385" operator="containsText" text="CMS">
      <formula>NOT(ISERROR(SEARCH("CMS",G13)))</formula>
    </cfRule>
    <cfRule type="cellIs" dxfId="2108" priority="386" operator="equal">
      <formula>0</formula>
    </cfRule>
    <cfRule type="cellIs" dxfId="2107" priority="387" operator="greaterThan">
      <formula>0</formula>
    </cfRule>
    <cfRule type="cellIs" dxfId="2106" priority="388" operator="equal">
      <formula>"PMS"</formula>
    </cfRule>
    <cfRule type="containsText" dxfId="2105" priority="389" operator="containsText" text="CMS">
      <formula>NOT(ISERROR(SEARCH("CMS",G13)))</formula>
    </cfRule>
    <cfRule type="cellIs" dxfId="2104" priority="390" operator="equal">
      <formula>0</formula>
    </cfRule>
    <cfRule type="cellIs" dxfId="2103" priority="391" operator="greaterThan">
      <formula>0</formula>
    </cfRule>
  </conditionalFormatting>
  <conditionalFormatting sqref="G13">
    <cfRule type="cellIs" dxfId="2102" priority="380" operator="equal">
      <formula>"PMS"</formula>
    </cfRule>
    <cfRule type="containsText" dxfId="2101" priority="381" operator="containsText" text="CMS">
      <formula>NOT(ISERROR(SEARCH("CMS",G13)))</formula>
    </cfRule>
    <cfRule type="cellIs" dxfId="2100" priority="382" operator="equal">
      <formula>0</formula>
    </cfRule>
    <cfRule type="cellIs" dxfId="2099" priority="383" operator="greaterThan">
      <formula>0</formula>
    </cfRule>
  </conditionalFormatting>
  <conditionalFormatting sqref="M13">
    <cfRule type="cellIs" dxfId="2098" priority="372" operator="equal">
      <formula>"PMS"</formula>
    </cfRule>
    <cfRule type="containsText" dxfId="2097" priority="373" operator="containsText" text="CMS">
      <formula>NOT(ISERROR(SEARCH("CMS",M13)))</formula>
    </cfRule>
    <cfRule type="cellIs" dxfId="2096" priority="374" operator="equal">
      <formula>0</formula>
    </cfRule>
    <cfRule type="cellIs" dxfId="2095" priority="375" operator="greaterThan">
      <formula>0</formula>
    </cfRule>
    <cfRule type="cellIs" dxfId="2094" priority="376" operator="equal">
      <formula>"PMS"</formula>
    </cfRule>
    <cfRule type="containsText" dxfId="2093" priority="377" operator="containsText" text="CMS">
      <formula>NOT(ISERROR(SEARCH("CMS",M13)))</formula>
    </cfRule>
    <cfRule type="cellIs" dxfId="2092" priority="378" operator="equal">
      <formula>0</formula>
    </cfRule>
    <cfRule type="cellIs" dxfId="2091" priority="379" operator="greaterThan">
      <formula>0</formula>
    </cfRule>
  </conditionalFormatting>
  <conditionalFormatting sqref="M13">
    <cfRule type="cellIs" dxfId="2090" priority="368" operator="equal">
      <formula>"PMS"</formula>
    </cfRule>
    <cfRule type="containsText" dxfId="2089" priority="369" operator="containsText" text="CMS">
      <formula>NOT(ISERROR(SEARCH("CMS",M13)))</formula>
    </cfRule>
    <cfRule type="cellIs" dxfId="2088" priority="370" operator="equal">
      <formula>0</formula>
    </cfRule>
    <cfRule type="cellIs" dxfId="2087" priority="371" operator="greaterThan">
      <formula>0</formula>
    </cfRule>
  </conditionalFormatting>
  <conditionalFormatting sqref="K13">
    <cfRule type="cellIs" dxfId="2086" priority="360" operator="equal">
      <formula>"PMS"</formula>
    </cfRule>
    <cfRule type="containsText" dxfId="2085" priority="361" operator="containsText" text="CMS">
      <formula>NOT(ISERROR(SEARCH("CMS",K13)))</formula>
    </cfRule>
    <cfRule type="cellIs" dxfId="2084" priority="362" operator="equal">
      <formula>0</formula>
    </cfRule>
    <cfRule type="cellIs" dxfId="2083" priority="363" operator="greaterThan">
      <formula>0</formula>
    </cfRule>
    <cfRule type="cellIs" dxfId="2082" priority="364" operator="equal">
      <formula>"PMS"</formula>
    </cfRule>
    <cfRule type="containsText" dxfId="2081" priority="365" operator="containsText" text="CMS">
      <formula>NOT(ISERROR(SEARCH("CMS",K13)))</formula>
    </cfRule>
    <cfRule type="cellIs" dxfId="2080" priority="366" operator="equal">
      <formula>0</formula>
    </cfRule>
    <cfRule type="cellIs" dxfId="2079" priority="367" operator="greaterThan">
      <formula>0</formula>
    </cfRule>
  </conditionalFormatting>
  <conditionalFormatting sqref="K13">
    <cfRule type="cellIs" dxfId="2078" priority="356" operator="equal">
      <formula>"PMS"</formula>
    </cfRule>
    <cfRule type="containsText" dxfId="2077" priority="357" operator="containsText" text="CMS">
      <formula>NOT(ISERROR(SEARCH("CMS",K13)))</formula>
    </cfRule>
    <cfRule type="cellIs" dxfId="2076" priority="358" operator="equal">
      <formula>0</formula>
    </cfRule>
    <cfRule type="cellIs" dxfId="2075" priority="359" operator="greaterThan">
      <formula>0</formula>
    </cfRule>
  </conditionalFormatting>
  <conditionalFormatting sqref="G113:AC113">
    <cfRule type="cellIs" dxfId="2074" priority="355" operator="greaterThan">
      <formula>60.3</formula>
    </cfRule>
  </conditionalFormatting>
  <conditionalFormatting sqref="H112:M112">
    <cfRule type="cellIs" dxfId="2073" priority="354" operator="greaterThan">
      <formula>60.3</formula>
    </cfRule>
  </conditionalFormatting>
  <conditionalFormatting sqref="F112:G112">
    <cfRule type="cellIs" dxfId="2072" priority="353" operator="greaterThan">
      <formula>60.3</formula>
    </cfRule>
  </conditionalFormatting>
  <conditionalFormatting sqref="N112:AC112">
    <cfRule type="cellIs" dxfId="2071" priority="352" operator="greaterThan">
      <formula>60.3</formula>
    </cfRule>
  </conditionalFormatting>
  <conditionalFormatting sqref="G15:G16">
    <cfRule type="cellIs" dxfId="2070" priority="344" operator="equal">
      <formula>"PMS"</formula>
    </cfRule>
    <cfRule type="containsText" dxfId="2069" priority="345" operator="containsText" text="CMS">
      <formula>NOT(ISERROR(SEARCH("CMS",G15)))</formula>
    </cfRule>
    <cfRule type="cellIs" dxfId="2068" priority="346" operator="equal">
      <formula>0</formula>
    </cfRule>
    <cfRule type="cellIs" dxfId="2067" priority="347" operator="greaterThan">
      <formula>0</formula>
    </cfRule>
    <cfRule type="cellIs" dxfId="2066" priority="348" operator="equal">
      <formula>"PMS"</formula>
    </cfRule>
    <cfRule type="containsText" dxfId="2065" priority="349" operator="containsText" text="CMS">
      <formula>NOT(ISERROR(SEARCH("CMS",G15)))</formula>
    </cfRule>
    <cfRule type="cellIs" dxfId="2064" priority="350" operator="equal">
      <formula>0</formula>
    </cfRule>
    <cfRule type="cellIs" dxfId="2063" priority="351" operator="greaterThan">
      <formula>0</formula>
    </cfRule>
  </conditionalFormatting>
  <conditionalFormatting sqref="G15:G16">
    <cfRule type="cellIs" dxfId="2062" priority="340" operator="equal">
      <formula>"PMS"</formula>
    </cfRule>
    <cfRule type="containsText" dxfId="2061" priority="341" operator="containsText" text="CMS">
      <formula>NOT(ISERROR(SEARCH("CMS",G15)))</formula>
    </cfRule>
    <cfRule type="cellIs" dxfId="2060" priority="342" operator="equal">
      <formula>0</formula>
    </cfRule>
    <cfRule type="cellIs" dxfId="2059" priority="343" operator="greaterThan">
      <formula>0</formula>
    </cfRule>
  </conditionalFormatting>
  <conditionalFormatting sqref="G36:G38 G57:G59">
    <cfRule type="cellIs" dxfId="2058" priority="332" operator="equal">
      <formula>"PMS"</formula>
    </cfRule>
    <cfRule type="containsText" dxfId="2057" priority="333" operator="containsText" text="CMS">
      <formula>NOT(ISERROR(SEARCH("CMS",G36)))</formula>
    </cfRule>
    <cfRule type="cellIs" dxfId="2056" priority="334" operator="equal">
      <formula>0</formula>
    </cfRule>
    <cfRule type="cellIs" dxfId="2055" priority="335" operator="greaterThan">
      <formula>0</formula>
    </cfRule>
    <cfRule type="cellIs" dxfId="2054" priority="336" operator="equal">
      <formula>"PMS"</formula>
    </cfRule>
    <cfRule type="containsText" dxfId="2053" priority="337" operator="containsText" text="CMS">
      <formula>NOT(ISERROR(SEARCH("CMS",G36)))</formula>
    </cfRule>
    <cfRule type="cellIs" dxfId="2052" priority="338" operator="equal">
      <formula>0</formula>
    </cfRule>
    <cfRule type="cellIs" dxfId="2051" priority="339" operator="greaterThan">
      <formula>0</formula>
    </cfRule>
  </conditionalFormatting>
  <conditionalFormatting sqref="G36:G38 G57:G59">
    <cfRule type="cellIs" dxfId="2050" priority="328" operator="equal">
      <formula>"PMS"</formula>
    </cfRule>
    <cfRule type="containsText" dxfId="2049" priority="329" operator="containsText" text="CMS">
      <formula>NOT(ISERROR(SEARCH("CMS",G36)))</formula>
    </cfRule>
    <cfRule type="cellIs" dxfId="2048" priority="330" operator="equal">
      <formula>0</formula>
    </cfRule>
    <cfRule type="cellIs" dxfId="2047" priority="331" operator="greaterThan">
      <formula>0</formula>
    </cfRule>
  </conditionalFormatting>
  <conditionalFormatting sqref="M36:M38 M57:M59">
    <cfRule type="cellIs" dxfId="2046" priority="320" operator="equal">
      <formula>"PMS"</formula>
    </cfRule>
    <cfRule type="containsText" dxfId="2045" priority="321" operator="containsText" text="CMS">
      <formula>NOT(ISERROR(SEARCH("CMS",M36)))</formula>
    </cfRule>
    <cfRule type="cellIs" dxfId="2044" priority="322" operator="equal">
      <formula>0</formula>
    </cfRule>
    <cfRule type="cellIs" dxfId="2043" priority="323" operator="greaterThan">
      <formula>0</formula>
    </cfRule>
    <cfRule type="cellIs" dxfId="2042" priority="324" operator="equal">
      <formula>"PMS"</formula>
    </cfRule>
    <cfRule type="containsText" dxfId="2041" priority="325" operator="containsText" text="CMS">
      <formula>NOT(ISERROR(SEARCH("CMS",M36)))</formula>
    </cfRule>
    <cfRule type="cellIs" dxfId="2040" priority="326" operator="equal">
      <formula>0</formula>
    </cfRule>
    <cfRule type="cellIs" dxfId="2039" priority="327" operator="greaterThan">
      <formula>0</formula>
    </cfRule>
  </conditionalFormatting>
  <conditionalFormatting sqref="M36:M38 M57:M59">
    <cfRule type="cellIs" dxfId="2038" priority="316" operator="equal">
      <formula>"PMS"</formula>
    </cfRule>
    <cfRule type="containsText" dxfId="2037" priority="317" operator="containsText" text="CMS">
      <formula>NOT(ISERROR(SEARCH("CMS",M36)))</formula>
    </cfRule>
    <cfRule type="cellIs" dxfId="2036" priority="318" operator="equal">
      <formula>0</formula>
    </cfRule>
    <cfRule type="cellIs" dxfId="2035" priority="319" operator="greaterThan">
      <formula>0</formula>
    </cfRule>
  </conditionalFormatting>
  <conditionalFormatting sqref="K36:K38 K57:K59">
    <cfRule type="cellIs" dxfId="2034" priority="308" operator="equal">
      <formula>"PMS"</formula>
    </cfRule>
    <cfRule type="containsText" dxfId="2033" priority="309" operator="containsText" text="CMS">
      <formula>NOT(ISERROR(SEARCH("CMS",K36)))</formula>
    </cfRule>
    <cfRule type="cellIs" dxfId="2032" priority="310" operator="equal">
      <formula>0</formula>
    </cfRule>
    <cfRule type="cellIs" dxfId="2031" priority="311" operator="greaterThan">
      <formula>0</formula>
    </cfRule>
    <cfRule type="cellIs" dxfId="2030" priority="312" operator="equal">
      <formula>"PMS"</formula>
    </cfRule>
    <cfRule type="containsText" dxfId="2029" priority="313" operator="containsText" text="CMS">
      <formula>NOT(ISERROR(SEARCH("CMS",K36)))</formula>
    </cfRule>
    <cfRule type="cellIs" dxfId="2028" priority="314" operator="equal">
      <formula>0</formula>
    </cfRule>
    <cfRule type="cellIs" dxfId="2027" priority="315" operator="greaterThan">
      <formula>0</formula>
    </cfRule>
  </conditionalFormatting>
  <conditionalFormatting sqref="K36:K38 K57:K59">
    <cfRule type="cellIs" dxfId="2026" priority="304" operator="equal">
      <formula>"PMS"</formula>
    </cfRule>
    <cfRule type="containsText" dxfId="2025" priority="305" operator="containsText" text="CMS">
      <formula>NOT(ISERROR(SEARCH("CMS",K36)))</formula>
    </cfRule>
    <cfRule type="cellIs" dxfId="2024" priority="306" operator="equal">
      <formula>0</formula>
    </cfRule>
    <cfRule type="cellIs" dxfId="2023" priority="307" operator="greaterThan">
      <formula>0</formula>
    </cfRule>
  </conditionalFormatting>
  <conditionalFormatting sqref="G49">
    <cfRule type="cellIs" dxfId="2022" priority="296" operator="equal">
      <formula>"PMS"</formula>
    </cfRule>
    <cfRule type="containsText" dxfId="2021" priority="297" operator="containsText" text="CMS">
      <formula>NOT(ISERROR(SEARCH("CMS",G49)))</formula>
    </cfRule>
    <cfRule type="cellIs" dxfId="2020" priority="298" operator="equal">
      <formula>0</formula>
    </cfRule>
    <cfRule type="cellIs" dxfId="2019" priority="299" operator="greaterThan">
      <formula>0</formula>
    </cfRule>
    <cfRule type="cellIs" dxfId="2018" priority="300" operator="equal">
      <formula>"PMS"</formula>
    </cfRule>
    <cfRule type="containsText" dxfId="2017" priority="301" operator="containsText" text="CMS">
      <formula>NOT(ISERROR(SEARCH("CMS",G49)))</formula>
    </cfRule>
    <cfRule type="cellIs" dxfId="2016" priority="302" operator="equal">
      <formula>0</formula>
    </cfRule>
    <cfRule type="cellIs" dxfId="2015" priority="303" operator="greaterThan">
      <formula>0</formula>
    </cfRule>
  </conditionalFormatting>
  <conditionalFormatting sqref="G49">
    <cfRule type="cellIs" dxfId="2014" priority="292" operator="equal">
      <formula>"PMS"</formula>
    </cfRule>
    <cfRule type="containsText" dxfId="2013" priority="293" operator="containsText" text="CMS">
      <formula>NOT(ISERROR(SEARCH("CMS",G49)))</formula>
    </cfRule>
    <cfRule type="cellIs" dxfId="2012" priority="294" operator="equal">
      <formula>0</formula>
    </cfRule>
    <cfRule type="cellIs" dxfId="2011" priority="295" operator="greaterThan">
      <formula>0</formula>
    </cfRule>
  </conditionalFormatting>
  <conditionalFormatting sqref="M49:N49">
    <cfRule type="cellIs" dxfId="2010" priority="284" operator="equal">
      <formula>"PMS"</formula>
    </cfRule>
    <cfRule type="containsText" dxfId="2009" priority="285" operator="containsText" text="CMS">
      <formula>NOT(ISERROR(SEARCH("CMS",M49)))</formula>
    </cfRule>
    <cfRule type="cellIs" dxfId="2008" priority="286" operator="equal">
      <formula>0</formula>
    </cfRule>
    <cfRule type="cellIs" dxfId="2007" priority="287" operator="greaterThan">
      <formula>0</formula>
    </cfRule>
    <cfRule type="cellIs" dxfId="2006" priority="288" operator="equal">
      <formula>"PMS"</formula>
    </cfRule>
    <cfRule type="containsText" dxfId="2005" priority="289" operator="containsText" text="CMS">
      <formula>NOT(ISERROR(SEARCH("CMS",M49)))</formula>
    </cfRule>
    <cfRule type="cellIs" dxfId="2004" priority="290" operator="equal">
      <formula>0</formula>
    </cfRule>
    <cfRule type="cellIs" dxfId="2003" priority="291" operator="greaterThan">
      <formula>0</formula>
    </cfRule>
  </conditionalFormatting>
  <conditionalFormatting sqref="M49:N49">
    <cfRule type="cellIs" dxfId="2002" priority="280" operator="equal">
      <formula>"PMS"</formula>
    </cfRule>
    <cfRule type="containsText" dxfId="2001" priority="281" operator="containsText" text="CMS">
      <formula>NOT(ISERROR(SEARCH("CMS",M49)))</formula>
    </cfRule>
    <cfRule type="cellIs" dxfId="2000" priority="282" operator="equal">
      <formula>0</formula>
    </cfRule>
    <cfRule type="cellIs" dxfId="1999" priority="283" operator="greaterThan">
      <formula>0</formula>
    </cfRule>
  </conditionalFormatting>
  <conditionalFormatting sqref="K49">
    <cfRule type="cellIs" dxfId="1998" priority="272" operator="equal">
      <formula>"PMS"</formula>
    </cfRule>
    <cfRule type="containsText" dxfId="1997" priority="273" operator="containsText" text="CMS">
      <formula>NOT(ISERROR(SEARCH("CMS",K49)))</formula>
    </cfRule>
    <cfRule type="cellIs" dxfId="1996" priority="274" operator="equal">
      <formula>0</formula>
    </cfRule>
    <cfRule type="cellIs" dxfId="1995" priority="275" operator="greaterThan">
      <formula>0</formula>
    </cfRule>
    <cfRule type="cellIs" dxfId="1994" priority="276" operator="equal">
      <formula>"PMS"</formula>
    </cfRule>
    <cfRule type="containsText" dxfId="1993" priority="277" operator="containsText" text="CMS">
      <formula>NOT(ISERROR(SEARCH("CMS",K49)))</formula>
    </cfRule>
    <cfRule type="cellIs" dxfId="1992" priority="278" operator="equal">
      <formula>0</formula>
    </cfRule>
    <cfRule type="cellIs" dxfId="1991" priority="279" operator="greaterThan">
      <formula>0</formula>
    </cfRule>
  </conditionalFormatting>
  <conditionalFormatting sqref="K49">
    <cfRule type="cellIs" dxfId="1990" priority="268" operator="equal">
      <formula>"PMS"</formula>
    </cfRule>
    <cfRule type="containsText" dxfId="1989" priority="269" operator="containsText" text="CMS">
      <formula>NOT(ISERROR(SEARCH("CMS",K49)))</formula>
    </cfRule>
    <cfRule type="cellIs" dxfId="1988" priority="270" operator="equal">
      <formula>0</formula>
    </cfRule>
    <cfRule type="cellIs" dxfId="1987" priority="271" operator="greaterThan">
      <formula>0</formula>
    </cfRule>
  </conditionalFormatting>
  <conditionalFormatting sqref="G41 G52:G55 G43 G45:G46">
    <cfRule type="cellIs" dxfId="1986" priority="260" operator="equal">
      <formula>"PMS"</formula>
    </cfRule>
    <cfRule type="containsText" dxfId="1985" priority="261" operator="containsText" text="CMS">
      <formula>NOT(ISERROR(SEARCH("CMS",G41)))</formula>
    </cfRule>
    <cfRule type="cellIs" dxfId="1984" priority="262" operator="equal">
      <formula>0</formula>
    </cfRule>
    <cfRule type="cellIs" dxfId="1983" priority="263" operator="greaterThan">
      <formula>0</formula>
    </cfRule>
    <cfRule type="cellIs" dxfId="1982" priority="264" operator="equal">
      <formula>"PMS"</formula>
    </cfRule>
    <cfRule type="containsText" dxfId="1981" priority="265" operator="containsText" text="CMS">
      <formula>NOT(ISERROR(SEARCH("CMS",G41)))</formula>
    </cfRule>
    <cfRule type="cellIs" dxfId="1980" priority="266" operator="equal">
      <formula>0</formula>
    </cfRule>
    <cfRule type="cellIs" dxfId="1979" priority="267" operator="greaterThan">
      <formula>0</formula>
    </cfRule>
  </conditionalFormatting>
  <conditionalFormatting sqref="G41 G52:G55 G43 G45:G46">
    <cfRule type="cellIs" dxfId="1978" priority="256" operator="equal">
      <formula>"PMS"</formula>
    </cfRule>
    <cfRule type="containsText" dxfId="1977" priority="257" operator="containsText" text="CMS">
      <formula>NOT(ISERROR(SEARCH("CMS",G41)))</formula>
    </cfRule>
    <cfRule type="cellIs" dxfId="1976" priority="258" operator="equal">
      <formula>0</formula>
    </cfRule>
    <cfRule type="cellIs" dxfId="1975" priority="259" operator="greaterThan">
      <formula>0</formula>
    </cfRule>
  </conditionalFormatting>
  <conditionalFormatting sqref="M41 N52:N55 M43 M45:M46">
    <cfRule type="cellIs" dxfId="1974" priority="248" operator="equal">
      <formula>"PMS"</formula>
    </cfRule>
    <cfRule type="containsText" dxfId="1973" priority="249" operator="containsText" text="CMS">
      <formula>NOT(ISERROR(SEARCH("CMS",M41)))</formula>
    </cfRule>
    <cfRule type="cellIs" dxfId="1972" priority="250" operator="equal">
      <formula>0</formula>
    </cfRule>
    <cfRule type="cellIs" dxfId="1971" priority="251" operator="greaterThan">
      <formula>0</formula>
    </cfRule>
    <cfRule type="cellIs" dxfId="1970" priority="252" operator="equal">
      <formula>"PMS"</formula>
    </cfRule>
    <cfRule type="containsText" dxfId="1969" priority="253" operator="containsText" text="CMS">
      <formula>NOT(ISERROR(SEARCH("CMS",M41)))</formula>
    </cfRule>
    <cfRule type="cellIs" dxfId="1968" priority="254" operator="equal">
      <formula>0</formula>
    </cfRule>
    <cfRule type="cellIs" dxfId="1967" priority="255" operator="greaterThan">
      <formula>0</formula>
    </cfRule>
  </conditionalFormatting>
  <conditionalFormatting sqref="M41 N52:N55 M43 M45:M46">
    <cfRule type="cellIs" dxfId="1966" priority="244" operator="equal">
      <formula>"PMS"</formula>
    </cfRule>
    <cfRule type="containsText" dxfId="1965" priority="245" operator="containsText" text="CMS">
      <formula>NOT(ISERROR(SEARCH("CMS",M41)))</formula>
    </cfRule>
    <cfRule type="cellIs" dxfId="1964" priority="246" operator="equal">
      <formula>0</formula>
    </cfRule>
    <cfRule type="cellIs" dxfId="1963" priority="247" operator="greaterThan">
      <formula>0</formula>
    </cfRule>
  </conditionalFormatting>
  <conditionalFormatting sqref="K52:K55 K41 K43 K45:K46">
    <cfRule type="cellIs" dxfId="1962" priority="236" operator="equal">
      <formula>"PMS"</formula>
    </cfRule>
    <cfRule type="containsText" dxfId="1961" priority="237" operator="containsText" text="CMS">
      <formula>NOT(ISERROR(SEARCH("CMS",K41)))</formula>
    </cfRule>
    <cfRule type="cellIs" dxfId="1960" priority="238" operator="equal">
      <formula>0</formula>
    </cfRule>
    <cfRule type="cellIs" dxfId="1959" priority="239" operator="greaterThan">
      <formula>0</formula>
    </cfRule>
    <cfRule type="cellIs" dxfId="1958" priority="240" operator="equal">
      <formula>"PMS"</formula>
    </cfRule>
    <cfRule type="containsText" dxfId="1957" priority="241" operator="containsText" text="CMS">
      <formula>NOT(ISERROR(SEARCH("CMS",K41)))</formula>
    </cfRule>
    <cfRule type="cellIs" dxfId="1956" priority="242" operator="equal">
      <formula>0</formula>
    </cfRule>
    <cfRule type="cellIs" dxfId="1955" priority="243" operator="greaterThan">
      <formula>0</formula>
    </cfRule>
  </conditionalFormatting>
  <conditionalFormatting sqref="K52:K55 K41 K43 K45:K46">
    <cfRule type="cellIs" dxfId="1954" priority="232" operator="equal">
      <formula>"PMS"</formula>
    </cfRule>
    <cfRule type="containsText" dxfId="1953" priority="233" operator="containsText" text="CMS">
      <formula>NOT(ISERROR(SEARCH("CMS",K41)))</formula>
    </cfRule>
    <cfRule type="cellIs" dxfId="1952" priority="234" operator="equal">
      <formula>0</formula>
    </cfRule>
    <cfRule type="cellIs" dxfId="1951" priority="235" operator="greaterThan">
      <formula>0</formula>
    </cfRule>
  </conditionalFormatting>
  <conditionalFormatting sqref="O49">
    <cfRule type="cellIs" dxfId="1950" priority="224" operator="equal">
      <formula>"PMS"</formula>
    </cfRule>
    <cfRule type="containsText" dxfId="1949" priority="225" operator="containsText" text="CMS">
      <formula>NOT(ISERROR(SEARCH("CMS",O49)))</formula>
    </cfRule>
    <cfRule type="cellIs" dxfId="1948" priority="226" operator="equal">
      <formula>0</formula>
    </cfRule>
    <cfRule type="cellIs" dxfId="1947" priority="227" operator="greaterThan">
      <formula>0</formula>
    </cfRule>
    <cfRule type="cellIs" dxfId="1946" priority="228" operator="equal">
      <formula>"PMS"</formula>
    </cfRule>
    <cfRule type="containsText" dxfId="1945" priority="229" operator="containsText" text="CMS">
      <formula>NOT(ISERROR(SEARCH("CMS",O49)))</formula>
    </cfRule>
    <cfRule type="cellIs" dxfId="1944" priority="230" operator="equal">
      <formula>0</formula>
    </cfRule>
    <cfRule type="cellIs" dxfId="1943" priority="231" operator="greaterThan">
      <formula>0</formula>
    </cfRule>
  </conditionalFormatting>
  <conditionalFormatting sqref="O49">
    <cfRule type="cellIs" dxfId="1942" priority="220" operator="equal">
      <formula>"PMS"</formula>
    </cfRule>
    <cfRule type="containsText" dxfId="1941" priority="221" operator="containsText" text="CMS">
      <formula>NOT(ISERROR(SEARCH("CMS",O49)))</formula>
    </cfRule>
    <cfRule type="cellIs" dxfId="1940" priority="222" operator="equal">
      <formula>0</formula>
    </cfRule>
    <cfRule type="cellIs" dxfId="1939" priority="223" operator="greaterThan">
      <formula>0</formula>
    </cfRule>
  </conditionalFormatting>
  <conditionalFormatting sqref="H15:H16">
    <cfRule type="cellIs" dxfId="1938" priority="212" operator="equal">
      <formula>"PMS"</formula>
    </cfRule>
    <cfRule type="containsText" dxfId="1937" priority="213" operator="containsText" text="CMS">
      <formula>NOT(ISERROR(SEARCH("CMS",H15)))</formula>
    </cfRule>
    <cfRule type="cellIs" dxfId="1936" priority="214" operator="equal">
      <formula>0</formula>
    </cfRule>
    <cfRule type="cellIs" dxfId="1935" priority="215" operator="greaterThan">
      <formula>0</formula>
    </cfRule>
    <cfRule type="cellIs" dxfId="1934" priority="216" operator="equal">
      <formula>"PMS"</formula>
    </cfRule>
    <cfRule type="containsText" dxfId="1933" priority="217" operator="containsText" text="CMS">
      <formula>NOT(ISERROR(SEARCH("CMS",H15)))</formula>
    </cfRule>
    <cfRule type="cellIs" dxfId="1932" priority="218" operator="equal">
      <formula>0</formula>
    </cfRule>
    <cfRule type="cellIs" dxfId="1931" priority="219" operator="greaterThan">
      <formula>0</formula>
    </cfRule>
  </conditionalFormatting>
  <conditionalFormatting sqref="H15:H16">
    <cfRule type="cellIs" dxfId="1930" priority="208" operator="equal">
      <formula>"PMS"</formula>
    </cfRule>
    <cfRule type="containsText" dxfId="1929" priority="209" operator="containsText" text="CMS">
      <formula>NOT(ISERROR(SEARCH("CMS",H15)))</formula>
    </cfRule>
    <cfRule type="cellIs" dxfId="1928" priority="210" operator="equal">
      <formula>0</formula>
    </cfRule>
    <cfRule type="cellIs" dxfId="1927" priority="211" operator="greaterThan">
      <formula>0</formula>
    </cfRule>
  </conditionalFormatting>
  <conditionalFormatting sqref="G14">
    <cfRule type="cellIs" dxfId="1926" priority="200" operator="equal">
      <formula>"PMS"</formula>
    </cfRule>
    <cfRule type="containsText" dxfId="1925" priority="201" operator="containsText" text="CMS">
      <formula>NOT(ISERROR(SEARCH("CMS",G14)))</formula>
    </cfRule>
    <cfRule type="cellIs" dxfId="1924" priority="202" operator="equal">
      <formula>0</formula>
    </cfRule>
    <cfRule type="cellIs" dxfId="1923" priority="203" operator="greaterThan">
      <formula>0</formula>
    </cfRule>
    <cfRule type="cellIs" dxfId="1922" priority="204" operator="equal">
      <formula>"PMS"</formula>
    </cfRule>
    <cfRule type="containsText" dxfId="1921" priority="205" operator="containsText" text="CMS">
      <formula>NOT(ISERROR(SEARCH("CMS",G14)))</formula>
    </cfRule>
    <cfRule type="cellIs" dxfId="1920" priority="206" operator="equal">
      <formula>0</formula>
    </cfRule>
    <cfRule type="cellIs" dxfId="1919" priority="207" operator="greaterThan">
      <formula>0</formula>
    </cfRule>
  </conditionalFormatting>
  <conditionalFormatting sqref="G14">
    <cfRule type="cellIs" dxfId="1918" priority="196" operator="equal">
      <formula>"PMS"</formula>
    </cfRule>
    <cfRule type="containsText" dxfId="1917" priority="197" operator="containsText" text="CMS">
      <formula>NOT(ISERROR(SEARCH("CMS",G14)))</formula>
    </cfRule>
    <cfRule type="cellIs" dxfId="1916" priority="198" operator="equal">
      <formula>0</formula>
    </cfRule>
    <cfRule type="cellIs" dxfId="1915" priority="199" operator="greaterThan">
      <formula>0</formula>
    </cfRule>
  </conditionalFormatting>
  <conditionalFormatting sqref="M16">
    <cfRule type="cellIs" dxfId="1914" priority="188" operator="equal">
      <formula>"PMS"</formula>
    </cfRule>
    <cfRule type="containsText" dxfId="1913" priority="189" operator="containsText" text="CMS">
      <formula>NOT(ISERROR(SEARCH("CMS",M16)))</formula>
    </cfRule>
    <cfRule type="cellIs" dxfId="1912" priority="190" operator="equal">
      <formula>0</formula>
    </cfRule>
    <cfRule type="cellIs" dxfId="1911" priority="191" operator="greaterThan">
      <formula>0</formula>
    </cfRule>
    <cfRule type="cellIs" dxfId="1910" priority="192" operator="equal">
      <formula>"PMS"</formula>
    </cfRule>
    <cfRule type="containsText" dxfId="1909" priority="193" operator="containsText" text="CMS">
      <formula>NOT(ISERROR(SEARCH("CMS",M16)))</formula>
    </cfRule>
    <cfRule type="cellIs" dxfId="1908" priority="194" operator="equal">
      <formula>0</formula>
    </cfRule>
    <cfRule type="cellIs" dxfId="1907" priority="195" operator="greaterThan">
      <formula>0</formula>
    </cfRule>
  </conditionalFormatting>
  <conditionalFormatting sqref="M16">
    <cfRule type="cellIs" dxfId="1906" priority="184" operator="equal">
      <formula>"PMS"</formula>
    </cfRule>
    <cfRule type="containsText" dxfId="1905" priority="185" operator="containsText" text="CMS">
      <formula>NOT(ISERROR(SEARCH("CMS",M16)))</formula>
    </cfRule>
    <cfRule type="cellIs" dxfId="1904" priority="186" operator="equal">
      <formula>0</formula>
    </cfRule>
    <cfRule type="cellIs" dxfId="1903" priority="187" operator="greaterThan">
      <formula>0</formula>
    </cfRule>
  </conditionalFormatting>
  <conditionalFormatting sqref="N14">
    <cfRule type="cellIs" dxfId="1902" priority="176" operator="equal">
      <formula>"PMS"</formula>
    </cfRule>
    <cfRule type="containsText" dxfId="1901" priority="177" operator="containsText" text="CMS">
      <formula>NOT(ISERROR(SEARCH("CMS",N14)))</formula>
    </cfRule>
    <cfRule type="cellIs" dxfId="1900" priority="178" operator="equal">
      <formula>0</formula>
    </cfRule>
    <cfRule type="cellIs" dxfId="1899" priority="179" operator="greaterThan">
      <formula>0</formula>
    </cfRule>
    <cfRule type="cellIs" dxfId="1898" priority="180" operator="equal">
      <formula>"PMS"</formula>
    </cfRule>
    <cfRule type="containsText" dxfId="1897" priority="181" operator="containsText" text="CMS">
      <formula>NOT(ISERROR(SEARCH("CMS",N14)))</formula>
    </cfRule>
    <cfRule type="cellIs" dxfId="1896" priority="182" operator="equal">
      <formula>0</formula>
    </cfRule>
    <cfRule type="cellIs" dxfId="1895" priority="183" operator="greaterThan">
      <formula>0</formula>
    </cfRule>
  </conditionalFormatting>
  <conditionalFormatting sqref="N14">
    <cfRule type="cellIs" dxfId="1894" priority="172" operator="equal">
      <formula>"PMS"</formula>
    </cfRule>
    <cfRule type="containsText" dxfId="1893" priority="173" operator="containsText" text="CMS">
      <formula>NOT(ISERROR(SEARCH("CMS",N14)))</formula>
    </cfRule>
    <cfRule type="cellIs" dxfId="1892" priority="174" operator="equal">
      <formula>0</formula>
    </cfRule>
    <cfRule type="cellIs" dxfId="1891" priority="175" operator="greaterThan">
      <formula>0</formula>
    </cfRule>
  </conditionalFormatting>
  <conditionalFormatting sqref="M14">
    <cfRule type="cellIs" dxfId="1890" priority="164" operator="equal">
      <formula>"PMS"</formula>
    </cfRule>
    <cfRule type="containsText" dxfId="1889" priority="165" operator="containsText" text="CMS">
      <formula>NOT(ISERROR(SEARCH("CMS",M14)))</formula>
    </cfRule>
    <cfRule type="cellIs" dxfId="1888" priority="166" operator="equal">
      <formula>0</formula>
    </cfRule>
    <cfRule type="cellIs" dxfId="1887" priority="167" operator="greaterThan">
      <formula>0</formula>
    </cfRule>
    <cfRule type="cellIs" dxfId="1886" priority="168" operator="equal">
      <formula>"PMS"</formula>
    </cfRule>
    <cfRule type="containsText" dxfId="1885" priority="169" operator="containsText" text="CMS">
      <formula>NOT(ISERROR(SEARCH("CMS",M14)))</formula>
    </cfRule>
    <cfRule type="cellIs" dxfId="1884" priority="170" operator="equal">
      <formula>0</formula>
    </cfRule>
    <cfRule type="cellIs" dxfId="1883" priority="171" operator="greaterThan">
      <formula>0</formula>
    </cfRule>
  </conditionalFormatting>
  <conditionalFormatting sqref="M14">
    <cfRule type="cellIs" dxfId="1882" priority="160" operator="equal">
      <formula>"PMS"</formula>
    </cfRule>
    <cfRule type="containsText" dxfId="1881" priority="161" operator="containsText" text="CMS">
      <formula>NOT(ISERROR(SEARCH("CMS",M14)))</formula>
    </cfRule>
    <cfRule type="cellIs" dxfId="1880" priority="162" operator="equal">
      <formula>0</formula>
    </cfRule>
    <cfRule type="cellIs" dxfId="1879" priority="163" operator="greaterThan">
      <formula>0</formula>
    </cfRule>
  </conditionalFormatting>
  <conditionalFormatting sqref="H111:M111">
    <cfRule type="cellIs" dxfId="1878" priority="159" operator="greaterThan">
      <formula>60.3</formula>
    </cfRule>
  </conditionalFormatting>
  <conditionalFormatting sqref="F111:G111">
    <cfRule type="cellIs" dxfId="1877" priority="158" operator="greaterThan">
      <formula>60.3</formula>
    </cfRule>
  </conditionalFormatting>
  <conditionalFormatting sqref="N111:AC111">
    <cfRule type="cellIs" dxfId="1876" priority="157" operator="greaterThan">
      <formula>60.3</formula>
    </cfRule>
  </conditionalFormatting>
  <conditionalFormatting sqref="H78:J78 L78:L79 H33:I33 N33:AC33 N27:AC30 L27:L29 H24:J24 L24 N24:AC24 H19:J21 L19:L21 S78:AC78 I79:J79 N78:Q78 H27:J30 N19:AC21 N79:AC79">
    <cfRule type="cellIs" dxfId="1875" priority="149" operator="equal">
      <formula>"PMS"</formula>
    </cfRule>
    <cfRule type="containsText" dxfId="1874" priority="150" operator="containsText" text="CMS">
      <formula>NOT(ISERROR(SEARCH("CMS",H19)))</formula>
    </cfRule>
    <cfRule type="cellIs" dxfId="1873" priority="151" operator="equal">
      <formula>0</formula>
    </cfRule>
    <cfRule type="cellIs" dxfId="1872" priority="152" operator="greaterThan">
      <formula>0</formula>
    </cfRule>
    <cfRule type="cellIs" dxfId="1871" priority="153" operator="equal">
      <formula>"PMS"</formula>
    </cfRule>
    <cfRule type="containsText" dxfId="1870" priority="154" operator="containsText" text="CMS">
      <formula>NOT(ISERROR(SEARCH("CMS",H19)))</formula>
    </cfRule>
    <cfRule type="cellIs" dxfId="1869" priority="155" operator="equal">
      <formula>0</formula>
    </cfRule>
    <cfRule type="cellIs" dxfId="1868" priority="156" operator="greaterThan">
      <formula>0</formula>
    </cfRule>
  </conditionalFormatting>
  <conditionalFormatting sqref="H78:J78 L78:L79 H33:I33 N33:AC33 N27:AC30 L27:L29 H24:J24 L24 N24:AC24 H19:J21 L19:L21 S78:AC78 I79:J79 N78:Q78 H27:J30 N19:AC21 N79:AC79">
    <cfRule type="cellIs" dxfId="1867" priority="145" operator="equal">
      <formula>"PMS"</formula>
    </cfRule>
    <cfRule type="containsText" dxfId="1866" priority="146" operator="containsText" text="CMS">
      <formula>NOT(ISERROR(SEARCH("CMS",H19)))</formula>
    </cfRule>
    <cfRule type="cellIs" dxfId="1865" priority="147" operator="equal">
      <formula>0</formula>
    </cfRule>
    <cfRule type="cellIs" dxfId="1864" priority="148" operator="greaterThan">
      <formula>0</formula>
    </cfRule>
  </conditionalFormatting>
  <conditionalFormatting sqref="G78:G79 G62:G64 G56 G50:G51 G47:G48 G44 G42 G39:G40 G27:G30 G24 G19:G21">
    <cfRule type="cellIs" dxfId="1863" priority="137" operator="equal">
      <formula>"PMS"</formula>
    </cfRule>
    <cfRule type="containsText" dxfId="1862" priority="138" operator="containsText" text="CMS">
      <formula>NOT(ISERROR(SEARCH("CMS",G19)))</formula>
    </cfRule>
    <cfRule type="cellIs" dxfId="1861" priority="139" operator="equal">
      <formula>0</formula>
    </cfRule>
    <cfRule type="cellIs" dxfId="1860" priority="140" operator="greaterThan">
      <formula>0</formula>
    </cfRule>
    <cfRule type="cellIs" dxfId="1859" priority="141" operator="equal">
      <formula>"PMS"</formula>
    </cfRule>
    <cfRule type="containsText" dxfId="1858" priority="142" operator="containsText" text="CMS">
      <formula>NOT(ISERROR(SEARCH("CMS",G19)))</formula>
    </cfRule>
    <cfRule type="cellIs" dxfId="1857" priority="143" operator="equal">
      <formula>0</formula>
    </cfRule>
    <cfRule type="cellIs" dxfId="1856" priority="144" operator="greaterThan">
      <formula>0</formula>
    </cfRule>
  </conditionalFormatting>
  <conditionalFormatting sqref="G78:G79 G62:G64 G56 G50:G51 G47:G48 G44 G42 G39:G40 G27:G30 G24 G19:G21">
    <cfRule type="cellIs" dxfId="1855" priority="133" operator="equal">
      <formula>"PMS"</formula>
    </cfRule>
    <cfRule type="containsText" dxfId="1854" priority="134" operator="containsText" text="CMS">
      <formula>NOT(ISERROR(SEARCH("CMS",G19)))</formula>
    </cfRule>
    <cfRule type="cellIs" dxfId="1853" priority="135" operator="equal">
      <formula>0</formula>
    </cfRule>
    <cfRule type="cellIs" dxfId="1852" priority="136" operator="greaterThan">
      <formula>0</formula>
    </cfRule>
  </conditionalFormatting>
  <conditionalFormatting sqref="M78:M79 M56 M50:M51 M47:M48 M44 M42 M39:M40 M27:M30 M24 M19:M21 L33:M33 L30 L62:M64 N62:N63">
    <cfRule type="cellIs" dxfId="1851" priority="125" operator="equal">
      <formula>"PMS"</formula>
    </cfRule>
    <cfRule type="containsText" dxfId="1850" priority="126" operator="containsText" text="CMS">
      <formula>NOT(ISERROR(SEARCH("CMS",L19)))</formula>
    </cfRule>
    <cfRule type="cellIs" dxfId="1849" priority="127" operator="equal">
      <formula>0</formula>
    </cfRule>
    <cfRule type="cellIs" dxfId="1848" priority="128" operator="greaterThan">
      <formula>0</formula>
    </cfRule>
    <cfRule type="cellIs" dxfId="1847" priority="129" operator="equal">
      <formula>"PMS"</formula>
    </cfRule>
    <cfRule type="containsText" dxfId="1846" priority="130" operator="containsText" text="CMS">
      <formula>NOT(ISERROR(SEARCH("CMS",L19)))</formula>
    </cfRule>
    <cfRule type="cellIs" dxfId="1845" priority="131" operator="equal">
      <formula>0</formula>
    </cfRule>
    <cfRule type="cellIs" dxfId="1844" priority="132" operator="greaterThan">
      <formula>0</formula>
    </cfRule>
  </conditionalFormatting>
  <conditionalFormatting sqref="M78:M79 M56 M50:M51 M47:M48 M44 M42 M39:M40 M27:M30 M24 M19:M21 L33:M33 L30 L62:M64 N62:N63">
    <cfRule type="cellIs" dxfId="1843" priority="121" operator="equal">
      <formula>"PMS"</formula>
    </cfRule>
    <cfRule type="containsText" dxfId="1842" priority="122" operator="containsText" text="CMS">
      <formula>NOT(ISERROR(SEARCH("CMS",L19)))</formula>
    </cfRule>
    <cfRule type="cellIs" dxfId="1841" priority="123" operator="equal">
      <formula>0</formula>
    </cfRule>
    <cfRule type="cellIs" dxfId="1840" priority="124" operator="greaterThan">
      <formula>0</formula>
    </cfRule>
  </conditionalFormatting>
  <conditionalFormatting sqref="K78:K79 K56 K50:K51 K47:K48 K44 K42 K39:K40 K27:K30 K24 K19:K21 J33:K33 K62:K64">
    <cfRule type="cellIs" dxfId="1839" priority="113" operator="equal">
      <formula>"PMS"</formula>
    </cfRule>
    <cfRule type="containsText" dxfId="1838" priority="114" operator="containsText" text="CMS">
      <formula>NOT(ISERROR(SEARCH("CMS",J19)))</formula>
    </cfRule>
    <cfRule type="cellIs" dxfId="1837" priority="115" operator="equal">
      <formula>0</formula>
    </cfRule>
    <cfRule type="cellIs" dxfId="1836" priority="116" operator="greaterThan">
      <formula>0</formula>
    </cfRule>
    <cfRule type="cellIs" dxfId="1835" priority="117" operator="equal">
      <formula>"PMS"</formula>
    </cfRule>
    <cfRule type="containsText" dxfId="1834" priority="118" operator="containsText" text="CMS">
      <formula>NOT(ISERROR(SEARCH("CMS",J19)))</formula>
    </cfRule>
    <cfRule type="cellIs" dxfId="1833" priority="119" operator="equal">
      <formula>0</formula>
    </cfRule>
    <cfRule type="cellIs" dxfId="1832" priority="120" operator="greaterThan">
      <formula>0</formula>
    </cfRule>
  </conditionalFormatting>
  <conditionalFormatting sqref="K78:K79 K56 K50:K51 K47:K48 K44 K42 K39:K40 K27:K30 K24 K19:K21 J33:K33 K62:K64">
    <cfRule type="cellIs" dxfId="1831" priority="109" operator="equal">
      <formula>"PMS"</formula>
    </cfRule>
    <cfRule type="containsText" dxfId="1830" priority="110" operator="containsText" text="CMS">
      <formula>NOT(ISERROR(SEARCH("CMS",J19)))</formula>
    </cfRule>
    <cfRule type="cellIs" dxfId="1829" priority="111" operator="equal">
      <formula>0</formula>
    </cfRule>
    <cfRule type="cellIs" dxfId="1828" priority="112" operator="greaterThan">
      <formula>0</formula>
    </cfRule>
  </conditionalFormatting>
  <conditionalFormatting sqref="R78">
    <cfRule type="cellIs" dxfId="1827" priority="101" operator="equal">
      <formula>"PMS"</formula>
    </cfRule>
    <cfRule type="containsText" dxfId="1826" priority="102" operator="containsText" text="CMS">
      <formula>NOT(ISERROR(SEARCH("CMS",R78)))</formula>
    </cfRule>
    <cfRule type="cellIs" dxfId="1825" priority="103" operator="equal">
      <formula>0</formula>
    </cfRule>
    <cfRule type="cellIs" dxfId="1824" priority="104" operator="greaterThan">
      <formula>0</formula>
    </cfRule>
    <cfRule type="cellIs" dxfId="1823" priority="105" operator="equal">
      <formula>"PMS"</formula>
    </cfRule>
    <cfRule type="containsText" dxfId="1822" priority="106" operator="containsText" text="CMS">
      <formula>NOT(ISERROR(SEARCH("CMS",R78)))</formula>
    </cfRule>
    <cfRule type="cellIs" dxfId="1821" priority="107" operator="equal">
      <formula>0</formula>
    </cfRule>
    <cfRule type="cellIs" dxfId="1820" priority="108" operator="greaterThan">
      <formula>0</formula>
    </cfRule>
  </conditionalFormatting>
  <conditionalFormatting sqref="R78">
    <cfRule type="cellIs" dxfId="1819" priority="97" operator="equal">
      <formula>"PMS"</formula>
    </cfRule>
    <cfRule type="containsText" dxfId="1818" priority="98" operator="containsText" text="CMS">
      <formula>NOT(ISERROR(SEARCH("CMS",R78)))</formula>
    </cfRule>
    <cfRule type="cellIs" dxfId="1817" priority="99" operator="equal">
      <formula>0</formula>
    </cfRule>
    <cfRule type="cellIs" dxfId="1816" priority="100" operator="greaterThan">
      <formula>0</formula>
    </cfRule>
  </conditionalFormatting>
  <conditionalFormatting sqref="H62">
    <cfRule type="cellIs" dxfId="1815" priority="89" operator="equal">
      <formula>"PMS"</formula>
    </cfRule>
    <cfRule type="containsText" dxfId="1814" priority="90" operator="containsText" text="CMS">
      <formula>NOT(ISERROR(SEARCH("CMS",H62)))</formula>
    </cfRule>
    <cfRule type="cellIs" dxfId="1813" priority="91" operator="equal">
      <formula>0</formula>
    </cfRule>
    <cfRule type="cellIs" dxfId="1812" priority="92" operator="greaterThan">
      <formula>0</formula>
    </cfRule>
    <cfRule type="cellIs" dxfId="1811" priority="93" operator="equal">
      <formula>"PMS"</formula>
    </cfRule>
    <cfRule type="containsText" dxfId="1810" priority="94" operator="containsText" text="CMS">
      <formula>NOT(ISERROR(SEARCH("CMS",H62)))</formula>
    </cfRule>
    <cfRule type="cellIs" dxfId="1809" priority="95" operator="equal">
      <formula>0</formula>
    </cfRule>
    <cfRule type="cellIs" dxfId="1808" priority="96" operator="greaterThan">
      <formula>0</formula>
    </cfRule>
  </conditionalFormatting>
  <conditionalFormatting sqref="H62">
    <cfRule type="cellIs" dxfId="1807" priority="85" operator="equal">
      <formula>"PMS"</formula>
    </cfRule>
    <cfRule type="containsText" dxfId="1806" priority="86" operator="containsText" text="CMS">
      <formula>NOT(ISERROR(SEARCH("CMS",H62)))</formula>
    </cfRule>
    <cfRule type="cellIs" dxfId="1805" priority="87" operator="equal">
      <formula>0</formula>
    </cfRule>
    <cfRule type="cellIs" dxfId="1804" priority="88" operator="greaterThan">
      <formula>0</formula>
    </cfRule>
  </conditionalFormatting>
  <conditionalFormatting sqref="H79">
    <cfRule type="cellIs" dxfId="1803" priority="77" operator="equal">
      <formula>"PMS"</formula>
    </cfRule>
    <cfRule type="containsText" dxfId="1802" priority="78" operator="containsText" text="CMS">
      <formula>NOT(ISERROR(SEARCH("CMS",H79)))</formula>
    </cfRule>
    <cfRule type="cellIs" dxfId="1801" priority="79" operator="equal">
      <formula>0</formula>
    </cfRule>
    <cfRule type="cellIs" dxfId="1800" priority="80" operator="greaterThan">
      <formula>0</formula>
    </cfRule>
    <cfRule type="cellIs" dxfId="1799" priority="81" operator="equal">
      <formula>"PMS"</formula>
    </cfRule>
    <cfRule type="containsText" dxfId="1798" priority="82" operator="containsText" text="CMS">
      <formula>NOT(ISERROR(SEARCH("CMS",H79)))</formula>
    </cfRule>
    <cfRule type="cellIs" dxfId="1797" priority="83" operator="equal">
      <formula>0</formula>
    </cfRule>
    <cfRule type="cellIs" dxfId="1796" priority="84" operator="greaterThan">
      <formula>0</formula>
    </cfRule>
  </conditionalFormatting>
  <conditionalFormatting sqref="H79">
    <cfRule type="cellIs" dxfId="1795" priority="73" operator="equal">
      <formula>"PMS"</formula>
    </cfRule>
    <cfRule type="containsText" dxfId="1794" priority="74" operator="containsText" text="CMS">
      <formula>NOT(ISERROR(SEARCH("CMS",H79)))</formula>
    </cfRule>
    <cfRule type="cellIs" dxfId="1793" priority="75" operator="equal">
      <formula>0</formula>
    </cfRule>
    <cfRule type="cellIs" dxfId="1792" priority="76" operator="greaterThan">
      <formula>0</formula>
    </cfRule>
  </conditionalFormatting>
  <conditionalFormatting sqref="H64">
    <cfRule type="cellIs" dxfId="1791" priority="65" operator="equal">
      <formula>"PMS"</formula>
    </cfRule>
    <cfRule type="containsText" dxfId="1790" priority="66" operator="containsText" text="CMS">
      <formula>NOT(ISERROR(SEARCH("CMS",H64)))</formula>
    </cfRule>
    <cfRule type="cellIs" dxfId="1789" priority="67" operator="equal">
      <formula>0</formula>
    </cfRule>
    <cfRule type="cellIs" dxfId="1788" priority="68" operator="greaterThan">
      <formula>0</formula>
    </cfRule>
    <cfRule type="cellIs" dxfId="1787" priority="69" operator="equal">
      <formula>"PMS"</formula>
    </cfRule>
    <cfRule type="containsText" dxfId="1786" priority="70" operator="containsText" text="CMS">
      <formula>NOT(ISERROR(SEARCH("CMS",H64)))</formula>
    </cfRule>
    <cfRule type="cellIs" dxfId="1785" priority="71" operator="equal">
      <formula>0</formula>
    </cfRule>
    <cfRule type="cellIs" dxfId="1784" priority="72" operator="greaterThan">
      <formula>0</formula>
    </cfRule>
  </conditionalFormatting>
  <conditionalFormatting sqref="H64">
    <cfRule type="cellIs" dxfId="1783" priority="61" operator="equal">
      <formula>"PMS"</formula>
    </cfRule>
    <cfRule type="containsText" dxfId="1782" priority="62" operator="containsText" text="CMS">
      <formula>NOT(ISERROR(SEARCH("CMS",H64)))</formula>
    </cfRule>
    <cfRule type="cellIs" dxfId="1781" priority="63" operator="equal">
      <formula>0</formula>
    </cfRule>
    <cfRule type="cellIs" dxfId="1780" priority="64" operator="greaterThan">
      <formula>0</formula>
    </cfRule>
  </conditionalFormatting>
  <conditionalFormatting sqref="F36:F59 F13:F16">
    <cfRule type="cellIs" dxfId="1779" priority="53" operator="equal">
      <formula>"PMS"</formula>
    </cfRule>
    <cfRule type="containsText" dxfId="1778" priority="54" operator="containsText" text="CMS">
      <formula>NOT(ISERROR(SEARCH("CMS",F13)))</formula>
    </cfRule>
    <cfRule type="cellIs" dxfId="1777" priority="55" operator="equal">
      <formula>0</formula>
    </cfRule>
    <cfRule type="cellIs" dxfId="1776" priority="56" operator="greaterThan">
      <formula>0</formula>
    </cfRule>
    <cfRule type="cellIs" dxfId="1775" priority="57" operator="equal">
      <formula>"PMS"</formula>
    </cfRule>
    <cfRule type="containsText" dxfId="1774" priority="58" operator="containsText" text="CMS">
      <formula>NOT(ISERROR(SEARCH("CMS",F13)))</formula>
    </cfRule>
    <cfRule type="cellIs" dxfId="1773" priority="59" operator="equal">
      <formula>0</formula>
    </cfRule>
    <cfRule type="cellIs" dxfId="1772" priority="60" operator="greaterThan">
      <formula>0</formula>
    </cfRule>
  </conditionalFormatting>
  <conditionalFormatting sqref="F36:F59 F13:F16">
    <cfRule type="cellIs" dxfId="1771" priority="49" operator="equal">
      <formula>"PMS"</formula>
    </cfRule>
    <cfRule type="containsText" dxfId="1770" priority="50" operator="containsText" text="CMS">
      <formula>NOT(ISERROR(SEARCH("CMS",F13)))</formula>
    </cfRule>
    <cfRule type="cellIs" dxfId="1769" priority="51" operator="equal">
      <formula>0</formula>
    </cfRule>
    <cfRule type="cellIs" dxfId="1768" priority="52" operator="greaterThan">
      <formula>0</formula>
    </cfRule>
  </conditionalFormatting>
  <conditionalFormatting sqref="F67:F75">
    <cfRule type="cellIs" dxfId="1767" priority="41" operator="equal">
      <formula>"PMS"</formula>
    </cfRule>
    <cfRule type="containsText" dxfId="1766" priority="42" operator="containsText" text="CMS">
      <formula>NOT(ISERROR(SEARCH("CMS",F67)))</formula>
    </cfRule>
    <cfRule type="cellIs" dxfId="1765" priority="43" operator="equal">
      <formula>0</formula>
    </cfRule>
    <cfRule type="cellIs" dxfId="1764" priority="44" operator="greaterThan">
      <formula>0</formula>
    </cfRule>
    <cfRule type="cellIs" dxfId="1763" priority="45" operator="equal">
      <formula>"PMS"</formula>
    </cfRule>
    <cfRule type="containsText" dxfId="1762" priority="46" operator="containsText" text="CMS">
      <formula>NOT(ISERROR(SEARCH("CMS",F67)))</formula>
    </cfRule>
    <cfRule type="cellIs" dxfId="1761" priority="47" operator="equal">
      <formula>0</formula>
    </cfRule>
    <cfRule type="cellIs" dxfId="1760" priority="48" operator="greaterThan">
      <formula>0</formula>
    </cfRule>
  </conditionalFormatting>
  <conditionalFormatting sqref="F67:F75">
    <cfRule type="cellIs" dxfId="1759" priority="37" operator="equal">
      <formula>"PMS"</formula>
    </cfRule>
    <cfRule type="containsText" dxfId="1758" priority="38" operator="containsText" text="CMS">
      <formula>NOT(ISERROR(SEARCH("CMS",F67)))</formula>
    </cfRule>
    <cfRule type="cellIs" dxfId="1757" priority="39" operator="equal">
      <formula>0</formula>
    </cfRule>
    <cfRule type="cellIs" dxfId="1756" priority="40" operator="greaterThan">
      <formula>0</formula>
    </cfRule>
  </conditionalFormatting>
  <conditionalFormatting sqref="F82">
    <cfRule type="cellIs" dxfId="1755" priority="29" operator="equal">
      <formula>"PMS"</formula>
    </cfRule>
    <cfRule type="containsText" dxfId="1754" priority="30" operator="containsText" text="CMS">
      <formula>NOT(ISERROR(SEARCH("CMS",F82)))</formula>
    </cfRule>
    <cfRule type="cellIs" dxfId="1753" priority="31" operator="equal">
      <formula>0</formula>
    </cfRule>
    <cfRule type="cellIs" dxfId="1752" priority="32" operator="greaterThan">
      <formula>0</formula>
    </cfRule>
    <cfRule type="cellIs" dxfId="1751" priority="33" operator="equal">
      <formula>"PMS"</formula>
    </cfRule>
    <cfRule type="containsText" dxfId="1750" priority="34" operator="containsText" text="CMS">
      <formula>NOT(ISERROR(SEARCH("CMS",F82)))</formula>
    </cfRule>
    <cfRule type="cellIs" dxfId="1749" priority="35" operator="equal">
      <formula>0</formula>
    </cfRule>
    <cfRule type="cellIs" dxfId="1748" priority="36" operator="greaterThan">
      <formula>0</formula>
    </cfRule>
  </conditionalFormatting>
  <conditionalFormatting sqref="F82">
    <cfRule type="cellIs" dxfId="1747" priority="25" operator="equal">
      <formula>"PMS"</formula>
    </cfRule>
    <cfRule type="containsText" dxfId="1746" priority="26" operator="containsText" text="CMS">
      <formula>NOT(ISERROR(SEARCH("CMS",F82)))</formula>
    </cfRule>
    <cfRule type="cellIs" dxfId="1745" priority="27" operator="equal">
      <formula>0</formula>
    </cfRule>
    <cfRule type="cellIs" dxfId="1744" priority="28" operator="greaterThan">
      <formula>0</formula>
    </cfRule>
  </conditionalFormatting>
  <conditionalFormatting sqref="F27:F30 F24 F19:F21 F78:F79 F33:G33">
    <cfRule type="cellIs" dxfId="1743" priority="17" operator="equal">
      <formula>"PMS"</formula>
    </cfRule>
    <cfRule type="containsText" dxfId="1742" priority="18" operator="containsText" text="CMS">
      <formula>NOT(ISERROR(SEARCH("CMS",F19)))</formula>
    </cfRule>
    <cfRule type="cellIs" dxfId="1741" priority="19" operator="equal">
      <formula>0</formula>
    </cfRule>
    <cfRule type="cellIs" dxfId="1740" priority="20" operator="greaterThan">
      <formula>0</formula>
    </cfRule>
    <cfRule type="cellIs" dxfId="1739" priority="21" operator="equal">
      <formula>"PMS"</formula>
    </cfRule>
    <cfRule type="containsText" dxfId="1738" priority="22" operator="containsText" text="CMS">
      <formula>NOT(ISERROR(SEARCH("CMS",F19)))</formula>
    </cfRule>
    <cfRule type="cellIs" dxfId="1737" priority="23" operator="equal">
      <formula>0</formula>
    </cfRule>
    <cfRule type="cellIs" dxfId="1736" priority="24" operator="greaterThan">
      <formula>0</formula>
    </cfRule>
  </conditionalFormatting>
  <conditionalFormatting sqref="F27:F30 F24 F19:F21 F78:F79 F33:G33">
    <cfRule type="cellIs" dxfId="1735" priority="13" operator="equal">
      <formula>"PMS"</formula>
    </cfRule>
    <cfRule type="containsText" dxfId="1734" priority="14" operator="containsText" text="CMS">
      <formula>NOT(ISERROR(SEARCH("CMS",F19)))</formula>
    </cfRule>
    <cfRule type="cellIs" dxfId="1733" priority="15" operator="equal">
      <formula>0</formula>
    </cfRule>
    <cfRule type="cellIs" dxfId="1732" priority="16" operator="greaterThan">
      <formula>0</formula>
    </cfRule>
  </conditionalFormatting>
  <conditionalFormatting sqref="F62:F64">
    <cfRule type="cellIs" dxfId="1731" priority="5" operator="equal">
      <formula>"PMS"</formula>
    </cfRule>
    <cfRule type="containsText" dxfId="1730" priority="6" operator="containsText" text="CMS">
      <formula>NOT(ISERROR(SEARCH("CMS",F62)))</formula>
    </cfRule>
    <cfRule type="cellIs" dxfId="1729" priority="7" operator="equal">
      <formula>0</formula>
    </cfRule>
    <cfRule type="cellIs" dxfId="1728" priority="8" operator="greaterThan">
      <formula>0</formula>
    </cfRule>
    <cfRule type="cellIs" dxfId="1727" priority="9" operator="equal">
      <formula>"PMS"</formula>
    </cfRule>
    <cfRule type="containsText" dxfId="1726" priority="10" operator="containsText" text="CMS">
      <formula>NOT(ISERROR(SEARCH("CMS",F62)))</formula>
    </cfRule>
    <cfRule type="cellIs" dxfId="1725" priority="11" operator="equal">
      <formula>0</formula>
    </cfRule>
    <cfRule type="cellIs" dxfId="1724" priority="12" operator="greaterThan">
      <formula>0</formula>
    </cfRule>
  </conditionalFormatting>
  <conditionalFormatting sqref="F62:F64">
    <cfRule type="cellIs" dxfId="1723" priority="1" operator="equal">
      <formula>"PMS"</formula>
    </cfRule>
    <cfRule type="containsText" dxfId="1722" priority="2" operator="containsText" text="CMS">
      <formula>NOT(ISERROR(SEARCH("CMS",F62)))</formula>
    </cfRule>
    <cfRule type="cellIs" dxfId="1721" priority="3" operator="equal">
      <formula>0</formula>
    </cfRule>
    <cfRule type="cellIs" dxfId="172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A831A-AD00-4CE2-B60E-098A589F9EAD}">
  <sheetPr codeName="Sheet252"/>
  <dimension ref="A2:DT141"/>
  <sheetViews>
    <sheetView zoomScale="70" zoomScaleNormal="70" workbookViewId="0">
      <selection activeCell="S104" sqref="S10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364.6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6.5</v>
      </c>
      <c r="G14" s="357">
        <v>6.5</v>
      </c>
      <c r="H14" s="357">
        <v>6.6</v>
      </c>
      <c r="I14" s="357">
        <v>6.7</v>
      </c>
      <c r="J14" s="357">
        <v>6.7</v>
      </c>
      <c r="K14" s="357">
        <v>6.8</v>
      </c>
      <c r="L14" s="357">
        <v>6.8</v>
      </c>
      <c r="M14" s="357">
        <v>6.6</v>
      </c>
      <c r="N14" s="357">
        <v>6.7</v>
      </c>
      <c r="O14" s="357">
        <v>6.8</v>
      </c>
      <c r="P14" s="357">
        <v>6.7</v>
      </c>
      <c r="Q14" s="357">
        <v>6.8</v>
      </c>
      <c r="R14" s="357">
        <v>6.8</v>
      </c>
      <c r="S14" s="462">
        <v>6.7</v>
      </c>
      <c r="T14" s="462">
        <v>6.7</v>
      </c>
      <c r="U14" s="462">
        <v>6.5</v>
      </c>
      <c r="V14" s="357">
        <v>6.2</v>
      </c>
      <c r="W14" s="357">
        <v>6.6</v>
      </c>
      <c r="X14" s="357">
        <v>6.7</v>
      </c>
      <c r="Y14" s="357">
        <v>6.7</v>
      </c>
      <c r="Z14" s="462">
        <v>6.7</v>
      </c>
      <c r="AA14" s="462">
        <v>6.5</v>
      </c>
      <c r="AB14" s="462">
        <v>6.5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24</v>
      </c>
      <c r="B15" s="15"/>
      <c r="C15" s="15">
        <v>7.2</v>
      </c>
      <c r="D15" s="15"/>
      <c r="E15" s="15"/>
      <c r="F15" s="462" t="s">
        <v>9</v>
      </c>
      <c r="G15" s="357" t="s">
        <v>9</v>
      </c>
      <c r="H15" s="357" t="s">
        <v>9</v>
      </c>
      <c r="I15" s="357" t="s">
        <v>9</v>
      </c>
      <c r="J15" s="357" t="s">
        <v>9</v>
      </c>
      <c r="K15" s="359" t="s">
        <v>9</v>
      </c>
      <c r="L15" s="359" t="s">
        <v>9</v>
      </c>
      <c r="M15" s="359" t="s">
        <v>9</v>
      </c>
      <c r="N15" s="357" t="s">
        <v>9</v>
      </c>
      <c r="O15" s="357" t="s">
        <v>9</v>
      </c>
      <c r="P15" s="357" t="s">
        <v>9</v>
      </c>
      <c r="Q15" s="357" t="s">
        <v>9</v>
      </c>
      <c r="R15" s="357" t="s">
        <v>9</v>
      </c>
      <c r="S15" s="462">
        <v>1.5</v>
      </c>
      <c r="T15" s="462">
        <v>6.7</v>
      </c>
      <c r="U15" s="462">
        <v>6.5</v>
      </c>
      <c r="V15" s="357">
        <v>6.2</v>
      </c>
      <c r="W15" s="357">
        <v>6.6</v>
      </c>
      <c r="X15" s="357">
        <v>6.7</v>
      </c>
      <c r="Y15" s="357">
        <v>6.7</v>
      </c>
      <c r="Z15" s="462">
        <v>6.7</v>
      </c>
      <c r="AA15" s="462">
        <v>6.5</v>
      </c>
      <c r="AB15" s="462">
        <v>6.5</v>
      </c>
      <c r="AC15" s="462">
        <v>6.5</v>
      </c>
      <c r="AD15" s="41"/>
      <c r="AE15" s="41"/>
      <c r="AF15" s="11">
        <f>COUNTIF(F15:AC15,$AJ$8)</f>
        <v>13</v>
      </c>
      <c r="AG15" s="11">
        <f>COUNTIF(G15:AD15,$AJ$7)</f>
        <v>0</v>
      </c>
      <c r="AH15" s="11">
        <f>COUNT(F15:AC15)</f>
        <v>11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6.5</v>
      </c>
      <c r="G16" s="357">
        <v>6.5</v>
      </c>
      <c r="H16" s="357">
        <v>6.6</v>
      </c>
      <c r="I16" s="357">
        <v>6.7</v>
      </c>
      <c r="J16" s="357">
        <v>6.7</v>
      </c>
      <c r="K16" s="359">
        <v>6.8</v>
      </c>
      <c r="L16" s="359">
        <v>6.8</v>
      </c>
      <c r="M16" s="357">
        <v>6.6</v>
      </c>
      <c r="N16" s="359">
        <v>6.7</v>
      </c>
      <c r="O16" s="357">
        <v>6.8</v>
      </c>
      <c r="P16" s="357">
        <v>6.7</v>
      </c>
      <c r="Q16" s="357">
        <v>6.8</v>
      </c>
      <c r="R16" s="357">
        <v>6.8</v>
      </c>
      <c r="S16" s="462">
        <v>5.0999999999999996</v>
      </c>
      <c r="T16" s="462" t="s">
        <v>9</v>
      </c>
      <c r="U16" s="462" t="s">
        <v>9</v>
      </c>
      <c r="V16" s="357" t="s">
        <v>9</v>
      </c>
      <c r="W16" s="357">
        <v>6.6</v>
      </c>
      <c r="X16" s="357">
        <v>6.6</v>
      </c>
      <c r="Y16" s="357">
        <v>6.7</v>
      </c>
      <c r="Z16" s="462">
        <v>6.7</v>
      </c>
      <c r="AA16" s="462">
        <v>6.5</v>
      </c>
      <c r="AB16" s="462">
        <v>6.5</v>
      </c>
      <c r="AC16" s="357">
        <v>6.5</v>
      </c>
      <c r="AD16" s="41"/>
      <c r="AE16" s="41"/>
      <c r="AF16" s="11">
        <f>COUNTIF(F16:AC16,$AJ$8)</f>
        <v>3</v>
      </c>
      <c r="AG16" s="11">
        <f>COUNTIF(G16:AD16,$AJ$7)</f>
        <v>0</v>
      </c>
      <c r="AH16" s="11">
        <f>COUNT(F16:AC16)</f>
        <v>21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</v>
      </c>
      <c r="H17" s="19">
        <f t="shared" si="1"/>
        <v>13.2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13.6</v>
      </c>
      <c r="M17" s="19">
        <f t="shared" si="1"/>
        <v>13.2</v>
      </c>
      <c r="N17" s="19">
        <f t="shared" si="1"/>
        <v>13.4</v>
      </c>
      <c r="O17" s="19">
        <f t="shared" si="1"/>
        <v>13.6</v>
      </c>
      <c r="P17" s="19">
        <f t="shared" si="1"/>
        <v>13.4</v>
      </c>
      <c r="Q17" s="19">
        <f t="shared" si="1"/>
        <v>13.6</v>
      </c>
      <c r="R17" s="19">
        <f t="shared" si="1"/>
        <v>13.6</v>
      </c>
      <c r="S17" s="463">
        <f t="shared" si="1"/>
        <v>13.299999999999999</v>
      </c>
      <c r="T17" s="463">
        <f t="shared" si="1"/>
        <v>13.4</v>
      </c>
      <c r="U17" s="19">
        <f t="shared" si="1"/>
        <v>13</v>
      </c>
      <c r="V17" s="19">
        <f t="shared" si="1"/>
        <v>12.4</v>
      </c>
      <c r="W17" s="19">
        <f t="shared" si="1"/>
        <v>19.799999999999997</v>
      </c>
      <c r="X17" s="19">
        <f t="shared" si="1"/>
        <v>20</v>
      </c>
      <c r="Y17" s="19">
        <f t="shared" si="1"/>
        <v>20.100000000000001</v>
      </c>
      <c r="Z17" s="463">
        <f t="shared" si="1"/>
        <v>20.100000000000001</v>
      </c>
      <c r="AA17" s="463">
        <f t="shared" si="1"/>
        <v>19.5</v>
      </c>
      <c r="AB17" s="463">
        <f>SUM(AB13:AB16)</f>
        <v>19.5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/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69.199999999999989</v>
      </c>
    </row>
    <row r="19" spans="1:51">
      <c r="A19" s="14" t="s">
        <v>22</v>
      </c>
      <c r="B19" s="15"/>
      <c r="C19" s="15">
        <v>3</v>
      </c>
      <c r="D19" s="15"/>
      <c r="E19" s="15"/>
      <c r="F19" s="357" t="s">
        <v>9</v>
      </c>
      <c r="G19" s="357" t="s">
        <v>9</v>
      </c>
      <c r="H19" s="357" t="s">
        <v>9</v>
      </c>
      <c r="I19" s="357" t="s">
        <v>9</v>
      </c>
      <c r="J19" s="357" t="s">
        <v>9</v>
      </c>
      <c r="K19" s="357" t="s">
        <v>9</v>
      </c>
      <c r="L19" s="359" t="s">
        <v>9</v>
      </c>
      <c r="M19" s="357" t="s">
        <v>9</v>
      </c>
      <c r="N19" s="357" t="s">
        <v>9</v>
      </c>
      <c r="O19" s="357" t="s">
        <v>9</v>
      </c>
      <c r="P19" s="357" t="s">
        <v>9</v>
      </c>
      <c r="Q19" s="357" t="s">
        <v>9</v>
      </c>
      <c r="R19" s="357" t="s">
        <v>9</v>
      </c>
      <c r="S19" s="462" t="s">
        <v>9</v>
      </c>
      <c r="T19" s="462" t="s">
        <v>9</v>
      </c>
      <c r="U19" s="357" t="s">
        <v>9</v>
      </c>
      <c r="V19" s="357">
        <v>2.5</v>
      </c>
      <c r="W19" s="357">
        <v>2.8</v>
      </c>
      <c r="X19" s="357">
        <v>2</v>
      </c>
      <c r="Y19" s="357">
        <v>2.8</v>
      </c>
      <c r="Z19" s="357">
        <v>2.6</v>
      </c>
      <c r="AA19" s="357">
        <v>2.1</v>
      </c>
      <c r="AB19" s="357">
        <v>2.1</v>
      </c>
      <c r="AC19" s="357"/>
      <c r="AD19" s="41"/>
      <c r="AE19" s="41"/>
      <c r="AF19" s="11">
        <f>COUNTIF(F19:AC19,$AJ$8)</f>
        <v>16</v>
      </c>
      <c r="AG19" s="11">
        <f>COUNTIF(G19:AD19,$AJ$7)</f>
        <v>0</v>
      </c>
      <c r="AH19" s="11">
        <f>COUNT(F19:AC19)</f>
        <v>7</v>
      </c>
    </row>
    <row r="20" spans="1:51">
      <c r="A20" s="14" t="s">
        <v>23</v>
      </c>
      <c r="B20" s="15"/>
      <c r="C20" s="15">
        <v>4.5</v>
      </c>
      <c r="D20" s="15"/>
      <c r="E20" s="15"/>
      <c r="F20" s="357">
        <v>3</v>
      </c>
      <c r="G20" s="357"/>
      <c r="H20" s="357"/>
      <c r="I20" s="357"/>
      <c r="J20" s="357"/>
      <c r="K20" s="357"/>
      <c r="L20" s="359"/>
      <c r="M20" s="357"/>
      <c r="N20" s="357">
        <v>3.5</v>
      </c>
      <c r="O20" s="357">
        <v>3.5</v>
      </c>
      <c r="P20" s="357">
        <v>3.5</v>
      </c>
      <c r="Q20" s="357">
        <v>3.3</v>
      </c>
      <c r="R20" s="357">
        <v>3.5</v>
      </c>
      <c r="S20" s="462">
        <v>3.5</v>
      </c>
      <c r="T20" s="462">
        <v>3.5</v>
      </c>
      <c r="U20" s="357">
        <v>3.5</v>
      </c>
      <c r="V20" s="357">
        <v>2.5</v>
      </c>
      <c r="W20" s="357">
        <v>3.5</v>
      </c>
      <c r="X20" s="357">
        <v>3</v>
      </c>
      <c r="Y20" s="357">
        <v>3.3</v>
      </c>
      <c r="Z20" s="357">
        <v>3.2</v>
      </c>
      <c r="AA20" s="357">
        <v>3</v>
      </c>
      <c r="AB20" s="357">
        <v>3</v>
      </c>
      <c r="AC20" s="357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16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7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3.5</v>
      </c>
      <c r="O22" s="19">
        <f t="shared" si="3"/>
        <v>3.5</v>
      </c>
      <c r="P22" s="19">
        <f t="shared" si="3"/>
        <v>3.5</v>
      </c>
      <c r="Q22" s="19">
        <f t="shared" si="3"/>
        <v>3.3</v>
      </c>
      <c r="R22" s="19">
        <f t="shared" si="3"/>
        <v>3.5</v>
      </c>
      <c r="S22" s="463">
        <f>SUM(S19:S21)</f>
        <v>3.5</v>
      </c>
      <c r="T22" s="463">
        <f t="shared" ref="T22" si="4">SUM(T19:T21)</f>
        <v>3.5</v>
      </c>
      <c r="U22" s="19">
        <f t="shared" si="3"/>
        <v>3.5</v>
      </c>
      <c r="V22" s="19">
        <f t="shared" si="3"/>
        <v>5</v>
      </c>
      <c r="W22" s="19">
        <f t="shared" si="3"/>
        <v>6.3</v>
      </c>
      <c r="X22" s="19">
        <f t="shared" si="3"/>
        <v>5</v>
      </c>
      <c r="Y22" s="19">
        <f t="shared" si="3"/>
        <v>6.1</v>
      </c>
      <c r="Z22" s="463">
        <f>SUM(Z19:Z21)</f>
        <v>5.8000000000000007</v>
      </c>
      <c r="AA22" s="463">
        <f t="shared" si="3"/>
        <v>5.0999999999999996</v>
      </c>
      <c r="AB22" s="463">
        <f>SUM(AB19:AB21)</f>
        <v>5.0999999999999996</v>
      </c>
      <c r="AC22" s="19">
        <f t="shared" si="3"/>
        <v>0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50.29999999999999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>
        <v>2.5</v>
      </c>
      <c r="O24" s="357">
        <v>3.8</v>
      </c>
      <c r="P24" s="357">
        <v>3.8</v>
      </c>
      <c r="Q24" s="357">
        <v>3.8</v>
      </c>
      <c r="R24" s="357">
        <v>3.8</v>
      </c>
      <c r="S24" s="462">
        <v>3.8</v>
      </c>
      <c r="T24" s="462">
        <v>3.8</v>
      </c>
      <c r="U24" s="357">
        <v>3.8</v>
      </c>
      <c r="V24" s="357">
        <v>3.8</v>
      </c>
      <c r="W24" s="357">
        <v>3.8</v>
      </c>
      <c r="X24" s="357">
        <v>3</v>
      </c>
      <c r="Y24" s="357">
        <v>3.8</v>
      </c>
      <c r="Z24" s="357">
        <v>3.8</v>
      </c>
      <c r="AA24" s="357">
        <v>3</v>
      </c>
      <c r="AB24" s="357">
        <v>0</v>
      </c>
      <c r="AC24" s="357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2.5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463">
        <f t="shared" si="6"/>
        <v>3.8</v>
      </c>
      <c r="T25" s="463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463">
        <f t="shared" si="6"/>
        <v>3.8</v>
      </c>
      <c r="AA25" s="463">
        <f t="shared" si="6"/>
        <v>3</v>
      </c>
      <c r="AB25" s="463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95.699999999999989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>
        <v>3.9</v>
      </c>
      <c r="M27" s="357">
        <v>3.3</v>
      </c>
      <c r="N27" s="357">
        <v>3.8</v>
      </c>
      <c r="O27" s="357">
        <v>3.8</v>
      </c>
      <c r="P27" s="357">
        <v>3.2</v>
      </c>
      <c r="Q27" s="357">
        <v>3.8</v>
      </c>
      <c r="R27" s="357">
        <v>3.8</v>
      </c>
      <c r="S27" s="462">
        <v>3.8</v>
      </c>
      <c r="T27" s="462">
        <v>3.8</v>
      </c>
      <c r="U27" s="357">
        <v>3.8</v>
      </c>
      <c r="V27" s="357">
        <v>3.5</v>
      </c>
      <c r="W27" s="357">
        <v>0.5</v>
      </c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12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2.8</v>
      </c>
      <c r="G28" s="357">
        <v>3.5</v>
      </c>
      <c r="H28" s="357">
        <v>1.5</v>
      </c>
      <c r="I28" s="357">
        <v>1.5</v>
      </c>
      <c r="J28" s="357"/>
      <c r="K28" s="357"/>
      <c r="L28" s="359"/>
      <c r="M28" s="357"/>
      <c r="N28" s="357"/>
      <c r="O28" s="357"/>
      <c r="P28" s="357">
        <v>3.2</v>
      </c>
      <c r="Q28" s="357">
        <v>3.8</v>
      </c>
      <c r="R28" s="357">
        <v>2.5</v>
      </c>
      <c r="S28" s="462">
        <v>3.5</v>
      </c>
      <c r="T28" s="462">
        <v>3.8</v>
      </c>
      <c r="U28" s="357">
        <v>3.8</v>
      </c>
      <c r="V28" s="357">
        <v>3.5</v>
      </c>
      <c r="W28" s="357">
        <v>3.8</v>
      </c>
      <c r="X28" s="357">
        <v>1.5</v>
      </c>
      <c r="Y28" s="357">
        <v>4</v>
      </c>
      <c r="Z28" s="357">
        <v>4</v>
      </c>
      <c r="AA28" s="357">
        <v>2.5</v>
      </c>
      <c r="AB28" s="357">
        <v>2</v>
      </c>
      <c r="AC28" s="357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18</v>
      </c>
      <c r="AI28" s="159">
        <f>SUM(F29:AC30)</f>
        <v>236.41000000000003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>
        <v>6.5</v>
      </c>
      <c r="P29" s="357">
        <v>6.5</v>
      </c>
      <c r="Q29" s="357">
        <v>7.2</v>
      </c>
      <c r="R29" s="357">
        <v>7.4</v>
      </c>
      <c r="S29" s="462">
        <v>7.6</v>
      </c>
      <c r="T29" s="462">
        <v>7.6</v>
      </c>
      <c r="U29" s="357">
        <v>7.7</v>
      </c>
      <c r="V29" s="357">
        <v>6.7</v>
      </c>
      <c r="W29" s="357">
        <v>2.8</v>
      </c>
      <c r="X29" s="357">
        <v>2</v>
      </c>
      <c r="Y29" s="357">
        <v>5.3</v>
      </c>
      <c r="Z29" s="357">
        <v>3.5</v>
      </c>
      <c r="AA29" s="357">
        <v>2</v>
      </c>
      <c r="AB29" s="357">
        <v>0</v>
      </c>
      <c r="AC29" s="357">
        <v>0</v>
      </c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7</v>
      </c>
      <c r="G30" s="357">
        <v>7</v>
      </c>
      <c r="H30" s="357">
        <v>7</v>
      </c>
      <c r="I30" s="357">
        <v>5.81</v>
      </c>
      <c r="J30" s="357">
        <v>7</v>
      </c>
      <c r="K30" s="357">
        <v>7.5</v>
      </c>
      <c r="L30" s="359">
        <v>7</v>
      </c>
      <c r="M30" s="357">
        <v>7</v>
      </c>
      <c r="N30" s="357">
        <v>7</v>
      </c>
      <c r="O30" s="357">
        <v>7</v>
      </c>
      <c r="P30" s="357">
        <v>7</v>
      </c>
      <c r="Q30" s="357">
        <v>7</v>
      </c>
      <c r="R30" s="357">
        <v>7</v>
      </c>
      <c r="S30" s="462">
        <v>7</v>
      </c>
      <c r="T30" s="462">
        <v>7</v>
      </c>
      <c r="U30" s="357">
        <v>7</v>
      </c>
      <c r="V30" s="357">
        <v>6.8</v>
      </c>
      <c r="W30" s="357">
        <v>3.5</v>
      </c>
      <c r="X30" s="357">
        <v>7</v>
      </c>
      <c r="Y30" s="357">
        <v>7</v>
      </c>
      <c r="Z30" s="357">
        <v>7</v>
      </c>
      <c r="AA30" s="357">
        <v>7</v>
      </c>
      <c r="AB30" s="357">
        <v>7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SUM(F27:F30)</f>
        <v>9.8000000000000007</v>
      </c>
      <c r="G31" s="19">
        <f>SUM(G27:G30)</f>
        <v>10.5</v>
      </c>
      <c r="H31" s="19">
        <f>SUM(H27:H30)</f>
        <v>8.5</v>
      </c>
      <c r="I31" s="19">
        <f t="shared" ref="I31:X31" si="8">SUM(I27:I30)</f>
        <v>7.31</v>
      </c>
      <c r="J31" s="19">
        <f t="shared" si="8"/>
        <v>7</v>
      </c>
      <c r="K31" s="19">
        <f t="shared" si="8"/>
        <v>7.5</v>
      </c>
      <c r="L31" s="19">
        <f t="shared" si="8"/>
        <v>10.9</v>
      </c>
      <c r="M31" s="19">
        <f t="shared" si="8"/>
        <v>10.3</v>
      </c>
      <c r="N31" s="19">
        <f t="shared" si="8"/>
        <v>10.8</v>
      </c>
      <c r="O31" s="19">
        <f t="shared" si="8"/>
        <v>17.3</v>
      </c>
      <c r="P31" s="19">
        <f t="shared" si="8"/>
        <v>19.899999999999999</v>
      </c>
      <c r="Q31" s="19">
        <f t="shared" si="8"/>
        <v>21.8</v>
      </c>
      <c r="R31" s="19">
        <f t="shared" si="8"/>
        <v>20.7</v>
      </c>
      <c r="S31" s="463">
        <f t="shared" si="8"/>
        <v>21.9</v>
      </c>
      <c r="T31" s="463">
        <f t="shared" si="8"/>
        <v>22.2</v>
      </c>
      <c r="U31" s="19">
        <f t="shared" si="8"/>
        <v>22.3</v>
      </c>
      <c r="V31" s="19">
        <f t="shared" si="8"/>
        <v>20.5</v>
      </c>
      <c r="W31" s="19">
        <f t="shared" si="8"/>
        <v>10.6</v>
      </c>
      <c r="X31" s="19">
        <f t="shared" si="8"/>
        <v>10.5</v>
      </c>
      <c r="Y31" s="19">
        <f>SUM(Y27:Y30)</f>
        <v>16.3</v>
      </c>
      <c r="Z31" s="19">
        <f t="shared" ref="Z31:AC31" si="9">SUM(Z27:Z30)</f>
        <v>14.5</v>
      </c>
      <c r="AA31" s="19">
        <f t="shared" si="9"/>
        <v>11.5</v>
      </c>
      <c r="AB31" s="19">
        <f t="shared" si="9"/>
        <v>9</v>
      </c>
      <c r="AC31" s="19">
        <f t="shared" si="9"/>
        <v>10.5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342.49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14.27</v>
      </c>
      <c r="G33" s="357">
        <v>14.28</v>
      </c>
      <c r="H33" s="357">
        <v>14.26</v>
      </c>
      <c r="I33" s="357">
        <v>14.28</v>
      </c>
      <c r="J33" s="357">
        <v>14.27</v>
      </c>
      <c r="K33" s="357">
        <v>14.28</v>
      </c>
      <c r="L33" s="359">
        <v>14.28</v>
      </c>
      <c r="M33" s="357">
        <v>14.28</v>
      </c>
      <c r="N33" s="357">
        <v>14.29</v>
      </c>
      <c r="O33" s="357">
        <v>14.26</v>
      </c>
      <c r="P33" s="357">
        <v>14.29</v>
      </c>
      <c r="Q33" s="357">
        <v>14.27</v>
      </c>
      <c r="R33" s="357">
        <v>14.25</v>
      </c>
      <c r="S33" s="462">
        <v>14.29</v>
      </c>
      <c r="T33" s="462">
        <v>14.25</v>
      </c>
      <c r="U33" s="357">
        <v>14.24</v>
      </c>
      <c r="V33" s="357">
        <v>14.27</v>
      </c>
      <c r="W33" s="357">
        <v>14.29</v>
      </c>
      <c r="X33" s="357">
        <v>14.26</v>
      </c>
      <c r="Y33" s="357">
        <v>14.29</v>
      </c>
      <c r="Z33" s="357">
        <v>14.25</v>
      </c>
      <c r="AA33" s="357">
        <v>14.26</v>
      </c>
      <c r="AB33" s="357">
        <v>14.27</v>
      </c>
      <c r="AC33" s="357">
        <v>14.26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10">SUM(F33)</f>
        <v>14.27</v>
      </c>
      <c r="G34" s="19">
        <f t="shared" ref="G34:AC34" si="11">SUM(G33)</f>
        <v>14.28</v>
      </c>
      <c r="H34" s="19">
        <f t="shared" si="11"/>
        <v>14.26</v>
      </c>
      <c r="I34" s="19">
        <f t="shared" si="11"/>
        <v>14.28</v>
      </c>
      <c r="J34" s="19">
        <f t="shared" si="11"/>
        <v>14.27</v>
      </c>
      <c r="K34" s="19">
        <f t="shared" si="11"/>
        <v>14.28</v>
      </c>
      <c r="L34" s="19">
        <f t="shared" si="11"/>
        <v>14.28</v>
      </c>
      <c r="M34" s="19">
        <f t="shared" si="11"/>
        <v>14.28</v>
      </c>
      <c r="N34" s="19">
        <f t="shared" si="11"/>
        <v>14.29</v>
      </c>
      <c r="O34" s="19">
        <f t="shared" si="11"/>
        <v>14.26</v>
      </c>
      <c r="P34" s="19">
        <f t="shared" si="11"/>
        <v>14.29</v>
      </c>
      <c r="Q34" s="19">
        <f t="shared" si="11"/>
        <v>14.27</v>
      </c>
      <c r="R34" s="19">
        <f t="shared" si="11"/>
        <v>14.25</v>
      </c>
      <c r="S34" s="19">
        <f t="shared" si="11"/>
        <v>14.29</v>
      </c>
      <c r="T34" s="463">
        <f t="shared" si="11"/>
        <v>14.25</v>
      </c>
      <c r="U34" s="19">
        <f t="shared" si="11"/>
        <v>14.24</v>
      </c>
      <c r="V34" s="19">
        <f t="shared" si="11"/>
        <v>14.27</v>
      </c>
      <c r="W34" s="19">
        <f t="shared" si="11"/>
        <v>14.29</v>
      </c>
      <c r="X34" s="19">
        <f t="shared" si="11"/>
        <v>14.26</v>
      </c>
      <c r="Y34" s="19">
        <f t="shared" si="11"/>
        <v>14.29</v>
      </c>
      <c r="Z34" s="19">
        <f t="shared" si="11"/>
        <v>14.25</v>
      </c>
      <c r="AA34" s="19">
        <f t="shared" si="11"/>
        <v>14.26</v>
      </c>
      <c r="AB34" s="19">
        <f t="shared" si="11"/>
        <v>14.27</v>
      </c>
      <c r="AC34" s="19">
        <f t="shared" si="11"/>
        <v>14.26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1.5214285714285714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12">COUNTIF(F36:AC36,$AJ$8)</f>
        <v>0</v>
      </c>
      <c r="AG36" s="11">
        <f t="shared" ref="AG36:AG59" si="13">COUNTIF(G36:AD36,$AJ$7)</f>
        <v>0</v>
      </c>
      <c r="AH36" s="11">
        <f t="shared" ref="AH36:AH59" si="14">COUNT(F36:AC36)</f>
        <v>0</v>
      </c>
      <c r="AI36" s="159">
        <f>SUM(F36:AC38,F40:AC40,F45:AC59)</f>
        <v>40.628571428571441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12"/>
        <v>0</v>
      </c>
      <c r="AG37" s="11">
        <f t="shared" si="13"/>
        <v>0</v>
      </c>
      <c r="AH37" s="11">
        <f t="shared" si="14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12"/>
        <v>0</v>
      </c>
      <c r="AG38" s="11">
        <f t="shared" si="13"/>
        <v>0</v>
      </c>
      <c r="AH38" s="11">
        <f t="shared" si="14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>
        <f>4.4/6</f>
        <v>0.73333333333333339</v>
      </c>
      <c r="Q40" s="357">
        <f>4.4/6</f>
        <v>0.73333333333333339</v>
      </c>
      <c r="R40" s="357">
        <f>5.25/7</f>
        <v>0.75</v>
      </c>
      <c r="S40" s="462">
        <f>5.4/7</f>
        <v>0.77142857142857146</v>
      </c>
      <c r="T40" s="462">
        <f>5.25/7</f>
        <v>0.75</v>
      </c>
      <c r="U40" s="357">
        <f>5.25/7</f>
        <v>0.75</v>
      </c>
      <c r="V40" s="357">
        <f>5.25/7</f>
        <v>0.75</v>
      </c>
      <c r="W40" s="357">
        <f>5.25/7</f>
        <v>0.75</v>
      </c>
      <c r="X40" s="357"/>
      <c r="Y40" s="357"/>
      <c r="Z40" s="357"/>
      <c r="AA40" s="357"/>
      <c r="AB40" s="357"/>
      <c r="AC40" s="357"/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8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12"/>
        <v>0</v>
      </c>
      <c r="AG41" s="11">
        <f t="shared" si="13"/>
        <v>0</v>
      </c>
      <c r="AH41" s="11">
        <f t="shared" si="14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/>
      <c r="G42" s="357"/>
      <c r="H42" s="357"/>
      <c r="I42" s="357"/>
      <c r="J42" s="357"/>
      <c r="K42" s="357"/>
      <c r="L42" s="359"/>
      <c r="M42" s="357"/>
      <c r="N42" s="357"/>
      <c r="O42" s="357"/>
      <c r="P42" s="357"/>
      <c r="Q42" s="357"/>
      <c r="R42" s="357">
        <f>5.25/7</f>
        <v>0.75</v>
      </c>
      <c r="S42" s="462">
        <f>5.4/7</f>
        <v>0.77142857142857146</v>
      </c>
      <c r="T42" s="462" t="s">
        <v>9</v>
      </c>
      <c r="U42" s="357" t="s">
        <v>9</v>
      </c>
      <c r="V42" s="357" t="s">
        <v>9</v>
      </c>
      <c r="W42" s="357" t="s">
        <v>9</v>
      </c>
      <c r="X42" s="357" t="s">
        <v>9</v>
      </c>
      <c r="Y42" s="357" t="s">
        <v>9</v>
      </c>
      <c r="Z42" s="357" t="s">
        <v>9</v>
      </c>
      <c r="AA42" s="357" t="s">
        <v>9</v>
      </c>
      <c r="AB42" s="357" t="s">
        <v>9</v>
      </c>
      <c r="AC42" s="357" t="s">
        <v>9</v>
      </c>
      <c r="AD42" s="41"/>
      <c r="AE42" s="41"/>
      <c r="AF42" s="11">
        <f t="shared" si="12"/>
        <v>10</v>
      </c>
      <c r="AG42" s="11">
        <f t="shared" si="13"/>
        <v>0</v>
      </c>
      <c r="AH42" s="11">
        <f t="shared" si="14"/>
        <v>2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12"/>
        <v>0</v>
      </c>
      <c r="AG43" s="11">
        <f t="shared" si="13"/>
        <v>0</v>
      </c>
      <c r="AH43" s="11">
        <f t="shared" si="14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12"/>
        <v>0</v>
      </c>
      <c r="AG45" s="11">
        <f t="shared" si="13"/>
        <v>0</v>
      </c>
      <c r="AH45" s="11">
        <f t="shared" si="14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/>
      <c r="M47" s="357"/>
      <c r="N47" s="357"/>
      <c r="O47" s="357"/>
      <c r="P47" s="357">
        <f>4.4/6</f>
        <v>0.73333333333333339</v>
      </c>
      <c r="Q47" s="357">
        <f>4.4/6</f>
        <v>0.73333333333333339</v>
      </c>
      <c r="R47" s="357">
        <f>5.25/7</f>
        <v>0.75</v>
      </c>
      <c r="S47" s="462">
        <f>5.4/7</f>
        <v>0.77142857142857146</v>
      </c>
      <c r="T47" s="462">
        <f>5.25/7</f>
        <v>0.75</v>
      </c>
      <c r="U47" s="357">
        <f>5.25/7</f>
        <v>0.75</v>
      </c>
      <c r="V47" s="357">
        <f>5.25/7</f>
        <v>0.75</v>
      </c>
      <c r="W47" s="357">
        <f>5.25/7</f>
        <v>0.75</v>
      </c>
      <c r="X47" s="357"/>
      <c r="Y47" s="357"/>
      <c r="Z47" s="357"/>
      <c r="AA47" s="357">
        <v>0</v>
      </c>
      <c r="AB47" s="357">
        <v>0</v>
      </c>
      <c r="AC47" s="357">
        <v>0</v>
      </c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11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</v>
      </c>
      <c r="M48" s="357"/>
      <c r="N48" s="357"/>
      <c r="O48" s="357">
        <v>0.7</v>
      </c>
      <c r="P48" s="357">
        <f>4.4/6</f>
        <v>0.73333333333333339</v>
      </c>
      <c r="Q48" s="357">
        <f>4.4/6</f>
        <v>0.73333333333333339</v>
      </c>
      <c r="R48" s="357">
        <f>5.25/7</f>
        <v>0.75</v>
      </c>
      <c r="S48" s="462">
        <f>5.4/7</f>
        <v>0.77142857142857146</v>
      </c>
      <c r="T48" s="462">
        <f>5.25/7</f>
        <v>0.75</v>
      </c>
      <c r="U48" s="357">
        <v>0.7</v>
      </c>
      <c r="V48" s="357">
        <v>0.75</v>
      </c>
      <c r="W48" s="357">
        <v>0.7</v>
      </c>
      <c r="X48" s="357"/>
      <c r="Y48" s="357"/>
      <c r="Z48" s="357"/>
      <c r="AA48" s="357"/>
      <c r="AB48" s="357"/>
      <c r="AC48" s="357"/>
      <c r="AD48" s="41"/>
      <c r="AE48" s="41"/>
      <c r="AF48" s="11">
        <f t="shared" si="12"/>
        <v>0</v>
      </c>
      <c r="AG48" s="11">
        <f t="shared" si="13"/>
        <v>0</v>
      </c>
      <c r="AH48" s="11">
        <f t="shared" si="14"/>
        <v>10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12"/>
        <v>0</v>
      </c>
      <c r="AG49" s="11">
        <f t="shared" si="13"/>
        <v>0</v>
      </c>
      <c r="AH49" s="11">
        <f t="shared" si="14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7"/>
      <c r="N50" s="357"/>
      <c r="O50" s="357">
        <v>0.7</v>
      </c>
      <c r="P50" s="357">
        <f>4.4/6</f>
        <v>0.73333333333333339</v>
      </c>
      <c r="Q50" s="357">
        <f>4.4/6</f>
        <v>0.73333333333333339</v>
      </c>
      <c r="R50" s="357">
        <f>5.25/7</f>
        <v>0.75</v>
      </c>
      <c r="S50" s="462">
        <f>5.4/7</f>
        <v>0.77142857142857146</v>
      </c>
      <c r="T50" s="462">
        <f>5.25/7</f>
        <v>0.75</v>
      </c>
      <c r="U50" s="357">
        <v>0.7</v>
      </c>
      <c r="V50" s="357">
        <v>0.75</v>
      </c>
      <c r="W50" s="357">
        <v>0.7</v>
      </c>
      <c r="X50" s="357"/>
      <c r="Y50" s="357"/>
      <c r="Z50" s="357"/>
      <c r="AA50" s="357"/>
      <c r="AB50" s="357"/>
      <c r="AC50" s="357"/>
      <c r="AD50" s="41"/>
      <c r="AE50" s="41"/>
      <c r="AF50" s="11">
        <f t="shared" si="12"/>
        <v>0</v>
      </c>
      <c r="AG50" s="11">
        <f t="shared" si="13"/>
        <v>0</v>
      </c>
      <c r="AH50" s="11">
        <f t="shared" si="14"/>
        <v>10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/>
      <c r="M51" s="357"/>
      <c r="N51" s="357"/>
      <c r="O51" s="357"/>
      <c r="P51" s="357">
        <f>4.4/6</f>
        <v>0.73333333333333339</v>
      </c>
      <c r="Q51" s="357">
        <f>4.4/6</f>
        <v>0.73333333333333339</v>
      </c>
      <c r="R51" s="357">
        <f>5.25/7</f>
        <v>0.75</v>
      </c>
      <c r="S51" s="462">
        <f>5.4/7</f>
        <v>0.77142857142857146</v>
      </c>
      <c r="T51" s="462">
        <v>0.7</v>
      </c>
      <c r="U51" s="357">
        <v>0.7</v>
      </c>
      <c r="V51" s="357">
        <v>0.7</v>
      </c>
      <c r="W51" s="357">
        <v>0.7</v>
      </c>
      <c r="X51" s="357"/>
      <c r="Y51" s="357"/>
      <c r="Z51" s="357"/>
      <c r="AA51" s="357"/>
      <c r="AB51" s="357"/>
      <c r="AC51" s="357"/>
      <c r="AD51" s="41"/>
      <c r="AE51" s="41"/>
      <c r="AF51" s="11">
        <f t="shared" si="12"/>
        <v>0</v>
      </c>
      <c r="AG51" s="11">
        <f t="shared" si="13"/>
        <v>0</v>
      </c>
      <c r="AH51" s="11">
        <f t="shared" si="14"/>
        <v>8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>
        <v>0.8</v>
      </c>
      <c r="L56" s="359">
        <v>0.8</v>
      </c>
      <c r="M56" s="357"/>
      <c r="N56" s="357"/>
      <c r="O56" s="357">
        <v>0.8</v>
      </c>
      <c r="P56" s="357">
        <f>4.4/6</f>
        <v>0.73333333333333339</v>
      </c>
      <c r="Q56" s="357">
        <f>4.4/6</f>
        <v>0.73333333333333339</v>
      </c>
      <c r="R56" s="357">
        <f>5.25/7</f>
        <v>0.75</v>
      </c>
      <c r="S56" s="462">
        <f>5.4/7</f>
        <v>0.77142857142857146</v>
      </c>
      <c r="T56" s="462">
        <v>0.7</v>
      </c>
      <c r="U56" s="357">
        <v>0.7</v>
      </c>
      <c r="V56" s="357">
        <v>0.7</v>
      </c>
      <c r="W56" s="357">
        <v>0.7</v>
      </c>
      <c r="X56" s="357"/>
      <c r="Y56" s="357"/>
      <c r="Z56" s="357"/>
      <c r="AA56" s="357"/>
      <c r="AB56" s="357"/>
      <c r="AC56" s="357"/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11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12"/>
        <v>0</v>
      </c>
      <c r="AG59" s="11">
        <f t="shared" si="13"/>
        <v>0</v>
      </c>
      <c r="AH59" s="11">
        <f t="shared" si="14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0.8</v>
      </c>
      <c r="L60" s="19">
        <f t="shared" si="16"/>
        <v>2.2999999999999998</v>
      </c>
      <c r="M60" s="19">
        <f t="shared" si="16"/>
        <v>0</v>
      </c>
      <c r="N60" s="19">
        <f>SUM(N36:N59)</f>
        <v>0</v>
      </c>
      <c r="O60" s="19">
        <f t="shared" si="16"/>
        <v>2.2000000000000002</v>
      </c>
      <c r="P60" s="19">
        <f t="shared" si="16"/>
        <v>4.4000000000000004</v>
      </c>
      <c r="Q60" s="19">
        <f t="shared" si="16"/>
        <v>4.4000000000000004</v>
      </c>
      <c r="R60" s="19">
        <f t="shared" si="16"/>
        <v>5.25</v>
      </c>
      <c r="S60" s="19">
        <f t="shared" si="16"/>
        <v>5.4</v>
      </c>
      <c r="T60" s="19">
        <f t="shared" si="16"/>
        <v>4.4000000000000004</v>
      </c>
      <c r="U60" s="19">
        <f t="shared" si="16"/>
        <v>4.3000000000000007</v>
      </c>
      <c r="V60" s="19">
        <f t="shared" si="16"/>
        <v>4.4000000000000004</v>
      </c>
      <c r="W60" s="19">
        <f t="shared" si="16"/>
        <v>4.3000000000000007</v>
      </c>
      <c r="X60" s="19">
        <f t="shared" si="16"/>
        <v>0</v>
      </c>
      <c r="Y60" s="19">
        <f>SUM(Y36:Y59)</f>
        <v>0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32.76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/>
      <c r="H62" s="357"/>
      <c r="I62" s="357">
        <v>0.51</v>
      </c>
      <c r="J62" s="357">
        <v>0.48499999999999999</v>
      </c>
      <c r="K62" s="357">
        <v>0.52500000000000002</v>
      </c>
      <c r="L62" s="359">
        <f>1.33/2</f>
        <v>0.66500000000000004</v>
      </c>
      <c r="M62" s="357">
        <f>1.22/2</f>
        <v>0.61</v>
      </c>
      <c r="N62" s="357">
        <f>1.24/2</f>
        <v>0.62</v>
      </c>
      <c r="O62" s="357">
        <f>1.42/2</f>
        <v>0.71</v>
      </c>
      <c r="P62" s="357">
        <f>1.5/2</f>
        <v>0.75</v>
      </c>
      <c r="Q62" s="357">
        <f>1.5/3</f>
        <v>0.5</v>
      </c>
      <c r="R62" s="357">
        <f>1.61/3</f>
        <v>0.53666666666666674</v>
      </c>
      <c r="S62" s="462">
        <f>1.59/3</f>
        <v>0.53</v>
      </c>
      <c r="T62" s="462">
        <f>1.63/3</f>
        <v>0.54333333333333333</v>
      </c>
      <c r="U62" s="357">
        <f>1.6/3</f>
        <v>0.53333333333333333</v>
      </c>
      <c r="V62" s="357">
        <f>1.59/3</f>
        <v>0.53</v>
      </c>
      <c r="W62" s="357">
        <v>0.74</v>
      </c>
      <c r="X62" s="357">
        <f>1.39/2</f>
        <v>0.69499999999999995</v>
      </c>
      <c r="Y62" s="357">
        <f>1.58/2</f>
        <v>0.79</v>
      </c>
      <c r="Z62" s="357">
        <f>1.64/3</f>
        <v>0.54666666666666663</v>
      </c>
      <c r="AA62" s="357">
        <f>1.55/3</f>
        <v>0.51666666666666672</v>
      </c>
      <c r="AB62" s="357">
        <v>0</v>
      </c>
      <c r="AC62" s="357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0.57999999999999996</v>
      </c>
      <c r="G63" s="357">
        <v>0.52500000000000002</v>
      </c>
      <c r="H63" s="357">
        <v>0.52</v>
      </c>
      <c r="I63" s="357"/>
      <c r="J63" s="357"/>
      <c r="K63" s="357"/>
      <c r="L63" s="359"/>
      <c r="M63" s="357"/>
      <c r="N63" s="357"/>
      <c r="O63" s="357">
        <v>0.71</v>
      </c>
      <c r="P63" s="357">
        <f>1.5/2</f>
        <v>0.75</v>
      </c>
      <c r="Q63" s="357">
        <f t="shared" ref="Q63:Q64" si="17">1.5/3</f>
        <v>0.5</v>
      </c>
      <c r="R63" s="357">
        <f t="shared" ref="R63:R64" si="18">1.61/3</f>
        <v>0.53666666666666674</v>
      </c>
      <c r="S63" s="462">
        <f t="shared" ref="S63:S64" si="19">1.59/3</f>
        <v>0.53</v>
      </c>
      <c r="T63" s="462">
        <f>1.63/3</f>
        <v>0.54333333333333333</v>
      </c>
      <c r="U63" s="357">
        <f>1.6/3</f>
        <v>0.53333333333333333</v>
      </c>
      <c r="V63" s="357">
        <f>1.59/3</f>
        <v>0.53</v>
      </c>
      <c r="W63" s="357">
        <v>0.74</v>
      </c>
      <c r="X63" s="357">
        <f>1.39/2</f>
        <v>0.69499999999999995</v>
      </c>
      <c r="Y63" s="357">
        <f>1.58/2</f>
        <v>0.79</v>
      </c>
      <c r="Z63" s="357">
        <f t="shared" ref="Z63:Z64" si="20">1.64/3</f>
        <v>0.54666666666666663</v>
      </c>
      <c r="AA63" s="357">
        <f t="shared" ref="AA63:AA64" si="21">1.55/3</f>
        <v>0.51666666666666672</v>
      </c>
      <c r="AB63" s="357">
        <v>0.68</v>
      </c>
      <c r="AC63" s="357">
        <v>0.62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0.57999999999999996</v>
      </c>
      <c r="G64" s="357">
        <v>0.52500000000000002</v>
      </c>
      <c r="H64" s="357">
        <v>0.52</v>
      </c>
      <c r="I64" s="357">
        <v>0.51</v>
      </c>
      <c r="J64" s="357">
        <v>0.48499999999999999</v>
      </c>
      <c r="K64" s="357">
        <v>0.52500000000000002</v>
      </c>
      <c r="L64" s="359">
        <f>1.33/2</f>
        <v>0.66500000000000004</v>
      </c>
      <c r="M64" s="357">
        <f>1.22/2</f>
        <v>0.61</v>
      </c>
      <c r="N64" s="357">
        <f>1.24/2</f>
        <v>0.62</v>
      </c>
      <c r="O64" s="357">
        <v>0</v>
      </c>
      <c r="P64" s="357"/>
      <c r="Q64" s="357">
        <f t="shared" si="17"/>
        <v>0.5</v>
      </c>
      <c r="R64" s="357">
        <f t="shared" si="18"/>
        <v>0.53666666666666674</v>
      </c>
      <c r="S64" s="462">
        <f t="shared" si="19"/>
        <v>0.53</v>
      </c>
      <c r="T64" s="462">
        <f>1.63/3</f>
        <v>0.54333333333333333</v>
      </c>
      <c r="U64" s="357">
        <f>1.6/3</f>
        <v>0.53333333333333333</v>
      </c>
      <c r="V64" s="357">
        <f>1.59/3</f>
        <v>0.53</v>
      </c>
      <c r="W64" s="357"/>
      <c r="X64" s="357"/>
      <c r="Y64" s="357"/>
      <c r="Z64" s="357">
        <f t="shared" si="20"/>
        <v>0.54666666666666663</v>
      </c>
      <c r="AA64" s="357">
        <f t="shared" si="21"/>
        <v>0.51666666666666672</v>
      </c>
      <c r="AB64" s="357">
        <v>0.68</v>
      </c>
      <c r="AC64" s="357">
        <v>0.62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20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1.1599999999999999</v>
      </c>
      <c r="G65" s="19">
        <f t="shared" ref="G65:AB65" si="22">SUM(G62:G64)</f>
        <v>1.05</v>
      </c>
      <c r="H65" s="19">
        <f t="shared" si="22"/>
        <v>1.04</v>
      </c>
      <c r="I65" s="19">
        <f t="shared" si="22"/>
        <v>1.02</v>
      </c>
      <c r="J65" s="19">
        <f t="shared" si="22"/>
        <v>0.97</v>
      </c>
      <c r="K65" s="19">
        <f t="shared" si="22"/>
        <v>1.05</v>
      </c>
      <c r="L65" s="19">
        <f t="shared" si="22"/>
        <v>1.33</v>
      </c>
      <c r="M65" s="19">
        <f t="shared" si="22"/>
        <v>1.22</v>
      </c>
      <c r="N65" s="19">
        <f t="shared" si="22"/>
        <v>1.24</v>
      </c>
      <c r="O65" s="19">
        <f t="shared" si="22"/>
        <v>1.42</v>
      </c>
      <c r="P65" s="19">
        <f t="shared" si="22"/>
        <v>1.5</v>
      </c>
      <c r="Q65" s="19">
        <f t="shared" si="22"/>
        <v>1.5</v>
      </c>
      <c r="R65" s="19">
        <f t="shared" si="22"/>
        <v>1.6100000000000003</v>
      </c>
      <c r="S65" s="463">
        <f t="shared" si="22"/>
        <v>1.59</v>
      </c>
      <c r="T65" s="463">
        <f t="shared" si="22"/>
        <v>1.63</v>
      </c>
      <c r="U65" s="463">
        <f t="shared" si="22"/>
        <v>1.6</v>
      </c>
      <c r="V65" s="19">
        <f>SUM(V62:V64)</f>
        <v>1.59</v>
      </c>
      <c r="W65" s="19">
        <f t="shared" si="22"/>
        <v>1.48</v>
      </c>
      <c r="X65" s="19">
        <f t="shared" si="22"/>
        <v>1.39</v>
      </c>
      <c r="Y65" s="19">
        <f>SUM(Y62:Y64)</f>
        <v>1.58</v>
      </c>
      <c r="Z65" s="19">
        <f>SUM(Z62:Z64)</f>
        <v>1.64</v>
      </c>
      <c r="AA65" s="19">
        <f t="shared" si="22"/>
        <v>1.5500000000000003</v>
      </c>
      <c r="AB65" s="19">
        <f t="shared" si="22"/>
        <v>1.36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23">COUNTIF(F67:AC67,$AF$11)</f>
        <v>0</v>
      </c>
      <c r="AG67" s="11">
        <f t="shared" ref="AG67:AG75" si="24">COUNTIF(G67:AC67,$AG$11)</f>
        <v>0</v>
      </c>
      <c r="AH67" s="11">
        <f t="shared" ref="AH67:AH75" si="25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5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23"/>
        <v>0</v>
      </c>
      <c r="AG73" s="11">
        <f t="shared" si="24"/>
        <v>0</v>
      </c>
      <c r="AH73" s="11">
        <f t="shared" si="25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23"/>
        <v>0</v>
      </c>
      <c r="AG74" s="11">
        <f t="shared" si="24"/>
        <v>0</v>
      </c>
      <c r="AH74" s="11">
        <f t="shared" si="25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23"/>
        <v>0</v>
      </c>
      <c r="AG75" s="11">
        <f t="shared" si="24"/>
        <v>0</v>
      </c>
      <c r="AH75" s="11">
        <f t="shared" si="25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6">SUM(F67:F75)</f>
        <v>0</v>
      </c>
      <c r="G76" s="19">
        <f t="shared" ref="G76:AC76" si="27">SUM(G67:G75)</f>
        <v>0</v>
      </c>
      <c r="H76" s="19">
        <f t="shared" si="27"/>
        <v>0</v>
      </c>
      <c r="I76" s="19">
        <f t="shared" si="27"/>
        <v>0</v>
      </c>
      <c r="J76" s="19">
        <f t="shared" si="27"/>
        <v>0</v>
      </c>
      <c r="K76" s="19">
        <f t="shared" si="27"/>
        <v>0</v>
      </c>
      <c r="L76" s="19">
        <f>SUM(L67:L75)</f>
        <v>0</v>
      </c>
      <c r="M76" s="19">
        <f t="shared" si="27"/>
        <v>0</v>
      </c>
      <c r="N76" s="19">
        <f t="shared" si="27"/>
        <v>0</v>
      </c>
      <c r="O76" s="19">
        <f t="shared" si="27"/>
        <v>0</v>
      </c>
      <c r="P76" s="19">
        <f t="shared" si="27"/>
        <v>0</v>
      </c>
      <c r="Q76" s="19">
        <f>SUM(Q67:Q75)</f>
        <v>0</v>
      </c>
      <c r="R76" s="19">
        <f t="shared" si="27"/>
        <v>0</v>
      </c>
      <c r="S76" s="463">
        <f t="shared" si="27"/>
        <v>0</v>
      </c>
      <c r="T76" s="463">
        <f t="shared" si="27"/>
        <v>0</v>
      </c>
      <c r="U76" s="19">
        <f t="shared" si="27"/>
        <v>0</v>
      </c>
      <c r="V76" s="19">
        <f t="shared" si="27"/>
        <v>0</v>
      </c>
      <c r="W76" s="19">
        <f t="shared" si="27"/>
        <v>0</v>
      </c>
      <c r="X76" s="19">
        <f t="shared" si="27"/>
        <v>0</v>
      </c>
      <c r="Y76" s="19">
        <f t="shared" si="27"/>
        <v>0</v>
      </c>
      <c r="Z76" s="19">
        <f t="shared" si="27"/>
        <v>0</v>
      </c>
      <c r="AA76" s="19">
        <f t="shared" si="27"/>
        <v>0</v>
      </c>
      <c r="AB76" s="19">
        <f t="shared" si="27"/>
        <v>0</v>
      </c>
      <c r="AC76" s="19">
        <f t="shared" si="27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21.459999999999997</v>
      </c>
    </row>
    <row r="78" spans="1:124">
      <c r="A78" s="14" t="s">
        <v>67</v>
      </c>
      <c r="B78" s="20"/>
      <c r="C78" s="15">
        <v>1</v>
      </c>
      <c r="D78" s="15"/>
      <c r="E78" s="15"/>
      <c r="F78" s="357">
        <v>0</v>
      </c>
      <c r="G78" s="357">
        <v>0</v>
      </c>
      <c r="H78" s="357">
        <v>0</v>
      </c>
      <c r="I78" s="357">
        <v>0</v>
      </c>
      <c r="J78" s="357">
        <v>0</v>
      </c>
      <c r="K78" s="357">
        <v>0</v>
      </c>
      <c r="L78" s="359">
        <v>0</v>
      </c>
      <c r="M78" s="357">
        <v>0</v>
      </c>
      <c r="N78" s="357">
        <v>0</v>
      </c>
      <c r="O78" s="357">
        <v>0.85</v>
      </c>
      <c r="P78" s="357">
        <v>0.87</v>
      </c>
      <c r="Q78" s="357">
        <v>0.92</v>
      </c>
      <c r="R78" s="357">
        <v>0.92</v>
      </c>
      <c r="S78" s="462">
        <v>0.94</v>
      </c>
      <c r="T78" s="462">
        <v>0.94</v>
      </c>
      <c r="U78" s="357">
        <v>0.94</v>
      </c>
      <c r="V78" s="357">
        <v>0.95</v>
      </c>
      <c r="W78" s="357">
        <v>0.96</v>
      </c>
      <c r="X78" s="357">
        <v>0.94</v>
      </c>
      <c r="Y78" s="357">
        <v>0</v>
      </c>
      <c r="Z78" s="357">
        <v>0</v>
      </c>
      <c r="AA78" s="357">
        <v>0</v>
      </c>
      <c r="AB78" s="357">
        <v>0</v>
      </c>
      <c r="AC78" s="357">
        <v>0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0.85</v>
      </c>
      <c r="G79" s="357">
        <v>0.8</v>
      </c>
      <c r="H79" s="357">
        <v>0.78</v>
      </c>
      <c r="I79" s="357">
        <v>0.76</v>
      </c>
      <c r="J79" s="357">
        <v>0.74</v>
      </c>
      <c r="K79" s="357">
        <v>0.77</v>
      </c>
      <c r="L79" s="359">
        <v>0.87</v>
      </c>
      <c r="M79" s="357">
        <v>0.78</v>
      </c>
      <c r="N79" s="357">
        <v>0.76</v>
      </c>
      <c r="O79" s="357">
        <v>0</v>
      </c>
      <c r="P79" s="357"/>
      <c r="Q79" s="357"/>
      <c r="R79" s="357"/>
      <c r="S79" s="462"/>
      <c r="T79" s="462"/>
      <c r="U79" s="357"/>
      <c r="V79" s="357"/>
      <c r="W79" s="357"/>
      <c r="X79" s="357"/>
      <c r="Y79" s="357">
        <v>1.04</v>
      </c>
      <c r="Z79" s="357">
        <v>1.07</v>
      </c>
      <c r="AA79" s="357">
        <v>1.05</v>
      </c>
      <c r="AB79" s="357">
        <v>1.02</v>
      </c>
      <c r="AC79" s="357">
        <v>0.94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8">SUM(F78:F79)</f>
        <v>0.85</v>
      </c>
      <c r="G80" s="19">
        <f t="shared" ref="G80" si="29">SUM(G78:G79)</f>
        <v>0.8</v>
      </c>
      <c r="H80" s="19">
        <f>SUM(H78:H79)</f>
        <v>0.78</v>
      </c>
      <c r="I80" s="19">
        <f>SUM(I78:I79)</f>
        <v>0.76</v>
      </c>
      <c r="J80" s="19">
        <f t="shared" ref="J80:AC80" si="30">SUM(J78:J79)</f>
        <v>0.74</v>
      </c>
      <c r="K80" s="19">
        <f t="shared" si="30"/>
        <v>0.77</v>
      </c>
      <c r="L80" s="19">
        <f>SUM(L78:L79)</f>
        <v>0.87</v>
      </c>
      <c r="M80" s="19">
        <f t="shared" si="30"/>
        <v>0.78</v>
      </c>
      <c r="N80" s="19">
        <f t="shared" si="30"/>
        <v>0.76</v>
      </c>
      <c r="O80" s="19">
        <f>SUM(O78:O79)</f>
        <v>0.85</v>
      </c>
      <c r="P80" s="19">
        <f>SUM(P78:P79)</f>
        <v>0.87</v>
      </c>
      <c r="Q80" s="19">
        <f t="shared" si="30"/>
        <v>0.92</v>
      </c>
      <c r="R80" s="19">
        <f t="shared" si="30"/>
        <v>0.92</v>
      </c>
      <c r="S80" s="463">
        <f t="shared" si="30"/>
        <v>0.94</v>
      </c>
      <c r="T80" s="463">
        <f t="shared" si="30"/>
        <v>0.94</v>
      </c>
      <c r="U80" s="19">
        <f t="shared" si="30"/>
        <v>0.94</v>
      </c>
      <c r="V80" s="19">
        <f t="shared" si="30"/>
        <v>0.95</v>
      </c>
      <c r="W80" s="19">
        <f t="shared" si="30"/>
        <v>0.96</v>
      </c>
      <c r="X80" s="19">
        <f t="shared" si="30"/>
        <v>0.94</v>
      </c>
      <c r="Y80" s="19">
        <f t="shared" si="30"/>
        <v>1.04</v>
      </c>
      <c r="Z80" s="19">
        <f t="shared" si="30"/>
        <v>1.07</v>
      </c>
      <c r="AA80" s="19">
        <f t="shared" si="30"/>
        <v>1.05</v>
      </c>
      <c r="AB80" s="19">
        <f t="shared" si="30"/>
        <v>1.02</v>
      </c>
      <c r="AC80" s="19">
        <f t="shared" si="30"/>
        <v>0.94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 t="shared" ref="F83" si="31">SUM(F17,F22,F25,F31,F34,F60,F65,F76,F80,F82)</f>
        <v>42.08</v>
      </c>
      <c r="G83" s="28">
        <f>SUM(G17,G22,G25,G31,G34,G60,G65,G76,G80,G82)</f>
        <v>39.629999999999995</v>
      </c>
      <c r="H83" s="28">
        <f t="shared" ref="H83:AC83" si="32">SUM(H17,H22,H25,H31,H34,H60,H65,H76,H80,H82)</f>
        <v>37.78</v>
      </c>
      <c r="I83" s="28">
        <f t="shared" si="32"/>
        <v>36.770000000000003</v>
      </c>
      <c r="J83" s="28">
        <f t="shared" si="32"/>
        <v>36.380000000000003</v>
      </c>
      <c r="K83" s="28">
        <f t="shared" si="32"/>
        <v>38</v>
      </c>
      <c r="L83" s="28">
        <f t="shared" si="32"/>
        <v>43.279999999999994</v>
      </c>
      <c r="M83" s="28">
        <f t="shared" si="32"/>
        <v>39.78</v>
      </c>
      <c r="N83" s="28">
        <f t="shared" si="32"/>
        <v>46.489999999999995</v>
      </c>
      <c r="O83" s="28">
        <f t="shared" si="32"/>
        <v>56.930000000000007</v>
      </c>
      <c r="P83" s="28">
        <f t="shared" si="32"/>
        <v>61.659999999999989</v>
      </c>
      <c r="Q83" s="28">
        <f t="shared" si="32"/>
        <v>63.589999999999996</v>
      </c>
      <c r="R83" s="28">
        <f t="shared" si="32"/>
        <v>63.63</v>
      </c>
      <c r="S83" s="518">
        <f t="shared" si="32"/>
        <v>64.72</v>
      </c>
      <c r="T83" s="518">
        <f t="shared" si="32"/>
        <v>64.12</v>
      </c>
      <c r="U83" s="518">
        <f t="shared" si="32"/>
        <v>63.68</v>
      </c>
      <c r="V83" s="28">
        <f t="shared" si="32"/>
        <v>62.910000000000004</v>
      </c>
      <c r="W83" s="28">
        <f t="shared" si="32"/>
        <v>61.53</v>
      </c>
      <c r="X83" s="28">
        <f t="shared" si="32"/>
        <v>55.089999999999996</v>
      </c>
      <c r="Y83" s="28">
        <f t="shared" si="32"/>
        <v>63.21</v>
      </c>
      <c r="Z83" s="28">
        <f t="shared" si="32"/>
        <v>61.160000000000004</v>
      </c>
      <c r="AA83" s="28">
        <f t="shared" si="32"/>
        <v>55.959999999999994</v>
      </c>
      <c r="AB83" s="28">
        <f t="shared" si="32"/>
        <v>50.250000000000007</v>
      </c>
      <c r="AC83" s="28">
        <f t="shared" si="32"/>
        <v>46.44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33">SUM(F22,F25)</f>
        <v>3</v>
      </c>
      <c r="G89" s="64">
        <f t="shared" si="33"/>
        <v>0</v>
      </c>
      <c r="H89" s="64">
        <f t="shared" si="33"/>
        <v>0</v>
      </c>
      <c r="I89" s="64">
        <f t="shared" si="33"/>
        <v>0</v>
      </c>
      <c r="J89" s="64">
        <f t="shared" si="33"/>
        <v>0</v>
      </c>
      <c r="K89" s="64">
        <f t="shared" si="33"/>
        <v>0</v>
      </c>
      <c r="L89" s="64">
        <f t="shared" si="33"/>
        <v>0</v>
      </c>
      <c r="M89" s="64">
        <f t="shared" si="33"/>
        <v>0</v>
      </c>
      <c r="N89" s="64">
        <f t="shared" si="33"/>
        <v>6</v>
      </c>
      <c r="O89" s="64">
        <f t="shared" si="33"/>
        <v>7.3</v>
      </c>
      <c r="P89" s="64">
        <f t="shared" si="33"/>
        <v>7.3</v>
      </c>
      <c r="Q89" s="64">
        <f t="shared" si="33"/>
        <v>7.1</v>
      </c>
      <c r="R89" s="64">
        <f t="shared" si="33"/>
        <v>7.3</v>
      </c>
      <c r="S89" s="64">
        <f t="shared" si="33"/>
        <v>7.3</v>
      </c>
      <c r="T89" s="64">
        <f t="shared" si="33"/>
        <v>7.3</v>
      </c>
      <c r="U89" s="64">
        <f t="shared" si="33"/>
        <v>7.3</v>
      </c>
      <c r="V89" s="64">
        <f t="shared" si="33"/>
        <v>8.8000000000000007</v>
      </c>
      <c r="W89" s="64">
        <f t="shared" si="33"/>
        <v>10.1</v>
      </c>
      <c r="X89" s="64">
        <f t="shared" si="33"/>
        <v>8</v>
      </c>
      <c r="Y89" s="64">
        <f t="shared" si="33"/>
        <v>9.8999999999999986</v>
      </c>
      <c r="Z89" s="64">
        <f t="shared" si="33"/>
        <v>9.6000000000000014</v>
      </c>
      <c r="AA89" s="64">
        <f t="shared" si="33"/>
        <v>8.1</v>
      </c>
      <c r="AB89" s="64">
        <f t="shared" si="33"/>
        <v>5.0999999999999996</v>
      </c>
      <c r="AC89" s="64">
        <f t="shared" si="33"/>
        <v>0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>
        <v>0.183</v>
      </c>
      <c r="O90" s="68">
        <v>0.185</v>
      </c>
      <c r="P90" s="68">
        <v>0.23</v>
      </c>
      <c r="Q90" s="68">
        <v>0.20499999999999999</v>
      </c>
      <c r="R90" s="68">
        <v>0.2</v>
      </c>
      <c r="S90" s="68">
        <v>0.224</v>
      </c>
      <c r="T90" s="68">
        <v>0.2</v>
      </c>
      <c r="U90" s="68">
        <v>0.191</v>
      </c>
      <c r="V90" s="68">
        <v>0.245</v>
      </c>
      <c r="W90" s="68">
        <v>0.19700000000000001</v>
      </c>
      <c r="X90" s="68">
        <v>0.21299999999999999</v>
      </c>
      <c r="Y90" s="68">
        <v>0.15</v>
      </c>
      <c r="Z90" s="68">
        <v>0.186</v>
      </c>
      <c r="AA90" s="68">
        <v>0.27200000000000002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34">F17</f>
        <v>13</v>
      </c>
      <c r="G91" s="64">
        <f t="shared" si="34"/>
        <v>13</v>
      </c>
      <c r="H91" s="64">
        <f t="shared" si="34"/>
        <v>13.2</v>
      </c>
      <c r="I91" s="64">
        <f t="shared" si="34"/>
        <v>13.4</v>
      </c>
      <c r="J91" s="64">
        <f t="shared" si="34"/>
        <v>13.4</v>
      </c>
      <c r="K91" s="64">
        <f t="shared" si="34"/>
        <v>13.6</v>
      </c>
      <c r="L91" s="64">
        <f t="shared" si="34"/>
        <v>13.6</v>
      </c>
      <c r="M91" s="64">
        <f t="shared" si="34"/>
        <v>13.2</v>
      </c>
      <c r="N91" s="64">
        <f t="shared" si="34"/>
        <v>13.4</v>
      </c>
      <c r="O91" s="64">
        <f t="shared" si="34"/>
        <v>13.6</v>
      </c>
      <c r="P91" s="64">
        <f t="shared" si="34"/>
        <v>13.4</v>
      </c>
      <c r="Q91" s="64">
        <f t="shared" si="34"/>
        <v>13.6</v>
      </c>
      <c r="R91" s="64">
        <f t="shared" si="34"/>
        <v>13.6</v>
      </c>
      <c r="S91" s="64">
        <f t="shared" si="34"/>
        <v>13.299999999999999</v>
      </c>
      <c r="T91" s="64">
        <f t="shared" si="34"/>
        <v>13.4</v>
      </c>
      <c r="U91" s="64">
        <f t="shared" si="34"/>
        <v>13</v>
      </c>
      <c r="V91" s="64">
        <f t="shared" si="34"/>
        <v>12.4</v>
      </c>
      <c r="W91" s="64">
        <f t="shared" si="34"/>
        <v>19.799999999999997</v>
      </c>
      <c r="X91" s="64">
        <f t="shared" si="34"/>
        <v>20</v>
      </c>
      <c r="Y91" s="64">
        <f t="shared" si="34"/>
        <v>20.100000000000001</v>
      </c>
      <c r="Z91" s="64">
        <f t="shared" si="34"/>
        <v>20.100000000000001</v>
      </c>
      <c r="AA91" s="64">
        <f t="shared" si="34"/>
        <v>19.5</v>
      </c>
      <c r="AB91" s="64">
        <f t="shared" si="34"/>
        <v>19.5</v>
      </c>
      <c r="AC91" s="64">
        <f t="shared" si="34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0.49</v>
      </c>
      <c r="G92" s="68">
        <v>0.47599999999999998</v>
      </c>
      <c r="H92" s="68">
        <v>0.52800000000000002</v>
      </c>
      <c r="I92" s="68">
        <v>0.56299999999999994</v>
      </c>
      <c r="J92" s="68">
        <v>0.64400000000000002</v>
      </c>
      <c r="K92" s="68">
        <v>0.54400000000000004</v>
      </c>
      <c r="L92" s="68">
        <v>0.59</v>
      </c>
      <c r="M92" s="68">
        <v>0.53100000000000003</v>
      </c>
      <c r="N92" s="68">
        <v>0.50900000000000001</v>
      </c>
      <c r="O92" s="68">
        <v>0.56200000000000006</v>
      </c>
      <c r="P92" s="68">
        <v>0.61399999999999999</v>
      </c>
      <c r="Q92" s="68">
        <v>0.64500000000000002</v>
      </c>
      <c r="R92" s="68">
        <v>0.749</v>
      </c>
      <c r="S92" s="68">
        <v>0.57999999999999996</v>
      </c>
      <c r="T92" s="68">
        <v>0.54</v>
      </c>
      <c r="U92" s="68">
        <v>0.52900000000000003</v>
      </c>
      <c r="V92" s="68">
        <v>0.48399999999999999</v>
      </c>
      <c r="W92" s="68">
        <v>0.66500000000000004</v>
      </c>
      <c r="X92" s="68">
        <v>0.71599999999999997</v>
      </c>
      <c r="Y92" s="68">
        <v>0.71199999999999997</v>
      </c>
      <c r="Z92" s="68">
        <v>0.55000000000000004</v>
      </c>
      <c r="AA92" s="68">
        <v>0.7</v>
      </c>
      <c r="AB92" s="68">
        <v>0.68899999999999995</v>
      </c>
      <c r="AC92" s="68">
        <v>0.69099999999999995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35">F31</f>
        <v>9.8000000000000007</v>
      </c>
      <c r="G93" s="65">
        <f t="shared" si="35"/>
        <v>10.5</v>
      </c>
      <c r="H93" s="65">
        <f t="shared" si="35"/>
        <v>8.5</v>
      </c>
      <c r="I93" s="65">
        <f t="shared" si="35"/>
        <v>7.31</v>
      </c>
      <c r="J93" s="65">
        <f t="shared" si="35"/>
        <v>7</v>
      </c>
      <c r="K93" s="65">
        <f>K31</f>
        <v>7.5</v>
      </c>
      <c r="L93" s="65">
        <f t="shared" si="35"/>
        <v>10.9</v>
      </c>
      <c r="M93" s="65">
        <f t="shared" si="35"/>
        <v>10.3</v>
      </c>
      <c r="N93" s="65">
        <f t="shared" si="35"/>
        <v>10.8</v>
      </c>
      <c r="O93" s="65">
        <f t="shared" si="35"/>
        <v>17.3</v>
      </c>
      <c r="P93" s="65">
        <f t="shared" si="35"/>
        <v>19.899999999999999</v>
      </c>
      <c r="Q93" s="65">
        <f t="shared" si="35"/>
        <v>21.8</v>
      </c>
      <c r="R93" s="65">
        <f t="shared" si="35"/>
        <v>20.7</v>
      </c>
      <c r="S93" s="65">
        <f t="shared" si="35"/>
        <v>21.9</v>
      </c>
      <c r="T93" s="65">
        <f t="shared" si="35"/>
        <v>22.2</v>
      </c>
      <c r="U93" s="65">
        <f t="shared" si="35"/>
        <v>22.3</v>
      </c>
      <c r="V93" s="65">
        <f t="shared" si="35"/>
        <v>20.5</v>
      </c>
      <c r="W93" s="65">
        <f t="shared" si="35"/>
        <v>10.6</v>
      </c>
      <c r="X93" s="65">
        <f t="shared" si="35"/>
        <v>10.5</v>
      </c>
      <c r="Y93" s="65">
        <f t="shared" si="35"/>
        <v>16.3</v>
      </c>
      <c r="Z93" s="65">
        <f t="shared" si="35"/>
        <v>14.5</v>
      </c>
      <c r="AA93" s="65">
        <f t="shared" si="35"/>
        <v>11.5</v>
      </c>
      <c r="AB93" s="65">
        <f t="shared" si="35"/>
        <v>9</v>
      </c>
      <c r="AC93" s="65">
        <f t="shared" si="35"/>
        <v>10.5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0.17799999999999999</v>
      </c>
      <c r="G94" s="68">
        <v>0.18</v>
      </c>
      <c r="H94" s="68">
        <v>0.17499999999999999</v>
      </c>
      <c r="I94" s="68">
        <v>0.188</v>
      </c>
      <c r="J94" s="68">
        <v>0.1</v>
      </c>
      <c r="K94" s="68">
        <v>0.155</v>
      </c>
      <c r="L94" s="68">
        <v>0.19400000000000001</v>
      </c>
      <c r="M94" s="68">
        <v>0.188</v>
      </c>
      <c r="N94" s="68">
        <v>0.214</v>
      </c>
      <c r="O94" s="68">
        <v>0.20499999999999999</v>
      </c>
      <c r="P94" s="68">
        <v>0.251</v>
      </c>
      <c r="Q94" s="68">
        <v>0.252</v>
      </c>
      <c r="R94" s="68">
        <v>0.254</v>
      </c>
      <c r="S94" s="68">
        <v>0.252</v>
      </c>
      <c r="T94" s="68">
        <v>0.28199999999999997</v>
      </c>
      <c r="U94" s="68">
        <v>0.28299999999999997</v>
      </c>
      <c r="V94" s="68">
        <v>0.27100000000000002</v>
      </c>
      <c r="W94" s="68">
        <v>0.27</v>
      </c>
      <c r="X94" s="68">
        <v>0.19500000000000001</v>
      </c>
      <c r="Y94" s="68">
        <v>0.21199999999999999</v>
      </c>
      <c r="Z94" s="68">
        <v>0.17899999999999999</v>
      </c>
      <c r="AA94" s="68">
        <v>0.183</v>
      </c>
      <c r="AB94" s="68">
        <v>0.17599999999999999</v>
      </c>
      <c r="AC94" s="68">
        <v>0.17699999999999999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0.20599999999999999</v>
      </c>
      <c r="G95" s="68">
        <v>0.21029999999999999</v>
      </c>
      <c r="H95" s="68">
        <v>0.21079999999999999</v>
      </c>
      <c r="I95" s="68">
        <v>0.21909999999999999</v>
      </c>
      <c r="J95" s="68">
        <v>0.216</v>
      </c>
      <c r="K95" s="68">
        <v>0.2082</v>
      </c>
      <c r="L95" s="68">
        <v>0.2165</v>
      </c>
      <c r="M95" s="68">
        <v>0.22520000000000001</v>
      </c>
      <c r="N95" s="68">
        <v>0.22339999999999999</v>
      </c>
      <c r="O95" s="68">
        <v>0.3821</v>
      </c>
      <c r="P95" s="68">
        <v>0.39800000000000002</v>
      </c>
      <c r="Q95" s="68">
        <v>0.39200000000000002</v>
      </c>
      <c r="R95" s="68">
        <v>0.39200000000000002</v>
      </c>
      <c r="S95" s="68">
        <v>0.39800000000000002</v>
      </c>
      <c r="T95" s="68">
        <v>0.39860000000000001</v>
      </c>
      <c r="U95" s="68">
        <v>0.39860000000000001</v>
      </c>
      <c r="V95" s="68">
        <v>0.39360000000000001</v>
      </c>
      <c r="W95" s="68">
        <v>0.39</v>
      </c>
      <c r="X95" s="68">
        <v>0.19</v>
      </c>
      <c r="Y95" s="68">
        <v>0.20399999999999999</v>
      </c>
      <c r="Z95" s="68">
        <v>0.20399999999999999</v>
      </c>
      <c r="AA95" s="68">
        <v>0.22500000000000001</v>
      </c>
      <c r="AB95" s="68">
        <v>0.20200000000000001</v>
      </c>
      <c r="AC95" s="68">
        <v>0.21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36">F34</f>
        <v>14.27</v>
      </c>
      <c r="G96" s="65">
        <f t="shared" si="36"/>
        <v>14.28</v>
      </c>
      <c r="H96" s="65">
        <f t="shared" si="36"/>
        <v>14.26</v>
      </c>
      <c r="I96" s="65">
        <f t="shared" si="36"/>
        <v>14.28</v>
      </c>
      <c r="J96" s="65">
        <f t="shared" si="36"/>
        <v>14.27</v>
      </c>
      <c r="K96" s="65">
        <f t="shared" si="36"/>
        <v>14.28</v>
      </c>
      <c r="L96" s="65">
        <f t="shared" si="36"/>
        <v>14.28</v>
      </c>
      <c r="M96" s="65">
        <f t="shared" si="36"/>
        <v>14.28</v>
      </c>
      <c r="N96" s="65">
        <f t="shared" si="36"/>
        <v>14.29</v>
      </c>
      <c r="O96" s="65">
        <f t="shared" si="36"/>
        <v>14.26</v>
      </c>
      <c r="P96" s="65">
        <f t="shared" si="36"/>
        <v>14.29</v>
      </c>
      <c r="Q96" s="65">
        <f t="shared" si="36"/>
        <v>14.27</v>
      </c>
      <c r="R96" s="65">
        <f t="shared" si="36"/>
        <v>14.25</v>
      </c>
      <c r="S96" s="65">
        <f t="shared" si="36"/>
        <v>14.29</v>
      </c>
      <c r="T96" s="65">
        <f t="shared" si="36"/>
        <v>14.25</v>
      </c>
      <c r="U96" s="65">
        <f t="shared" si="36"/>
        <v>14.24</v>
      </c>
      <c r="V96" s="65">
        <f t="shared" si="36"/>
        <v>14.27</v>
      </c>
      <c r="W96" s="65">
        <f t="shared" si="36"/>
        <v>14.29</v>
      </c>
      <c r="X96" s="65">
        <f t="shared" si="36"/>
        <v>14.26</v>
      </c>
      <c r="Y96" s="65">
        <f t="shared" si="36"/>
        <v>14.29</v>
      </c>
      <c r="Z96" s="65">
        <f t="shared" si="36"/>
        <v>14.25</v>
      </c>
      <c r="AA96" s="65">
        <f t="shared" si="36"/>
        <v>14.26</v>
      </c>
      <c r="AB96" s="65">
        <f t="shared" si="36"/>
        <v>14.27</v>
      </c>
      <c r="AC96" s="65">
        <f t="shared" si="36"/>
        <v>14.26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0.73</v>
      </c>
      <c r="G97" s="68">
        <v>0.72</v>
      </c>
      <c r="H97" s="68">
        <v>0.74</v>
      </c>
      <c r="I97" s="68">
        <v>0.72</v>
      </c>
      <c r="J97" s="68">
        <v>0.73</v>
      </c>
      <c r="K97" s="68">
        <v>0.2082</v>
      </c>
      <c r="L97" s="68">
        <v>0.72</v>
      </c>
      <c r="M97" s="68">
        <v>0.72</v>
      </c>
      <c r="N97" s="68">
        <v>0.71</v>
      </c>
      <c r="O97" s="68">
        <v>0.74</v>
      </c>
      <c r="P97" s="68">
        <v>0.71</v>
      </c>
      <c r="Q97" s="68">
        <v>0.73</v>
      </c>
      <c r="R97" s="68">
        <v>0.75</v>
      </c>
      <c r="S97" s="68">
        <v>0.75</v>
      </c>
      <c r="T97" s="68">
        <v>75</v>
      </c>
      <c r="U97" s="68">
        <v>0.76</v>
      </c>
      <c r="V97" s="68">
        <v>0.73</v>
      </c>
      <c r="W97" s="68">
        <v>0.69</v>
      </c>
      <c r="X97" s="68">
        <v>0.74</v>
      </c>
      <c r="Y97" s="68">
        <v>0.71</v>
      </c>
      <c r="Z97" s="68">
        <v>0.75</v>
      </c>
      <c r="AA97" s="68">
        <v>0.74</v>
      </c>
      <c r="AB97" s="68">
        <v>0.73</v>
      </c>
      <c r="AC97" s="68">
        <v>0.74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37">F60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0.8</v>
      </c>
      <c r="L98" s="64">
        <f t="shared" si="37"/>
        <v>2.2999999999999998</v>
      </c>
      <c r="M98" s="64">
        <f t="shared" si="37"/>
        <v>0</v>
      </c>
      <c r="N98" s="64">
        <f t="shared" si="37"/>
        <v>0</v>
      </c>
      <c r="O98" s="64">
        <f t="shared" si="37"/>
        <v>2.2000000000000002</v>
      </c>
      <c r="P98" s="64">
        <f t="shared" si="37"/>
        <v>4.4000000000000004</v>
      </c>
      <c r="Q98" s="64">
        <f t="shared" si="37"/>
        <v>4.4000000000000004</v>
      </c>
      <c r="R98" s="64">
        <f t="shared" si="37"/>
        <v>5.25</v>
      </c>
      <c r="S98" s="64">
        <f t="shared" si="37"/>
        <v>5.4</v>
      </c>
      <c r="T98" s="64">
        <f t="shared" si="37"/>
        <v>4.4000000000000004</v>
      </c>
      <c r="U98" s="64">
        <f t="shared" si="37"/>
        <v>4.3000000000000007</v>
      </c>
      <c r="V98" s="64">
        <f t="shared" si="37"/>
        <v>4.4000000000000004</v>
      </c>
      <c r="W98" s="64">
        <f t="shared" si="37"/>
        <v>4.3000000000000007</v>
      </c>
      <c r="X98" s="64">
        <f t="shared" si="37"/>
        <v>0</v>
      </c>
      <c r="Y98" s="64">
        <f t="shared" si="37"/>
        <v>0</v>
      </c>
      <c r="Z98" s="64">
        <f t="shared" si="37"/>
        <v>0</v>
      </c>
      <c r="AA98" s="64">
        <f t="shared" si="37"/>
        <v>0</v>
      </c>
      <c r="AB98" s="64">
        <f t="shared" si="37"/>
        <v>0</v>
      </c>
      <c r="AC98" s="64">
        <f t="shared" si="37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38">F65</f>
        <v>1.1599999999999999</v>
      </c>
      <c r="G99" s="64">
        <f t="shared" si="38"/>
        <v>1.05</v>
      </c>
      <c r="H99" s="64">
        <f t="shared" si="38"/>
        <v>1.04</v>
      </c>
      <c r="I99" s="64">
        <f t="shared" si="38"/>
        <v>1.02</v>
      </c>
      <c r="J99" s="64">
        <f t="shared" si="38"/>
        <v>0.97</v>
      </c>
      <c r="K99" s="64">
        <f t="shared" si="38"/>
        <v>1.05</v>
      </c>
      <c r="L99" s="64">
        <f t="shared" si="38"/>
        <v>1.33</v>
      </c>
      <c r="M99" s="64">
        <f t="shared" si="38"/>
        <v>1.22</v>
      </c>
      <c r="N99" s="64">
        <f t="shared" si="38"/>
        <v>1.24</v>
      </c>
      <c r="O99" s="64">
        <f t="shared" si="38"/>
        <v>1.42</v>
      </c>
      <c r="P99" s="64">
        <f t="shared" si="38"/>
        <v>1.5</v>
      </c>
      <c r="Q99" s="64">
        <f t="shared" si="38"/>
        <v>1.5</v>
      </c>
      <c r="R99" s="64">
        <f t="shared" si="38"/>
        <v>1.6100000000000003</v>
      </c>
      <c r="S99" s="64">
        <f t="shared" si="38"/>
        <v>1.59</v>
      </c>
      <c r="T99" s="64">
        <f t="shared" si="38"/>
        <v>1.63</v>
      </c>
      <c r="U99" s="64">
        <f t="shared" si="38"/>
        <v>1.6</v>
      </c>
      <c r="V99" s="64">
        <f t="shared" si="38"/>
        <v>1.59</v>
      </c>
      <c r="W99" s="64">
        <f t="shared" si="38"/>
        <v>1.48</v>
      </c>
      <c r="X99" s="64">
        <f t="shared" si="38"/>
        <v>1.39</v>
      </c>
      <c r="Y99" s="64">
        <f t="shared" si="38"/>
        <v>1.58</v>
      </c>
      <c r="Z99" s="64">
        <f t="shared" si="38"/>
        <v>1.64</v>
      </c>
      <c r="AA99" s="64">
        <f t="shared" si="38"/>
        <v>1.5500000000000003</v>
      </c>
      <c r="AB99" s="64">
        <f t="shared" si="38"/>
        <v>1.36</v>
      </c>
      <c r="AC99" s="64">
        <f t="shared" si="38"/>
        <v>1.24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9">F76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40">F80</f>
        <v>0.85</v>
      </c>
      <c r="G101" s="64">
        <f t="shared" si="40"/>
        <v>0.8</v>
      </c>
      <c r="H101" s="64">
        <f t="shared" si="40"/>
        <v>0.78</v>
      </c>
      <c r="I101" s="64">
        <f t="shared" si="40"/>
        <v>0.76</v>
      </c>
      <c r="J101" s="64">
        <f t="shared" si="40"/>
        <v>0.74</v>
      </c>
      <c r="K101" s="64">
        <f t="shared" si="40"/>
        <v>0.77</v>
      </c>
      <c r="L101" s="64">
        <f t="shared" si="40"/>
        <v>0.87</v>
      </c>
      <c r="M101" s="64">
        <f t="shared" si="40"/>
        <v>0.78</v>
      </c>
      <c r="N101" s="64">
        <f t="shared" si="40"/>
        <v>0.76</v>
      </c>
      <c r="O101" s="64">
        <f t="shared" si="40"/>
        <v>0.85</v>
      </c>
      <c r="P101" s="64">
        <f t="shared" si="40"/>
        <v>0.87</v>
      </c>
      <c r="Q101" s="64">
        <f t="shared" si="40"/>
        <v>0.92</v>
      </c>
      <c r="R101" s="64">
        <f t="shared" si="40"/>
        <v>0.92</v>
      </c>
      <c r="S101" s="64">
        <f t="shared" si="40"/>
        <v>0.94</v>
      </c>
      <c r="T101" s="64">
        <f t="shared" si="40"/>
        <v>0.94</v>
      </c>
      <c r="U101" s="64">
        <f t="shared" si="40"/>
        <v>0.94</v>
      </c>
      <c r="V101" s="64">
        <f t="shared" si="40"/>
        <v>0.95</v>
      </c>
      <c r="W101" s="64">
        <f t="shared" si="40"/>
        <v>0.96</v>
      </c>
      <c r="X101" s="64">
        <f t="shared" si="40"/>
        <v>0.94</v>
      </c>
      <c r="Y101" s="64">
        <f t="shared" si="40"/>
        <v>1.04</v>
      </c>
      <c r="Z101" s="64">
        <f t="shared" si="40"/>
        <v>1.07</v>
      </c>
      <c r="AA101" s="64">
        <f t="shared" si="40"/>
        <v>1.05</v>
      </c>
      <c r="AB101" s="64">
        <f t="shared" si="40"/>
        <v>1.02</v>
      </c>
      <c r="AC101" s="64">
        <f t="shared" si="40"/>
        <v>0.94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41">F82</f>
        <v>0</v>
      </c>
      <c r="G102" s="64">
        <f t="shared" si="41"/>
        <v>0</v>
      </c>
      <c r="H102" s="64">
        <f t="shared" si="41"/>
        <v>0</v>
      </c>
      <c r="I102" s="64">
        <f t="shared" si="41"/>
        <v>0</v>
      </c>
      <c r="J102" s="64">
        <f t="shared" si="41"/>
        <v>0</v>
      </c>
      <c r="K102" s="64">
        <f t="shared" si="41"/>
        <v>0</v>
      </c>
      <c r="L102" s="64">
        <f t="shared" si="41"/>
        <v>0</v>
      </c>
      <c r="M102" s="64">
        <f t="shared" si="41"/>
        <v>0</v>
      </c>
      <c r="N102" s="64">
        <f t="shared" si="41"/>
        <v>0</v>
      </c>
      <c r="O102" s="64">
        <f t="shared" si="41"/>
        <v>0</v>
      </c>
      <c r="P102" s="64">
        <f t="shared" si="41"/>
        <v>0</v>
      </c>
      <c r="Q102" s="64">
        <f t="shared" si="41"/>
        <v>0</v>
      </c>
      <c r="R102" s="64">
        <f t="shared" si="41"/>
        <v>0</v>
      </c>
      <c r="S102" s="64">
        <f t="shared" si="41"/>
        <v>0</v>
      </c>
      <c r="T102" s="64">
        <f t="shared" si="41"/>
        <v>0</v>
      </c>
      <c r="U102" s="64">
        <f t="shared" si="41"/>
        <v>0</v>
      </c>
      <c r="V102" s="64">
        <f t="shared" si="41"/>
        <v>0</v>
      </c>
      <c r="W102" s="64">
        <f t="shared" si="41"/>
        <v>0</v>
      </c>
      <c r="X102" s="64">
        <f t="shared" si="41"/>
        <v>0</v>
      </c>
      <c r="Y102" s="64">
        <f t="shared" si="41"/>
        <v>0</v>
      </c>
      <c r="Z102" s="64">
        <f t="shared" si="41"/>
        <v>0</v>
      </c>
      <c r="AA102" s="64">
        <f t="shared" si="41"/>
        <v>0</v>
      </c>
      <c r="AB102" s="64">
        <f t="shared" si="41"/>
        <v>0</v>
      </c>
      <c r="AC102" s="64">
        <f t="shared" si="41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 t="shared" ref="F103:AC103" si="42">SUM(F89,F91,F93,F96,F98:F102,F81)</f>
        <v>42.08</v>
      </c>
      <c r="G103" s="61">
        <f t="shared" si="42"/>
        <v>39.629999999999995</v>
      </c>
      <c r="H103" s="61">
        <f t="shared" si="42"/>
        <v>37.78</v>
      </c>
      <c r="I103" s="61">
        <f t="shared" si="42"/>
        <v>36.770000000000003</v>
      </c>
      <c r="J103" s="61">
        <f t="shared" si="42"/>
        <v>36.380000000000003</v>
      </c>
      <c r="K103" s="61">
        <f t="shared" si="42"/>
        <v>38</v>
      </c>
      <c r="L103" s="61">
        <f t="shared" si="42"/>
        <v>43.279999999999994</v>
      </c>
      <c r="M103" s="61">
        <f t="shared" si="42"/>
        <v>39.78</v>
      </c>
      <c r="N103" s="61">
        <f t="shared" si="42"/>
        <v>46.489999999999995</v>
      </c>
      <c r="O103" s="61">
        <f t="shared" si="42"/>
        <v>56.930000000000007</v>
      </c>
      <c r="P103" s="61">
        <f t="shared" si="42"/>
        <v>61.659999999999989</v>
      </c>
      <c r="Q103" s="61">
        <f t="shared" si="42"/>
        <v>63.589999999999996</v>
      </c>
      <c r="R103" s="61">
        <f t="shared" si="42"/>
        <v>63.629999999999995</v>
      </c>
      <c r="S103" s="61">
        <f t="shared" si="42"/>
        <v>64.72</v>
      </c>
      <c r="T103" s="61">
        <f t="shared" si="42"/>
        <v>64.12</v>
      </c>
      <c r="U103" s="61">
        <f t="shared" si="42"/>
        <v>63.68</v>
      </c>
      <c r="V103" s="61">
        <f t="shared" si="42"/>
        <v>62.910000000000004</v>
      </c>
      <c r="W103" s="61">
        <f t="shared" si="42"/>
        <v>61.53</v>
      </c>
      <c r="X103" s="61">
        <f t="shared" si="42"/>
        <v>55.089999999999996</v>
      </c>
      <c r="Y103" s="61">
        <f t="shared" si="42"/>
        <v>63.209999999999994</v>
      </c>
      <c r="Z103" s="61">
        <f t="shared" si="42"/>
        <v>61.160000000000004</v>
      </c>
      <c r="AA103" s="61">
        <f t="shared" si="42"/>
        <v>55.959999999999994</v>
      </c>
      <c r="AB103" s="61">
        <f t="shared" si="42"/>
        <v>50.250000000000007</v>
      </c>
      <c r="AC103" s="61">
        <f t="shared" si="42"/>
        <v>46.44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>
        <f>0.56+1.01+1</f>
        <v>2.5700000000000003</v>
      </c>
      <c r="T104" s="76">
        <f>0.56+1.01+1</f>
        <v>2.5700000000000003</v>
      </c>
      <c r="U104" s="76">
        <f>0.56+1.01+1</f>
        <v>2.5700000000000003</v>
      </c>
      <c r="V104" s="76">
        <f>1.29</f>
        <v>1.29</v>
      </c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>
        <v>1.1000000000000001</v>
      </c>
      <c r="Q105" s="76">
        <v>1.1000000000000001</v>
      </c>
      <c r="R105" s="76">
        <v>1.1000000000000001</v>
      </c>
      <c r="S105" s="76">
        <v>1.1000000000000001</v>
      </c>
      <c r="T105" s="76">
        <v>1.1000000000000001</v>
      </c>
      <c r="U105" s="76">
        <v>1.1000000000000001</v>
      </c>
      <c r="V105" s="76">
        <v>1.1000000000000001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536"/>
      <c r="Z106" s="536"/>
      <c r="AA106" s="76"/>
      <c r="AB106" s="76"/>
      <c r="AC106" s="76"/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43">SUM(F104:F106)</f>
        <v>0</v>
      </c>
      <c r="G107" s="61">
        <f t="shared" si="43"/>
        <v>0</v>
      </c>
      <c r="H107" s="61">
        <f t="shared" si="43"/>
        <v>0</v>
      </c>
      <c r="I107" s="61">
        <f t="shared" si="43"/>
        <v>0</v>
      </c>
      <c r="J107" s="61">
        <f t="shared" si="43"/>
        <v>0</v>
      </c>
      <c r="K107" s="61">
        <f t="shared" si="43"/>
        <v>0</v>
      </c>
      <c r="L107" s="61">
        <f t="shared" si="43"/>
        <v>0</v>
      </c>
      <c r="M107" s="61">
        <f t="shared" si="43"/>
        <v>0</v>
      </c>
      <c r="N107" s="61">
        <f t="shared" si="43"/>
        <v>0</v>
      </c>
      <c r="O107" s="61">
        <f t="shared" si="43"/>
        <v>0</v>
      </c>
      <c r="P107" s="61">
        <f t="shared" si="43"/>
        <v>1.1000000000000001</v>
      </c>
      <c r="Q107" s="61">
        <f t="shared" si="43"/>
        <v>1.1000000000000001</v>
      </c>
      <c r="R107" s="61">
        <f t="shared" si="43"/>
        <v>1.1000000000000001</v>
      </c>
      <c r="S107" s="61">
        <f t="shared" si="43"/>
        <v>3.6700000000000004</v>
      </c>
      <c r="T107" s="61">
        <f t="shared" si="43"/>
        <v>3.6700000000000004</v>
      </c>
      <c r="U107" s="61">
        <f t="shared" si="43"/>
        <v>3.6700000000000004</v>
      </c>
      <c r="V107" s="61">
        <f t="shared" si="43"/>
        <v>2.39</v>
      </c>
      <c r="W107" s="61">
        <f t="shared" si="43"/>
        <v>0</v>
      </c>
      <c r="X107" s="61">
        <f t="shared" si="43"/>
        <v>0</v>
      </c>
      <c r="Y107" s="61">
        <f t="shared" si="43"/>
        <v>0</v>
      </c>
      <c r="Z107" s="61">
        <f t="shared" si="43"/>
        <v>0</v>
      </c>
      <c r="AA107" s="61">
        <f t="shared" si="43"/>
        <v>0</v>
      </c>
      <c r="AB107" s="61">
        <f t="shared" si="43"/>
        <v>0</v>
      </c>
      <c r="AC107" s="61">
        <f t="shared" si="43"/>
        <v>0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44">F103+F107</f>
        <v>42.08</v>
      </c>
      <c r="G108" s="62">
        <f t="shared" si="44"/>
        <v>39.629999999999995</v>
      </c>
      <c r="H108" s="62">
        <f t="shared" si="44"/>
        <v>37.78</v>
      </c>
      <c r="I108" s="62">
        <f t="shared" si="44"/>
        <v>36.770000000000003</v>
      </c>
      <c r="J108" s="62">
        <f t="shared" si="44"/>
        <v>36.380000000000003</v>
      </c>
      <c r="K108" s="62">
        <f t="shared" si="44"/>
        <v>38</v>
      </c>
      <c r="L108" s="62">
        <f t="shared" si="44"/>
        <v>43.279999999999994</v>
      </c>
      <c r="M108" s="62">
        <f t="shared" si="44"/>
        <v>39.78</v>
      </c>
      <c r="N108" s="62">
        <f>N103+N107</f>
        <v>46.489999999999995</v>
      </c>
      <c r="O108" s="62">
        <f t="shared" si="44"/>
        <v>56.930000000000007</v>
      </c>
      <c r="P108" s="62">
        <f>P103+P107</f>
        <v>62.759999999999991</v>
      </c>
      <c r="Q108" s="62">
        <f t="shared" si="44"/>
        <v>64.69</v>
      </c>
      <c r="R108" s="62">
        <f t="shared" si="44"/>
        <v>64.72999999999999</v>
      </c>
      <c r="S108" s="62">
        <f t="shared" si="44"/>
        <v>68.39</v>
      </c>
      <c r="T108" s="62">
        <f>T103+T107</f>
        <v>67.790000000000006</v>
      </c>
      <c r="U108" s="62">
        <f t="shared" si="44"/>
        <v>67.349999999999994</v>
      </c>
      <c r="V108" s="62">
        <f t="shared" si="44"/>
        <v>65.3</v>
      </c>
      <c r="W108" s="62">
        <f>W103+W107</f>
        <v>61.53</v>
      </c>
      <c r="X108" s="62">
        <f t="shared" si="44"/>
        <v>55.089999999999996</v>
      </c>
      <c r="Y108" s="62">
        <f t="shared" si="44"/>
        <v>63.209999999999994</v>
      </c>
      <c r="Z108" s="62">
        <f t="shared" si="44"/>
        <v>61.160000000000004</v>
      </c>
      <c r="AA108" s="62">
        <f t="shared" si="44"/>
        <v>55.959999999999994</v>
      </c>
      <c r="AB108" s="62">
        <f t="shared" si="44"/>
        <v>50.250000000000007</v>
      </c>
      <c r="AC108" s="62">
        <f t="shared" si="44"/>
        <v>46.44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45">(COUNT(F13:F16))*7.2+(COUNT(F27:F28)*4.9)+(COUNT(F19:F21)*4.5)-F91-F93</f>
        <v>1</v>
      </c>
      <c r="G109" s="63">
        <f t="shared" si="45"/>
        <v>-4.1999999999999993</v>
      </c>
      <c r="H109" s="63">
        <f t="shared" si="45"/>
        <v>-2.3999999999999986</v>
      </c>
      <c r="I109" s="63">
        <f t="shared" si="45"/>
        <v>-1.4099999999999993</v>
      </c>
      <c r="J109" s="63">
        <f t="shared" si="45"/>
        <v>-6</v>
      </c>
      <c r="K109" s="63">
        <f t="shared" si="45"/>
        <v>-6.6999999999999993</v>
      </c>
      <c r="L109" s="63">
        <f t="shared" si="45"/>
        <v>-5.1999999999999993</v>
      </c>
      <c r="M109" s="63">
        <f t="shared" si="45"/>
        <v>-4.1999999999999993</v>
      </c>
      <c r="N109" s="63">
        <f t="shared" si="45"/>
        <v>-0.40000000000000036</v>
      </c>
      <c r="O109" s="63">
        <f t="shared" si="45"/>
        <v>-7.1</v>
      </c>
      <c r="P109" s="63">
        <f t="shared" si="45"/>
        <v>-4.5999999999999961</v>
      </c>
      <c r="Q109" s="63">
        <f t="shared" si="45"/>
        <v>-6.6999999999999975</v>
      </c>
      <c r="R109" s="63">
        <f t="shared" si="45"/>
        <v>-5.5999999999999961</v>
      </c>
      <c r="S109" s="63">
        <f t="shared" si="45"/>
        <v>0.70000000000000995</v>
      </c>
      <c r="T109" s="63">
        <f t="shared" si="45"/>
        <v>-6.8999999999999968</v>
      </c>
      <c r="U109" s="63">
        <f t="shared" si="45"/>
        <v>-6.5999999999999979</v>
      </c>
      <c r="V109" s="63">
        <f t="shared" si="45"/>
        <v>0.30000000000000426</v>
      </c>
      <c r="W109" s="63">
        <f t="shared" si="45"/>
        <v>10.000000000000009</v>
      </c>
      <c r="X109" s="63">
        <f t="shared" si="45"/>
        <v>5</v>
      </c>
      <c r="Y109" s="63">
        <f t="shared" si="45"/>
        <v>-0.90000000000000213</v>
      </c>
      <c r="Z109" s="63">
        <f t="shared" si="45"/>
        <v>0.89999999999999858</v>
      </c>
      <c r="AA109" s="63">
        <f t="shared" si="45"/>
        <v>4.5</v>
      </c>
      <c r="AB109" s="63">
        <f t="shared" si="45"/>
        <v>7</v>
      </c>
      <c r="AC109" s="63">
        <f t="shared" si="45"/>
        <v>-3.5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4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-3.4000000000000004</v>
      </c>
      <c r="G110" s="205">
        <f t="shared" si="46"/>
        <v>-5.6</v>
      </c>
      <c r="H110" s="205">
        <f t="shared" si="46"/>
        <v>-3.7999999999999989</v>
      </c>
      <c r="I110" s="205">
        <f t="shared" si="46"/>
        <v>-2.8099999999999996</v>
      </c>
      <c r="J110" s="205">
        <f t="shared" si="46"/>
        <v>-6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-6.6999999999999993</v>
      </c>
      <c r="L110" s="205">
        <f t="shared" si="46"/>
        <v>-5.1999999999999993</v>
      </c>
      <c r="M110" s="205">
        <f t="shared" si="46"/>
        <v>-4.1999999999999993</v>
      </c>
      <c r="N110" s="205">
        <f>(AND(IF(N13&lt;&gt;0,1,0),IF(N13&lt;&gt;"CMS",1,0))*7.2)+(AND(IF(N14&lt;&gt;0,1,0),IF(N14&lt;&gt;"CMS",1,0))*7.2)+(AND(IF(N15&lt;&gt;0,1,0),IF(N15&lt;&gt;"CMS",1,0))*7.2)+(AND(IF(N16&lt;&gt;0,1,0),IF(N16&lt;&gt;"CMS",1,0))*7.2)-N17
+(AND(IF(N27&lt;&gt;0,1,0),IF(N27&lt;&gt;"CMS",1,0))*4.9)+(AND(IF(N28&lt;&gt;0,1,0),IF(N28&lt;&gt;"CMS",1,0))*3.5)-N31
+AND(IF(N24&lt;&gt;0,1,0),IF(N24&lt;&gt;"CMS",1,0))*4.5-N25
+(AND(IF(N19&lt;&gt;0,1,0),IF(N19&lt;&gt;"CMS",1,0))*3.5)+(AND(IF(N20&lt;&gt;0,1,0),IF(N20&lt;&gt;"CMS",1,0))*4.5)+(AND(IF(N21&lt;&gt;0,1,0),IF(N21&lt;&gt;"CMS",1,0))*4.5)-N22</f>
        <v>-1.9000000000000004</v>
      </c>
      <c r="O110" s="205">
        <f t="shared" si="46"/>
        <v>-9.8999999999999986</v>
      </c>
      <c r="P110" s="205">
        <f t="shared" si="46"/>
        <v>-8.7999999999999972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-9.3000000000000007</v>
      </c>
      <c r="R110" s="205">
        <f t="shared" ref="R110:AC110" si="4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-9.1999999999999993</v>
      </c>
      <c r="S110" s="205">
        <f t="shared" si="47"/>
        <v>-2.8999999999999941</v>
      </c>
      <c r="T110" s="205">
        <f t="shared" si="47"/>
        <v>-10.5</v>
      </c>
      <c r="U110" s="205">
        <f t="shared" si="47"/>
        <v>-10.199999999999999</v>
      </c>
      <c r="V110" s="205">
        <f t="shared" si="47"/>
        <v>-5.8000000000000007</v>
      </c>
      <c r="W110" s="205">
        <f t="shared" si="47"/>
        <v>2.6000000000000059</v>
      </c>
      <c r="X110" s="205">
        <f t="shared" si="47"/>
        <v>0.10000000000000142</v>
      </c>
      <c r="Y110" s="205">
        <f t="shared" si="47"/>
        <v>-7.7000000000000011</v>
      </c>
      <c r="Z110" s="205">
        <f t="shared" si="47"/>
        <v>-5.6000000000000005</v>
      </c>
      <c r="AA110" s="205">
        <f t="shared" si="47"/>
        <v>-0.49999999999999822</v>
      </c>
      <c r="AB110" s="205">
        <f t="shared" si="47"/>
        <v>0.50000000000000178</v>
      </c>
      <c r="AC110" s="205">
        <f t="shared" si="47"/>
        <v>-3.8999999999999986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60.2</v>
      </c>
      <c r="G111" s="456">
        <v>60.22</v>
      </c>
      <c r="H111" s="456">
        <v>60.09</v>
      </c>
      <c r="I111" s="456">
        <v>60.17</v>
      </c>
      <c r="J111" s="456">
        <v>60.13</v>
      </c>
      <c r="K111" s="456">
        <v>60.05</v>
      </c>
      <c r="L111" s="456">
        <v>60.06</v>
      </c>
      <c r="M111" s="456">
        <v>60.15</v>
      </c>
      <c r="N111" s="456">
        <v>60.09</v>
      </c>
      <c r="O111" s="456">
        <v>60.04</v>
      </c>
      <c r="P111" s="456">
        <v>60.13</v>
      </c>
      <c r="Q111" s="456">
        <v>60.11</v>
      </c>
      <c r="R111" s="456">
        <v>60.12</v>
      </c>
      <c r="S111" s="456">
        <v>60.1</v>
      </c>
      <c r="T111" s="456">
        <v>60.12</v>
      </c>
      <c r="U111" s="456">
        <v>60.05</v>
      </c>
      <c r="V111" s="456">
        <v>60.26</v>
      </c>
      <c r="W111" s="456">
        <v>60.05</v>
      </c>
      <c r="X111" s="456">
        <v>60.08</v>
      </c>
      <c r="Y111" s="456">
        <v>60.06</v>
      </c>
      <c r="Z111" s="456">
        <v>60.05</v>
      </c>
      <c r="AA111" s="456">
        <v>60.11</v>
      </c>
      <c r="AB111" s="456">
        <v>60.09</v>
      </c>
      <c r="AC111" s="456">
        <v>60.09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101</v>
      </c>
      <c r="G115" s="520" t="s">
        <v>101</v>
      </c>
      <c r="H115" s="520" t="s">
        <v>101</v>
      </c>
      <c r="I115" s="520" t="s">
        <v>101</v>
      </c>
      <c r="J115" s="520" t="s">
        <v>101</v>
      </c>
      <c r="K115" s="520" t="s">
        <v>101</v>
      </c>
      <c r="L115" s="520" t="s">
        <v>101</v>
      </c>
      <c r="M115" s="520" t="s">
        <v>101</v>
      </c>
      <c r="N115" s="520" t="s">
        <v>101</v>
      </c>
      <c r="O115" s="520" t="s">
        <v>101</v>
      </c>
      <c r="P115" s="520" t="s">
        <v>101</v>
      </c>
      <c r="Q115" s="520" t="s">
        <v>101</v>
      </c>
      <c r="R115" s="520" t="s">
        <v>101</v>
      </c>
      <c r="S115" s="520" t="s">
        <v>101</v>
      </c>
      <c r="T115" s="520" t="s">
        <v>101</v>
      </c>
      <c r="U115" s="520" t="s">
        <v>101</v>
      </c>
      <c r="V115" s="520" t="s">
        <v>101</v>
      </c>
      <c r="W115" s="520" t="s">
        <v>101</v>
      </c>
      <c r="X115" s="520" t="s">
        <v>101</v>
      </c>
      <c r="Y115" s="520" t="s">
        <v>101</v>
      </c>
      <c r="Z115" s="520" t="s">
        <v>101</v>
      </c>
      <c r="AA115" s="520" t="s">
        <v>101</v>
      </c>
      <c r="AB115" s="520" t="s">
        <v>101</v>
      </c>
      <c r="AC115" s="520" t="s">
        <v>101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N13:O13 D42:E42 O14:O16 I15:N15 N16 L13:L14 I16:L16 H14:K14 H36:J59 L36:L59 H62:J64 L62:L64 N36:AC59 P13:AC16 N62:AC64">
    <cfRule type="cellIs" dxfId="1719" priority="528" operator="equal">
      <formula>"PMS"</formula>
    </cfRule>
    <cfRule type="containsText" dxfId="1718" priority="529" operator="containsText" text="CMS">
      <formula>NOT(ISERROR(SEARCH("CMS",D13)))</formula>
    </cfRule>
    <cfRule type="cellIs" dxfId="1717" priority="530" operator="equal">
      <formula>0</formula>
    </cfRule>
    <cfRule type="cellIs" dxfId="1716" priority="531" operator="greaterThan">
      <formula>0</formula>
    </cfRule>
    <cfRule type="cellIs" dxfId="1715" priority="532" operator="equal">
      <formula>"PMS"</formula>
    </cfRule>
    <cfRule type="containsText" dxfId="1714" priority="533" operator="containsText" text="CMS">
      <formula>NOT(ISERROR(SEARCH("CMS",D13)))</formula>
    </cfRule>
    <cfRule type="cellIs" dxfId="1713" priority="534" operator="equal">
      <formula>0</formula>
    </cfRule>
    <cfRule type="cellIs" dxfId="1712" priority="535" operator="greaterThan">
      <formula>0</formula>
    </cfRule>
  </conditionalFormatting>
  <conditionalFormatting sqref="H13:J13 N13:O13 D42:E42 O14:O16 I15:N15 N16 L13:L14 I16:L16 H14:K14 H36:J59 L36:L59 H62:J64 L62:L64 N36:AC59 P13:AC16 N62:AC64">
    <cfRule type="cellIs" dxfId="1711" priority="524" operator="equal">
      <formula>"PMS"</formula>
    </cfRule>
    <cfRule type="containsText" dxfId="1710" priority="525" operator="containsText" text="CMS">
      <formula>NOT(ISERROR(SEARCH("CMS",D13)))</formula>
    </cfRule>
    <cfRule type="cellIs" dxfId="1709" priority="526" operator="equal">
      <formula>0</formula>
    </cfRule>
    <cfRule type="cellIs" dxfId="1708" priority="527" operator="greaterThan">
      <formula>0</formula>
    </cfRule>
  </conditionalFormatting>
  <conditionalFormatting sqref="G67:AC75">
    <cfRule type="cellIs" dxfId="1707" priority="516" operator="equal">
      <formula>"PMS"</formula>
    </cfRule>
    <cfRule type="containsText" dxfId="1706" priority="517" operator="containsText" text="CMS">
      <formula>NOT(ISERROR(SEARCH("CMS",G67)))</formula>
    </cfRule>
    <cfRule type="cellIs" dxfId="1705" priority="518" operator="equal">
      <formula>0</formula>
    </cfRule>
    <cfRule type="cellIs" dxfId="1704" priority="519" operator="greaterThan">
      <formula>0</formula>
    </cfRule>
    <cfRule type="cellIs" dxfId="1703" priority="520" operator="equal">
      <formula>"PMS"</formula>
    </cfRule>
    <cfRule type="containsText" dxfId="1702" priority="521" operator="containsText" text="CMS">
      <formula>NOT(ISERROR(SEARCH("CMS",G67)))</formula>
    </cfRule>
    <cfRule type="cellIs" dxfId="1701" priority="522" operator="equal">
      <formula>0</formula>
    </cfRule>
    <cfRule type="cellIs" dxfId="1700" priority="523" operator="greaterThan">
      <formula>0</formula>
    </cfRule>
  </conditionalFormatting>
  <conditionalFormatting sqref="G67:AC75">
    <cfRule type="cellIs" dxfId="1699" priority="512" operator="equal">
      <formula>"PMS"</formula>
    </cfRule>
    <cfRule type="containsText" dxfId="1698" priority="513" operator="containsText" text="CMS">
      <formula>NOT(ISERROR(SEARCH("CMS",G67)))</formula>
    </cfRule>
    <cfRule type="cellIs" dxfId="1697" priority="514" operator="equal">
      <formula>0</formula>
    </cfRule>
    <cfRule type="cellIs" dxfId="1696" priority="515" operator="greaterThan">
      <formula>0</formula>
    </cfRule>
  </conditionalFormatting>
  <conditionalFormatting sqref="G82:AC82">
    <cfRule type="cellIs" dxfId="1695" priority="504" operator="equal">
      <formula>"PMS"</formula>
    </cfRule>
    <cfRule type="containsText" dxfId="1694" priority="505" operator="containsText" text="CMS">
      <formula>NOT(ISERROR(SEARCH("CMS",G82)))</formula>
    </cfRule>
    <cfRule type="cellIs" dxfId="1693" priority="506" operator="equal">
      <formula>0</formula>
    </cfRule>
    <cfRule type="cellIs" dxfId="1692" priority="507" operator="greaterThan">
      <formula>0</formula>
    </cfRule>
    <cfRule type="cellIs" dxfId="1691" priority="508" operator="equal">
      <formula>"PMS"</formula>
    </cfRule>
    <cfRule type="containsText" dxfId="1690" priority="509" operator="containsText" text="CMS">
      <formula>NOT(ISERROR(SEARCH("CMS",G82)))</formula>
    </cfRule>
    <cfRule type="cellIs" dxfId="1689" priority="510" operator="equal">
      <formula>0</formula>
    </cfRule>
    <cfRule type="cellIs" dxfId="1688" priority="511" operator="greaterThan">
      <formula>0</formula>
    </cfRule>
  </conditionalFormatting>
  <conditionalFormatting sqref="G82:AC82">
    <cfRule type="cellIs" dxfId="1687" priority="500" operator="equal">
      <formula>"PMS"</formula>
    </cfRule>
    <cfRule type="containsText" dxfId="1686" priority="501" operator="containsText" text="CMS">
      <formula>NOT(ISERROR(SEARCH("CMS",G82)))</formula>
    </cfRule>
    <cfRule type="cellIs" dxfId="1685" priority="502" operator="equal">
      <formula>0</formula>
    </cfRule>
    <cfRule type="cellIs" dxfId="1684" priority="503" operator="greaterThan">
      <formula>0</formula>
    </cfRule>
  </conditionalFormatting>
  <conditionalFormatting sqref="G13">
    <cfRule type="cellIs" dxfId="1683" priority="492" operator="equal">
      <formula>"PMS"</formula>
    </cfRule>
    <cfRule type="containsText" dxfId="1682" priority="493" operator="containsText" text="CMS">
      <formula>NOT(ISERROR(SEARCH("CMS",G13)))</formula>
    </cfRule>
    <cfRule type="cellIs" dxfId="1681" priority="494" operator="equal">
      <formula>0</formula>
    </cfRule>
    <cfRule type="cellIs" dxfId="1680" priority="495" operator="greaterThan">
      <formula>0</formula>
    </cfRule>
    <cfRule type="cellIs" dxfId="1679" priority="496" operator="equal">
      <formula>"PMS"</formula>
    </cfRule>
    <cfRule type="containsText" dxfId="1678" priority="497" operator="containsText" text="CMS">
      <formula>NOT(ISERROR(SEARCH("CMS",G13)))</formula>
    </cfRule>
    <cfRule type="cellIs" dxfId="1677" priority="498" operator="equal">
      <formula>0</formula>
    </cfRule>
    <cfRule type="cellIs" dxfId="1676" priority="499" operator="greaterThan">
      <formula>0</formula>
    </cfRule>
  </conditionalFormatting>
  <conditionalFormatting sqref="G13">
    <cfRule type="cellIs" dxfId="1675" priority="488" operator="equal">
      <formula>"PMS"</formula>
    </cfRule>
    <cfRule type="containsText" dxfId="1674" priority="489" operator="containsText" text="CMS">
      <formula>NOT(ISERROR(SEARCH("CMS",G13)))</formula>
    </cfRule>
    <cfRule type="cellIs" dxfId="1673" priority="490" operator="equal">
      <formula>0</formula>
    </cfRule>
    <cfRule type="cellIs" dxfId="1672" priority="491" operator="greaterThan">
      <formula>0</formula>
    </cfRule>
  </conditionalFormatting>
  <conditionalFormatting sqref="M13">
    <cfRule type="cellIs" dxfId="1671" priority="480" operator="equal">
      <formula>"PMS"</formula>
    </cfRule>
    <cfRule type="containsText" dxfId="1670" priority="481" operator="containsText" text="CMS">
      <formula>NOT(ISERROR(SEARCH("CMS",M13)))</formula>
    </cfRule>
    <cfRule type="cellIs" dxfId="1669" priority="482" operator="equal">
      <formula>0</formula>
    </cfRule>
    <cfRule type="cellIs" dxfId="1668" priority="483" operator="greaterThan">
      <formula>0</formula>
    </cfRule>
    <cfRule type="cellIs" dxfId="1667" priority="484" operator="equal">
      <formula>"PMS"</formula>
    </cfRule>
    <cfRule type="containsText" dxfId="1666" priority="485" operator="containsText" text="CMS">
      <formula>NOT(ISERROR(SEARCH("CMS",M13)))</formula>
    </cfRule>
    <cfRule type="cellIs" dxfId="1665" priority="486" operator="equal">
      <formula>0</formula>
    </cfRule>
    <cfRule type="cellIs" dxfId="1664" priority="487" operator="greaterThan">
      <formula>0</formula>
    </cfRule>
  </conditionalFormatting>
  <conditionalFormatting sqref="M13">
    <cfRule type="cellIs" dxfId="1663" priority="476" operator="equal">
      <formula>"PMS"</formula>
    </cfRule>
    <cfRule type="containsText" dxfId="1662" priority="477" operator="containsText" text="CMS">
      <formula>NOT(ISERROR(SEARCH("CMS",M13)))</formula>
    </cfRule>
    <cfRule type="cellIs" dxfId="1661" priority="478" operator="equal">
      <formula>0</formula>
    </cfRule>
    <cfRule type="cellIs" dxfId="1660" priority="479" operator="greaterThan">
      <formula>0</formula>
    </cfRule>
  </conditionalFormatting>
  <conditionalFormatting sqref="K13">
    <cfRule type="cellIs" dxfId="1659" priority="468" operator="equal">
      <formula>"PMS"</formula>
    </cfRule>
    <cfRule type="containsText" dxfId="1658" priority="469" operator="containsText" text="CMS">
      <formula>NOT(ISERROR(SEARCH("CMS",K13)))</formula>
    </cfRule>
    <cfRule type="cellIs" dxfId="1657" priority="470" operator="equal">
      <formula>0</formula>
    </cfRule>
    <cfRule type="cellIs" dxfId="1656" priority="471" operator="greaterThan">
      <formula>0</formula>
    </cfRule>
    <cfRule type="cellIs" dxfId="1655" priority="472" operator="equal">
      <formula>"PMS"</formula>
    </cfRule>
    <cfRule type="containsText" dxfId="1654" priority="473" operator="containsText" text="CMS">
      <formula>NOT(ISERROR(SEARCH("CMS",K13)))</formula>
    </cfRule>
    <cfRule type="cellIs" dxfId="1653" priority="474" operator="equal">
      <formula>0</formula>
    </cfRule>
    <cfRule type="cellIs" dxfId="1652" priority="475" operator="greaterThan">
      <formula>0</formula>
    </cfRule>
  </conditionalFormatting>
  <conditionalFormatting sqref="K13">
    <cfRule type="cellIs" dxfId="1651" priority="464" operator="equal">
      <formula>"PMS"</formula>
    </cfRule>
    <cfRule type="containsText" dxfId="1650" priority="465" operator="containsText" text="CMS">
      <formula>NOT(ISERROR(SEARCH("CMS",K13)))</formula>
    </cfRule>
    <cfRule type="cellIs" dxfId="1649" priority="466" operator="equal">
      <formula>0</formula>
    </cfRule>
    <cfRule type="cellIs" dxfId="1648" priority="467" operator="greaterThan">
      <formula>0</formula>
    </cfRule>
  </conditionalFormatting>
  <conditionalFormatting sqref="G113:AC113">
    <cfRule type="cellIs" dxfId="1647" priority="463" operator="greaterThan">
      <formula>60.3</formula>
    </cfRule>
  </conditionalFormatting>
  <conditionalFormatting sqref="H112:M112">
    <cfRule type="cellIs" dxfId="1646" priority="462" operator="greaterThan">
      <formula>60.3</formula>
    </cfRule>
  </conditionalFormatting>
  <conditionalFormatting sqref="F112:G112">
    <cfRule type="cellIs" dxfId="1645" priority="461" operator="greaterThan">
      <formula>60.3</formula>
    </cfRule>
  </conditionalFormatting>
  <conditionalFormatting sqref="N112:AC112">
    <cfRule type="cellIs" dxfId="1644" priority="460" operator="greaterThan">
      <formula>60.3</formula>
    </cfRule>
  </conditionalFormatting>
  <conditionalFormatting sqref="G15:G16">
    <cfRule type="cellIs" dxfId="1643" priority="452" operator="equal">
      <formula>"PMS"</formula>
    </cfRule>
    <cfRule type="containsText" dxfId="1642" priority="453" operator="containsText" text="CMS">
      <formula>NOT(ISERROR(SEARCH("CMS",G15)))</formula>
    </cfRule>
    <cfRule type="cellIs" dxfId="1641" priority="454" operator="equal">
      <formula>0</formula>
    </cfRule>
    <cfRule type="cellIs" dxfId="1640" priority="455" operator="greaterThan">
      <formula>0</formula>
    </cfRule>
    <cfRule type="cellIs" dxfId="1639" priority="456" operator="equal">
      <formula>"PMS"</formula>
    </cfRule>
    <cfRule type="containsText" dxfId="1638" priority="457" operator="containsText" text="CMS">
      <formula>NOT(ISERROR(SEARCH("CMS",G15)))</formula>
    </cfRule>
    <cfRule type="cellIs" dxfId="1637" priority="458" operator="equal">
      <formula>0</formula>
    </cfRule>
    <cfRule type="cellIs" dxfId="1636" priority="459" operator="greaterThan">
      <formula>0</formula>
    </cfRule>
  </conditionalFormatting>
  <conditionalFormatting sqref="G15:G16">
    <cfRule type="cellIs" dxfId="1635" priority="448" operator="equal">
      <formula>"PMS"</formula>
    </cfRule>
    <cfRule type="containsText" dxfId="1634" priority="449" operator="containsText" text="CMS">
      <formula>NOT(ISERROR(SEARCH("CMS",G15)))</formula>
    </cfRule>
    <cfRule type="cellIs" dxfId="1633" priority="450" operator="equal">
      <formula>0</formula>
    </cfRule>
    <cfRule type="cellIs" dxfId="1632" priority="451" operator="greaterThan">
      <formula>0</formula>
    </cfRule>
  </conditionalFormatting>
  <conditionalFormatting sqref="G36:G38 G57:G59">
    <cfRule type="cellIs" dxfId="1631" priority="440" operator="equal">
      <formula>"PMS"</formula>
    </cfRule>
    <cfRule type="containsText" dxfId="1630" priority="441" operator="containsText" text="CMS">
      <formula>NOT(ISERROR(SEARCH("CMS",G36)))</formula>
    </cfRule>
    <cfRule type="cellIs" dxfId="1629" priority="442" operator="equal">
      <formula>0</formula>
    </cfRule>
    <cfRule type="cellIs" dxfId="1628" priority="443" operator="greaterThan">
      <formula>0</formula>
    </cfRule>
    <cfRule type="cellIs" dxfId="1627" priority="444" operator="equal">
      <formula>"PMS"</formula>
    </cfRule>
    <cfRule type="containsText" dxfId="1626" priority="445" operator="containsText" text="CMS">
      <formula>NOT(ISERROR(SEARCH("CMS",G36)))</formula>
    </cfRule>
    <cfRule type="cellIs" dxfId="1625" priority="446" operator="equal">
      <formula>0</formula>
    </cfRule>
    <cfRule type="cellIs" dxfId="1624" priority="447" operator="greaterThan">
      <formula>0</formula>
    </cfRule>
  </conditionalFormatting>
  <conditionalFormatting sqref="G36:G38 G57:G59">
    <cfRule type="cellIs" dxfId="1623" priority="436" operator="equal">
      <formula>"PMS"</formula>
    </cfRule>
    <cfRule type="containsText" dxfId="1622" priority="437" operator="containsText" text="CMS">
      <formula>NOT(ISERROR(SEARCH("CMS",G36)))</formula>
    </cfRule>
    <cfRule type="cellIs" dxfId="1621" priority="438" operator="equal">
      <formula>0</formula>
    </cfRule>
    <cfRule type="cellIs" dxfId="1620" priority="439" operator="greaterThan">
      <formula>0</formula>
    </cfRule>
  </conditionalFormatting>
  <conditionalFormatting sqref="M36:M38 M57:M59">
    <cfRule type="cellIs" dxfId="1619" priority="428" operator="equal">
      <formula>"PMS"</formula>
    </cfRule>
    <cfRule type="containsText" dxfId="1618" priority="429" operator="containsText" text="CMS">
      <formula>NOT(ISERROR(SEARCH("CMS",M36)))</formula>
    </cfRule>
    <cfRule type="cellIs" dxfId="1617" priority="430" operator="equal">
      <formula>0</formula>
    </cfRule>
    <cfRule type="cellIs" dxfId="1616" priority="431" operator="greaterThan">
      <formula>0</formula>
    </cfRule>
    <cfRule type="cellIs" dxfId="1615" priority="432" operator="equal">
      <formula>"PMS"</formula>
    </cfRule>
    <cfRule type="containsText" dxfId="1614" priority="433" operator="containsText" text="CMS">
      <formula>NOT(ISERROR(SEARCH("CMS",M36)))</formula>
    </cfRule>
    <cfRule type="cellIs" dxfId="1613" priority="434" operator="equal">
      <formula>0</formula>
    </cfRule>
    <cfRule type="cellIs" dxfId="1612" priority="435" operator="greaterThan">
      <formula>0</formula>
    </cfRule>
  </conditionalFormatting>
  <conditionalFormatting sqref="M36:M38 M57:M59">
    <cfRule type="cellIs" dxfId="1611" priority="424" operator="equal">
      <formula>"PMS"</formula>
    </cfRule>
    <cfRule type="containsText" dxfId="1610" priority="425" operator="containsText" text="CMS">
      <formula>NOT(ISERROR(SEARCH("CMS",M36)))</formula>
    </cfRule>
    <cfRule type="cellIs" dxfId="1609" priority="426" operator="equal">
      <formula>0</formula>
    </cfRule>
    <cfRule type="cellIs" dxfId="1608" priority="427" operator="greaterThan">
      <formula>0</formula>
    </cfRule>
  </conditionalFormatting>
  <conditionalFormatting sqref="K36:K38 K57:K59">
    <cfRule type="cellIs" dxfId="1607" priority="416" operator="equal">
      <formula>"PMS"</formula>
    </cfRule>
    <cfRule type="containsText" dxfId="1606" priority="417" operator="containsText" text="CMS">
      <formula>NOT(ISERROR(SEARCH("CMS",K36)))</formula>
    </cfRule>
    <cfRule type="cellIs" dxfId="1605" priority="418" operator="equal">
      <formula>0</formula>
    </cfRule>
    <cfRule type="cellIs" dxfId="1604" priority="419" operator="greaterThan">
      <formula>0</formula>
    </cfRule>
    <cfRule type="cellIs" dxfId="1603" priority="420" operator="equal">
      <formula>"PMS"</formula>
    </cfRule>
    <cfRule type="containsText" dxfId="1602" priority="421" operator="containsText" text="CMS">
      <formula>NOT(ISERROR(SEARCH("CMS",K36)))</formula>
    </cfRule>
    <cfRule type="cellIs" dxfId="1601" priority="422" operator="equal">
      <formula>0</formula>
    </cfRule>
    <cfRule type="cellIs" dxfId="1600" priority="423" operator="greaterThan">
      <formula>0</formula>
    </cfRule>
  </conditionalFormatting>
  <conditionalFormatting sqref="K36:K38 K57:K59">
    <cfRule type="cellIs" dxfId="1599" priority="412" operator="equal">
      <formula>"PMS"</formula>
    </cfRule>
    <cfRule type="containsText" dxfId="1598" priority="413" operator="containsText" text="CMS">
      <formula>NOT(ISERROR(SEARCH("CMS",K36)))</formula>
    </cfRule>
    <cfRule type="cellIs" dxfId="1597" priority="414" operator="equal">
      <formula>0</formula>
    </cfRule>
    <cfRule type="cellIs" dxfId="1596" priority="415" operator="greaterThan">
      <formula>0</formula>
    </cfRule>
  </conditionalFormatting>
  <conditionalFormatting sqref="H15:H16">
    <cfRule type="cellIs" dxfId="1595" priority="320" operator="equal">
      <formula>"PMS"</formula>
    </cfRule>
    <cfRule type="containsText" dxfId="1594" priority="321" operator="containsText" text="CMS">
      <formula>NOT(ISERROR(SEARCH("CMS",H15)))</formula>
    </cfRule>
    <cfRule type="cellIs" dxfId="1593" priority="322" operator="equal">
      <formula>0</formula>
    </cfRule>
    <cfRule type="cellIs" dxfId="1592" priority="323" operator="greaterThan">
      <formula>0</formula>
    </cfRule>
    <cfRule type="cellIs" dxfId="1591" priority="324" operator="equal">
      <formula>"PMS"</formula>
    </cfRule>
    <cfRule type="containsText" dxfId="1590" priority="325" operator="containsText" text="CMS">
      <formula>NOT(ISERROR(SEARCH("CMS",H15)))</formula>
    </cfRule>
    <cfRule type="cellIs" dxfId="1589" priority="326" operator="equal">
      <formula>0</formula>
    </cfRule>
    <cfRule type="cellIs" dxfId="1588" priority="327" operator="greaterThan">
      <formula>0</formula>
    </cfRule>
  </conditionalFormatting>
  <conditionalFormatting sqref="H15:H16">
    <cfRule type="cellIs" dxfId="1587" priority="316" operator="equal">
      <formula>"PMS"</formula>
    </cfRule>
    <cfRule type="containsText" dxfId="1586" priority="317" operator="containsText" text="CMS">
      <formula>NOT(ISERROR(SEARCH("CMS",H15)))</formula>
    </cfRule>
    <cfRule type="cellIs" dxfId="1585" priority="318" operator="equal">
      <formula>0</formula>
    </cfRule>
    <cfRule type="cellIs" dxfId="1584" priority="319" operator="greaterThan">
      <formula>0</formula>
    </cfRule>
  </conditionalFormatting>
  <conditionalFormatting sqref="G14">
    <cfRule type="cellIs" dxfId="1583" priority="308" operator="equal">
      <formula>"PMS"</formula>
    </cfRule>
    <cfRule type="containsText" dxfId="1582" priority="309" operator="containsText" text="CMS">
      <formula>NOT(ISERROR(SEARCH("CMS",G14)))</formula>
    </cfRule>
    <cfRule type="cellIs" dxfId="1581" priority="310" operator="equal">
      <formula>0</formula>
    </cfRule>
    <cfRule type="cellIs" dxfId="1580" priority="311" operator="greaterThan">
      <formula>0</formula>
    </cfRule>
    <cfRule type="cellIs" dxfId="1579" priority="312" operator="equal">
      <formula>"PMS"</formula>
    </cfRule>
    <cfRule type="containsText" dxfId="1578" priority="313" operator="containsText" text="CMS">
      <formula>NOT(ISERROR(SEARCH("CMS",G14)))</formula>
    </cfRule>
    <cfRule type="cellIs" dxfId="1577" priority="314" operator="equal">
      <formula>0</formula>
    </cfRule>
    <cfRule type="cellIs" dxfId="1576" priority="315" operator="greaterThan">
      <formula>0</formula>
    </cfRule>
  </conditionalFormatting>
  <conditionalFormatting sqref="G14">
    <cfRule type="cellIs" dxfId="1575" priority="304" operator="equal">
      <formula>"PMS"</formula>
    </cfRule>
    <cfRule type="containsText" dxfId="1574" priority="305" operator="containsText" text="CMS">
      <formula>NOT(ISERROR(SEARCH("CMS",G14)))</formula>
    </cfRule>
    <cfRule type="cellIs" dxfId="1573" priority="306" operator="equal">
      <formula>0</formula>
    </cfRule>
    <cfRule type="cellIs" dxfId="1572" priority="307" operator="greaterThan">
      <formula>0</formula>
    </cfRule>
  </conditionalFormatting>
  <conditionalFormatting sqref="M16">
    <cfRule type="cellIs" dxfId="1571" priority="296" operator="equal">
      <formula>"PMS"</formula>
    </cfRule>
    <cfRule type="containsText" dxfId="1570" priority="297" operator="containsText" text="CMS">
      <formula>NOT(ISERROR(SEARCH("CMS",M16)))</formula>
    </cfRule>
    <cfRule type="cellIs" dxfId="1569" priority="298" operator="equal">
      <formula>0</formula>
    </cfRule>
    <cfRule type="cellIs" dxfId="1568" priority="299" operator="greaterThan">
      <formula>0</formula>
    </cfRule>
    <cfRule type="cellIs" dxfId="1567" priority="300" operator="equal">
      <formula>"PMS"</formula>
    </cfRule>
    <cfRule type="containsText" dxfId="1566" priority="301" operator="containsText" text="CMS">
      <formula>NOT(ISERROR(SEARCH("CMS",M16)))</formula>
    </cfRule>
    <cfRule type="cellIs" dxfId="1565" priority="302" operator="equal">
      <formula>0</formula>
    </cfRule>
    <cfRule type="cellIs" dxfId="1564" priority="303" operator="greaterThan">
      <formula>0</formula>
    </cfRule>
  </conditionalFormatting>
  <conditionalFormatting sqref="M16">
    <cfRule type="cellIs" dxfId="1563" priority="292" operator="equal">
      <formula>"PMS"</formula>
    </cfRule>
    <cfRule type="containsText" dxfId="1562" priority="293" operator="containsText" text="CMS">
      <formula>NOT(ISERROR(SEARCH("CMS",M16)))</formula>
    </cfRule>
    <cfRule type="cellIs" dxfId="1561" priority="294" operator="equal">
      <formula>0</formula>
    </cfRule>
    <cfRule type="cellIs" dxfId="1560" priority="295" operator="greaterThan">
      <formula>0</formula>
    </cfRule>
  </conditionalFormatting>
  <conditionalFormatting sqref="N14">
    <cfRule type="cellIs" dxfId="1559" priority="284" operator="equal">
      <formula>"PMS"</formula>
    </cfRule>
    <cfRule type="containsText" dxfId="1558" priority="285" operator="containsText" text="CMS">
      <formula>NOT(ISERROR(SEARCH("CMS",N14)))</formula>
    </cfRule>
    <cfRule type="cellIs" dxfId="1557" priority="286" operator="equal">
      <formula>0</formula>
    </cfRule>
    <cfRule type="cellIs" dxfId="1556" priority="287" operator="greaterThan">
      <formula>0</formula>
    </cfRule>
    <cfRule type="cellIs" dxfId="1555" priority="288" operator="equal">
      <formula>"PMS"</formula>
    </cfRule>
    <cfRule type="containsText" dxfId="1554" priority="289" operator="containsText" text="CMS">
      <formula>NOT(ISERROR(SEARCH("CMS",N14)))</formula>
    </cfRule>
    <cfRule type="cellIs" dxfId="1553" priority="290" operator="equal">
      <formula>0</formula>
    </cfRule>
    <cfRule type="cellIs" dxfId="1552" priority="291" operator="greaterThan">
      <formula>0</formula>
    </cfRule>
  </conditionalFormatting>
  <conditionalFormatting sqref="N14">
    <cfRule type="cellIs" dxfId="1551" priority="280" operator="equal">
      <formula>"PMS"</formula>
    </cfRule>
    <cfRule type="containsText" dxfId="1550" priority="281" operator="containsText" text="CMS">
      <formula>NOT(ISERROR(SEARCH("CMS",N14)))</formula>
    </cfRule>
    <cfRule type="cellIs" dxfId="1549" priority="282" operator="equal">
      <formula>0</formula>
    </cfRule>
    <cfRule type="cellIs" dxfId="1548" priority="283" operator="greaterThan">
      <formula>0</formula>
    </cfRule>
  </conditionalFormatting>
  <conditionalFormatting sqref="M14">
    <cfRule type="cellIs" dxfId="1547" priority="272" operator="equal">
      <formula>"PMS"</formula>
    </cfRule>
    <cfRule type="containsText" dxfId="1546" priority="273" operator="containsText" text="CMS">
      <formula>NOT(ISERROR(SEARCH("CMS",M14)))</formula>
    </cfRule>
    <cfRule type="cellIs" dxfId="1545" priority="274" operator="equal">
      <formula>0</formula>
    </cfRule>
    <cfRule type="cellIs" dxfId="1544" priority="275" operator="greaterThan">
      <formula>0</formula>
    </cfRule>
    <cfRule type="cellIs" dxfId="1543" priority="276" operator="equal">
      <formula>"PMS"</formula>
    </cfRule>
    <cfRule type="containsText" dxfId="1542" priority="277" operator="containsText" text="CMS">
      <formula>NOT(ISERROR(SEARCH("CMS",M14)))</formula>
    </cfRule>
    <cfRule type="cellIs" dxfId="1541" priority="278" operator="equal">
      <formula>0</formula>
    </cfRule>
    <cfRule type="cellIs" dxfId="1540" priority="279" operator="greaterThan">
      <formula>0</formula>
    </cfRule>
  </conditionalFormatting>
  <conditionalFormatting sqref="M14">
    <cfRule type="cellIs" dxfId="1539" priority="268" operator="equal">
      <formula>"PMS"</formula>
    </cfRule>
    <cfRule type="containsText" dxfId="1538" priority="269" operator="containsText" text="CMS">
      <formula>NOT(ISERROR(SEARCH("CMS",M14)))</formula>
    </cfRule>
    <cfRule type="cellIs" dxfId="1537" priority="270" operator="equal">
      <formula>0</formula>
    </cfRule>
    <cfRule type="cellIs" dxfId="1536" priority="271" operator="greaterThan">
      <formula>0</formula>
    </cfRule>
  </conditionalFormatting>
  <conditionalFormatting sqref="H111:M111">
    <cfRule type="cellIs" dxfId="1535" priority="267" operator="greaterThan">
      <formula>60.3</formula>
    </cfRule>
  </conditionalFormatting>
  <conditionalFormatting sqref="F111:G111">
    <cfRule type="cellIs" dxfId="1534" priority="266" operator="greaterThan">
      <formula>60.3</formula>
    </cfRule>
  </conditionalFormatting>
  <conditionalFormatting sqref="N111:AC111">
    <cfRule type="cellIs" dxfId="1533" priority="265" operator="greaterThan">
      <formula>60.3</formula>
    </cfRule>
  </conditionalFormatting>
  <conditionalFormatting sqref="H78:J79 L78:L79 H33:J33 L33 H27:J30 N27:AC30 L27:L30 H24:J24 L24 N24:AC24 H19:J21 N19:AC21 L19:L21 N78:AC79 N33:AC33">
    <cfRule type="cellIs" dxfId="1532" priority="101" operator="equal">
      <formula>"PMS"</formula>
    </cfRule>
    <cfRule type="containsText" dxfId="1531" priority="102" operator="containsText" text="CMS">
      <formula>NOT(ISERROR(SEARCH("CMS",H19)))</formula>
    </cfRule>
    <cfRule type="cellIs" dxfId="1530" priority="103" operator="equal">
      <formula>0</formula>
    </cfRule>
    <cfRule type="cellIs" dxfId="1529" priority="104" operator="greaterThan">
      <formula>0</formula>
    </cfRule>
    <cfRule type="cellIs" dxfId="1528" priority="105" operator="equal">
      <formula>"PMS"</formula>
    </cfRule>
    <cfRule type="containsText" dxfId="1527" priority="106" operator="containsText" text="CMS">
      <formula>NOT(ISERROR(SEARCH("CMS",H19)))</formula>
    </cfRule>
    <cfRule type="cellIs" dxfId="1526" priority="107" operator="equal">
      <formula>0</formula>
    </cfRule>
    <cfRule type="cellIs" dxfId="1525" priority="108" operator="greaterThan">
      <formula>0</formula>
    </cfRule>
  </conditionalFormatting>
  <conditionalFormatting sqref="H78:J79 L78:L79 H33:J33 L33 H27:J30 N27:AC30 L27:L30 H24:J24 L24 N24:AC24 H19:J21 N19:AC21 L19:L21 N78:AC79 N33:AC33">
    <cfRule type="cellIs" dxfId="1524" priority="97" operator="equal">
      <formula>"PMS"</formula>
    </cfRule>
    <cfRule type="containsText" dxfId="1523" priority="98" operator="containsText" text="CMS">
      <formula>NOT(ISERROR(SEARCH("CMS",H19)))</formula>
    </cfRule>
    <cfRule type="cellIs" dxfId="1522" priority="99" operator="equal">
      <formula>0</formula>
    </cfRule>
    <cfRule type="cellIs" dxfId="1521" priority="100" operator="greaterThan">
      <formula>0</formula>
    </cfRule>
  </conditionalFormatting>
  <conditionalFormatting sqref="G78:G79 G62:G64 G39:G56 G33 G27:G30 G24 G19:G21">
    <cfRule type="cellIs" dxfId="1520" priority="89" operator="equal">
      <formula>"PMS"</formula>
    </cfRule>
    <cfRule type="containsText" dxfId="1519" priority="90" operator="containsText" text="CMS">
      <formula>NOT(ISERROR(SEARCH("CMS",G19)))</formula>
    </cfRule>
    <cfRule type="cellIs" dxfId="1518" priority="91" operator="equal">
      <formula>0</formula>
    </cfRule>
    <cfRule type="cellIs" dxfId="1517" priority="92" operator="greaterThan">
      <formula>0</formula>
    </cfRule>
    <cfRule type="cellIs" dxfId="1516" priority="93" operator="equal">
      <formula>"PMS"</formula>
    </cfRule>
    <cfRule type="containsText" dxfId="1515" priority="94" operator="containsText" text="CMS">
      <formula>NOT(ISERROR(SEARCH("CMS",G19)))</formula>
    </cfRule>
    <cfRule type="cellIs" dxfId="1514" priority="95" operator="equal">
      <formula>0</formula>
    </cfRule>
    <cfRule type="cellIs" dxfId="1513" priority="96" operator="greaterThan">
      <formula>0</formula>
    </cfRule>
  </conditionalFormatting>
  <conditionalFormatting sqref="G78:G79 G62:G64 G39:G56 G33 G27:G30 G24 G19:G21">
    <cfRule type="cellIs" dxfId="1512" priority="85" operator="equal">
      <formula>"PMS"</formula>
    </cfRule>
    <cfRule type="containsText" dxfId="1511" priority="86" operator="containsText" text="CMS">
      <formula>NOT(ISERROR(SEARCH("CMS",G19)))</formula>
    </cfRule>
    <cfRule type="cellIs" dxfId="1510" priority="87" operator="equal">
      <formula>0</formula>
    </cfRule>
    <cfRule type="cellIs" dxfId="1509" priority="88" operator="greaterThan">
      <formula>0</formula>
    </cfRule>
  </conditionalFormatting>
  <conditionalFormatting sqref="M78:M79 M39:M56 M33 M27:M30 M24 M19:M21 M62:M64">
    <cfRule type="cellIs" dxfId="1508" priority="77" operator="equal">
      <formula>"PMS"</formula>
    </cfRule>
    <cfRule type="containsText" dxfId="1507" priority="78" operator="containsText" text="CMS">
      <formula>NOT(ISERROR(SEARCH("CMS",M19)))</formula>
    </cfRule>
    <cfRule type="cellIs" dxfId="1506" priority="79" operator="equal">
      <formula>0</formula>
    </cfRule>
    <cfRule type="cellIs" dxfId="1505" priority="80" operator="greaterThan">
      <formula>0</formula>
    </cfRule>
    <cfRule type="cellIs" dxfId="1504" priority="81" operator="equal">
      <formula>"PMS"</formula>
    </cfRule>
    <cfRule type="containsText" dxfId="1503" priority="82" operator="containsText" text="CMS">
      <formula>NOT(ISERROR(SEARCH("CMS",M19)))</formula>
    </cfRule>
    <cfRule type="cellIs" dxfId="1502" priority="83" operator="equal">
      <formula>0</formula>
    </cfRule>
    <cfRule type="cellIs" dxfId="1501" priority="84" operator="greaterThan">
      <formula>0</formula>
    </cfRule>
  </conditionalFormatting>
  <conditionalFormatting sqref="M78:M79 M39:M56 M33 M27:M30 M24 M19:M21 M62:M64">
    <cfRule type="cellIs" dxfId="1500" priority="73" operator="equal">
      <formula>"PMS"</formula>
    </cfRule>
    <cfRule type="containsText" dxfId="1499" priority="74" operator="containsText" text="CMS">
      <formula>NOT(ISERROR(SEARCH("CMS",M19)))</formula>
    </cfRule>
    <cfRule type="cellIs" dxfId="1498" priority="75" operator="equal">
      <formula>0</formula>
    </cfRule>
    <cfRule type="cellIs" dxfId="1497" priority="76" operator="greaterThan">
      <formula>0</formula>
    </cfRule>
  </conditionalFormatting>
  <conditionalFormatting sqref="K78:K79 K62:K64 K39:K56 K33 K27:K30 K24 K19:K21">
    <cfRule type="cellIs" dxfId="1496" priority="65" operator="equal">
      <formula>"PMS"</formula>
    </cfRule>
    <cfRule type="containsText" dxfId="1495" priority="66" operator="containsText" text="CMS">
      <formula>NOT(ISERROR(SEARCH("CMS",K19)))</formula>
    </cfRule>
    <cfRule type="cellIs" dxfId="1494" priority="67" operator="equal">
      <formula>0</formula>
    </cfRule>
    <cfRule type="cellIs" dxfId="1493" priority="68" operator="greaterThan">
      <formula>0</formula>
    </cfRule>
    <cfRule type="cellIs" dxfId="1492" priority="69" operator="equal">
      <formula>"PMS"</formula>
    </cfRule>
    <cfRule type="containsText" dxfId="1491" priority="70" operator="containsText" text="CMS">
      <formula>NOT(ISERROR(SEARCH("CMS",K19)))</formula>
    </cfRule>
    <cfRule type="cellIs" dxfId="1490" priority="71" operator="equal">
      <formula>0</formula>
    </cfRule>
    <cfRule type="cellIs" dxfId="1489" priority="72" operator="greaterThan">
      <formula>0</formula>
    </cfRule>
  </conditionalFormatting>
  <conditionalFormatting sqref="K78:K79 K62:K64 K39:K56 K33 K27:K30 K24 K19:K21">
    <cfRule type="cellIs" dxfId="1488" priority="61" operator="equal">
      <formula>"PMS"</formula>
    </cfRule>
    <cfRule type="containsText" dxfId="1487" priority="62" operator="containsText" text="CMS">
      <formula>NOT(ISERROR(SEARCH("CMS",K19)))</formula>
    </cfRule>
    <cfRule type="cellIs" dxfId="1486" priority="63" operator="equal">
      <formula>0</formula>
    </cfRule>
    <cfRule type="cellIs" dxfId="1485" priority="64" operator="greaterThan">
      <formula>0</formula>
    </cfRule>
  </conditionalFormatting>
  <conditionalFormatting sqref="F36:F59 F13:F16 F62:F64">
    <cfRule type="cellIs" dxfId="1484" priority="41" operator="equal">
      <formula>"PMS"</formula>
    </cfRule>
    <cfRule type="containsText" dxfId="1483" priority="42" operator="containsText" text="CMS">
      <formula>NOT(ISERROR(SEARCH("CMS",F13)))</formula>
    </cfRule>
    <cfRule type="cellIs" dxfId="1482" priority="43" operator="equal">
      <formula>0</formula>
    </cfRule>
    <cfRule type="cellIs" dxfId="1481" priority="44" operator="greaterThan">
      <formula>0</formula>
    </cfRule>
    <cfRule type="cellIs" dxfId="1480" priority="45" operator="equal">
      <formula>"PMS"</formula>
    </cfRule>
    <cfRule type="containsText" dxfId="1479" priority="46" operator="containsText" text="CMS">
      <formula>NOT(ISERROR(SEARCH("CMS",F13)))</formula>
    </cfRule>
    <cfRule type="cellIs" dxfId="1478" priority="47" operator="equal">
      <formula>0</formula>
    </cfRule>
    <cfRule type="cellIs" dxfId="1477" priority="48" operator="greaterThan">
      <formula>0</formula>
    </cfRule>
  </conditionalFormatting>
  <conditionalFormatting sqref="F36:F59 F13:F16 F62:F64">
    <cfRule type="cellIs" dxfId="1476" priority="37" operator="equal">
      <formula>"PMS"</formula>
    </cfRule>
    <cfRule type="containsText" dxfId="1475" priority="38" operator="containsText" text="CMS">
      <formula>NOT(ISERROR(SEARCH("CMS",F13)))</formula>
    </cfRule>
    <cfRule type="cellIs" dxfId="1474" priority="39" operator="equal">
      <formula>0</formula>
    </cfRule>
    <cfRule type="cellIs" dxfId="1473" priority="40" operator="greaterThan">
      <formula>0</formula>
    </cfRule>
  </conditionalFormatting>
  <conditionalFormatting sqref="F67:F75">
    <cfRule type="cellIs" dxfId="1472" priority="29" operator="equal">
      <formula>"PMS"</formula>
    </cfRule>
    <cfRule type="containsText" dxfId="1471" priority="30" operator="containsText" text="CMS">
      <formula>NOT(ISERROR(SEARCH("CMS",F67)))</formula>
    </cfRule>
    <cfRule type="cellIs" dxfId="1470" priority="31" operator="equal">
      <formula>0</formula>
    </cfRule>
    <cfRule type="cellIs" dxfId="1469" priority="32" operator="greaterThan">
      <formula>0</formula>
    </cfRule>
    <cfRule type="cellIs" dxfId="1468" priority="33" operator="equal">
      <formula>"PMS"</formula>
    </cfRule>
    <cfRule type="containsText" dxfId="1467" priority="34" operator="containsText" text="CMS">
      <formula>NOT(ISERROR(SEARCH("CMS",F67)))</formula>
    </cfRule>
    <cfRule type="cellIs" dxfId="1466" priority="35" operator="equal">
      <formula>0</formula>
    </cfRule>
    <cfRule type="cellIs" dxfId="1465" priority="36" operator="greaterThan">
      <formula>0</formula>
    </cfRule>
  </conditionalFormatting>
  <conditionalFormatting sqref="F67:F75">
    <cfRule type="cellIs" dxfId="1464" priority="25" operator="equal">
      <formula>"PMS"</formula>
    </cfRule>
    <cfRule type="containsText" dxfId="1463" priority="26" operator="containsText" text="CMS">
      <formula>NOT(ISERROR(SEARCH("CMS",F67)))</formula>
    </cfRule>
    <cfRule type="cellIs" dxfId="1462" priority="27" operator="equal">
      <formula>0</formula>
    </cfRule>
    <cfRule type="cellIs" dxfId="1461" priority="28" operator="greaterThan">
      <formula>0</formula>
    </cfRule>
  </conditionalFormatting>
  <conditionalFormatting sqref="F82">
    <cfRule type="cellIs" dxfId="1460" priority="17" operator="equal">
      <formula>"PMS"</formula>
    </cfRule>
    <cfRule type="containsText" dxfId="1459" priority="18" operator="containsText" text="CMS">
      <formula>NOT(ISERROR(SEARCH("CMS",F82)))</formula>
    </cfRule>
    <cfRule type="cellIs" dxfId="1458" priority="19" operator="equal">
      <formula>0</formula>
    </cfRule>
    <cfRule type="cellIs" dxfId="1457" priority="20" operator="greaterThan">
      <formula>0</formula>
    </cfRule>
    <cfRule type="cellIs" dxfId="1456" priority="21" operator="equal">
      <formula>"PMS"</formula>
    </cfRule>
    <cfRule type="containsText" dxfId="1455" priority="22" operator="containsText" text="CMS">
      <formula>NOT(ISERROR(SEARCH("CMS",F82)))</formula>
    </cfRule>
    <cfRule type="cellIs" dxfId="1454" priority="23" operator="equal">
      <formula>0</formula>
    </cfRule>
    <cfRule type="cellIs" dxfId="1453" priority="24" operator="greaterThan">
      <formula>0</formula>
    </cfRule>
  </conditionalFormatting>
  <conditionalFormatting sqref="F82">
    <cfRule type="cellIs" dxfId="1452" priority="13" operator="equal">
      <formula>"PMS"</formula>
    </cfRule>
    <cfRule type="containsText" dxfId="1451" priority="14" operator="containsText" text="CMS">
      <formula>NOT(ISERROR(SEARCH("CMS",F82)))</formula>
    </cfRule>
    <cfRule type="cellIs" dxfId="1450" priority="15" operator="equal">
      <formula>0</formula>
    </cfRule>
    <cfRule type="cellIs" dxfId="1449" priority="16" operator="greaterThan">
      <formula>0</formula>
    </cfRule>
  </conditionalFormatting>
  <conditionalFormatting sqref="F33 F27:F30 F24 F19:F21 F78:F79">
    <cfRule type="cellIs" dxfId="1448" priority="5" operator="equal">
      <formula>"PMS"</formula>
    </cfRule>
    <cfRule type="containsText" dxfId="1447" priority="6" operator="containsText" text="CMS">
      <formula>NOT(ISERROR(SEARCH("CMS",F19)))</formula>
    </cfRule>
    <cfRule type="cellIs" dxfId="1446" priority="7" operator="equal">
      <formula>0</formula>
    </cfRule>
    <cfRule type="cellIs" dxfId="1445" priority="8" operator="greaterThan">
      <formula>0</formula>
    </cfRule>
    <cfRule type="cellIs" dxfId="1444" priority="9" operator="equal">
      <formula>"PMS"</formula>
    </cfRule>
    <cfRule type="containsText" dxfId="1443" priority="10" operator="containsText" text="CMS">
      <formula>NOT(ISERROR(SEARCH("CMS",F19)))</formula>
    </cfRule>
    <cfRule type="cellIs" dxfId="1442" priority="11" operator="equal">
      <formula>0</formula>
    </cfRule>
    <cfRule type="cellIs" dxfId="1441" priority="12" operator="greaterThan">
      <formula>0</formula>
    </cfRule>
  </conditionalFormatting>
  <conditionalFormatting sqref="F33 F27:F30 F24 F19:F21 F78:F79">
    <cfRule type="cellIs" dxfId="1440" priority="1" operator="equal">
      <formula>"PMS"</formula>
    </cfRule>
    <cfRule type="containsText" dxfId="1439" priority="2" operator="containsText" text="CMS">
      <formula>NOT(ISERROR(SEARCH("CMS",F19)))</formula>
    </cfRule>
    <cfRule type="cellIs" dxfId="1438" priority="3" operator="equal">
      <formula>0</formula>
    </cfRule>
    <cfRule type="cellIs" dxfId="143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4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97CC9-F757-4461-8732-BB81DA77038E}">
  <sheetPr codeName="Sheet253"/>
  <dimension ref="A2:DT141"/>
  <sheetViews>
    <sheetView zoomScale="70" zoomScaleNormal="70" workbookViewId="0">
      <pane xSplit="5" ySplit="11" topLeftCell="F95" activePane="bottomRight" state="frozen"/>
      <selection pane="bottomRight" activeCell="AE105" sqref="AE105"/>
      <selection pane="bottomLeft" activeCell="A12" sqref="A12"/>
      <selection pane="topRight" activeCell="F1" sqref="F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28515625" customWidth="1"/>
    <col min="31" max="31" width="5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1</v>
      </c>
      <c r="E2" s="22" t="s">
        <v>2</v>
      </c>
      <c r="F2" s="22"/>
    </row>
    <row r="3" spans="1:41" ht="17.4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16"/>
      <c r="AK3" s="23" t="s">
        <v>1</v>
      </c>
      <c r="AL3" s="22" t="s">
        <v>2</v>
      </c>
      <c r="AM3" s="22"/>
    </row>
    <row r="4" spans="1:41" ht="17.4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1</v>
      </c>
      <c r="AL5" s="22" t="s">
        <v>4</v>
      </c>
      <c r="AM5" s="22"/>
      <c r="AN5" s="22"/>
      <c r="AO5" s="22"/>
    </row>
    <row r="6" spans="1:41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595"/>
      <c r="N8" s="595"/>
      <c r="O8" s="5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9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596" t="e" cm="1">
        <f t="array" aca="1" ref="M9" ca="1">TEXT(TODAY(),"mmmm")&amp;" "&amp;MID(CELL("filename",A1),FIND("]",CELL("filename",A1))+1,255)&amp;", "&amp;TEXT(TODAY(),"yyyy")</f>
        <v>#VALUE!</v>
      </c>
      <c r="N9" s="596"/>
      <c r="O9" s="596"/>
      <c r="P9" s="7"/>
      <c r="Q9" s="75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36"/>
      <c r="R10" s="336"/>
      <c r="S10" s="336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6.9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0.79166666666666663</v>
      </c>
      <c r="Z11" s="43">
        <v>0.83333333333333337</v>
      </c>
      <c r="AA11" s="43">
        <v>0.875000000000001</v>
      </c>
      <c r="AB11" s="43">
        <v>0.91666666666666663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/>
      <c r="N12" s="13" t="s">
        <v>21</v>
      </c>
      <c r="O12" s="309" t="s">
        <v>21</v>
      </c>
      <c r="P12" s="13" t="s">
        <v>21</v>
      </c>
      <c r="Q12" s="13" t="s">
        <v>21</v>
      </c>
      <c r="R12" s="13"/>
      <c r="S12" s="309" t="s">
        <v>21</v>
      </c>
      <c r="T12" s="515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59">
        <f>SUM(F13:AC16)</f>
        <v>429.9</v>
      </c>
    </row>
    <row r="13" spans="1:41">
      <c r="A13" s="14" t="s">
        <v>22</v>
      </c>
      <c r="B13" s="15"/>
      <c r="C13" s="15">
        <v>7.2</v>
      </c>
      <c r="D13" s="15"/>
      <c r="E13" s="15"/>
      <c r="F13" s="357" t="s">
        <v>9</v>
      </c>
      <c r="G13" s="357" t="s">
        <v>9</v>
      </c>
      <c r="H13" s="357" t="s">
        <v>9</v>
      </c>
      <c r="I13" s="357" t="s">
        <v>9</v>
      </c>
      <c r="J13" s="357" t="s">
        <v>9</v>
      </c>
      <c r="K13" s="357" t="s">
        <v>9</v>
      </c>
      <c r="L13" s="359" t="s">
        <v>9</v>
      </c>
      <c r="M13" s="357" t="s">
        <v>9</v>
      </c>
      <c r="N13" s="357" t="s">
        <v>9</v>
      </c>
      <c r="O13" s="357" t="s">
        <v>9</v>
      </c>
      <c r="P13" s="357" t="s">
        <v>9</v>
      </c>
      <c r="Q13" s="357" t="s">
        <v>9</v>
      </c>
      <c r="R13" s="357" t="s">
        <v>9</v>
      </c>
      <c r="S13" s="462" t="s">
        <v>9</v>
      </c>
      <c r="T13" s="462" t="s">
        <v>9</v>
      </c>
      <c r="U13" s="357" t="s">
        <v>9</v>
      </c>
      <c r="V13" s="357" t="s">
        <v>9</v>
      </c>
      <c r="W13" s="357" t="s">
        <v>9</v>
      </c>
      <c r="X13" s="357" t="s">
        <v>9</v>
      </c>
      <c r="Y13" s="357" t="s">
        <v>9</v>
      </c>
      <c r="Z13" s="357" t="s">
        <v>9</v>
      </c>
      <c r="AA13" s="357" t="s">
        <v>9</v>
      </c>
      <c r="AB13" s="357" t="s">
        <v>9</v>
      </c>
      <c r="AC13" s="357" t="s">
        <v>9</v>
      </c>
      <c r="AD13" s="41"/>
      <c r="AE13" s="41"/>
      <c r="AF13" s="11">
        <f>COUNTIF(F13:AC13,$AJ$8)</f>
        <v>24</v>
      </c>
      <c r="AG13" s="11">
        <f>COUNTIF(F13:AD13,$AJ$7)</f>
        <v>0</v>
      </c>
      <c r="AH13" s="11">
        <f>COUNT(F13:AC13)</f>
        <v>0</v>
      </c>
    </row>
    <row r="14" spans="1:41">
      <c r="A14" s="14" t="s">
        <v>23</v>
      </c>
      <c r="B14" s="15"/>
      <c r="C14" s="15">
        <v>7.2</v>
      </c>
      <c r="D14" s="15"/>
      <c r="E14" s="15"/>
      <c r="F14" s="357">
        <v>6.8</v>
      </c>
      <c r="G14" s="357"/>
      <c r="H14" s="357"/>
      <c r="I14" s="357">
        <v>6.6</v>
      </c>
      <c r="J14" s="357">
        <v>6.7</v>
      </c>
      <c r="K14" s="357">
        <v>6.4</v>
      </c>
      <c r="L14" s="357">
        <v>6.7</v>
      </c>
      <c r="M14" s="357">
        <v>6.7</v>
      </c>
      <c r="N14" s="357">
        <v>6.5</v>
      </c>
      <c r="O14" s="357">
        <v>6.8</v>
      </c>
      <c r="P14" s="357">
        <v>6.6</v>
      </c>
      <c r="Q14" s="357">
        <v>6.7</v>
      </c>
      <c r="R14" s="357">
        <v>6.7</v>
      </c>
      <c r="S14" s="462">
        <v>6.8</v>
      </c>
      <c r="T14" s="462">
        <v>6.7</v>
      </c>
      <c r="U14" s="462">
        <v>6.7</v>
      </c>
      <c r="V14" s="357">
        <v>6.7</v>
      </c>
      <c r="W14" s="357">
        <v>6.7</v>
      </c>
      <c r="X14" s="357">
        <v>6.7</v>
      </c>
      <c r="Y14" s="357">
        <v>6.7</v>
      </c>
      <c r="Z14" s="462">
        <v>6.6</v>
      </c>
      <c r="AA14" s="462">
        <v>6.6</v>
      </c>
      <c r="AB14" s="462">
        <v>6.4</v>
      </c>
      <c r="AC14" s="357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>
      <c r="A15" s="66" t="s">
        <v>24</v>
      </c>
      <c r="B15" s="15"/>
      <c r="C15" s="15">
        <v>7.2</v>
      </c>
      <c r="D15" s="15"/>
      <c r="E15" s="15"/>
      <c r="F15" s="462">
        <v>6</v>
      </c>
      <c r="G15" s="357">
        <v>6.6</v>
      </c>
      <c r="H15" s="357">
        <v>6.6</v>
      </c>
      <c r="I15" s="357">
        <v>6.6</v>
      </c>
      <c r="J15" s="357">
        <v>6.7</v>
      </c>
      <c r="K15" s="359">
        <v>6.4</v>
      </c>
      <c r="L15" s="359">
        <v>6.7</v>
      </c>
      <c r="M15" s="359">
        <v>6.7</v>
      </c>
      <c r="N15" s="357">
        <v>5.9</v>
      </c>
      <c r="O15" s="357">
        <v>6.8</v>
      </c>
      <c r="P15" s="357">
        <v>6.6</v>
      </c>
      <c r="Q15" s="357">
        <v>6.7</v>
      </c>
      <c r="R15" s="357">
        <v>6.7</v>
      </c>
      <c r="S15" s="462">
        <v>6.8</v>
      </c>
      <c r="T15" s="462">
        <v>6.7</v>
      </c>
      <c r="U15" s="462">
        <v>6.7</v>
      </c>
      <c r="V15" s="357">
        <v>6.7</v>
      </c>
      <c r="W15" s="357">
        <v>6.7</v>
      </c>
      <c r="X15" s="357">
        <v>6.6</v>
      </c>
      <c r="Y15" s="357">
        <v>6.7</v>
      </c>
      <c r="Z15" s="462">
        <v>6.6</v>
      </c>
      <c r="AA15" s="462">
        <v>6.6</v>
      </c>
      <c r="AB15" s="462">
        <v>6.4</v>
      </c>
      <c r="AC15" s="462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25</v>
      </c>
      <c r="B16" s="15"/>
      <c r="C16" s="15">
        <v>7.2</v>
      </c>
      <c r="D16" s="15"/>
      <c r="E16" s="15"/>
      <c r="F16" s="357">
        <v>6</v>
      </c>
      <c r="G16" s="357">
        <v>6.6</v>
      </c>
      <c r="H16" s="357">
        <v>6.6</v>
      </c>
      <c r="I16" s="357"/>
      <c r="J16" s="357"/>
      <c r="K16" s="359"/>
      <c r="L16" s="359"/>
      <c r="M16" s="357"/>
      <c r="N16" s="357">
        <v>6.5</v>
      </c>
      <c r="O16" s="357">
        <v>6.8</v>
      </c>
      <c r="P16" s="357">
        <v>6.6</v>
      </c>
      <c r="Q16" s="357">
        <v>6.7</v>
      </c>
      <c r="R16" s="357">
        <v>6.7</v>
      </c>
      <c r="S16" s="462">
        <v>6.8</v>
      </c>
      <c r="T16" s="462">
        <v>6.7</v>
      </c>
      <c r="U16" s="462">
        <v>6.7</v>
      </c>
      <c r="V16" s="357">
        <v>6.7</v>
      </c>
      <c r="W16" s="357">
        <v>6.7</v>
      </c>
      <c r="X16" s="357">
        <v>6.7</v>
      </c>
      <c r="Y16" s="357">
        <v>6.7</v>
      </c>
      <c r="Z16" s="462">
        <v>6.6</v>
      </c>
      <c r="AA16" s="462">
        <v>6.6</v>
      </c>
      <c r="AB16" s="462">
        <v>6.4</v>
      </c>
      <c r="AC16" s="357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</v>
      </c>
      <c r="G17" s="19">
        <f t="shared" si="0"/>
        <v>13.2</v>
      </c>
      <c r="H17" s="19">
        <f t="shared" si="0"/>
        <v>13.2</v>
      </c>
      <c r="I17" s="19">
        <f t="shared" si="0"/>
        <v>13.2</v>
      </c>
      <c r="J17" s="19">
        <f t="shared" si="0"/>
        <v>13.4</v>
      </c>
      <c r="K17" s="19">
        <f t="shared" si="0"/>
        <v>12.8</v>
      </c>
      <c r="L17" s="19">
        <f t="shared" si="0"/>
        <v>13.4</v>
      </c>
      <c r="M17" s="19">
        <f t="shared" si="0"/>
        <v>13.4</v>
      </c>
      <c r="N17" s="19">
        <f t="shared" si="0"/>
        <v>18.899999999999999</v>
      </c>
      <c r="O17" s="19">
        <f t="shared" si="0"/>
        <v>20.399999999999999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20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19.799999999999997</v>
      </c>
      <c r="AB17" s="19">
        <f t="shared" si="0"/>
        <v>19.200000000000003</v>
      </c>
      <c r="AC17" s="19">
        <f t="shared" si="0"/>
        <v>19.5</v>
      </c>
      <c r="AD17" s="41"/>
      <c r="AE17" s="41"/>
      <c r="AF17" s="11"/>
      <c r="AG17" s="11"/>
      <c r="AH17" s="11"/>
    </row>
    <row r="18" spans="1:51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309" t="s">
        <v>21</v>
      </c>
      <c r="T18" s="309" t="s">
        <v>21</v>
      </c>
      <c r="U18" s="13" t="s">
        <v>21</v>
      </c>
      <c r="V18" s="13" t="s">
        <v>21</v>
      </c>
      <c r="W18" s="13" t="s">
        <v>21</v>
      </c>
      <c r="X18" s="13"/>
      <c r="Y18" s="13" t="s">
        <v>21</v>
      </c>
      <c r="Z18" s="309" t="s">
        <v>21</v>
      </c>
      <c r="AA18" s="309" t="s">
        <v>21</v>
      </c>
      <c r="AB18" s="309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59">
        <f>SUM(F19:AC21)</f>
        <v>87.200000000000017</v>
      </c>
    </row>
    <row r="19" spans="1:51">
      <c r="A19" s="14" t="s">
        <v>22</v>
      </c>
      <c r="B19" s="15"/>
      <c r="C19" s="15">
        <v>3</v>
      </c>
      <c r="D19" s="15"/>
      <c r="E19" s="15"/>
      <c r="F19" s="357"/>
      <c r="G19" s="357"/>
      <c r="H19" s="357"/>
      <c r="I19" s="357"/>
      <c r="J19" s="357"/>
      <c r="K19" s="357"/>
      <c r="L19" s="359"/>
      <c r="M19" s="357"/>
      <c r="N19" s="357"/>
      <c r="O19" s="357">
        <v>2.8</v>
      </c>
      <c r="P19" s="357">
        <v>2.8</v>
      </c>
      <c r="Q19" s="357">
        <v>2.8</v>
      </c>
      <c r="R19" s="357">
        <v>2.8</v>
      </c>
      <c r="S19" s="462">
        <v>2.8</v>
      </c>
      <c r="T19" s="462">
        <v>2.8</v>
      </c>
      <c r="U19" s="357">
        <v>2.8</v>
      </c>
      <c r="V19" s="357">
        <v>2.8</v>
      </c>
      <c r="W19" s="357">
        <v>2.8</v>
      </c>
      <c r="X19" s="357">
        <v>2</v>
      </c>
      <c r="Y19" s="357">
        <v>2.8</v>
      </c>
      <c r="Z19" s="357">
        <v>2.8</v>
      </c>
      <c r="AA19" s="357">
        <v>2.1</v>
      </c>
      <c r="AB19" s="357">
        <v>2</v>
      </c>
      <c r="AC19" s="357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14</v>
      </c>
    </row>
    <row r="20" spans="1:51">
      <c r="A20" s="14" t="s">
        <v>23</v>
      </c>
      <c r="B20" s="15"/>
      <c r="C20" s="15">
        <v>4.5</v>
      </c>
      <c r="D20" s="15"/>
      <c r="E20" s="15"/>
      <c r="F20" s="357"/>
      <c r="G20" s="357"/>
      <c r="H20" s="357"/>
      <c r="I20" s="357"/>
      <c r="J20" s="357"/>
      <c r="K20" s="357"/>
      <c r="L20" s="359"/>
      <c r="M20" s="357"/>
      <c r="N20" s="357"/>
      <c r="O20" s="357">
        <v>3.5</v>
      </c>
      <c r="P20" s="357">
        <v>3.4</v>
      </c>
      <c r="Q20" s="357">
        <v>3.5</v>
      </c>
      <c r="R20" s="357">
        <v>3.4</v>
      </c>
      <c r="S20" s="462">
        <v>3.5</v>
      </c>
      <c r="T20" s="462">
        <v>3.5</v>
      </c>
      <c r="U20" s="357">
        <v>3.5</v>
      </c>
      <c r="V20" s="357">
        <v>3.5</v>
      </c>
      <c r="W20" s="357">
        <v>3.4</v>
      </c>
      <c r="X20" s="357">
        <v>3</v>
      </c>
      <c r="Y20" s="357">
        <v>3.5</v>
      </c>
      <c r="Z20" s="357">
        <v>3.4</v>
      </c>
      <c r="AA20" s="357">
        <v>3</v>
      </c>
      <c r="AB20" s="357">
        <v>3</v>
      </c>
      <c r="AC20" s="357">
        <v>3.2</v>
      </c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15</v>
      </c>
    </row>
    <row r="21" spans="1:51">
      <c r="A21" s="14" t="s">
        <v>24</v>
      </c>
      <c r="B21" s="15"/>
      <c r="C21" s="15">
        <v>4.5</v>
      </c>
      <c r="D21" s="15"/>
      <c r="E21" s="15"/>
      <c r="F21" s="357" t="s">
        <v>9</v>
      </c>
      <c r="G21" s="357" t="s">
        <v>9</v>
      </c>
      <c r="H21" s="357" t="s">
        <v>9</v>
      </c>
      <c r="I21" s="357" t="s">
        <v>9</v>
      </c>
      <c r="J21" s="357" t="s">
        <v>9</v>
      </c>
      <c r="K21" s="357" t="s">
        <v>9</v>
      </c>
      <c r="L21" s="359" t="s">
        <v>9</v>
      </c>
      <c r="M21" s="357" t="s">
        <v>9</v>
      </c>
      <c r="N21" s="357" t="s">
        <v>9</v>
      </c>
      <c r="O21" s="357" t="s">
        <v>9</v>
      </c>
      <c r="P21" s="357" t="s">
        <v>9</v>
      </c>
      <c r="Q21" s="357" t="s">
        <v>9</v>
      </c>
      <c r="R21" s="357" t="s">
        <v>9</v>
      </c>
      <c r="S21" s="462" t="s">
        <v>9</v>
      </c>
      <c r="T21" s="462" t="s">
        <v>9</v>
      </c>
      <c r="U21" s="357" t="s">
        <v>9</v>
      </c>
      <c r="V21" s="357" t="s">
        <v>9</v>
      </c>
      <c r="W21" s="357" t="s">
        <v>9</v>
      </c>
      <c r="X21" s="357" t="s">
        <v>9</v>
      </c>
      <c r="Y21" s="357" t="s">
        <v>9</v>
      </c>
      <c r="Z21" s="357" t="s">
        <v>9</v>
      </c>
      <c r="AA21" s="357" t="s">
        <v>9</v>
      </c>
      <c r="AB21" s="357" t="s">
        <v>9</v>
      </c>
      <c r="AC21" s="357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6.3</v>
      </c>
      <c r="P22" s="19">
        <f t="shared" si="1"/>
        <v>6.1999999999999993</v>
      </c>
      <c r="Q22" s="19">
        <f t="shared" si="1"/>
        <v>6.3</v>
      </c>
      <c r="R22" s="19">
        <f t="shared" si="1"/>
        <v>6.1999999999999993</v>
      </c>
      <c r="S22" s="19">
        <f t="shared" si="1"/>
        <v>6.3</v>
      </c>
      <c r="T22" s="19">
        <f t="shared" si="1"/>
        <v>6.3</v>
      </c>
      <c r="U22" s="19">
        <f t="shared" si="1"/>
        <v>6.3</v>
      </c>
      <c r="V22" s="19">
        <f t="shared" si="1"/>
        <v>6.3</v>
      </c>
      <c r="W22" s="19">
        <f t="shared" si="1"/>
        <v>6.1999999999999993</v>
      </c>
      <c r="X22" s="19">
        <f t="shared" si="1"/>
        <v>5</v>
      </c>
      <c r="Y22" s="19">
        <f t="shared" si="1"/>
        <v>6.3</v>
      </c>
      <c r="Z22" s="19">
        <f t="shared" si="1"/>
        <v>6.1999999999999993</v>
      </c>
      <c r="AA22" s="19">
        <f t="shared" si="1"/>
        <v>5.0999999999999996</v>
      </c>
      <c r="AB22" s="19">
        <f t="shared" si="1"/>
        <v>5</v>
      </c>
      <c r="AC22" s="19">
        <f t="shared" si="1"/>
        <v>3.2</v>
      </c>
      <c r="AD22" s="41"/>
      <c r="AE22" s="41"/>
      <c r="AF22" s="11"/>
      <c r="AG22" s="11"/>
      <c r="AH22" s="11"/>
      <c r="AI22" s="385"/>
    </row>
    <row r="23" spans="1:51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466"/>
      <c r="N23" s="13"/>
      <c r="O23" s="13"/>
      <c r="P23" s="13"/>
      <c r="Q23" s="13"/>
      <c r="R23" s="13"/>
      <c r="S23" s="309"/>
      <c r="T23" s="309"/>
      <c r="U23" s="13"/>
      <c r="V23" s="13"/>
      <c r="W23" s="13"/>
      <c r="X23" s="13"/>
      <c r="Y23" s="13"/>
      <c r="Z23" s="309"/>
      <c r="AA23" s="309"/>
      <c r="AB23" s="309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393">
        <f>SUM(F24:AC24)</f>
        <v>43.999999999999993</v>
      </c>
    </row>
    <row r="24" spans="1:51">
      <c r="A24" s="14" t="s">
        <v>22</v>
      </c>
      <c r="B24" s="20"/>
      <c r="C24" s="15">
        <v>4.5</v>
      </c>
      <c r="D24" s="15"/>
      <c r="E24" s="15"/>
      <c r="F24" s="357"/>
      <c r="G24" s="357"/>
      <c r="H24" s="357"/>
      <c r="I24" s="357"/>
      <c r="J24" s="357"/>
      <c r="K24" s="357"/>
      <c r="L24" s="359"/>
      <c r="M24" s="357"/>
      <c r="N24" s="357"/>
      <c r="O24" s="357" t="s">
        <v>9</v>
      </c>
      <c r="P24" s="357">
        <v>3</v>
      </c>
      <c r="Q24" s="357">
        <v>3.8</v>
      </c>
      <c r="R24" s="357">
        <v>3.8</v>
      </c>
      <c r="S24" s="462">
        <v>3.8</v>
      </c>
      <c r="T24" s="462">
        <v>3.8</v>
      </c>
      <c r="U24" s="357">
        <v>3.8</v>
      </c>
      <c r="V24" s="357">
        <v>3.8</v>
      </c>
      <c r="W24" s="357">
        <v>3.8</v>
      </c>
      <c r="X24" s="357">
        <v>3.8</v>
      </c>
      <c r="Y24" s="357">
        <v>3.8</v>
      </c>
      <c r="Z24" s="357">
        <v>3.8</v>
      </c>
      <c r="AA24" s="357">
        <v>3</v>
      </c>
      <c r="AB24" s="357"/>
      <c r="AC24" s="357"/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12</v>
      </c>
      <c r="AK24" s="5"/>
      <c r="AL24" s="336"/>
      <c r="AM24" s="5"/>
      <c r="AQ24" s="5"/>
      <c r="AR24" s="5"/>
      <c r="AS24" s="5"/>
      <c r="AW24" s="5"/>
      <c r="AX24" s="5"/>
      <c r="AY24" s="5"/>
    </row>
    <row r="25" spans="1:51">
      <c r="A25" s="9" t="s">
        <v>26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:AC25" si="2">SUM(F24)</f>
        <v>0</v>
      </c>
      <c r="G25" s="19">
        <f t="shared" si="2"/>
        <v>0</v>
      </c>
      <c r="H25" s="19">
        <f t="shared" si="2"/>
        <v>0</v>
      </c>
      <c r="I25" s="19">
        <f t="shared" si="2"/>
        <v>0</v>
      </c>
      <c r="J25" s="19">
        <f t="shared" si="2"/>
        <v>0</v>
      </c>
      <c r="K25" s="19">
        <f t="shared" si="2"/>
        <v>0</v>
      </c>
      <c r="L25" s="19">
        <f t="shared" si="2"/>
        <v>0</v>
      </c>
      <c r="M25" s="19">
        <f t="shared" si="2"/>
        <v>0</v>
      </c>
      <c r="N25" s="19">
        <f t="shared" si="2"/>
        <v>0</v>
      </c>
      <c r="O25" s="19">
        <f t="shared" si="2"/>
        <v>0</v>
      </c>
      <c r="P25" s="19">
        <f t="shared" si="2"/>
        <v>3</v>
      </c>
      <c r="Q25" s="19">
        <f t="shared" si="2"/>
        <v>3.8</v>
      </c>
      <c r="R25" s="19">
        <f t="shared" si="2"/>
        <v>3.8</v>
      </c>
      <c r="S25" s="19">
        <f t="shared" si="2"/>
        <v>3.8</v>
      </c>
      <c r="T25" s="19">
        <f t="shared" si="2"/>
        <v>3.8</v>
      </c>
      <c r="U25" s="19">
        <f t="shared" si="2"/>
        <v>3.8</v>
      </c>
      <c r="V25" s="19">
        <f t="shared" si="2"/>
        <v>3.8</v>
      </c>
      <c r="W25" s="19">
        <f t="shared" si="2"/>
        <v>3.8</v>
      </c>
      <c r="X25" s="19">
        <f t="shared" si="2"/>
        <v>3.8</v>
      </c>
      <c r="Y25" s="19">
        <f t="shared" si="2"/>
        <v>3.8</v>
      </c>
      <c r="Z25" s="19">
        <f t="shared" si="2"/>
        <v>3.8</v>
      </c>
      <c r="AA25" s="19">
        <f t="shared" si="2"/>
        <v>3</v>
      </c>
      <c r="AB25" s="19">
        <f t="shared" si="2"/>
        <v>0</v>
      </c>
      <c r="AC25" s="19">
        <f t="shared" si="2"/>
        <v>0</v>
      </c>
      <c r="AD25" s="41"/>
      <c r="AE25" s="41"/>
      <c r="AF25" s="11"/>
      <c r="AG25" s="11"/>
      <c r="AH25" s="11"/>
    </row>
    <row r="26" spans="1:51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309" t="s">
        <v>21</v>
      </c>
      <c r="T26" s="309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309" t="s">
        <v>21</v>
      </c>
      <c r="AA26" s="309" t="s">
        <v>21</v>
      </c>
      <c r="AB26" s="309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59">
        <f>SUM(F27:AC28)</f>
        <v>75.799999999999983</v>
      </c>
    </row>
    <row r="27" spans="1:51">
      <c r="A27" s="14" t="s">
        <v>22</v>
      </c>
      <c r="B27" s="15"/>
      <c r="C27" s="15">
        <v>4.9000000000000004</v>
      </c>
      <c r="D27" s="15"/>
      <c r="E27" s="15"/>
      <c r="F27" s="357"/>
      <c r="G27" s="357"/>
      <c r="H27" s="357"/>
      <c r="I27" s="357"/>
      <c r="J27" s="357"/>
      <c r="K27" s="357"/>
      <c r="L27" s="359"/>
      <c r="M27" s="357">
        <v>3.8</v>
      </c>
      <c r="N27" s="357">
        <v>3.8</v>
      </c>
      <c r="O27" s="357">
        <v>4</v>
      </c>
      <c r="P27" s="357">
        <v>4</v>
      </c>
      <c r="Q27" s="357">
        <v>3.8</v>
      </c>
      <c r="R27" s="357">
        <v>3.7</v>
      </c>
      <c r="S27" s="462">
        <v>3.8</v>
      </c>
      <c r="T27" s="462">
        <v>3.6</v>
      </c>
      <c r="U27" s="357">
        <v>0</v>
      </c>
      <c r="V27" s="357"/>
      <c r="W27" s="357"/>
      <c r="X27" s="357"/>
      <c r="Y27" s="357"/>
      <c r="Z27" s="357"/>
      <c r="AA27" s="357"/>
      <c r="AB27" s="357"/>
      <c r="AC27" s="357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9</v>
      </c>
    </row>
    <row r="28" spans="1:51">
      <c r="A28" s="14" t="s">
        <v>23</v>
      </c>
      <c r="B28" s="15"/>
      <c r="C28" s="15">
        <v>4.9000000000000004</v>
      </c>
      <c r="D28" s="15"/>
      <c r="E28" s="15"/>
      <c r="F28" s="357">
        <v>1.3</v>
      </c>
      <c r="G28" s="357">
        <v>3.8</v>
      </c>
      <c r="H28" s="357">
        <v>2</v>
      </c>
      <c r="I28" s="357">
        <v>1.5</v>
      </c>
      <c r="J28" s="357">
        <v>1.5</v>
      </c>
      <c r="K28" s="357">
        <v>2.5</v>
      </c>
      <c r="L28" s="359">
        <v>3.8</v>
      </c>
      <c r="M28" s="357">
        <v>0</v>
      </c>
      <c r="N28" s="357">
        <v>0</v>
      </c>
      <c r="O28" s="357">
        <v>0</v>
      </c>
      <c r="P28" s="357">
        <v>0</v>
      </c>
      <c r="Q28" s="357">
        <v>0</v>
      </c>
      <c r="R28" s="357">
        <v>0</v>
      </c>
      <c r="S28" s="462">
        <v>0</v>
      </c>
      <c r="T28" s="462">
        <v>0</v>
      </c>
      <c r="U28" s="357">
        <v>3.8</v>
      </c>
      <c r="V28" s="357">
        <v>3.8</v>
      </c>
      <c r="W28" s="357">
        <v>3.6</v>
      </c>
      <c r="X28" s="357">
        <v>3.8</v>
      </c>
      <c r="Y28" s="357">
        <v>3.8</v>
      </c>
      <c r="Z28" s="357">
        <v>3.8</v>
      </c>
      <c r="AA28" s="357">
        <v>3.3</v>
      </c>
      <c r="AB28" s="357">
        <v>1.5</v>
      </c>
      <c r="AC28" s="357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205.3</v>
      </c>
    </row>
    <row r="29" spans="1:51" ht="16.5" customHeight="1">
      <c r="A29" s="14" t="s">
        <v>30</v>
      </c>
      <c r="B29" s="354"/>
      <c r="C29" s="355">
        <v>8.8000000000000007</v>
      </c>
      <c r="D29" s="356"/>
      <c r="E29" s="356"/>
      <c r="F29" s="357"/>
      <c r="G29" s="357"/>
      <c r="H29" s="357"/>
      <c r="I29" s="357"/>
      <c r="J29" s="357"/>
      <c r="K29" s="357"/>
      <c r="L29" s="359"/>
      <c r="M29" s="357"/>
      <c r="N29" s="357"/>
      <c r="O29" s="357"/>
      <c r="P29" s="357">
        <v>2.7</v>
      </c>
      <c r="Q29" s="357">
        <v>3.2</v>
      </c>
      <c r="R29" s="357">
        <v>2.7</v>
      </c>
      <c r="S29" s="462">
        <v>3.3</v>
      </c>
      <c r="T29" s="462">
        <v>4.5</v>
      </c>
      <c r="U29" s="357">
        <v>4</v>
      </c>
      <c r="V29" s="357">
        <v>4</v>
      </c>
      <c r="W29" s="357">
        <v>3</v>
      </c>
      <c r="X29" s="357">
        <v>2.7</v>
      </c>
      <c r="Y29" s="357">
        <v>5.5</v>
      </c>
      <c r="Z29" s="357">
        <v>4.2</v>
      </c>
      <c r="AA29" s="357">
        <v>2.7</v>
      </c>
      <c r="AB29" s="357"/>
      <c r="AC29" s="357"/>
    </row>
    <row r="30" spans="1:51" ht="15" customHeight="1">
      <c r="A30" s="14" t="s">
        <v>31</v>
      </c>
      <c r="B30" s="354"/>
      <c r="C30" s="355">
        <v>8.8000000000000007</v>
      </c>
      <c r="D30" s="356"/>
      <c r="E30" s="356"/>
      <c r="F30" s="357">
        <v>5.6</v>
      </c>
      <c r="G30" s="357">
        <v>7</v>
      </c>
      <c r="H30" s="357">
        <v>7</v>
      </c>
      <c r="I30" s="357">
        <v>6.5</v>
      </c>
      <c r="J30" s="357">
        <v>6</v>
      </c>
      <c r="K30" s="357">
        <v>7</v>
      </c>
      <c r="L30" s="359">
        <v>7</v>
      </c>
      <c r="M30" s="357">
        <v>7</v>
      </c>
      <c r="N30" s="357">
        <v>7</v>
      </c>
      <c r="O30" s="357">
        <v>7.2</v>
      </c>
      <c r="P30" s="357">
        <v>7</v>
      </c>
      <c r="Q30" s="357">
        <v>7</v>
      </c>
      <c r="R30" s="357">
        <v>7</v>
      </c>
      <c r="S30" s="462">
        <v>7</v>
      </c>
      <c r="T30" s="462">
        <v>7</v>
      </c>
      <c r="U30" s="357">
        <v>7</v>
      </c>
      <c r="V30" s="357">
        <v>7</v>
      </c>
      <c r="W30" s="357">
        <v>7</v>
      </c>
      <c r="X30" s="357">
        <v>7</v>
      </c>
      <c r="Y30" s="357">
        <v>7</v>
      </c>
      <c r="Z30" s="357">
        <v>7</v>
      </c>
      <c r="AA30" s="357">
        <v>7</v>
      </c>
      <c r="AB30" s="357">
        <v>4.5</v>
      </c>
      <c r="AC30" s="357">
        <v>7</v>
      </c>
    </row>
    <row r="31" spans="1:51">
      <c r="A31" s="9" t="s">
        <v>26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3">SUM(F27:F30)</f>
        <v>6.8999999999999995</v>
      </c>
      <c r="G31" s="19">
        <f>SUM(G27:G30)</f>
        <v>10.8</v>
      </c>
      <c r="H31" s="19">
        <f>SUM(H27:H30)</f>
        <v>9</v>
      </c>
      <c r="I31" s="19">
        <f t="shared" ref="I31:X31" si="4">SUM(I27:I30)</f>
        <v>8</v>
      </c>
      <c r="J31" s="19">
        <f t="shared" si="4"/>
        <v>7.5</v>
      </c>
      <c r="K31" s="19">
        <f t="shared" si="4"/>
        <v>9.5</v>
      </c>
      <c r="L31" s="19">
        <f t="shared" si="4"/>
        <v>10.8</v>
      </c>
      <c r="M31" s="19">
        <f t="shared" si="4"/>
        <v>10.8</v>
      </c>
      <c r="N31" s="19">
        <f t="shared" si="4"/>
        <v>10.8</v>
      </c>
      <c r="O31" s="19">
        <f t="shared" si="4"/>
        <v>11.2</v>
      </c>
      <c r="P31" s="19">
        <f t="shared" si="4"/>
        <v>13.7</v>
      </c>
      <c r="Q31" s="19">
        <f t="shared" si="4"/>
        <v>14</v>
      </c>
      <c r="R31" s="19">
        <f t="shared" si="4"/>
        <v>13.4</v>
      </c>
      <c r="S31" s="463">
        <f t="shared" si="4"/>
        <v>14.1</v>
      </c>
      <c r="T31" s="463">
        <f t="shared" si="4"/>
        <v>15.1</v>
      </c>
      <c r="U31" s="19">
        <f t="shared" si="4"/>
        <v>14.8</v>
      </c>
      <c r="V31" s="19">
        <f t="shared" si="4"/>
        <v>14.8</v>
      </c>
      <c r="W31" s="19">
        <f t="shared" si="4"/>
        <v>13.6</v>
      </c>
      <c r="X31" s="19">
        <f t="shared" si="4"/>
        <v>13.5</v>
      </c>
      <c r="Y31" s="19">
        <f>SUM(Y27:Y30)</f>
        <v>16.3</v>
      </c>
      <c r="Z31" s="19">
        <f t="shared" ref="Z31:AC31" si="5">SUM(Z27:Z30)</f>
        <v>15</v>
      </c>
      <c r="AA31" s="19">
        <f t="shared" si="5"/>
        <v>13</v>
      </c>
      <c r="AB31" s="19">
        <f t="shared" si="5"/>
        <v>6</v>
      </c>
      <c r="AC31" s="19">
        <f t="shared" si="5"/>
        <v>8.5</v>
      </c>
      <c r="AD31" s="41"/>
      <c r="AE31" s="41"/>
      <c r="AF31" s="11"/>
      <c r="AG31" s="11"/>
      <c r="AH31" s="11"/>
    </row>
    <row r="32" spans="1:51">
      <c r="A32" s="12" t="s">
        <v>32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309"/>
      <c r="T32" s="309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21</v>
      </c>
      <c r="AG32" s="13" t="s">
        <v>21</v>
      </c>
      <c r="AH32" s="13" t="s">
        <v>21</v>
      </c>
      <c r="AI32" s="159">
        <f>SUM(F33:AC33)</f>
        <v>342</v>
      </c>
    </row>
    <row r="33" spans="1:36">
      <c r="A33" s="14" t="s">
        <v>22</v>
      </c>
      <c r="B33" s="15"/>
      <c r="C33" s="15">
        <v>15</v>
      </c>
      <c r="D33" s="15"/>
      <c r="E33" s="15"/>
      <c r="F33" s="357">
        <v>13.78</v>
      </c>
      <c r="G33" s="357">
        <v>14.27</v>
      </c>
      <c r="H33" s="357">
        <v>14.29</v>
      </c>
      <c r="I33" s="357">
        <v>14.28</v>
      </c>
      <c r="J33" s="357">
        <v>14.27</v>
      </c>
      <c r="K33" s="357">
        <v>14.27</v>
      </c>
      <c r="L33" s="359">
        <v>14.26</v>
      </c>
      <c r="M33" s="357">
        <v>14.28</v>
      </c>
      <c r="N33" s="357">
        <v>14.25</v>
      </c>
      <c r="O33" s="357">
        <v>14.26</v>
      </c>
      <c r="P33" s="357">
        <v>14.29</v>
      </c>
      <c r="Q33" s="357">
        <v>14.25</v>
      </c>
      <c r="R33" s="357">
        <v>14.29</v>
      </c>
      <c r="S33" s="462">
        <v>14.27</v>
      </c>
      <c r="T33" s="462">
        <v>14.24</v>
      </c>
      <c r="U33" s="357">
        <v>14.3</v>
      </c>
      <c r="V33" s="357">
        <v>14.28</v>
      </c>
      <c r="W33" s="357">
        <v>14.24</v>
      </c>
      <c r="X33" s="357">
        <v>14.3</v>
      </c>
      <c r="Y33" s="357">
        <v>14.3</v>
      </c>
      <c r="Z33" s="357">
        <v>14.27</v>
      </c>
      <c r="AA33" s="357">
        <v>14.29</v>
      </c>
      <c r="AB33" s="357">
        <v>14.26</v>
      </c>
      <c r="AC33" s="357">
        <v>14.21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6">
      <c r="A34" s="9" t="s">
        <v>26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:AC34" si="6">SUM(F33)</f>
        <v>13.78</v>
      </c>
      <c r="G34" s="19">
        <f t="shared" si="6"/>
        <v>14.27</v>
      </c>
      <c r="H34" s="19">
        <f t="shared" si="6"/>
        <v>14.29</v>
      </c>
      <c r="I34" s="19">
        <f t="shared" si="6"/>
        <v>14.28</v>
      </c>
      <c r="J34" s="19">
        <f t="shared" si="6"/>
        <v>14.27</v>
      </c>
      <c r="K34" s="19">
        <f t="shared" si="6"/>
        <v>14.27</v>
      </c>
      <c r="L34" s="19">
        <f t="shared" si="6"/>
        <v>14.26</v>
      </c>
      <c r="M34" s="19">
        <f t="shared" si="6"/>
        <v>14.28</v>
      </c>
      <c r="N34" s="19">
        <f t="shared" si="6"/>
        <v>14.25</v>
      </c>
      <c r="O34" s="19">
        <f t="shared" si="6"/>
        <v>14.26</v>
      </c>
      <c r="P34" s="19">
        <f t="shared" si="6"/>
        <v>14.29</v>
      </c>
      <c r="Q34" s="19">
        <f t="shared" si="6"/>
        <v>14.25</v>
      </c>
      <c r="R34" s="19">
        <f t="shared" si="6"/>
        <v>14.29</v>
      </c>
      <c r="S34" s="19">
        <f t="shared" si="6"/>
        <v>14.27</v>
      </c>
      <c r="T34" s="19">
        <f t="shared" si="6"/>
        <v>14.24</v>
      </c>
      <c r="U34" s="19">
        <f t="shared" si="6"/>
        <v>14.3</v>
      </c>
      <c r="V34" s="19">
        <f t="shared" si="6"/>
        <v>14.28</v>
      </c>
      <c r="W34" s="19">
        <f t="shared" si="6"/>
        <v>14.24</v>
      </c>
      <c r="X34" s="19">
        <f t="shared" si="6"/>
        <v>14.3</v>
      </c>
      <c r="Y34" s="19">
        <f t="shared" si="6"/>
        <v>14.3</v>
      </c>
      <c r="Z34" s="19">
        <f t="shared" si="6"/>
        <v>14.27</v>
      </c>
      <c r="AA34" s="19">
        <f t="shared" si="6"/>
        <v>14.29</v>
      </c>
      <c r="AB34" s="19">
        <f>SUM(AB33)</f>
        <v>14.26</v>
      </c>
      <c r="AC34" s="19">
        <f t="shared" si="6"/>
        <v>14.21</v>
      </c>
      <c r="AD34" s="41"/>
      <c r="AE34" s="41"/>
      <c r="AF34" s="11"/>
      <c r="AG34" s="11"/>
      <c r="AH34" s="11"/>
    </row>
    <row r="35" spans="1:36">
      <c r="A35" s="12" t="s">
        <v>33</v>
      </c>
      <c r="B35" s="13"/>
      <c r="C35" s="13"/>
      <c r="D35" s="13"/>
      <c r="E35" s="13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7"/>
      <c r="R35" s="427"/>
      <c r="S35" s="516"/>
      <c r="T35" s="516"/>
      <c r="U35" s="427"/>
      <c r="V35" s="427"/>
      <c r="W35" s="428"/>
      <c r="X35" s="427"/>
      <c r="Y35" s="427"/>
      <c r="Z35" s="427"/>
      <c r="AA35" s="427"/>
      <c r="AB35" s="427"/>
      <c r="AC35" s="427"/>
      <c r="AD35" s="41"/>
      <c r="AE35" s="41"/>
      <c r="AF35" s="13" t="s">
        <v>21</v>
      </c>
      <c r="AG35" s="13" t="s">
        <v>21</v>
      </c>
      <c r="AH35" s="13" t="s">
        <v>21</v>
      </c>
      <c r="AI35" s="159">
        <f>SUM(F39:AC39,F41:AC44)</f>
        <v>0</v>
      </c>
      <c r="AJ35" t="s">
        <v>34</v>
      </c>
    </row>
    <row r="36" spans="1:36" hidden="1">
      <c r="A36" s="70" t="s">
        <v>35</v>
      </c>
      <c r="B36" s="15"/>
      <c r="C36" s="15"/>
      <c r="D36" s="15"/>
      <c r="E36" s="15"/>
      <c r="F36" s="357"/>
      <c r="G36" s="357"/>
      <c r="H36" s="357"/>
      <c r="I36" s="357"/>
      <c r="J36" s="357"/>
      <c r="K36" s="357"/>
      <c r="L36" s="359"/>
      <c r="M36" s="357"/>
      <c r="N36" s="357"/>
      <c r="O36" s="357"/>
      <c r="P36" s="357"/>
      <c r="Q36" s="357"/>
      <c r="R36" s="357"/>
      <c r="S36" s="462"/>
      <c r="T36" s="462"/>
      <c r="U36" s="357"/>
      <c r="V36" s="357"/>
      <c r="W36" s="357"/>
      <c r="X36" s="357"/>
      <c r="Y36" s="357"/>
      <c r="Z36" s="357"/>
      <c r="AA36" s="357"/>
      <c r="AB36" s="357"/>
      <c r="AC36" s="357"/>
      <c r="AD36" s="41"/>
      <c r="AE36" s="41"/>
      <c r="AF36" s="11">
        <f t="shared" ref="AF36:AF59" si="7">COUNTIF(F36:AC36,$AJ$8)</f>
        <v>0</v>
      </c>
      <c r="AG36" s="11">
        <f t="shared" ref="AG36:AG59" si="8">COUNTIF(G36:AD36,$AJ$7)</f>
        <v>0</v>
      </c>
      <c r="AH36" s="11">
        <f t="shared" ref="AH36:AH59" si="9">COUNT(F36:AC36)</f>
        <v>0</v>
      </c>
      <c r="AI36" s="159">
        <f>SUM(F36:AC38,F40:AC40,F45:AC59)</f>
        <v>34.700000000000003</v>
      </c>
      <c r="AJ36" t="s">
        <v>36</v>
      </c>
    </row>
    <row r="37" spans="1:36" hidden="1">
      <c r="A37" s="70" t="s">
        <v>37</v>
      </c>
      <c r="B37" s="15"/>
      <c r="C37" s="15"/>
      <c r="D37" s="15"/>
      <c r="E37" s="15"/>
      <c r="F37" s="357"/>
      <c r="G37" s="357"/>
      <c r="H37" s="357"/>
      <c r="I37" s="357"/>
      <c r="J37" s="357"/>
      <c r="K37" s="357"/>
      <c r="L37" s="359"/>
      <c r="M37" s="357"/>
      <c r="N37" s="357"/>
      <c r="O37" s="357"/>
      <c r="P37" s="357"/>
      <c r="Q37" s="357"/>
      <c r="R37" s="357"/>
      <c r="S37" s="462"/>
      <c r="T37" s="462"/>
      <c r="U37" s="357"/>
      <c r="V37" s="357"/>
      <c r="W37" s="357"/>
      <c r="X37" s="357"/>
      <c r="Y37" s="357"/>
      <c r="Z37" s="357"/>
      <c r="AA37" s="357"/>
      <c r="AB37" s="357"/>
      <c r="AC37" s="357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6" hidden="1">
      <c r="A38" s="70" t="s">
        <v>38</v>
      </c>
      <c r="B38" s="15"/>
      <c r="C38" s="15"/>
      <c r="D38" s="15"/>
      <c r="E38" s="15"/>
      <c r="F38" s="357"/>
      <c r="G38" s="357"/>
      <c r="H38" s="357"/>
      <c r="I38" s="357"/>
      <c r="J38" s="357"/>
      <c r="K38" s="357"/>
      <c r="L38" s="359"/>
      <c r="M38" s="357"/>
      <c r="N38" s="357"/>
      <c r="O38" s="357"/>
      <c r="P38" s="357"/>
      <c r="Q38" s="357"/>
      <c r="R38" s="357"/>
      <c r="S38" s="462"/>
      <c r="T38" s="462"/>
      <c r="U38" s="357"/>
      <c r="V38" s="357"/>
      <c r="W38" s="357"/>
      <c r="X38" s="357"/>
      <c r="Y38" s="357"/>
      <c r="Z38" s="357"/>
      <c r="AA38" s="357"/>
      <c r="AB38" s="357"/>
      <c r="AC38" s="357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6" hidden="1">
      <c r="A39" s="70">
        <v>34</v>
      </c>
      <c r="B39" s="15"/>
      <c r="C39" s="15">
        <v>0.8</v>
      </c>
      <c r="D39" s="15"/>
      <c r="E39" s="15"/>
      <c r="F39" s="357"/>
      <c r="G39" s="357"/>
      <c r="H39" s="357"/>
      <c r="I39" s="357"/>
      <c r="J39" s="357"/>
      <c r="K39" s="357"/>
      <c r="L39" s="359"/>
      <c r="M39" s="357"/>
      <c r="N39" s="357"/>
      <c r="O39" s="357"/>
      <c r="P39" s="357"/>
      <c r="Q39" s="357"/>
      <c r="R39" s="357"/>
      <c r="S39" s="462"/>
      <c r="T39" s="462"/>
      <c r="U39" s="357"/>
      <c r="V39" s="357"/>
      <c r="W39" s="357"/>
      <c r="X39" s="357"/>
      <c r="Y39" s="357"/>
      <c r="Z39" s="357"/>
      <c r="AA39" s="357"/>
      <c r="AB39" s="357"/>
      <c r="AC39" s="357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6">
      <c r="A40" s="70">
        <v>35</v>
      </c>
      <c r="B40" s="15"/>
      <c r="C40" s="15">
        <v>0.8</v>
      </c>
      <c r="D40" s="15"/>
      <c r="E40" s="15"/>
      <c r="F40" s="357"/>
      <c r="G40" s="357"/>
      <c r="H40" s="357"/>
      <c r="I40" s="357"/>
      <c r="J40" s="357"/>
      <c r="K40" s="357"/>
      <c r="L40" s="359"/>
      <c r="M40" s="357"/>
      <c r="N40" s="357"/>
      <c r="O40" s="357"/>
      <c r="P40" s="357">
        <v>0</v>
      </c>
      <c r="Q40" s="357">
        <v>0</v>
      </c>
      <c r="R40" s="357">
        <v>0</v>
      </c>
      <c r="S40" s="462">
        <v>0</v>
      </c>
      <c r="T40" s="462">
        <v>0.8</v>
      </c>
      <c r="U40" s="357">
        <v>0.8</v>
      </c>
      <c r="V40" s="357">
        <v>0.8</v>
      </c>
      <c r="W40" s="357">
        <v>0</v>
      </c>
      <c r="X40" s="357">
        <v>0</v>
      </c>
      <c r="Y40" s="357">
        <v>0</v>
      </c>
      <c r="Z40" s="357">
        <v>0</v>
      </c>
      <c r="AA40" s="357">
        <v>0</v>
      </c>
      <c r="AB40" s="357">
        <v>0</v>
      </c>
      <c r="AC40" s="357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14</v>
      </c>
    </row>
    <row r="41" spans="1:36" hidden="1">
      <c r="A41" s="70">
        <v>36</v>
      </c>
      <c r="B41" s="15"/>
      <c r="C41" s="15"/>
      <c r="D41" s="15"/>
      <c r="E41" s="15"/>
      <c r="F41" s="357"/>
      <c r="G41" s="357"/>
      <c r="H41" s="357"/>
      <c r="I41" s="357"/>
      <c r="J41" s="357"/>
      <c r="K41" s="357"/>
      <c r="L41" s="359"/>
      <c r="M41" s="357"/>
      <c r="N41" s="357"/>
      <c r="O41" s="357"/>
      <c r="P41" s="357"/>
      <c r="Q41" s="357"/>
      <c r="R41" s="357"/>
      <c r="S41" s="462"/>
      <c r="T41" s="462"/>
      <c r="U41" s="357"/>
      <c r="V41" s="357"/>
      <c r="W41" s="357"/>
      <c r="X41" s="357"/>
      <c r="Y41" s="357"/>
      <c r="Z41" s="357"/>
      <c r="AA41" s="357"/>
      <c r="AB41" s="357"/>
      <c r="AC41" s="357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6">
      <c r="A42" s="70">
        <v>37</v>
      </c>
      <c r="B42" s="15"/>
      <c r="C42" s="15">
        <v>0.9</v>
      </c>
      <c r="D42" s="357">
        <v>0.8</v>
      </c>
      <c r="E42" s="357">
        <v>0.8</v>
      </c>
      <c r="F42" s="357" t="s">
        <v>9</v>
      </c>
      <c r="G42" s="357" t="s">
        <v>9</v>
      </c>
      <c r="H42" s="357" t="s">
        <v>9</v>
      </c>
      <c r="I42" s="357" t="s">
        <v>9</v>
      </c>
      <c r="J42" s="357" t="s">
        <v>9</v>
      </c>
      <c r="K42" s="357" t="s">
        <v>9</v>
      </c>
      <c r="L42" s="359" t="s">
        <v>9</v>
      </c>
      <c r="M42" s="357" t="s">
        <v>9</v>
      </c>
      <c r="N42" s="357" t="s">
        <v>9</v>
      </c>
      <c r="O42" s="357" t="s">
        <v>9</v>
      </c>
      <c r="P42" s="357" t="s">
        <v>9</v>
      </c>
      <c r="Q42" s="357" t="s">
        <v>9</v>
      </c>
      <c r="R42" s="357" t="s">
        <v>9</v>
      </c>
      <c r="S42" s="462" t="s">
        <v>9</v>
      </c>
      <c r="T42" s="462" t="s">
        <v>9</v>
      </c>
      <c r="U42" s="357" t="s">
        <v>9</v>
      </c>
      <c r="V42" s="357" t="s">
        <v>9</v>
      </c>
      <c r="W42" s="357" t="s">
        <v>9</v>
      </c>
      <c r="X42" s="357" t="s">
        <v>9</v>
      </c>
      <c r="Y42" s="357" t="s">
        <v>9</v>
      </c>
      <c r="Z42" s="357" t="s">
        <v>9</v>
      </c>
      <c r="AA42" s="357" t="s">
        <v>9</v>
      </c>
      <c r="AB42" s="357" t="s">
        <v>9</v>
      </c>
      <c r="AC42" s="357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6" hidden="1">
      <c r="A43" s="70">
        <v>38</v>
      </c>
      <c r="B43" s="15"/>
      <c r="C43" s="15"/>
      <c r="D43" s="15"/>
      <c r="E43" s="15"/>
      <c r="F43" s="357"/>
      <c r="G43" s="357"/>
      <c r="H43" s="357"/>
      <c r="I43" s="357"/>
      <c r="J43" s="357"/>
      <c r="K43" s="357"/>
      <c r="L43" s="359"/>
      <c r="M43" s="357"/>
      <c r="N43" s="357"/>
      <c r="O43" s="357"/>
      <c r="P43" s="357"/>
      <c r="Q43" s="357"/>
      <c r="R43" s="357"/>
      <c r="S43" s="462"/>
      <c r="T43" s="462"/>
      <c r="U43" s="357"/>
      <c r="V43" s="357"/>
      <c r="W43" s="357"/>
      <c r="X43" s="357"/>
      <c r="Y43" s="357"/>
      <c r="Z43" s="357"/>
      <c r="AA43" s="357"/>
      <c r="AB43" s="357"/>
      <c r="AC43" s="357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0</v>
      </c>
    </row>
    <row r="44" spans="1:36" hidden="1">
      <c r="A44" s="70">
        <v>39</v>
      </c>
      <c r="B44" s="15"/>
      <c r="C44" s="15">
        <v>0.9</v>
      </c>
      <c r="D44" s="15"/>
      <c r="E44" s="15"/>
      <c r="F44" s="357"/>
      <c r="G44" s="357"/>
      <c r="H44" s="357"/>
      <c r="I44" s="357"/>
      <c r="J44" s="357"/>
      <c r="K44" s="357"/>
      <c r="L44" s="359"/>
      <c r="M44" s="357"/>
      <c r="N44" s="357"/>
      <c r="O44" s="357"/>
      <c r="P44" s="357"/>
      <c r="Q44" s="357"/>
      <c r="R44" s="357"/>
      <c r="S44" s="462"/>
      <c r="T44" s="462"/>
      <c r="U44" s="357"/>
      <c r="V44" s="357"/>
      <c r="W44" s="357"/>
      <c r="X44" s="357"/>
      <c r="Y44" s="357"/>
      <c r="Z44" s="357"/>
      <c r="AA44" s="357"/>
      <c r="AB44" s="357"/>
      <c r="AC44" s="357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0</v>
      </c>
    </row>
    <row r="45" spans="1:36" hidden="1">
      <c r="A45" s="70" t="s">
        <v>39</v>
      </c>
      <c r="B45" s="15"/>
      <c r="C45" s="15"/>
      <c r="D45" s="15"/>
      <c r="E45" s="15"/>
      <c r="F45" s="357"/>
      <c r="G45" s="357"/>
      <c r="H45" s="357"/>
      <c r="I45" s="357"/>
      <c r="J45" s="357"/>
      <c r="K45" s="357"/>
      <c r="L45" s="359"/>
      <c r="M45" s="357"/>
      <c r="N45" s="357"/>
      <c r="O45" s="357"/>
      <c r="P45" s="357"/>
      <c r="Q45" s="357"/>
      <c r="R45" s="357"/>
      <c r="S45" s="462"/>
      <c r="T45" s="462"/>
      <c r="U45" s="357"/>
      <c r="V45" s="357"/>
      <c r="W45" s="357"/>
      <c r="X45" s="357"/>
      <c r="Y45" s="357"/>
      <c r="Z45" s="357"/>
      <c r="AA45" s="357"/>
      <c r="AB45" s="357"/>
      <c r="AC45" s="357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  <c r="AI45" s="159"/>
    </row>
    <row r="46" spans="1:36" hidden="1">
      <c r="A46" s="70" t="s">
        <v>40</v>
      </c>
      <c r="B46" s="15"/>
      <c r="C46" s="15"/>
      <c r="D46" s="15"/>
      <c r="E46" s="15"/>
      <c r="F46" s="357"/>
      <c r="G46" s="357"/>
      <c r="H46" s="357"/>
      <c r="I46" s="357"/>
      <c r="J46" s="357"/>
      <c r="K46" s="357"/>
      <c r="L46" s="359"/>
      <c r="M46" s="357"/>
      <c r="N46" s="357"/>
      <c r="O46" s="357"/>
      <c r="P46" s="357"/>
      <c r="Q46" s="357"/>
      <c r="R46" s="357"/>
      <c r="S46" s="462"/>
      <c r="T46" s="462"/>
      <c r="U46" s="357"/>
      <c r="V46" s="357"/>
      <c r="W46" s="357"/>
      <c r="X46" s="357"/>
      <c r="Y46" s="357"/>
      <c r="Z46" s="357"/>
      <c r="AA46" s="357"/>
      <c r="AB46" s="357"/>
      <c r="AC46" s="357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0</v>
      </c>
      <c r="AI46" s="159"/>
    </row>
    <row r="47" spans="1:36">
      <c r="A47" s="70" t="s">
        <v>41</v>
      </c>
      <c r="B47" s="15"/>
      <c r="C47" s="15">
        <v>0.85</v>
      </c>
      <c r="D47" s="15"/>
      <c r="E47" s="15"/>
      <c r="F47" s="357"/>
      <c r="G47" s="357"/>
      <c r="H47" s="357"/>
      <c r="I47" s="357"/>
      <c r="J47" s="357"/>
      <c r="K47" s="357"/>
      <c r="L47" s="359">
        <v>0.75</v>
      </c>
      <c r="M47" s="357">
        <v>0</v>
      </c>
      <c r="N47" s="357">
        <v>0</v>
      </c>
      <c r="O47" s="357">
        <f>2.3/3</f>
        <v>0.76666666666666661</v>
      </c>
      <c r="P47" s="357">
        <v>0</v>
      </c>
      <c r="Q47" s="357">
        <f>3.1/4</f>
        <v>0.77500000000000002</v>
      </c>
      <c r="R47" s="357">
        <f>3.1/4</f>
        <v>0.77500000000000002</v>
      </c>
      <c r="S47" s="462">
        <f>3.9/5</f>
        <v>0.78</v>
      </c>
      <c r="T47" s="462">
        <v>0.8</v>
      </c>
      <c r="U47" s="357">
        <v>0.8</v>
      </c>
      <c r="V47" s="357">
        <v>0.8</v>
      </c>
      <c r="W47" s="357">
        <v>0</v>
      </c>
      <c r="X47" s="357">
        <v>0</v>
      </c>
      <c r="Y47" s="357">
        <v>0</v>
      </c>
      <c r="Z47" s="357">
        <v>0</v>
      </c>
      <c r="AA47" s="357">
        <v>0</v>
      </c>
      <c r="AB47" s="357">
        <v>0</v>
      </c>
      <c r="AC47" s="357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17</v>
      </c>
    </row>
    <row r="48" spans="1:36">
      <c r="A48" s="70" t="s">
        <v>42</v>
      </c>
      <c r="B48" s="15"/>
      <c r="C48" s="15">
        <v>0.85</v>
      </c>
      <c r="D48" s="15"/>
      <c r="E48" s="15"/>
      <c r="F48" s="357"/>
      <c r="G48" s="357"/>
      <c r="H48" s="357"/>
      <c r="I48" s="357"/>
      <c r="J48" s="357"/>
      <c r="K48" s="357"/>
      <c r="L48" s="359">
        <v>0.75</v>
      </c>
      <c r="M48" s="357">
        <v>0</v>
      </c>
      <c r="N48" s="357">
        <v>0</v>
      </c>
      <c r="O48" s="357">
        <v>0</v>
      </c>
      <c r="P48" s="357">
        <v>0.75</v>
      </c>
      <c r="Q48" s="357">
        <v>0</v>
      </c>
      <c r="R48" s="357">
        <f>3.1/4</f>
        <v>0.77500000000000002</v>
      </c>
      <c r="S48" s="462">
        <f>3.9/5</f>
        <v>0.78</v>
      </c>
      <c r="T48" s="462">
        <v>0.75</v>
      </c>
      <c r="U48" s="357">
        <v>0.75</v>
      </c>
      <c r="V48" s="357">
        <v>0.75</v>
      </c>
      <c r="W48" s="357">
        <v>0.8</v>
      </c>
      <c r="X48" s="357">
        <v>0</v>
      </c>
      <c r="Y48" s="357">
        <v>0</v>
      </c>
      <c r="Z48" s="357">
        <v>0</v>
      </c>
      <c r="AA48" s="357">
        <v>0</v>
      </c>
      <c r="AB48" s="357">
        <v>0</v>
      </c>
      <c r="AC48" s="357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18</v>
      </c>
    </row>
    <row r="49" spans="1:124" hidden="1">
      <c r="A49" s="70" t="s">
        <v>43</v>
      </c>
      <c r="B49" s="15"/>
      <c r="C49" s="15"/>
      <c r="D49" s="15"/>
      <c r="E49" s="15"/>
      <c r="F49" s="357"/>
      <c r="G49" s="357"/>
      <c r="H49" s="357"/>
      <c r="I49" s="357"/>
      <c r="J49" s="357"/>
      <c r="K49" s="357"/>
      <c r="L49" s="359"/>
      <c r="M49" s="357"/>
      <c r="N49" s="357"/>
      <c r="O49" s="357"/>
      <c r="P49" s="357"/>
      <c r="Q49" s="357"/>
      <c r="R49" s="357"/>
      <c r="S49" s="462"/>
      <c r="T49" s="462"/>
      <c r="U49" s="357"/>
      <c r="V49" s="357"/>
      <c r="W49" s="357"/>
      <c r="X49" s="357"/>
      <c r="Y49" s="357"/>
      <c r="Z49" s="357"/>
      <c r="AA49" s="357"/>
      <c r="AB49" s="357"/>
      <c r="AC49" s="357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>
      <c r="A50" s="70" t="s">
        <v>44</v>
      </c>
      <c r="B50" s="15"/>
      <c r="C50" s="15">
        <v>0.85</v>
      </c>
      <c r="D50" s="15"/>
      <c r="E50" s="15"/>
      <c r="F50" s="357"/>
      <c r="G50" s="357"/>
      <c r="H50" s="357"/>
      <c r="I50" s="357"/>
      <c r="J50" s="357"/>
      <c r="K50" s="357"/>
      <c r="L50" s="359">
        <v>0.8</v>
      </c>
      <c r="M50" s="357">
        <v>0</v>
      </c>
      <c r="N50" s="357">
        <v>0</v>
      </c>
      <c r="O50" s="357">
        <f>2.3/3</f>
        <v>0.76666666666666661</v>
      </c>
      <c r="P50" s="357">
        <v>0</v>
      </c>
      <c r="Q50" s="357">
        <f>3.1/4</f>
        <v>0.77500000000000002</v>
      </c>
      <c r="R50" s="357">
        <f>3.1/4</f>
        <v>0.77500000000000002</v>
      </c>
      <c r="S50" s="462">
        <f>3.9/5</f>
        <v>0.78</v>
      </c>
      <c r="T50" s="462">
        <v>0.75</v>
      </c>
      <c r="U50" s="357">
        <v>0.75</v>
      </c>
      <c r="V50" s="357">
        <v>0.75</v>
      </c>
      <c r="W50" s="357">
        <v>0.8</v>
      </c>
      <c r="X50" s="357">
        <v>0</v>
      </c>
      <c r="Y50" s="357">
        <v>0</v>
      </c>
      <c r="Z50" s="357">
        <v>0</v>
      </c>
      <c r="AA50" s="357">
        <v>0</v>
      </c>
      <c r="AB50" s="357">
        <v>0</v>
      </c>
      <c r="AC50" s="357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18</v>
      </c>
    </row>
    <row r="51" spans="1:124">
      <c r="A51" s="70" t="s">
        <v>45</v>
      </c>
      <c r="B51" s="15"/>
      <c r="C51" s="15">
        <v>0.85</v>
      </c>
      <c r="D51" s="15"/>
      <c r="E51" s="15"/>
      <c r="F51" s="357"/>
      <c r="G51" s="357"/>
      <c r="H51" s="357"/>
      <c r="I51" s="357"/>
      <c r="J51" s="357"/>
      <c r="K51" s="357"/>
      <c r="L51" s="359">
        <v>0.8</v>
      </c>
      <c r="M51" s="357">
        <v>0</v>
      </c>
      <c r="N51" s="357">
        <v>0</v>
      </c>
      <c r="O51" s="357">
        <v>0</v>
      </c>
      <c r="P51" s="357">
        <v>0.75</v>
      </c>
      <c r="Q51" s="357">
        <f>3.1/4</f>
        <v>0.77500000000000002</v>
      </c>
      <c r="R51" s="357">
        <v>0</v>
      </c>
      <c r="S51" s="462">
        <f>3.9/5</f>
        <v>0.78</v>
      </c>
      <c r="T51" s="462">
        <v>0.75</v>
      </c>
      <c r="U51" s="357">
        <v>0.75</v>
      </c>
      <c r="V51" s="357">
        <v>0.75</v>
      </c>
      <c r="W51" s="357">
        <v>0.75</v>
      </c>
      <c r="X51" s="357">
        <v>0</v>
      </c>
      <c r="Y51" s="357">
        <v>0</v>
      </c>
      <c r="Z51" s="357">
        <v>0</v>
      </c>
      <c r="AA51" s="357">
        <v>0</v>
      </c>
      <c r="AB51" s="357">
        <v>0</v>
      </c>
      <c r="AC51" s="357">
        <v>0</v>
      </c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18</v>
      </c>
    </row>
    <row r="52" spans="1:124" hidden="1">
      <c r="A52" s="70"/>
      <c r="B52" s="15"/>
      <c r="C52" s="15"/>
      <c r="D52" s="15"/>
      <c r="E52" s="15"/>
      <c r="F52" s="357"/>
      <c r="G52" s="357"/>
      <c r="H52" s="357"/>
      <c r="I52" s="357"/>
      <c r="J52" s="357"/>
      <c r="K52" s="357"/>
      <c r="L52" s="359"/>
      <c r="M52" s="357"/>
      <c r="N52" s="357"/>
      <c r="O52" s="357"/>
      <c r="P52" s="357"/>
      <c r="Q52" s="357"/>
      <c r="R52" s="357"/>
      <c r="S52" s="462"/>
      <c r="T52" s="462"/>
      <c r="U52" s="357"/>
      <c r="V52" s="357"/>
      <c r="W52" s="357"/>
      <c r="X52" s="357"/>
      <c r="Y52" s="357"/>
      <c r="Z52" s="357"/>
      <c r="AA52" s="357"/>
      <c r="AB52" s="357"/>
      <c r="AC52" s="357"/>
      <c r="AD52" s="41"/>
      <c r="AE52" s="41"/>
      <c r="AF52" s="11"/>
      <c r="AG52" s="11"/>
      <c r="AH52" s="11"/>
    </row>
    <row r="53" spans="1:124" hidden="1">
      <c r="A53" s="70"/>
      <c r="B53" s="15"/>
      <c r="C53" s="15"/>
      <c r="D53" s="15"/>
      <c r="E53" s="15"/>
      <c r="F53" s="357"/>
      <c r="G53" s="357"/>
      <c r="H53" s="357"/>
      <c r="I53" s="357"/>
      <c r="J53" s="357"/>
      <c r="K53" s="357"/>
      <c r="L53" s="359"/>
      <c r="M53" s="357"/>
      <c r="N53" s="357"/>
      <c r="O53" s="357"/>
      <c r="P53" s="357"/>
      <c r="Q53" s="357"/>
      <c r="R53" s="357"/>
      <c r="S53" s="462"/>
      <c r="T53" s="462"/>
      <c r="U53" s="357"/>
      <c r="V53" s="357"/>
      <c r="W53" s="357"/>
      <c r="X53" s="357"/>
      <c r="Y53" s="357"/>
      <c r="Z53" s="357"/>
      <c r="AA53" s="357"/>
      <c r="AB53" s="357"/>
      <c r="AC53" s="357"/>
      <c r="AD53" s="41"/>
      <c r="AE53" s="41"/>
      <c r="AF53" s="11"/>
      <c r="AG53" s="11"/>
      <c r="AH53" s="11"/>
    </row>
    <row r="54" spans="1:124" hidden="1">
      <c r="A54" s="70"/>
      <c r="B54" s="15"/>
      <c r="C54" s="15"/>
      <c r="D54" s="15"/>
      <c r="E54" s="15"/>
      <c r="F54" s="357"/>
      <c r="G54" s="357"/>
      <c r="H54" s="357"/>
      <c r="I54" s="357"/>
      <c r="J54" s="357"/>
      <c r="K54" s="357"/>
      <c r="L54" s="359"/>
      <c r="M54" s="357"/>
      <c r="N54" s="357"/>
      <c r="O54" s="357"/>
      <c r="P54" s="357"/>
      <c r="Q54" s="357"/>
      <c r="R54" s="357"/>
      <c r="S54" s="462"/>
      <c r="T54" s="462"/>
      <c r="U54" s="357"/>
      <c r="V54" s="357"/>
      <c r="W54" s="357"/>
      <c r="X54" s="357"/>
      <c r="Y54" s="357"/>
      <c r="Z54" s="357"/>
      <c r="AA54" s="357"/>
      <c r="AB54" s="357"/>
      <c r="AC54" s="357"/>
      <c r="AD54" s="41"/>
      <c r="AE54" s="41"/>
      <c r="AF54" s="11"/>
      <c r="AG54" s="11"/>
      <c r="AH54" s="11"/>
    </row>
    <row r="55" spans="1:124" hidden="1">
      <c r="A55" s="70"/>
      <c r="B55" s="15"/>
      <c r="C55" s="15"/>
      <c r="D55" s="15"/>
      <c r="E55" s="15"/>
      <c r="F55" s="357"/>
      <c r="G55" s="357"/>
      <c r="H55" s="357"/>
      <c r="I55" s="357"/>
      <c r="J55" s="357"/>
      <c r="K55" s="357"/>
      <c r="L55" s="359"/>
      <c r="M55" s="357"/>
      <c r="N55" s="357"/>
      <c r="O55" s="357"/>
      <c r="P55" s="357"/>
      <c r="Q55" s="357"/>
      <c r="R55" s="357"/>
      <c r="S55" s="462"/>
      <c r="T55" s="462"/>
      <c r="U55" s="357"/>
      <c r="V55" s="357"/>
      <c r="W55" s="357"/>
      <c r="X55" s="357"/>
      <c r="Y55" s="357"/>
      <c r="Z55" s="357"/>
      <c r="AA55" s="357"/>
      <c r="AB55" s="357"/>
      <c r="AC55" s="357"/>
      <c r="AD55" s="41"/>
      <c r="AE55" s="41"/>
      <c r="AF55" s="11"/>
      <c r="AG55" s="11"/>
      <c r="AH55" s="11"/>
    </row>
    <row r="56" spans="1:124">
      <c r="A56" s="70" t="s">
        <v>48</v>
      </c>
      <c r="B56" s="15"/>
      <c r="C56" s="15">
        <v>0.85</v>
      </c>
      <c r="D56" s="15"/>
      <c r="E56" s="15"/>
      <c r="F56" s="357"/>
      <c r="G56" s="357"/>
      <c r="H56" s="357"/>
      <c r="I56" s="357"/>
      <c r="J56" s="357"/>
      <c r="K56" s="357"/>
      <c r="L56" s="359">
        <v>0.8</v>
      </c>
      <c r="M56" s="357">
        <v>0</v>
      </c>
      <c r="N56" s="357">
        <v>0</v>
      </c>
      <c r="O56" s="357">
        <f>2.3/3</f>
        <v>0.76666666666666661</v>
      </c>
      <c r="P56" s="357">
        <v>0</v>
      </c>
      <c r="Q56" s="357">
        <f>3.1/4</f>
        <v>0.77500000000000002</v>
      </c>
      <c r="R56" s="357">
        <f>3.1/4</f>
        <v>0.77500000000000002</v>
      </c>
      <c r="S56" s="462">
        <f>3.9/5</f>
        <v>0.78</v>
      </c>
      <c r="T56" s="462">
        <v>0.75</v>
      </c>
      <c r="U56" s="357">
        <v>0.75</v>
      </c>
      <c r="V56" s="357">
        <v>0.75</v>
      </c>
      <c r="W56" s="357">
        <v>0.75</v>
      </c>
      <c r="X56" s="357">
        <v>0</v>
      </c>
      <c r="Y56" s="357">
        <v>0</v>
      </c>
      <c r="Z56" s="357">
        <v>0</v>
      </c>
      <c r="AA56" s="357">
        <v>0</v>
      </c>
      <c r="AB56" s="357">
        <v>0</v>
      </c>
      <c r="AC56" s="357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18</v>
      </c>
    </row>
    <row r="57" spans="1:124" hidden="1">
      <c r="A57" s="70" t="s">
        <v>49</v>
      </c>
      <c r="B57" s="15"/>
      <c r="C57" s="15"/>
      <c r="D57" s="15"/>
      <c r="E57" s="15"/>
      <c r="F57" s="357"/>
      <c r="G57" s="357"/>
      <c r="H57" s="357"/>
      <c r="I57" s="357"/>
      <c r="J57" s="357"/>
      <c r="K57" s="357"/>
      <c r="L57" s="359"/>
      <c r="M57" s="357"/>
      <c r="N57" s="357"/>
      <c r="O57" s="357"/>
      <c r="P57" s="357"/>
      <c r="Q57" s="357"/>
      <c r="R57" s="357"/>
      <c r="S57" s="462"/>
      <c r="T57" s="462"/>
      <c r="U57" s="357"/>
      <c r="V57" s="357"/>
      <c r="W57" s="357"/>
      <c r="X57" s="357"/>
      <c r="Y57" s="357"/>
      <c r="Z57" s="357"/>
      <c r="AA57" s="357"/>
      <c r="AB57" s="357"/>
      <c r="AC57" s="357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0</v>
      </c>
    </row>
    <row r="58" spans="1:124" hidden="1">
      <c r="A58" s="70" t="s">
        <v>50</v>
      </c>
      <c r="B58" s="15"/>
      <c r="C58" s="15"/>
      <c r="D58" s="15"/>
      <c r="E58" s="15"/>
      <c r="F58" s="357"/>
      <c r="G58" s="357"/>
      <c r="H58" s="357"/>
      <c r="I58" s="357"/>
      <c r="J58" s="357"/>
      <c r="K58" s="357"/>
      <c r="L58" s="359"/>
      <c r="M58" s="357"/>
      <c r="N58" s="357"/>
      <c r="O58" s="357"/>
      <c r="P58" s="357"/>
      <c r="Q58" s="357"/>
      <c r="R58" s="357"/>
      <c r="S58" s="462"/>
      <c r="T58" s="462"/>
      <c r="U58" s="357"/>
      <c r="V58" s="357"/>
      <c r="W58" s="357"/>
      <c r="X58" s="357"/>
      <c r="Y58" s="357"/>
      <c r="Z58" s="357"/>
      <c r="AA58" s="357"/>
      <c r="AB58" s="357"/>
      <c r="AC58" s="357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0</v>
      </c>
    </row>
    <row r="59" spans="1:124" hidden="1">
      <c r="A59" s="70" t="s">
        <v>51</v>
      </c>
      <c r="B59" s="15"/>
      <c r="C59" s="15"/>
      <c r="D59" s="15"/>
      <c r="E59" s="15"/>
      <c r="F59" s="357"/>
      <c r="G59" s="357"/>
      <c r="H59" s="357"/>
      <c r="I59" s="357"/>
      <c r="J59" s="357"/>
      <c r="K59" s="357"/>
      <c r="L59" s="359"/>
      <c r="M59" s="357"/>
      <c r="N59" s="357"/>
      <c r="O59" s="357"/>
      <c r="P59" s="357"/>
      <c r="Q59" s="357"/>
      <c r="R59" s="357"/>
      <c r="S59" s="462"/>
      <c r="T59" s="462"/>
      <c r="U59" s="357"/>
      <c r="V59" s="357"/>
      <c r="W59" s="357"/>
      <c r="X59" s="357"/>
      <c r="Y59" s="357"/>
      <c r="Z59" s="357"/>
      <c r="AA59" s="357"/>
      <c r="AB59" s="357"/>
      <c r="AC59" s="357"/>
      <c r="AD59" s="41"/>
      <c r="AE59" s="41"/>
      <c r="AF59" s="11">
        <f t="shared" si="7"/>
        <v>0</v>
      </c>
      <c r="AG59" s="11">
        <f t="shared" si="8"/>
        <v>0</v>
      </c>
      <c r="AH59" s="11">
        <f t="shared" si="9"/>
        <v>0</v>
      </c>
    </row>
    <row r="60" spans="1:124">
      <c r="A60" s="9" t="s">
        <v>26</v>
      </c>
      <c r="B60" s="19">
        <f>SUM(B36:B59)</f>
        <v>0</v>
      </c>
      <c r="C60" s="19">
        <f>SUM(C36:C59)</f>
        <v>7.6499999999999986</v>
      </c>
      <c r="D60" s="19"/>
      <c r="E60" s="19"/>
      <c r="F60" s="19">
        <f t="shared" ref="F60:AC60" si="10">SUM(F36:F59)</f>
        <v>0</v>
      </c>
      <c r="G60" s="19">
        <f t="shared" si="10"/>
        <v>0</v>
      </c>
      <c r="H60" s="19">
        <f t="shared" si="10"/>
        <v>0</v>
      </c>
      <c r="I60" s="19">
        <f t="shared" si="10"/>
        <v>0</v>
      </c>
      <c r="J60" s="19">
        <f t="shared" si="10"/>
        <v>0</v>
      </c>
      <c r="K60" s="19">
        <f t="shared" si="10"/>
        <v>0</v>
      </c>
      <c r="L60" s="19">
        <f t="shared" si="10"/>
        <v>3.8999999999999995</v>
      </c>
      <c r="M60" s="19">
        <f t="shared" si="10"/>
        <v>0</v>
      </c>
      <c r="N60" s="19">
        <f t="shared" si="10"/>
        <v>0</v>
      </c>
      <c r="O60" s="19">
        <f t="shared" si="10"/>
        <v>2.2999999999999998</v>
      </c>
      <c r="P60" s="19">
        <f t="shared" si="10"/>
        <v>1.5</v>
      </c>
      <c r="Q60" s="19">
        <f t="shared" si="10"/>
        <v>3.1</v>
      </c>
      <c r="R60" s="19">
        <f t="shared" si="10"/>
        <v>3.1</v>
      </c>
      <c r="S60" s="19">
        <f t="shared" si="10"/>
        <v>3.9000000000000004</v>
      </c>
      <c r="T60" s="19">
        <f t="shared" si="10"/>
        <v>4.5999999999999996</v>
      </c>
      <c r="U60" s="19">
        <f t="shared" si="10"/>
        <v>4.5999999999999996</v>
      </c>
      <c r="V60" s="19">
        <f t="shared" si="10"/>
        <v>4.5999999999999996</v>
      </c>
      <c r="W60" s="19">
        <f t="shared" si="10"/>
        <v>3.1</v>
      </c>
      <c r="X60" s="19">
        <f t="shared" si="10"/>
        <v>0</v>
      </c>
      <c r="Y60" s="19">
        <f t="shared" si="10"/>
        <v>0</v>
      </c>
      <c r="Z60" s="19">
        <f t="shared" si="10"/>
        <v>0</v>
      </c>
      <c r="AA60" s="19">
        <f t="shared" si="10"/>
        <v>0</v>
      </c>
      <c r="AB60" s="19">
        <f t="shared" si="10"/>
        <v>0</v>
      </c>
      <c r="AC60" s="19">
        <f t="shared" si="10"/>
        <v>0</v>
      </c>
      <c r="AD60" s="34"/>
      <c r="AE60" s="34"/>
      <c r="AF60" s="11"/>
      <c r="AG60" s="11"/>
      <c r="AH60" s="11"/>
    </row>
    <row r="61" spans="1:124">
      <c r="A61" s="12" t="s">
        <v>52</v>
      </c>
      <c r="B61" s="13"/>
      <c r="C61" s="13"/>
      <c r="D61" s="13"/>
      <c r="E61" s="13"/>
      <c r="F61" s="13" t="s">
        <v>21</v>
      </c>
      <c r="G61" s="13" t="s">
        <v>21</v>
      </c>
      <c r="H61" s="13" t="s">
        <v>21</v>
      </c>
      <c r="I61" s="13" t="s">
        <v>21</v>
      </c>
      <c r="J61" s="13" t="s">
        <v>21</v>
      </c>
      <c r="K61" s="13" t="s">
        <v>21</v>
      </c>
      <c r="L61" s="13" t="s">
        <v>21</v>
      </c>
      <c r="M61" s="13" t="s">
        <v>21</v>
      </c>
      <c r="N61" s="13" t="s">
        <v>21</v>
      </c>
      <c r="O61" s="13" t="s">
        <v>21</v>
      </c>
      <c r="P61" s="13" t="s">
        <v>21</v>
      </c>
      <c r="Q61" s="13" t="s">
        <v>21</v>
      </c>
      <c r="R61" s="13" t="s">
        <v>21</v>
      </c>
      <c r="S61" s="309" t="s">
        <v>21</v>
      </c>
      <c r="T61" s="309" t="s">
        <v>21</v>
      </c>
      <c r="U61" s="13" t="s">
        <v>21</v>
      </c>
      <c r="V61" s="13" t="s">
        <v>21</v>
      </c>
      <c r="W61" s="13" t="s">
        <v>21</v>
      </c>
      <c r="X61" s="13" t="s">
        <v>21</v>
      </c>
      <c r="Y61" s="13" t="s">
        <v>21</v>
      </c>
      <c r="Z61" s="13" t="s">
        <v>21</v>
      </c>
      <c r="AA61" s="13" t="s">
        <v>21</v>
      </c>
      <c r="AB61" s="13" t="s">
        <v>21</v>
      </c>
      <c r="AC61" s="13" t="s">
        <v>21</v>
      </c>
      <c r="AD61" s="40"/>
      <c r="AE61" s="40"/>
      <c r="AF61" s="13" t="s">
        <v>21</v>
      </c>
      <c r="AG61" s="13" t="s">
        <v>21</v>
      </c>
      <c r="AH61" s="13" t="s">
        <v>21</v>
      </c>
      <c r="AI61" s="159">
        <f>SUM(F62:AC64)</f>
        <v>32.980000000000004</v>
      </c>
      <c r="AN61" s="339"/>
    </row>
    <row r="62" spans="1:124">
      <c r="A62" s="14" t="s">
        <v>53</v>
      </c>
      <c r="B62" s="20"/>
      <c r="C62" s="15">
        <v>0.85</v>
      </c>
      <c r="D62" s="15"/>
      <c r="E62" s="15"/>
      <c r="F62" s="357"/>
      <c r="G62" s="357"/>
      <c r="H62" s="357"/>
      <c r="I62" s="357"/>
      <c r="J62" s="357"/>
      <c r="K62" s="357">
        <f>1.15/2</f>
        <v>0.57499999999999996</v>
      </c>
      <c r="L62" s="359">
        <f>1.35/2</f>
        <v>0.67500000000000004</v>
      </c>
      <c r="M62" s="357">
        <f>1.22/2</f>
        <v>0.61</v>
      </c>
      <c r="N62" s="357">
        <f>1.24/2</f>
        <v>0.62</v>
      </c>
      <c r="O62" s="357">
        <f>1.4/2</f>
        <v>0.7</v>
      </c>
      <c r="P62" s="357">
        <f>1.48/2</f>
        <v>0.74</v>
      </c>
      <c r="Q62" s="357">
        <f>1.53/3</f>
        <v>0.51</v>
      </c>
      <c r="R62" s="357">
        <f>1.57/3</f>
        <v>0.52333333333333332</v>
      </c>
      <c r="S62" s="462">
        <f>1.58/3</f>
        <v>0.52666666666666673</v>
      </c>
      <c r="T62" s="462">
        <f>1.57/3</f>
        <v>0.52333333333333332</v>
      </c>
      <c r="U62" s="357">
        <f>1.59/3</f>
        <v>0.53</v>
      </c>
      <c r="V62" s="357">
        <f>1.56/3</f>
        <v>0.52</v>
      </c>
      <c r="W62" s="357">
        <v>0.75</v>
      </c>
      <c r="X62" s="357">
        <v>0.68</v>
      </c>
      <c r="Y62" s="357">
        <v>0.755</v>
      </c>
      <c r="Z62" s="357">
        <f>1.69/3</f>
        <v>0.56333333333333335</v>
      </c>
      <c r="AA62" s="357">
        <f>1.6/3</f>
        <v>0.53333333333333333</v>
      </c>
      <c r="AB62" s="357">
        <v>0.71</v>
      </c>
      <c r="AC62" s="357">
        <v>0.65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54</v>
      </c>
      <c r="B63" s="20"/>
      <c r="C63" s="15">
        <v>0.85</v>
      </c>
      <c r="D63" s="15"/>
      <c r="E63" s="15"/>
      <c r="F63" s="357">
        <v>0.58499999999999996</v>
      </c>
      <c r="G63" s="357">
        <v>0.53500000000000003</v>
      </c>
      <c r="H63" s="357">
        <v>0.53</v>
      </c>
      <c r="I63" s="357">
        <v>0.51500000000000001</v>
      </c>
      <c r="J63" s="357">
        <v>0.51500000000000001</v>
      </c>
      <c r="K63" s="357"/>
      <c r="L63" s="359"/>
      <c r="M63" s="357"/>
      <c r="N63" s="357"/>
      <c r="O63" s="357"/>
      <c r="P63" s="357"/>
      <c r="Q63" s="357">
        <f>1.53/3</f>
        <v>0.51</v>
      </c>
      <c r="R63" s="357">
        <f t="shared" ref="R63:R64" si="11">1.57/3</f>
        <v>0.52333333333333332</v>
      </c>
      <c r="S63" s="462">
        <f t="shared" ref="S63:S64" si="12">1.58/3</f>
        <v>0.52666666666666673</v>
      </c>
      <c r="T63" s="462">
        <f t="shared" ref="T63:T64" si="13">1.57/3</f>
        <v>0.52333333333333332</v>
      </c>
      <c r="U63" s="357">
        <f t="shared" ref="U63:U64" si="14">1.59/3</f>
        <v>0.53</v>
      </c>
      <c r="V63" s="357">
        <f t="shared" ref="V63:V64" si="15">1.56/3</f>
        <v>0.52</v>
      </c>
      <c r="W63" s="357">
        <v>0.75</v>
      </c>
      <c r="X63" s="357">
        <v>0.68</v>
      </c>
      <c r="Y63" s="357">
        <v>0.755</v>
      </c>
      <c r="Z63" s="357">
        <f>1.69/3</f>
        <v>0.56333333333333335</v>
      </c>
      <c r="AA63" s="357">
        <f>1.6/3</f>
        <v>0.53333333333333333</v>
      </c>
      <c r="AB63" s="357">
        <v>0.71</v>
      </c>
      <c r="AC63" s="357">
        <v>0.65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55</v>
      </c>
      <c r="B64" s="20"/>
      <c r="C64" s="15">
        <v>0.85</v>
      </c>
      <c r="D64" s="15"/>
      <c r="E64" s="15"/>
      <c r="F64" s="357">
        <v>0.58499999999999996</v>
      </c>
      <c r="G64" s="357">
        <v>0.53500000000000003</v>
      </c>
      <c r="H64" s="357">
        <v>0.53</v>
      </c>
      <c r="I64" s="357">
        <v>0.51500000000000001</v>
      </c>
      <c r="J64" s="357">
        <v>0.51500000000000001</v>
      </c>
      <c r="K64" s="357">
        <f>1.15/2</f>
        <v>0.57499999999999996</v>
      </c>
      <c r="L64" s="359">
        <f>1.35/2</f>
        <v>0.67500000000000004</v>
      </c>
      <c r="M64" s="357">
        <f>1.22/2</f>
        <v>0.61</v>
      </c>
      <c r="N64" s="357">
        <f>1.24/2</f>
        <v>0.62</v>
      </c>
      <c r="O64" s="357">
        <f>1.4/2</f>
        <v>0.7</v>
      </c>
      <c r="P64" s="357">
        <f>1.48/2</f>
        <v>0.74</v>
      </c>
      <c r="Q64" s="357">
        <f>1.53/3</f>
        <v>0.51</v>
      </c>
      <c r="R64" s="357">
        <f t="shared" si="11"/>
        <v>0.52333333333333332</v>
      </c>
      <c r="S64" s="462">
        <f t="shared" si="12"/>
        <v>0.52666666666666673</v>
      </c>
      <c r="T64" s="462">
        <f t="shared" si="13"/>
        <v>0.52333333333333332</v>
      </c>
      <c r="U64" s="357">
        <f t="shared" si="14"/>
        <v>0.53</v>
      </c>
      <c r="V64" s="357">
        <f t="shared" si="15"/>
        <v>0.52</v>
      </c>
      <c r="W64" s="357"/>
      <c r="X64" s="357"/>
      <c r="Y64" s="357"/>
      <c r="Z64" s="357">
        <f>1.69/3</f>
        <v>0.56333333333333335</v>
      </c>
      <c r="AA64" s="357">
        <f>1.6/3</f>
        <v>0.53333333333333333</v>
      </c>
      <c r="AB64" s="357"/>
      <c r="AC64" s="357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19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26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>SUM(F62:F64)</f>
        <v>1.17</v>
      </c>
      <c r="G65" s="19">
        <f t="shared" ref="G65:AC65" si="16">SUM(G62:G64)</f>
        <v>1.07</v>
      </c>
      <c r="H65" s="19">
        <f t="shared" si="16"/>
        <v>1.06</v>
      </c>
      <c r="I65" s="19">
        <f t="shared" si="16"/>
        <v>1.03</v>
      </c>
      <c r="J65" s="19">
        <f t="shared" si="16"/>
        <v>1.03</v>
      </c>
      <c r="K65" s="19">
        <f t="shared" si="16"/>
        <v>1.1499999999999999</v>
      </c>
      <c r="L65" s="19">
        <f t="shared" si="16"/>
        <v>1.35</v>
      </c>
      <c r="M65" s="19">
        <f t="shared" si="16"/>
        <v>1.22</v>
      </c>
      <c r="N65" s="19">
        <f t="shared" si="16"/>
        <v>1.24</v>
      </c>
      <c r="O65" s="19">
        <f t="shared" si="16"/>
        <v>1.4</v>
      </c>
      <c r="P65" s="19">
        <f t="shared" si="16"/>
        <v>1.48</v>
      </c>
      <c r="Q65" s="19">
        <f t="shared" si="16"/>
        <v>1.53</v>
      </c>
      <c r="R65" s="19">
        <f t="shared" si="16"/>
        <v>1.5699999999999998</v>
      </c>
      <c r="S65" s="19">
        <f t="shared" si="16"/>
        <v>1.58</v>
      </c>
      <c r="T65" s="19">
        <f t="shared" si="16"/>
        <v>1.5699999999999998</v>
      </c>
      <c r="U65" s="19">
        <f t="shared" si="16"/>
        <v>1.59</v>
      </c>
      <c r="V65" s="19">
        <f t="shared" si="16"/>
        <v>1.56</v>
      </c>
      <c r="W65" s="19">
        <f t="shared" si="16"/>
        <v>1.5</v>
      </c>
      <c r="X65" s="19">
        <f t="shared" si="16"/>
        <v>1.36</v>
      </c>
      <c r="Y65" s="19">
        <f t="shared" si="16"/>
        <v>1.51</v>
      </c>
      <c r="Z65" s="19">
        <f t="shared" si="16"/>
        <v>1.69</v>
      </c>
      <c r="AA65" s="19">
        <f t="shared" si="16"/>
        <v>1.6</v>
      </c>
      <c r="AB65" s="19">
        <f t="shared" si="16"/>
        <v>1.42</v>
      </c>
      <c r="AC65" s="19">
        <f t="shared" si="16"/>
        <v>1.3</v>
      </c>
      <c r="AD65" s="34"/>
      <c r="AE65" s="34"/>
      <c r="AF65" s="11"/>
      <c r="AG65" s="11"/>
      <c r="AH65" s="11"/>
    </row>
    <row r="66" spans="1:124" ht="15.75" hidden="1" customHeight="1">
      <c r="A66" s="12" t="s">
        <v>56</v>
      </c>
      <c r="B66" s="13"/>
      <c r="C66" s="13"/>
      <c r="D66" s="13"/>
      <c r="E66" s="13"/>
      <c r="F66" s="13" t="s">
        <v>21</v>
      </c>
      <c r="G66" s="13" t="s">
        <v>21</v>
      </c>
      <c r="H66" s="13" t="s">
        <v>21</v>
      </c>
      <c r="I66" s="13" t="s">
        <v>21</v>
      </c>
      <c r="J66" s="13" t="s">
        <v>21</v>
      </c>
      <c r="K66" s="13" t="s">
        <v>21</v>
      </c>
      <c r="L66" s="13" t="s">
        <v>21</v>
      </c>
      <c r="M66" s="13" t="s">
        <v>21</v>
      </c>
      <c r="N66" s="13" t="s">
        <v>21</v>
      </c>
      <c r="O66" s="13" t="s">
        <v>21</v>
      </c>
      <c r="P66" s="13" t="s">
        <v>21</v>
      </c>
      <c r="Q66" s="13" t="s">
        <v>21</v>
      </c>
      <c r="R66" s="13" t="s">
        <v>21</v>
      </c>
      <c r="S66" s="309" t="s">
        <v>21</v>
      </c>
      <c r="T66" s="309" t="s">
        <v>21</v>
      </c>
      <c r="U66" s="13" t="s">
        <v>21</v>
      </c>
      <c r="V66" s="13" t="s">
        <v>21</v>
      </c>
      <c r="W66" s="13" t="s">
        <v>21</v>
      </c>
      <c r="X66" s="13" t="s">
        <v>21</v>
      </c>
      <c r="Y66" s="13" t="s">
        <v>21</v>
      </c>
      <c r="Z66" s="13" t="s">
        <v>21</v>
      </c>
      <c r="AA66" s="13" t="s">
        <v>21</v>
      </c>
      <c r="AB66" s="13" t="s">
        <v>21</v>
      </c>
      <c r="AC66" s="13" t="s">
        <v>21</v>
      </c>
      <c r="AD66" s="40"/>
      <c r="AE66" s="40"/>
      <c r="AF66" s="13" t="s">
        <v>21</v>
      </c>
      <c r="AG66" s="13" t="s">
        <v>21</v>
      </c>
      <c r="AH66" s="13" t="s">
        <v>21</v>
      </c>
      <c r="AI66" s="159">
        <f>SUM(F67:AC75)</f>
        <v>0</v>
      </c>
    </row>
    <row r="67" spans="1:124" ht="15.75" hidden="1" customHeight="1">
      <c r="A67" s="14" t="s">
        <v>57</v>
      </c>
      <c r="B67" s="15"/>
      <c r="C67" s="15">
        <v>0.85</v>
      </c>
      <c r="D67" s="15"/>
      <c r="E67" s="15"/>
      <c r="F67" s="357"/>
      <c r="G67" s="357"/>
      <c r="H67" s="357"/>
      <c r="I67" s="357"/>
      <c r="J67" s="357"/>
      <c r="K67" s="359"/>
      <c r="L67" s="359"/>
      <c r="M67" s="359"/>
      <c r="N67" s="357"/>
      <c r="O67" s="357"/>
      <c r="P67" s="357"/>
      <c r="Q67" s="357"/>
      <c r="R67" s="357"/>
      <c r="S67" s="462"/>
      <c r="T67" s="462"/>
      <c r="U67" s="357"/>
      <c r="V67" s="357"/>
      <c r="W67" s="357"/>
      <c r="X67" s="357"/>
      <c r="Y67" s="357"/>
      <c r="Z67" s="357"/>
      <c r="AA67" s="357"/>
      <c r="AB67" s="357"/>
      <c r="AC67" s="357"/>
      <c r="AD67" s="35"/>
      <c r="AE67" s="35"/>
      <c r="AF67" s="11">
        <f t="shared" ref="AF67:AF75" si="17">COUNTIF(F67:AC67,$AF$11)</f>
        <v>0</v>
      </c>
      <c r="AG67" s="11">
        <f t="shared" ref="AG67:AG75" si="18">COUNTIF(G67:AC67,$AG$11)</f>
        <v>0</v>
      </c>
      <c r="AH67" s="11">
        <f t="shared" ref="AH67:AH75" si="19">COUNT(F67:AC67)</f>
        <v>0</v>
      </c>
    </row>
    <row r="68" spans="1:124" ht="15.75" hidden="1" customHeight="1">
      <c r="A68" s="14" t="s">
        <v>58</v>
      </c>
      <c r="B68" s="15"/>
      <c r="C68" s="15">
        <v>0.85</v>
      </c>
      <c r="D68" s="15"/>
      <c r="E68" s="15"/>
      <c r="F68" s="357"/>
      <c r="G68" s="357"/>
      <c r="H68" s="357"/>
      <c r="I68" s="357"/>
      <c r="J68" s="357"/>
      <c r="K68" s="359"/>
      <c r="L68" s="359"/>
      <c r="M68" s="359"/>
      <c r="N68" s="357"/>
      <c r="O68" s="357"/>
      <c r="P68" s="357"/>
      <c r="Q68" s="357"/>
      <c r="R68" s="357"/>
      <c r="S68" s="462"/>
      <c r="T68" s="462"/>
      <c r="U68" s="357"/>
      <c r="V68" s="357"/>
      <c r="W68" s="357"/>
      <c r="X68" s="357"/>
      <c r="Y68" s="357"/>
      <c r="Z68" s="357"/>
      <c r="AA68" s="357"/>
      <c r="AB68" s="357"/>
      <c r="AC68" s="357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</row>
    <row r="69" spans="1:124" ht="15.75" hidden="1" customHeight="1">
      <c r="A69" s="14" t="s">
        <v>59</v>
      </c>
      <c r="B69" s="15"/>
      <c r="C69" s="15">
        <v>0.85</v>
      </c>
      <c r="D69" s="15"/>
      <c r="E69" s="15"/>
      <c r="F69" s="357"/>
      <c r="G69" s="357"/>
      <c r="H69" s="357"/>
      <c r="I69" s="357"/>
      <c r="J69" s="357"/>
      <c r="K69" s="359"/>
      <c r="L69" s="359"/>
      <c r="M69" s="359"/>
      <c r="N69" s="357"/>
      <c r="O69" s="357"/>
      <c r="P69" s="357"/>
      <c r="Q69" s="357"/>
      <c r="R69" s="357"/>
      <c r="S69" s="462"/>
      <c r="T69" s="462"/>
      <c r="U69" s="357"/>
      <c r="V69" s="357"/>
      <c r="W69" s="357"/>
      <c r="X69" s="357"/>
      <c r="Y69" s="357"/>
      <c r="Z69" s="357"/>
      <c r="AA69" s="357"/>
      <c r="AB69" s="357"/>
      <c r="AC69" s="357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9"/>
        <v>0</v>
      </c>
    </row>
    <row r="70" spans="1:124" hidden="1">
      <c r="A70" s="14" t="s">
        <v>60</v>
      </c>
      <c r="B70" s="15"/>
      <c r="C70" s="15">
        <v>0.85</v>
      </c>
      <c r="D70" s="15"/>
      <c r="E70" s="15"/>
      <c r="F70" s="357"/>
      <c r="G70" s="357"/>
      <c r="H70" s="357"/>
      <c r="I70" s="357"/>
      <c r="J70" s="357"/>
      <c r="K70" s="359"/>
      <c r="L70" s="359"/>
      <c r="M70" s="359"/>
      <c r="N70" s="357"/>
      <c r="O70" s="357"/>
      <c r="P70" s="357"/>
      <c r="Q70" s="357"/>
      <c r="R70" s="357"/>
      <c r="S70" s="462"/>
      <c r="T70" s="462"/>
      <c r="U70" s="357"/>
      <c r="V70" s="357"/>
      <c r="W70" s="357"/>
      <c r="X70" s="357"/>
      <c r="Y70" s="357"/>
      <c r="Z70" s="357"/>
      <c r="AA70" s="357"/>
      <c r="AB70" s="357"/>
      <c r="AC70" s="357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  <c r="AI70" s="5"/>
      <c r="AJ70" s="5"/>
      <c r="AK70" s="5"/>
      <c r="AL70" s="5"/>
    </row>
    <row r="71" spans="1:124" hidden="1">
      <c r="A71" s="14" t="s">
        <v>61</v>
      </c>
      <c r="B71" s="15"/>
      <c r="C71" s="15">
        <v>0.85</v>
      </c>
      <c r="D71" s="15"/>
      <c r="E71" s="15"/>
      <c r="F71" s="357"/>
      <c r="G71" s="357"/>
      <c r="H71" s="357"/>
      <c r="I71" s="357"/>
      <c r="J71" s="357"/>
      <c r="K71" s="359"/>
      <c r="L71" s="359"/>
      <c r="M71" s="359"/>
      <c r="N71" s="357"/>
      <c r="O71" s="357"/>
      <c r="P71" s="357"/>
      <c r="Q71" s="357"/>
      <c r="R71" s="357"/>
      <c r="S71" s="462"/>
      <c r="T71" s="462"/>
      <c r="U71" s="357"/>
      <c r="V71" s="357"/>
      <c r="W71" s="357"/>
      <c r="X71" s="357"/>
      <c r="Y71" s="357"/>
      <c r="Z71" s="357"/>
      <c r="AA71" s="357"/>
      <c r="AB71" s="357"/>
      <c r="AC71" s="357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hidden="1">
      <c r="A72" s="14" t="s">
        <v>62</v>
      </c>
      <c r="B72" s="15"/>
      <c r="C72" s="15">
        <v>0.85</v>
      </c>
      <c r="D72" s="15"/>
      <c r="E72" s="15"/>
      <c r="F72" s="357"/>
      <c r="G72" s="357"/>
      <c r="H72" s="357"/>
      <c r="I72" s="357"/>
      <c r="J72" s="357"/>
      <c r="K72" s="359"/>
      <c r="L72" s="359"/>
      <c r="M72" s="359"/>
      <c r="N72" s="357"/>
      <c r="O72" s="357"/>
      <c r="P72" s="357"/>
      <c r="Q72" s="357"/>
      <c r="R72" s="357"/>
      <c r="S72" s="462"/>
      <c r="T72" s="462"/>
      <c r="U72" s="357"/>
      <c r="V72" s="357"/>
      <c r="W72" s="357"/>
      <c r="X72" s="357"/>
      <c r="Y72" s="357"/>
      <c r="Z72" s="357"/>
      <c r="AA72" s="357"/>
      <c r="AB72" s="357"/>
      <c r="AC72" s="357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idden="1">
      <c r="A73" s="14" t="s">
        <v>63</v>
      </c>
      <c r="B73" s="15"/>
      <c r="C73" s="15">
        <v>0.85</v>
      </c>
      <c r="D73" s="15"/>
      <c r="E73" s="15"/>
      <c r="F73" s="357"/>
      <c r="G73" s="357"/>
      <c r="H73" s="357"/>
      <c r="I73" s="357"/>
      <c r="J73" s="357"/>
      <c r="K73" s="359"/>
      <c r="L73" s="359"/>
      <c r="M73" s="359"/>
      <c r="N73" s="357"/>
      <c r="O73" s="357"/>
      <c r="P73" s="357"/>
      <c r="Q73" s="357"/>
      <c r="R73" s="357"/>
      <c r="S73" s="462"/>
      <c r="T73" s="462"/>
      <c r="U73" s="357"/>
      <c r="V73" s="357"/>
      <c r="W73" s="357"/>
      <c r="X73" s="357"/>
      <c r="Y73" s="357"/>
      <c r="Z73" s="357"/>
      <c r="AA73" s="357"/>
      <c r="AB73" s="357"/>
      <c r="AC73" s="357"/>
      <c r="AD73" s="35"/>
      <c r="AE73" s="35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hidden="1">
      <c r="A74" s="14" t="s">
        <v>64</v>
      </c>
      <c r="B74" s="19"/>
      <c r="C74" s="15">
        <v>0.85</v>
      </c>
      <c r="D74" s="15"/>
      <c r="E74" s="15"/>
      <c r="F74" s="357"/>
      <c r="G74" s="357"/>
      <c r="H74" s="357"/>
      <c r="I74" s="357"/>
      <c r="J74" s="357"/>
      <c r="K74" s="359"/>
      <c r="L74" s="359"/>
      <c r="M74" s="359"/>
      <c r="N74" s="357"/>
      <c r="O74" s="357"/>
      <c r="P74" s="357"/>
      <c r="Q74" s="357"/>
      <c r="R74" s="357"/>
      <c r="S74" s="462"/>
      <c r="T74" s="462"/>
      <c r="U74" s="357"/>
      <c r="V74" s="357"/>
      <c r="W74" s="357"/>
      <c r="X74" s="357"/>
      <c r="Y74" s="357"/>
      <c r="Z74" s="357"/>
      <c r="AA74" s="357"/>
      <c r="AB74" s="357"/>
      <c r="AC74" s="357"/>
      <c r="AD74" s="29"/>
      <c r="AE74" s="29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 ht="15.75" hidden="1" customHeight="1">
      <c r="A75" s="14" t="s">
        <v>65</v>
      </c>
      <c r="B75" s="9"/>
      <c r="C75" s="15">
        <v>0.85</v>
      </c>
      <c r="D75" s="15"/>
      <c r="E75" s="15"/>
      <c r="F75" s="357"/>
      <c r="G75" s="357"/>
      <c r="H75" s="357"/>
      <c r="I75" s="357"/>
      <c r="J75" s="357"/>
      <c r="K75" s="359"/>
      <c r="L75" s="359"/>
      <c r="M75" s="359"/>
      <c r="N75" s="357"/>
      <c r="O75" s="357"/>
      <c r="P75" s="357"/>
      <c r="Q75" s="357"/>
      <c r="R75" s="357"/>
      <c r="S75" s="462"/>
      <c r="T75" s="462"/>
      <c r="U75" s="357"/>
      <c r="V75" s="357"/>
      <c r="W75" s="357"/>
      <c r="X75" s="357"/>
      <c r="Y75" s="357"/>
      <c r="Z75" s="357"/>
      <c r="AA75" s="357"/>
      <c r="AB75" s="357"/>
      <c r="AC75" s="357"/>
      <c r="AD75" s="31"/>
      <c r="AE75" s="31"/>
      <c r="AF75" s="11">
        <f t="shared" si="17"/>
        <v>0</v>
      </c>
      <c r="AG75" s="11">
        <f t="shared" si="18"/>
        <v>0</v>
      </c>
      <c r="AH75" s="11">
        <f t="shared" si="19"/>
        <v>0</v>
      </c>
    </row>
    <row r="76" spans="1:124" hidden="1">
      <c r="A76" s="9" t="s">
        <v>26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0">SUM(F67:F75)</f>
        <v>0</v>
      </c>
      <c r="G76" s="19">
        <f t="shared" si="20"/>
        <v>0</v>
      </c>
      <c r="H76" s="19">
        <f t="shared" si="20"/>
        <v>0</v>
      </c>
      <c r="I76" s="19">
        <f t="shared" si="20"/>
        <v>0</v>
      </c>
      <c r="J76" s="19">
        <f t="shared" si="20"/>
        <v>0</v>
      </c>
      <c r="K76" s="19">
        <f t="shared" si="20"/>
        <v>0</v>
      </c>
      <c r="L76" s="19">
        <f>SUM(L67:L75)</f>
        <v>0</v>
      </c>
      <c r="M76" s="19">
        <f t="shared" si="20"/>
        <v>0</v>
      </c>
      <c r="N76" s="19">
        <f t="shared" si="20"/>
        <v>0</v>
      </c>
      <c r="O76" s="19">
        <f t="shared" si="20"/>
        <v>0</v>
      </c>
      <c r="P76" s="19">
        <f t="shared" si="20"/>
        <v>0</v>
      </c>
      <c r="Q76" s="19">
        <f>SUM(Q67:Q75)</f>
        <v>0</v>
      </c>
      <c r="R76" s="19">
        <f t="shared" si="20"/>
        <v>0</v>
      </c>
      <c r="S76" s="463">
        <f t="shared" si="20"/>
        <v>0</v>
      </c>
      <c r="T76" s="463">
        <f t="shared" si="20"/>
        <v>0</v>
      </c>
      <c r="U76" s="19">
        <f t="shared" si="20"/>
        <v>0</v>
      </c>
      <c r="V76" s="19">
        <f t="shared" si="20"/>
        <v>0</v>
      </c>
      <c r="W76" s="19">
        <f t="shared" si="20"/>
        <v>0</v>
      </c>
      <c r="X76" s="19">
        <f t="shared" si="20"/>
        <v>0</v>
      </c>
      <c r="Y76" s="19">
        <f t="shared" si="20"/>
        <v>0</v>
      </c>
      <c r="Z76" s="19">
        <f t="shared" si="20"/>
        <v>0</v>
      </c>
      <c r="AA76" s="19">
        <f t="shared" si="20"/>
        <v>0</v>
      </c>
      <c r="AB76" s="19">
        <f t="shared" si="20"/>
        <v>0</v>
      </c>
      <c r="AC76" s="19">
        <f t="shared" si="20"/>
        <v>0</v>
      </c>
      <c r="AD76" s="34"/>
      <c r="AE76" s="34"/>
      <c r="AF76" s="11"/>
      <c r="AG76" s="11"/>
      <c r="AH76" s="11"/>
    </row>
    <row r="77" spans="1:124">
      <c r="A77" s="12" t="s">
        <v>66</v>
      </c>
      <c r="B77" s="13"/>
      <c r="C77" s="13"/>
      <c r="D77" s="13"/>
      <c r="E77" s="13"/>
      <c r="F77" s="13" t="s">
        <v>21</v>
      </c>
      <c r="G77" s="13" t="s">
        <v>21</v>
      </c>
      <c r="H77" s="13" t="s">
        <v>21</v>
      </c>
      <c r="I77" s="13" t="s">
        <v>21</v>
      </c>
      <c r="J77" s="13" t="s">
        <v>21</v>
      </c>
      <c r="K77" s="13" t="s">
        <v>21</v>
      </c>
      <c r="L77" s="13" t="s">
        <v>21</v>
      </c>
      <c r="M77" s="13"/>
      <c r="N77" s="13" t="s">
        <v>21</v>
      </c>
      <c r="O77" s="13" t="s">
        <v>21</v>
      </c>
      <c r="P77" s="13" t="s">
        <v>21</v>
      </c>
      <c r="Q77" s="13" t="s">
        <v>21</v>
      </c>
      <c r="R77" s="13" t="s">
        <v>21</v>
      </c>
      <c r="S77" s="309" t="s">
        <v>21</v>
      </c>
      <c r="T77" s="309" t="s">
        <v>21</v>
      </c>
      <c r="U77" s="13" t="s">
        <v>21</v>
      </c>
      <c r="V77" s="13" t="s">
        <v>21</v>
      </c>
      <c r="W77" s="13" t="s">
        <v>21</v>
      </c>
      <c r="X77" s="13" t="s">
        <v>21</v>
      </c>
      <c r="Y77" s="13" t="s">
        <v>21</v>
      </c>
      <c r="Z77" s="13" t="s">
        <v>21</v>
      </c>
      <c r="AA77" s="13" t="s">
        <v>21</v>
      </c>
      <c r="AB77" s="13" t="s">
        <v>21</v>
      </c>
      <c r="AC77" s="13" t="s">
        <v>21</v>
      </c>
      <c r="AD77" s="40"/>
      <c r="AE77" s="40"/>
      <c r="AF77" s="13" t="s">
        <v>21</v>
      </c>
      <c r="AG77" s="13" t="s">
        <v>21</v>
      </c>
      <c r="AH77" s="13" t="s">
        <v>21</v>
      </c>
      <c r="AI77" s="159">
        <f>SUM(F78:AC79)</f>
        <v>21.75</v>
      </c>
    </row>
    <row r="78" spans="1:124">
      <c r="A78" s="14" t="s">
        <v>67</v>
      </c>
      <c r="B78" s="20"/>
      <c r="C78" s="15">
        <v>1</v>
      </c>
      <c r="D78" s="15"/>
      <c r="E78" s="15"/>
      <c r="F78" s="357"/>
      <c r="G78" s="357"/>
      <c r="H78" s="357"/>
      <c r="I78" s="357"/>
      <c r="J78" s="357"/>
      <c r="K78" s="357"/>
      <c r="L78" s="359">
        <v>0.91</v>
      </c>
      <c r="M78" s="357">
        <v>0.83</v>
      </c>
      <c r="N78" s="357">
        <v>0.82</v>
      </c>
      <c r="O78" s="357">
        <v>0.86</v>
      </c>
      <c r="P78" s="357">
        <v>0.9</v>
      </c>
      <c r="Q78" s="357">
        <v>0.91</v>
      </c>
      <c r="R78" s="357">
        <v>0.94</v>
      </c>
      <c r="S78" s="462">
        <v>0.96</v>
      </c>
      <c r="T78" s="462">
        <v>0.97</v>
      </c>
      <c r="U78" s="357">
        <v>0.98</v>
      </c>
      <c r="V78" s="357">
        <v>0.96</v>
      </c>
      <c r="W78" s="357">
        <v>0.95</v>
      </c>
      <c r="X78" s="357">
        <v>0.93</v>
      </c>
      <c r="Y78" s="357"/>
      <c r="Z78" s="357"/>
      <c r="AA78" s="357"/>
      <c r="AB78" s="357"/>
      <c r="AC78" s="357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68</v>
      </c>
      <c r="B79" s="20"/>
      <c r="C79" s="15">
        <v>1</v>
      </c>
      <c r="D79" s="15"/>
      <c r="E79" s="15"/>
      <c r="F79" s="357">
        <v>0.9</v>
      </c>
      <c r="G79" s="357">
        <v>0.86</v>
      </c>
      <c r="H79" s="357">
        <v>0.84</v>
      </c>
      <c r="I79" s="357">
        <v>0.81</v>
      </c>
      <c r="J79" s="357">
        <v>0.76</v>
      </c>
      <c r="K79" s="357">
        <v>0.85</v>
      </c>
      <c r="L79" s="359"/>
      <c r="M79" s="357"/>
      <c r="N79" s="357"/>
      <c r="O79" s="357"/>
      <c r="P79" s="357"/>
      <c r="Q79" s="357"/>
      <c r="R79" s="357"/>
      <c r="S79" s="462"/>
      <c r="T79" s="462"/>
      <c r="U79" s="357"/>
      <c r="V79" s="357"/>
      <c r="W79" s="357"/>
      <c r="X79" s="357"/>
      <c r="Y79" s="357">
        <v>1</v>
      </c>
      <c r="Z79" s="357">
        <v>0.81</v>
      </c>
      <c r="AA79" s="357">
        <v>1.05</v>
      </c>
      <c r="AB79" s="357">
        <v>0.99</v>
      </c>
      <c r="AC79" s="357">
        <v>0.96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26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1">SUM(F78:F79)</f>
        <v>0.9</v>
      </c>
      <c r="G80" s="19">
        <f t="shared" si="21"/>
        <v>0.86</v>
      </c>
      <c r="H80" s="19">
        <f>SUM(H78:H79)</f>
        <v>0.84</v>
      </c>
      <c r="I80" s="19">
        <f>SUM(I78:I79)</f>
        <v>0.81</v>
      </c>
      <c r="J80" s="19">
        <f t="shared" ref="J80:AB80" si="22">SUM(J78:J79)</f>
        <v>0.76</v>
      </c>
      <c r="K80" s="19">
        <f t="shared" si="22"/>
        <v>0.85</v>
      </c>
      <c r="L80" s="19">
        <f>SUM(L78:L79)</f>
        <v>0.91</v>
      </c>
      <c r="M80" s="19">
        <f t="shared" si="22"/>
        <v>0.83</v>
      </c>
      <c r="N80" s="19">
        <f t="shared" si="22"/>
        <v>0.82</v>
      </c>
      <c r="O80" s="19">
        <f>SUM(O78:O79)</f>
        <v>0.86</v>
      </c>
      <c r="P80" s="19">
        <f>SUM(P78:P79)</f>
        <v>0.9</v>
      </c>
      <c r="Q80" s="19">
        <f t="shared" si="22"/>
        <v>0.91</v>
      </c>
      <c r="R80" s="19">
        <f t="shared" si="22"/>
        <v>0.94</v>
      </c>
      <c r="S80" s="463">
        <f t="shared" si="22"/>
        <v>0.96</v>
      </c>
      <c r="T80" s="463">
        <f t="shared" si="22"/>
        <v>0.97</v>
      </c>
      <c r="U80" s="19">
        <f t="shared" si="22"/>
        <v>0.98</v>
      </c>
      <c r="V80" s="19">
        <f t="shared" si="22"/>
        <v>0.96</v>
      </c>
      <c r="W80" s="19">
        <f t="shared" si="22"/>
        <v>0.95</v>
      </c>
      <c r="X80" s="19">
        <f t="shared" si="22"/>
        <v>0.93</v>
      </c>
      <c r="Y80" s="19">
        <f t="shared" si="22"/>
        <v>1</v>
      </c>
      <c r="Z80" s="19">
        <f t="shared" si="22"/>
        <v>0.81</v>
      </c>
      <c r="AA80" s="19">
        <f t="shared" si="22"/>
        <v>1.05</v>
      </c>
      <c r="AB80" s="19">
        <f t="shared" si="22"/>
        <v>0.99</v>
      </c>
      <c r="AC80" s="19">
        <f>SUM(AC78:AC79)</f>
        <v>0.96</v>
      </c>
      <c r="AD80" s="34"/>
      <c r="AE80" s="34"/>
      <c r="AF80" s="11"/>
      <c r="AG80" s="11"/>
      <c r="AH80" s="11"/>
    </row>
    <row r="81" spans="1:40" ht="17.45" hidden="1">
      <c r="A81" s="351" t="s">
        <v>69</v>
      </c>
      <c r="B81" s="350"/>
      <c r="C81" s="352">
        <v>2</v>
      </c>
      <c r="D81" s="348"/>
      <c r="E81" s="348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517"/>
      <c r="T81" s="517"/>
      <c r="U81" s="349"/>
      <c r="V81" s="349"/>
      <c r="W81" s="349"/>
      <c r="X81" s="349"/>
      <c r="Y81" s="349"/>
      <c r="Z81" s="349"/>
      <c r="AA81" s="349"/>
      <c r="AB81" s="349"/>
      <c r="AC81" s="349"/>
    </row>
    <row r="82" spans="1:40" ht="17.45" hidden="1">
      <c r="A82" s="353"/>
      <c r="B82" s="354"/>
      <c r="C82" s="355"/>
      <c r="D82" s="356"/>
      <c r="E82" s="356"/>
      <c r="F82" s="357"/>
      <c r="G82" s="357"/>
      <c r="H82" s="357"/>
      <c r="I82" s="357"/>
      <c r="J82" s="357"/>
      <c r="K82" s="359"/>
      <c r="L82" s="359"/>
      <c r="M82" s="359"/>
      <c r="N82" s="357"/>
      <c r="O82" s="357"/>
      <c r="P82" s="357"/>
      <c r="Q82" s="357"/>
      <c r="R82" s="357"/>
      <c r="S82" s="462"/>
      <c r="T82" s="462"/>
      <c r="U82" s="357"/>
      <c r="V82" s="357"/>
      <c r="W82" s="357"/>
      <c r="X82" s="357"/>
      <c r="Y82" s="357"/>
      <c r="Z82" s="357"/>
      <c r="AA82" s="357"/>
      <c r="AB82" s="357"/>
      <c r="AC82" s="357"/>
    </row>
    <row r="83" spans="1:40">
      <c r="A83" s="21" t="s">
        <v>70</v>
      </c>
      <c r="B83" s="28">
        <f>SUM(B17,B22,B31,B34,B60,B65,B76)</f>
        <v>0</v>
      </c>
      <c r="C83" s="28">
        <f>SUM(C17,C22,C31,C34,C60,C65,C76)</f>
        <v>96.549999999999983</v>
      </c>
      <c r="D83" s="28"/>
      <c r="E83" s="28"/>
      <c r="F83" s="28">
        <f>SUM(F17,F22,F25,F31,F34,F60,F65,F76,F80,F82)</f>
        <v>41.55</v>
      </c>
      <c r="G83" s="28">
        <f t="shared" ref="G83:AC83" si="23">SUM(G17,G22,G25,G31,G34,G60,G65,G76,G80,G82)</f>
        <v>40.199999999999996</v>
      </c>
      <c r="H83" s="28">
        <f t="shared" si="23"/>
        <v>38.39</v>
      </c>
      <c r="I83" s="28">
        <f t="shared" si="23"/>
        <v>37.32</v>
      </c>
      <c r="J83" s="28">
        <f t="shared" si="23"/>
        <v>36.96</v>
      </c>
      <c r="K83" s="28">
        <f t="shared" si="23"/>
        <v>38.57</v>
      </c>
      <c r="L83" s="28">
        <f t="shared" si="23"/>
        <v>44.62</v>
      </c>
      <c r="M83" s="28">
        <f t="shared" si="23"/>
        <v>40.53</v>
      </c>
      <c r="N83" s="28">
        <f t="shared" si="23"/>
        <v>46.010000000000005</v>
      </c>
      <c r="O83" s="28">
        <f t="shared" si="23"/>
        <v>56.719999999999992</v>
      </c>
      <c r="P83" s="28">
        <f t="shared" si="23"/>
        <v>60.86999999999999</v>
      </c>
      <c r="Q83" s="28">
        <f t="shared" si="23"/>
        <v>63.99</v>
      </c>
      <c r="R83" s="28">
        <f t="shared" si="23"/>
        <v>63.4</v>
      </c>
      <c r="S83" s="28">
        <f t="shared" si="23"/>
        <v>65.31</v>
      </c>
      <c r="T83" s="28">
        <f t="shared" si="23"/>
        <v>66.679999999999993</v>
      </c>
      <c r="U83" s="28">
        <f t="shared" si="23"/>
        <v>66.47</v>
      </c>
      <c r="V83" s="28">
        <f t="shared" si="23"/>
        <v>66.399999999999991</v>
      </c>
      <c r="W83" s="28">
        <f t="shared" si="23"/>
        <v>63.490000000000009</v>
      </c>
      <c r="X83" s="28">
        <f t="shared" si="23"/>
        <v>58.889999999999993</v>
      </c>
      <c r="Y83" s="28">
        <f t="shared" si="23"/>
        <v>63.309999999999995</v>
      </c>
      <c r="Z83" s="28">
        <f t="shared" si="23"/>
        <v>61.569999999999993</v>
      </c>
      <c r="AA83" s="28">
        <f t="shared" si="23"/>
        <v>57.839999999999996</v>
      </c>
      <c r="AB83" s="28">
        <f t="shared" si="23"/>
        <v>46.870000000000005</v>
      </c>
      <c r="AC83" s="28">
        <f t="shared" si="23"/>
        <v>47.669999999999995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597" t="s">
        <v>71</v>
      </c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154"/>
      <c r="U86" s="154"/>
      <c r="V86" s="154"/>
      <c r="W86" s="154"/>
      <c r="X86" s="154"/>
      <c r="Y86" s="154"/>
      <c r="Z86" s="154"/>
      <c r="AA86" s="154"/>
      <c r="AB86" s="154"/>
      <c r="AC86" s="154"/>
      <c r="AD86" s="22"/>
      <c r="AE86" s="22"/>
      <c r="AF86" s="154"/>
      <c r="AG86" s="22"/>
      <c r="AH86" s="22"/>
    </row>
    <row r="87" spans="1:40" ht="17.45">
      <c r="A87" s="584" t="s">
        <v>72</v>
      </c>
      <c r="B87" s="585"/>
      <c r="C87" s="586"/>
      <c r="D87" s="49"/>
      <c r="E87" s="49"/>
      <c r="F87" s="590" t="s">
        <v>73</v>
      </c>
      <c r="G87" s="590"/>
      <c r="H87" s="590"/>
      <c r="I87" s="590"/>
      <c r="J87" s="590"/>
      <c r="K87" s="590"/>
      <c r="L87" s="590"/>
      <c r="M87" s="590"/>
      <c r="N87" s="590"/>
      <c r="O87" s="590"/>
      <c r="P87" s="590"/>
      <c r="Q87" s="590"/>
      <c r="R87" s="590"/>
      <c r="S87" s="590"/>
      <c r="T87" s="590"/>
      <c r="U87" s="590"/>
      <c r="V87" s="590"/>
      <c r="W87" s="590"/>
      <c r="X87" s="590"/>
      <c r="Y87" s="590"/>
      <c r="Z87" s="590"/>
      <c r="AA87" s="590"/>
      <c r="AB87" s="590"/>
      <c r="AC87" s="590"/>
      <c r="AD87" s="5"/>
      <c r="AE87" s="5"/>
      <c r="AF87" s="5"/>
      <c r="AG87" s="5"/>
      <c r="AH87" s="5"/>
    </row>
    <row r="88" spans="1:40" ht="15.6" customHeight="1">
      <c r="A88" s="587"/>
      <c r="B88" s="588"/>
      <c r="C88" s="589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568" t="s">
        <v>27</v>
      </c>
      <c r="B89" s="569"/>
      <c r="C89" s="570"/>
      <c r="D89" s="45"/>
      <c r="E89" s="45"/>
      <c r="F89" s="64">
        <f t="shared" ref="F89:AC89" si="24">SUM(F22,F25)</f>
        <v>0</v>
      </c>
      <c r="G89" s="64">
        <f t="shared" si="24"/>
        <v>0</v>
      </c>
      <c r="H89" s="64">
        <f t="shared" si="24"/>
        <v>0</v>
      </c>
      <c r="I89" s="64">
        <f t="shared" si="24"/>
        <v>0</v>
      </c>
      <c r="J89" s="64">
        <f t="shared" si="24"/>
        <v>0</v>
      </c>
      <c r="K89" s="64">
        <f t="shared" si="24"/>
        <v>0</v>
      </c>
      <c r="L89" s="64">
        <f t="shared" si="24"/>
        <v>0</v>
      </c>
      <c r="M89" s="64">
        <f t="shared" si="24"/>
        <v>0</v>
      </c>
      <c r="N89" s="64">
        <f t="shared" si="24"/>
        <v>0</v>
      </c>
      <c r="O89" s="64">
        <f t="shared" si="24"/>
        <v>6.3</v>
      </c>
      <c r="P89" s="64">
        <f t="shared" si="24"/>
        <v>9.1999999999999993</v>
      </c>
      <c r="Q89" s="64">
        <f t="shared" si="24"/>
        <v>10.1</v>
      </c>
      <c r="R89" s="64">
        <f t="shared" si="24"/>
        <v>10</v>
      </c>
      <c r="S89" s="64">
        <f t="shared" si="24"/>
        <v>10.1</v>
      </c>
      <c r="T89" s="64">
        <f t="shared" si="24"/>
        <v>10.1</v>
      </c>
      <c r="U89" s="64">
        <f t="shared" si="24"/>
        <v>10.1</v>
      </c>
      <c r="V89" s="64">
        <f t="shared" si="24"/>
        <v>10.1</v>
      </c>
      <c r="W89" s="64">
        <f t="shared" si="24"/>
        <v>10</v>
      </c>
      <c r="X89" s="64">
        <f t="shared" si="24"/>
        <v>8.8000000000000007</v>
      </c>
      <c r="Y89" s="64">
        <f t="shared" si="24"/>
        <v>10.1</v>
      </c>
      <c r="Z89" s="64">
        <f t="shared" si="24"/>
        <v>10</v>
      </c>
      <c r="AA89" s="64">
        <f t="shared" si="24"/>
        <v>8.1</v>
      </c>
      <c r="AB89" s="64">
        <f t="shared" si="24"/>
        <v>5</v>
      </c>
      <c r="AC89" s="64">
        <f t="shared" si="24"/>
        <v>3.2</v>
      </c>
      <c r="AG89" s="336"/>
      <c r="AH89" s="5"/>
      <c r="AI89" s="5"/>
      <c r="AJ89" s="5"/>
      <c r="AK89" s="5"/>
      <c r="AL89" s="5"/>
      <c r="AM89" s="5"/>
      <c r="AN89" s="5"/>
    </row>
    <row r="90" spans="1:40" ht="17.45">
      <c r="A90" s="592" t="s">
        <v>74</v>
      </c>
      <c r="B90" s="592"/>
      <c r="C90" s="593"/>
      <c r="D90" s="45"/>
      <c r="E90" s="45"/>
      <c r="F90" s="68" t="s">
        <v>1</v>
      </c>
      <c r="G90" s="68" t="s">
        <v>1</v>
      </c>
      <c r="H90" s="68" t="s">
        <v>1</v>
      </c>
      <c r="I90" s="68" t="s">
        <v>1</v>
      </c>
      <c r="J90" s="68" t="s">
        <v>1</v>
      </c>
      <c r="K90" s="68" t="s">
        <v>1</v>
      </c>
      <c r="L90" s="68" t="s">
        <v>1</v>
      </c>
      <c r="M90" s="68" t="s">
        <v>1</v>
      </c>
      <c r="N90" s="68" t="s">
        <v>1</v>
      </c>
      <c r="O90" s="68" t="s">
        <v>1</v>
      </c>
      <c r="P90" s="68">
        <v>0.26</v>
      </c>
      <c r="Q90" s="68">
        <v>0.219</v>
      </c>
      <c r="R90" s="68">
        <v>0.28000000000000003</v>
      </c>
      <c r="S90" s="68">
        <v>0.23</v>
      </c>
      <c r="T90" s="68">
        <v>0.24099999999999999</v>
      </c>
      <c r="U90" s="68">
        <v>0.191</v>
      </c>
      <c r="V90" s="68">
        <v>0.16900000000000001</v>
      </c>
      <c r="W90" s="68">
        <v>0.217</v>
      </c>
      <c r="X90" s="68">
        <v>0.219</v>
      </c>
      <c r="Y90" s="68">
        <v>0.188</v>
      </c>
      <c r="Z90" s="68">
        <v>0.189</v>
      </c>
      <c r="AA90" s="68">
        <v>0.16600000000000001</v>
      </c>
      <c r="AB90" s="68" t="s">
        <v>1</v>
      </c>
      <c r="AC90" s="68" t="s">
        <v>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568" t="s">
        <v>76</v>
      </c>
      <c r="B91" s="569"/>
      <c r="C91" s="570"/>
      <c r="D91" s="45"/>
      <c r="E91" s="45"/>
      <c r="F91" s="64">
        <f t="shared" ref="F91:AC91" si="25">F17</f>
        <v>18.8</v>
      </c>
      <c r="G91" s="64">
        <f t="shared" si="25"/>
        <v>13.2</v>
      </c>
      <c r="H91" s="64">
        <f t="shared" si="25"/>
        <v>13.2</v>
      </c>
      <c r="I91" s="64">
        <f t="shared" si="25"/>
        <v>13.2</v>
      </c>
      <c r="J91" s="64">
        <f t="shared" si="25"/>
        <v>13.4</v>
      </c>
      <c r="K91" s="64">
        <f t="shared" si="25"/>
        <v>12.8</v>
      </c>
      <c r="L91" s="64">
        <f t="shared" si="25"/>
        <v>13.4</v>
      </c>
      <c r="M91" s="64">
        <f t="shared" si="25"/>
        <v>13.4</v>
      </c>
      <c r="N91" s="64">
        <f t="shared" si="25"/>
        <v>18.899999999999999</v>
      </c>
      <c r="O91" s="64">
        <f t="shared" si="25"/>
        <v>20.399999999999999</v>
      </c>
      <c r="P91" s="64">
        <f t="shared" si="25"/>
        <v>19.799999999999997</v>
      </c>
      <c r="Q91" s="64">
        <f t="shared" si="25"/>
        <v>20.100000000000001</v>
      </c>
      <c r="R91" s="64">
        <f t="shared" si="25"/>
        <v>20.100000000000001</v>
      </c>
      <c r="S91" s="64">
        <f t="shared" si="25"/>
        <v>20.399999999999999</v>
      </c>
      <c r="T91" s="64">
        <f t="shared" si="25"/>
        <v>20.100000000000001</v>
      </c>
      <c r="U91" s="64">
        <f t="shared" si="25"/>
        <v>20.100000000000001</v>
      </c>
      <c r="V91" s="64">
        <f t="shared" si="25"/>
        <v>20.100000000000001</v>
      </c>
      <c r="W91" s="64">
        <f t="shared" si="25"/>
        <v>20.100000000000001</v>
      </c>
      <c r="X91" s="64">
        <f t="shared" si="25"/>
        <v>20</v>
      </c>
      <c r="Y91" s="64">
        <f t="shared" si="25"/>
        <v>20.100000000000001</v>
      </c>
      <c r="Z91" s="64">
        <f t="shared" si="25"/>
        <v>19.799999999999997</v>
      </c>
      <c r="AA91" s="64">
        <f t="shared" si="25"/>
        <v>19.799999999999997</v>
      </c>
      <c r="AB91" s="64">
        <f t="shared" si="25"/>
        <v>19.200000000000003</v>
      </c>
      <c r="AC91" s="64">
        <f t="shared" si="25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592" t="s">
        <v>77</v>
      </c>
      <c r="B92" s="592"/>
      <c r="C92" s="593"/>
      <c r="D92" s="45"/>
      <c r="E92" s="45"/>
      <c r="F92" s="68">
        <v>0.65200000000000002</v>
      </c>
      <c r="G92" s="68">
        <v>0.52500000000000002</v>
      </c>
      <c r="H92" s="68">
        <v>0.45500000000000002</v>
      </c>
      <c r="I92" s="68">
        <v>0.48</v>
      </c>
      <c r="J92" s="68">
        <v>0.52</v>
      </c>
      <c r="K92" s="68">
        <v>0.46</v>
      </c>
      <c r="L92" s="68">
        <v>0.53300000000000003</v>
      </c>
      <c r="M92" s="68">
        <v>0.52800000000000002</v>
      </c>
      <c r="N92" s="68">
        <v>0.70699999999999996</v>
      </c>
      <c r="O92" s="68">
        <v>0.76700000000000002</v>
      </c>
      <c r="P92" s="68">
        <v>0.74399999999999999</v>
      </c>
      <c r="Q92" s="68">
        <v>0.70399999999999996</v>
      </c>
      <c r="R92" s="68">
        <v>0.81499999999999995</v>
      </c>
      <c r="S92" s="68">
        <v>0.752</v>
      </c>
      <c r="T92" s="68">
        <v>0.76</v>
      </c>
      <c r="U92" s="68">
        <v>0.58299999999999996</v>
      </c>
      <c r="V92" s="68">
        <v>0.70899999999999996</v>
      </c>
      <c r="W92" s="68">
        <v>0.78900000000000003</v>
      </c>
      <c r="X92" s="68">
        <v>0.69799999999999995</v>
      </c>
      <c r="Y92" s="68">
        <v>0.61899999999999999</v>
      </c>
      <c r="Z92" s="68">
        <v>0.78600000000000003</v>
      </c>
      <c r="AA92" s="68">
        <v>0.70099999999999996</v>
      </c>
      <c r="AB92" s="68">
        <v>0.69399999999999995</v>
      </c>
      <c r="AC92" s="68">
        <v>0.69899999999999995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568" t="s">
        <v>29</v>
      </c>
      <c r="B93" s="569"/>
      <c r="C93" s="570"/>
      <c r="D93" s="45"/>
      <c r="E93" s="45"/>
      <c r="F93" s="65">
        <f t="shared" ref="F93:AC93" si="26">F31</f>
        <v>6.8999999999999995</v>
      </c>
      <c r="G93" s="65">
        <f t="shared" si="26"/>
        <v>10.8</v>
      </c>
      <c r="H93" s="65">
        <f t="shared" si="26"/>
        <v>9</v>
      </c>
      <c r="I93" s="65">
        <f t="shared" si="26"/>
        <v>8</v>
      </c>
      <c r="J93" s="65">
        <f t="shared" si="26"/>
        <v>7.5</v>
      </c>
      <c r="K93" s="65">
        <f>K31</f>
        <v>9.5</v>
      </c>
      <c r="L93" s="65">
        <f t="shared" si="26"/>
        <v>10.8</v>
      </c>
      <c r="M93" s="65">
        <f t="shared" si="26"/>
        <v>10.8</v>
      </c>
      <c r="N93" s="65">
        <f t="shared" si="26"/>
        <v>10.8</v>
      </c>
      <c r="O93" s="65">
        <f t="shared" si="26"/>
        <v>11.2</v>
      </c>
      <c r="P93" s="65">
        <f t="shared" si="26"/>
        <v>13.7</v>
      </c>
      <c r="Q93" s="65">
        <f t="shared" si="26"/>
        <v>14</v>
      </c>
      <c r="R93" s="65">
        <f t="shared" si="26"/>
        <v>13.4</v>
      </c>
      <c r="S93" s="65">
        <f t="shared" si="26"/>
        <v>14.1</v>
      </c>
      <c r="T93" s="65">
        <f t="shared" si="26"/>
        <v>15.1</v>
      </c>
      <c r="U93" s="65">
        <f t="shared" si="26"/>
        <v>14.8</v>
      </c>
      <c r="V93" s="65">
        <f t="shared" si="26"/>
        <v>14.8</v>
      </c>
      <c r="W93" s="65">
        <f t="shared" si="26"/>
        <v>13.6</v>
      </c>
      <c r="X93" s="65">
        <f t="shared" si="26"/>
        <v>13.5</v>
      </c>
      <c r="Y93" s="65">
        <f t="shared" si="26"/>
        <v>16.3</v>
      </c>
      <c r="Z93" s="65">
        <f t="shared" si="26"/>
        <v>15</v>
      </c>
      <c r="AA93" s="65">
        <f t="shared" si="26"/>
        <v>13</v>
      </c>
      <c r="AB93" s="65">
        <f t="shared" si="26"/>
        <v>6</v>
      </c>
      <c r="AC93" s="65">
        <f t="shared" si="26"/>
        <v>8.5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592" t="s">
        <v>78</v>
      </c>
      <c r="B94" s="592"/>
      <c r="C94" s="593"/>
      <c r="D94" s="45"/>
      <c r="E94" s="45"/>
      <c r="F94" s="68">
        <v>0.17399999999999999</v>
      </c>
      <c r="G94" s="68">
        <v>0.16</v>
      </c>
      <c r="H94" s="68">
        <v>0.17799999999999999</v>
      </c>
      <c r="I94" s="68">
        <v>0.16400000000000001</v>
      </c>
      <c r="J94" s="68">
        <v>0.187</v>
      </c>
      <c r="K94" s="68">
        <v>0.186</v>
      </c>
      <c r="L94" s="68">
        <v>0.184</v>
      </c>
      <c r="M94" s="68">
        <v>0.19900000000000001</v>
      </c>
      <c r="N94" s="68">
        <v>0.219</v>
      </c>
      <c r="O94" s="68">
        <v>0.17899999999999999</v>
      </c>
      <c r="P94" s="68">
        <v>0.182</v>
      </c>
      <c r="Q94" s="68">
        <v>0.19</v>
      </c>
      <c r="R94" s="68">
        <v>0.20799999999999999</v>
      </c>
      <c r="S94" s="68">
        <v>0.20300000000000001</v>
      </c>
      <c r="T94" s="68">
        <v>0.23899999999999999</v>
      </c>
      <c r="U94" s="68">
        <v>0.184</v>
      </c>
      <c r="V94" s="68">
        <v>0.184</v>
      </c>
      <c r="W94" s="68">
        <v>0.19700000000000001</v>
      </c>
      <c r="X94" s="68">
        <v>0.19800000000000001</v>
      </c>
      <c r="Y94" s="68">
        <v>0.20799999999999999</v>
      </c>
      <c r="Z94" s="68">
        <v>0.19800000000000001</v>
      </c>
      <c r="AA94" s="68">
        <v>0.187</v>
      </c>
      <c r="AB94" s="68">
        <v>0.16800000000000001</v>
      </c>
      <c r="AC94" s="68">
        <v>0.187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592" t="s">
        <v>79</v>
      </c>
      <c r="B95" s="592"/>
      <c r="C95" s="593"/>
      <c r="D95" s="45"/>
      <c r="E95" s="45"/>
      <c r="F95" s="68">
        <v>0.214</v>
      </c>
      <c r="G95" s="68">
        <v>0.20599999999999999</v>
      </c>
      <c r="H95" s="68">
        <v>0.20300000000000001</v>
      </c>
      <c r="I95" s="68">
        <v>0.19900000000000001</v>
      </c>
      <c r="J95" s="68">
        <v>0.20699999999999999</v>
      </c>
      <c r="K95" s="68">
        <v>0.2</v>
      </c>
      <c r="L95" s="68">
        <v>0.20100000000000001</v>
      </c>
      <c r="M95" s="68">
        <v>0.19900000000000001</v>
      </c>
      <c r="N95" s="68">
        <v>0.216</v>
      </c>
      <c r="O95" s="68">
        <v>0.216</v>
      </c>
      <c r="P95" s="68">
        <v>0.30499999999999999</v>
      </c>
      <c r="Q95" s="68">
        <v>0.30499999999999999</v>
      </c>
      <c r="R95" s="68">
        <v>0.39800000000000002</v>
      </c>
      <c r="S95" s="68">
        <v>0.36799999999999999</v>
      </c>
      <c r="T95" s="68">
        <v>0.36</v>
      </c>
      <c r="U95" s="68">
        <v>0.36</v>
      </c>
      <c r="V95" s="68">
        <v>0.36</v>
      </c>
      <c r="W95" s="68">
        <v>0.38900000000000001</v>
      </c>
      <c r="X95" s="68">
        <v>0.38800000000000001</v>
      </c>
      <c r="Y95" s="68">
        <v>0.39100000000000001</v>
      </c>
      <c r="Z95" s="68">
        <v>0.38700000000000001</v>
      </c>
      <c r="AA95" s="68">
        <v>0.38400000000000001</v>
      </c>
      <c r="AB95" s="68">
        <v>0.22500000000000001</v>
      </c>
      <c r="AC95" s="68">
        <v>0.216</v>
      </c>
      <c r="AG95" s="5"/>
      <c r="AH95" s="5"/>
      <c r="AI95" s="5"/>
      <c r="AJ95" s="5"/>
      <c r="AK95" s="5"/>
      <c r="AL95" s="5"/>
      <c r="AM95" s="5"/>
      <c r="AN95" s="5"/>
    </row>
    <row r="96" spans="1:40" ht="17.45">
      <c r="A96" s="568" t="s">
        <v>32</v>
      </c>
      <c r="B96" s="569"/>
      <c r="C96" s="570"/>
      <c r="D96" s="45"/>
      <c r="E96" s="45"/>
      <c r="F96" s="65">
        <f t="shared" ref="F96:AC96" si="27">F34</f>
        <v>13.78</v>
      </c>
      <c r="G96" s="65">
        <f t="shared" si="27"/>
        <v>14.27</v>
      </c>
      <c r="H96" s="65">
        <f t="shared" si="27"/>
        <v>14.29</v>
      </c>
      <c r="I96" s="65">
        <f t="shared" si="27"/>
        <v>14.28</v>
      </c>
      <c r="J96" s="65">
        <f t="shared" si="27"/>
        <v>14.27</v>
      </c>
      <c r="K96" s="65">
        <f t="shared" si="27"/>
        <v>14.27</v>
      </c>
      <c r="L96" s="65">
        <f t="shared" si="27"/>
        <v>14.26</v>
      </c>
      <c r="M96" s="65">
        <f t="shared" si="27"/>
        <v>14.28</v>
      </c>
      <c r="N96" s="65">
        <f t="shared" si="27"/>
        <v>14.25</v>
      </c>
      <c r="O96" s="65">
        <f t="shared" si="27"/>
        <v>14.26</v>
      </c>
      <c r="P96" s="65">
        <f t="shared" si="27"/>
        <v>14.29</v>
      </c>
      <c r="Q96" s="65">
        <f t="shared" si="27"/>
        <v>14.25</v>
      </c>
      <c r="R96" s="65">
        <f t="shared" si="27"/>
        <v>14.29</v>
      </c>
      <c r="S96" s="65">
        <f t="shared" si="27"/>
        <v>14.27</v>
      </c>
      <c r="T96" s="65">
        <f t="shared" si="27"/>
        <v>14.24</v>
      </c>
      <c r="U96" s="65">
        <f t="shared" si="27"/>
        <v>14.3</v>
      </c>
      <c r="V96" s="65">
        <f t="shared" si="27"/>
        <v>14.28</v>
      </c>
      <c r="W96" s="65">
        <f t="shared" si="27"/>
        <v>14.24</v>
      </c>
      <c r="X96" s="65">
        <f t="shared" si="27"/>
        <v>14.3</v>
      </c>
      <c r="Y96" s="65">
        <f t="shared" si="27"/>
        <v>14.3</v>
      </c>
      <c r="Z96" s="65">
        <f t="shared" si="27"/>
        <v>14.27</v>
      </c>
      <c r="AA96" s="65">
        <f t="shared" si="27"/>
        <v>14.29</v>
      </c>
      <c r="AB96" s="65">
        <f t="shared" si="27"/>
        <v>14.26</v>
      </c>
      <c r="AC96" s="65">
        <f t="shared" si="27"/>
        <v>14.21</v>
      </c>
      <c r="AG96" s="5"/>
      <c r="AH96" s="5"/>
      <c r="AI96" s="5"/>
      <c r="AJ96" s="5"/>
      <c r="AK96" s="5"/>
      <c r="AL96" s="5"/>
      <c r="AM96" s="5"/>
      <c r="AN96" s="5"/>
    </row>
    <row r="97" spans="1:124" s="67" customFormat="1" ht="17.45">
      <c r="A97" s="592" t="s">
        <v>80</v>
      </c>
      <c r="B97" s="592"/>
      <c r="C97" s="593"/>
      <c r="D97" s="68"/>
      <c r="E97" s="68"/>
      <c r="F97" s="68">
        <v>0.72</v>
      </c>
      <c r="G97" s="68">
        <v>0.73</v>
      </c>
      <c r="H97" s="68">
        <v>0.71</v>
      </c>
      <c r="I97" s="68">
        <v>0.72</v>
      </c>
      <c r="J97" s="68">
        <v>0.73</v>
      </c>
      <c r="K97" s="68">
        <v>0.73</v>
      </c>
      <c r="L97" s="68">
        <v>0.74</v>
      </c>
      <c r="M97" s="68">
        <v>0.72</v>
      </c>
      <c r="N97" s="68">
        <v>0.75</v>
      </c>
      <c r="O97" s="68">
        <v>0.74</v>
      </c>
      <c r="P97" s="68">
        <v>0.71</v>
      </c>
      <c r="Q97" s="68">
        <v>0.75</v>
      </c>
      <c r="R97" s="68">
        <v>0.69</v>
      </c>
      <c r="S97" s="68">
        <v>0.73</v>
      </c>
      <c r="T97" s="68">
        <v>0.76</v>
      </c>
      <c r="U97" s="68">
        <v>0.7</v>
      </c>
      <c r="V97" s="68">
        <v>0.72</v>
      </c>
      <c r="W97" s="68">
        <v>0.76</v>
      </c>
      <c r="X97" s="68">
        <v>0.7</v>
      </c>
      <c r="Y97" s="68">
        <v>0.71</v>
      </c>
      <c r="Z97" s="68">
        <v>0.73</v>
      </c>
      <c r="AA97" s="68">
        <v>0.71</v>
      </c>
      <c r="AB97" s="68">
        <v>0.74</v>
      </c>
      <c r="AC97" s="68">
        <v>0.79</v>
      </c>
      <c r="AD97" s="69"/>
      <c r="AE97" s="69"/>
      <c r="AF97" s="69"/>
      <c r="AG97" s="69"/>
      <c r="AH97" s="69"/>
      <c r="AI97" s="69"/>
      <c r="AJ97" s="69"/>
      <c r="AK97" s="69"/>
    </row>
    <row r="98" spans="1:124" ht="17.45">
      <c r="A98" s="568" t="s">
        <v>33</v>
      </c>
      <c r="B98" s="569"/>
      <c r="C98" s="570"/>
      <c r="D98" s="45"/>
      <c r="E98" s="45"/>
      <c r="F98" s="64">
        <f t="shared" ref="F98:AC98" si="28">F60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3.8999999999999995</v>
      </c>
      <c r="M98" s="64">
        <f t="shared" si="28"/>
        <v>0</v>
      </c>
      <c r="N98" s="64">
        <f t="shared" si="28"/>
        <v>0</v>
      </c>
      <c r="O98" s="64">
        <f t="shared" si="28"/>
        <v>2.2999999999999998</v>
      </c>
      <c r="P98" s="64">
        <f t="shared" si="28"/>
        <v>1.5</v>
      </c>
      <c r="Q98" s="64">
        <f t="shared" si="28"/>
        <v>3.1</v>
      </c>
      <c r="R98" s="64">
        <f t="shared" si="28"/>
        <v>3.1</v>
      </c>
      <c r="S98" s="64">
        <f t="shared" si="28"/>
        <v>3.9000000000000004</v>
      </c>
      <c r="T98" s="64">
        <f t="shared" si="28"/>
        <v>4.5999999999999996</v>
      </c>
      <c r="U98" s="64">
        <f t="shared" si="28"/>
        <v>4.5999999999999996</v>
      </c>
      <c r="V98" s="64">
        <f t="shared" si="28"/>
        <v>4.5999999999999996</v>
      </c>
      <c r="W98" s="64">
        <f t="shared" si="28"/>
        <v>3.1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G98" s="5"/>
      <c r="AH98" s="5"/>
      <c r="AI98" s="5"/>
      <c r="AJ98" s="5"/>
      <c r="AK98" s="5"/>
      <c r="AL98" s="5"/>
      <c r="AM98" s="5"/>
      <c r="AN98" s="5"/>
    </row>
    <row r="99" spans="1:124" ht="17.45">
      <c r="A99" s="568" t="s">
        <v>52</v>
      </c>
      <c r="B99" s="569"/>
      <c r="C99" s="570"/>
      <c r="D99" s="45"/>
      <c r="E99" s="45"/>
      <c r="F99" s="64">
        <f t="shared" ref="F99:AC99" si="29">F65</f>
        <v>1.17</v>
      </c>
      <c r="G99" s="64">
        <f t="shared" si="29"/>
        <v>1.07</v>
      </c>
      <c r="H99" s="64">
        <f t="shared" si="29"/>
        <v>1.06</v>
      </c>
      <c r="I99" s="64">
        <f t="shared" si="29"/>
        <v>1.03</v>
      </c>
      <c r="J99" s="64">
        <f t="shared" si="29"/>
        <v>1.03</v>
      </c>
      <c r="K99" s="64">
        <f t="shared" si="29"/>
        <v>1.1499999999999999</v>
      </c>
      <c r="L99" s="64">
        <f t="shared" si="29"/>
        <v>1.35</v>
      </c>
      <c r="M99" s="64">
        <f t="shared" si="29"/>
        <v>1.22</v>
      </c>
      <c r="N99" s="64">
        <f t="shared" si="29"/>
        <v>1.24</v>
      </c>
      <c r="O99" s="64">
        <f t="shared" si="29"/>
        <v>1.4</v>
      </c>
      <c r="P99" s="64">
        <f t="shared" si="29"/>
        <v>1.48</v>
      </c>
      <c r="Q99" s="64">
        <f t="shared" si="29"/>
        <v>1.53</v>
      </c>
      <c r="R99" s="64">
        <f t="shared" si="29"/>
        <v>1.5699999999999998</v>
      </c>
      <c r="S99" s="64">
        <f t="shared" si="29"/>
        <v>1.58</v>
      </c>
      <c r="T99" s="64">
        <f t="shared" si="29"/>
        <v>1.5699999999999998</v>
      </c>
      <c r="U99" s="64">
        <f t="shared" si="29"/>
        <v>1.59</v>
      </c>
      <c r="V99" s="64">
        <f t="shared" si="29"/>
        <v>1.56</v>
      </c>
      <c r="W99" s="64">
        <f t="shared" si="29"/>
        <v>1.5</v>
      </c>
      <c r="X99" s="64">
        <f t="shared" si="29"/>
        <v>1.36</v>
      </c>
      <c r="Y99" s="64">
        <f t="shared" si="29"/>
        <v>1.51</v>
      </c>
      <c r="Z99" s="64">
        <f t="shared" si="29"/>
        <v>1.69</v>
      </c>
      <c r="AA99" s="64">
        <f t="shared" si="29"/>
        <v>1.6</v>
      </c>
      <c r="AB99" s="64">
        <f t="shared" si="29"/>
        <v>1.42</v>
      </c>
      <c r="AC99" s="64">
        <f t="shared" si="29"/>
        <v>1.3</v>
      </c>
      <c r="AG99" s="5"/>
      <c r="AH99" s="5"/>
      <c r="AI99" s="5"/>
      <c r="AJ99" s="5"/>
      <c r="AK99" s="5"/>
      <c r="AL99" s="5"/>
      <c r="AM99" s="5"/>
      <c r="AN99" s="5"/>
    </row>
    <row r="100" spans="1:124" s="2" customFormat="1" ht="17.45" hidden="1">
      <c r="A100" s="568" t="s">
        <v>56</v>
      </c>
      <c r="B100" s="569"/>
      <c r="C100" s="570"/>
      <c r="D100" s="45"/>
      <c r="E100" s="45"/>
      <c r="F100" s="64">
        <f t="shared" ref="F100:AC100" si="30">F76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>
      <c r="A101" s="568" t="s">
        <v>66</v>
      </c>
      <c r="B101" s="569"/>
      <c r="C101" s="570"/>
      <c r="D101" s="45"/>
      <c r="E101" s="45"/>
      <c r="F101" s="64">
        <f t="shared" ref="F101:AC101" si="31">F80</f>
        <v>0.9</v>
      </c>
      <c r="G101" s="64">
        <f t="shared" si="31"/>
        <v>0.86</v>
      </c>
      <c r="H101" s="64">
        <f t="shared" si="31"/>
        <v>0.84</v>
      </c>
      <c r="I101" s="64">
        <f t="shared" si="31"/>
        <v>0.81</v>
      </c>
      <c r="J101" s="64">
        <f t="shared" si="31"/>
        <v>0.76</v>
      </c>
      <c r="K101" s="64">
        <f t="shared" si="31"/>
        <v>0.85</v>
      </c>
      <c r="L101" s="64">
        <f t="shared" si="31"/>
        <v>0.91</v>
      </c>
      <c r="M101" s="64">
        <f t="shared" si="31"/>
        <v>0.83</v>
      </c>
      <c r="N101" s="64">
        <f t="shared" si="31"/>
        <v>0.82</v>
      </c>
      <c r="O101" s="64">
        <f t="shared" si="31"/>
        <v>0.86</v>
      </c>
      <c r="P101" s="64">
        <f t="shared" si="31"/>
        <v>0.9</v>
      </c>
      <c r="Q101" s="64">
        <f t="shared" si="31"/>
        <v>0.91</v>
      </c>
      <c r="R101" s="64">
        <f t="shared" si="31"/>
        <v>0.94</v>
      </c>
      <c r="S101" s="64">
        <f t="shared" si="31"/>
        <v>0.96</v>
      </c>
      <c r="T101" s="64">
        <f t="shared" si="31"/>
        <v>0.97</v>
      </c>
      <c r="U101" s="64">
        <f t="shared" si="31"/>
        <v>0.98</v>
      </c>
      <c r="V101" s="64">
        <f t="shared" si="31"/>
        <v>0.96</v>
      </c>
      <c r="W101" s="64">
        <f t="shared" si="31"/>
        <v>0.95</v>
      </c>
      <c r="X101" s="64">
        <f t="shared" si="31"/>
        <v>0.93</v>
      </c>
      <c r="Y101" s="64">
        <f t="shared" si="31"/>
        <v>1</v>
      </c>
      <c r="Z101" s="64">
        <f t="shared" si="31"/>
        <v>0.81</v>
      </c>
      <c r="AA101" s="64">
        <f t="shared" si="31"/>
        <v>1.05</v>
      </c>
      <c r="AB101" s="64">
        <f t="shared" si="31"/>
        <v>0.99</v>
      </c>
      <c r="AC101" s="64">
        <f t="shared" si="31"/>
        <v>0.96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17.45" hidden="1" customHeight="1">
      <c r="A102" s="568" t="s">
        <v>69</v>
      </c>
      <c r="B102" s="569"/>
      <c r="C102" s="570"/>
      <c r="D102" s="45"/>
      <c r="E102" s="45"/>
      <c r="F102" s="64">
        <f t="shared" ref="F102:AC102" si="32">F82</f>
        <v>0</v>
      </c>
      <c r="G102" s="64">
        <f t="shared" si="32"/>
        <v>0</v>
      </c>
      <c r="H102" s="64">
        <f t="shared" si="32"/>
        <v>0</v>
      </c>
      <c r="I102" s="64">
        <f t="shared" si="32"/>
        <v>0</v>
      </c>
      <c r="J102" s="64">
        <f t="shared" si="32"/>
        <v>0</v>
      </c>
      <c r="K102" s="64">
        <f t="shared" si="32"/>
        <v>0</v>
      </c>
      <c r="L102" s="64">
        <f t="shared" si="32"/>
        <v>0</v>
      </c>
      <c r="M102" s="64">
        <f t="shared" si="32"/>
        <v>0</v>
      </c>
      <c r="N102" s="64">
        <f t="shared" si="32"/>
        <v>0</v>
      </c>
      <c r="O102" s="64">
        <f t="shared" si="32"/>
        <v>0</v>
      </c>
      <c r="P102" s="64">
        <f t="shared" si="32"/>
        <v>0</v>
      </c>
      <c r="Q102" s="64">
        <f t="shared" si="32"/>
        <v>0</v>
      </c>
      <c r="R102" s="64">
        <f t="shared" si="32"/>
        <v>0</v>
      </c>
      <c r="S102" s="64">
        <f t="shared" si="32"/>
        <v>0</v>
      </c>
      <c r="T102" s="64">
        <f t="shared" si="32"/>
        <v>0</v>
      </c>
      <c r="U102" s="64">
        <f t="shared" si="32"/>
        <v>0</v>
      </c>
      <c r="V102" s="64">
        <f t="shared" si="32"/>
        <v>0</v>
      </c>
      <c r="W102" s="64">
        <f t="shared" si="32"/>
        <v>0</v>
      </c>
      <c r="X102" s="64">
        <f t="shared" si="32"/>
        <v>0</v>
      </c>
      <c r="Y102" s="64">
        <f t="shared" si="32"/>
        <v>0</v>
      </c>
      <c r="Z102" s="64">
        <f t="shared" si="32"/>
        <v>0</v>
      </c>
      <c r="AA102" s="64">
        <f t="shared" si="32"/>
        <v>0</v>
      </c>
      <c r="AB102" s="64">
        <f t="shared" si="32"/>
        <v>0</v>
      </c>
      <c r="AC102" s="64">
        <f t="shared" si="32"/>
        <v>0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591" t="s">
        <v>81</v>
      </c>
      <c r="B103" s="591"/>
      <c r="C103" s="591"/>
      <c r="D103" s="47"/>
      <c r="E103" s="47"/>
      <c r="F103" s="61">
        <f>SUM(F89,F91,F93,F96,F98:F102,F81)</f>
        <v>41.55</v>
      </c>
      <c r="G103" s="61">
        <f t="shared" ref="G103:AC103" si="33">SUM(G89,G91,G93,G96,G98:G102,G81)</f>
        <v>40.199999999999996</v>
      </c>
      <c r="H103" s="61">
        <f t="shared" si="33"/>
        <v>38.39</v>
      </c>
      <c r="I103" s="61">
        <f t="shared" si="33"/>
        <v>37.32</v>
      </c>
      <c r="J103" s="61">
        <f t="shared" si="33"/>
        <v>36.96</v>
      </c>
      <c r="K103" s="61">
        <f t="shared" si="33"/>
        <v>38.57</v>
      </c>
      <c r="L103" s="61">
        <f t="shared" si="33"/>
        <v>44.62</v>
      </c>
      <c r="M103" s="61">
        <f t="shared" si="33"/>
        <v>40.53</v>
      </c>
      <c r="N103" s="61">
        <f t="shared" si="33"/>
        <v>46.010000000000005</v>
      </c>
      <c r="O103" s="61">
        <f t="shared" si="33"/>
        <v>56.719999999999992</v>
      </c>
      <c r="P103" s="61">
        <f t="shared" si="33"/>
        <v>60.86999999999999</v>
      </c>
      <c r="Q103" s="61">
        <f t="shared" si="33"/>
        <v>63.99</v>
      </c>
      <c r="R103" s="61">
        <f t="shared" si="33"/>
        <v>63.4</v>
      </c>
      <c r="S103" s="61">
        <f t="shared" si="33"/>
        <v>65.31</v>
      </c>
      <c r="T103" s="61">
        <f t="shared" si="33"/>
        <v>66.679999999999993</v>
      </c>
      <c r="U103" s="61">
        <f t="shared" si="33"/>
        <v>66.47</v>
      </c>
      <c r="V103" s="61">
        <f t="shared" si="33"/>
        <v>66.399999999999991</v>
      </c>
      <c r="W103" s="61">
        <f t="shared" si="33"/>
        <v>63.490000000000009</v>
      </c>
      <c r="X103" s="61">
        <f t="shared" si="33"/>
        <v>58.889999999999993</v>
      </c>
      <c r="Y103" s="61">
        <f t="shared" si="33"/>
        <v>63.309999999999995</v>
      </c>
      <c r="Z103" s="61">
        <f t="shared" si="33"/>
        <v>61.569999999999993</v>
      </c>
      <c r="AA103" s="61">
        <f t="shared" si="33"/>
        <v>57.839999999999996</v>
      </c>
      <c r="AB103" s="61">
        <f t="shared" si="33"/>
        <v>46.870000000000005</v>
      </c>
      <c r="AC103" s="61">
        <f t="shared" si="33"/>
        <v>47.669999999999995</v>
      </c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594" t="s">
        <v>82</v>
      </c>
      <c r="B104" s="594"/>
      <c r="C104" s="5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594" t="s">
        <v>83</v>
      </c>
      <c r="B105" s="594"/>
      <c r="C105" s="5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594" t="s">
        <v>84</v>
      </c>
      <c r="B106" s="594"/>
      <c r="C106" s="594"/>
      <c r="D106" s="46"/>
      <c r="E106" s="46"/>
      <c r="F106" s="76">
        <v>1.46</v>
      </c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536"/>
      <c r="Z106" s="536"/>
      <c r="AA106" s="76"/>
      <c r="AB106" s="76">
        <v>4.79</v>
      </c>
      <c r="AC106" s="567">
        <v>0.8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591" t="s">
        <v>85</v>
      </c>
      <c r="B107" s="591"/>
      <c r="C107" s="591"/>
      <c r="D107" s="47"/>
      <c r="E107" s="47"/>
      <c r="F107" s="61">
        <f t="shared" ref="F107:AC107" si="34">SUM(F104:F106)</f>
        <v>1.46</v>
      </c>
      <c r="G107" s="61">
        <f t="shared" si="34"/>
        <v>0</v>
      </c>
      <c r="H107" s="61">
        <f t="shared" si="34"/>
        <v>0</v>
      </c>
      <c r="I107" s="61">
        <f t="shared" si="34"/>
        <v>0</v>
      </c>
      <c r="J107" s="61">
        <f t="shared" si="34"/>
        <v>0</v>
      </c>
      <c r="K107" s="61">
        <f t="shared" si="34"/>
        <v>0</v>
      </c>
      <c r="L107" s="61">
        <f t="shared" si="34"/>
        <v>0</v>
      </c>
      <c r="M107" s="61">
        <f t="shared" si="34"/>
        <v>0</v>
      </c>
      <c r="N107" s="61">
        <f t="shared" si="34"/>
        <v>0</v>
      </c>
      <c r="O107" s="61">
        <f t="shared" si="34"/>
        <v>0</v>
      </c>
      <c r="P107" s="61">
        <f t="shared" si="34"/>
        <v>0</v>
      </c>
      <c r="Q107" s="61">
        <f t="shared" si="34"/>
        <v>0</v>
      </c>
      <c r="R107" s="61">
        <f t="shared" si="34"/>
        <v>0</v>
      </c>
      <c r="S107" s="61">
        <f t="shared" si="34"/>
        <v>0</v>
      </c>
      <c r="T107" s="61">
        <f t="shared" si="34"/>
        <v>0</v>
      </c>
      <c r="U107" s="61">
        <f t="shared" si="34"/>
        <v>0</v>
      </c>
      <c r="V107" s="61">
        <f t="shared" si="34"/>
        <v>0</v>
      </c>
      <c r="W107" s="61">
        <f t="shared" si="34"/>
        <v>0</v>
      </c>
      <c r="X107" s="61">
        <f t="shared" si="34"/>
        <v>0</v>
      </c>
      <c r="Y107" s="61">
        <f t="shared" si="34"/>
        <v>0</v>
      </c>
      <c r="Z107" s="61">
        <f t="shared" si="34"/>
        <v>0</v>
      </c>
      <c r="AA107" s="61">
        <f t="shared" si="34"/>
        <v>0</v>
      </c>
      <c r="AB107" s="61">
        <f t="shared" si="34"/>
        <v>4.79</v>
      </c>
      <c r="AC107" s="61">
        <f t="shared" si="34"/>
        <v>0.8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2.35" customHeight="1">
      <c r="A108" s="574" t="s">
        <v>86</v>
      </c>
      <c r="B108" s="574"/>
      <c r="C108" s="574"/>
      <c r="D108" s="48"/>
      <c r="E108" s="48"/>
      <c r="F108" s="62">
        <f t="shared" ref="F108:AC108" si="35">F103+F107</f>
        <v>43.01</v>
      </c>
      <c r="G108" s="62">
        <f t="shared" si="35"/>
        <v>40.199999999999996</v>
      </c>
      <c r="H108" s="62">
        <f t="shared" si="35"/>
        <v>38.39</v>
      </c>
      <c r="I108" s="62">
        <f t="shared" si="35"/>
        <v>37.32</v>
      </c>
      <c r="J108" s="62">
        <f t="shared" si="35"/>
        <v>36.96</v>
      </c>
      <c r="K108" s="62">
        <f t="shared" si="35"/>
        <v>38.57</v>
      </c>
      <c r="L108" s="62">
        <f t="shared" si="35"/>
        <v>44.62</v>
      </c>
      <c r="M108" s="62">
        <f t="shared" si="35"/>
        <v>40.53</v>
      </c>
      <c r="N108" s="62">
        <f>N103+N107</f>
        <v>46.010000000000005</v>
      </c>
      <c r="O108" s="62">
        <f t="shared" si="35"/>
        <v>56.719999999999992</v>
      </c>
      <c r="P108" s="62">
        <f>P103+P107</f>
        <v>60.86999999999999</v>
      </c>
      <c r="Q108" s="62">
        <f t="shared" si="35"/>
        <v>63.99</v>
      </c>
      <c r="R108" s="62">
        <f t="shared" si="35"/>
        <v>63.4</v>
      </c>
      <c r="S108" s="62">
        <f t="shared" si="35"/>
        <v>65.31</v>
      </c>
      <c r="T108" s="62">
        <f>T103+T107</f>
        <v>66.679999999999993</v>
      </c>
      <c r="U108" s="62">
        <f t="shared" si="35"/>
        <v>66.47</v>
      </c>
      <c r="V108" s="62">
        <f t="shared" si="35"/>
        <v>66.399999999999991</v>
      </c>
      <c r="W108" s="62">
        <f>W103+W107</f>
        <v>63.490000000000009</v>
      </c>
      <c r="X108" s="62">
        <f t="shared" si="35"/>
        <v>58.889999999999993</v>
      </c>
      <c r="Y108" s="62">
        <f t="shared" si="35"/>
        <v>63.309999999999995</v>
      </c>
      <c r="Z108" s="62">
        <f t="shared" si="35"/>
        <v>61.569999999999993</v>
      </c>
      <c r="AA108" s="62">
        <f t="shared" si="35"/>
        <v>57.839999999999996</v>
      </c>
      <c r="AB108" s="62">
        <f t="shared" si="35"/>
        <v>51.660000000000004</v>
      </c>
      <c r="AC108" s="62">
        <f t="shared" si="35"/>
        <v>48.469999999999992</v>
      </c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 hidden="1">
      <c r="A109" s="575" t="s">
        <v>87</v>
      </c>
      <c r="B109" s="575"/>
      <c r="C109" s="575"/>
      <c r="D109" s="52"/>
      <c r="E109" s="52"/>
      <c r="F109" s="63">
        <f t="shared" ref="F109:AC109" si="36">(COUNT(F13:F16))*7.2+(COUNT(F27:F28)*4.9)+(COUNT(F19:F21)*4.5)-F91-F93</f>
        <v>0.79999999999999982</v>
      </c>
      <c r="G109" s="63">
        <f t="shared" si="36"/>
        <v>-4.6999999999999993</v>
      </c>
      <c r="H109" s="63">
        <f t="shared" si="36"/>
        <v>-2.8999999999999986</v>
      </c>
      <c r="I109" s="63">
        <f t="shared" si="36"/>
        <v>-1.8999999999999986</v>
      </c>
      <c r="J109" s="63">
        <f t="shared" si="36"/>
        <v>-1.5999999999999996</v>
      </c>
      <c r="K109" s="63">
        <f t="shared" si="36"/>
        <v>-3</v>
      </c>
      <c r="L109" s="63">
        <f t="shared" si="36"/>
        <v>-4.9000000000000004</v>
      </c>
      <c r="M109" s="63">
        <f t="shared" si="36"/>
        <v>0</v>
      </c>
      <c r="N109" s="63">
        <f t="shared" si="36"/>
        <v>1.7000000000000028</v>
      </c>
      <c r="O109" s="63">
        <f t="shared" si="36"/>
        <v>8.8000000000000078</v>
      </c>
      <c r="P109" s="63">
        <f t="shared" si="36"/>
        <v>6.9000000000000092</v>
      </c>
      <c r="Q109" s="63">
        <f t="shared" si="36"/>
        <v>6.3000000000000043</v>
      </c>
      <c r="R109" s="63">
        <f t="shared" si="36"/>
        <v>6.9000000000000039</v>
      </c>
      <c r="S109" s="63">
        <f t="shared" si="36"/>
        <v>5.9000000000000075</v>
      </c>
      <c r="T109" s="63">
        <f t="shared" si="36"/>
        <v>5.2000000000000046</v>
      </c>
      <c r="U109" s="63">
        <f t="shared" si="36"/>
        <v>5.5000000000000036</v>
      </c>
      <c r="V109" s="63">
        <f t="shared" si="36"/>
        <v>0.59999999999999787</v>
      </c>
      <c r="W109" s="63">
        <f t="shared" si="36"/>
        <v>1.7999999999999989</v>
      </c>
      <c r="X109" s="63">
        <f t="shared" si="36"/>
        <v>2</v>
      </c>
      <c r="Y109" s="63">
        <f t="shared" si="36"/>
        <v>-0.90000000000000213</v>
      </c>
      <c r="Z109" s="63">
        <f t="shared" si="36"/>
        <v>0.70000000000000284</v>
      </c>
      <c r="AA109" s="63">
        <f t="shared" si="36"/>
        <v>2.7000000000000028</v>
      </c>
      <c r="AB109" s="63">
        <f t="shared" si="36"/>
        <v>10.299999999999997</v>
      </c>
      <c r="AC109" s="63">
        <f t="shared" si="36"/>
        <v>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576" t="s">
        <v>88</v>
      </c>
      <c r="B110" s="577"/>
      <c r="C110" s="578"/>
      <c r="D110" s="204"/>
      <c r="E110" s="204"/>
      <c r="F110" s="205">
        <f t="shared" ref="F110:P110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-0.59999999999999876</v>
      </c>
      <c r="G110" s="205">
        <f t="shared" si="37"/>
        <v>-6.1</v>
      </c>
      <c r="H110" s="205">
        <f t="shared" si="37"/>
        <v>-4.2999999999999989</v>
      </c>
      <c r="I110" s="205">
        <f t="shared" si="37"/>
        <v>-3.2999999999999989</v>
      </c>
      <c r="J110" s="205">
        <f t="shared" si="37"/>
        <v>-3</v>
      </c>
      <c r="K110" s="205">
        <f>(AND(IF(K13&lt;&gt;0,1,0),IF(K13&lt;&gt;"CMS",1,0))*7.2)+(AND(IF(K14&lt;&gt;0,1,0),IF(K14&lt;&gt;"CMS",1,0))*7.2)+(AND(IF(K15&lt;&gt;0,1,0),IF(K15&lt;&gt;"CMS",1,0))*7.2)+(AND(IF(K16&lt;&gt;0,1,0),IF(K16&lt;&gt;"CMS",1,0))*7.2)-K17
+(AND(IF(K27&lt;&gt;0,1,0),IF(K27&lt;&gt;"CMS",1,0))*4.9)+(AND(IF(K28&lt;&gt;0,1,0),IF(K28&lt;&gt;"CMS",1,0))*3.5)-K31
+AND(IF(K24&lt;&gt;0,1,0),IF(K24&lt;&gt;"CMS",1,0))*4.5-K25
+(AND(IF(K19&lt;&gt;0,1,0),IF(K19&lt;&gt;"CMS",1,0))*3.5)+(AND(IF(K20&lt;&gt;0,1,0),IF(K20&lt;&gt;"CMS",1,0))*4.5)+(AND(IF(K21&lt;&gt;0,1,0),IF(K21&lt;&gt;"CMS",1,0))*4.5)-K22</f>
        <v>-4.4000000000000004</v>
      </c>
      <c r="L110" s="205">
        <f t="shared" si="37"/>
        <v>-6.3000000000000007</v>
      </c>
      <c r="M110" s="205">
        <f t="shared" si="37"/>
        <v>-4.9000000000000004</v>
      </c>
      <c r="N110" s="205">
        <f>(AND(IF(N13&lt;&gt;0,1,0),IF(N13&lt;&gt;"CMS",1,0))*7.2)+(AND(IF(N14&lt;&gt;0,1,0),IF(N14&lt;&gt;"CMS",1,0))*7.2)+(AND(IF(N15&lt;&gt;0,1,0),IF(N15&lt;&gt;"CMS",1,0))*7.2)+(AND(IF(N16&lt;&gt;0,1,0),IF(N16&lt;&gt;"CMS",1,0))*7.2)-N17
+(AND(IF(N27&lt;&gt;0,1,0),IF(N27&lt;&gt;"CMS",1,0))*4.9)+(AND(IF(N28&lt;&gt;0,1,0),IF(N28&lt;&gt;"CMS",1,0))*3.5)-N31
+AND(IF(N24&lt;&gt;0,1,0),IF(N24&lt;&gt;"CMS",1,0))*4.5-N25
+(AND(IF(N19&lt;&gt;0,1,0),IF(N19&lt;&gt;"CMS",1,0))*3.5)+(AND(IF(N20&lt;&gt;0,1,0),IF(N20&lt;&gt;"CMS",1,0))*4.5)+(AND(IF(N21&lt;&gt;0,1,0),IF(N21&lt;&gt;"CMS",1,0))*4.5)-N22</f>
        <v>-3.1999999999999975</v>
      </c>
      <c r="O110" s="205">
        <f t="shared" si="37"/>
        <v>-3.3999999999999959</v>
      </c>
      <c r="P110" s="205">
        <f t="shared" si="37"/>
        <v>-3.699999999999994</v>
      </c>
      <c r="Q110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-5.1999999999999993</v>
      </c>
      <c r="R110" s="205">
        <f t="shared" ref="R110:AC110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-4.8999999999999995</v>
      </c>
      <c r="S110" s="205">
        <f t="shared" si="38"/>
        <v>-5.9999999999999964</v>
      </c>
      <c r="T110" s="205">
        <f t="shared" si="38"/>
        <v>-6.6999999999999984</v>
      </c>
      <c r="U110" s="205">
        <f t="shared" si="38"/>
        <v>-6.4000000000000012</v>
      </c>
      <c r="V110" s="205">
        <f t="shared" si="38"/>
        <v>-6.4000000000000012</v>
      </c>
      <c r="W110" s="205">
        <f t="shared" si="38"/>
        <v>-5.0999999999999988</v>
      </c>
      <c r="X110" s="205">
        <f t="shared" si="38"/>
        <v>-3.6999999999999984</v>
      </c>
      <c r="Y110" s="205">
        <f t="shared" si="38"/>
        <v>-7.9000000000000012</v>
      </c>
      <c r="Z110" s="205">
        <f t="shared" si="38"/>
        <v>-6.1999999999999948</v>
      </c>
      <c r="AA110" s="205">
        <f t="shared" si="38"/>
        <v>-2.2999999999999954</v>
      </c>
      <c r="AB110" s="205">
        <f t="shared" si="38"/>
        <v>3.8999999999999986</v>
      </c>
      <c r="AC110" s="205">
        <f t="shared" si="38"/>
        <v>-0.59999999999999876</v>
      </c>
      <c r="AD110" s="26"/>
      <c r="AE110" s="26"/>
      <c r="AF110" s="433"/>
      <c r="AG110" t="s">
        <v>89</v>
      </c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579" t="s">
        <v>90</v>
      </c>
      <c r="B111" s="579"/>
      <c r="C111" s="579"/>
      <c r="D111" s="60"/>
      <c r="E111" s="72"/>
      <c r="F111" s="456">
        <v>60.31</v>
      </c>
      <c r="G111" s="456">
        <v>60.03</v>
      </c>
      <c r="H111" s="456">
        <v>60.06</v>
      </c>
      <c r="I111" s="456">
        <v>60.11</v>
      </c>
      <c r="J111" s="456">
        <v>60.09</v>
      </c>
      <c r="K111" s="456">
        <v>60.09</v>
      </c>
      <c r="L111" s="456">
        <v>60.14</v>
      </c>
      <c r="M111" s="456">
        <v>60.04</v>
      </c>
      <c r="N111" s="456">
        <v>60.09</v>
      </c>
      <c r="O111" s="456">
        <v>60.01</v>
      </c>
      <c r="P111" s="456">
        <v>60.15</v>
      </c>
      <c r="Q111" s="456">
        <v>60.07</v>
      </c>
      <c r="R111" s="456">
        <v>60.08</v>
      </c>
      <c r="S111" s="456">
        <v>60.01</v>
      </c>
      <c r="T111" s="456">
        <v>60.09</v>
      </c>
      <c r="U111" s="456">
        <v>60.08</v>
      </c>
      <c r="V111" s="456">
        <v>60.05</v>
      </c>
      <c r="W111" s="456">
        <v>60.07</v>
      </c>
      <c r="X111" s="456">
        <v>60.11</v>
      </c>
      <c r="Y111" s="456">
        <v>60.06</v>
      </c>
      <c r="Z111" s="456">
        <v>60.12</v>
      </c>
      <c r="AA111" s="456">
        <v>60.04</v>
      </c>
      <c r="AB111" s="456">
        <v>60.16</v>
      </c>
      <c r="AC111" s="456">
        <v>60.09</v>
      </c>
      <c r="AD111" s="458"/>
      <c r="AE111" s="26"/>
      <c r="AF111" s="434"/>
      <c r="AG111" t="s">
        <v>91</v>
      </c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580" t="s">
        <v>92</v>
      </c>
      <c r="B112" s="581"/>
      <c r="C112" s="582"/>
      <c r="D112" s="60"/>
      <c r="E112" s="72"/>
      <c r="F112" s="456"/>
      <c r="G112" s="456"/>
      <c r="H112" s="456"/>
      <c r="I112" s="456"/>
      <c r="J112" s="456"/>
      <c r="K112" s="456"/>
      <c r="L112" s="456"/>
      <c r="M112" s="456"/>
      <c r="N112" s="456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8"/>
      <c r="AE112" s="26"/>
      <c r="AF112" s="435"/>
      <c r="AG112" s="436" t="s">
        <v>93</v>
      </c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580" t="s">
        <v>94</v>
      </c>
      <c r="B113" s="581"/>
      <c r="C113" s="582"/>
      <c r="D113" s="60"/>
      <c r="E113" s="72"/>
      <c r="G113" s="74"/>
      <c r="H113" s="74"/>
      <c r="I113" s="74"/>
      <c r="J113" s="74"/>
      <c r="K113" s="74"/>
      <c r="L113" s="74"/>
      <c r="M113" s="74"/>
      <c r="N113" s="74"/>
      <c r="O113" s="74"/>
      <c r="P113" s="83"/>
      <c r="Q113" s="83"/>
      <c r="R113" s="83"/>
      <c r="S113" s="83"/>
      <c r="T113" s="83"/>
      <c r="U113" s="74"/>
      <c r="V113" s="74"/>
      <c r="W113" s="74"/>
      <c r="X113" s="74"/>
      <c r="Y113" s="74"/>
      <c r="Z113" s="74"/>
      <c r="AA113" s="74"/>
      <c r="AB113" s="74"/>
      <c r="AC113" s="74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579" t="s">
        <v>95</v>
      </c>
      <c r="B114" s="579"/>
      <c r="C114" s="579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579" t="s">
        <v>96</v>
      </c>
      <c r="B115" s="579"/>
      <c r="C115" s="579"/>
      <c r="D115" s="60"/>
      <c r="E115" s="72"/>
      <c r="F115" s="520" t="s">
        <v>97</v>
      </c>
      <c r="G115" s="520" t="s">
        <v>97</v>
      </c>
      <c r="H115" s="520" t="s">
        <v>97</v>
      </c>
      <c r="I115" s="520" t="s">
        <v>97</v>
      </c>
      <c r="J115" s="520" t="s">
        <v>97</v>
      </c>
      <c r="K115" s="520" t="s">
        <v>97</v>
      </c>
      <c r="L115" s="520" t="s">
        <v>97</v>
      </c>
      <c r="M115" s="520" t="s">
        <v>97</v>
      </c>
      <c r="N115" s="520" t="s">
        <v>97</v>
      </c>
      <c r="O115" s="520" t="s">
        <v>97</v>
      </c>
      <c r="P115" s="520" t="s">
        <v>97</v>
      </c>
      <c r="Q115" s="520" t="s">
        <v>97</v>
      </c>
      <c r="R115" s="520" t="s">
        <v>97</v>
      </c>
      <c r="S115" s="520" t="s">
        <v>97</v>
      </c>
      <c r="T115" s="520" t="s">
        <v>97</v>
      </c>
      <c r="U115" s="520" t="s">
        <v>97</v>
      </c>
      <c r="V115" s="520" t="s">
        <v>97</v>
      </c>
      <c r="W115" s="520" t="s">
        <v>97</v>
      </c>
      <c r="X115" s="520" t="s">
        <v>97</v>
      </c>
      <c r="Y115" s="520" t="s">
        <v>97</v>
      </c>
      <c r="Z115" s="520" t="s">
        <v>97</v>
      </c>
      <c r="AA115" s="520" t="s">
        <v>97</v>
      </c>
      <c r="AB115" s="520" t="s">
        <v>97</v>
      </c>
      <c r="AC115" s="520" t="s">
        <v>97</v>
      </c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583"/>
      <c r="B117" s="583"/>
      <c r="C117" s="583"/>
      <c r="D117" s="583"/>
      <c r="E117" s="583"/>
      <c r="F117" s="583"/>
      <c r="G117" s="583"/>
      <c r="H117" s="583"/>
      <c r="I117" s="583"/>
      <c r="J117" s="583"/>
      <c r="K117" s="583"/>
      <c r="L117" s="583"/>
      <c r="M117" s="583"/>
      <c r="N117" s="583"/>
      <c r="O117" s="583"/>
      <c r="P117" s="583"/>
      <c r="Q117" s="583"/>
      <c r="R117" s="583"/>
      <c r="S117" s="583"/>
      <c r="T117" s="583"/>
      <c r="U117" s="583"/>
      <c r="V117" s="583"/>
      <c r="W117" s="583"/>
      <c r="X117" s="583"/>
      <c r="Y117" s="583"/>
      <c r="Z117" s="583"/>
      <c r="AA117" s="583"/>
      <c r="AB117" s="583"/>
      <c r="AC117" s="583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584"/>
      <c r="B119" s="585"/>
      <c r="C119" s="586"/>
      <c r="D119" s="49"/>
      <c r="E119" s="49"/>
      <c r="F119" s="590"/>
      <c r="G119" s="590"/>
      <c r="H119" s="590"/>
      <c r="I119" s="590"/>
      <c r="J119" s="590"/>
      <c r="K119" s="590"/>
      <c r="L119" s="590"/>
      <c r="M119" s="590"/>
      <c r="N119" s="590"/>
      <c r="O119" s="590"/>
      <c r="P119" s="590"/>
      <c r="Q119" s="590"/>
      <c r="R119" s="590"/>
      <c r="S119" s="590"/>
      <c r="T119" s="590"/>
      <c r="U119" s="590"/>
      <c r="V119" s="590"/>
      <c r="W119" s="590"/>
      <c r="X119" s="590"/>
      <c r="Y119" s="590"/>
      <c r="Z119" s="590"/>
      <c r="AA119" s="590"/>
      <c r="AB119" s="590"/>
      <c r="AC119" s="590"/>
      <c r="AD119" s="5"/>
      <c r="AE119" s="5"/>
      <c r="AF119" s="5"/>
      <c r="AG119" s="5"/>
      <c r="AH119" s="5"/>
    </row>
    <row r="120" spans="1:124" ht="15.6" hidden="1" customHeight="1">
      <c r="A120" s="587"/>
      <c r="B120" s="588"/>
      <c r="C120" s="589"/>
      <c r="D120" s="50"/>
      <c r="E120" s="50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568"/>
      <c r="B121" s="569"/>
      <c r="C121" s="5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568"/>
      <c r="B122" s="569"/>
      <c r="C122" s="5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568"/>
      <c r="B123" s="569"/>
      <c r="C123" s="5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568"/>
      <c r="B124" s="569"/>
      <c r="C124" s="5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568"/>
      <c r="B125" s="569"/>
      <c r="C125" s="5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568"/>
      <c r="B126" s="569"/>
      <c r="C126" s="5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568"/>
      <c r="B127" s="569"/>
      <c r="C127" s="5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568"/>
      <c r="B128" s="569"/>
      <c r="C128" s="5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571"/>
      <c r="B129" s="572"/>
      <c r="C129" s="573"/>
      <c r="D129" s="51"/>
      <c r="E129" s="51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8:C128"/>
    <mergeCell ref="A129:C129"/>
    <mergeCell ref="A122:C122"/>
    <mergeCell ref="A123:C123"/>
    <mergeCell ref="A124:C124"/>
    <mergeCell ref="A125:C125"/>
    <mergeCell ref="A126:C126"/>
    <mergeCell ref="A127:C127"/>
    <mergeCell ref="A121:C121"/>
    <mergeCell ref="A108:C108"/>
    <mergeCell ref="A109:C109"/>
    <mergeCell ref="A110:C110"/>
    <mergeCell ref="A111:C111"/>
    <mergeCell ref="A112:C112"/>
    <mergeCell ref="A113:C113"/>
    <mergeCell ref="A114:C114"/>
    <mergeCell ref="A115:C115"/>
    <mergeCell ref="A117:AC117"/>
    <mergeCell ref="A119:C120"/>
    <mergeCell ref="F119:AC119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H13:J13 D42:E42 I15:M15 L13:L14 I16:L16 H36:J59 H14:K14 H62:J64 L36:L59 N13:AC16 N36:AC59 L62:AC64">
    <cfRule type="cellIs" dxfId="1436" priority="360" operator="equal">
      <formula>"PMS"</formula>
    </cfRule>
    <cfRule type="containsText" dxfId="1435" priority="361" operator="containsText" text="CMS">
      <formula>NOT(ISERROR(SEARCH("CMS",D13)))</formula>
    </cfRule>
    <cfRule type="cellIs" dxfId="1434" priority="362" operator="equal">
      <formula>0</formula>
    </cfRule>
    <cfRule type="cellIs" dxfId="1433" priority="363" operator="greaterThan">
      <formula>0</formula>
    </cfRule>
    <cfRule type="cellIs" dxfId="1432" priority="364" operator="equal">
      <formula>"PMS"</formula>
    </cfRule>
    <cfRule type="containsText" dxfId="1431" priority="365" operator="containsText" text="CMS">
      <formula>NOT(ISERROR(SEARCH("CMS",D13)))</formula>
    </cfRule>
    <cfRule type="cellIs" dxfId="1430" priority="366" operator="equal">
      <formula>0</formula>
    </cfRule>
    <cfRule type="cellIs" dxfId="1429" priority="367" operator="greaterThan">
      <formula>0</formula>
    </cfRule>
  </conditionalFormatting>
  <conditionalFormatting sqref="H13:J13 D42:E42 I15:M15 L13:L14 I16:L16 H36:J59 H14:K14 H62:J64 L36:L59 N13:AC16 N36:AC59 L62:AC64">
    <cfRule type="cellIs" dxfId="1428" priority="356" operator="equal">
      <formula>"PMS"</formula>
    </cfRule>
    <cfRule type="containsText" dxfId="1427" priority="357" operator="containsText" text="CMS">
      <formula>NOT(ISERROR(SEARCH("CMS",D13)))</formula>
    </cfRule>
    <cfRule type="cellIs" dxfId="1426" priority="358" operator="equal">
      <formula>0</formula>
    </cfRule>
    <cfRule type="cellIs" dxfId="1425" priority="359" operator="greaterThan">
      <formula>0</formula>
    </cfRule>
  </conditionalFormatting>
  <conditionalFormatting sqref="G67:AC75">
    <cfRule type="cellIs" dxfId="1424" priority="348" operator="equal">
      <formula>"PMS"</formula>
    </cfRule>
    <cfRule type="containsText" dxfId="1423" priority="349" operator="containsText" text="CMS">
      <formula>NOT(ISERROR(SEARCH("CMS",G67)))</formula>
    </cfRule>
    <cfRule type="cellIs" dxfId="1422" priority="350" operator="equal">
      <formula>0</formula>
    </cfRule>
    <cfRule type="cellIs" dxfId="1421" priority="351" operator="greaterThan">
      <formula>0</formula>
    </cfRule>
    <cfRule type="cellIs" dxfId="1420" priority="352" operator="equal">
      <formula>"PMS"</formula>
    </cfRule>
    <cfRule type="containsText" dxfId="1419" priority="353" operator="containsText" text="CMS">
      <formula>NOT(ISERROR(SEARCH("CMS",G67)))</formula>
    </cfRule>
    <cfRule type="cellIs" dxfId="1418" priority="354" operator="equal">
      <formula>0</formula>
    </cfRule>
    <cfRule type="cellIs" dxfId="1417" priority="355" operator="greaterThan">
      <formula>0</formula>
    </cfRule>
  </conditionalFormatting>
  <conditionalFormatting sqref="G67:AC75">
    <cfRule type="cellIs" dxfId="1416" priority="344" operator="equal">
      <formula>"PMS"</formula>
    </cfRule>
    <cfRule type="containsText" dxfId="1415" priority="345" operator="containsText" text="CMS">
      <formula>NOT(ISERROR(SEARCH("CMS",G67)))</formula>
    </cfRule>
    <cfRule type="cellIs" dxfId="1414" priority="346" operator="equal">
      <formula>0</formula>
    </cfRule>
    <cfRule type="cellIs" dxfId="1413" priority="347" operator="greaterThan">
      <formula>0</formula>
    </cfRule>
  </conditionalFormatting>
  <conditionalFormatting sqref="G82:AC82">
    <cfRule type="cellIs" dxfId="1412" priority="336" operator="equal">
      <formula>"PMS"</formula>
    </cfRule>
    <cfRule type="containsText" dxfId="1411" priority="337" operator="containsText" text="CMS">
      <formula>NOT(ISERROR(SEARCH("CMS",G82)))</formula>
    </cfRule>
    <cfRule type="cellIs" dxfId="1410" priority="338" operator="equal">
      <formula>0</formula>
    </cfRule>
    <cfRule type="cellIs" dxfId="1409" priority="339" operator="greaterThan">
      <formula>0</formula>
    </cfRule>
    <cfRule type="cellIs" dxfId="1408" priority="340" operator="equal">
      <formula>"PMS"</formula>
    </cfRule>
    <cfRule type="containsText" dxfId="1407" priority="341" operator="containsText" text="CMS">
      <formula>NOT(ISERROR(SEARCH("CMS",G82)))</formula>
    </cfRule>
    <cfRule type="cellIs" dxfId="1406" priority="342" operator="equal">
      <formula>0</formula>
    </cfRule>
    <cfRule type="cellIs" dxfId="1405" priority="343" operator="greaterThan">
      <formula>0</formula>
    </cfRule>
  </conditionalFormatting>
  <conditionalFormatting sqref="G82:AC82">
    <cfRule type="cellIs" dxfId="1404" priority="332" operator="equal">
      <formula>"PMS"</formula>
    </cfRule>
    <cfRule type="containsText" dxfId="1403" priority="333" operator="containsText" text="CMS">
      <formula>NOT(ISERROR(SEARCH("CMS",G82)))</formula>
    </cfRule>
    <cfRule type="cellIs" dxfId="1402" priority="334" operator="equal">
      <formula>0</formula>
    </cfRule>
    <cfRule type="cellIs" dxfId="1401" priority="335" operator="greaterThan">
      <formula>0</formula>
    </cfRule>
  </conditionalFormatting>
  <conditionalFormatting sqref="G13">
    <cfRule type="cellIs" dxfId="1400" priority="324" operator="equal">
      <formula>"PMS"</formula>
    </cfRule>
    <cfRule type="containsText" dxfId="1399" priority="325" operator="containsText" text="CMS">
      <formula>NOT(ISERROR(SEARCH("CMS",G13)))</formula>
    </cfRule>
    <cfRule type="cellIs" dxfId="1398" priority="326" operator="equal">
      <formula>0</formula>
    </cfRule>
    <cfRule type="cellIs" dxfId="1397" priority="327" operator="greaterThan">
      <formula>0</formula>
    </cfRule>
    <cfRule type="cellIs" dxfId="1396" priority="328" operator="equal">
      <formula>"PMS"</formula>
    </cfRule>
    <cfRule type="containsText" dxfId="1395" priority="329" operator="containsText" text="CMS">
      <formula>NOT(ISERROR(SEARCH("CMS",G13)))</formula>
    </cfRule>
    <cfRule type="cellIs" dxfId="1394" priority="330" operator="equal">
      <formula>0</formula>
    </cfRule>
    <cfRule type="cellIs" dxfId="1393" priority="331" operator="greaterThan">
      <formula>0</formula>
    </cfRule>
  </conditionalFormatting>
  <conditionalFormatting sqref="G13">
    <cfRule type="cellIs" dxfId="1392" priority="320" operator="equal">
      <formula>"PMS"</formula>
    </cfRule>
    <cfRule type="containsText" dxfId="1391" priority="321" operator="containsText" text="CMS">
      <formula>NOT(ISERROR(SEARCH("CMS",G13)))</formula>
    </cfRule>
    <cfRule type="cellIs" dxfId="1390" priority="322" operator="equal">
      <formula>0</formula>
    </cfRule>
    <cfRule type="cellIs" dxfId="1389" priority="323" operator="greaterThan">
      <formula>0</formula>
    </cfRule>
  </conditionalFormatting>
  <conditionalFormatting sqref="M13">
    <cfRule type="cellIs" dxfId="1388" priority="312" operator="equal">
      <formula>"PMS"</formula>
    </cfRule>
    <cfRule type="containsText" dxfId="1387" priority="313" operator="containsText" text="CMS">
      <formula>NOT(ISERROR(SEARCH("CMS",M13)))</formula>
    </cfRule>
    <cfRule type="cellIs" dxfId="1386" priority="314" operator="equal">
      <formula>0</formula>
    </cfRule>
    <cfRule type="cellIs" dxfId="1385" priority="315" operator="greaterThan">
      <formula>0</formula>
    </cfRule>
    <cfRule type="cellIs" dxfId="1384" priority="316" operator="equal">
      <formula>"PMS"</formula>
    </cfRule>
    <cfRule type="containsText" dxfId="1383" priority="317" operator="containsText" text="CMS">
      <formula>NOT(ISERROR(SEARCH("CMS",M13)))</formula>
    </cfRule>
    <cfRule type="cellIs" dxfId="1382" priority="318" operator="equal">
      <formula>0</formula>
    </cfRule>
    <cfRule type="cellIs" dxfId="1381" priority="319" operator="greaterThan">
      <formula>0</formula>
    </cfRule>
  </conditionalFormatting>
  <conditionalFormatting sqref="M13">
    <cfRule type="cellIs" dxfId="1380" priority="308" operator="equal">
      <formula>"PMS"</formula>
    </cfRule>
    <cfRule type="containsText" dxfId="1379" priority="309" operator="containsText" text="CMS">
      <formula>NOT(ISERROR(SEARCH("CMS",M13)))</formula>
    </cfRule>
    <cfRule type="cellIs" dxfId="1378" priority="310" operator="equal">
      <formula>0</formula>
    </cfRule>
    <cfRule type="cellIs" dxfId="1377" priority="311" operator="greaterThan">
      <formula>0</formula>
    </cfRule>
  </conditionalFormatting>
  <conditionalFormatting sqref="K13">
    <cfRule type="cellIs" dxfId="1376" priority="300" operator="equal">
      <formula>"PMS"</formula>
    </cfRule>
    <cfRule type="containsText" dxfId="1375" priority="301" operator="containsText" text="CMS">
      <formula>NOT(ISERROR(SEARCH("CMS",K13)))</formula>
    </cfRule>
    <cfRule type="cellIs" dxfId="1374" priority="302" operator="equal">
      <formula>0</formula>
    </cfRule>
    <cfRule type="cellIs" dxfId="1373" priority="303" operator="greaterThan">
      <formula>0</formula>
    </cfRule>
    <cfRule type="cellIs" dxfId="1372" priority="304" operator="equal">
      <formula>"PMS"</formula>
    </cfRule>
    <cfRule type="containsText" dxfId="1371" priority="305" operator="containsText" text="CMS">
      <formula>NOT(ISERROR(SEARCH("CMS",K13)))</formula>
    </cfRule>
    <cfRule type="cellIs" dxfId="1370" priority="306" operator="equal">
      <formula>0</formula>
    </cfRule>
    <cfRule type="cellIs" dxfId="1369" priority="307" operator="greaterThan">
      <formula>0</formula>
    </cfRule>
  </conditionalFormatting>
  <conditionalFormatting sqref="K13">
    <cfRule type="cellIs" dxfId="1368" priority="296" operator="equal">
      <formula>"PMS"</formula>
    </cfRule>
    <cfRule type="containsText" dxfId="1367" priority="297" operator="containsText" text="CMS">
      <formula>NOT(ISERROR(SEARCH("CMS",K13)))</formula>
    </cfRule>
    <cfRule type="cellIs" dxfId="1366" priority="298" operator="equal">
      <formula>0</formula>
    </cfRule>
    <cfRule type="cellIs" dxfId="1365" priority="299" operator="greaterThan">
      <formula>0</formula>
    </cfRule>
  </conditionalFormatting>
  <conditionalFormatting sqref="G113:AC113">
    <cfRule type="cellIs" dxfId="1364" priority="295" operator="greaterThan">
      <formula>60.3</formula>
    </cfRule>
  </conditionalFormatting>
  <conditionalFormatting sqref="H112:M112">
    <cfRule type="cellIs" dxfId="1363" priority="294" operator="greaterThan">
      <formula>60.3</formula>
    </cfRule>
  </conditionalFormatting>
  <conditionalFormatting sqref="F112:G112">
    <cfRule type="cellIs" dxfId="1362" priority="293" operator="greaterThan">
      <formula>60.3</formula>
    </cfRule>
  </conditionalFormatting>
  <conditionalFormatting sqref="N112:AC112">
    <cfRule type="cellIs" dxfId="1361" priority="292" operator="greaterThan">
      <formula>60.3</formula>
    </cfRule>
  </conditionalFormatting>
  <conditionalFormatting sqref="G15:G16">
    <cfRule type="cellIs" dxfId="1360" priority="284" operator="equal">
      <formula>"PMS"</formula>
    </cfRule>
    <cfRule type="containsText" dxfId="1359" priority="285" operator="containsText" text="CMS">
      <formula>NOT(ISERROR(SEARCH("CMS",G15)))</formula>
    </cfRule>
    <cfRule type="cellIs" dxfId="1358" priority="286" operator="equal">
      <formula>0</formula>
    </cfRule>
    <cfRule type="cellIs" dxfId="1357" priority="287" operator="greaterThan">
      <formula>0</formula>
    </cfRule>
    <cfRule type="cellIs" dxfId="1356" priority="288" operator="equal">
      <formula>"PMS"</formula>
    </cfRule>
    <cfRule type="containsText" dxfId="1355" priority="289" operator="containsText" text="CMS">
      <formula>NOT(ISERROR(SEARCH("CMS",G15)))</formula>
    </cfRule>
    <cfRule type="cellIs" dxfId="1354" priority="290" operator="equal">
      <formula>0</formula>
    </cfRule>
    <cfRule type="cellIs" dxfId="1353" priority="291" operator="greaterThan">
      <formula>0</formula>
    </cfRule>
  </conditionalFormatting>
  <conditionalFormatting sqref="G15:G16">
    <cfRule type="cellIs" dxfId="1352" priority="280" operator="equal">
      <formula>"PMS"</formula>
    </cfRule>
    <cfRule type="containsText" dxfId="1351" priority="281" operator="containsText" text="CMS">
      <formula>NOT(ISERROR(SEARCH("CMS",G15)))</formula>
    </cfRule>
    <cfRule type="cellIs" dxfId="1350" priority="282" operator="equal">
      <formula>0</formula>
    </cfRule>
    <cfRule type="cellIs" dxfId="1349" priority="283" operator="greaterThan">
      <formula>0</formula>
    </cfRule>
  </conditionalFormatting>
  <conditionalFormatting sqref="G36:G38 G57:G59">
    <cfRule type="cellIs" dxfId="1348" priority="272" operator="equal">
      <formula>"PMS"</formula>
    </cfRule>
    <cfRule type="containsText" dxfId="1347" priority="273" operator="containsText" text="CMS">
      <formula>NOT(ISERROR(SEARCH("CMS",G36)))</formula>
    </cfRule>
    <cfRule type="cellIs" dxfId="1346" priority="274" operator="equal">
      <formula>0</formula>
    </cfRule>
    <cfRule type="cellIs" dxfId="1345" priority="275" operator="greaterThan">
      <formula>0</formula>
    </cfRule>
    <cfRule type="cellIs" dxfId="1344" priority="276" operator="equal">
      <formula>"PMS"</formula>
    </cfRule>
    <cfRule type="containsText" dxfId="1343" priority="277" operator="containsText" text="CMS">
      <formula>NOT(ISERROR(SEARCH("CMS",G36)))</formula>
    </cfRule>
    <cfRule type="cellIs" dxfId="1342" priority="278" operator="equal">
      <formula>0</formula>
    </cfRule>
    <cfRule type="cellIs" dxfId="1341" priority="279" operator="greaterThan">
      <formula>0</formula>
    </cfRule>
  </conditionalFormatting>
  <conditionalFormatting sqref="G36:G38 G57:G59">
    <cfRule type="cellIs" dxfId="1340" priority="268" operator="equal">
      <formula>"PMS"</formula>
    </cfRule>
    <cfRule type="containsText" dxfId="1339" priority="269" operator="containsText" text="CMS">
      <formula>NOT(ISERROR(SEARCH("CMS",G36)))</formula>
    </cfRule>
    <cfRule type="cellIs" dxfId="1338" priority="270" operator="equal">
      <formula>0</formula>
    </cfRule>
    <cfRule type="cellIs" dxfId="1337" priority="271" operator="greaterThan">
      <formula>0</formula>
    </cfRule>
  </conditionalFormatting>
  <conditionalFormatting sqref="M36:M38 M57:M59">
    <cfRule type="cellIs" dxfId="1336" priority="260" operator="equal">
      <formula>"PMS"</formula>
    </cfRule>
    <cfRule type="containsText" dxfId="1335" priority="261" operator="containsText" text="CMS">
      <formula>NOT(ISERROR(SEARCH("CMS",M36)))</formula>
    </cfRule>
    <cfRule type="cellIs" dxfId="1334" priority="262" operator="equal">
      <formula>0</formula>
    </cfRule>
    <cfRule type="cellIs" dxfId="1333" priority="263" operator="greaterThan">
      <formula>0</formula>
    </cfRule>
    <cfRule type="cellIs" dxfId="1332" priority="264" operator="equal">
      <formula>"PMS"</formula>
    </cfRule>
    <cfRule type="containsText" dxfId="1331" priority="265" operator="containsText" text="CMS">
      <formula>NOT(ISERROR(SEARCH("CMS",M36)))</formula>
    </cfRule>
    <cfRule type="cellIs" dxfId="1330" priority="266" operator="equal">
      <formula>0</formula>
    </cfRule>
    <cfRule type="cellIs" dxfId="1329" priority="267" operator="greaterThan">
      <formula>0</formula>
    </cfRule>
  </conditionalFormatting>
  <conditionalFormatting sqref="M36:M38 M57:M59">
    <cfRule type="cellIs" dxfId="1328" priority="256" operator="equal">
      <formula>"PMS"</formula>
    </cfRule>
    <cfRule type="containsText" dxfId="1327" priority="257" operator="containsText" text="CMS">
      <formula>NOT(ISERROR(SEARCH("CMS",M36)))</formula>
    </cfRule>
    <cfRule type="cellIs" dxfId="1326" priority="258" operator="equal">
      <formula>0</formula>
    </cfRule>
    <cfRule type="cellIs" dxfId="1325" priority="259" operator="greaterThan">
      <formula>0</formula>
    </cfRule>
  </conditionalFormatting>
  <conditionalFormatting sqref="K36:K38 K57:K59">
    <cfRule type="cellIs" dxfId="1324" priority="248" operator="equal">
      <formula>"PMS"</formula>
    </cfRule>
    <cfRule type="containsText" dxfId="1323" priority="249" operator="containsText" text="CMS">
      <formula>NOT(ISERROR(SEARCH("CMS",K36)))</formula>
    </cfRule>
    <cfRule type="cellIs" dxfId="1322" priority="250" operator="equal">
      <formula>0</formula>
    </cfRule>
    <cfRule type="cellIs" dxfId="1321" priority="251" operator="greaterThan">
      <formula>0</formula>
    </cfRule>
    <cfRule type="cellIs" dxfId="1320" priority="252" operator="equal">
      <formula>"PMS"</formula>
    </cfRule>
    <cfRule type="containsText" dxfId="1319" priority="253" operator="containsText" text="CMS">
      <formula>NOT(ISERROR(SEARCH("CMS",K36)))</formula>
    </cfRule>
    <cfRule type="cellIs" dxfId="1318" priority="254" operator="equal">
      <formula>0</formula>
    </cfRule>
    <cfRule type="cellIs" dxfId="1317" priority="255" operator="greaterThan">
      <formula>0</formula>
    </cfRule>
  </conditionalFormatting>
  <conditionalFormatting sqref="K36:K38 K57:K59">
    <cfRule type="cellIs" dxfId="1316" priority="244" operator="equal">
      <formula>"PMS"</formula>
    </cfRule>
    <cfRule type="containsText" dxfId="1315" priority="245" operator="containsText" text="CMS">
      <formula>NOT(ISERROR(SEARCH("CMS",K36)))</formula>
    </cfRule>
    <cfRule type="cellIs" dxfId="1314" priority="246" operator="equal">
      <formula>0</formula>
    </cfRule>
    <cfRule type="cellIs" dxfId="1313" priority="247" operator="greaterThan">
      <formula>0</formula>
    </cfRule>
  </conditionalFormatting>
  <conditionalFormatting sqref="H15:H16">
    <cfRule type="cellIs" dxfId="1312" priority="236" operator="equal">
      <formula>"PMS"</formula>
    </cfRule>
    <cfRule type="containsText" dxfId="1311" priority="237" operator="containsText" text="CMS">
      <formula>NOT(ISERROR(SEARCH("CMS",H15)))</formula>
    </cfRule>
    <cfRule type="cellIs" dxfId="1310" priority="238" operator="equal">
      <formula>0</formula>
    </cfRule>
    <cfRule type="cellIs" dxfId="1309" priority="239" operator="greaterThan">
      <formula>0</formula>
    </cfRule>
    <cfRule type="cellIs" dxfId="1308" priority="240" operator="equal">
      <formula>"PMS"</formula>
    </cfRule>
    <cfRule type="containsText" dxfId="1307" priority="241" operator="containsText" text="CMS">
      <formula>NOT(ISERROR(SEARCH("CMS",H15)))</formula>
    </cfRule>
    <cfRule type="cellIs" dxfId="1306" priority="242" operator="equal">
      <formula>0</formula>
    </cfRule>
    <cfRule type="cellIs" dxfId="1305" priority="243" operator="greaterThan">
      <formula>0</formula>
    </cfRule>
  </conditionalFormatting>
  <conditionalFormatting sqref="H15:H16">
    <cfRule type="cellIs" dxfId="1304" priority="232" operator="equal">
      <formula>"PMS"</formula>
    </cfRule>
    <cfRule type="containsText" dxfId="1303" priority="233" operator="containsText" text="CMS">
      <formula>NOT(ISERROR(SEARCH("CMS",H15)))</formula>
    </cfRule>
    <cfRule type="cellIs" dxfId="1302" priority="234" operator="equal">
      <formula>0</formula>
    </cfRule>
    <cfRule type="cellIs" dxfId="1301" priority="235" operator="greaterThan">
      <formula>0</formula>
    </cfRule>
  </conditionalFormatting>
  <conditionalFormatting sqref="G14">
    <cfRule type="cellIs" dxfId="1300" priority="224" operator="equal">
      <formula>"PMS"</formula>
    </cfRule>
    <cfRule type="containsText" dxfId="1299" priority="225" operator="containsText" text="CMS">
      <formula>NOT(ISERROR(SEARCH("CMS",G14)))</formula>
    </cfRule>
    <cfRule type="cellIs" dxfId="1298" priority="226" operator="equal">
      <formula>0</formula>
    </cfRule>
    <cfRule type="cellIs" dxfId="1297" priority="227" operator="greaterThan">
      <formula>0</formula>
    </cfRule>
    <cfRule type="cellIs" dxfId="1296" priority="228" operator="equal">
      <formula>"PMS"</formula>
    </cfRule>
    <cfRule type="containsText" dxfId="1295" priority="229" operator="containsText" text="CMS">
      <formula>NOT(ISERROR(SEARCH("CMS",G14)))</formula>
    </cfRule>
    <cfRule type="cellIs" dxfId="1294" priority="230" operator="equal">
      <formula>0</formula>
    </cfRule>
    <cfRule type="cellIs" dxfId="1293" priority="231" operator="greaterThan">
      <formula>0</formula>
    </cfRule>
  </conditionalFormatting>
  <conditionalFormatting sqref="G14">
    <cfRule type="cellIs" dxfId="1292" priority="220" operator="equal">
      <formula>"PMS"</formula>
    </cfRule>
    <cfRule type="containsText" dxfId="1291" priority="221" operator="containsText" text="CMS">
      <formula>NOT(ISERROR(SEARCH("CMS",G14)))</formula>
    </cfRule>
    <cfRule type="cellIs" dxfId="1290" priority="222" operator="equal">
      <formula>0</formula>
    </cfRule>
    <cfRule type="cellIs" dxfId="1289" priority="223" operator="greaterThan">
      <formula>0</formula>
    </cfRule>
  </conditionalFormatting>
  <conditionalFormatting sqref="M16">
    <cfRule type="cellIs" dxfId="1288" priority="212" operator="equal">
      <formula>"PMS"</formula>
    </cfRule>
    <cfRule type="containsText" dxfId="1287" priority="213" operator="containsText" text="CMS">
      <formula>NOT(ISERROR(SEARCH("CMS",M16)))</formula>
    </cfRule>
    <cfRule type="cellIs" dxfId="1286" priority="214" operator="equal">
      <formula>0</formula>
    </cfRule>
    <cfRule type="cellIs" dxfId="1285" priority="215" operator="greaterThan">
      <formula>0</formula>
    </cfRule>
    <cfRule type="cellIs" dxfId="1284" priority="216" operator="equal">
      <formula>"PMS"</formula>
    </cfRule>
    <cfRule type="containsText" dxfId="1283" priority="217" operator="containsText" text="CMS">
      <formula>NOT(ISERROR(SEARCH("CMS",M16)))</formula>
    </cfRule>
    <cfRule type="cellIs" dxfId="1282" priority="218" operator="equal">
      <formula>0</formula>
    </cfRule>
    <cfRule type="cellIs" dxfId="1281" priority="219" operator="greaterThan">
      <formula>0</formula>
    </cfRule>
  </conditionalFormatting>
  <conditionalFormatting sqref="M16">
    <cfRule type="cellIs" dxfId="1280" priority="208" operator="equal">
      <formula>"PMS"</formula>
    </cfRule>
    <cfRule type="containsText" dxfId="1279" priority="209" operator="containsText" text="CMS">
      <formula>NOT(ISERROR(SEARCH("CMS",M16)))</formula>
    </cfRule>
    <cfRule type="cellIs" dxfId="1278" priority="210" operator="equal">
      <formula>0</formula>
    </cfRule>
    <cfRule type="cellIs" dxfId="1277" priority="211" operator="greaterThan">
      <formula>0</formula>
    </cfRule>
  </conditionalFormatting>
  <conditionalFormatting sqref="M14">
    <cfRule type="cellIs" dxfId="1276" priority="188" operator="equal">
      <formula>"PMS"</formula>
    </cfRule>
    <cfRule type="containsText" dxfId="1275" priority="189" operator="containsText" text="CMS">
      <formula>NOT(ISERROR(SEARCH("CMS",M14)))</formula>
    </cfRule>
    <cfRule type="cellIs" dxfId="1274" priority="190" operator="equal">
      <formula>0</formula>
    </cfRule>
    <cfRule type="cellIs" dxfId="1273" priority="191" operator="greaterThan">
      <formula>0</formula>
    </cfRule>
    <cfRule type="cellIs" dxfId="1272" priority="192" operator="equal">
      <formula>"PMS"</formula>
    </cfRule>
    <cfRule type="containsText" dxfId="1271" priority="193" operator="containsText" text="CMS">
      <formula>NOT(ISERROR(SEARCH("CMS",M14)))</formula>
    </cfRule>
    <cfRule type="cellIs" dxfId="1270" priority="194" operator="equal">
      <formula>0</formula>
    </cfRule>
    <cfRule type="cellIs" dxfId="1269" priority="195" operator="greaterThan">
      <formula>0</formula>
    </cfRule>
  </conditionalFormatting>
  <conditionalFormatting sqref="M14">
    <cfRule type="cellIs" dxfId="1268" priority="184" operator="equal">
      <formula>"PMS"</formula>
    </cfRule>
    <cfRule type="containsText" dxfId="1267" priority="185" operator="containsText" text="CMS">
      <formula>NOT(ISERROR(SEARCH("CMS",M14)))</formula>
    </cfRule>
    <cfRule type="cellIs" dxfId="1266" priority="186" operator="equal">
      <formula>0</formula>
    </cfRule>
    <cfRule type="cellIs" dxfId="1265" priority="187" operator="greaterThan">
      <formula>0</formula>
    </cfRule>
  </conditionalFormatting>
  <conditionalFormatting sqref="H111:M111">
    <cfRule type="cellIs" dxfId="1264" priority="183" operator="greaterThan">
      <formula>60.3</formula>
    </cfRule>
  </conditionalFormatting>
  <conditionalFormatting sqref="F111:G111">
    <cfRule type="cellIs" dxfId="1263" priority="182" operator="greaterThan">
      <formula>60.3</formula>
    </cfRule>
  </conditionalFormatting>
  <conditionalFormatting sqref="N111:AC111">
    <cfRule type="cellIs" dxfId="1262" priority="181" operator="greaterThan">
      <formula>60.3</formula>
    </cfRule>
  </conditionalFormatting>
  <conditionalFormatting sqref="H33:J33 H27:J30 L27:L30 H24:J24 L24 H19:J21 L19:L21 N78:AC79 H78:J79 L78:L79 M78 L33:AC33 N19:AC21 N24:AC24 N27:AC30">
    <cfRule type="cellIs" dxfId="1261" priority="173" operator="equal">
      <formula>"PMS"</formula>
    </cfRule>
    <cfRule type="containsText" dxfId="1260" priority="174" operator="containsText" text="CMS">
      <formula>NOT(ISERROR(SEARCH("CMS",H19)))</formula>
    </cfRule>
    <cfRule type="cellIs" dxfId="1259" priority="175" operator="equal">
      <formula>0</formula>
    </cfRule>
    <cfRule type="cellIs" dxfId="1258" priority="176" operator="greaterThan">
      <formula>0</formula>
    </cfRule>
    <cfRule type="cellIs" dxfId="1257" priority="177" operator="equal">
      <formula>"PMS"</formula>
    </cfRule>
    <cfRule type="containsText" dxfId="1256" priority="178" operator="containsText" text="CMS">
      <formula>NOT(ISERROR(SEARCH("CMS",H19)))</formula>
    </cfRule>
    <cfRule type="cellIs" dxfId="1255" priority="179" operator="equal">
      <formula>0</formula>
    </cfRule>
    <cfRule type="cellIs" dxfId="1254" priority="180" operator="greaterThan">
      <formula>0</formula>
    </cfRule>
  </conditionalFormatting>
  <conditionalFormatting sqref="H33:J33 H27:J30 L27:L30 H24:J24 L24 H19:J21 L19:L21 N78:AC79 H78:J79 L78:L79 M78 L33:AC33 N19:AC21 N24:AC24 N27:AC30">
    <cfRule type="cellIs" dxfId="1253" priority="169" operator="equal">
      <formula>"PMS"</formula>
    </cfRule>
    <cfRule type="containsText" dxfId="1252" priority="170" operator="containsText" text="CMS">
      <formula>NOT(ISERROR(SEARCH("CMS",H19)))</formula>
    </cfRule>
    <cfRule type="cellIs" dxfId="1251" priority="171" operator="equal">
      <formula>0</formula>
    </cfRule>
    <cfRule type="cellIs" dxfId="1250" priority="172" operator="greaterThan">
      <formula>0</formula>
    </cfRule>
  </conditionalFormatting>
  <conditionalFormatting sqref="G78:G79 G62:G64 G39:G56 G33 G27:G30 G24 G19:G21">
    <cfRule type="cellIs" dxfId="1249" priority="161" operator="equal">
      <formula>"PMS"</formula>
    </cfRule>
    <cfRule type="containsText" dxfId="1248" priority="162" operator="containsText" text="CMS">
      <formula>NOT(ISERROR(SEARCH("CMS",G19)))</formula>
    </cfRule>
    <cfRule type="cellIs" dxfId="1247" priority="163" operator="equal">
      <formula>0</formula>
    </cfRule>
    <cfRule type="cellIs" dxfId="1246" priority="164" operator="greaterThan">
      <formula>0</formula>
    </cfRule>
    <cfRule type="cellIs" dxfId="1245" priority="165" operator="equal">
      <formula>"PMS"</formula>
    </cfRule>
    <cfRule type="containsText" dxfId="1244" priority="166" operator="containsText" text="CMS">
      <formula>NOT(ISERROR(SEARCH("CMS",G19)))</formula>
    </cfRule>
    <cfRule type="cellIs" dxfId="1243" priority="167" operator="equal">
      <formula>0</formula>
    </cfRule>
    <cfRule type="cellIs" dxfId="1242" priority="168" operator="greaterThan">
      <formula>0</formula>
    </cfRule>
  </conditionalFormatting>
  <conditionalFormatting sqref="G78:G79 G62:G64 G39:G56 G33 G27:G30 G24 G19:G21">
    <cfRule type="cellIs" dxfId="1241" priority="157" operator="equal">
      <formula>"PMS"</formula>
    </cfRule>
    <cfRule type="containsText" dxfId="1240" priority="158" operator="containsText" text="CMS">
      <formula>NOT(ISERROR(SEARCH("CMS",G19)))</formula>
    </cfRule>
    <cfRule type="cellIs" dxfId="1239" priority="159" operator="equal">
      <formula>0</formula>
    </cfRule>
    <cfRule type="cellIs" dxfId="1238" priority="160" operator="greaterThan">
      <formula>0</formula>
    </cfRule>
  </conditionalFormatting>
  <conditionalFormatting sqref="M79 M39:M56 M24 M19:M21 M27:M30">
    <cfRule type="cellIs" dxfId="1237" priority="149" operator="equal">
      <formula>"PMS"</formula>
    </cfRule>
    <cfRule type="containsText" dxfId="1236" priority="150" operator="containsText" text="CMS">
      <formula>NOT(ISERROR(SEARCH("CMS",M19)))</formula>
    </cfRule>
    <cfRule type="cellIs" dxfId="1235" priority="151" operator="equal">
      <formula>0</formula>
    </cfRule>
    <cfRule type="cellIs" dxfId="1234" priority="152" operator="greaterThan">
      <formula>0</formula>
    </cfRule>
    <cfRule type="cellIs" dxfId="1233" priority="153" operator="equal">
      <formula>"PMS"</formula>
    </cfRule>
    <cfRule type="containsText" dxfId="1232" priority="154" operator="containsText" text="CMS">
      <formula>NOT(ISERROR(SEARCH("CMS",M19)))</formula>
    </cfRule>
    <cfRule type="cellIs" dxfId="1231" priority="155" operator="equal">
      <formula>0</formula>
    </cfRule>
    <cfRule type="cellIs" dxfId="1230" priority="156" operator="greaterThan">
      <formula>0</formula>
    </cfRule>
  </conditionalFormatting>
  <conditionalFormatting sqref="M79 M39:M56 M24 M19:M21 M27:M30">
    <cfRule type="cellIs" dxfId="1229" priority="145" operator="equal">
      <formula>"PMS"</formula>
    </cfRule>
    <cfRule type="containsText" dxfId="1228" priority="146" operator="containsText" text="CMS">
      <formula>NOT(ISERROR(SEARCH("CMS",M19)))</formula>
    </cfRule>
    <cfRule type="cellIs" dxfId="1227" priority="147" operator="equal">
      <formula>0</formula>
    </cfRule>
    <cfRule type="cellIs" dxfId="1226" priority="148" operator="greaterThan">
      <formula>0</formula>
    </cfRule>
  </conditionalFormatting>
  <conditionalFormatting sqref="K78:K79 K39:K56 K33 K27:K30 K24 K19:K21 K62:K64">
    <cfRule type="cellIs" dxfId="1225" priority="137" operator="equal">
      <formula>"PMS"</formula>
    </cfRule>
    <cfRule type="containsText" dxfId="1224" priority="138" operator="containsText" text="CMS">
      <formula>NOT(ISERROR(SEARCH("CMS",K19)))</formula>
    </cfRule>
    <cfRule type="cellIs" dxfId="1223" priority="139" operator="equal">
      <formula>0</formula>
    </cfRule>
    <cfRule type="cellIs" dxfId="1222" priority="140" operator="greaterThan">
      <formula>0</formula>
    </cfRule>
    <cfRule type="cellIs" dxfId="1221" priority="141" operator="equal">
      <formula>"PMS"</formula>
    </cfRule>
    <cfRule type="containsText" dxfId="1220" priority="142" operator="containsText" text="CMS">
      <formula>NOT(ISERROR(SEARCH("CMS",K19)))</formula>
    </cfRule>
    <cfRule type="cellIs" dxfId="1219" priority="143" operator="equal">
      <formula>0</formula>
    </cfRule>
    <cfRule type="cellIs" dxfId="1218" priority="144" operator="greaterThan">
      <formula>0</formula>
    </cfRule>
  </conditionalFormatting>
  <conditionalFormatting sqref="K78:K79 K39:K56 K33 K27:K30 K24 K19:K21 K62:K64">
    <cfRule type="cellIs" dxfId="1217" priority="133" operator="equal">
      <formula>"PMS"</formula>
    </cfRule>
    <cfRule type="containsText" dxfId="1216" priority="134" operator="containsText" text="CMS">
      <formula>NOT(ISERROR(SEARCH("CMS",K19)))</formula>
    </cfRule>
    <cfRule type="cellIs" dxfId="1215" priority="135" operator="equal">
      <formula>0</formula>
    </cfRule>
    <cfRule type="cellIs" dxfId="1214" priority="136" operator="greaterThan">
      <formula>0</formula>
    </cfRule>
  </conditionalFormatting>
  <conditionalFormatting sqref="F36:F39 F57:F59">
    <cfRule type="cellIs" dxfId="1213" priority="125" operator="equal">
      <formula>"PMS"</formula>
    </cfRule>
    <cfRule type="containsText" dxfId="1212" priority="126" operator="containsText" text="CMS">
      <formula>NOT(ISERROR(SEARCH("CMS",F36)))</formula>
    </cfRule>
    <cfRule type="cellIs" dxfId="1211" priority="127" operator="equal">
      <formula>0</formula>
    </cfRule>
    <cfRule type="cellIs" dxfId="1210" priority="128" operator="greaterThan">
      <formula>0</formula>
    </cfRule>
    <cfRule type="cellIs" dxfId="1209" priority="129" operator="equal">
      <formula>"PMS"</formula>
    </cfRule>
    <cfRule type="containsText" dxfId="1208" priority="130" operator="containsText" text="CMS">
      <formula>NOT(ISERROR(SEARCH("CMS",F36)))</formula>
    </cfRule>
    <cfRule type="cellIs" dxfId="1207" priority="131" operator="equal">
      <formula>0</formula>
    </cfRule>
    <cfRule type="cellIs" dxfId="1206" priority="132" operator="greaterThan">
      <formula>0</formula>
    </cfRule>
  </conditionalFormatting>
  <conditionalFormatting sqref="F36:F39 F57:F59">
    <cfRule type="cellIs" dxfId="1205" priority="121" operator="equal">
      <formula>"PMS"</formula>
    </cfRule>
    <cfRule type="containsText" dxfId="1204" priority="122" operator="containsText" text="CMS">
      <formula>NOT(ISERROR(SEARCH("CMS",F36)))</formula>
    </cfRule>
    <cfRule type="cellIs" dxfId="1203" priority="123" operator="equal">
      <formula>0</formula>
    </cfRule>
    <cfRule type="cellIs" dxfId="1202" priority="124" operator="greaterThan">
      <formula>0</formula>
    </cfRule>
  </conditionalFormatting>
  <conditionalFormatting sqref="F67:F75">
    <cfRule type="cellIs" dxfId="1201" priority="113" operator="equal">
      <formula>"PMS"</formula>
    </cfRule>
    <cfRule type="containsText" dxfId="1200" priority="114" operator="containsText" text="CMS">
      <formula>NOT(ISERROR(SEARCH("CMS",F67)))</formula>
    </cfRule>
    <cfRule type="cellIs" dxfId="1199" priority="115" operator="equal">
      <formula>0</formula>
    </cfRule>
    <cfRule type="cellIs" dxfId="1198" priority="116" operator="greaterThan">
      <formula>0</formula>
    </cfRule>
    <cfRule type="cellIs" dxfId="1197" priority="117" operator="equal">
      <formula>"PMS"</formula>
    </cfRule>
    <cfRule type="containsText" dxfId="1196" priority="118" operator="containsText" text="CMS">
      <formula>NOT(ISERROR(SEARCH("CMS",F67)))</formula>
    </cfRule>
    <cfRule type="cellIs" dxfId="1195" priority="119" operator="equal">
      <formula>0</formula>
    </cfRule>
    <cfRule type="cellIs" dxfId="1194" priority="120" operator="greaterThan">
      <formula>0</formula>
    </cfRule>
  </conditionalFormatting>
  <conditionalFormatting sqref="F67:F75">
    <cfRule type="cellIs" dxfId="1193" priority="109" operator="equal">
      <formula>"PMS"</formula>
    </cfRule>
    <cfRule type="containsText" dxfId="1192" priority="110" operator="containsText" text="CMS">
      <formula>NOT(ISERROR(SEARCH("CMS",F67)))</formula>
    </cfRule>
    <cfRule type="cellIs" dxfId="1191" priority="111" operator="equal">
      <formula>0</formula>
    </cfRule>
    <cfRule type="cellIs" dxfId="1190" priority="112" operator="greaterThan">
      <formula>0</formula>
    </cfRule>
  </conditionalFormatting>
  <conditionalFormatting sqref="F82">
    <cfRule type="cellIs" dxfId="1189" priority="101" operator="equal">
      <formula>"PMS"</formula>
    </cfRule>
    <cfRule type="containsText" dxfId="1188" priority="102" operator="containsText" text="CMS">
      <formula>NOT(ISERROR(SEARCH("CMS",F82)))</formula>
    </cfRule>
    <cfRule type="cellIs" dxfId="1187" priority="103" operator="equal">
      <formula>0</formula>
    </cfRule>
    <cfRule type="cellIs" dxfId="1186" priority="104" operator="greaterThan">
      <formula>0</formula>
    </cfRule>
    <cfRule type="cellIs" dxfId="1185" priority="105" operator="equal">
      <formula>"PMS"</formula>
    </cfRule>
    <cfRule type="containsText" dxfId="1184" priority="106" operator="containsText" text="CMS">
      <formula>NOT(ISERROR(SEARCH("CMS",F82)))</formula>
    </cfRule>
    <cfRule type="cellIs" dxfId="1183" priority="107" operator="equal">
      <formula>0</formula>
    </cfRule>
    <cfRule type="cellIs" dxfId="1182" priority="108" operator="greaterThan">
      <formula>0</formula>
    </cfRule>
  </conditionalFormatting>
  <conditionalFormatting sqref="F82">
    <cfRule type="cellIs" dxfId="1181" priority="97" operator="equal">
      <formula>"PMS"</formula>
    </cfRule>
    <cfRule type="containsText" dxfId="1180" priority="98" operator="containsText" text="CMS">
      <formula>NOT(ISERROR(SEARCH("CMS",F82)))</formula>
    </cfRule>
    <cfRule type="cellIs" dxfId="1179" priority="99" operator="equal">
      <formula>0</formula>
    </cfRule>
    <cfRule type="cellIs" dxfId="1178" priority="100" operator="greaterThan">
      <formula>0</formula>
    </cfRule>
  </conditionalFormatting>
  <conditionalFormatting sqref="F24">
    <cfRule type="cellIs" dxfId="1177" priority="89" operator="equal">
      <formula>"PMS"</formula>
    </cfRule>
    <cfRule type="containsText" dxfId="1176" priority="90" operator="containsText" text="CMS">
      <formula>NOT(ISERROR(SEARCH("CMS",F24)))</formula>
    </cfRule>
    <cfRule type="cellIs" dxfId="1175" priority="91" operator="equal">
      <formula>0</formula>
    </cfRule>
    <cfRule type="cellIs" dxfId="1174" priority="92" operator="greaterThan">
      <formula>0</formula>
    </cfRule>
    <cfRule type="cellIs" dxfId="1173" priority="93" operator="equal">
      <formula>"PMS"</formula>
    </cfRule>
    <cfRule type="containsText" dxfId="1172" priority="94" operator="containsText" text="CMS">
      <formula>NOT(ISERROR(SEARCH("CMS",F24)))</formula>
    </cfRule>
    <cfRule type="cellIs" dxfId="1171" priority="95" operator="equal">
      <formula>0</formula>
    </cfRule>
    <cfRule type="cellIs" dxfId="1170" priority="96" operator="greaterThan">
      <formula>0</formula>
    </cfRule>
  </conditionalFormatting>
  <conditionalFormatting sqref="F24">
    <cfRule type="cellIs" dxfId="1169" priority="85" operator="equal">
      <formula>"PMS"</formula>
    </cfRule>
    <cfRule type="containsText" dxfId="1168" priority="86" operator="containsText" text="CMS">
      <formula>NOT(ISERROR(SEARCH("CMS",F24)))</formula>
    </cfRule>
    <cfRule type="cellIs" dxfId="1167" priority="87" operator="equal">
      <formula>0</formula>
    </cfRule>
    <cfRule type="cellIs" dxfId="1166" priority="88" operator="greaterThan">
      <formula>0</formula>
    </cfRule>
  </conditionalFormatting>
  <conditionalFormatting sqref="F13:F16">
    <cfRule type="cellIs" dxfId="1165" priority="77" operator="equal">
      <formula>"PMS"</formula>
    </cfRule>
    <cfRule type="containsText" dxfId="1164" priority="78" operator="containsText" text="CMS">
      <formula>NOT(ISERROR(SEARCH("CMS",F13)))</formula>
    </cfRule>
    <cfRule type="cellIs" dxfId="1163" priority="79" operator="equal">
      <formula>0</formula>
    </cfRule>
    <cfRule type="cellIs" dxfId="1162" priority="80" operator="greaterThan">
      <formula>0</formula>
    </cfRule>
    <cfRule type="cellIs" dxfId="1161" priority="81" operator="equal">
      <formula>"PMS"</formula>
    </cfRule>
    <cfRule type="containsText" dxfId="1160" priority="82" operator="containsText" text="CMS">
      <formula>NOT(ISERROR(SEARCH("CMS",F13)))</formula>
    </cfRule>
    <cfRule type="cellIs" dxfId="1159" priority="83" operator="equal">
      <formula>0</formula>
    </cfRule>
    <cfRule type="cellIs" dxfId="1158" priority="84" operator="greaterThan">
      <formula>0</formula>
    </cfRule>
  </conditionalFormatting>
  <conditionalFormatting sqref="F13:F16">
    <cfRule type="cellIs" dxfId="1157" priority="73" operator="equal">
      <formula>"PMS"</formula>
    </cfRule>
    <cfRule type="containsText" dxfId="1156" priority="74" operator="containsText" text="CMS">
      <formula>NOT(ISERROR(SEARCH("CMS",F13)))</formula>
    </cfRule>
    <cfRule type="cellIs" dxfId="1155" priority="75" operator="equal">
      <formula>0</formula>
    </cfRule>
    <cfRule type="cellIs" dxfId="1154" priority="76" operator="greaterThan">
      <formula>0</formula>
    </cfRule>
  </conditionalFormatting>
  <conditionalFormatting sqref="F19:F21">
    <cfRule type="cellIs" dxfId="1153" priority="65" operator="equal">
      <formula>"PMS"</formula>
    </cfRule>
    <cfRule type="containsText" dxfId="1152" priority="66" operator="containsText" text="CMS">
      <formula>NOT(ISERROR(SEARCH("CMS",F19)))</formula>
    </cfRule>
    <cfRule type="cellIs" dxfId="1151" priority="67" operator="equal">
      <formula>0</formula>
    </cfRule>
    <cfRule type="cellIs" dxfId="1150" priority="68" operator="greaterThan">
      <formula>0</formula>
    </cfRule>
    <cfRule type="cellIs" dxfId="1149" priority="69" operator="equal">
      <formula>"PMS"</formula>
    </cfRule>
    <cfRule type="containsText" dxfId="1148" priority="70" operator="containsText" text="CMS">
      <formula>NOT(ISERROR(SEARCH("CMS",F19)))</formula>
    </cfRule>
    <cfRule type="cellIs" dxfId="1147" priority="71" operator="equal">
      <formula>0</formula>
    </cfRule>
    <cfRule type="cellIs" dxfId="1146" priority="72" operator="greaterThan">
      <formula>0</formula>
    </cfRule>
  </conditionalFormatting>
  <conditionalFormatting sqref="F19:F21">
    <cfRule type="cellIs" dxfId="1145" priority="61" operator="equal">
      <formula>"PMS"</formula>
    </cfRule>
    <cfRule type="containsText" dxfId="1144" priority="62" operator="containsText" text="CMS">
      <formula>NOT(ISERROR(SEARCH("CMS",F19)))</formula>
    </cfRule>
    <cfRule type="cellIs" dxfId="1143" priority="63" operator="equal">
      <formula>0</formula>
    </cfRule>
    <cfRule type="cellIs" dxfId="1142" priority="64" operator="greaterThan">
      <formula>0</formula>
    </cfRule>
  </conditionalFormatting>
  <conditionalFormatting sqref="F27:F30">
    <cfRule type="cellIs" dxfId="1141" priority="53" operator="equal">
      <formula>"PMS"</formula>
    </cfRule>
    <cfRule type="containsText" dxfId="1140" priority="54" operator="containsText" text="CMS">
      <formula>NOT(ISERROR(SEARCH("CMS",F27)))</formula>
    </cfRule>
    <cfRule type="cellIs" dxfId="1139" priority="55" operator="equal">
      <formula>0</formula>
    </cfRule>
    <cfRule type="cellIs" dxfId="1138" priority="56" operator="greaterThan">
      <formula>0</formula>
    </cfRule>
    <cfRule type="cellIs" dxfId="1137" priority="57" operator="equal">
      <formula>"PMS"</formula>
    </cfRule>
    <cfRule type="containsText" dxfId="1136" priority="58" operator="containsText" text="CMS">
      <formula>NOT(ISERROR(SEARCH("CMS",F27)))</formula>
    </cfRule>
    <cfRule type="cellIs" dxfId="1135" priority="59" operator="equal">
      <formula>0</formula>
    </cfRule>
    <cfRule type="cellIs" dxfId="1134" priority="60" operator="greaterThan">
      <formula>0</formula>
    </cfRule>
  </conditionalFormatting>
  <conditionalFormatting sqref="F27:F30">
    <cfRule type="cellIs" dxfId="1133" priority="49" operator="equal">
      <formula>"PMS"</formula>
    </cfRule>
    <cfRule type="containsText" dxfId="1132" priority="50" operator="containsText" text="CMS">
      <formula>NOT(ISERROR(SEARCH("CMS",F27)))</formula>
    </cfRule>
    <cfRule type="cellIs" dxfId="1131" priority="51" operator="equal">
      <formula>0</formula>
    </cfRule>
    <cfRule type="cellIs" dxfId="1130" priority="52" operator="greaterThan">
      <formula>0</formula>
    </cfRule>
  </conditionalFormatting>
  <conditionalFormatting sqref="F33">
    <cfRule type="cellIs" dxfId="1129" priority="41" operator="equal">
      <formula>"PMS"</formula>
    </cfRule>
    <cfRule type="containsText" dxfId="1128" priority="42" operator="containsText" text="CMS">
      <formula>NOT(ISERROR(SEARCH("CMS",F33)))</formula>
    </cfRule>
    <cfRule type="cellIs" dxfId="1127" priority="43" operator="equal">
      <formula>0</formula>
    </cfRule>
    <cfRule type="cellIs" dxfId="1126" priority="44" operator="greaterThan">
      <formula>0</formula>
    </cfRule>
    <cfRule type="cellIs" dxfId="1125" priority="45" operator="equal">
      <formula>"PMS"</formula>
    </cfRule>
    <cfRule type="containsText" dxfId="1124" priority="46" operator="containsText" text="CMS">
      <formula>NOT(ISERROR(SEARCH("CMS",F33)))</formula>
    </cfRule>
    <cfRule type="cellIs" dxfId="1123" priority="47" operator="equal">
      <formula>0</formula>
    </cfRule>
    <cfRule type="cellIs" dxfId="1122" priority="48" operator="greaterThan">
      <formula>0</formula>
    </cfRule>
  </conditionalFormatting>
  <conditionalFormatting sqref="F33">
    <cfRule type="cellIs" dxfId="1121" priority="37" operator="equal">
      <formula>"PMS"</formula>
    </cfRule>
    <cfRule type="containsText" dxfId="1120" priority="38" operator="containsText" text="CMS">
      <formula>NOT(ISERROR(SEARCH("CMS",F33)))</formula>
    </cfRule>
    <cfRule type="cellIs" dxfId="1119" priority="39" operator="equal">
      <formula>0</formula>
    </cfRule>
    <cfRule type="cellIs" dxfId="1118" priority="40" operator="greaterThan">
      <formula>0</formula>
    </cfRule>
  </conditionalFormatting>
  <conditionalFormatting sqref="F40:F56">
    <cfRule type="cellIs" dxfId="1117" priority="29" operator="equal">
      <formula>"PMS"</formula>
    </cfRule>
    <cfRule type="containsText" dxfId="1116" priority="30" operator="containsText" text="CMS">
      <formula>NOT(ISERROR(SEARCH("CMS",F40)))</formula>
    </cfRule>
    <cfRule type="cellIs" dxfId="1115" priority="31" operator="equal">
      <formula>0</formula>
    </cfRule>
    <cfRule type="cellIs" dxfId="1114" priority="32" operator="greaterThan">
      <formula>0</formula>
    </cfRule>
    <cfRule type="cellIs" dxfId="1113" priority="33" operator="equal">
      <formula>"PMS"</formula>
    </cfRule>
    <cfRule type="containsText" dxfId="1112" priority="34" operator="containsText" text="CMS">
      <formula>NOT(ISERROR(SEARCH("CMS",F40)))</formula>
    </cfRule>
    <cfRule type="cellIs" dxfId="1111" priority="35" operator="equal">
      <formula>0</formula>
    </cfRule>
    <cfRule type="cellIs" dxfId="1110" priority="36" operator="greaterThan">
      <formula>0</formula>
    </cfRule>
  </conditionalFormatting>
  <conditionalFormatting sqref="F40:F56">
    <cfRule type="cellIs" dxfId="1109" priority="25" operator="equal">
      <formula>"PMS"</formula>
    </cfRule>
    <cfRule type="containsText" dxfId="1108" priority="26" operator="containsText" text="CMS">
      <formula>NOT(ISERROR(SEARCH("CMS",F40)))</formula>
    </cfRule>
    <cfRule type="cellIs" dxfId="1107" priority="27" operator="equal">
      <formula>0</formula>
    </cfRule>
    <cfRule type="cellIs" dxfId="1106" priority="28" operator="greaterThan">
      <formula>0</formula>
    </cfRule>
  </conditionalFormatting>
  <conditionalFormatting sqref="F62:F64">
    <cfRule type="cellIs" dxfId="1105" priority="17" operator="equal">
      <formula>"PMS"</formula>
    </cfRule>
    <cfRule type="containsText" dxfId="1104" priority="18" operator="containsText" text="CMS">
      <formula>NOT(ISERROR(SEARCH("CMS",F62)))</formula>
    </cfRule>
    <cfRule type="cellIs" dxfId="1103" priority="19" operator="equal">
      <formula>0</formula>
    </cfRule>
    <cfRule type="cellIs" dxfId="1102" priority="20" operator="greaterThan">
      <formula>0</formula>
    </cfRule>
    <cfRule type="cellIs" dxfId="1101" priority="21" operator="equal">
      <formula>"PMS"</formula>
    </cfRule>
    <cfRule type="containsText" dxfId="1100" priority="22" operator="containsText" text="CMS">
      <formula>NOT(ISERROR(SEARCH("CMS",F62)))</formula>
    </cfRule>
    <cfRule type="cellIs" dxfId="1099" priority="23" operator="equal">
      <formula>0</formula>
    </cfRule>
    <cfRule type="cellIs" dxfId="1098" priority="24" operator="greaterThan">
      <formula>0</formula>
    </cfRule>
  </conditionalFormatting>
  <conditionalFormatting sqref="F62:F64">
    <cfRule type="cellIs" dxfId="1097" priority="13" operator="equal">
      <formula>"PMS"</formula>
    </cfRule>
    <cfRule type="containsText" dxfId="1096" priority="14" operator="containsText" text="CMS">
      <formula>NOT(ISERROR(SEARCH("CMS",F62)))</formula>
    </cfRule>
    <cfRule type="cellIs" dxfId="1095" priority="15" operator="equal">
      <formula>0</formula>
    </cfRule>
    <cfRule type="cellIs" dxfId="1094" priority="16" operator="greaterThan">
      <formula>0</formula>
    </cfRule>
  </conditionalFormatting>
  <conditionalFormatting sqref="F78:F79">
    <cfRule type="cellIs" dxfId="1093" priority="5" operator="equal">
      <formula>"PMS"</formula>
    </cfRule>
    <cfRule type="containsText" dxfId="1092" priority="6" operator="containsText" text="CMS">
      <formula>NOT(ISERROR(SEARCH("CMS",F78)))</formula>
    </cfRule>
    <cfRule type="cellIs" dxfId="1091" priority="7" operator="equal">
      <formula>0</formula>
    </cfRule>
    <cfRule type="cellIs" dxfId="1090" priority="8" operator="greaterThan">
      <formula>0</formula>
    </cfRule>
    <cfRule type="cellIs" dxfId="1089" priority="9" operator="equal">
      <formula>"PMS"</formula>
    </cfRule>
    <cfRule type="containsText" dxfId="1088" priority="10" operator="containsText" text="CMS">
      <formula>NOT(ISERROR(SEARCH("CMS",F78)))</formula>
    </cfRule>
    <cfRule type="cellIs" dxfId="1087" priority="11" operator="equal">
      <formula>0</formula>
    </cfRule>
    <cfRule type="cellIs" dxfId="1086" priority="12" operator="greaterThan">
      <formula>0</formula>
    </cfRule>
  </conditionalFormatting>
  <conditionalFormatting sqref="F78:F79">
    <cfRule type="cellIs" dxfId="1085" priority="1" operator="equal">
      <formula>"PMS"</formula>
    </cfRule>
    <cfRule type="containsText" dxfId="1084" priority="2" operator="containsText" text="CMS">
      <formula>NOT(ISERROR(SEARCH("CMS",F78)))</formula>
    </cfRule>
    <cfRule type="cellIs" dxfId="1083" priority="3" operator="equal">
      <formula>0</formula>
    </cfRule>
    <cfRule type="cellIs" dxfId="10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58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160020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BX1047677"/>
  <sheetViews>
    <sheetView zoomScale="75" zoomScaleNormal="75" workbookViewId="0">
      <pane xSplit="4" ySplit="4" topLeftCell="AL768" activePane="bottomRight" state="frozen"/>
      <selection pane="bottomRight" activeCell="A777" sqref="A777"/>
      <selection pane="bottomLeft" activeCell="A5" sqref="A5"/>
      <selection pane="topRight" activeCell="E1" sqref="E1"/>
    </sheetView>
  </sheetViews>
  <sheetFormatPr defaultColWidth="8.42578125" defaultRowHeight="13.9"/>
  <cols>
    <col min="1" max="1" width="14.42578125" style="22" bestFit="1" customWidth="1"/>
    <col min="2" max="2" width="6.7109375" style="22" bestFit="1" customWidth="1"/>
    <col min="3" max="3" width="3.5703125" style="22" hidden="1" customWidth="1"/>
    <col min="4" max="4" width="4.28515625" style="22" hidden="1" customWidth="1"/>
    <col min="5" max="5" width="10" style="300" customWidth="1"/>
    <col min="6" max="10" width="10.28515625" style="300" customWidth="1"/>
    <col min="11" max="11" width="10.28515625" style="300" hidden="1" customWidth="1"/>
    <col min="12" max="12" width="9.5703125" style="300" customWidth="1"/>
    <col min="13" max="14" width="10.28515625" style="300" customWidth="1"/>
    <col min="15" max="15" width="10.28515625" style="300" hidden="1" customWidth="1"/>
    <col min="16" max="18" width="10.28515625" style="300" customWidth="1"/>
    <col min="19" max="19" width="10.28515625" style="300" hidden="1" customWidth="1"/>
    <col min="20" max="47" width="10.28515625" style="300" customWidth="1"/>
    <col min="48" max="48" width="12.140625" style="300" customWidth="1"/>
    <col min="49" max="49" width="12" style="300" hidden="1" customWidth="1"/>
    <col min="50" max="51" width="10.28515625" style="300" customWidth="1"/>
    <col min="52" max="52" width="12.140625" style="300" customWidth="1"/>
    <col min="53" max="53" width="12" style="300" hidden="1" customWidth="1"/>
    <col min="54" max="56" width="10.28515625" style="300" customWidth="1"/>
    <col min="57" max="57" width="10.28515625" style="301" customWidth="1"/>
    <col min="58" max="65" width="10.28515625" style="300" customWidth="1"/>
    <col min="66" max="66" width="10.28515625" style="300" hidden="1" customWidth="1"/>
    <col min="67" max="69" width="10.28515625" style="300" customWidth="1"/>
    <col min="70" max="70" width="10.28515625" style="300" hidden="1" customWidth="1"/>
    <col min="71" max="72" width="10.28515625" style="300" customWidth="1"/>
    <col min="73" max="73" width="10.28515625" style="300" hidden="1" customWidth="1"/>
    <col min="74" max="74" width="9.85546875" style="300" hidden="1" customWidth="1"/>
    <col min="75" max="76" width="10.28515625" style="300" hidden="1" customWidth="1"/>
    <col min="77" max="16384" width="8.42578125" style="22"/>
  </cols>
  <sheetData>
    <row r="1" spans="1:76" ht="14.45" thickBot="1">
      <c r="A1" s="250" t="str">
        <f ca="1">TEXT(TODAY(), "MMMM")</f>
        <v>October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/>
      <c r="AU1" s="23"/>
      <c r="AV1" s="23">
        <v>29</v>
      </c>
      <c r="AW1" s="23"/>
      <c r="AX1" s="23"/>
      <c r="AY1" s="23"/>
      <c r="AZ1" s="23">
        <v>30</v>
      </c>
      <c r="BA1" s="23"/>
      <c r="BB1" s="23"/>
      <c r="BC1" s="23"/>
      <c r="BD1" s="23">
        <v>32</v>
      </c>
      <c r="BE1" s="251">
        <v>31</v>
      </c>
      <c r="BF1" s="23">
        <v>33</v>
      </c>
      <c r="BG1" s="23"/>
      <c r="BH1" s="23"/>
      <c r="BI1" s="23">
        <v>60</v>
      </c>
      <c r="BJ1" s="23"/>
      <c r="BK1" s="23"/>
      <c r="BL1" s="23"/>
      <c r="BM1" s="23">
        <v>65</v>
      </c>
      <c r="BN1" s="23"/>
      <c r="BO1" s="23"/>
      <c r="BP1" s="23"/>
      <c r="BQ1" s="23">
        <v>80</v>
      </c>
      <c r="BR1" s="23"/>
      <c r="BS1" s="23"/>
      <c r="BT1" s="23"/>
      <c r="BU1" s="23">
        <v>76</v>
      </c>
      <c r="BV1" s="23"/>
      <c r="BW1" s="23"/>
      <c r="BX1" s="23"/>
    </row>
    <row r="2" spans="1:76" s="253" customFormat="1" ht="16.149999999999999" thickBot="1">
      <c r="A2" s="628" t="s">
        <v>119</v>
      </c>
      <c r="B2" s="628" t="s">
        <v>73</v>
      </c>
      <c r="C2" s="108"/>
      <c r="D2" s="252"/>
      <c r="E2" s="630" t="s">
        <v>120</v>
      </c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2"/>
      <c r="V2" s="633" t="s">
        <v>27</v>
      </c>
      <c r="W2" s="631"/>
      <c r="X2" s="631"/>
      <c r="Y2" s="631"/>
      <c r="Z2" s="631"/>
      <c r="AA2" s="631"/>
      <c r="AB2" s="631"/>
      <c r="AC2" s="631"/>
      <c r="AD2" s="631"/>
      <c r="AE2" s="631"/>
      <c r="AF2" s="631"/>
      <c r="AG2" s="634"/>
      <c r="AH2" s="609" t="s">
        <v>121</v>
      </c>
      <c r="AI2" s="610"/>
      <c r="AJ2" s="610"/>
      <c r="AK2" s="611"/>
      <c r="AL2" s="621" t="s">
        <v>122</v>
      </c>
      <c r="AM2" s="622"/>
      <c r="AN2" s="622"/>
      <c r="AO2" s="622"/>
      <c r="AP2" s="622"/>
      <c r="AQ2" s="622"/>
      <c r="AR2" s="622"/>
      <c r="AS2" s="623"/>
      <c r="AT2" s="609" t="s">
        <v>123</v>
      </c>
      <c r="AU2" s="610"/>
      <c r="AV2" s="610"/>
      <c r="AW2" s="610"/>
      <c r="AX2" s="610"/>
      <c r="AY2" s="610"/>
      <c r="AZ2" s="610"/>
      <c r="BA2" s="610"/>
      <c r="BB2" s="610"/>
      <c r="BC2" s="611"/>
      <c r="BD2" s="609" t="s">
        <v>124</v>
      </c>
      <c r="BE2" s="610"/>
      <c r="BF2" s="639"/>
      <c r="BG2" s="639"/>
      <c r="BH2" s="640"/>
      <c r="BI2" s="609" t="s">
        <v>125</v>
      </c>
      <c r="BJ2" s="639"/>
      <c r="BK2" s="639"/>
      <c r="BL2" s="640"/>
      <c r="BM2" s="609" t="s">
        <v>126</v>
      </c>
      <c r="BN2" s="610"/>
      <c r="BO2" s="610"/>
      <c r="BP2" s="611"/>
      <c r="BQ2" s="609" t="s">
        <v>127</v>
      </c>
      <c r="BR2" s="610"/>
      <c r="BS2" s="610"/>
      <c r="BT2" s="611"/>
      <c r="BU2" s="609" t="s">
        <v>128</v>
      </c>
      <c r="BV2" s="610"/>
      <c r="BW2" s="610"/>
      <c r="BX2" s="611"/>
    </row>
    <row r="3" spans="1:76" ht="29.45" customHeight="1" thickBot="1">
      <c r="A3" s="629"/>
      <c r="B3" s="629"/>
      <c r="C3" s="254"/>
      <c r="D3" s="255"/>
      <c r="E3" s="619" t="s">
        <v>129</v>
      </c>
      <c r="F3" s="620"/>
      <c r="G3" s="256" t="s">
        <v>130</v>
      </c>
      <c r="H3" s="256" t="s">
        <v>131</v>
      </c>
      <c r="I3" s="256" t="s">
        <v>132</v>
      </c>
      <c r="J3" s="256" t="s">
        <v>130</v>
      </c>
      <c r="K3" s="256" t="s">
        <v>133</v>
      </c>
      <c r="L3" s="256" t="s">
        <v>131</v>
      </c>
      <c r="M3" s="256" t="s">
        <v>132</v>
      </c>
      <c r="N3" s="256" t="s">
        <v>130</v>
      </c>
      <c r="O3" s="256" t="s">
        <v>133</v>
      </c>
      <c r="P3" s="256" t="s">
        <v>131</v>
      </c>
      <c r="Q3" s="256" t="s">
        <v>132</v>
      </c>
      <c r="R3" s="256" t="s">
        <v>130</v>
      </c>
      <c r="S3" s="256" t="s">
        <v>133</v>
      </c>
      <c r="T3" s="256" t="s">
        <v>131</v>
      </c>
      <c r="U3" s="257" t="s">
        <v>132</v>
      </c>
      <c r="V3" s="258" t="s">
        <v>130</v>
      </c>
      <c r="W3" s="259" t="s">
        <v>133</v>
      </c>
      <c r="X3" s="259" t="s">
        <v>131</v>
      </c>
      <c r="Y3" s="259" t="s">
        <v>132</v>
      </c>
      <c r="Z3" s="259" t="s">
        <v>130</v>
      </c>
      <c r="AA3" s="259" t="s">
        <v>133</v>
      </c>
      <c r="AB3" s="259" t="s">
        <v>131</v>
      </c>
      <c r="AC3" s="259" t="s">
        <v>132</v>
      </c>
      <c r="AD3" s="259" t="s">
        <v>130</v>
      </c>
      <c r="AE3" s="259" t="s">
        <v>133</v>
      </c>
      <c r="AF3" s="259" t="s">
        <v>131</v>
      </c>
      <c r="AG3" s="260" t="s">
        <v>132</v>
      </c>
      <c r="AH3" s="261" t="s">
        <v>130</v>
      </c>
      <c r="AI3" s="259" t="s">
        <v>133</v>
      </c>
      <c r="AJ3" s="259" t="s">
        <v>131</v>
      </c>
      <c r="AK3" s="262" t="s">
        <v>132</v>
      </c>
      <c r="AL3" s="624" t="s">
        <v>134</v>
      </c>
      <c r="AM3" s="625"/>
      <c r="AN3" s="464" t="s">
        <v>130</v>
      </c>
      <c r="AO3" s="464" t="s">
        <v>131</v>
      </c>
      <c r="AP3" s="464" t="s">
        <v>132</v>
      </c>
      <c r="AQ3" s="464" t="s">
        <v>130</v>
      </c>
      <c r="AR3" s="464" t="s">
        <v>131</v>
      </c>
      <c r="AS3" s="465" t="s">
        <v>132</v>
      </c>
      <c r="AT3" s="619" t="s">
        <v>129</v>
      </c>
      <c r="AU3" s="620"/>
      <c r="AV3" s="256" t="s">
        <v>130</v>
      </c>
      <c r="AW3" s="408" t="s">
        <v>135</v>
      </c>
      <c r="AX3" s="256" t="s">
        <v>131</v>
      </c>
      <c r="AY3" s="257" t="s">
        <v>132</v>
      </c>
      <c r="AZ3" s="256" t="s">
        <v>130</v>
      </c>
      <c r="BA3" s="408" t="s">
        <v>135</v>
      </c>
      <c r="BB3" s="256" t="s">
        <v>131</v>
      </c>
      <c r="BC3" s="257" t="s">
        <v>132</v>
      </c>
      <c r="BD3" s="626" t="s">
        <v>129</v>
      </c>
      <c r="BE3" s="627"/>
      <c r="BF3" s="263" t="s">
        <v>130</v>
      </c>
      <c r="BG3" s="264" t="s">
        <v>131</v>
      </c>
      <c r="BH3" s="265" t="s">
        <v>132</v>
      </c>
      <c r="BI3" s="266" t="s">
        <v>136</v>
      </c>
      <c r="BJ3" s="263" t="s">
        <v>130</v>
      </c>
      <c r="BK3" s="264" t="s">
        <v>131</v>
      </c>
      <c r="BL3" s="265" t="s">
        <v>132</v>
      </c>
      <c r="BM3" s="261" t="s">
        <v>130</v>
      </c>
      <c r="BN3" s="259" t="s">
        <v>133</v>
      </c>
      <c r="BO3" s="259" t="s">
        <v>131</v>
      </c>
      <c r="BP3" s="262" t="s">
        <v>132</v>
      </c>
      <c r="BQ3" s="261" t="s">
        <v>130</v>
      </c>
      <c r="BR3" s="259" t="s">
        <v>133</v>
      </c>
      <c r="BS3" s="259" t="s">
        <v>131</v>
      </c>
      <c r="BT3" s="262" t="s">
        <v>132</v>
      </c>
      <c r="BU3" s="261" t="s">
        <v>130</v>
      </c>
      <c r="BV3" s="259" t="s">
        <v>133</v>
      </c>
      <c r="BW3" s="259" t="s">
        <v>131</v>
      </c>
      <c r="BX3" s="262" t="s">
        <v>132</v>
      </c>
    </row>
    <row r="4" spans="1:76" ht="15" customHeight="1" thickBot="1">
      <c r="A4" s="629"/>
      <c r="B4" s="629"/>
      <c r="C4" s="267"/>
      <c r="D4" s="268"/>
      <c r="E4" s="269"/>
      <c r="F4" s="270"/>
      <c r="G4" s="601" t="s">
        <v>137</v>
      </c>
      <c r="H4" s="602"/>
      <c r="I4" s="603"/>
      <c r="J4" s="635" t="s">
        <v>138</v>
      </c>
      <c r="K4" s="636"/>
      <c r="L4" s="636"/>
      <c r="M4" s="637"/>
      <c r="N4" s="635" t="s">
        <v>139</v>
      </c>
      <c r="O4" s="636"/>
      <c r="P4" s="636"/>
      <c r="Q4" s="637"/>
      <c r="R4" s="638" t="s">
        <v>140</v>
      </c>
      <c r="S4" s="636"/>
      <c r="T4" s="636"/>
      <c r="U4" s="637"/>
      <c r="V4" s="612" t="s">
        <v>137</v>
      </c>
      <c r="W4" s="613"/>
      <c r="X4" s="613"/>
      <c r="Y4" s="614"/>
      <c r="Z4" s="612" t="s">
        <v>138</v>
      </c>
      <c r="AA4" s="613"/>
      <c r="AB4" s="613"/>
      <c r="AC4" s="615"/>
      <c r="AD4" s="616" t="s">
        <v>139</v>
      </c>
      <c r="AE4" s="613"/>
      <c r="AF4" s="613"/>
      <c r="AG4" s="614"/>
      <c r="AH4" s="598" t="s">
        <v>137</v>
      </c>
      <c r="AI4" s="599"/>
      <c r="AJ4" s="599"/>
      <c r="AK4" s="600"/>
      <c r="AL4" s="617"/>
      <c r="AM4" s="618"/>
      <c r="AN4" s="598" t="s">
        <v>137</v>
      </c>
      <c r="AO4" s="599"/>
      <c r="AP4" s="600"/>
      <c r="AQ4" s="601" t="s">
        <v>138</v>
      </c>
      <c r="AR4" s="602"/>
      <c r="AS4" s="603"/>
      <c r="AT4" s="617"/>
      <c r="AU4" s="618"/>
      <c r="AV4" s="604" t="s">
        <v>30</v>
      </c>
      <c r="AW4" s="605"/>
      <c r="AX4" s="605"/>
      <c r="AY4" s="606"/>
      <c r="AZ4" s="604" t="s">
        <v>31</v>
      </c>
      <c r="BA4" s="605"/>
      <c r="BB4" s="605"/>
      <c r="BC4" s="606"/>
      <c r="BD4" s="607"/>
      <c r="BE4" s="608"/>
      <c r="BF4" s="598" t="s">
        <v>137</v>
      </c>
      <c r="BG4" s="599"/>
      <c r="BH4" s="600"/>
      <c r="BI4" s="271"/>
      <c r="BJ4" s="598" t="s">
        <v>141</v>
      </c>
      <c r="BK4" s="599"/>
      <c r="BL4" s="600"/>
      <c r="BM4" s="598" t="s">
        <v>137</v>
      </c>
      <c r="BN4" s="599"/>
      <c r="BO4" s="599"/>
      <c r="BP4" s="600"/>
      <c r="BQ4" s="598" t="s">
        <v>137</v>
      </c>
      <c r="BR4" s="599"/>
      <c r="BS4" s="599"/>
      <c r="BT4" s="600"/>
      <c r="BU4" s="598" t="s">
        <v>137</v>
      </c>
      <c r="BV4" s="599"/>
      <c r="BW4" s="599"/>
      <c r="BX4" s="600"/>
    </row>
    <row r="5" spans="1:76">
      <c r="A5" s="347">
        <v>45839</v>
      </c>
      <c r="B5" s="344">
        <v>0</v>
      </c>
      <c r="C5" s="302">
        <v>1</v>
      </c>
      <c r="D5" s="303" t="s">
        <v>142</v>
      </c>
      <c r="E5" s="272">
        <v>14.1</v>
      </c>
      <c r="F5" s="273">
        <v>70.06</v>
      </c>
      <c r="G5" s="274" t="str" cm="1">
        <f t="array" aca="1" ref="G5" ca="1">INDIRECT("'"&amp;$C5&amp;"'!"&amp;"$"&amp;$D5&amp;$E$1&amp;"")</f>
        <v>CMS</v>
      </c>
      <c r="H5" s="275" t="s">
        <v>1</v>
      </c>
      <c r="I5" s="273" t="s">
        <v>1</v>
      </c>
      <c r="J5" s="274" cm="1">
        <f t="array" aca="1" ref="J5" ca="1">INDIRECT("'"&amp;$C5&amp;"'!"&amp;"$"&amp;$D5&amp;$J$1&amp;"")</f>
        <v>6.6</v>
      </c>
      <c r="K5" s="275"/>
      <c r="L5" s="275">
        <v>0.96</v>
      </c>
      <c r="M5" s="276">
        <v>1.92</v>
      </c>
      <c r="N5" s="272" cm="1">
        <f t="array" aca="1" ref="N5" ca="1">INDIRECT("'"&amp;$C5&amp;"'!"&amp;"$"&amp;$D5&amp;$N$1&amp;"")</f>
        <v>6.6</v>
      </c>
      <c r="O5" s="275"/>
      <c r="P5" s="275">
        <v>0.96</v>
      </c>
      <c r="Q5" s="273">
        <v>1.89</v>
      </c>
      <c r="R5" s="467" cm="1">
        <f t="array" aca="1" ref="R5" ca="1">INDIRECT("'"&amp;$C5&amp;"'!"&amp;"$"&amp;$D5&amp;$R$1&amp;"")</f>
        <v>0</v>
      </c>
      <c r="S5" s="275"/>
      <c r="T5" s="275" t="s">
        <v>1</v>
      </c>
      <c r="U5" s="273" t="s">
        <v>1</v>
      </c>
      <c r="V5" s="274" cm="1">
        <f t="array" aca="1" ref="V5" ca="1">INDIRECT("'"&amp;$C5&amp;"'!"&amp;"$"&amp;$D5&amp;$V$1&amp;"")</f>
        <v>0</v>
      </c>
      <c r="W5" s="275" t="s">
        <v>1</v>
      </c>
      <c r="X5" s="275" t="s">
        <v>1</v>
      </c>
      <c r="Y5" s="276" t="s">
        <v>1</v>
      </c>
      <c r="Z5" s="272" cm="1">
        <f t="array" aca="1" ref="Z5" ca="1">INDIRECT("'"&amp;$C5&amp;"'!"&amp;"$"&amp;$D5&amp;$Z$1&amp;"")</f>
        <v>0</v>
      </c>
      <c r="AA5" s="275" t="s">
        <v>1</v>
      </c>
      <c r="AB5" s="275" t="s">
        <v>1</v>
      </c>
      <c r="AC5" s="273" t="s">
        <v>1</v>
      </c>
      <c r="AD5" s="274" t="str" cm="1">
        <f t="array" aca="1" ref="AD5" ca="1">INDIRECT("'"&amp;$C5&amp;"'!"&amp;"$"&amp;$D5&amp;$AD$1&amp;"")</f>
        <v>CMS</v>
      </c>
      <c r="AE5" s="275" t="s">
        <v>1</v>
      </c>
      <c r="AF5" s="275" t="s">
        <v>1</v>
      </c>
      <c r="AG5" s="273" t="s">
        <v>1</v>
      </c>
      <c r="AH5" s="272" cm="1">
        <f t="array" aca="1" ref="AH5" ca="1">INDIRECT("'"&amp;$C5&amp;"'!"&amp;"$"&amp;$D5&amp;$AH$1&amp;"")</f>
        <v>0</v>
      </c>
      <c r="AI5" s="275" t="s">
        <v>1</v>
      </c>
      <c r="AJ5" s="275" t="s">
        <v>1</v>
      </c>
      <c r="AK5" s="273" t="s">
        <v>1</v>
      </c>
      <c r="AL5" s="272">
        <v>11.6</v>
      </c>
      <c r="AM5" s="276">
        <v>70.900000000000006</v>
      </c>
      <c r="AN5" s="272" cm="1">
        <f t="array" aca="1" ref="AN5" ca="1">INDIRECT("'"&amp;$C5&amp;"'!"&amp;"$"&amp;$D5&amp;$AL$1&amp;"")</f>
        <v>0</v>
      </c>
      <c r="AO5" s="275" t="s">
        <v>1</v>
      </c>
      <c r="AP5" s="273" t="s">
        <v>1</v>
      </c>
      <c r="AQ5" s="274" cm="1">
        <f t="array" aca="1" ref="AQ5" ca="1">INDIRECT("'"&amp;$C5&amp;"'!"&amp;"$"&amp;$D5&amp;$AQ$1&amp;"")</f>
        <v>2.5</v>
      </c>
      <c r="AR5" s="275">
        <v>0.98</v>
      </c>
      <c r="AS5" s="273">
        <v>0.38</v>
      </c>
      <c r="AT5" s="272">
        <v>13.92</v>
      </c>
      <c r="AU5" s="276">
        <v>70.8</v>
      </c>
      <c r="AV5" s="275" cm="1">
        <f t="array" aca="1" ref="AV5" ca="1">INDIRECT("'"&amp;$C5&amp;"'!"&amp;"$"&amp;$D5&amp;$AV$1&amp;"")</f>
        <v>0</v>
      </c>
      <c r="AW5" s="274" t="s">
        <v>1</v>
      </c>
      <c r="AX5" s="275" t="s">
        <v>1</v>
      </c>
      <c r="AY5" s="273" t="s">
        <v>1</v>
      </c>
      <c r="AZ5" s="275" cm="1">
        <f t="array" aca="1" ref="AZ5" ca="1">INDIRECT("'"&amp;$C5&amp;"'!"&amp;"$"&amp;$D5&amp;$AZ$1&amp;"")</f>
        <v>6.6</v>
      </c>
      <c r="BA5" s="274" t="s">
        <v>1</v>
      </c>
      <c r="BB5" s="275">
        <v>0.98</v>
      </c>
      <c r="BC5" s="273">
        <v>1.37</v>
      </c>
      <c r="BD5" s="277">
        <v>14.1</v>
      </c>
      <c r="BE5" s="276">
        <v>71.78</v>
      </c>
      <c r="BF5" s="277" cm="1">
        <f t="array" aca="1" ref="BF5" ca="1">INDIRECT("'"&amp;$C5&amp;"'!"&amp;"$"&amp;$D5&amp;$BF$1&amp;"")</f>
        <v>14.02</v>
      </c>
      <c r="BG5" s="275">
        <v>1</v>
      </c>
      <c r="BH5" s="273">
        <v>1.27</v>
      </c>
      <c r="BI5" s="304">
        <v>68.900000000000006</v>
      </c>
      <c r="BJ5" s="272" cm="1">
        <f t="array" aca="1" ref="BJ5" ca="1">INDIRECT("'"&amp;$C5&amp;"'!"&amp;"$"&amp;$D5&amp;$BI$1&amp;"")</f>
        <v>0</v>
      </c>
      <c r="BK5" s="274" t="s">
        <v>1</v>
      </c>
      <c r="BL5" s="273" t="s">
        <v>1</v>
      </c>
      <c r="BM5" s="277" cm="1">
        <f t="array" aca="1" ref="BM5" ca="1">INDIRECT("'"&amp;$C5&amp;"'!"&amp;"$"&amp;$D5&amp;$BM$1&amp;"")</f>
        <v>1.02</v>
      </c>
      <c r="BN5" s="275"/>
      <c r="BO5" s="275">
        <v>0.99</v>
      </c>
      <c r="BP5" s="273">
        <v>0.15</v>
      </c>
      <c r="BQ5" s="277" cm="1">
        <f t="array" aca="1" ref="BQ5" ca="1">INDIRECT("'"&amp;$C5&amp;"'!"&amp;"$"&amp;$D5&amp;$BQ$1&amp;"")</f>
        <v>0.72</v>
      </c>
      <c r="BR5" s="275"/>
      <c r="BS5" s="275">
        <v>0.97</v>
      </c>
      <c r="BT5" s="273">
        <v>0.18</v>
      </c>
      <c r="BU5" s="358" cm="1">
        <f t="array" aca="1" ref="BU5" ca="1">INDIRECT("'"&amp;$C5&amp;"'!"&amp;"$"&amp;$D5&amp;74&amp;"")</f>
        <v>0</v>
      </c>
      <c r="BV5" s="275"/>
      <c r="BW5" s="275" t="s">
        <v>1</v>
      </c>
      <c r="BX5" s="273" t="s">
        <v>1</v>
      </c>
    </row>
    <row r="6" spans="1:76">
      <c r="A6" s="459">
        <v>45839</v>
      </c>
      <c r="B6" s="345">
        <v>4.1666666666666699E-2</v>
      </c>
      <c r="C6" s="305">
        <v>1</v>
      </c>
      <c r="D6" s="306" t="s">
        <v>143</v>
      </c>
      <c r="E6" s="278">
        <v>14</v>
      </c>
      <c r="F6" s="279">
        <v>70.28</v>
      </c>
      <c r="G6" s="280" t="str" cm="1">
        <f t="array" aca="1" ref="G6" ca="1">INDIRECT("'"&amp;$C6&amp;"'!"&amp;"$"&amp;$D6&amp;$E$1&amp;"")</f>
        <v>CMS</v>
      </c>
      <c r="H6" s="281" t="s">
        <v>1</v>
      </c>
      <c r="I6" s="279" t="s">
        <v>1</v>
      </c>
      <c r="J6" s="280" cm="1">
        <f t="array" aca="1" ref="J6" ca="1">INDIRECT("'"&amp;$C6&amp;"'!"&amp;"$"&amp;$D6&amp;$J$1&amp;"")</f>
        <v>6.6</v>
      </c>
      <c r="K6" s="281"/>
      <c r="L6" s="281">
        <v>0.97</v>
      </c>
      <c r="M6" s="282">
        <v>1.59</v>
      </c>
      <c r="N6" s="278" cm="1">
        <f t="array" aca="1" ref="N6" ca="1">INDIRECT("'"&amp;$C6&amp;"'!"&amp;"$"&amp;$D6&amp;$N$1&amp;"")</f>
        <v>6.6</v>
      </c>
      <c r="O6" s="281"/>
      <c r="P6" s="281">
        <v>0.97</v>
      </c>
      <c r="Q6" s="279">
        <v>1.62</v>
      </c>
      <c r="R6" s="468" cm="1">
        <f t="array" aca="1" ref="R6" ca="1">INDIRECT("'"&amp;$C6&amp;"'!"&amp;"$"&amp;$D6&amp;$R$1&amp;"")</f>
        <v>0</v>
      </c>
      <c r="S6" s="281"/>
      <c r="T6" s="281" t="s">
        <v>1</v>
      </c>
      <c r="U6" s="279" t="s">
        <v>1</v>
      </c>
      <c r="V6" s="280" cm="1">
        <f t="array" aca="1" ref="V6" ca="1">INDIRECT("'"&amp;$C6&amp;"'!"&amp;"$"&amp;$D6&amp;$V$1&amp;"")</f>
        <v>0</v>
      </c>
      <c r="W6" s="281" t="s">
        <v>1</v>
      </c>
      <c r="X6" s="281" t="s">
        <v>1</v>
      </c>
      <c r="Y6" s="282" t="s">
        <v>1</v>
      </c>
      <c r="Z6" s="278" cm="1">
        <f t="array" aca="1" ref="Z6" ca="1">INDIRECT("'"&amp;$C6&amp;"'!"&amp;"$"&amp;$D6&amp;$Z$1&amp;"")</f>
        <v>0</v>
      </c>
      <c r="AA6" s="281" t="s">
        <v>1</v>
      </c>
      <c r="AB6" s="281" t="s">
        <v>1</v>
      </c>
      <c r="AC6" s="279" t="s">
        <v>1</v>
      </c>
      <c r="AD6" s="280" t="str" cm="1">
        <f t="array" aca="1" ref="AD6" ca="1">INDIRECT("'"&amp;$C6&amp;"'!"&amp;"$"&amp;$D6&amp;$AD$1&amp;"")</f>
        <v>CMS</v>
      </c>
      <c r="AE6" s="281" t="s">
        <v>1</v>
      </c>
      <c r="AF6" s="281" t="s">
        <v>1</v>
      </c>
      <c r="AG6" s="282" t="s">
        <v>1</v>
      </c>
      <c r="AH6" s="278" cm="1">
        <f t="array" aca="1" ref="AH6" ca="1">INDIRECT("'"&amp;$C6&amp;"'!"&amp;"$"&amp;$D6&amp;$AH$1&amp;"")</f>
        <v>0</v>
      </c>
      <c r="AI6" s="281" t="s">
        <v>1</v>
      </c>
      <c r="AJ6" s="281" t="s">
        <v>1</v>
      </c>
      <c r="AK6" s="279" t="s">
        <v>1</v>
      </c>
      <c r="AL6" s="278">
        <v>11.6</v>
      </c>
      <c r="AM6" s="282">
        <v>70.900000000000006</v>
      </c>
      <c r="AN6" s="278" cm="1">
        <f t="array" aca="1" ref="AN6" ca="1">INDIRECT("'"&amp;$C6&amp;"'!"&amp;"$"&amp;$D6&amp;$AL$1&amp;"")</f>
        <v>0</v>
      </c>
      <c r="AO6" s="281" t="s">
        <v>1</v>
      </c>
      <c r="AP6" s="279" t="s">
        <v>1</v>
      </c>
      <c r="AQ6" s="280" cm="1">
        <f t="array" aca="1" ref="AQ6" ca="1">INDIRECT("'"&amp;$C6&amp;"'!"&amp;"$"&amp;$D6&amp;$AQ$1&amp;"")</f>
        <v>0</v>
      </c>
      <c r="AR6" s="281" t="s">
        <v>1</v>
      </c>
      <c r="AS6" s="279" t="s">
        <v>1</v>
      </c>
      <c r="AT6" s="278">
        <v>13.92</v>
      </c>
      <c r="AU6" s="282">
        <v>70.8</v>
      </c>
      <c r="AV6" s="281" cm="1">
        <f t="array" aca="1" ref="AV6" ca="1">INDIRECT("'"&amp;$C6&amp;"'!"&amp;"$"&amp;$D6&amp;$AV$1&amp;"")</f>
        <v>0</v>
      </c>
      <c r="AW6" s="280" t="s">
        <v>1</v>
      </c>
      <c r="AX6" s="281" t="s">
        <v>1</v>
      </c>
      <c r="AY6" s="279" t="s">
        <v>1</v>
      </c>
      <c r="AZ6" s="281" cm="1">
        <f t="array" aca="1" ref="AZ6" ca="1">INDIRECT("'"&amp;$C6&amp;"'!"&amp;"$"&amp;$D6&amp;$AZ$1&amp;"")</f>
        <v>6.5</v>
      </c>
      <c r="BA6" s="280" t="s">
        <v>1</v>
      </c>
      <c r="BB6" s="281">
        <v>0.98</v>
      </c>
      <c r="BC6" s="279">
        <v>1.45</v>
      </c>
      <c r="BD6" s="283">
        <v>14.1</v>
      </c>
      <c r="BE6" s="282">
        <v>71.790000000000006</v>
      </c>
      <c r="BF6" s="283" cm="1">
        <f t="array" aca="1" ref="BF6" ca="1">INDIRECT("'"&amp;$C6&amp;"'!"&amp;"$"&amp;$D6&amp;$BF$1&amp;"")</f>
        <v>14.09</v>
      </c>
      <c r="BG6" s="281">
        <v>1</v>
      </c>
      <c r="BH6" s="279">
        <v>1.31</v>
      </c>
      <c r="BI6" s="284">
        <v>69.2</v>
      </c>
      <c r="BJ6" s="278" cm="1">
        <f t="array" aca="1" ref="BJ6" ca="1">INDIRECT("'"&amp;$C6&amp;"'!"&amp;"$"&amp;$D6&amp;$BI$1&amp;"")</f>
        <v>0</v>
      </c>
      <c r="BK6" s="280" t="s">
        <v>1</v>
      </c>
      <c r="BL6" s="279" t="s">
        <v>1</v>
      </c>
      <c r="BM6" s="283" cm="1">
        <f t="array" aca="1" ref="BM6" ca="1">INDIRECT("'"&amp;$C6&amp;"'!"&amp;"$"&amp;$D6&amp;$BM$1&amp;"")</f>
        <v>0.98</v>
      </c>
      <c r="BN6" s="281"/>
      <c r="BO6" s="281">
        <v>0.99</v>
      </c>
      <c r="BP6" s="279">
        <v>0.14000000000000001</v>
      </c>
      <c r="BQ6" s="283" cm="1">
        <f t="array" aca="1" ref="BQ6" ca="1">INDIRECT("'"&amp;$C6&amp;"'!"&amp;"$"&amp;$D6&amp;$BQ$1&amp;"")</f>
        <v>0.7</v>
      </c>
      <c r="BR6" s="281"/>
      <c r="BS6" s="281">
        <v>0.97</v>
      </c>
      <c r="BT6" s="279">
        <v>0.18</v>
      </c>
      <c r="BU6" s="284" cm="1">
        <f t="array" aca="1" ref="BU6" ca="1">INDIRECT("'"&amp;$C6&amp;"'!"&amp;"$"&amp;$D6&amp;74&amp;"")</f>
        <v>0</v>
      </c>
      <c r="BV6" s="281"/>
      <c r="BW6" s="281" t="s">
        <v>1</v>
      </c>
      <c r="BX6" s="279" t="s">
        <v>1</v>
      </c>
    </row>
    <row r="7" spans="1:76">
      <c r="A7" s="459">
        <v>45839</v>
      </c>
      <c r="B7" s="345">
        <v>8.3333333333333301E-2</v>
      </c>
      <c r="C7" s="305">
        <v>1</v>
      </c>
      <c r="D7" s="306" t="s">
        <v>144</v>
      </c>
      <c r="E7" s="285">
        <v>14.1</v>
      </c>
      <c r="F7" s="286">
        <v>70.400000000000006</v>
      </c>
      <c r="G7" s="287" t="str" cm="1">
        <f t="array" aca="1" ref="G7" ca="1">INDIRECT("'"&amp;$C7&amp;"'!"&amp;"$"&amp;$D7&amp;$E$1&amp;"")</f>
        <v>CMS</v>
      </c>
      <c r="H7" s="288" t="s">
        <v>1</v>
      </c>
      <c r="I7" s="286" t="s">
        <v>1</v>
      </c>
      <c r="J7" s="287" cm="1">
        <f t="array" aca="1" ref="J7" ca="1">INDIRECT("'"&amp;$C7&amp;"'!"&amp;"$"&amp;$D7&amp;$J$1&amp;"")</f>
        <v>6.6</v>
      </c>
      <c r="K7" s="288"/>
      <c r="L7" s="288">
        <v>0.97</v>
      </c>
      <c r="M7" s="289">
        <v>1.61</v>
      </c>
      <c r="N7" s="285" cm="1">
        <f t="array" aca="1" ref="N7" ca="1">INDIRECT("'"&amp;$C7&amp;"'!"&amp;"$"&amp;$D7&amp;$N$1&amp;"")</f>
        <v>6.6</v>
      </c>
      <c r="O7" s="288"/>
      <c r="P7" s="288">
        <v>0.98</v>
      </c>
      <c r="Q7" s="286">
        <v>1.63</v>
      </c>
      <c r="R7" s="285" cm="1">
        <f t="array" aca="1" ref="R7" ca="1">INDIRECT("'"&amp;$C7&amp;"'!"&amp;"$"&amp;$D7&amp;$R$1&amp;"")</f>
        <v>0</v>
      </c>
      <c r="S7" s="288"/>
      <c r="T7" s="288" t="s">
        <v>1</v>
      </c>
      <c r="U7" s="286" t="s">
        <v>1</v>
      </c>
      <c r="V7" s="287" cm="1">
        <f t="array" aca="1" ref="V7" ca="1">INDIRECT("'"&amp;$C7&amp;"'!"&amp;"$"&amp;$D7&amp;$V$1&amp;"")</f>
        <v>0</v>
      </c>
      <c r="W7" s="288" t="s">
        <v>1</v>
      </c>
      <c r="X7" s="288" t="s">
        <v>1</v>
      </c>
      <c r="Y7" s="289" t="s">
        <v>1</v>
      </c>
      <c r="Z7" s="285">
        <v>0</v>
      </c>
      <c r="AA7" s="288" t="s">
        <v>1</v>
      </c>
      <c r="AB7" s="288" t="s">
        <v>1</v>
      </c>
      <c r="AC7" s="286" t="s">
        <v>1</v>
      </c>
      <c r="AD7" s="287" t="str" cm="1">
        <f t="array" aca="1" ref="AD7" ca="1">INDIRECT("'"&amp;$C7&amp;"'!"&amp;"$"&amp;$D7&amp;$AD$1&amp;"")</f>
        <v>CMS</v>
      </c>
      <c r="AE7" s="288" t="s">
        <v>1</v>
      </c>
      <c r="AF7" s="288" t="s">
        <v>1</v>
      </c>
      <c r="AG7" s="289" t="s">
        <v>1</v>
      </c>
      <c r="AH7" s="285" cm="1">
        <f t="array" aca="1" ref="AH7" ca="1">INDIRECT("'"&amp;$C7&amp;"'!"&amp;"$"&amp;$D7&amp;$AH$1&amp;"")</f>
        <v>0</v>
      </c>
      <c r="AI7" s="288" t="s">
        <v>1</v>
      </c>
      <c r="AJ7" s="288" t="s">
        <v>1</v>
      </c>
      <c r="AK7" s="289" t="s">
        <v>1</v>
      </c>
      <c r="AL7" s="285" t="s">
        <v>1</v>
      </c>
      <c r="AM7" s="289">
        <v>70.8</v>
      </c>
      <c r="AN7" s="285" cm="1">
        <f t="array" aca="1" ref="AN7" ca="1">INDIRECT("'"&amp;$C7&amp;"'!"&amp;"$"&amp;$D7&amp;$AL$1&amp;"")</f>
        <v>0</v>
      </c>
      <c r="AO7" s="288" t="s">
        <v>1</v>
      </c>
      <c r="AP7" s="286" t="s">
        <v>1</v>
      </c>
      <c r="AQ7" s="287" cm="1">
        <f t="array" aca="1" ref="AQ7" ca="1">INDIRECT("'"&amp;$C7&amp;"'!"&amp;"$"&amp;$D7&amp;$AQ$1&amp;"")</f>
        <v>0</v>
      </c>
      <c r="AR7" s="288" t="s">
        <v>1</v>
      </c>
      <c r="AS7" s="286" t="s">
        <v>1</v>
      </c>
      <c r="AT7" s="285">
        <v>13.89</v>
      </c>
      <c r="AU7" s="289">
        <v>70.599999999999994</v>
      </c>
      <c r="AV7" s="288" cm="1">
        <f t="array" aca="1" ref="AV7" ca="1">INDIRECT("'"&amp;$C7&amp;"'!"&amp;"$"&amp;$D7&amp;$AV$1&amp;"")</f>
        <v>0</v>
      </c>
      <c r="AW7" s="287" t="s">
        <v>1</v>
      </c>
      <c r="AX7" s="288" t="s">
        <v>1</v>
      </c>
      <c r="AY7" s="286" t="s">
        <v>1</v>
      </c>
      <c r="AZ7" s="288" cm="1">
        <f t="array" aca="1" ref="AZ7" ca="1">INDIRECT("'"&amp;$C7&amp;"'!"&amp;"$"&amp;$D7&amp;$AZ$1&amp;"")</f>
        <v>5.31</v>
      </c>
      <c r="BA7" s="287" t="s">
        <v>1</v>
      </c>
      <c r="BB7" s="288">
        <v>0.98</v>
      </c>
      <c r="BC7" s="286">
        <v>1.23</v>
      </c>
      <c r="BD7" s="290">
        <v>14.1</v>
      </c>
      <c r="BE7" s="289">
        <v>71.790000000000006</v>
      </c>
      <c r="BF7" s="290" cm="1">
        <f t="array" aca="1" ref="BF7" ca="1">INDIRECT("'"&amp;$C7&amp;"'!"&amp;"$"&amp;$D7&amp;$BF$1&amp;"")</f>
        <v>14.08</v>
      </c>
      <c r="BG7" s="288">
        <v>1</v>
      </c>
      <c r="BH7" s="286">
        <v>1.29</v>
      </c>
      <c r="BI7" s="291">
        <v>69.3</v>
      </c>
      <c r="BJ7" s="285" cm="1">
        <f t="array" aca="1" ref="BJ7" ca="1">INDIRECT("'"&amp;$C7&amp;"'!"&amp;"$"&amp;$D7&amp;$BI$1&amp;"")</f>
        <v>0</v>
      </c>
      <c r="BK7" s="287" t="s">
        <v>1</v>
      </c>
      <c r="BL7" s="286" t="s">
        <v>1</v>
      </c>
      <c r="BM7" s="290" cm="1">
        <f t="array" aca="1" ref="BM7" ca="1">INDIRECT("'"&amp;$C7&amp;"'!"&amp;"$"&amp;$D7&amp;$BM$1&amp;"")</f>
        <v>0.95</v>
      </c>
      <c r="BN7" s="288"/>
      <c r="BO7" s="288">
        <v>0.99</v>
      </c>
      <c r="BP7" s="286">
        <v>0.13</v>
      </c>
      <c r="BQ7" s="290" cm="1">
        <f t="array" aca="1" ref="BQ7" ca="1">INDIRECT("'"&amp;$C7&amp;"'!"&amp;"$"&amp;$D7&amp;$BQ$1&amp;"")</f>
        <v>0.67</v>
      </c>
      <c r="BR7" s="288"/>
      <c r="BS7" s="288">
        <v>0.97</v>
      </c>
      <c r="BT7" s="286">
        <v>0.17</v>
      </c>
      <c r="BU7" s="291" cm="1">
        <f t="array" aca="1" ref="BU7" ca="1">INDIRECT("'"&amp;$C7&amp;"'!"&amp;"$"&amp;$D7&amp;74&amp;"")</f>
        <v>0</v>
      </c>
      <c r="BV7" s="288"/>
      <c r="BW7" s="288" t="s">
        <v>1</v>
      </c>
      <c r="BX7" s="286" t="s">
        <v>1</v>
      </c>
    </row>
    <row r="8" spans="1:76">
      <c r="A8" s="459">
        <v>45839</v>
      </c>
      <c r="B8" s="345">
        <v>0.125</v>
      </c>
      <c r="C8" s="305">
        <v>1</v>
      </c>
      <c r="D8" s="306" t="s">
        <v>145</v>
      </c>
      <c r="E8" s="278">
        <v>14.1</v>
      </c>
      <c r="F8" s="279">
        <v>70.47</v>
      </c>
      <c r="G8" s="280" t="str" cm="1">
        <f t="array" aca="1" ref="G8" ca="1">INDIRECT("'"&amp;$C8&amp;"'!"&amp;"$"&amp;$D8&amp;$E$1&amp;"")</f>
        <v>CMS</v>
      </c>
      <c r="H8" s="281" t="s">
        <v>1</v>
      </c>
      <c r="I8" s="279" t="s">
        <v>1</v>
      </c>
      <c r="J8" s="280" cm="1">
        <f t="array" aca="1" ref="J8" ca="1">INDIRECT("'"&amp;$C8&amp;"'!"&amp;"$"&amp;$D8&amp;$J$1&amp;"")</f>
        <v>5.6</v>
      </c>
      <c r="K8" s="281"/>
      <c r="L8" s="281">
        <v>0.99</v>
      </c>
      <c r="M8" s="282">
        <v>0.94</v>
      </c>
      <c r="N8" s="278" cm="1">
        <f t="array" aca="1" ref="N8" ca="1">INDIRECT("'"&amp;$C8&amp;"'!"&amp;"$"&amp;$D8&amp;$N$1&amp;"")</f>
        <v>6.5</v>
      </c>
      <c r="O8" s="281"/>
      <c r="P8" s="281">
        <v>0.99</v>
      </c>
      <c r="Q8" s="279">
        <v>1.1399999999999999</v>
      </c>
      <c r="R8" s="468" cm="1">
        <f t="array" aca="1" ref="R8" ca="1">INDIRECT("'"&amp;$C8&amp;"'!"&amp;"$"&amp;$D8&amp;$R$1&amp;"")</f>
        <v>1.5</v>
      </c>
      <c r="S8" s="281"/>
      <c r="T8" s="281">
        <v>0.98</v>
      </c>
      <c r="U8" s="279">
        <v>0.36</v>
      </c>
      <c r="V8" s="280" cm="1">
        <f t="array" aca="1" ref="V8" ca="1">INDIRECT("'"&amp;$C8&amp;"'!"&amp;"$"&amp;$D8&amp;$V$1&amp;"")</f>
        <v>0</v>
      </c>
      <c r="W8" s="281" t="s">
        <v>1</v>
      </c>
      <c r="X8" s="281" t="s">
        <v>1</v>
      </c>
      <c r="Y8" s="282" t="s">
        <v>1</v>
      </c>
      <c r="Z8" s="278" cm="1">
        <f t="array" aca="1" ref="Z8" ca="1">INDIRECT("'"&amp;$C8&amp;"'!"&amp;"$"&amp;$D8&amp;$Z$1&amp;"")</f>
        <v>0</v>
      </c>
      <c r="AA8" s="281" t="s">
        <v>1</v>
      </c>
      <c r="AB8" s="281" t="s">
        <v>1</v>
      </c>
      <c r="AC8" s="279" t="s">
        <v>1</v>
      </c>
      <c r="AD8" s="280" t="str" cm="1">
        <f t="array" aca="1" ref="AD8" ca="1">INDIRECT("'"&amp;$C8&amp;"'!"&amp;"$"&amp;$D8&amp;$AD$1&amp;"")</f>
        <v>CMS</v>
      </c>
      <c r="AE8" s="281" t="s">
        <v>1</v>
      </c>
      <c r="AF8" s="281" t="s">
        <v>1</v>
      </c>
      <c r="AG8" s="282" t="s">
        <v>1</v>
      </c>
      <c r="AH8" s="278" cm="1">
        <f t="array" aca="1" ref="AH8" ca="1">INDIRECT("'"&amp;$C8&amp;"'!"&amp;"$"&amp;$D8&amp;$AH$1&amp;"")</f>
        <v>0</v>
      </c>
      <c r="AI8" s="281" t="s">
        <v>1</v>
      </c>
      <c r="AJ8" s="281" t="s">
        <v>1</v>
      </c>
      <c r="AK8" s="279" t="s">
        <v>1</v>
      </c>
      <c r="AL8" s="278" t="s">
        <v>1</v>
      </c>
      <c r="AM8" s="282">
        <v>70.8</v>
      </c>
      <c r="AN8" s="278" cm="1">
        <f t="array" aca="1" ref="AN8" ca="1">INDIRECT("'"&amp;$C8&amp;"'!"&amp;"$"&amp;$D8&amp;$AL$1&amp;"")</f>
        <v>0</v>
      </c>
      <c r="AO8" s="281" t="s">
        <v>1</v>
      </c>
      <c r="AP8" s="279" t="s">
        <v>1</v>
      </c>
      <c r="AQ8" s="280" cm="1">
        <f t="array" aca="1" ref="AQ8" ca="1">INDIRECT("'"&amp;$C8&amp;"'!"&amp;"$"&amp;$D8&amp;$AQ$1&amp;"")</f>
        <v>0</v>
      </c>
      <c r="AR8" s="281" t="s">
        <v>1</v>
      </c>
      <c r="AS8" s="279" t="s">
        <v>1</v>
      </c>
      <c r="AT8" s="278">
        <v>13.89</v>
      </c>
      <c r="AU8" s="282">
        <v>70.599999999999994</v>
      </c>
      <c r="AV8" s="281" cm="1">
        <f t="array" aca="1" ref="AV8" ca="1">INDIRECT("'"&amp;$C8&amp;"'!"&amp;"$"&amp;$D8&amp;$AV$1&amp;"")</f>
        <v>0</v>
      </c>
      <c r="AW8" s="280" t="s">
        <v>1</v>
      </c>
      <c r="AX8" s="281" t="s">
        <v>1</v>
      </c>
      <c r="AY8" s="279" t="s">
        <v>1</v>
      </c>
      <c r="AZ8" s="281" cm="1">
        <f t="array" aca="1" ref="AZ8" ca="1">INDIRECT("'"&amp;$C8&amp;"'!"&amp;"$"&amp;$D8&amp;$AZ$1&amp;"")</f>
        <v>4.46</v>
      </c>
      <c r="BA8" s="280" t="s">
        <v>1</v>
      </c>
      <c r="BB8" s="281">
        <v>0.97</v>
      </c>
      <c r="BC8" s="279">
        <v>1.21</v>
      </c>
      <c r="BD8" s="283">
        <v>14.09</v>
      </c>
      <c r="BE8" s="282">
        <v>71.73</v>
      </c>
      <c r="BF8" s="283" cm="1">
        <f t="array" aca="1" ref="BF8" ca="1">INDIRECT("'"&amp;$C8&amp;"'!"&amp;"$"&amp;$D8&amp;$BF$1&amp;"")</f>
        <v>14.07</v>
      </c>
      <c r="BG8" s="281">
        <v>1</v>
      </c>
      <c r="BH8" s="279">
        <v>1.27</v>
      </c>
      <c r="BI8" s="284">
        <v>69.3</v>
      </c>
      <c r="BJ8" s="278" cm="1">
        <f t="array" aca="1" ref="BJ8" ca="1">INDIRECT("'"&amp;$C8&amp;"'!"&amp;"$"&amp;$D8&amp;$BI$1&amp;"")</f>
        <v>0</v>
      </c>
      <c r="BK8" s="280" t="s">
        <v>1</v>
      </c>
      <c r="BL8" s="279" t="s">
        <v>1</v>
      </c>
      <c r="BM8" s="283" cm="1">
        <f t="array" aca="1" ref="BM8" ca="1">INDIRECT("'"&amp;$C8&amp;"'!"&amp;"$"&amp;$D8&amp;$BM$1&amp;"")</f>
        <v>0.94</v>
      </c>
      <c r="BN8" s="281"/>
      <c r="BO8" s="281">
        <v>0.99</v>
      </c>
      <c r="BP8" s="279">
        <v>0.13</v>
      </c>
      <c r="BQ8" s="283" cm="1">
        <f t="array" aca="1" ref="BQ8" ca="1">INDIRECT("'"&amp;$C8&amp;"'!"&amp;"$"&amp;$D8&amp;$BQ$1&amp;"")</f>
        <v>0.63</v>
      </c>
      <c r="BR8" s="281"/>
      <c r="BS8" s="281">
        <v>0.96</v>
      </c>
      <c r="BT8" s="279">
        <v>0.17</v>
      </c>
      <c r="BU8" s="284" cm="1">
        <f t="array" aca="1" ref="BU8" ca="1">INDIRECT("'"&amp;$C8&amp;"'!"&amp;"$"&amp;$D8&amp;74&amp;"")</f>
        <v>0</v>
      </c>
      <c r="BV8" s="281"/>
      <c r="BW8" s="281" t="s">
        <v>1</v>
      </c>
      <c r="BX8" s="279" t="s">
        <v>1</v>
      </c>
    </row>
    <row r="9" spans="1:76">
      <c r="A9" s="459">
        <v>45839</v>
      </c>
      <c r="B9" s="345">
        <v>0.16666666666666699</v>
      </c>
      <c r="C9" s="305">
        <v>1</v>
      </c>
      <c r="D9" s="306" t="s">
        <v>146</v>
      </c>
      <c r="E9" s="285">
        <v>14.1</v>
      </c>
      <c r="F9" s="286">
        <v>70.459999999999994</v>
      </c>
      <c r="G9" s="287" t="str" cm="1">
        <f t="array" aca="1" ref="G9" ca="1">INDIRECT("'"&amp;$C9&amp;"'!"&amp;"$"&amp;$D9&amp;$E$1&amp;"")</f>
        <v>CMS</v>
      </c>
      <c r="H9" s="288" t="s">
        <v>1</v>
      </c>
      <c r="I9" s="286" t="s">
        <v>1</v>
      </c>
      <c r="J9" s="287" cm="1">
        <f t="array" aca="1" ref="J9" ca="1">INDIRECT("'"&amp;$C9&amp;"'!"&amp;"$"&amp;$D9&amp;$J$1&amp;"")</f>
        <v>0</v>
      </c>
      <c r="K9" s="288"/>
      <c r="L9" s="288" t="s">
        <v>1</v>
      </c>
      <c r="M9" s="289" t="s">
        <v>1</v>
      </c>
      <c r="N9" s="285" cm="1">
        <f t="array" aca="1" ref="N9" ca="1">INDIRECT("'"&amp;$C9&amp;"'!"&amp;"$"&amp;$D9&amp;$N$1&amp;"")</f>
        <v>6.7</v>
      </c>
      <c r="O9" s="288"/>
      <c r="P9" s="288">
        <v>0.99</v>
      </c>
      <c r="Q9" s="286">
        <v>1.1200000000000001</v>
      </c>
      <c r="R9" s="285" cm="1">
        <f t="array" aca="1" ref="R9" ca="1">INDIRECT("'"&amp;$C9&amp;"'!"&amp;"$"&amp;$D9&amp;$R$1&amp;"")</f>
        <v>6.7</v>
      </c>
      <c r="S9" s="288"/>
      <c r="T9" s="288">
        <v>0.99</v>
      </c>
      <c r="U9" s="286">
        <v>1.1499999999999999</v>
      </c>
      <c r="V9" s="287" cm="1">
        <f t="array" aca="1" ref="V9" ca="1">INDIRECT("'"&amp;$C9&amp;"'!"&amp;"$"&amp;$D9&amp;$V$1&amp;"")</f>
        <v>0</v>
      </c>
      <c r="W9" s="288" t="s">
        <v>1</v>
      </c>
      <c r="X9" s="288" t="s">
        <v>1</v>
      </c>
      <c r="Y9" s="289" t="s">
        <v>1</v>
      </c>
      <c r="Z9" s="285" cm="1">
        <f t="array" aca="1" ref="Z9" ca="1">INDIRECT("'"&amp;$C9&amp;"'!"&amp;"$"&amp;$D9&amp;$Z$1&amp;"")</f>
        <v>0</v>
      </c>
      <c r="AA9" s="288" t="s">
        <v>1</v>
      </c>
      <c r="AB9" s="288" t="s">
        <v>1</v>
      </c>
      <c r="AC9" s="286" t="s">
        <v>1</v>
      </c>
      <c r="AD9" s="287" t="str" cm="1">
        <f t="array" aca="1" ref="AD9" ca="1">INDIRECT("'"&amp;$C9&amp;"'!"&amp;"$"&amp;$D9&amp;$AD$1&amp;"")</f>
        <v>CMS</v>
      </c>
      <c r="AE9" s="288" t="s">
        <v>1</v>
      </c>
      <c r="AF9" s="288" t="s">
        <v>1</v>
      </c>
      <c r="AG9" s="289" t="s">
        <v>1</v>
      </c>
      <c r="AH9" s="285" cm="1">
        <f t="array" aca="1" ref="AH9" ca="1">INDIRECT("'"&amp;$C9&amp;"'!"&amp;"$"&amp;$D9&amp;$AH$1&amp;"")</f>
        <v>0</v>
      </c>
      <c r="AI9" s="288" t="s">
        <v>1</v>
      </c>
      <c r="AJ9" s="288" t="s">
        <v>1</v>
      </c>
      <c r="AK9" s="286" t="s">
        <v>1</v>
      </c>
      <c r="AL9" s="285" t="s">
        <v>1</v>
      </c>
      <c r="AM9" s="289">
        <v>70.7</v>
      </c>
      <c r="AN9" s="285" cm="1">
        <f t="array" aca="1" ref="AN9" ca="1">INDIRECT("'"&amp;$C9&amp;"'!"&amp;"$"&amp;$D9&amp;$AL$1&amp;"")</f>
        <v>0</v>
      </c>
      <c r="AO9" s="288" t="s">
        <v>1</v>
      </c>
      <c r="AP9" s="286" t="s">
        <v>1</v>
      </c>
      <c r="AQ9" s="287" cm="1">
        <f t="array" aca="1" ref="AQ9" ca="1">INDIRECT("'"&amp;$C9&amp;"'!"&amp;"$"&amp;$D9&amp;$AQ$1&amp;"")</f>
        <v>0</v>
      </c>
      <c r="AR9" s="288" t="s">
        <v>1</v>
      </c>
      <c r="AS9" s="286" t="s">
        <v>1</v>
      </c>
      <c r="AT9" s="285">
        <v>13.87</v>
      </c>
      <c r="AU9" s="289">
        <v>70.599999999999994</v>
      </c>
      <c r="AV9" s="288" cm="1">
        <f t="array" aca="1" ref="AV9" ca="1">INDIRECT("'"&amp;$C9&amp;"'!"&amp;"$"&amp;$D9&amp;$AV$1&amp;"")</f>
        <v>0</v>
      </c>
      <c r="AW9" s="287" t="s">
        <v>1</v>
      </c>
      <c r="AX9" s="288" t="s">
        <v>1</v>
      </c>
      <c r="AY9" s="286" t="s">
        <v>1</v>
      </c>
      <c r="AZ9" s="288" cm="1">
        <f t="array" aca="1" ref="AZ9" ca="1">INDIRECT("'"&amp;$C9&amp;"'!"&amp;"$"&amp;$D9&amp;$AZ$1&amp;"")</f>
        <v>3.9</v>
      </c>
      <c r="BA9" s="287" t="s">
        <v>1</v>
      </c>
      <c r="BB9" s="288">
        <v>0.97</v>
      </c>
      <c r="BC9" s="286">
        <v>1.1100000000000001</v>
      </c>
      <c r="BD9" s="290">
        <v>14.08</v>
      </c>
      <c r="BE9" s="289">
        <v>71.75</v>
      </c>
      <c r="BF9" s="290" cm="1">
        <f t="array" aca="1" ref="BF9" ca="1">INDIRECT("'"&amp;$C9&amp;"'!"&amp;"$"&amp;$D9&amp;$BF$1&amp;"")</f>
        <v>14.09</v>
      </c>
      <c r="BG9" s="288">
        <v>1</v>
      </c>
      <c r="BH9" s="286">
        <v>1.25</v>
      </c>
      <c r="BI9" s="291">
        <v>69.400000000000006</v>
      </c>
      <c r="BJ9" s="285" cm="1">
        <f t="array" aca="1" ref="BJ9" ca="1">INDIRECT("'"&amp;$C9&amp;"'!"&amp;"$"&amp;$D9&amp;$BI$1&amp;"")</f>
        <v>0</v>
      </c>
      <c r="BK9" s="287" t="s">
        <v>1</v>
      </c>
      <c r="BL9" s="286" t="s">
        <v>1</v>
      </c>
      <c r="BM9" s="290" cm="1">
        <f t="array" aca="1" ref="BM9" ca="1">INDIRECT("'"&amp;$C9&amp;"'!"&amp;"$"&amp;$D9&amp;$BM$1&amp;"")</f>
        <v>0.91</v>
      </c>
      <c r="BN9" s="288"/>
      <c r="BO9" s="288">
        <v>0.99</v>
      </c>
      <c r="BP9" s="286">
        <v>0.11</v>
      </c>
      <c r="BQ9" s="290" cm="1">
        <f t="array" aca="1" ref="BQ9" ca="1">INDIRECT("'"&amp;$C9&amp;"'!"&amp;"$"&amp;$D9&amp;$BQ$1&amp;"")</f>
        <v>0.64</v>
      </c>
      <c r="BR9" s="288"/>
      <c r="BS9" s="288">
        <v>0.96</v>
      </c>
      <c r="BT9" s="286">
        <v>0.16</v>
      </c>
      <c r="BU9" s="291" cm="1">
        <f t="array" aca="1" ref="BU9" ca="1">INDIRECT("'"&amp;$C9&amp;"'!"&amp;"$"&amp;$D9&amp;74&amp;"")</f>
        <v>0</v>
      </c>
      <c r="BV9" s="288"/>
      <c r="BW9" s="288" t="s">
        <v>1</v>
      </c>
      <c r="BX9" s="286" t="s">
        <v>1</v>
      </c>
    </row>
    <row r="10" spans="1:76">
      <c r="A10" s="459">
        <v>45839</v>
      </c>
      <c r="B10" s="345">
        <v>0.20833333333333301</v>
      </c>
      <c r="C10" s="305">
        <v>1</v>
      </c>
      <c r="D10" s="306" t="s">
        <v>147</v>
      </c>
      <c r="E10" s="278">
        <v>14.1</v>
      </c>
      <c r="F10" s="279">
        <v>70.14</v>
      </c>
      <c r="G10" s="280" t="str" cm="1">
        <f t="array" aca="1" ref="G10" ca="1">INDIRECT("'"&amp;$C10&amp;"'!"&amp;"$"&amp;$D10&amp;$E$1&amp;"")</f>
        <v>CMS</v>
      </c>
      <c r="H10" s="281" t="s">
        <v>1</v>
      </c>
      <c r="I10" s="279" t="s">
        <v>1</v>
      </c>
      <c r="J10" s="280" cm="1">
        <f t="array" aca="1" ref="J10" ca="1">INDIRECT("'"&amp;$C10&amp;"'!"&amp;"$"&amp;$D10&amp;$J$1&amp;"")</f>
        <v>0</v>
      </c>
      <c r="K10" s="281"/>
      <c r="L10" s="281" t="s">
        <v>1</v>
      </c>
      <c r="M10" s="282" t="s">
        <v>1</v>
      </c>
      <c r="N10" s="278" cm="1">
        <f t="array" aca="1" ref="N10" ca="1">INDIRECT("'"&amp;$C10&amp;"'!"&amp;"$"&amp;$D10&amp;$N$1&amp;"")</f>
        <v>6.8</v>
      </c>
      <c r="O10" s="281"/>
      <c r="P10" s="281">
        <v>0.96</v>
      </c>
      <c r="Q10" s="279">
        <v>1.89</v>
      </c>
      <c r="R10" s="468" cm="1">
        <f t="array" aca="1" ref="R10" ca="1">INDIRECT("'"&amp;$C10&amp;"'!"&amp;"$"&amp;$D10&amp;$R$1&amp;"")</f>
        <v>6.8</v>
      </c>
      <c r="S10" s="281"/>
      <c r="T10" s="281">
        <v>0.99</v>
      </c>
      <c r="U10" s="279">
        <v>1.22</v>
      </c>
      <c r="V10" s="280" cm="1">
        <f t="array" aca="1" ref="V10" ca="1">INDIRECT("'"&amp;$C10&amp;"'!"&amp;"$"&amp;$D10&amp;$V$1&amp;"")</f>
        <v>0</v>
      </c>
      <c r="W10" s="281" t="s">
        <v>1</v>
      </c>
      <c r="X10" s="281" t="s">
        <v>1</v>
      </c>
      <c r="Y10" s="282" t="s">
        <v>1</v>
      </c>
      <c r="Z10" s="278" cm="1">
        <f t="array" aca="1" ref="Z10" ca="1">INDIRECT("'"&amp;$C10&amp;"'!"&amp;"$"&amp;$D10&amp;$Z$1&amp;"")</f>
        <v>0</v>
      </c>
      <c r="AA10" s="281" t="s">
        <v>1</v>
      </c>
      <c r="AB10" s="281" t="s">
        <v>1</v>
      </c>
      <c r="AC10" s="279" t="s">
        <v>1</v>
      </c>
      <c r="AD10" s="280" t="str" cm="1">
        <f t="array" aca="1" ref="AD10" ca="1">INDIRECT("'"&amp;$C10&amp;"'!"&amp;"$"&amp;$D10&amp;$AD$1&amp;"")</f>
        <v>CMS</v>
      </c>
      <c r="AE10" s="281" t="s">
        <v>1</v>
      </c>
      <c r="AF10" s="281" t="s">
        <v>1</v>
      </c>
      <c r="AG10" s="282" t="s">
        <v>1</v>
      </c>
      <c r="AH10" s="278" cm="1">
        <f t="array" aca="1" ref="AH10" ca="1">INDIRECT("'"&amp;$C10&amp;"'!"&amp;"$"&amp;$D10&amp;$AH$1&amp;"")</f>
        <v>0</v>
      </c>
      <c r="AI10" s="281" t="s">
        <v>1</v>
      </c>
      <c r="AJ10" s="281" t="s">
        <v>1</v>
      </c>
      <c r="AK10" s="279" t="s">
        <v>1</v>
      </c>
      <c r="AL10" s="278" t="s">
        <v>1</v>
      </c>
      <c r="AM10" s="282">
        <v>70.599999999999994</v>
      </c>
      <c r="AN10" s="278" cm="1">
        <f t="array" aca="1" ref="AN10" ca="1">INDIRECT("'"&amp;$C10&amp;"'!"&amp;"$"&amp;$D10&amp;$AL$1&amp;"")</f>
        <v>0</v>
      </c>
      <c r="AO10" s="281" t="s">
        <v>1</v>
      </c>
      <c r="AP10" s="279" t="s">
        <v>1</v>
      </c>
      <c r="AQ10" s="280" cm="1">
        <f t="array" aca="1" ref="AQ10" ca="1">INDIRECT("'"&amp;$C10&amp;"'!"&amp;"$"&amp;$D10&amp;$AQ$1&amp;"")</f>
        <v>0</v>
      </c>
      <c r="AR10" s="281" t="s">
        <v>1</v>
      </c>
      <c r="AS10" s="279" t="s">
        <v>1</v>
      </c>
      <c r="AT10" s="278">
        <v>13.87</v>
      </c>
      <c r="AU10" s="282">
        <v>70.599999999999994</v>
      </c>
      <c r="AV10" s="281" cm="1">
        <f t="array" aca="1" ref="AV10" ca="1">INDIRECT("'"&amp;$C10&amp;"'!"&amp;"$"&amp;$D10&amp;$AV$1&amp;"")</f>
        <v>0</v>
      </c>
      <c r="AW10" s="280" t="s">
        <v>1</v>
      </c>
      <c r="AX10" s="281" t="s">
        <v>1</v>
      </c>
      <c r="AY10" s="279" t="s">
        <v>1</v>
      </c>
      <c r="AZ10" s="281" cm="1">
        <f t="array" aca="1" ref="AZ10" ca="1">INDIRECT("'"&amp;$C10&amp;"'!"&amp;"$"&amp;$D10&amp;$AZ$1&amp;"")</f>
        <v>6.2</v>
      </c>
      <c r="BA10" s="280" t="s">
        <v>1</v>
      </c>
      <c r="BB10" s="281">
        <v>0.98</v>
      </c>
      <c r="BC10" s="279">
        <v>1.34</v>
      </c>
      <c r="BD10" s="283">
        <v>14.03</v>
      </c>
      <c r="BE10" s="282">
        <v>71.510000000000005</v>
      </c>
      <c r="BF10" s="283" cm="1">
        <f t="array" aca="1" ref="BF10" ca="1">INDIRECT("'"&amp;$C10&amp;"'!"&amp;"$"&amp;$D10&amp;$BF$1&amp;"")</f>
        <v>14.07</v>
      </c>
      <c r="BG10" s="281">
        <v>1</v>
      </c>
      <c r="BH10" s="279">
        <v>1.23</v>
      </c>
      <c r="BI10" s="284">
        <v>69</v>
      </c>
      <c r="BJ10" s="278" cm="1">
        <f t="array" aca="1" ref="BJ10" ca="1">INDIRECT("'"&amp;$C10&amp;"'!"&amp;"$"&amp;$D10&amp;$BI$1&amp;"")</f>
        <v>0</v>
      </c>
      <c r="BK10" s="280" t="s">
        <v>1</v>
      </c>
      <c r="BL10" s="279" t="s">
        <v>1</v>
      </c>
      <c r="BM10" s="283" cm="1">
        <f t="array" aca="1" ref="BM10" ca="1">INDIRECT("'"&amp;$C10&amp;"'!"&amp;"$"&amp;$D10&amp;$BM$1&amp;"")</f>
        <v>1.02</v>
      </c>
      <c r="BN10" s="281"/>
      <c r="BO10" s="281">
        <v>0.99</v>
      </c>
      <c r="BP10" s="279">
        <v>0.12</v>
      </c>
      <c r="BQ10" s="283" cm="1">
        <f t="array" aca="1" ref="BQ10" ca="1">INDIRECT("'"&amp;$C10&amp;"'!"&amp;"$"&amp;$D10&amp;$BQ$1&amp;"")</f>
        <v>0.66</v>
      </c>
      <c r="BR10" s="281"/>
      <c r="BS10" s="281">
        <v>0.97</v>
      </c>
      <c r="BT10" s="279">
        <v>0.16</v>
      </c>
      <c r="BU10" s="284" cm="1">
        <f t="array" aca="1" ref="BU10" ca="1">INDIRECT("'"&amp;$C10&amp;"'!"&amp;"$"&amp;$D10&amp;74&amp;"")</f>
        <v>0</v>
      </c>
      <c r="BV10" s="281"/>
      <c r="BW10" s="281" t="s">
        <v>1</v>
      </c>
      <c r="BX10" s="279" t="s">
        <v>1</v>
      </c>
    </row>
    <row r="11" spans="1:76">
      <c r="A11" s="459">
        <v>45839</v>
      </c>
      <c r="B11" s="345">
        <v>0.25</v>
      </c>
      <c r="C11" s="305">
        <v>1</v>
      </c>
      <c r="D11" s="306" t="s">
        <v>148</v>
      </c>
      <c r="E11" s="285">
        <v>14.1</v>
      </c>
      <c r="F11" s="286">
        <v>69.739999999999995</v>
      </c>
      <c r="G11" s="287" t="str" cm="1">
        <f t="array" aca="1" ref="G11" ca="1">INDIRECT("'"&amp;$C11&amp;"'!"&amp;"$"&amp;$D11&amp;$E$1&amp;"")</f>
        <v>CMS</v>
      </c>
      <c r="H11" s="288" t="s">
        <v>1</v>
      </c>
      <c r="I11" s="286" t="s">
        <v>1</v>
      </c>
      <c r="J11" s="287" cm="1">
        <f t="array" aca="1" ref="J11" ca="1">INDIRECT("'"&amp;$C11&amp;"'!"&amp;"$"&amp;$D11&amp;$J$1&amp;"")</f>
        <v>0</v>
      </c>
      <c r="K11" s="288"/>
      <c r="L11" s="288" t="s">
        <v>1</v>
      </c>
      <c r="M11" s="289" t="s">
        <v>1</v>
      </c>
      <c r="N11" s="285" cm="1">
        <f t="array" aca="1" ref="N11" ca="1">INDIRECT("'"&amp;$C11&amp;"'!"&amp;"$"&amp;$D11&amp;$N$1&amp;"")</f>
        <v>6.8</v>
      </c>
      <c r="O11" s="288"/>
      <c r="P11" s="288">
        <v>0.95</v>
      </c>
      <c r="Q11" s="286">
        <v>2.39</v>
      </c>
      <c r="R11" s="285" cm="1">
        <f t="array" aca="1" ref="R11" ca="1">INDIRECT("'"&amp;$C11&amp;"'!"&amp;"$"&amp;$D11&amp;$R$1&amp;"")</f>
        <v>6.8</v>
      </c>
      <c r="S11" s="288"/>
      <c r="T11" s="288">
        <v>0.98</v>
      </c>
      <c r="U11" s="286">
        <v>1.29</v>
      </c>
      <c r="V11" s="287" cm="1">
        <f t="array" aca="1" ref="V11" ca="1">INDIRECT("'"&amp;$C11&amp;"'!"&amp;"$"&amp;$D11&amp;$V$1&amp;"")</f>
        <v>0</v>
      </c>
      <c r="W11" s="288" t="s">
        <v>1</v>
      </c>
      <c r="X11" s="288" t="s">
        <v>1</v>
      </c>
      <c r="Y11" s="289" t="s">
        <v>1</v>
      </c>
      <c r="Z11" s="285" cm="1">
        <f t="array" aca="1" ref="Z11" ca="1">INDIRECT("'"&amp;$C11&amp;"'!"&amp;"$"&amp;$D11&amp;$Z$1&amp;"")</f>
        <v>0</v>
      </c>
      <c r="AA11" s="288" t="s">
        <v>1</v>
      </c>
      <c r="AB11" s="288" t="s">
        <v>1</v>
      </c>
      <c r="AC11" s="286" t="s">
        <v>1</v>
      </c>
      <c r="AD11" s="287" cm="1">
        <f t="array" aca="1" ref="AD11" ca="1">INDIRECT("'"&amp;$C11&amp;"'!"&amp;"$"&amp;$D11&amp;$AD$1&amp;"")</f>
        <v>0</v>
      </c>
      <c r="AE11" s="288" t="s">
        <v>1</v>
      </c>
      <c r="AF11" s="288" t="s">
        <v>1</v>
      </c>
      <c r="AG11" s="289" t="s">
        <v>1</v>
      </c>
      <c r="AH11" s="285" cm="1">
        <f t="array" aca="1" ref="AH11" ca="1">INDIRECT("'"&amp;$C11&amp;"'!"&amp;"$"&amp;$D11&amp;$AH$1&amp;"")</f>
        <v>0</v>
      </c>
      <c r="AI11" s="288" t="s">
        <v>1</v>
      </c>
      <c r="AJ11" s="288" t="s">
        <v>1</v>
      </c>
      <c r="AK11" s="286" t="s">
        <v>1</v>
      </c>
      <c r="AL11" s="285">
        <v>11.6</v>
      </c>
      <c r="AM11" s="289">
        <v>70.599999999999994</v>
      </c>
      <c r="AN11" s="285" cm="1">
        <f t="array" aca="1" ref="AN11" ca="1">INDIRECT("'"&amp;$C11&amp;"'!"&amp;"$"&amp;$D11&amp;$AL$1&amp;"")</f>
        <v>3.8</v>
      </c>
      <c r="AO11" s="288">
        <v>0.97</v>
      </c>
      <c r="AP11" s="286">
        <v>0.74</v>
      </c>
      <c r="AQ11" s="287" cm="1">
        <f t="array" aca="1" ref="AQ11" ca="1">INDIRECT("'"&amp;$C11&amp;"'!"&amp;"$"&amp;$D11&amp;$AQ$1&amp;"")</f>
        <v>0</v>
      </c>
      <c r="AR11" s="288" t="s">
        <v>1</v>
      </c>
      <c r="AS11" s="286" t="s">
        <v>1</v>
      </c>
      <c r="AT11" s="285">
        <v>13.87</v>
      </c>
      <c r="AU11" s="289">
        <v>70.599999999999994</v>
      </c>
      <c r="AV11" s="288" cm="1">
        <f t="array" aca="1" ref="AV11" ca="1">INDIRECT("'"&amp;$C11&amp;"'!"&amp;"$"&amp;$D11&amp;$AV$1&amp;"")</f>
        <v>0</v>
      </c>
      <c r="AW11" s="287" t="s">
        <v>1</v>
      </c>
      <c r="AX11" s="288" t="s">
        <v>1</v>
      </c>
      <c r="AY11" s="286" t="s">
        <v>1</v>
      </c>
      <c r="AZ11" s="288" cm="1">
        <f t="array" aca="1" ref="AZ11" ca="1">INDIRECT("'"&amp;$C11&amp;"'!"&amp;"$"&amp;$D11&amp;$AZ$1&amp;"")</f>
        <v>7</v>
      </c>
      <c r="BA11" s="287" t="s">
        <v>1</v>
      </c>
      <c r="BB11" s="288">
        <v>0.98</v>
      </c>
      <c r="BC11" s="286">
        <v>1.52</v>
      </c>
      <c r="BD11" s="290">
        <v>14.03</v>
      </c>
      <c r="BE11" s="289">
        <v>71.400000000000006</v>
      </c>
      <c r="BF11" s="290" cm="1">
        <f t="array" aca="1" ref="BF11" ca="1">INDIRECT("'"&amp;$C11&amp;"'!"&amp;"$"&amp;$D11&amp;$BF$1&amp;"")</f>
        <v>14.08</v>
      </c>
      <c r="BG11" s="288">
        <v>1</v>
      </c>
      <c r="BH11" s="286">
        <v>1.29</v>
      </c>
      <c r="BI11" s="291">
        <v>68.599999999999994</v>
      </c>
      <c r="BJ11" s="285" cm="1">
        <f t="array" aca="1" ref="BJ11" ca="1">INDIRECT("'"&amp;$C11&amp;"'!"&amp;"$"&amp;$D11&amp;$BI$1&amp;"")</f>
        <v>0</v>
      </c>
      <c r="BK11" s="287" t="s">
        <v>1</v>
      </c>
      <c r="BL11" s="286" t="s">
        <v>1</v>
      </c>
      <c r="BM11" s="290" cm="1">
        <f t="array" aca="1" ref="BM11" ca="1">INDIRECT("'"&amp;$C11&amp;"'!"&amp;"$"&amp;$D11&amp;$BM$1&amp;"")</f>
        <v>1.17</v>
      </c>
      <c r="BN11" s="288"/>
      <c r="BO11" s="288">
        <v>0.99</v>
      </c>
      <c r="BP11" s="286">
        <v>0.12</v>
      </c>
      <c r="BQ11" s="290" cm="1">
        <f t="array" aca="1" ref="BQ11" ca="1">INDIRECT("'"&amp;$C11&amp;"'!"&amp;"$"&amp;$D11&amp;$BQ$1&amp;"")</f>
        <v>0.74</v>
      </c>
      <c r="BR11" s="288"/>
      <c r="BS11" s="288">
        <v>0.97</v>
      </c>
      <c r="BT11" s="286">
        <v>0.17</v>
      </c>
      <c r="BU11" s="291" cm="1">
        <f t="array" aca="1" ref="BU11" ca="1">INDIRECT("'"&amp;$C11&amp;"'!"&amp;"$"&amp;$D11&amp;74&amp;"")</f>
        <v>0</v>
      </c>
      <c r="BV11" s="288"/>
      <c r="BW11" s="288" t="s">
        <v>1</v>
      </c>
      <c r="BX11" s="286" t="s">
        <v>1</v>
      </c>
    </row>
    <row r="12" spans="1:76">
      <c r="A12" s="459">
        <v>45839</v>
      </c>
      <c r="B12" s="345">
        <v>0.29166666666666702</v>
      </c>
      <c r="C12" s="305">
        <v>1</v>
      </c>
      <c r="D12" s="306" t="s">
        <v>149</v>
      </c>
      <c r="E12" s="278">
        <v>14.1</v>
      </c>
      <c r="F12" s="279">
        <v>69.81</v>
      </c>
      <c r="G12" s="280" t="str" cm="1">
        <f t="array" aca="1" ref="G12" ca="1">INDIRECT("'"&amp;$C12&amp;"'!"&amp;"$"&amp;$D12&amp;$E$1&amp;"")</f>
        <v>CMS</v>
      </c>
      <c r="H12" s="281" t="s">
        <v>1</v>
      </c>
      <c r="I12" s="279" t="s">
        <v>1</v>
      </c>
      <c r="J12" s="280" cm="1">
        <f t="array" aca="1" ref="J12" ca="1">INDIRECT("'"&amp;$C12&amp;"'!"&amp;"$"&amp;$D12&amp;$J$1&amp;"")</f>
        <v>0</v>
      </c>
      <c r="K12" s="281"/>
      <c r="L12" s="281" t="s">
        <v>1</v>
      </c>
      <c r="M12" s="282" t="s">
        <v>1</v>
      </c>
      <c r="N12" s="278" cm="1">
        <f t="array" aca="1" ref="N12" ca="1">INDIRECT("'"&amp;$C12&amp;"'!"&amp;"$"&amp;$D12&amp;$N$1&amp;"")</f>
        <v>6.5</v>
      </c>
      <c r="O12" s="281"/>
      <c r="P12" s="281">
        <v>0.96</v>
      </c>
      <c r="Q12" s="279">
        <v>1.89</v>
      </c>
      <c r="R12" s="468" cm="1">
        <f t="array" aca="1" ref="R12" ca="1">INDIRECT("'"&amp;$C12&amp;"'!"&amp;"$"&amp;$D12&amp;$R$1&amp;"")</f>
        <v>6.7</v>
      </c>
      <c r="S12" s="281"/>
      <c r="T12" s="281">
        <v>0.96</v>
      </c>
      <c r="U12" s="279">
        <v>1.73</v>
      </c>
      <c r="V12" s="280" cm="1">
        <f t="array" aca="1" ref="V12" ca="1">INDIRECT("'"&amp;$C12&amp;"'!"&amp;"$"&amp;$D12&amp;$V$1&amp;"")</f>
        <v>0</v>
      </c>
      <c r="W12" s="281" t="s">
        <v>1</v>
      </c>
      <c r="X12" s="281" t="s">
        <v>1</v>
      </c>
      <c r="Y12" s="282" t="s">
        <v>1</v>
      </c>
      <c r="Z12" s="278" cm="1">
        <f t="array" aca="1" ref="Z12" ca="1">INDIRECT("'"&amp;$C12&amp;"'!"&amp;"$"&amp;$D12&amp;$Z$1&amp;"")</f>
        <v>0</v>
      </c>
      <c r="AA12" s="281" t="s">
        <v>1</v>
      </c>
      <c r="AB12" s="281" t="s">
        <v>1</v>
      </c>
      <c r="AC12" s="279" t="s">
        <v>1</v>
      </c>
      <c r="AD12" s="280" cm="1">
        <f t="array" aca="1" ref="AD12" ca="1">INDIRECT("'"&amp;$C12&amp;"'!"&amp;"$"&amp;$D12&amp;$AD$1&amp;"")</f>
        <v>0</v>
      </c>
      <c r="AE12" s="281" t="s">
        <v>1</v>
      </c>
      <c r="AF12" s="281" t="s">
        <v>1</v>
      </c>
      <c r="AG12" s="282" t="s">
        <v>1</v>
      </c>
      <c r="AH12" s="278" cm="1">
        <f t="array" aca="1" ref="AH12" ca="1">INDIRECT("'"&amp;$C12&amp;"'!"&amp;"$"&amp;$D12&amp;$AH$1&amp;"")</f>
        <v>0</v>
      </c>
      <c r="AI12" s="281" t="s">
        <v>1</v>
      </c>
      <c r="AJ12" s="281" t="s">
        <v>1</v>
      </c>
      <c r="AK12" s="279" t="s">
        <v>1</v>
      </c>
      <c r="AL12" s="278">
        <v>11.5</v>
      </c>
      <c r="AM12" s="282">
        <v>70.5</v>
      </c>
      <c r="AN12" s="278" cm="1">
        <f t="array" aca="1" ref="AN12" ca="1">INDIRECT("'"&amp;$C12&amp;"'!"&amp;"$"&amp;$D12&amp;$AL$1&amp;"")</f>
        <v>1.7</v>
      </c>
      <c r="AO12" s="281">
        <v>0.93</v>
      </c>
      <c r="AP12" s="279">
        <v>0.69</v>
      </c>
      <c r="AQ12" s="280" cm="1">
        <f t="array" aca="1" ref="AQ12" ca="1">INDIRECT("'"&amp;$C12&amp;"'!"&amp;"$"&amp;$D12&amp;$AQ$1&amp;"")</f>
        <v>0</v>
      </c>
      <c r="AR12" s="281" t="s">
        <v>1</v>
      </c>
      <c r="AS12" s="279" t="s">
        <v>1</v>
      </c>
      <c r="AT12" s="278">
        <v>13.87</v>
      </c>
      <c r="AU12" s="282">
        <v>70.599999999999994</v>
      </c>
      <c r="AV12" s="281" cm="1">
        <f t="array" aca="1" ref="AV12" ca="1">INDIRECT("'"&amp;$C12&amp;"'!"&amp;"$"&amp;$D12&amp;$AV$1&amp;"")</f>
        <v>0</v>
      </c>
      <c r="AW12" s="280" t="s">
        <v>1</v>
      </c>
      <c r="AX12" s="281" t="s">
        <v>1</v>
      </c>
      <c r="AY12" s="279" t="s">
        <v>1</v>
      </c>
      <c r="AZ12" s="281" cm="1">
        <f t="array" aca="1" ref="AZ12" ca="1">INDIRECT("'"&amp;$C12&amp;"'!"&amp;"$"&amp;$D12&amp;$AZ$1&amp;"")</f>
        <v>6.8</v>
      </c>
      <c r="BA12" s="280" t="s">
        <v>1</v>
      </c>
      <c r="BB12" s="281">
        <v>0.98</v>
      </c>
      <c r="BC12" s="279">
        <v>1.64</v>
      </c>
      <c r="BD12" s="283">
        <v>13.99</v>
      </c>
      <c r="BE12" s="282">
        <v>71.260000000000005</v>
      </c>
      <c r="BF12" s="283" cm="1">
        <f t="array" aca="1" ref="BF12" ca="1">INDIRECT("'"&amp;$C12&amp;"'!"&amp;"$"&amp;$D12&amp;$BF$1&amp;"")</f>
        <v>14.1</v>
      </c>
      <c r="BG12" s="281">
        <v>1</v>
      </c>
      <c r="BH12" s="279">
        <v>1.33</v>
      </c>
      <c r="BI12" s="284">
        <v>68.5</v>
      </c>
      <c r="BJ12" s="278" cm="1">
        <f t="array" aca="1" ref="BJ12" ca="1">INDIRECT("'"&amp;$C12&amp;"'!"&amp;"$"&amp;$D12&amp;$BI$1&amp;"")</f>
        <v>0</v>
      </c>
      <c r="BK12" s="280" t="s">
        <v>1</v>
      </c>
      <c r="BL12" s="279" t="s">
        <v>1</v>
      </c>
      <c r="BM12" s="283" cm="1">
        <f t="array" aca="1" ref="BM12" ca="1">INDIRECT("'"&amp;$C12&amp;"'!"&amp;"$"&amp;$D12&amp;$BM$1&amp;"")</f>
        <v>1.1399999999999999</v>
      </c>
      <c r="BN12" s="281"/>
      <c r="BO12" s="281">
        <v>0.99</v>
      </c>
      <c r="BP12" s="279">
        <v>0.13</v>
      </c>
      <c r="BQ12" s="284" cm="1">
        <f t="array" aca="1" ref="BQ12" ca="1">INDIRECT("'"&amp;$C12&amp;"'!"&amp;"$"&amp;$D12&amp;$BQ$1&amp;"")</f>
        <v>0.73</v>
      </c>
      <c r="BR12" s="281"/>
      <c r="BS12" s="281">
        <v>0.96</v>
      </c>
      <c r="BT12" s="279">
        <v>0.19</v>
      </c>
      <c r="BU12" s="284" cm="1">
        <f t="array" aca="1" ref="BU12" ca="1">INDIRECT("'"&amp;$C12&amp;"'!"&amp;"$"&amp;$D12&amp;74&amp;"")</f>
        <v>0</v>
      </c>
      <c r="BV12" s="281"/>
      <c r="BW12" s="281" t="s">
        <v>1</v>
      </c>
      <c r="BX12" s="279" t="s">
        <v>1</v>
      </c>
    </row>
    <row r="13" spans="1:76">
      <c r="A13" s="459">
        <v>45839</v>
      </c>
      <c r="B13" s="345">
        <v>0.33333333333333398</v>
      </c>
      <c r="C13" s="305">
        <v>1</v>
      </c>
      <c r="D13" s="306" t="s">
        <v>150</v>
      </c>
      <c r="E13" s="285">
        <v>13.9</v>
      </c>
      <c r="F13" s="286">
        <v>69.040000000000006</v>
      </c>
      <c r="G13" s="287" t="str" cm="1">
        <f t="array" aca="1" ref="G13" ca="1">INDIRECT("'"&amp;$C13&amp;"'!"&amp;"$"&amp;$D13&amp;$E$1&amp;"")</f>
        <v>CMS</v>
      </c>
      <c r="H13" s="288" t="s">
        <v>1</v>
      </c>
      <c r="I13" s="286" t="s">
        <v>1</v>
      </c>
      <c r="J13" s="287" cm="1">
        <f t="array" aca="1" ref="J13" ca="1">INDIRECT("'"&amp;$C13&amp;"'!"&amp;"$"&amp;$D13&amp;$J$1&amp;"")</f>
        <v>1.5</v>
      </c>
      <c r="K13" s="288"/>
      <c r="L13" s="288">
        <v>0.95</v>
      </c>
      <c r="M13" s="289">
        <v>0.49</v>
      </c>
      <c r="N13" s="285" cm="1">
        <f t="array" aca="1" ref="N13" ca="1">INDIRECT("'"&amp;$C13&amp;"'!"&amp;"$"&amp;$D13&amp;$N$1&amp;"")</f>
        <v>7.2</v>
      </c>
      <c r="O13" s="288"/>
      <c r="P13" s="288">
        <v>0.92</v>
      </c>
      <c r="Q13" s="286">
        <v>3.1</v>
      </c>
      <c r="R13" s="285" cm="1">
        <f t="array" aca="1" ref="R13" ca="1">INDIRECT("'"&amp;$C13&amp;"'!"&amp;"$"&amp;$D13&amp;$R$1&amp;"")</f>
        <v>7.2</v>
      </c>
      <c r="S13" s="288"/>
      <c r="T13" s="288">
        <v>0.97</v>
      </c>
      <c r="U13" s="286">
        <v>1.87</v>
      </c>
      <c r="V13" s="287" cm="1">
        <f t="array" aca="1" ref="V13" ca="1">INDIRECT("'"&amp;$C13&amp;"'!"&amp;"$"&amp;$D13&amp;$V$1&amp;"")</f>
        <v>0</v>
      </c>
      <c r="W13" s="288" t="s">
        <v>1</v>
      </c>
      <c r="X13" s="288" t="s">
        <v>1</v>
      </c>
      <c r="Y13" s="289" t="s">
        <v>1</v>
      </c>
      <c r="Z13" s="285" cm="1">
        <f t="array" aca="1" ref="Z13" ca="1">INDIRECT("'"&amp;$C13&amp;"'!"&amp;"$"&amp;$D13&amp;$Z$1&amp;"")</f>
        <v>0</v>
      </c>
      <c r="AA13" s="288" t="s">
        <v>1</v>
      </c>
      <c r="AB13" s="288" t="s">
        <v>1</v>
      </c>
      <c r="AC13" s="286" t="s">
        <v>1</v>
      </c>
      <c r="AD13" s="287" cm="1">
        <f t="array" aca="1" ref="AD13" ca="1">INDIRECT("'"&amp;$C13&amp;"'!"&amp;"$"&amp;$D13&amp;$AD$1&amp;"")</f>
        <v>0</v>
      </c>
      <c r="AE13" s="288" t="s">
        <v>1</v>
      </c>
      <c r="AF13" s="288" t="s">
        <v>1</v>
      </c>
      <c r="AG13" s="289" t="s">
        <v>1</v>
      </c>
      <c r="AH13" s="285" cm="1">
        <f t="array" aca="1" ref="AH13" ca="1">INDIRECT("'"&amp;$C13&amp;"'!"&amp;"$"&amp;$D13&amp;$AH$1&amp;"")</f>
        <v>0</v>
      </c>
      <c r="AI13" s="288" t="s">
        <v>1</v>
      </c>
      <c r="AJ13" s="288" t="s">
        <v>1</v>
      </c>
      <c r="AK13" s="286" t="s">
        <v>1</v>
      </c>
      <c r="AL13" s="285">
        <v>11.5</v>
      </c>
      <c r="AM13" s="289">
        <v>70.5</v>
      </c>
      <c r="AN13" s="285" cm="1">
        <f t="array" aca="1" ref="AN13" ca="1">INDIRECT("'"&amp;$C13&amp;"'!"&amp;"$"&amp;$D13&amp;$AL$1&amp;"")</f>
        <v>4</v>
      </c>
      <c r="AO13" s="288">
        <v>0.98</v>
      </c>
      <c r="AP13" s="286">
        <v>0.73</v>
      </c>
      <c r="AQ13" s="287" cm="1">
        <f t="array" aca="1" ref="AQ13" ca="1">INDIRECT("'"&amp;$C13&amp;"'!"&amp;"$"&amp;$D13&amp;$AQ$1&amp;"")</f>
        <v>0</v>
      </c>
      <c r="AR13" s="288" t="s">
        <v>1</v>
      </c>
      <c r="AS13" s="286" t="s">
        <v>1</v>
      </c>
      <c r="AT13" s="285">
        <v>13.89</v>
      </c>
      <c r="AU13" s="289">
        <v>70.7</v>
      </c>
      <c r="AV13" s="288" cm="1">
        <f t="array" aca="1" ref="AV13" ca="1">INDIRECT("'"&amp;$C13&amp;"'!"&amp;"$"&amp;$D13&amp;$AV$1&amp;"")</f>
        <v>0</v>
      </c>
      <c r="AW13" s="287" t="s">
        <v>1</v>
      </c>
      <c r="AX13" s="288" t="s">
        <v>1</v>
      </c>
      <c r="AY13" s="286" t="s">
        <v>1</v>
      </c>
      <c r="AZ13" s="288" cm="1">
        <f t="array" aca="1" ref="AZ13" ca="1">INDIRECT("'"&amp;$C13&amp;"'!"&amp;"$"&amp;$D13&amp;$AZ$1&amp;"")</f>
        <v>7.21</v>
      </c>
      <c r="BA13" s="287" t="s">
        <v>1</v>
      </c>
      <c r="BB13" s="288">
        <v>0.96</v>
      </c>
      <c r="BC13" s="286">
        <v>2.13</v>
      </c>
      <c r="BD13" s="290">
        <v>14.13</v>
      </c>
      <c r="BE13" s="289">
        <v>71.5</v>
      </c>
      <c r="BF13" s="290" cm="1">
        <f t="array" aca="1" ref="BF13" ca="1">INDIRECT("'"&amp;$C13&amp;"'!"&amp;"$"&amp;$D13&amp;$BF$1&amp;"")</f>
        <v>14.11</v>
      </c>
      <c r="BG13" s="288">
        <v>0.99</v>
      </c>
      <c r="BH13" s="286">
        <v>2.3199999999999998</v>
      </c>
      <c r="BI13" s="291">
        <v>68.400000000000006</v>
      </c>
      <c r="BJ13" s="285" cm="1">
        <f t="array" aca="1" ref="BJ13" ca="1">INDIRECT("'"&amp;$C13&amp;"'!"&amp;"$"&amp;$D13&amp;$BI$1&amp;"")</f>
        <v>0.8</v>
      </c>
      <c r="BK13" s="287">
        <v>0.97</v>
      </c>
      <c r="BL13" s="286">
        <v>0.2</v>
      </c>
      <c r="BM13" s="290" cm="1">
        <f t="array" aca="1" ref="BM13" ca="1">INDIRECT("'"&amp;$C13&amp;"'!"&amp;"$"&amp;$D13&amp;$BM$1&amp;"")</f>
        <v>1.06</v>
      </c>
      <c r="BN13" s="288"/>
      <c r="BO13" s="288">
        <v>0.99</v>
      </c>
      <c r="BP13" s="286">
        <v>0.13</v>
      </c>
      <c r="BQ13" s="291" cm="1">
        <f t="array" aca="1" ref="BQ13" ca="1">INDIRECT("'"&amp;$C13&amp;"'!"&amp;"$"&amp;$D13&amp;$BQ$1&amp;"")</f>
        <v>0.72</v>
      </c>
      <c r="BR13" s="288"/>
      <c r="BS13" s="288">
        <v>0.96</v>
      </c>
      <c r="BT13" s="286">
        <v>0.2</v>
      </c>
      <c r="BU13" s="291" cm="1">
        <f t="array" aca="1" ref="BU13" ca="1">INDIRECT("'"&amp;$C13&amp;"'!"&amp;"$"&amp;$D13&amp;74&amp;"")</f>
        <v>0</v>
      </c>
      <c r="BV13" s="288"/>
      <c r="BW13" s="288" t="s">
        <v>1</v>
      </c>
      <c r="BX13" s="286" t="s">
        <v>1</v>
      </c>
    </row>
    <row r="14" spans="1:76">
      <c r="A14" s="459">
        <v>45839</v>
      </c>
      <c r="B14" s="345">
        <v>0.375</v>
      </c>
      <c r="C14" s="305">
        <v>1</v>
      </c>
      <c r="D14" s="306" t="s">
        <v>151</v>
      </c>
      <c r="E14" s="278">
        <v>13.9</v>
      </c>
      <c r="F14" s="279">
        <v>69.099999999999994</v>
      </c>
      <c r="G14" s="280" t="str" cm="1">
        <f t="array" aca="1" ref="G14" ca="1">INDIRECT("'"&amp;$C14&amp;"'!"&amp;"$"&amp;$D14&amp;$E$1&amp;"")</f>
        <v>CMS</v>
      </c>
      <c r="H14" s="281" t="s">
        <v>1</v>
      </c>
      <c r="I14" s="279" t="s">
        <v>1</v>
      </c>
      <c r="J14" s="280" cm="1">
        <f t="array" aca="1" ref="J14" ca="1">INDIRECT("'"&amp;$C14&amp;"'!"&amp;"$"&amp;$D14&amp;$J$1&amp;"")</f>
        <v>6.6</v>
      </c>
      <c r="K14" s="281"/>
      <c r="L14" s="281">
        <v>0.95</v>
      </c>
      <c r="M14" s="282">
        <v>2.2000000000000002</v>
      </c>
      <c r="N14" s="278" cm="1">
        <f t="array" aca="1" ref="N14" ca="1">INDIRECT("'"&amp;$C14&amp;"'!"&amp;"$"&amp;$D14&amp;$N$1&amp;"")</f>
        <v>6.6</v>
      </c>
      <c r="O14" s="281"/>
      <c r="P14" s="281">
        <v>0.95</v>
      </c>
      <c r="Q14" s="279">
        <v>2.2000000000000002</v>
      </c>
      <c r="R14" s="468" cm="1">
        <f t="array" aca="1" ref="R14" ca="1">INDIRECT("'"&amp;$C14&amp;"'!"&amp;"$"&amp;$D14&amp;$R$1&amp;"")</f>
        <v>6.6</v>
      </c>
      <c r="S14" s="281"/>
      <c r="T14" s="281">
        <v>0.95</v>
      </c>
      <c r="U14" s="279">
        <v>2.2000000000000002</v>
      </c>
      <c r="V14" s="280" cm="1">
        <f t="array" aca="1" ref="V14" ca="1">INDIRECT("'"&amp;$C14&amp;"'!"&amp;"$"&amp;$D14&amp;$V$1&amp;"")</f>
        <v>0</v>
      </c>
      <c r="W14" s="281" t="s">
        <v>1</v>
      </c>
      <c r="X14" s="281" t="s">
        <v>1</v>
      </c>
      <c r="Y14" s="282" t="s">
        <v>1</v>
      </c>
      <c r="Z14" s="278" cm="1">
        <f t="array" aca="1" ref="Z14" ca="1">INDIRECT("'"&amp;$C14&amp;"'!"&amp;"$"&amp;$D14&amp;$Z$1&amp;"")</f>
        <v>0</v>
      </c>
      <c r="AA14" s="281" t="s">
        <v>1</v>
      </c>
      <c r="AB14" s="281" t="s">
        <v>1</v>
      </c>
      <c r="AC14" s="279" t="s">
        <v>1</v>
      </c>
      <c r="AD14" s="280" cm="1">
        <f t="array" aca="1" ref="AD14" ca="1">INDIRECT("'"&amp;$C14&amp;"'!"&amp;"$"&amp;$D14&amp;$AD$1&amp;"")</f>
        <v>2.2999999999999998</v>
      </c>
      <c r="AE14" s="281">
        <f>3.8*3.48</f>
        <v>13.224</v>
      </c>
      <c r="AF14" s="281">
        <v>0.95</v>
      </c>
      <c r="AG14" s="282">
        <v>1</v>
      </c>
      <c r="AH14" s="278" cm="1">
        <f t="array" aca="1" ref="AH14" ca="1">INDIRECT("'"&amp;$C14&amp;"'!"&amp;"$"&amp;$D14&amp;$AH$1&amp;"")</f>
        <v>0</v>
      </c>
      <c r="AI14" s="281" t="s">
        <v>1</v>
      </c>
      <c r="AJ14" s="281" t="s">
        <v>1</v>
      </c>
      <c r="AK14" s="279" t="s">
        <v>1</v>
      </c>
      <c r="AL14" s="278">
        <v>11.5</v>
      </c>
      <c r="AM14" s="282">
        <v>70</v>
      </c>
      <c r="AN14" s="278" cm="1">
        <f t="array" aca="1" ref="AN14" ca="1">INDIRECT("'"&amp;$C14&amp;"'!"&amp;"$"&amp;$D14&amp;$AL$1&amp;"")</f>
        <v>3.8</v>
      </c>
      <c r="AO14" s="281">
        <v>0.97</v>
      </c>
      <c r="AP14" s="279">
        <v>0.9</v>
      </c>
      <c r="AQ14" s="280" cm="1">
        <f t="array" aca="1" ref="AQ14" ca="1">INDIRECT("'"&amp;$C14&amp;"'!"&amp;"$"&amp;$D14&amp;$AQ$1&amp;"")</f>
        <v>0</v>
      </c>
      <c r="AR14" s="281" t="s">
        <v>1</v>
      </c>
      <c r="AS14" s="279" t="s">
        <v>1</v>
      </c>
      <c r="AT14" s="278">
        <v>13.9</v>
      </c>
      <c r="AU14" s="282">
        <v>70.5</v>
      </c>
      <c r="AV14" s="281" cm="1">
        <f t="array" aca="1" ref="AV14" ca="1">INDIRECT("'"&amp;$C14&amp;"'!"&amp;"$"&amp;$D14&amp;$AV$1&amp;"")</f>
        <v>0</v>
      </c>
      <c r="AW14" s="280" t="s">
        <v>1</v>
      </c>
      <c r="AX14" s="281" t="s">
        <v>1</v>
      </c>
      <c r="AY14" s="279" t="s">
        <v>1</v>
      </c>
      <c r="AZ14" s="281" cm="1">
        <f t="array" aca="1" ref="AZ14" ca="1">INDIRECT("'"&amp;$C14&amp;"'!"&amp;"$"&amp;$D14&amp;$AZ$1&amp;"")</f>
        <v>7</v>
      </c>
      <c r="BA14" s="280" t="s">
        <v>1</v>
      </c>
      <c r="BB14" s="281">
        <v>0.94</v>
      </c>
      <c r="BC14" s="279">
        <v>2.5499999999999998</v>
      </c>
      <c r="BD14" s="283">
        <v>14.01</v>
      </c>
      <c r="BE14" s="282">
        <v>70.94</v>
      </c>
      <c r="BF14" s="283" cm="1">
        <f t="array" aca="1" ref="BF14" ca="1">INDIRECT("'"&amp;$C14&amp;"'!"&amp;"$"&amp;$D14&amp;$BF$1&amp;"")</f>
        <v>14.09</v>
      </c>
      <c r="BG14" s="281">
        <v>0.99</v>
      </c>
      <c r="BH14" s="279">
        <v>2.4</v>
      </c>
      <c r="BI14" s="284">
        <v>67.900000000000006</v>
      </c>
      <c r="BJ14" s="278" cm="1">
        <f t="array" aca="1" ref="BJ14" ca="1">INDIRECT("'"&amp;$C14&amp;"'!"&amp;"$"&amp;$D14&amp;$BI$1&amp;"")</f>
        <v>0</v>
      </c>
      <c r="BK14" s="280" t="s">
        <v>1</v>
      </c>
      <c r="BL14" s="279" t="s">
        <v>1</v>
      </c>
      <c r="BM14" s="283" cm="1">
        <f t="array" aca="1" ref="BM14" ca="1">INDIRECT("'"&amp;$C14&amp;"'!"&amp;"$"&amp;$D14&amp;$BM$1&amp;"")</f>
        <v>1.1599999999999999</v>
      </c>
      <c r="BN14" s="281"/>
      <c r="BO14" s="281">
        <v>0.99</v>
      </c>
      <c r="BP14" s="279">
        <v>0.14000000000000001</v>
      </c>
      <c r="BQ14" s="284" cm="1">
        <f t="array" aca="1" ref="BQ14" ca="1">INDIRECT("'"&amp;$C14&amp;"'!"&amp;"$"&amp;$D14&amp;$BQ$1&amp;"")</f>
        <v>0.75</v>
      </c>
      <c r="BR14" s="281"/>
      <c r="BS14" s="281">
        <v>0.96</v>
      </c>
      <c r="BT14" s="279">
        <v>0.2</v>
      </c>
      <c r="BU14" s="284" cm="1">
        <f t="array" aca="1" ref="BU14" ca="1">INDIRECT("'"&amp;$C14&amp;"'!"&amp;"$"&amp;$D14&amp;74&amp;"")</f>
        <v>0</v>
      </c>
      <c r="BV14" s="281"/>
      <c r="BW14" s="281" t="s">
        <v>1</v>
      </c>
      <c r="BX14" s="279" t="s">
        <v>1</v>
      </c>
    </row>
    <row r="15" spans="1:76">
      <c r="A15" s="459">
        <v>45839</v>
      </c>
      <c r="B15" s="345">
        <v>0.41666666666666702</v>
      </c>
      <c r="C15" s="305">
        <v>1</v>
      </c>
      <c r="D15" s="306" t="s">
        <v>152</v>
      </c>
      <c r="E15" s="285">
        <v>14.1</v>
      </c>
      <c r="F15" s="286">
        <v>69.53</v>
      </c>
      <c r="G15" s="287" t="str" cm="1">
        <f t="array" aca="1" ref="G15" ca="1">INDIRECT("'"&amp;$C15&amp;"'!"&amp;"$"&amp;$D15&amp;$E$1&amp;"")</f>
        <v>CMS</v>
      </c>
      <c r="H15" s="288" t="s">
        <v>1</v>
      </c>
      <c r="I15" s="286" t="s">
        <v>1</v>
      </c>
      <c r="J15" s="287" cm="1">
        <f t="array" aca="1" ref="J15" ca="1">INDIRECT("'"&amp;$C15&amp;"'!"&amp;"$"&amp;$D15&amp;$J$1&amp;"")</f>
        <v>6.7</v>
      </c>
      <c r="K15" s="288"/>
      <c r="L15" s="288">
        <v>0.95</v>
      </c>
      <c r="M15" s="289">
        <v>2.2999999999999998</v>
      </c>
      <c r="N15" s="285" cm="1">
        <f t="array" aca="1" ref="N15" ca="1">INDIRECT("'"&amp;$C15&amp;"'!"&amp;"$"&amp;$D15&amp;$N$1&amp;"")</f>
        <v>6.7</v>
      </c>
      <c r="O15" s="288"/>
      <c r="P15" s="288">
        <v>0.95</v>
      </c>
      <c r="Q15" s="286">
        <v>2.2999999999999998</v>
      </c>
      <c r="R15" s="285" cm="1">
        <f t="array" aca="1" ref="R15" ca="1">INDIRECT("'"&amp;$C15&amp;"'!"&amp;"$"&amp;$D15&amp;$R$1&amp;"")</f>
        <v>6.7</v>
      </c>
      <c r="S15" s="288"/>
      <c r="T15" s="288">
        <v>0.95</v>
      </c>
      <c r="U15" s="286">
        <v>2.2999999999999998</v>
      </c>
      <c r="V15" s="287" cm="1">
        <f t="array" aca="1" ref="V15" ca="1">INDIRECT("'"&amp;$C15&amp;"'!"&amp;"$"&amp;$D15&amp;$V$1&amp;"")</f>
        <v>2.8</v>
      </c>
      <c r="W15" s="288">
        <f>3.8*3.53</f>
        <v>13.413999999999998</v>
      </c>
      <c r="X15" s="288">
        <v>0.93</v>
      </c>
      <c r="Y15" s="289">
        <v>1.04</v>
      </c>
      <c r="Z15" s="285" cm="1">
        <f t="array" aca="1" ref="Z15" ca="1">INDIRECT("'"&amp;$C15&amp;"'!"&amp;"$"&amp;$D15&amp;$Z$1&amp;"")</f>
        <v>0</v>
      </c>
      <c r="AA15" s="288" t="s">
        <v>1</v>
      </c>
      <c r="AB15" s="288" t="s">
        <v>1</v>
      </c>
      <c r="AC15" s="286" t="s">
        <v>1</v>
      </c>
      <c r="AD15" s="287" cm="1">
        <f t="array" aca="1" ref="AD15" ca="1">INDIRECT("'"&amp;$C15&amp;"'!"&amp;"$"&amp;$D15&amp;$AD$1&amp;"")</f>
        <v>3.8</v>
      </c>
      <c r="AE15" s="288">
        <f>3.8*3.53</f>
        <v>13.413999999999998</v>
      </c>
      <c r="AF15" s="288">
        <v>0.93</v>
      </c>
      <c r="AG15" s="289">
        <v>1.36</v>
      </c>
      <c r="AH15" s="285" cm="1">
        <f t="array" aca="1" ref="AH15" ca="1">INDIRECT("'"&amp;$C15&amp;"'!"&amp;"$"&amp;$D15&amp;$AH$1&amp;"")</f>
        <v>0</v>
      </c>
      <c r="AI15" s="288" t="s">
        <v>1</v>
      </c>
      <c r="AJ15" s="288" t="s">
        <v>1</v>
      </c>
      <c r="AK15" s="286" t="s">
        <v>1</v>
      </c>
      <c r="AL15" s="285">
        <v>11.6</v>
      </c>
      <c r="AM15" s="289">
        <v>70.599999999999994</v>
      </c>
      <c r="AN15" s="285" cm="1">
        <f t="array" aca="1" ref="AN15" ca="1">INDIRECT("'"&amp;$C15&amp;"'!"&amp;"$"&amp;$D15&amp;$AL$1&amp;"")</f>
        <v>3.2</v>
      </c>
      <c r="AO15" s="288">
        <v>0.98</v>
      </c>
      <c r="AP15" s="286">
        <v>0.65900000000000003</v>
      </c>
      <c r="AQ15" s="287" cm="1">
        <f t="array" aca="1" ref="AQ15" ca="1">INDIRECT("'"&amp;$C15&amp;"'!"&amp;"$"&amp;$D15&amp;$AQ$1&amp;"")</f>
        <v>0</v>
      </c>
      <c r="AR15" s="288" t="s">
        <v>1</v>
      </c>
      <c r="AS15" s="286" t="s">
        <v>1</v>
      </c>
      <c r="AT15" s="285">
        <v>13.9</v>
      </c>
      <c r="AU15" s="289">
        <v>70.7</v>
      </c>
      <c r="AV15" s="288" cm="1">
        <f t="array" aca="1" ref="AV15" ca="1">INDIRECT("'"&amp;$C15&amp;"'!"&amp;"$"&amp;$D15&amp;$AV$1&amp;"")</f>
        <v>0</v>
      </c>
      <c r="AW15" s="287" t="s">
        <v>1</v>
      </c>
      <c r="AX15" s="288" t="s">
        <v>1</v>
      </c>
      <c r="AY15" s="286" t="s">
        <v>1</v>
      </c>
      <c r="AZ15" s="288" cm="1">
        <f t="array" aca="1" ref="AZ15" ca="1">INDIRECT("'"&amp;$C15&amp;"'!"&amp;"$"&amp;$D15&amp;$AZ$1&amp;"")</f>
        <v>7</v>
      </c>
      <c r="BA15" s="287" t="s">
        <v>1</v>
      </c>
      <c r="BB15" s="288">
        <v>0.97</v>
      </c>
      <c r="BC15" s="286">
        <v>1.98</v>
      </c>
      <c r="BD15" s="290">
        <v>14.18</v>
      </c>
      <c r="BE15" s="289">
        <v>71.290000000000006</v>
      </c>
      <c r="BF15" s="290" cm="1">
        <f t="array" aca="1" ref="BF15" ca="1">INDIRECT("'"&amp;$C15&amp;"'!"&amp;"$"&amp;$D15&amp;$BF$1&amp;"")</f>
        <v>14.16</v>
      </c>
      <c r="BG15" s="288">
        <v>0.98</v>
      </c>
      <c r="BH15" s="286">
        <v>3.4</v>
      </c>
      <c r="BI15" s="291">
        <v>68.400000000000006</v>
      </c>
      <c r="BJ15" s="285" cm="1">
        <f t="array" aca="1" ref="BJ15" ca="1">INDIRECT("'"&amp;$C15&amp;"'!"&amp;"$"&amp;$D15&amp;$BI$1&amp;"")</f>
        <v>0</v>
      </c>
      <c r="BK15" s="287" t="s">
        <v>1</v>
      </c>
      <c r="BL15" s="286" t="s">
        <v>1</v>
      </c>
      <c r="BM15" s="290" cm="1">
        <f t="array" aca="1" ref="BM15" ca="1">INDIRECT("'"&amp;$C15&amp;"'!"&amp;"$"&amp;$D15&amp;$BM$1&amp;"")</f>
        <v>1.18</v>
      </c>
      <c r="BN15" s="288"/>
      <c r="BO15" s="288">
        <v>0.99</v>
      </c>
      <c r="BP15" s="286">
        <v>0.14000000000000001</v>
      </c>
      <c r="BQ15" s="291" cm="1">
        <f t="array" aca="1" ref="BQ15" ca="1">INDIRECT("'"&amp;$C15&amp;"'!"&amp;"$"&amp;$D15&amp;$BQ$1&amp;"")</f>
        <v>0.77</v>
      </c>
      <c r="BR15" s="288"/>
      <c r="BS15" s="288">
        <v>0.96</v>
      </c>
      <c r="BT15" s="286">
        <v>0.22</v>
      </c>
      <c r="BU15" s="291" cm="1">
        <f t="array" aca="1" ref="BU15" ca="1">INDIRECT("'"&amp;$C15&amp;"'!"&amp;"$"&amp;$D15&amp;74&amp;"")</f>
        <v>0</v>
      </c>
      <c r="BV15" s="288"/>
      <c r="BW15" s="288" t="s">
        <v>1</v>
      </c>
      <c r="BX15" s="286" t="s">
        <v>1</v>
      </c>
    </row>
    <row r="16" spans="1:76">
      <c r="A16" s="459">
        <v>45839</v>
      </c>
      <c r="B16" s="345">
        <v>0.45833333333333398</v>
      </c>
      <c r="C16" s="305">
        <v>1</v>
      </c>
      <c r="D16" s="306" t="s">
        <v>153</v>
      </c>
      <c r="E16" s="278">
        <v>14</v>
      </c>
      <c r="F16" s="279">
        <v>69.16</v>
      </c>
      <c r="G16" s="280" t="str" cm="1">
        <f t="array" aca="1" ref="G16" ca="1">INDIRECT("'"&amp;$C16&amp;"'!"&amp;"$"&amp;$D16&amp;$E$1&amp;"")</f>
        <v>CMS</v>
      </c>
      <c r="H16" s="281" t="s">
        <v>1</v>
      </c>
      <c r="I16" s="279" t="s">
        <v>1</v>
      </c>
      <c r="J16" s="280" cm="1">
        <f t="array" aca="1" ref="J16" ca="1">INDIRECT("'"&amp;$C16&amp;"'!"&amp;"$"&amp;$D16&amp;$J$1&amp;"")</f>
        <v>6.6</v>
      </c>
      <c r="K16" s="281"/>
      <c r="L16" s="281">
        <v>0.95</v>
      </c>
      <c r="M16" s="282">
        <v>2.25</v>
      </c>
      <c r="N16" s="278" cm="1">
        <f t="array" aca="1" ref="N16" ca="1">INDIRECT("'"&amp;$C16&amp;"'!"&amp;"$"&amp;$D16&amp;$N$1&amp;"")</f>
        <v>6.6</v>
      </c>
      <c r="O16" s="281"/>
      <c r="P16" s="281">
        <v>0.95</v>
      </c>
      <c r="Q16" s="279">
        <v>2.25</v>
      </c>
      <c r="R16" s="468" cm="1">
        <f t="array" aca="1" ref="R16" ca="1">INDIRECT("'"&amp;$C16&amp;"'!"&amp;"$"&amp;$D16&amp;$R$1&amp;"")</f>
        <v>6.6</v>
      </c>
      <c r="S16" s="281"/>
      <c r="T16" s="281">
        <v>0.95</v>
      </c>
      <c r="U16" s="279">
        <v>2.25</v>
      </c>
      <c r="V16" s="280" cm="1">
        <f t="array" aca="1" ref="V16" ca="1">INDIRECT("'"&amp;$C16&amp;"'!"&amp;"$"&amp;$D16&amp;$V$1&amp;"")</f>
        <v>2.8</v>
      </c>
      <c r="W16" s="281">
        <f>3.8*3.52</f>
        <v>13.375999999999999</v>
      </c>
      <c r="X16" s="281">
        <v>0.93</v>
      </c>
      <c r="Y16" s="282">
        <v>1.05</v>
      </c>
      <c r="Z16" s="278" cm="1">
        <f t="array" aca="1" ref="Z16" ca="1">INDIRECT("'"&amp;$C16&amp;"'!"&amp;"$"&amp;$D16&amp;$Z$1&amp;"")</f>
        <v>0</v>
      </c>
      <c r="AA16" s="281" t="s">
        <v>1</v>
      </c>
      <c r="AB16" s="281" t="s">
        <v>1</v>
      </c>
      <c r="AC16" s="279" t="s">
        <v>1</v>
      </c>
      <c r="AD16" s="280" cm="1">
        <f t="array" aca="1" ref="AD16" ca="1">INDIRECT("'"&amp;$C16&amp;"'!"&amp;"$"&amp;$D16&amp;$AD$1&amp;"")</f>
        <v>3.3</v>
      </c>
      <c r="AE16" s="281">
        <f>3.8*3.52</f>
        <v>13.375999999999999</v>
      </c>
      <c r="AF16" s="281">
        <v>0.93</v>
      </c>
      <c r="AG16" s="282">
        <v>1.32</v>
      </c>
      <c r="AH16" s="278" cm="1">
        <f t="array" aca="1" ref="AH16" ca="1">INDIRECT("'"&amp;$C16&amp;"'!"&amp;"$"&amp;$D16&amp;$AH$1&amp;"")</f>
        <v>3.8</v>
      </c>
      <c r="AI16" s="281">
        <v>13.96</v>
      </c>
      <c r="AJ16" s="281">
        <v>0.98</v>
      </c>
      <c r="AK16" s="279">
        <v>0.51900000000000002</v>
      </c>
      <c r="AL16" s="278">
        <v>11.6</v>
      </c>
      <c r="AM16" s="282">
        <v>70.7</v>
      </c>
      <c r="AN16" s="278" cm="1">
        <f t="array" aca="1" ref="AN16" ca="1">INDIRECT("'"&amp;$C16&amp;"'!"&amp;"$"&amp;$D16&amp;$AL$1&amp;"")</f>
        <v>3</v>
      </c>
      <c r="AO16" s="281">
        <v>0.97</v>
      </c>
      <c r="AP16" s="279">
        <v>0.68500000000000005</v>
      </c>
      <c r="AQ16" s="280" cm="1">
        <f t="array" aca="1" ref="AQ16" ca="1">INDIRECT("'"&amp;$C16&amp;"'!"&amp;"$"&amp;$D16&amp;$AQ$1&amp;"")</f>
        <v>0</v>
      </c>
      <c r="AR16" s="281" t="s">
        <v>1</v>
      </c>
      <c r="AS16" s="279" t="s">
        <v>1</v>
      </c>
      <c r="AT16" s="278">
        <v>13.9</v>
      </c>
      <c r="AU16" s="282">
        <v>70.599999999999994</v>
      </c>
      <c r="AV16" s="281" cm="1">
        <f t="array" aca="1" ref="AV16" ca="1">INDIRECT("'"&amp;$C16&amp;"'!"&amp;"$"&amp;$D16&amp;$AV$1&amp;"")</f>
        <v>0</v>
      </c>
      <c r="AW16" s="280" t="s">
        <v>1</v>
      </c>
      <c r="AX16" s="281" t="s">
        <v>1</v>
      </c>
      <c r="AY16" s="279" t="s">
        <v>1</v>
      </c>
      <c r="AZ16" s="281" cm="1">
        <f t="array" aca="1" ref="AZ16" ca="1">INDIRECT("'"&amp;$C16&amp;"'!"&amp;"$"&amp;$D16&amp;$AZ$1&amp;"")</f>
        <v>7.4</v>
      </c>
      <c r="BA16" s="280" t="s">
        <v>1</v>
      </c>
      <c r="BB16" s="281">
        <v>0.96</v>
      </c>
      <c r="BC16" s="279">
        <v>2.02</v>
      </c>
      <c r="BD16" s="283">
        <v>14.24</v>
      </c>
      <c r="BE16" s="282">
        <v>71.58</v>
      </c>
      <c r="BF16" s="283" cm="1">
        <f t="array" aca="1" ref="BF16" ca="1">INDIRECT("'"&amp;$C16&amp;"'!"&amp;"$"&amp;$D16&amp;$BF$1&amp;"")</f>
        <v>14.13</v>
      </c>
      <c r="BG16" s="281">
        <v>0.98</v>
      </c>
      <c r="BH16" s="279">
        <v>3.4</v>
      </c>
      <c r="BI16" s="284">
        <v>68</v>
      </c>
      <c r="BJ16" s="278" cm="1">
        <f t="array" aca="1" ref="BJ16" ca="1">INDIRECT("'"&amp;$C16&amp;"'!"&amp;"$"&amp;$D16&amp;$BI$1&amp;"")</f>
        <v>0</v>
      </c>
      <c r="BK16" s="280" t="s">
        <v>1</v>
      </c>
      <c r="BL16" s="279" t="s">
        <v>1</v>
      </c>
      <c r="BM16" s="283" cm="1">
        <f t="array" aca="1" ref="BM16" ca="1">INDIRECT("'"&amp;$C16&amp;"'!"&amp;"$"&amp;$D16&amp;$BM$1&amp;"")</f>
        <v>1.25</v>
      </c>
      <c r="BN16" s="281"/>
      <c r="BO16" s="281">
        <v>0.99</v>
      </c>
      <c r="BP16" s="279">
        <v>0.16</v>
      </c>
      <c r="BQ16" s="284" cm="1">
        <f t="array" aca="1" ref="BQ16" ca="1">INDIRECT("'"&amp;$C16&amp;"'!"&amp;"$"&amp;$D16&amp;$BQ$1&amp;"")</f>
        <v>0.79</v>
      </c>
      <c r="BR16" s="281"/>
      <c r="BS16" s="281">
        <v>0.96</v>
      </c>
      <c r="BT16" s="279">
        <v>0.22</v>
      </c>
      <c r="BU16" s="284" cm="1">
        <f t="array" aca="1" ref="BU16" ca="1">INDIRECT("'"&amp;$C16&amp;"'!"&amp;"$"&amp;$D16&amp;74&amp;"")</f>
        <v>0</v>
      </c>
      <c r="BV16" s="281"/>
      <c r="BW16" s="281" t="s">
        <v>1</v>
      </c>
      <c r="BX16" s="279" t="s">
        <v>1</v>
      </c>
    </row>
    <row r="17" spans="1:76">
      <c r="A17" s="459">
        <v>45839</v>
      </c>
      <c r="B17" s="345">
        <v>0.5</v>
      </c>
      <c r="C17" s="305">
        <v>1</v>
      </c>
      <c r="D17" s="306" t="s">
        <v>154</v>
      </c>
      <c r="E17" s="285">
        <v>14</v>
      </c>
      <c r="F17" s="286">
        <v>69.2</v>
      </c>
      <c r="G17" s="287" t="str" cm="1">
        <f t="array" aca="1" ref="G17" ca="1">INDIRECT("'"&amp;$C17&amp;"'!"&amp;"$"&amp;$D17&amp;$E$1&amp;"")</f>
        <v>CMS</v>
      </c>
      <c r="H17" s="288" t="s">
        <v>1</v>
      </c>
      <c r="I17" s="286" t="s">
        <v>1</v>
      </c>
      <c r="J17" s="287" cm="1">
        <f t="array" aca="1" ref="J17" ca="1">INDIRECT("'"&amp;$C17&amp;"'!"&amp;"$"&amp;$D17&amp;$J$1&amp;"")</f>
        <v>6.3</v>
      </c>
      <c r="K17" s="288"/>
      <c r="L17" s="288">
        <v>0.95</v>
      </c>
      <c r="M17" s="289">
        <v>2.14</v>
      </c>
      <c r="N17" s="285" cm="1">
        <f t="array" aca="1" ref="N17" ca="1">INDIRECT("'"&amp;$C17&amp;"'!"&amp;"$"&amp;$D17&amp;$N$1&amp;"")</f>
        <v>6.3</v>
      </c>
      <c r="O17" s="288"/>
      <c r="P17" s="288">
        <v>0.95</v>
      </c>
      <c r="Q17" s="289">
        <v>2.14</v>
      </c>
      <c r="R17" s="285" cm="1">
        <f t="array" aca="1" ref="R17" ca="1">INDIRECT("'"&amp;$C17&amp;"'!"&amp;"$"&amp;$D17&amp;$R$1&amp;"")</f>
        <v>6.3</v>
      </c>
      <c r="S17" s="288"/>
      <c r="T17" s="288">
        <v>0.95</v>
      </c>
      <c r="U17" s="286">
        <v>2.14</v>
      </c>
      <c r="V17" s="287" cm="1">
        <f t="array" aca="1" ref="V17" ca="1">INDIRECT("'"&amp;$C17&amp;"'!"&amp;"$"&amp;$D17&amp;$V$1&amp;"")</f>
        <v>2.2999999999999998</v>
      </c>
      <c r="W17" s="288">
        <f>3.52*3.8</f>
        <v>13.375999999999999</v>
      </c>
      <c r="X17" s="288">
        <v>0.93</v>
      </c>
      <c r="Y17" s="289">
        <v>1.02</v>
      </c>
      <c r="Z17" s="285" cm="1">
        <f t="array" aca="1" ref="Z17" ca="1">INDIRECT("'"&amp;$C17&amp;"'!"&amp;"$"&amp;$D17&amp;$Z$1&amp;"")</f>
        <v>0</v>
      </c>
      <c r="AA17" s="288" t="s">
        <v>1</v>
      </c>
      <c r="AB17" s="288" t="s">
        <v>1</v>
      </c>
      <c r="AC17" s="286" t="s">
        <v>1</v>
      </c>
      <c r="AD17" s="287" cm="1">
        <f t="array" aca="1" ref="AD17" ca="1">INDIRECT("'"&amp;$C17&amp;"'!"&amp;"$"&amp;$D17&amp;$AD$1&amp;"")</f>
        <v>3</v>
      </c>
      <c r="AE17" s="288">
        <v>14</v>
      </c>
      <c r="AF17" s="288">
        <v>0.99</v>
      </c>
      <c r="AG17" s="289">
        <v>0.314</v>
      </c>
      <c r="AH17" s="285" cm="1">
        <f t="array" aca="1" ref="AH17" ca="1">INDIRECT("'"&amp;$C17&amp;"'!"&amp;"$"&amp;$D17&amp;$AH$1&amp;"")</f>
        <v>3.8</v>
      </c>
      <c r="AI17" s="288">
        <v>14</v>
      </c>
      <c r="AJ17" s="288">
        <v>0.99</v>
      </c>
      <c r="AK17" s="286">
        <v>0.314</v>
      </c>
      <c r="AL17" s="285">
        <v>11.6</v>
      </c>
      <c r="AM17" s="289">
        <v>70.599999999999994</v>
      </c>
      <c r="AN17" s="285" cm="1">
        <f t="array" aca="1" ref="AN17" ca="1">INDIRECT("'"&amp;$C17&amp;"'!"&amp;"$"&amp;$D17&amp;$AL$1&amp;"")</f>
        <v>3.7</v>
      </c>
      <c r="AO17" s="288">
        <v>0.98</v>
      </c>
      <c r="AP17" s="286">
        <v>0.627</v>
      </c>
      <c r="AQ17" s="287" cm="1">
        <f t="array" aca="1" ref="AQ17" ca="1">INDIRECT("'"&amp;$C17&amp;"'!"&amp;"$"&amp;$D17&amp;$AQ$1&amp;"")</f>
        <v>0</v>
      </c>
      <c r="AR17" s="288" t="s">
        <v>1</v>
      </c>
      <c r="AS17" s="286" t="s">
        <v>1</v>
      </c>
      <c r="AT17" s="285">
        <v>13.9</v>
      </c>
      <c r="AU17" s="289">
        <v>70.7</v>
      </c>
      <c r="AV17" s="288" cm="1">
        <f t="array" aca="1" ref="AV17" ca="1">INDIRECT("'"&amp;$C17&amp;"'!"&amp;"$"&amp;$D17&amp;$AV$1&amp;"")</f>
        <v>0</v>
      </c>
      <c r="AW17" s="287" t="s">
        <v>1</v>
      </c>
      <c r="AX17" s="288" t="s">
        <v>1</v>
      </c>
      <c r="AY17" s="286" t="s">
        <v>1</v>
      </c>
      <c r="AZ17" s="288" cm="1">
        <f t="array" aca="1" ref="AZ17" ca="1">INDIRECT("'"&amp;$C17&amp;"'!"&amp;"$"&amp;$D17&amp;$AZ$1&amp;"")</f>
        <v>7</v>
      </c>
      <c r="BA17" s="287" t="s">
        <v>1</v>
      </c>
      <c r="BB17" s="288">
        <v>0.97</v>
      </c>
      <c r="BC17" s="286">
        <v>1.87</v>
      </c>
      <c r="BD17" s="290">
        <v>14.26</v>
      </c>
      <c r="BE17" s="289">
        <v>71.7</v>
      </c>
      <c r="BF17" s="290" cm="1">
        <f t="array" aca="1" ref="BF17" ca="1">INDIRECT("'"&amp;$C17&amp;"'!"&amp;"$"&amp;$D17&amp;$BF$1&amp;"")</f>
        <v>14.21</v>
      </c>
      <c r="BG17" s="288">
        <v>0.98</v>
      </c>
      <c r="BH17" s="286">
        <v>3.5</v>
      </c>
      <c r="BI17" s="291">
        <v>68</v>
      </c>
      <c r="BJ17" s="285" cm="1">
        <f t="array" aca="1" ref="BJ17" ca="1">INDIRECT("'"&amp;$C17&amp;"'!"&amp;"$"&amp;$D17&amp;$BI$1&amp;"")</f>
        <v>0</v>
      </c>
      <c r="BK17" s="287" t="s">
        <v>1</v>
      </c>
      <c r="BL17" s="286" t="s">
        <v>1</v>
      </c>
      <c r="BM17" s="290" cm="1">
        <f t="array" aca="1" ref="BM17" ca="1">INDIRECT("'"&amp;$C17&amp;"'!"&amp;"$"&amp;$D17&amp;$BM$1&amp;"")</f>
        <v>1.26</v>
      </c>
      <c r="BN17" s="288"/>
      <c r="BO17" s="288">
        <v>0.99</v>
      </c>
      <c r="BP17" s="286">
        <v>0.16</v>
      </c>
      <c r="BQ17" s="291" cm="1">
        <f t="array" aca="1" ref="BQ17" ca="1">INDIRECT("'"&amp;$C17&amp;"'!"&amp;"$"&amp;$D17&amp;$BQ$1&amp;"")</f>
        <v>0.83</v>
      </c>
      <c r="BR17" s="288"/>
      <c r="BS17" s="288">
        <v>0.96</v>
      </c>
      <c r="BT17" s="286">
        <v>0.23</v>
      </c>
      <c r="BU17" s="291" cm="1">
        <f t="array" aca="1" ref="BU17" ca="1">INDIRECT("'"&amp;$C17&amp;"'!"&amp;"$"&amp;$D17&amp;74&amp;"")</f>
        <v>0</v>
      </c>
      <c r="BV17" s="288"/>
      <c r="BW17" s="288" t="s">
        <v>1</v>
      </c>
      <c r="BX17" s="286" t="s">
        <v>1</v>
      </c>
    </row>
    <row r="18" spans="1:76">
      <c r="A18" s="459">
        <v>45839</v>
      </c>
      <c r="B18" s="345">
        <v>0.54166666666666696</v>
      </c>
      <c r="C18" s="305">
        <v>1</v>
      </c>
      <c r="D18" s="306" t="s">
        <v>155</v>
      </c>
      <c r="E18" s="278">
        <v>14</v>
      </c>
      <c r="F18" s="279">
        <v>69.13</v>
      </c>
      <c r="G18" s="280" t="str" cm="1">
        <f t="array" aca="1" ref="G18" ca="1">INDIRECT("'"&amp;$C18&amp;"'!"&amp;"$"&amp;$D18&amp;$E$1&amp;"")</f>
        <v>CMS</v>
      </c>
      <c r="H18" s="281" t="s">
        <v>1</v>
      </c>
      <c r="I18" s="279" t="s">
        <v>1</v>
      </c>
      <c r="J18" s="280" cm="1">
        <f t="array" aca="1" ref="J18" ca="1">INDIRECT("'"&amp;$C18&amp;"'!"&amp;"$"&amp;$D18&amp;$J$1&amp;"")</f>
        <v>6.7</v>
      </c>
      <c r="K18" s="281"/>
      <c r="L18" s="281">
        <v>0.95</v>
      </c>
      <c r="M18" s="279">
        <v>2.2000000000000002</v>
      </c>
      <c r="N18" s="278" cm="1">
        <f t="array" aca="1" ref="N18" ca="1">INDIRECT("'"&amp;$C18&amp;"'!"&amp;"$"&amp;$D18&amp;$N$1&amp;"")</f>
        <v>6.7</v>
      </c>
      <c r="O18" s="281"/>
      <c r="P18" s="281">
        <v>0.95</v>
      </c>
      <c r="Q18" s="279">
        <v>2.2000000000000002</v>
      </c>
      <c r="R18" s="468" cm="1">
        <f t="array" aca="1" ref="R18" ca="1">INDIRECT("'"&amp;$C18&amp;"'!"&amp;"$"&amp;$D18&amp;$R$1&amp;"")</f>
        <v>6.7</v>
      </c>
      <c r="S18" s="281"/>
      <c r="T18" s="281">
        <v>0.95</v>
      </c>
      <c r="U18" s="279">
        <v>2.2000000000000002</v>
      </c>
      <c r="V18" s="280" cm="1">
        <f t="array" aca="1" ref="V18" ca="1">INDIRECT("'"&amp;$C18&amp;"'!"&amp;"$"&amp;$D18&amp;$V$1&amp;"")</f>
        <v>2.4</v>
      </c>
      <c r="W18" s="281">
        <f>3.8*3.52</f>
        <v>13.375999999999999</v>
      </c>
      <c r="X18" s="281">
        <v>0.93</v>
      </c>
      <c r="Y18" s="282">
        <v>1.04</v>
      </c>
      <c r="Z18" s="278" cm="1">
        <f t="array" aca="1" ref="Z18" ca="1">INDIRECT("'"&amp;$C18&amp;"'!"&amp;"$"&amp;$D18&amp;$Z$1&amp;"")</f>
        <v>0</v>
      </c>
      <c r="AA18" s="281" t="s">
        <v>1</v>
      </c>
      <c r="AB18" s="281" t="s">
        <v>1</v>
      </c>
      <c r="AC18" s="279" t="s">
        <v>1</v>
      </c>
      <c r="AD18" s="280" cm="1">
        <f t="array" aca="1" ref="AD18" ca="1">INDIRECT("'"&amp;$C18&amp;"'!"&amp;"$"&amp;$D18&amp;$AD$1&amp;"")</f>
        <v>3.5</v>
      </c>
      <c r="AE18" s="281">
        <f>3.8*3.52</f>
        <v>13.375999999999999</v>
      </c>
      <c r="AF18" s="281">
        <v>0.93</v>
      </c>
      <c r="AG18" s="282">
        <v>1.36</v>
      </c>
      <c r="AH18" s="278" cm="1">
        <f t="array" aca="1" ref="AH18" ca="1">INDIRECT("'"&amp;$C18&amp;"'!"&amp;"$"&amp;$D18&amp;$AH$1&amp;"")</f>
        <v>3</v>
      </c>
      <c r="AI18" s="281">
        <v>14</v>
      </c>
      <c r="AJ18" s="281">
        <v>0.99</v>
      </c>
      <c r="AK18" s="279">
        <v>0.38300000000000001</v>
      </c>
      <c r="AL18" s="278">
        <v>11.6</v>
      </c>
      <c r="AM18" s="282">
        <v>70.7</v>
      </c>
      <c r="AN18" s="278" cm="1">
        <f t="array" aca="1" ref="AN18" ca="1">INDIRECT("'"&amp;$C18&amp;"'!"&amp;"$"&amp;$D18&amp;$AL$1&amp;"")</f>
        <v>3.8</v>
      </c>
      <c r="AO18" s="281">
        <v>0.98</v>
      </c>
      <c r="AP18" s="279">
        <v>0.72499999999999998</v>
      </c>
      <c r="AQ18" s="280" cm="1">
        <f t="array" aca="1" ref="AQ18" ca="1">INDIRECT("'"&amp;$C18&amp;"'!"&amp;"$"&amp;$D18&amp;$AQ$1&amp;"")</f>
        <v>0</v>
      </c>
      <c r="AR18" s="281" t="s">
        <v>1</v>
      </c>
      <c r="AS18" s="279" t="s">
        <v>1</v>
      </c>
      <c r="AT18" s="278">
        <v>13.9</v>
      </c>
      <c r="AU18" s="282">
        <v>70.7</v>
      </c>
      <c r="AV18" s="281" cm="1">
        <f t="array" aca="1" ref="AV18" ca="1">INDIRECT("'"&amp;$C18&amp;"'!"&amp;"$"&amp;$D18&amp;$AV$1&amp;"")</f>
        <v>0</v>
      </c>
      <c r="AW18" s="280">
        <v>13.7</v>
      </c>
      <c r="AX18" s="281" t="s">
        <v>1</v>
      </c>
      <c r="AY18" s="279" t="s">
        <v>1</v>
      </c>
      <c r="AZ18" s="281" cm="1">
        <f t="array" aca="1" ref="AZ18" ca="1">INDIRECT("'"&amp;$C18&amp;"'!"&amp;"$"&amp;$D18&amp;$AZ$1&amp;"")</f>
        <v>7.2</v>
      </c>
      <c r="BA18" s="280">
        <v>13.7</v>
      </c>
      <c r="BB18" s="281">
        <v>0.96</v>
      </c>
      <c r="BC18" s="279">
        <v>1.97</v>
      </c>
      <c r="BD18" s="283">
        <v>14.23</v>
      </c>
      <c r="BE18" s="282">
        <v>71.569999999999993</v>
      </c>
      <c r="BF18" s="283" cm="1">
        <f t="array" aca="1" ref="BF18" ca="1">INDIRECT("'"&amp;$C18&amp;"'!"&amp;"$"&amp;$D18&amp;$BF$1&amp;"")</f>
        <v>14.22</v>
      </c>
      <c r="BG18" s="281">
        <v>0.98</v>
      </c>
      <c r="BH18" s="279">
        <v>3.4</v>
      </c>
      <c r="BI18" s="284">
        <v>68</v>
      </c>
      <c r="BJ18" s="278" cm="1">
        <f t="array" aca="1" ref="BJ18" ca="1">INDIRECT("'"&amp;$C18&amp;"'!"&amp;"$"&amp;$D18&amp;$BI$1&amp;"")</f>
        <v>0</v>
      </c>
      <c r="BK18" s="280" t="s">
        <v>1</v>
      </c>
      <c r="BL18" s="279" t="s">
        <v>1</v>
      </c>
      <c r="BM18" s="283" cm="1">
        <f t="array" aca="1" ref="BM18" ca="1">INDIRECT("'"&amp;$C18&amp;"'!"&amp;"$"&amp;$D18&amp;$BM$1&amp;"")</f>
        <v>1.29</v>
      </c>
      <c r="BN18" s="281"/>
      <c r="BO18" s="281">
        <v>0.99</v>
      </c>
      <c r="BP18" s="279">
        <v>0.15</v>
      </c>
      <c r="BQ18" s="284" cm="1">
        <f t="array" aca="1" ref="BQ18" ca="1">INDIRECT("'"&amp;$C18&amp;"'!"&amp;"$"&amp;$D18&amp;$BQ$1&amp;"")</f>
        <v>0.77</v>
      </c>
      <c r="BR18" s="281"/>
      <c r="BS18" s="281">
        <v>0.96</v>
      </c>
      <c r="BT18" s="279">
        <v>0.2</v>
      </c>
      <c r="BU18" s="284" cm="1">
        <f t="array" aca="1" ref="BU18" ca="1">INDIRECT("'"&amp;$C18&amp;"'!"&amp;"$"&amp;$D18&amp;74&amp;"")</f>
        <v>0</v>
      </c>
      <c r="BV18" s="281"/>
      <c r="BW18" s="281" t="s">
        <v>1</v>
      </c>
      <c r="BX18" s="279" t="s">
        <v>1</v>
      </c>
    </row>
    <row r="19" spans="1:76">
      <c r="A19" s="459">
        <v>45839</v>
      </c>
      <c r="B19" s="345">
        <v>0.58333333333333404</v>
      </c>
      <c r="C19" s="305">
        <v>1</v>
      </c>
      <c r="D19" s="306" t="s">
        <v>156</v>
      </c>
      <c r="E19" s="285">
        <v>14.1</v>
      </c>
      <c r="F19" s="286">
        <v>69.290000000000006</v>
      </c>
      <c r="G19" s="287" t="str" cm="1">
        <f t="array" aca="1" ref="G19" ca="1">INDIRECT("'"&amp;$C19&amp;"'!"&amp;"$"&amp;$D19&amp;$E$1&amp;"")</f>
        <v>CMS</v>
      </c>
      <c r="H19" s="288" t="s">
        <v>1</v>
      </c>
      <c r="I19" s="286" t="s">
        <v>1</v>
      </c>
      <c r="J19" s="287" cm="1">
        <f t="array" aca="1" ref="J19" ca="1">INDIRECT("'"&amp;$C19&amp;"'!"&amp;"$"&amp;$D19&amp;$J$1&amp;"")</f>
        <v>6.7</v>
      </c>
      <c r="K19" s="288"/>
      <c r="L19" s="288">
        <v>0.93</v>
      </c>
      <c r="M19" s="289">
        <v>2.57</v>
      </c>
      <c r="N19" s="285" cm="1">
        <f t="array" aca="1" ref="N19" ca="1">INDIRECT("'"&amp;$C19&amp;"'!"&amp;"$"&amp;$D19&amp;$N$1&amp;"")</f>
        <v>6.7</v>
      </c>
      <c r="O19" s="288"/>
      <c r="P19" s="288">
        <v>0.93</v>
      </c>
      <c r="Q19" s="286">
        <v>2.57</v>
      </c>
      <c r="R19" s="285" cm="1">
        <f t="array" aca="1" ref="R19" ca="1">INDIRECT("'"&amp;$C19&amp;"'!"&amp;"$"&amp;$D19&amp;$R$1&amp;"")</f>
        <v>6.7</v>
      </c>
      <c r="S19" s="288"/>
      <c r="T19" s="288">
        <v>0.93</v>
      </c>
      <c r="U19" s="286">
        <v>2.57</v>
      </c>
      <c r="V19" s="287" cm="1">
        <f t="array" aca="1" ref="V19" ca="1">INDIRECT("'"&amp;$C19&amp;"'!"&amp;"$"&amp;$D19&amp;$V$1&amp;"")</f>
        <v>2.8</v>
      </c>
      <c r="W19" s="288">
        <v>13.375999999999999</v>
      </c>
      <c r="X19" s="288">
        <v>0.93</v>
      </c>
      <c r="Y19" s="289">
        <v>1.05</v>
      </c>
      <c r="Z19" s="285" cm="1">
        <f t="array" aca="1" ref="Z19" ca="1">INDIRECT("'"&amp;$C19&amp;"'!"&amp;"$"&amp;$D19&amp;$Z$1&amp;"")</f>
        <v>0</v>
      </c>
      <c r="AA19" s="288" t="s">
        <v>1</v>
      </c>
      <c r="AB19" s="288" t="s">
        <v>1</v>
      </c>
      <c r="AC19" s="286" t="s">
        <v>1</v>
      </c>
      <c r="AD19" s="287" cm="1">
        <f t="array" aca="1" ref="AD19" ca="1">INDIRECT("'"&amp;$C19&amp;"'!"&amp;"$"&amp;$D19&amp;$AD$1&amp;"")</f>
        <v>3.8</v>
      </c>
      <c r="AE19" s="288">
        <v>13.375999999999999</v>
      </c>
      <c r="AF19" s="288">
        <v>0.93</v>
      </c>
      <c r="AG19" s="289">
        <v>1.35</v>
      </c>
      <c r="AH19" s="285" cm="1">
        <f t="array" aca="1" ref="AH19" ca="1">INDIRECT("'"&amp;$C19&amp;"'!"&amp;"$"&amp;$D19&amp;$AH$1&amp;"")</f>
        <v>3.8</v>
      </c>
      <c r="AI19" s="288">
        <v>14</v>
      </c>
      <c r="AJ19" s="288">
        <v>0.99</v>
      </c>
      <c r="AK19" s="286">
        <v>0.46100000000000002</v>
      </c>
      <c r="AL19" s="285">
        <v>11.6</v>
      </c>
      <c r="AM19" s="289">
        <v>70.5</v>
      </c>
      <c r="AN19" s="285" cm="1">
        <f t="array" aca="1" ref="AN19" ca="1">INDIRECT("'"&amp;$C19&amp;"'!"&amp;"$"&amp;$D19&amp;$AL$1&amp;"")</f>
        <v>0</v>
      </c>
      <c r="AO19" s="288" t="s">
        <v>1</v>
      </c>
      <c r="AP19" s="286" t="s">
        <v>1</v>
      </c>
      <c r="AQ19" s="287" cm="1">
        <f t="array" aca="1" ref="AQ19" ca="1">INDIRECT("'"&amp;$C19&amp;"'!"&amp;"$"&amp;$D19&amp;$AQ$1&amp;"")</f>
        <v>3.8</v>
      </c>
      <c r="AR19" s="288">
        <v>0.99</v>
      </c>
      <c r="AS19" s="286">
        <v>0.56000000000000005</v>
      </c>
      <c r="AT19" s="285">
        <v>13.9</v>
      </c>
      <c r="AU19" s="289">
        <v>70.8</v>
      </c>
      <c r="AV19" s="288" cm="1">
        <f t="array" aca="1" ref="AV19" ca="1">INDIRECT("'"&amp;$C19&amp;"'!"&amp;"$"&amp;$D19&amp;$AV$1&amp;"")</f>
        <v>0</v>
      </c>
      <c r="AW19" s="287">
        <v>13.7</v>
      </c>
      <c r="AX19" s="288" t="s">
        <v>1</v>
      </c>
      <c r="AY19" s="286" t="s">
        <v>1</v>
      </c>
      <c r="AZ19" s="288" cm="1">
        <f t="array" aca="1" ref="AZ19" ca="1">INDIRECT("'"&amp;$C19&amp;"'!"&amp;"$"&amp;$D19&amp;$AZ$1&amp;"")</f>
        <v>7</v>
      </c>
      <c r="BA19" s="287">
        <v>13.7</v>
      </c>
      <c r="BB19" s="288">
        <v>0.96</v>
      </c>
      <c r="BC19" s="286">
        <v>2</v>
      </c>
      <c r="BD19" s="290">
        <v>14.23</v>
      </c>
      <c r="BE19" s="289">
        <v>71.41</v>
      </c>
      <c r="BF19" s="290" cm="1">
        <f t="array" aca="1" ref="BF19" ca="1">INDIRECT("'"&amp;$C19&amp;"'!"&amp;"$"&amp;$D19&amp;$BF$1&amp;"")</f>
        <v>14.2</v>
      </c>
      <c r="BG19" s="288">
        <v>0.98</v>
      </c>
      <c r="BH19" s="286">
        <v>3.4</v>
      </c>
      <c r="BI19" s="291">
        <v>68.2</v>
      </c>
      <c r="BJ19" s="285" cm="1">
        <f t="array" aca="1" ref="BJ19" ca="1">INDIRECT("'"&amp;$C19&amp;"'!"&amp;"$"&amp;$D19&amp;$BI$1&amp;"")</f>
        <v>1.5</v>
      </c>
      <c r="BK19" s="287">
        <v>0.96</v>
      </c>
      <c r="BL19" s="286">
        <v>0.43</v>
      </c>
      <c r="BM19" s="290" cm="1">
        <f t="array" aca="1" ref="BM19" ca="1">INDIRECT("'"&amp;$C19&amp;"'!"&amp;"$"&amp;$D19&amp;$BM$1&amp;"")</f>
        <v>1.33</v>
      </c>
      <c r="BN19" s="288"/>
      <c r="BO19" s="288">
        <v>0.99</v>
      </c>
      <c r="BP19" s="286">
        <v>0.19</v>
      </c>
      <c r="BQ19" s="291" cm="1">
        <f t="array" aca="1" ref="BQ19" ca="1">INDIRECT("'"&amp;$C19&amp;"'!"&amp;"$"&amp;$D19&amp;$BQ$1&amp;"")</f>
        <v>0.84</v>
      </c>
      <c r="BR19" s="288"/>
      <c r="BS19" s="288">
        <v>0.96</v>
      </c>
      <c r="BT19" s="286">
        <v>0.23</v>
      </c>
      <c r="BU19" s="291" cm="1">
        <f t="array" aca="1" ref="BU19" ca="1">INDIRECT("'"&amp;$C19&amp;"'!"&amp;"$"&amp;$D19&amp;74&amp;"")</f>
        <v>0</v>
      </c>
      <c r="BV19" s="288"/>
      <c r="BW19" s="288" t="s">
        <v>1</v>
      </c>
      <c r="BX19" s="286" t="s">
        <v>1</v>
      </c>
    </row>
    <row r="20" spans="1:76">
      <c r="A20" s="459">
        <v>45839</v>
      </c>
      <c r="B20" s="345">
        <v>0.625</v>
      </c>
      <c r="C20" s="305">
        <v>1</v>
      </c>
      <c r="D20" s="306" t="s">
        <v>157</v>
      </c>
      <c r="E20" s="278">
        <v>14.1</v>
      </c>
      <c r="F20" s="279">
        <v>69.38</v>
      </c>
      <c r="G20" s="280" t="str" cm="1">
        <f t="array" aca="1" ref="G20" ca="1">INDIRECT("'"&amp;$C20&amp;"'!"&amp;"$"&amp;$D20&amp;$E$1&amp;"")</f>
        <v>CMS</v>
      </c>
      <c r="H20" s="281" t="s">
        <v>1</v>
      </c>
      <c r="I20" s="279" t="s">
        <v>1</v>
      </c>
      <c r="J20" s="280" cm="1">
        <f t="array" aca="1" ref="J20" ca="1">INDIRECT("'"&amp;$C20&amp;"'!"&amp;"$"&amp;$D20&amp;$J$1&amp;"")</f>
        <v>6.5</v>
      </c>
      <c r="K20" s="281"/>
      <c r="L20" s="281">
        <v>0.93</v>
      </c>
      <c r="M20" s="282">
        <v>2.4900000000000002</v>
      </c>
      <c r="N20" s="278" cm="1">
        <f t="array" aca="1" ref="N20" ca="1">INDIRECT("'"&amp;$C20&amp;"'!"&amp;"$"&amp;$D20&amp;$N$1&amp;"")</f>
        <v>6.5</v>
      </c>
      <c r="O20" s="281"/>
      <c r="P20" s="281">
        <v>0.93</v>
      </c>
      <c r="Q20" s="279">
        <v>2.4900000000000002</v>
      </c>
      <c r="R20" s="468" cm="1">
        <f t="array" aca="1" ref="R20" ca="1">INDIRECT("'"&amp;$C20&amp;"'!"&amp;"$"&amp;$D20&amp;$R$1&amp;"")</f>
        <v>6.5</v>
      </c>
      <c r="S20" s="281"/>
      <c r="T20" s="281">
        <v>0.93</v>
      </c>
      <c r="U20" s="279">
        <v>2.4900000000000002</v>
      </c>
      <c r="V20" s="280" cm="1">
        <f t="array" aca="1" ref="V20" ca="1">INDIRECT("'"&amp;$C20&amp;"'!"&amp;"$"&amp;$D20&amp;$V$1&amp;"")</f>
        <v>2.8</v>
      </c>
      <c r="W20" s="281">
        <v>13.375999999999999</v>
      </c>
      <c r="X20" s="281">
        <v>0.93</v>
      </c>
      <c r="Y20" s="282">
        <v>1.05</v>
      </c>
      <c r="Z20" s="278" cm="1">
        <f t="array" aca="1" ref="Z20" ca="1">INDIRECT("'"&amp;$C20&amp;"'!"&amp;"$"&amp;$D20&amp;$Z$1&amp;"")</f>
        <v>0</v>
      </c>
      <c r="AA20" s="281" t="s">
        <v>1</v>
      </c>
      <c r="AB20" s="281" t="s">
        <v>1</v>
      </c>
      <c r="AC20" s="279" t="s">
        <v>1</v>
      </c>
      <c r="AD20" s="280" cm="1">
        <f t="array" aca="1" ref="AD20" ca="1">INDIRECT("'"&amp;$C20&amp;"'!"&amp;"$"&amp;$D20&amp;$AD$1&amp;"")</f>
        <v>3.8</v>
      </c>
      <c r="AE20" s="281">
        <v>13.375999999999999</v>
      </c>
      <c r="AF20" s="281">
        <v>0.93</v>
      </c>
      <c r="AG20" s="282">
        <v>1.41</v>
      </c>
      <c r="AH20" s="278" cm="1">
        <f t="array" aca="1" ref="AH20" ca="1">INDIRECT("'"&amp;$C20&amp;"'!"&amp;"$"&amp;$D20&amp;$AH$1&amp;"")</f>
        <v>3.8</v>
      </c>
      <c r="AI20" s="281">
        <v>14</v>
      </c>
      <c r="AJ20" s="281">
        <v>0.99</v>
      </c>
      <c r="AK20" s="279">
        <v>0.44400000000000001</v>
      </c>
      <c r="AL20" s="278">
        <v>11.6</v>
      </c>
      <c r="AM20" s="282">
        <v>70.7</v>
      </c>
      <c r="AN20" s="278" cm="1">
        <f t="array" aca="1" ref="AN20" ca="1">INDIRECT("'"&amp;$C20&amp;"'!"&amp;"$"&amp;$D20&amp;$AL$1&amp;"")</f>
        <v>0</v>
      </c>
      <c r="AO20" s="281" t="s">
        <v>1</v>
      </c>
      <c r="AP20" s="279" t="s">
        <v>1</v>
      </c>
      <c r="AQ20" s="280" cm="1">
        <f t="array" aca="1" ref="AQ20" ca="1">INDIRECT("'"&amp;$C20&amp;"'!"&amp;"$"&amp;$D20&amp;$AQ$1&amp;"")</f>
        <v>3.8</v>
      </c>
      <c r="AR20" s="281">
        <v>0.96</v>
      </c>
      <c r="AS20" s="279">
        <v>0.99</v>
      </c>
      <c r="AT20" s="278">
        <v>13.9</v>
      </c>
      <c r="AU20" s="282">
        <v>70.8</v>
      </c>
      <c r="AV20" s="281" cm="1">
        <f t="array" aca="1" ref="AV20" ca="1">INDIRECT("'"&amp;$C20&amp;"'!"&amp;"$"&amp;$D20&amp;$AV$1&amp;"")</f>
        <v>0</v>
      </c>
      <c r="AW20" s="280">
        <v>13.7</v>
      </c>
      <c r="AX20" s="281" t="s">
        <v>1</v>
      </c>
      <c r="AY20" s="279" t="s">
        <v>1</v>
      </c>
      <c r="AZ20" s="281" cm="1">
        <f t="array" aca="1" ref="AZ20" ca="1">INDIRECT("'"&amp;$C20&amp;"'!"&amp;"$"&amp;$D20&amp;$AZ$1&amp;"")</f>
        <v>7</v>
      </c>
      <c r="BA20" s="280">
        <v>13.7</v>
      </c>
      <c r="BB20" s="281">
        <v>0.97</v>
      </c>
      <c r="BC20" s="279">
        <v>1.74</v>
      </c>
      <c r="BD20" s="283">
        <v>14.24</v>
      </c>
      <c r="BE20" s="282">
        <v>71.61</v>
      </c>
      <c r="BF20" s="283" cm="1">
        <f t="array" aca="1" ref="BF20" ca="1">INDIRECT("'"&amp;$C20&amp;"'!"&amp;"$"&amp;$D20&amp;$BF$1&amp;"")</f>
        <v>14.16</v>
      </c>
      <c r="BG20" s="281">
        <v>0.98</v>
      </c>
      <c r="BH20" s="279">
        <v>3.4</v>
      </c>
      <c r="BI20" s="284">
        <v>68.2</v>
      </c>
      <c r="BJ20" s="278" cm="1">
        <f t="array" aca="1" ref="BJ20" ca="1">INDIRECT("'"&amp;$C20&amp;"'!"&amp;"$"&amp;$D20&amp;$BI$1&amp;"")</f>
        <v>1.4</v>
      </c>
      <c r="BK20" s="280">
        <v>0.96</v>
      </c>
      <c r="BL20" s="279">
        <v>0.4</v>
      </c>
      <c r="BM20" s="283" cm="1">
        <f t="array" aca="1" ref="BM20" ca="1">INDIRECT("'"&amp;$C20&amp;"'!"&amp;"$"&amp;$D20&amp;$BM$1&amp;"")</f>
        <v>1.35</v>
      </c>
      <c r="BN20" s="281"/>
      <c r="BO20" s="281">
        <v>0.99</v>
      </c>
      <c r="BP20" s="279">
        <v>0.19</v>
      </c>
      <c r="BQ20" s="284" cm="1">
        <f t="array" aca="1" ref="BQ20" ca="1">INDIRECT("'"&amp;$C20&amp;"'!"&amp;"$"&amp;$D20&amp;$BQ$1&amp;"")</f>
        <v>0.85</v>
      </c>
      <c r="BR20" s="281"/>
      <c r="BS20" s="281">
        <v>0.96</v>
      </c>
      <c r="BT20" s="279">
        <v>0.23</v>
      </c>
      <c r="BU20" s="284" cm="1">
        <f t="array" aca="1" ref="BU20" ca="1">INDIRECT("'"&amp;$C20&amp;"'!"&amp;"$"&amp;$D20&amp;74&amp;"")</f>
        <v>0</v>
      </c>
      <c r="BV20" s="281"/>
      <c r="BW20" s="281" t="s">
        <v>1</v>
      </c>
      <c r="BX20" s="279" t="s">
        <v>1</v>
      </c>
    </row>
    <row r="21" spans="1:76">
      <c r="A21" s="459">
        <v>45839</v>
      </c>
      <c r="B21" s="345">
        <v>0.66666666666666696</v>
      </c>
      <c r="C21" s="305">
        <v>1</v>
      </c>
      <c r="D21" s="306" t="s">
        <v>158</v>
      </c>
      <c r="E21" s="285">
        <v>14.1</v>
      </c>
      <c r="F21" s="286">
        <v>69.31</v>
      </c>
      <c r="G21" s="287" t="str" cm="1">
        <f t="array" aca="1" ref="G21" ca="1">INDIRECT("'"&amp;$C21&amp;"'!"&amp;"$"&amp;$D21&amp;$E$1&amp;"")</f>
        <v>CMS</v>
      </c>
      <c r="H21" s="288" t="s">
        <v>1</v>
      </c>
      <c r="I21" s="286" t="s">
        <v>1</v>
      </c>
      <c r="J21" s="287" cm="1">
        <f t="array" aca="1" ref="J21" ca="1">INDIRECT("'"&amp;$C21&amp;"'!"&amp;"$"&amp;$D21&amp;$J$1&amp;"")</f>
        <v>6.5</v>
      </c>
      <c r="K21" s="288"/>
      <c r="L21" s="288">
        <v>0.94</v>
      </c>
      <c r="M21" s="289">
        <v>2.4300000000000002</v>
      </c>
      <c r="N21" s="285" cm="1">
        <f t="array" aca="1" ref="N21" ca="1">INDIRECT("'"&amp;$C21&amp;"'!"&amp;"$"&amp;$D21&amp;$N$1&amp;"")</f>
        <v>6.5</v>
      </c>
      <c r="O21" s="288"/>
      <c r="P21" s="288">
        <v>0.94</v>
      </c>
      <c r="Q21" s="286">
        <v>2.4300000000000002</v>
      </c>
      <c r="R21" s="469" cm="1">
        <f t="array" aca="1" ref="R21" ca="1">INDIRECT("'"&amp;$C21&amp;"'!"&amp;"$"&amp;$D21&amp;$R$1&amp;"")</f>
        <v>6.5</v>
      </c>
      <c r="S21" s="288"/>
      <c r="T21" s="288">
        <v>0.94</v>
      </c>
      <c r="U21" s="286">
        <v>2.4300000000000002</v>
      </c>
      <c r="V21" s="287" cm="1">
        <f t="array" aca="1" ref="V21" ca="1">INDIRECT("'"&amp;$C21&amp;"'!"&amp;"$"&amp;$D21&amp;$V$1&amp;"")</f>
        <v>2.2999999999999998</v>
      </c>
      <c r="W21" s="288">
        <v>13.299999999999999</v>
      </c>
      <c r="X21" s="288">
        <v>0.93</v>
      </c>
      <c r="Y21" s="289">
        <v>0.78</v>
      </c>
      <c r="Z21" s="285" cm="1">
        <f t="array" aca="1" ref="Z21" ca="1">INDIRECT("'"&amp;$C21&amp;"'!"&amp;"$"&amp;$D21&amp;$Z$1&amp;"")</f>
        <v>0</v>
      </c>
      <c r="AA21" s="288" t="s">
        <v>1</v>
      </c>
      <c r="AB21" s="288" t="s">
        <v>1</v>
      </c>
      <c r="AC21" s="286" t="s">
        <v>1</v>
      </c>
      <c r="AD21" s="287" cm="1">
        <f t="array" aca="1" ref="AD21" ca="1">INDIRECT("'"&amp;$C21&amp;"'!"&amp;"$"&amp;$D21&amp;$AD$1&amp;"")</f>
        <v>3</v>
      </c>
      <c r="AE21" s="288">
        <v>13.3</v>
      </c>
      <c r="AF21" s="288">
        <v>0.93</v>
      </c>
      <c r="AG21" s="289">
        <v>0.89</v>
      </c>
      <c r="AH21" s="285" cm="1">
        <f t="array" aca="1" ref="AH21" ca="1">INDIRECT("'"&amp;$C21&amp;"'!"&amp;"$"&amp;$D21&amp;$AH$1&amp;"")</f>
        <v>3.8</v>
      </c>
      <c r="AI21" s="288">
        <v>14</v>
      </c>
      <c r="AJ21" s="288">
        <v>0.99</v>
      </c>
      <c r="AK21" s="286">
        <v>0.27800000000000002</v>
      </c>
      <c r="AL21" s="285">
        <v>11.6</v>
      </c>
      <c r="AM21" s="289">
        <v>70.7</v>
      </c>
      <c r="AN21" s="285" cm="1">
        <f t="array" aca="1" ref="AN21" ca="1">INDIRECT("'"&amp;$C21&amp;"'!"&amp;"$"&amp;$D21&amp;$AL$1&amp;"")</f>
        <v>0</v>
      </c>
      <c r="AO21" s="288" t="s">
        <v>1</v>
      </c>
      <c r="AP21" s="286" t="s">
        <v>1</v>
      </c>
      <c r="AQ21" s="287" cm="1">
        <f t="array" aca="1" ref="AQ21" ca="1">INDIRECT("'"&amp;$C21&amp;"'!"&amp;"$"&amp;$D21&amp;$AQ$1&amp;"")</f>
        <v>3.7</v>
      </c>
      <c r="AR21" s="288">
        <v>0.96</v>
      </c>
      <c r="AS21" s="286">
        <v>1</v>
      </c>
      <c r="AT21" s="285">
        <v>13.9</v>
      </c>
      <c r="AU21" s="289">
        <v>70.8</v>
      </c>
      <c r="AV21" s="288" cm="1">
        <f t="array" aca="1" ref="AV21" ca="1">INDIRECT("'"&amp;$C21&amp;"'!"&amp;"$"&amp;$D21&amp;$AV$1&amp;"")</f>
        <v>0</v>
      </c>
      <c r="AW21" s="287" t="s">
        <v>1</v>
      </c>
      <c r="AX21" s="288" t="s">
        <v>1</v>
      </c>
      <c r="AY21" s="286" t="s">
        <v>1</v>
      </c>
      <c r="AZ21" s="288" cm="1">
        <f t="array" aca="1" ref="AZ21" ca="1">INDIRECT("'"&amp;$C21&amp;"'!"&amp;"$"&amp;$D21&amp;$AZ$1&amp;"")</f>
        <v>7</v>
      </c>
      <c r="BA21" s="287" t="s">
        <v>1</v>
      </c>
      <c r="BB21" s="288">
        <v>0.97</v>
      </c>
      <c r="BC21" s="286">
        <v>1.69</v>
      </c>
      <c r="BD21" s="290">
        <v>14.28</v>
      </c>
      <c r="BE21" s="289">
        <v>71.739999999999995</v>
      </c>
      <c r="BF21" s="290" cm="1">
        <f t="array" aca="1" ref="BF21" ca="1">INDIRECT("'"&amp;$C21&amp;"'!"&amp;"$"&amp;$D21&amp;$BF$1&amp;"")</f>
        <v>14.18</v>
      </c>
      <c r="BG21" s="288">
        <v>0.98</v>
      </c>
      <c r="BH21" s="286">
        <v>3.4</v>
      </c>
      <c r="BI21" s="291">
        <v>68.099999999999994</v>
      </c>
      <c r="BJ21" s="285" cm="1">
        <f t="array" aca="1" ref="BJ21" ca="1">INDIRECT("'"&amp;$C21&amp;"'!"&amp;"$"&amp;$D21&amp;$BI$1&amp;"")</f>
        <v>0</v>
      </c>
      <c r="BK21" s="287" t="s">
        <v>1</v>
      </c>
      <c r="BL21" s="286" t="s">
        <v>1</v>
      </c>
      <c r="BM21" s="290" cm="1">
        <f t="array" aca="1" ref="BM21" ca="1">INDIRECT("'"&amp;$C21&amp;"'!"&amp;"$"&amp;$D21&amp;$BM$1&amp;"")</f>
        <v>1.34</v>
      </c>
      <c r="BN21" s="288"/>
      <c r="BO21" s="288">
        <v>0.99</v>
      </c>
      <c r="BP21" s="286">
        <v>0.17</v>
      </c>
      <c r="BQ21" s="291" cm="1">
        <f t="array" aca="1" ref="BQ21" ca="1">INDIRECT("'"&amp;$C21&amp;"'!"&amp;"$"&amp;$D21&amp;$BQ$1&amp;"")</f>
        <v>0.84</v>
      </c>
      <c r="BR21" s="288"/>
      <c r="BS21" s="288">
        <v>0.96</v>
      </c>
      <c r="BT21" s="286">
        <v>0.23</v>
      </c>
      <c r="BU21" s="291" cm="1">
        <f t="array" aca="1" ref="BU21" ca="1">INDIRECT("'"&amp;$C21&amp;"'!"&amp;"$"&amp;$D21&amp;74&amp;"")</f>
        <v>0</v>
      </c>
      <c r="BV21" s="288"/>
      <c r="BW21" s="288" t="s">
        <v>1</v>
      </c>
      <c r="BX21" s="286" t="s">
        <v>1</v>
      </c>
    </row>
    <row r="22" spans="1:76">
      <c r="A22" s="459">
        <v>45839</v>
      </c>
      <c r="B22" s="345">
        <v>0.70833333333333404</v>
      </c>
      <c r="C22" s="305">
        <v>1</v>
      </c>
      <c r="D22" s="306" t="s">
        <v>159</v>
      </c>
      <c r="E22" s="278">
        <v>14.1</v>
      </c>
      <c r="F22" s="279">
        <v>69.37</v>
      </c>
      <c r="G22" s="280" t="str" cm="1">
        <f t="array" aca="1" ref="G22" ca="1">INDIRECT("'"&amp;$C22&amp;"'!"&amp;"$"&amp;$D22&amp;$E$1&amp;"")</f>
        <v>CMS</v>
      </c>
      <c r="H22" s="281" t="s">
        <v>1</v>
      </c>
      <c r="I22" s="279" t="s">
        <v>1</v>
      </c>
      <c r="J22" s="280" cm="1">
        <f t="array" aca="1" ref="J22" ca="1">INDIRECT("'"&amp;$C22&amp;"'!"&amp;"$"&amp;$D22&amp;$J$1&amp;"")</f>
        <v>6.4</v>
      </c>
      <c r="K22" s="281"/>
      <c r="L22" s="281">
        <v>0.94</v>
      </c>
      <c r="M22" s="282">
        <v>2.42</v>
      </c>
      <c r="N22" s="278" cm="1">
        <f t="array" aca="1" ref="N22" ca="1">INDIRECT("'"&amp;$C22&amp;"'!"&amp;"$"&amp;$D22&amp;$N$1&amp;"")</f>
        <v>6.4</v>
      </c>
      <c r="O22" s="281"/>
      <c r="P22" s="281">
        <v>0.94</v>
      </c>
      <c r="Q22" s="279">
        <v>2.42</v>
      </c>
      <c r="R22" s="468" cm="1">
        <f t="array" aca="1" ref="R22" ca="1">INDIRECT("'"&amp;$C22&amp;"'!"&amp;"$"&amp;$D22&amp;$R$1&amp;"")</f>
        <v>6.4</v>
      </c>
      <c r="S22" s="281"/>
      <c r="T22" s="281">
        <v>0.94</v>
      </c>
      <c r="U22" s="279">
        <v>2.42</v>
      </c>
      <c r="V22" s="280" cm="1">
        <f t="array" aca="1" ref="V22" ca="1">INDIRECT("'"&amp;$C22&amp;"'!"&amp;"$"&amp;$D22&amp;$V$1&amp;"")</f>
        <v>2</v>
      </c>
      <c r="W22" s="281">
        <v>13.299999999999999</v>
      </c>
      <c r="X22" s="281">
        <v>0.93</v>
      </c>
      <c r="Y22" s="282">
        <v>0.74</v>
      </c>
      <c r="Z22" s="278" cm="1">
        <f t="array" aca="1" ref="Z22" ca="1">INDIRECT("'"&amp;$C22&amp;"'!"&amp;"$"&amp;$D22&amp;$Z$1&amp;"")</f>
        <v>0</v>
      </c>
      <c r="AA22" s="281" t="s">
        <v>1</v>
      </c>
      <c r="AB22" s="281" t="s">
        <v>1</v>
      </c>
      <c r="AC22" s="279" t="s">
        <v>1</v>
      </c>
      <c r="AD22" s="280" cm="1">
        <f t="array" aca="1" ref="AD22" ca="1">INDIRECT("'"&amp;$C22&amp;"'!"&amp;"$"&amp;$D22&amp;$AD$1&amp;"")</f>
        <v>3</v>
      </c>
      <c r="AE22" s="281">
        <v>13.3</v>
      </c>
      <c r="AF22" s="281">
        <v>0.93</v>
      </c>
      <c r="AG22" s="282">
        <v>0.87</v>
      </c>
      <c r="AH22" s="278" cm="1">
        <f t="array" aca="1" ref="AH22" ca="1">INDIRECT("'"&amp;$C22&amp;"'!"&amp;"$"&amp;$D22&amp;$AH$1&amp;"")</f>
        <v>3</v>
      </c>
      <c r="AI22" s="281">
        <v>14.08</v>
      </c>
      <c r="AJ22" s="281">
        <v>0.98</v>
      </c>
      <c r="AK22" s="279">
        <v>0.55900000000000005</v>
      </c>
      <c r="AL22" s="278">
        <v>11.6</v>
      </c>
      <c r="AM22" s="282">
        <v>70.8</v>
      </c>
      <c r="AN22" s="278" cm="1">
        <f t="array" aca="1" ref="AN22" ca="1">INDIRECT("'"&amp;$C22&amp;"'!"&amp;"$"&amp;$D22&amp;$AL$1&amp;"")</f>
        <v>0</v>
      </c>
      <c r="AO22" s="281" t="s">
        <v>1</v>
      </c>
      <c r="AP22" s="279" t="s">
        <v>1</v>
      </c>
      <c r="AQ22" s="280" cm="1">
        <f t="array" aca="1" ref="AQ22" ca="1">INDIRECT("'"&amp;$C22&amp;"'!"&amp;"$"&amp;$D22&amp;$AQ$1&amp;"")</f>
        <v>2.4</v>
      </c>
      <c r="AR22" s="281">
        <v>0.96</v>
      </c>
      <c r="AS22" s="279">
        <v>1</v>
      </c>
      <c r="AT22" s="278">
        <v>13.9</v>
      </c>
      <c r="AU22" s="282">
        <v>70.8</v>
      </c>
      <c r="AV22" s="281" cm="1">
        <f t="array" aca="1" ref="AV22" ca="1">INDIRECT("'"&amp;$C22&amp;"'!"&amp;"$"&amp;$D22&amp;$AV$1&amp;"")</f>
        <v>0</v>
      </c>
      <c r="AW22" s="280" t="s">
        <v>1</v>
      </c>
      <c r="AX22" s="281" t="s">
        <v>1</v>
      </c>
      <c r="AY22" s="279" t="s">
        <v>1</v>
      </c>
      <c r="AZ22" s="281" cm="1">
        <f t="array" aca="1" ref="AZ22" ca="1">INDIRECT("'"&amp;$C22&amp;"'!"&amp;"$"&amp;$D22&amp;$AZ$1&amp;"")</f>
        <v>7</v>
      </c>
      <c r="BA22" s="280" t="s">
        <v>1</v>
      </c>
      <c r="BB22" s="281">
        <v>0.97</v>
      </c>
      <c r="BC22" s="279">
        <v>1.65</v>
      </c>
      <c r="BD22" s="283">
        <v>14.17</v>
      </c>
      <c r="BE22" s="282">
        <v>71.709999999999994</v>
      </c>
      <c r="BF22" s="283" cm="1">
        <f t="array" aca="1" ref="BF22" ca="1">INDIRECT("'"&amp;$C22&amp;"'!"&amp;"$"&amp;$D22&amp;$BF$1&amp;"")</f>
        <v>14.19</v>
      </c>
      <c r="BG22" s="281">
        <v>0.98</v>
      </c>
      <c r="BH22" s="279">
        <v>3.4</v>
      </c>
      <c r="BI22" s="284">
        <v>68.2</v>
      </c>
      <c r="BJ22" s="278" cm="1">
        <f t="array" aca="1" ref="BJ22" ca="1">INDIRECT("'"&amp;$C22&amp;"'!"&amp;"$"&amp;$D22&amp;$BI$1&amp;"")</f>
        <v>0</v>
      </c>
      <c r="BK22" s="280" t="s">
        <v>1</v>
      </c>
      <c r="BL22" s="279" t="s">
        <v>1</v>
      </c>
      <c r="BM22" s="283" cm="1">
        <f t="array" aca="1" ref="BM22" ca="1">INDIRECT("'"&amp;$C22&amp;"'!"&amp;"$"&amp;$D22&amp;$BM$1&amp;"")</f>
        <v>1.2</v>
      </c>
      <c r="BN22" s="281"/>
      <c r="BO22" s="281">
        <v>0.99</v>
      </c>
      <c r="BP22" s="279">
        <v>0.15</v>
      </c>
      <c r="BQ22" s="284" cm="1">
        <f t="array" aca="1" ref="BQ22" ca="1">INDIRECT("'"&amp;$C22&amp;"'!"&amp;"$"&amp;$D22&amp;$BQ$1&amp;"")</f>
        <v>0.83</v>
      </c>
      <c r="BR22" s="281"/>
      <c r="BS22" s="281">
        <v>0.96</v>
      </c>
      <c r="BT22" s="279">
        <v>0.23</v>
      </c>
      <c r="BU22" s="284" cm="1">
        <f t="array" aca="1" ref="BU22" ca="1">INDIRECT("'"&amp;$C22&amp;"'!"&amp;"$"&amp;$D22&amp;74&amp;"")</f>
        <v>0</v>
      </c>
      <c r="BV22" s="281"/>
      <c r="BW22" s="281" t="s">
        <v>1</v>
      </c>
      <c r="BX22" s="279" t="s">
        <v>1</v>
      </c>
    </row>
    <row r="23" spans="1:76">
      <c r="A23" s="459">
        <v>45839</v>
      </c>
      <c r="B23" s="345">
        <v>0.750000000000001</v>
      </c>
      <c r="C23" s="305">
        <v>1</v>
      </c>
      <c r="D23" s="306" t="s">
        <v>160</v>
      </c>
      <c r="E23" s="285">
        <v>14</v>
      </c>
      <c r="F23" s="286">
        <v>69.75</v>
      </c>
      <c r="G23" s="287" t="str" cm="1">
        <f t="array" aca="1" ref="G23" ca="1">INDIRECT("'"&amp;$C23&amp;"'!"&amp;"$"&amp;$D23&amp;$E$1&amp;"")</f>
        <v>CMS</v>
      </c>
      <c r="H23" s="288" t="s">
        <v>1</v>
      </c>
      <c r="I23" s="286" t="s">
        <v>1</v>
      </c>
      <c r="J23" s="287" cm="1">
        <f t="array" aca="1" ref="J23" ca="1">INDIRECT("'"&amp;$C23&amp;"'!"&amp;"$"&amp;$D23&amp;$J$1&amp;"")</f>
        <v>6.6</v>
      </c>
      <c r="K23" s="288"/>
      <c r="L23" s="288">
        <v>0.94</v>
      </c>
      <c r="M23" s="289">
        <v>2.4900000000000002</v>
      </c>
      <c r="N23" s="285" cm="1">
        <f t="array" aca="1" ref="N23" ca="1">INDIRECT("'"&amp;$C23&amp;"'!"&amp;"$"&amp;$D23&amp;$N$1&amp;"")</f>
        <v>6.6</v>
      </c>
      <c r="O23" s="288"/>
      <c r="P23" s="288">
        <v>0.94</v>
      </c>
      <c r="Q23" s="286">
        <v>2.4900000000000002</v>
      </c>
      <c r="R23" s="285" cm="1">
        <f t="array" aca="1" ref="R23" ca="1">INDIRECT("'"&amp;$C23&amp;"'!"&amp;"$"&amp;$D23&amp;$R$1&amp;"")</f>
        <v>6.6</v>
      </c>
      <c r="S23" s="288"/>
      <c r="T23" s="288">
        <v>0.94</v>
      </c>
      <c r="U23" s="286">
        <v>2.4900000000000002</v>
      </c>
      <c r="V23" s="287" cm="1">
        <f t="array" aca="1" ref="V23" ca="1">INDIRECT("'"&amp;$C23&amp;"'!"&amp;"$"&amp;$D23&amp;$V$1&amp;"")</f>
        <v>2</v>
      </c>
      <c r="W23" s="288">
        <f>3.8*3.56</f>
        <v>13.527999999999999</v>
      </c>
      <c r="X23" s="288">
        <v>0.93</v>
      </c>
      <c r="Y23" s="289">
        <v>0.75</v>
      </c>
      <c r="Z23" s="285" cm="1">
        <f t="array" aca="1" ref="Z23" ca="1">INDIRECT("'"&amp;$C23&amp;"'!"&amp;"$"&amp;$D23&amp;$Z$1&amp;"")</f>
        <v>0</v>
      </c>
      <c r="AA23" s="288" t="s">
        <v>1</v>
      </c>
      <c r="AB23" s="288" t="s">
        <v>1</v>
      </c>
      <c r="AC23" s="286" t="s">
        <v>1</v>
      </c>
      <c r="AD23" s="287" cm="1">
        <f t="array" aca="1" ref="AD23" ca="1">INDIRECT("'"&amp;$C23&amp;"'!"&amp;"$"&amp;$D23&amp;$AD$1&amp;"")</f>
        <v>3</v>
      </c>
      <c r="AE23" s="288">
        <v>13.53</v>
      </c>
      <c r="AF23" s="288">
        <v>0.93</v>
      </c>
      <c r="AG23" s="289">
        <v>0.9</v>
      </c>
      <c r="AH23" s="285" cm="1">
        <f t="array" aca="1" ref="AH23" ca="1">INDIRECT("'"&amp;$C23&amp;"'!"&amp;"$"&amp;$D23&amp;$AH$1&amp;"")</f>
        <v>3</v>
      </c>
      <c r="AI23" s="288">
        <v>14.08</v>
      </c>
      <c r="AJ23" s="288">
        <v>0.99</v>
      </c>
      <c r="AK23" s="286">
        <v>0.29099999999999998</v>
      </c>
      <c r="AL23" s="285">
        <v>11.6</v>
      </c>
      <c r="AM23" s="289">
        <v>70.900000000000006</v>
      </c>
      <c r="AN23" s="285" cm="1">
        <f t="array" aca="1" ref="AN23" ca="1">INDIRECT("'"&amp;$C23&amp;"'!"&amp;"$"&amp;$D23&amp;$AL$1&amp;"")</f>
        <v>0</v>
      </c>
      <c r="AO23" s="288" t="s">
        <v>1</v>
      </c>
      <c r="AP23" s="286" t="s">
        <v>1</v>
      </c>
      <c r="AQ23" s="287" cm="1">
        <f t="array" aca="1" ref="AQ23" ca="1">INDIRECT("'"&amp;$C23&amp;"'!"&amp;"$"&amp;$D23&amp;$AQ$1&amp;"")</f>
        <v>2</v>
      </c>
      <c r="AR23" s="288">
        <v>0.93</v>
      </c>
      <c r="AS23" s="286">
        <v>0.9</v>
      </c>
      <c r="AT23" s="285">
        <v>13.9</v>
      </c>
      <c r="AU23" s="289">
        <v>70.8</v>
      </c>
      <c r="AV23" s="288" cm="1">
        <f t="array" aca="1" ref="AV23" ca="1">INDIRECT("'"&amp;$C23&amp;"'!"&amp;"$"&amp;$D23&amp;$AV$1&amp;"")</f>
        <v>0</v>
      </c>
      <c r="AW23" s="287" t="s">
        <v>1</v>
      </c>
      <c r="AX23" s="288" t="s">
        <v>1</v>
      </c>
      <c r="AY23" s="286" t="s">
        <v>1</v>
      </c>
      <c r="AZ23" s="288" cm="1">
        <f t="array" aca="1" ref="AZ23" ca="1">INDIRECT("'"&amp;$C23&amp;"'!"&amp;"$"&amp;$D23&amp;$AZ$1&amp;"")</f>
        <v>5.6</v>
      </c>
      <c r="BA23" s="287" t="s">
        <v>1</v>
      </c>
      <c r="BB23" s="288">
        <v>0.97</v>
      </c>
      <c r="BC23" s="286">
        <v>1.46</v>
      </c>
      <c r="BD23" s="290">
        <v>14.23</v>
      </c>
      <c r="BE23" s="289">
        <v>72.010000000000005</v>
      </c>
      <c r="BF23" s="290" cm="1">
        <f t="array" aca="1" ref="BF23" ca="1">INDIRECT("'"&amp;$C23&amp;"'!"&amp;"$"&amp;$D23&amp;$BF$1&amp;"")</f>
        <v>14.19</v>
      </c>
      <c r="BG23" s="288">
        <v>0.99</v>
      </c>
      <c r="BH23" s="286">
        <v>2.4</v>
      </c>
      <c r="BI23" s="291">
        <v>68.599999999999994</v>
      </c>
      <c r="BJ23" s="285" cm="1">
        <f t="array" aca="1" ref="BJ23" ca="1">INDIRECT("'"&amp;$C23&amp;"'!"&amp;"$"&amp;$D23&amp;$BI$1&amp;"")</f>
        <v>0</v>
      </c>
      <c r="BK23" s="287" t="s">
        <v>1</v>
      </c>
      <c r="BL23" s="286" t="s">
        <v>1</v>
      </c>
      <c r="BM23" s="290" cm="1">
        <f t="array" aca="1" ref="BM23" ca="1">INDIRECT("'"&amp;$C23&amp;"'!"&amp;"$"&amp;$D23&amp;$BM$1&amp;"")</f>
        <v>1.1599999999999999</v>
      </c>
      <c r="BN23" s="288"/>
      <c r="BO23" s="288">
        <v>0.99</v>
      </c>
      <c r="BP23" s="286">
        <v>0.15</v>
      </c>
      <c r="BQ23" s="291" cm="1">
        <f t="array" aca="1" ref="BQ23" ca="1">INDIRECT("'"&amp;$C23&amp;"'!"&amp;"$"&amp;$D23&amp;$BQ$1&amp;"")</f>
        <v>0.85</v>
      </c>
      <c r="BR23" s="288"/>
      <c r="BS23" s="288">
        <v>0.96</v>
      </c>
      <c r="BT23" s="286">
        <v>0.24</v>
      </c>
      <c r="BU23" s="291" cm="1">
        <f t="array" aca="1" ref="BU23" ca="1">INDIRECT("'"&amp;$C23&amp;"'!"&amp;"$"&amp;$D23&amp;74&amp;"")</f>
        <v>0</v>
      </c>
      <c r="BV23" s="288"/>
      <c r="BW23" s="288" t="s">
        <v>1</v>
      </c>
      <c r="BX23" s="286" t="s">
        <v>1</v>
      </c>
    </row>
    <row r="24" spans="1:76">
      <c r="A24" s="459">
        <v>45839</v>
      </c>
      <c r="B24" s="345">
        <v>0.79166666666666696</v>
      </c>
      <c r="C24" s="305">
        <v>1</v>
      </c>
      <c r="D24" s="306" t="s">
        <v>161</v>
      </c>
      <c r="E24" s="278">
        <v>14.1</v>
      </c>
      <c r="F24" s="279">
        <v>69.599999999999994</v>
      </c>
      <c r="G24" s="280" t="str" cm="1">
        <f t="array" aca="1" ref="G24" ca="1">INDIRECT("'"&amp;$C24&amp;"'!"&amp;"$"&amp;$D24&amp;$E$1&amp;"")</f>
        <v>CMS</v>
      </c>
      <c r="H24" s="281" t="s">
        <v>1</v>
      </c>
      <c r="I24" s="279" t="s">
        <v>1</v>
      </c>
      <c r="J24" s="280" cm="1">
        <f t="array" aca="1" ref="J24" ca="1">INDIRECT("'"&amp;$C24&amp;"'!"&amp;"$"&amp;$D24&amp;$J$1&amp;"")</f>
        <v>6.6</v>
      </c>
      <c r="K24" s="292"/>
      <c r="L24" s="281">
        <v>0.94</v>
      </c>
      <c r="M24" s="282">
        <v>2.44</v>
      </c>
      <c r="N24" s="278" cm="1">
        <f t="array" aca="1" ref="N24" ca="1">INDIRECT("'"&amp;$C24&amp;"'!"&amp;"$"&amp;$D24&amp;$N$1&amp;"")</f>
        <v>6.6</v>
      </c>
      <c r="O24" s="281"/>
      <c r="P24" s="281">
        <v>0.94</v>
      </c>
      <c r="Q24" s="279">
        <v>2.44</v>
      </c>
      <c r="R24" s="468" cm="1">
        <f t="array" aca="1" ref="R24" ca="1">INDIRECT("'"&amp;$C24&amp;"'!"&amp;"$"&amp;$D24&amp;$R$1&amp;"")</f>
        <v>6.6</v>
      </c>
      <c r="S24" s="281"/>
      <c r="T24" s="281">
        <v>0.94</v>
      </c>
      <c r="U24" s="279">
        <v>2.44</v>
      </c>
      <c r="V24" s="280" cm="1">
        <f t="array" aca="1" ref="V24" ca="1">INDIRECT("'"&amp;$C24&amp;"'!"&amp;"$"&amp;$D24&amp;$V$1&amp;"")</f>
        <v>2.8</v>
      </c>
      <c r="W24" s="281">
        <f>3.8*3.57</f>
        <v>13.565999999999999</v>
      </c>
      <c r="X24" s="281">
        <v>0.94</v>
      </c>
      <c r="Y24" s="282">
        <v>0.95</v>
      </c>
      <c r="Z24" s="278" cm="1">
        <f t="array" aca="1" ref="Z24" ca="1">INDIRECT("'"&amp;$C24&amp;"'!"&amp;"$"&amp;$D24&amp;$Z$1&amp;"")</f>
        <v>0</v>
      </c>
      <c r="AA24" s="281" t="s">
        <v>1</v>
      </c>
      <c r="AB24" s="281" t="s">
        <v>1</v>
      </c>
      <c r="AC24" s="279" t="s">
        <v>1</v>
      </c>
      <c r="AD24" s="280" cm="1">
        <f t="array" aca="1" ref="AD24" ca="1">INDIRECT("'"&amp;$C24&amp;"'!"&amp;"$"&amp;$D24&amp;$AD$1&amp;"")</f>
        <v>3.8</v>
      </c>
      <c r="AE24" s="281">
        <v>13.57</v>
      </c>
      <c r="AF24" s="281">
        <v>0.94</v>
      </c>
      <c r="AG24" s="282">
        <v>1.33</v>
      </c>
      <c r="AH24" s="278" cm="1">
        <f t="array" aca="1" ref="AH24" ca="1">INDIRECT("'"&amp;$C24&amp;"'!"&amp;"$"&amp;$D24&amp;$AH$1&amp;"")</f>
        <v>3.8</v>
      </c>
      <c r="AI24" s="281">
        <v>14.04</v>
      </c>
      <c r="AJ24" s="281">
        <v>0.99</v>
      </c>
      <c r="AK24" s="279">
        <v>0.379</v>
      </c>
      <c r="AL24" s="278">
        <v>11.6</v>
      </c>
      <c r="AM24" s="282">
        <v>70.900000000000006</v>
      </c>
      <c r="AN24" s="278" cm="1">
        <f t="array" aca="1" ref="AN24" ca="1">INDIRECT("'"&amp;$C24&amp;"'!"&amp;"$"&amp;$D24&amp;$AL$1&amp;"")</f>
        <v>0</v>
      </c>
      <c r="AO24" s="281" t="s">
        <v>1</v>
      </c>
      <c r="AP24" s="279" t="s">
        <v>1</v>
      </c>
      <c r="AQ24" s="280" cm="1">
        <f t="array" aca="1" ref="AQ24" ca="1">INDIRECT("'"&amp;$C24&amp;"'!"&amp;"$"&amp;$D24&amp;$AQ$1&amp;"")</f>
        <v>3.7</v>
      </c>
      <c r="AR24" s="281">
        <v>0.98</v>
      </c>
      <c r="AS24" s="279">
        <v>0.65</v>
      </c>
      <c r="AT24" s="278">
        <v>13.8</v>
      </c>
      <c r="AU24" s="282">
        <v>70.7</v>
      </c>
      <c r="AV24" s="281" cm="1">
        <f t="array" aca="1" ref="AV24" ca="1">INDIRECT("'"&amp;$C24&amp;"'!"&amp;"$"&amp;$D24&amp;$AV$1&amp;"")</f>
        <v>0</v>
      </c>
      <c r="AW24" s="280">
        <v>13.7</v>
      </c>
      <c r="AX24" s="281" t="s">
        <v>1</v>
      </c>
      <c r="AY24" s="279" t="s">
        <v>1</v>
      </c>
      <c r="AZ24" s="281" cm="1">
        <f t="array" aca="1" ref="AZ24" ca="1">INDIRECT("'"&amp;$C24&amp;"'!"&amp;"$"&amp;$D24&amp;$AZ$1&amp;"")</f>
        <v>7</v>
      </c>
      <c r="BA24" s="280">
        <v>13.7</v>
      </c>
      <c r="BB24" s="281">
        <v>0.98</v>
      </c>
      <c r="BC24" s="279">
        <v>1.59</v>
      </c>
      <c r="BD24" s="283">
        <v>14.16</v>
      </c>
      <c r="BE24" s="282">
        <v>71.62</v>
      </c>
      <c r="BF24" s="283" cm="1">
        <f t="array" aca="1" ref="BF24" ca="1">INDIRECT("'"&amp;$C24&amp;"'!"&amp;"$"&amp;$D24&amp;$BF$1&amp;"")</f>
        <v>14.15</v>
      </c>
      <c r="BG24" s="281">
        <v>0.99</v>
      </c>
      <c r="BH24" s="279">
        <v>2.2999999999999998</v>
      </c>
      <c r="BI24" s="284">
        <v>68.599999999999994</v>
      </c>
      <c r="BJ24" s="278" cm="1">
        <f t="array" aca="1" ref="BJ24" ca="1">INDIRECT("'"&amp;$C24&amp;"'!"&amp;"$"&amp;$D24&amp;$BI$1&amp;"")</f>
        <v>0</v>
      </c>
      <c r="BK24" s="280" t="s">
        <v>1</v>
      </c>
      <c r="BL24" s="279" t="s">
        <v>1</v>
      </c>
      <c r="BM24" s="283" cm="1">
        <f t="array" aca="1" ref="BM24" ca="1">INDIRECT("'"&amp;$C24&amp;"'!"&amp;"$"&amp;$D24&amp;$BM$1&amp;"")</f>
        <v>1.41</v>
      </c>
      <c r="BN24" s="281"/>
      <c r="BO24" s="281">
        <v>0.99</v>
      </c>
      <c r="BP24" s="279">
        <v>0.15</v>
      </c>
      <c r="BQ24" s="284" cm="1">
        <f t="array" aca="1" ref="BQ24" ca="1">INDIRECT("'"&amp;$C24&amp;"'!"&amp;"$"&amp;$D24&amp;$BQ$1&amp;"")</f>
        <v>0.97</v>
      </c>
      <c r="BR24" s="281"/>
      <c r="BS24" s="281">
        <v>0.97</v>
      </c>
      <c r="BT24" s="279">
        <v>0.24</v>
      </c>
      <c r="BU24" s="284" cm="1">
        <f t="array" aca="1" ref="BU24" ca="1">INDIRECT("'"&amp;$C24&amp;"'!"&amp;"$"&amp;$D24&amp;74&amp;"")</f>
        <v>0</v>
      </c>
      <c r="BV24" s="281"/>
      <c r="BW24" s="281" t="s">
        <v>1</v>
      </c>
      <c r="BX24" s="279" t="s">
        <v>1</v>
      </c>
    </row>
    <row r="25" spans="1:76">
      <c r="A25" s="459">
        <v>45839</v>
      </c>
      <c r="B25" s="345">
        <v>0.83333333333333337</v>
      </c>
      <c r="C25" s="305">
        <v>1</v>
      </c>
      <c r="D25" s="306" t="s">
        <v>162</v>
      </c>
      <c r="E25" s="285">
        <v>14.1</v>
      </c>
      <c r="F25" s="286">
        <v>69.319999999999993</v>
      </c>
      <c r="G25" s="287" t="str" cm="1">
        <f t="array" aca="1" ref="G25" ca="1">INDIRECT("'"&amp;$C25&amp;"'!"&amp;"$"&amp;$D25&amp;$E$1&amp;"")</f>
        <v>CMS</v>
      </c>
      <c r="H25" s="288" t="s">
        <v>1</v>
      </c>
      <c r="I25" s="286" t="s">
        <v>1</v>
      </c>
      <c r="J25" s="287" cm="1">
        <f t="array" aca="1" ref="J25" ca="1">INDIRECT("'"&amp;$C25&amp;"'!"&amp;"$"&amp;$D25&amp;$J$1&amp;"")</f>
        <v>6.6</v>
      </c>
      <c r="K25" s="288"/>
      <c r="L25" s="288">
        <v>0.97</v>
      </c>
      <c r="M25" s="289">
        <v>1.62</v>
      </c>
      <c r="N25" s="285" cm="1">
        <f t="array" aca="1" ref="N25" ca="1">INDIRECT("'"&amp;$C25&amp;"'!"&amp;"$"&amp;$D25&amp;$N$1&amp;"")</f>
        <v>6.6</v>
      </c>
      <c r="O25" s="288"/>
      <c r="P25" s="288">
        <v>0.97</v>
      </c>
      <c r="Q25" s="286">
        <v>1.62</v>
      </c>
      <c r="R25" s="285" cm="1">
        <f t="array" aca="1" ref="R25" ca="1">INDIRECT("'"&amp;$C25&amp;"'!"&amp;"$"&amp;$D25&amp;$R$1&amp;"")</f>
        <v>6.6</v>
      </c>
      <c r="S25" s="288"/>
      <c r="T25" s="288">
        <v>0.97</v>
      </c>
      <c r="U25" s="286">
        <v>1.62</v>
      </c>
      <c r="V25" s="287" cm="1">
        <f t="array" aca="1" ref="V25" ca="1">INDIRECT("'"&amp;$C25&amp;"'!"&amp;"$"&amp;$D25&amp;$V$1&amp;"")</f>
        <v>2</v>
      </c>
      <c r="W25" s="288">
        <f>3.8*3.55</f>
        <v>13.489999999999998</v>
      </c>
      <c r="X25" s="288">
        <v>0.94</v>
      </c>
      <c r="Y25" s="289">
        <v>0.66</v>
      </c>
      <c r="Z25" s="285" cm="1">
        <f t="array" aca="1" ref="Z25" ca="1">INDIRECT("'"&amp;$C25&amp;"'!"&amp;"$"&amp;$D25&amp;$Z$1&amp;"")</f>
        <v>0</v>
      </c>
      <c r="AA25" s="288" t="s">
        <v>1</v>
      </c>
      <c r="AB25" s="288" t="s">
        <v>1</v>
      </c>
      <c r="AC25" s="286" t="s">
        <v>1</v>
      </c>
      <c r="AD25" s="287" cm="1">
        <f t="array" aca="1" ref="AD25" ca="1">INDIRECT("'"&amp;$C25&amp;"'!"&amp;"$"&amp;$D25&amp;$AD$1&amp;"")</f>
        <v>3</v>
      </c>
      <c r="AE25" s="288">
        <v>13.49</v>
      </c>
      <c r="AF25" s="288">
        <v>0.94</v>
      </c>
      <c r="AG25" s="289">
        <v>0.81</v>
      </c>
      <c r="AH25" s="285" cm="1">
        <f t="array" aca="1" ref="AH25" ca="1">INDIRECT("'"&amp;$C25&amp;"'!"&amp;"$"&amp;$D25&amp;$AH$1&amp;"")</f>
        <v>3</v>
      </c>
      <c r="AI25" s="288">
        <v>14</v>
      </c>
      <c r="AJ25" s="288">
        <v>0.99</v>
      </c>
      <c r="AK25" s="286">
        <v>0.27400000000000002</v>
      </c>
      <c r="AL25" s="285">
        <v>11.6</v>
      </c>
      <c r="AM25" s="289">
        <v>70.599999999999994</v>
      </c>
      <c r="AN25" s="285" cm="1">
        <f t="array" aca="1" ref="AN25" ca="1">INDIRECT("'"&amp;$C25&amp;"'!"&amp;"$"&amp;$D25&amp;$AL$1&amp;"")</f>
        <v>0</v>
      </c>
      <c r="AO25" s="288" t="s">
        <v>1</v>
      </c>
      <c r="AP25" s="286" t="s">
        <v>1</v>
      </c>
      <c r="AQ25" s="287" cm="1">
        <f t="array" aca="1" ref="AQ25" ca="1">INDIRECT("'"&amp;$C25&amp;"'!"&amp;"$"&amp;$D25&amp;$AQ$1&amp;"")</f>
        <v>2</v>
      </c>
      <c r="AR25" s="288">
        <v>0.94</v>
      </c>
      <c r="AS25" s="286">
        <v>0.88</v>
      </c>
      <c r="AT25" s="285">
        <v>13.8</v>
      </c>
      <c r="AU25" s="289">
        <v>70.7</v>
      </c>
      <c r="AV25" s="288" cm="1">
        <f t="array" aca="1" ref="AV25" ca="1">INDIRECT("'"&amp;$C25&amp;"'!"&amp;"$"&amp;$D25&amp;$AV$1&amp;"")</f>
        <v>0</v>
      </c>
      <c r="AW25" s="287" t="s">
        <v>1</v>
      </c>
      <c r="AX25" s="288" t="s">
        <v>1</v>
      </c>
      <c r="AY25" s="286" t="s">
        <v>1</v>
      </c>
      <c r="AZ25" s="288" cm="1">
        <f t="array" aca="1" ref="AZ25" ca="1">INDIRECT("'"&amp;$C25&amp;"'!"&amp;"$"&amp;$D25&amp;$AZ$1&amp;"")</f>
        <v>7</v>
      </c>
      <c r="BA25" s="287" t="s">
        <v>1</v>
      </c>
      <c r="BB25" s="288">
        <v>0.99</v>
      </c>
      <c r="BC25" s="286">
        <v>0.93</v>
      </c>
      <c r="BD25" s="290">
        <v>14.17</v>
      </c>
      <c r="BE25" s="289">
        <v>71.7</v>
      </c>
      <c r="BF25" s="290" cm="1">
        <f t="array" aca="1" ref="BF25" ca="1">INDIRECT("'"&amp;$C25&amp;"'!"&amp;"$"&amp;$D25&amp;$BF$1&amp;"")</f>
        <v>14.17</v>
      </c>
      <c r="BG25" s="288">
        <v>0.99</v>
      </c>
      <c r="BH25" s="286">
        <v>2.2999999999999998</v>
      </c>
      <c r="BI25" s="291">
        <v>68.3</v>
      </c>
      <c r="BJ25" s="285" cm="1">
        <f t="array" aca="1" ref="BJ25" ca="1">INDIRECT("'"&amp;$C25&amp;"'!"&amp;"$"&amp;$D25&amp;$BI$1&amp;"")</f>
        <v>0</v>
      </c>
      <c r="BK25" s="287" t="s">
        <v>1</v>
      </c>
      <c r="BL25" s="286" t="s">
        <v>1</v>
      </c>
      <c r="BM25" s="290" cm="1">
        <f t="array" aca="1" ref="BM25" ca="1">INDIRECT("'"&amp;$C25&amp;"'!"&amp;"$"&amp;$D25&amp;$BM$1&amp;"")</f>
        <v>1.45</v>
      </c>
      <c r="BN25" s="288"/>
      <c r="BO25" s="288">
        <v>0.99</v>
      </c>
      <c r="BP25" s="286">
        <v>0.16</v>
      </c>
      <c r="BQ25" s="291" cm="1">
        <f t="array" aca="1" ref="BQ25" ca="1">INDIRECT("'"&amp;$C25&amp;"'!"&amp;"$"&amp;$D25&amp;$BQ$1&amp;"")</f>
        <v>0.98</v>
      </c>
      <c r="BR25" s="288"/>
      <c r="BS25" s="288">
        <v>0.97</v>
      </c>
      <c r="BT25" s="286">
        <v>0.24</v>
      </c>
      <c r="BU25" s="291" cm="1">
        <f t="array" aca="1" ref="BU25" ca="1">INDIRECT("'"&amp;$C25&amp;"'!"&amp;"$"&amp;$D25&amp;74&amp;"")</f>
        <v>0</v>
      </c>
      <c r="BV25" s="288"/>
      <c r="BW25" s="288" t="s">
        <v>1</v>
      </c>
      <c r="BX25" s="286" t="s">
        <v>1</v>
      </c>
    </row>
    <row r="26" spans="1:76">
      <c r="A26" s="459">
        <v>45839</v>
      </c>
      <c r="B26" s="345">
        <v>0.875000000000001</v>
      </c>
      <c r="C26" s="305">
        <v>1</v>
      </c>
      <c r="D26" s="306" t="s">
        <v>163</v>
      </c>
      <c r="E26" s="278">
        <v>14</v>
      </c>
      <c r="F26" s="279">
        <v>69.430000000000007</v>
      </c>
      <c r="G26" s="280" t="str" cm="1">
        <f t="array" aca="1" ref="G26" ca="1">INDIRECT("'"&amp;$C26&amp;"'!"&amp;"$"&amp;$D26&amp;$E$1&amp;"")</f>
        <v>CMS</v>
      </c>
      <c r="H26" s="281" t="s">
        <v>1</v>
      </c>
      <c r="I26" s="279" t="s">
        <v>1</v>
      </c>
      <c r="J26" s="280" cm="1">
        <f t="array" aca="1" ref="J26" ca="1">INDIRECT("'"&amp;$C26&amp;"'!"&amp;"$"&amp;$D26&amp;$J$1&amp;"")</f>
        <v>6.5</v>
      </c>
      <c r="K26" s="281"/>
      <c r="L26" s="281">
        <v>0.96</v>
      </c>
      <c r="M26" s="282">
        <v>1.89</v>
      </c>
      <c r="N26" s="278" cm="1">
        <f t="array" aca="1" ref="N26" ca="1">INDIRECT("'"&amp;$C26&amp;"'!"&amp;"$"&amp;$D26&amp;$N$1&amp;"")</f>
        <v>6.5</v>
      </c>
      <c r="O26" s="281"/>
      <c r="P26" s="281">
        <v>0.96</v>
      </c>
      <c r="Q26" s="279">
        <v>1.89</v>
      </c>
      <c r="R26" s="468" t="str" cm="1">
        <f t="array" aca="1" ref="R26" ca="1">INDIRECT("'"&amp;$C26&amp;"'!"&amp;"$"&amp;$D26&amp;$R$1&amp;"")</f>
        <v>CMS</v>
      </c>
      <c r="S26" s="281"/>
      <c r="T26" s="281">
        <v>0.96</v>
      </c>
      <c r="U26" s="279">
        <v>0.89</v>
      </c>
      <c r="V26" s="280" cm="1">
        <f t="array" aca="1" ref="V26" ca="1">INDIRECT("'"&amp;$C26&amp;"'!"&amp;"$"&amp;$D26&amp;$V$1&amp;"")</f>
        <v>2.8</v>
      </c>
      <c r="W26" s="281">
        <f>3.8*3.58</f>
        <v>13.603999999999999</v>
      </c>
      <c r="X26" s="281">
        <v>0.95</v>
      </c>
      <c r="Y26" s="282">
        <v>0.84</v>
      </c>
      <c r="Z26" s="278" cm="1">
        <f t="array" aca="1" ref="Z26" ca="1">INDIRECT("'"&amp;$C26&amp;"'!"&amp;"$"&amp;$D26&amp;$Z$1&amp;"")</f>
        <v>0</v>
      </c>
      <c r="AA26" s="281" t="s">
        <v>1</v>
      </c>
      <c r="AB26" s="281" t="s">
        <v>1</v>
      </c>
      <c r="AC26" s="279" t="s">
        <v>1</v>
      </c>
      <c r="AD26" s="280" cm="1">
        <f t="array" aca="1" ref="AD26" ca="1">INDIRECT("'"&amp;$C26&amp;"'!"&amp;"$"&amp;$D26&amp;$AD$1&amp;"")</f>
        <v>3.4</v>
      </c>
      <c r="AE26" s="281">
        <v>13.6</v>
      </c>
      <c r="AF26" s="281">
        <v>0.95</v>
      </c>
      <c r="AG26" s="282">
        <v>1.1299999999999999</v>
      </c>
      <c r="AH26" s="278" cm="1">
        <f t="array" aca="1" ref="AH26" ca="1">INDIRECT("'"&amp;$C26&amp;"'!"&amp;"$"&amp;$D26&amp;$AH$1&amp;"")</f>
        <v>3.8</v>
      </c>
      <c r="AI26" s="281">
        <v>14</v>
      </c>
      <c r="AJ26" s="281">
        <v>0.99</v>
      </c>
      <c r="AK26" s="279">
        <v>0.13100000000000001</v>
      </c>
      <c r="AL26" s="278">
        <v>11.6</v>
      </c>
      <c r="AM26" s="282">
        <v>70.900000000000006</v>
      </c>
      <c r="AN26" s="278" cm="1">
        <f t="array" aca="1" ref="AN26" ca="1">INDIRECT("'"&amp;$C26&amp;"'!"&amp;"$"&amp;$D26&amp;$AL$1&amp;"")</f>
        <v>0</v>
      </c>
      <c r="AO26" s="281" t="s">
        <v>1</v>
      </c>
      <c r="AP26" s="279" t="s">
        <v>1</v>
      </c>
      <c r="AQ26" s="280" cm="1">
        <f t="array" aca="1" ref="AQ26" ca="1">INDIRECT("'"&amp;$C26&amp;"'!"&amp;"$"&amp;$D26&amp;$AQ$1&amp;"")</f>
        <v>3.8</v>
      </c>
      <c r="AR26" s="281">
        <v>0.99</v>
      </c>
      <c r="AS26" s="279">
        <v>0.43</v>
      </c>
      <c r="AT26" s="278">
        <v>13.9</v>
      </c>
      <c r="AU26" s="282">
        <v>70.7</v>
      </c>
      <c r="AV26" s="281" cm="1">
        <f t="array" aca="1" ref="AV26" ca="1">INDIRECT("'"&amp;$C26&amp;"'!"&amp;"$"&amp;$D26&amp;$AV$1&amp;"")</f>
        <v>0</v>
      </c>
      <c r="AW26" s="280" t="s">
        <v>1</v>
      </c>
      <c r="AX26" s="281" t="s">
        <v>1</v>
      </c>
      <c r="AY26" s="279" t="s">
        <v>1</v>
      </c>
      <c r="AZ26" s="281" cm="1">
        <f t="array" aca="1" ref="AZ26" ca="1">INDIRECT("'"&amp;$C26&amp;"'!"&amp;"$"&amp;$D26&amp;$AZ$1&amp;"")</f>
        <v>7</v>
      </c>
      <c r="BA26" s="280" t="s">
        <v>1</v>
      </c>
      <c r="BB26" s="281">
        <v>0.98</v>
      </c>
      <c r="BC26" s="279">
        <v>1.24</v>
      </c>
      <c r="BD26" s="283">
        <v>14.19</v>
      </c>
      <c r="BE26" s="282">
        <v>71.709999999999994</v>
      </c>
      <c r="BF26" s="283" cm="1">
        <f t="array" aca="1" ref="BF26" ca="1">INDIRECT("'"&amp;$C26&amp;"'!"&amp;"$"&amp;$D26&amp;$BF$1&amp;"")</f>
        <v>14.12</v>
      </c>
      <c r="BG26" s="281">
        <v>0.99</v>
      </c>
      <c r="BH26" s="279">
        <v>2.34</v>
      </c>
      <c r="BI26" s="284">
        <v>68.400000000000006</v>
      </c>
      <c r="BJ26" s="278" cm="1">
        <f t="array" aca="1" ref="BJ26" ca="1">INDIRECT("'"&amp;$C26&amp;"'!"&amp;"$"&amp;$D26&amp;$BI$1&amp;"")</f>
        <v>0</v>
      </c>
      <c r="BK26" s="280" t="s">
        <v>1</v>
      </c>
      <c r="BL26" s="279" t="s">
        <v>1</v>
      </c>
      <c r="BM26" s="283" cm="1">
        <f t="array" aca="1" ref="BM26" ca="1">INDIRECT("'"&amp;$C26&amp;"'!"&amp;"$"&amp;$D26&amp;$BM$1&amp;"")</f>
        <v>1.36</v>
      </c>
      <c r="BN26" s="281"/>
      <c r="BO26" s="281">
        <v>0.99</v>
      </c>
      <c r="BP26" s="279">
        <v>0.15</v>
      </c>
      <c r="BQ26" s="284" cm="1">
        <f t="array" aca="1" ref="BQ26" ca="1">INDIRECT("'"&amp;$C26&amp;"'!"&amp;"$"&amp;$D26&amp;$BQ$1&amp;"")</f>
        <v>0.96</v>
      </c>
      <c r="BR26" s="281"/>
      <c r="BS26" s="281">
        <v>0.97</v>
      </c>
      <c r="BT26" s="279">
        <v>0.24</v>
      </c>
      <c r="BU26" s="284" cm="1">
        <f t="array" aca="1" ref="BU26" ca="1">INDIRECT("'"&amp;$C26&amp;"'!"&amp;"$"&amp;$D26&amp;74&amp;"")</f>
        <v>0</v>
      </c>
      <c r="BV26" s="281"/>
      <c r="BW26" s="281" t="s">
        <v>1</v>
      </c>
      <c r="BX26" s="279" t="s">
        <v>1</v>
      </c>
    </row>
    <row r="27" spans="1:76">
      <c r="A27" s="459">
        <v>45839</v>
      </c>
      <c r="B27" s="345">
        <v>0.91666666666666696</v>
      </c>
      <c r="C27" s="305">
        <v>1</v>
      </c>
      <c r="D27" s="306" t="s">
        <v>164</v>
      </c>
      <c r="E27" s="285">
        <v>14.1</v>
      </c>
      <c r="F27" s="286">
        <v>69.95</v>
      </c>
      <c r="G27" s="287" t="str" cm="1">
        <f t="array" aca="1" ref="G27" ca="1">INDIRECT("'"&amp;$C27&amp;"'!"&amp;"$"&amp;$D27&amp;$E$1&amp;"")</f>
        <v>CMS</v>
      </c>
      <c r="H27" s="288" t="s">
        <v>1</v>
      </c>
      <c r="I27" s="286" t="s">
        <v>1</v>
      </c>
      <c r="J27" s="287" cm="1">
        <f t="array" aca="1" ref="J27" ca="1">INDIRECT("'"&amp;$C27&amp;"'!"&amp;"$"&amp;$D27&amp;$J$1&amp;"")</f>
        <v>6.5</v>
      </c>
      <c r="K27" s="288"/>
      <c r="L27" s="288">
        <v>0.97</v>
      </c>
      <c r="M27" s="289">
        <v>1.6</v>
      </c>
      <c r="N27" s="285" cm="1">
        <f t="array" aca="1" ref="N27" ca="1">INDIRECT("'"&amp;$C27&amp;"'!"&amp;"$"&amp;$D27&amp;$N$1&amp;"")</f>
        <v>6.5</v>
      </c>
      <c r="O27" s="288"/>
      <c r="P27" s="288">
        <v>0.97</v>
      </c>
      <c r="Q27" s="286">
        <v>1.6</v>
      </c>
      <c r="R27" s="285" t="str" cm="1">
        <f t="array" aca="1" ref="R27" ca="1">INDIRECT("'"&amp;$C27&amp;"'!"&amp;"$"&amp;$D27&amp;$R$1&amp;"")</f>
        <v>CMS</v>
      </c>
      <c r="S27" s="288"/>
      <c r="T27" s="288" t="s">
        <v>1</v>
      </c>
      <c r="U27" s="286" t="s">
        <v>1</v>
      </c>
      <c r="V27" s="287" cm="1">
        <f t="array" aca="1" ref="V27" ca="1">INDIRECT("'"&amp;$C27&amp;"'!"&amp;"$"&amp;$D27&amp;$V$1&amp;"")</f>
        <v>2.8</v>
      </c>
      <c r="W27" s="288">
        <f>3.61*3.8</f>
        <v>13.717999999999998</v>
      </c>
      <c r="X27" s="288">
        <v>0.95</v>
      </c>
      <c r="Y27" s="289">
        <v>0.83</v>
      </c>
      <c r="Z27" s="285" cm="1">
        <f t="array" aca="1" ref="Z27" ca="1">INDIRECT("'"&amp;$C27&amp;"'!"&amp;"$"&amp;$D27&amp;$Z$1&amp;"")</f>
        <v>0</v>
      </c>
      <c r="AA27" s="288" t="s">
        <v>1</v>
      </c>
      <c r="AB27" s="288" t="s">
        <v>1</v>
      </c>
      <c r="AC27" s="286" t="s">
        <v>1</v>
      </c>
      <c r="AD27" s="287" cm="1">
        <f t="array" aca="1" ref="AD27" ca="1">INDIRECT("'"&amp;$C27&amp;"'!"&amp;"$"&amp;$D27&amp;$AD$1&amp;"")</f>
        <v>3.6</v>
      </c>
      <c r="AE27" s="288">
        <f>3.61*3.8</f>
        <v>13.717999999999998</v>
      </c>
      <c r="AF27" s="288">
        <v>0.95</v>
      </c>
      <c r="AG27" s="289">
        <v>1.17</v>
      </c>
      <c r="AH27" s="285" t="str" cm="1">
        <f t="array" aca="1" ref="AH27" ca="1">INDIRECT("'"&amp;$C27&amp;"'!"&amp;"$"&amp;$D27&amp;$AH$1&amp;"")</f>
        <v>CMS</v>
      </c>
      <c r="AI27" s="288" t="s">
        <v>1</v>
      </c>
      <c r="AJ27" s="288" t="s">
        <v>1</v>
      </c>
      <c r="AK27" s="286" t="s">
        <v>1</v>
      </c>
      <c r="AL27" s="285">
        <v>11.6</v>
      </c>
      <c r="AM27" s="289">
        <v>71</v>
      </c>
      <c r="AN27" s="285" cm="1">
        <f t="array" aca="1" ref="AN27" ca="1">INDIRECT("'"&amp;$C27&amp;"'!"&amp;"$"&amp;$D27&amp;$AL$1&amp;"")</f>
        <v>0</v>
      </c>
      <c r="AO27" s="288" t="s">
        <v>1</v>
      </c>
      <c r="AP27" s="286" t="s">
        <v>1</v>
      </c>
      <c r="AQ27" s="287" cm="1">
        <f t="array" aca="1" ref="AQ27" ca="1">INDIRECT("'"&amp;$C27&amp;"'!"&amp;"$"&amp;$D27&amp;$AQ$1&amp;"")</f>
        <v>3.8</v>
      </c>
      <c r="AR27" s="288">
        <v>0.99</v>
      </c>
      <c r="AS27" s="286">
        <v>0.31</v>
      </c>
      <c r="AT27" s="285">
        <v>13.92</v>
      </c>
      <c r="AU27" s="289">
        <v>70.7</v>
      </c>
      <c r="AV27" s="288" cm="1">
        <f t="array" aca="1" ref="AV27" ca="1">INDIRECT("'"&amp;$C27&amp;"'!"&amp;"$"&amp;$D27&amp;$AV$1&amp;"")</f>
        <v>0</v>
      </c>
      <c r="AW27" s="287" t="s">
        <v>1</v>
      </c>
      <c r="AX27" s="288" t="s">
        <v>1</v>
      </c>
      <c r="AY27" s="286" t="s">
        <v>1</v>
      </c>
      <c r="AZ27" s="288" cm="1">
        <f t="array" aca="1" ref="AZ27" ca="1">INDIRECT("'"&amp;$C27&amp;"'!"&amp;"$"&amp;$D27&amp;$AZ$1&amp;"")</f>
        <v>7</v>
      </c>
      <c r="BA27" s="287" t="s">
        <v>1</v>
      </c>
      <c r="BB27" s="288">
        <v>0.98</v>
      </c>
      <c r="BC27" s="286">
        <v>1.26</v>
      </c>
      <c r="BD27" s="290">
        <v>14.18</v>
      </c>
      <c r="BE27" s="289">
        <v>71.790000000000006</v>
      </c>
      <c r="BF27" s="290" cm="1">
        <f t="array" aca="1" ref="BF27" ca="1">INDIRECT("'"&amp;$C27&amp;"'!"&amp;"$"&amp;$D27&amp;$BF$1&amp;"")</f>
        <v>14.11</v>
      </c>
      <c r="BG27" s="288">
        <v>0.99</v>
      </c>
      <c r="BH27" s="286">
        <v>2.36</v>
      </c>
      <c r="BI27" s="291">
        <v>69.099999999999994</v>
      </c>
      <c r="BJ27" s="285" cm="1">
        <f t="array" aca="1" ref="BJ27" ca="1">INDIRECT("'"&amp;$C27&amp;"'!"&amp;"$"&amp;$D27&amp;$BI$1&amp;"")</f>
        <v>0</v>
      </c>
      <c r="BK27" s="287" t="s">
        <v>1</v>
      </c>
      <c r="BL27" s="286" t="s">
        <v>1</v>
      </c>
      <c r="BM27" s="290" cm="1">
        <f t="array" aca="1" ref="BM27" ca="1">INDIRECT("'"&amp;$C27&amp;"'!"&amp;"$"&amp;$D27&amp;$BM$1&amp;"")</f>
        <v>1.17</v>
      </c>
      <c r="BN27" s="288"/>
      <c r="BO27" s="288">
        <v>0.99</v>
      </c>
      <c r="BP27" s="286">
        <v>0.12</v>
      </c>
      <c r="BQ27" s="291" cm="1">
        <f t="array" aca="1" ref="BQ27" ca="1">INDIRECT("'"&amp;$C27&amp;"'!"&amp;"$"&amp;$D27&amp;$BQ$1&amp;"")</f>
        <v>0.92</v>
      </c>
      <c r="BR27" s="288"/>
      <c r="BS27" s="288">
        <v>0.97</v>
      </c>
      <c r="BT27" s="286">
        <v>0.23</v>
      </c>
      <c r="BU27" s="291" cm="1">
        <f t="array" aca="1" ref="BU27" ca="1">INDIRECT("'"&amp;$C27&amp;"'!"&amp;"$"&amp;$D27&amp;74&amp;"")</f>
        <v>0</v>
      </c>
      <c r="BV27" s="288"/>
      <c r="BW27" s="288" t="s">
        <v>1</v>
      </c>
      <c r="BX27" s="286" t="s">
        <v>1</v>
      </c>
    </row>
    <row r="28" spans="1:76" ht="14.45" thickBot="1">
      <c r="A28" s="460">
        <v>45839</v>
      </c>
      <c r="B28" s="346">
        <v>0.95833333333333404</v>
      </c>
      <c r="C28" s="307">
        <v>1</v>
      </c>
      <c r="D28" s="308" t="s">
        <v>165</v>
      </c>
      <c r="E28" s="293">
        <v>14.1</v>
      </c>
      <c r="F28" s="294">
        <v>69.819999999999993</v>
      </c>
      <c r="G28" s="295" t="str" cm="1">
        <f t="array" aca="1" ref="G28" ca="1">INDIRECT("'"&amp;$C28&amp;"'!"&amp;"$"&amp;$D28&amp;$E$1&amp;"")</f>
        <v>CMS</v>
      </c>
      <c r="H28" s="296" t="s">
        <v>1</v>
      </c>
      <c r="I28" s="294" t="s">
        <v>1</v>
      </c>
      <c r="J28" s="295" cm="1">
        <f t="array" aca="1" ref="J28" ca="1">INDIRECT("'"&amp;$C28&amp;"'!"&amp;"$"&amp;$D28&amp;$J$1&amp;"")</f>
        <v>6.7</v>
      </c>
      <c r="K28" s="296"/>
      <c r="L28" s="296">
        <v>0.97</v>
      </c>
      <c r="M28" s="297">
        <v>1.6</v>
      </c>
      <c r="N28" s="293" cm="1">
        <f t="array" aca="1" ref="N28" ca="1">INDIRECT("'"&amp;$C28&amp;"'!"&amp;"$"&amp;$D28&amp;$N$1&amp;"")</f>
        <v>6.7</v>
      </c>
      <c r="O28" s="296"/>
      <c r="P28" s="296">
        <v>0.97</v>
      </c>
      <c r="Q28" s="294">
        <v>1.6</v>
      </c>
      <c r="R28" s="470" t="str" cm="1">
        <f t="array" aca="1" ref="R28" ca="1">INDIRECT("'"&amp;$C28&amp;"'!"&amp;"$"&amp;$D28&amp;$R$1&amp;"")</f>
        <v>CMS</v>
      </c>
      <c r="S28" s="296"/>
      <c r="T28" s="296" t="s">
        <v>1</v>
      </c>
      <c r="U28" s="294" t="s">
        <v>1</v>
      </c>
      <c r="V28" s="295" cm="1">
        <f t="array" aca="1" ref="V28" ca="1">INDIRECT("'"&amp;$C28&amp;"'!"&amp;"$"&amp;$D28&amp;$V$1&amp;"")</f>
        <v>0</v>
      </c>
      <c r="W28" s="296" t="s">
        <v>1</v>
      </c>
      <c r="X28" s="296" t="s">
        <v>1</v>
      </c>
      <c r="Y28" s="297" t="s">
        <v>1</v>
      </c>
      <c r="Z28" s="293" cm="1">
        <f t="array" aca="1" ref="Z28" ca="1">INDIRECT("'"&amp;$C28&amp;"'!"&amp;"$"&amp;$D28&amp;$Z$1&amp;"")</f>
        <v>0</v>
      </c>
      <c r="AA28" s="296" t="s">
        <v>1</v>
      </c>
      <c r="AB28" s="296" t="s">
        <v>1</v>
      </c>
      <c r="AC28" s="294" t="s">
        <v>1</v>
      </c>
      <c r="AD28" s="295" cm="1">
        <f t="array" aca="1" ref="AD28" ca="1">INDIRECT("'"&amp;$C28&amp;"'!"&amp;"$"&amp;$D28&amp;$AD$1&amp;"")</f>
        <v>3.8</v>
      </c>
      <c r="AE28" s="296">
        <f>3.59*3.8</f>
        <v>13.641999999999999</v>
      </c>
      <c r="AF28" s="296">
        <v>0.98</v>
      </c>
      <c r="AG28" s="297">
        <v>0.71</v>
      </c>
      <c r="AH28" s="293" t="str" cm="1">
        <f t="array" aca="1" ref="AH28" ca="1">INDIRECT("'"&amp;$C28&amp;"'!"&amp;"$"&amp;$D28&amp;$AH$1&amp;"")</f>
        <v>CMS</v>
      </c>
      <c r="AI28" s="296" t="s">
        <v>1</v>
      </c>
      <c r="AJ28" s="296" t="s">
        <v>1</v>
      </c>
      <c r="AK28" s="294" t="s">
        <v>1</v>
      </c>
      <c r="AL28" s="293">
        <v>11.6</v>
      </c>
      <c r="AM28" s="297">
        <v>70.900000000000006</v>
      </c>
      <c r="AN28" s="293" cm="1">
        <f t="array" aca="1" ref="AN28" ca="1">INDIRECT("'"&amp;$C28&amp;"'!"&amp;"$"&amp;$D28&amp;$AL$1&amp;"")</f>
        <v>0</v>
      </c>
      <c r="AO28" s="296" t="s">
        <v>1</v>
      </c>
      <c r="AP28" s="294" t="s">
        <v>1</v>
      </c>
      <c r="AQ28" s="295" cm="1">
        <f t="array" aca="1" ref="AQ28" ca="1">INDIRECT("'"&amp;$C28&amp;"'!"&amp;"$"&amp;$D28&amp;$AQ$1&amp;"")</f>
        <v>3</v>
      </c>
      <c r="AR28" s="296">
        <v>0.98</v>
      </c>
      <c r="AS28" s="294">
        <v>0.43</v>
      </c>
      <c r="AT28" s="293">
        <v>13.91</v>
      </c>
      <c r="AU28" s="297">
        <v>70.7</v>
      </c>
      <c r="AV28" s="296" cm="1">
        <f t="array" aca="1" ref="AV28" ca="1">INDIRECT("'"&amp;$C28&amp;"'!"&amp;"$"&amp;$D28&amp;$AV$1&amp;"")</f>
        <v>0</v>
      </c>
      <c r="AW28" s="295" t="s">
        <v>1</v>
      </c>
      <c r="AX28" s="296" t="s">
        <v>1</v>
      </c>
      <c r="AY28" s="294" t="s">
        <v>1</v>
      </c>
      <c r="AZ28" s="296" cm="1">
        <f t="array" aca="1" ref="AZ28" ca="1">INDIRECT("'"&amp;$C28&amp;"'!"&amp;"$"&amp;$D28&amp;$AZ$1&amp;"")</f>
        <v>7</v>
      </c>
      <c r="BA28" s="295" t="s">
        <v>1</v>
      </c>
      <c r="BB28" s="296">
        <v>0.98</v>
      </c>
      <c r="BC28" s="294">
        <v>1.23</v>
      </c>
      <c r="BD28" s="298">
        <v>14.19</v>
      </c>
      <c r="BE28" s="297">
        <v>71.87</v>
      </c>
      <c r="BF28" s="298" cm="1">
        <f t="array" aca="1" ref="BF28" ca="1">INDIRECT("'"&amp;$C28&amp;"'!"&amp;"$"&amp;$D28&amp;$BF$1&amp;"")</f>
        <v>14.15</v>
      </c>
      <c r="BG28" s="296">
        <v>0.99</v>
      </c>
      <c r="BH28" s="294">
        <v>2.31</v>
      </c>
      <c r="BI28" s="299">
        <v>69</v>
      </c>
      <c r="BJ28" s="293" cm="1">
        <f t="array" aca="1" ref="BJ28" ca="1">INDIRECT("'"&amp;$C28&amp;"'!"&amp;"$"&amp;$D28&amp;$BI$1&amp;"")</f>
        <v>0</v>
      </c>
      <c r="BK28" s="295" t="s">
        <v>1</v>
      </c>
      <c r="BL28" s="294" t="s">
        <v>1</v>
      </c>
      <c r="BM28" s="298" cm="1">
        <f t="array" aca="1" ref="BM28" ca="1">INDIRECT("'"&amp;$C28&amp;"'!"&amp;"$"&amp;$D28&amp;$BM$1&amp;"")</f>
        <v>1.06</v>
      </c>
      <c r="BN28" s="296"/>
      <c r="BO28" s="296">
        <v>0.99</v>
      </c>
      <c r="BP28" s="294">
        <v>0.11</v>
      </c>
      <c r="BQ28" s="299" cm="1">
        <f t="array" aca="1" ref="BQ28" ca="1">INDIRECT("'"&amp;$C28&amp;"'!"&amp;"$"&amp;$D28&amp;$BQ$1&amp;"")</f>
        <v>0.87</v>
      </c>
      <c r="BR28" s="296"/>
      <c r="BS28" s="296">
        <v>0.97</v>
      </c>
      <c r="BT28" s="294">
        <v>0.22</v>
      </c>
      <c r="BU28" s="299" cm="1">
        <f t="array" aca="1" ref="BU28" ca="1">INDIRECT("'"&amp;$C28&amp;"'!"&amp;"$"&amp;$D28&amp;74&amp;"")</f>
        <v>0</v>
      </c>
      <c r="BV28" s="296"/>
      <c r="BW28" s="296" t="s">
        <v>1</v>
      </c>
      <c r="BX28" s="294" t="s">
        <v>1</v>
      </c>
    </row>
    <row r="29" spans="1:76" ht="14.45" thickBot="1"/>
    <row r="30" spans="1:76">
      <c r="A30" s="347">
        <v>45840</v>
      </c>
      <c r="B30" s="344">
        <v>0</v>
      </c>
      <c r="C30" s="302">
        <v>2</v>
      </c>
      <c r="D30" s="303" t="s">
        <v>142</v>
      </c>
      <c r="E30" s="272">
        <v>14.1</v>
      </c>
      <c r="F30" s="273">
        <v>69.89</v>
      </c>
      <c r="G30" s="274" t="str" cm="1">
        <f t="array" aca="1" ref="G30" ca="1">INDIRECT("'"&amp;$C30&amp;"'!"&amp;"$"&amp;$D30&amp;$E$1&amp;"")</f>
        <v>CMS</v>
      </c>
      <c r="H30" s="275" t="s">
        <v>1</v>
      </c>
      <c r="I30" s="273" t="s">
        <v>1</v>
      </c>
      <c r="J30" s="274" cm="1">
        <f t="array" aca="1" ref="J30" ca="1">INDIRECT("'"&amp;$C30&amp;"'!"&amp;"$"&amp;$D30&amp;$J$1&amp;"")</f>
        <v>6.6</v>
      </c>
      <c r="K30" s="275"/>
      <c r="L30" s="275">
        <v>0.98</v>
      </c>
      <c r="M30" s="276">
        <v>1.26</v>
      </c>
      <c r="N30" s="272" cm="1">
        <f t="array" aca="1" ref="N30" ca="1">INDIRECT("'"&amp;$C30&amp;"'!"&amp;"$"&amp;$D30&amp;$N$1&amp;"")</f>
        <v>6.6</v>
      </c>
      <c r="O30" s="275"/>
      <c r="P30" s="275">
        <v>0.98</v>
      </c>
      <c r="Q30" s="273">
        <v>1.26</v>
      </c>
      <c r="R30" s="467" t="str" cm="1">
        <f t="array" aca="1" ref="R30" ca="1">INDIRECT("'"&amp;$C30&amp;"'!"&amp;"$"&amp;$D30&amp;$R$1&amp;"")</f>
        <v>CMS</v>
      </c>
      <c r="S30" s="275"/>
      <c r="T30" s="275" t="s">
        <v>1</v>
      </c>
      <c r="U30" s="273" t="s">
        <v>1</v>
      </c>
      <c r="V30" s="274" cm="1">
        <f t="array" aca="1" ref="V30" ca="1">INDIRECT("'"&amp;$C30&amp;"'!"&amp;"$"&amp;$D30&amp;$V$1&amp;"")</f>
        <v>0</v>
      </c>
      <c r="W30" s="275" t="s">
        <v>1</v>
      </c>
      <c r="X30" s="275" t="s">
        <v>1</v>
      </c>
      <c r="Y30" s="276" t="s">
        <v>1</v>
      </c>
      <c r="Z30" s="272" cm="1">
        <f t="array" aca="1" ref="Z30" ca="1">INDIRECT("'"&amp;$C30&amp;"'!"&amp;"$"&amp;$D30&amp;$Z$1&amp;"")</f>
        <v>0</v>
      </c>
      <c r="AA30" s="275" t="s">
        <v>1</v>
      </c>
      <c r="AB30" s="275" t="s">
        <v>1</v>
      </c>
      <c r="AC30" s="273" t="s">
        <v>1</v>
      </c>
      <c r="AD30" s="274" cm="1">
        <f t="array" aca="1" ref="AD30" ca="1">INDIRECT("'"&amp;$C30&amp;"'!"&amp;"$"&amp;$D30&amp;$AD$1&amp;"")</f>
        <v>3</v>
      </c>
      <c r="AE30" s="275">
        <f>3.59*3.8</f>
        <v>13.641999999999999</v>
      </c>
      <c r="AF30" s="275">
        <v>0.98</v>
      </c>
      <c r="AG30" s="273">
        <v>0.51</v>
      </c>
      <c r="AH30" s="272" t="str" cm="1">
        <f t="array" aca="1" ref="AH30" ca="1">INDIRECT("'"&amp;$C30&amp;"'!"&amp;"$"&amp;$D30&amp;$AH$1&amp;"")</f>
        <v>CMS</v>
      </c>
      <c r="AI30" s="275" t="s">
        <v>1</v>
      </c>
      <c r="AJ30" s="275" t="s">
        <v>1</v>
      </c>
      <c r="AK30" s="273" t="s">
        <v>1</v>
      </c>
      <c r="AL30" s="272">
        <v>11.6</v>
      </c>
      <c r="AM30" s="276">
        <v>70.7</v>
      </c>
      <c r="AN30" s="272" cm="1">
        <f t="array" aca="1" ref="AN30" ca="1">INDIRECT("'"&amp;$C30&amp;"'!"&amp;"$"&amp;$D30&amp;$AL$1&amp;"")</f>
        <v>0</v>
      </c>
      <c r="AO30" s="275" t="s">
        <v>1</v>
      </c>
      <c r="AP30" s="273" t="s">
        <v>1</v>
      </c>
      <c r="AQ30" s="274" cm="1">
        <f t="array" aca="1" ref="AQ30" ca="1">INDIRECT("'"&amp;$C30&amp;"'!"&amp;"$"&amp;$D30&amp;$AQ$1&amp;"")</f>
        <v>1.5</v>
      </c>
      <c r="AR30" s="275">
        <v>0.93</v>
      </c>
      <c r="AS30" s="273">
        <v>0.67</v>
      </c>
      <c r="AT30" s="272">
        <v>13.89</v>
      </c>
      <c r="AU30" s="276">
        <v>70.7</v>
      </c>
      <c r="AV30" s="275" cm="1">
        <f t="array" aca="1" ref="AV30" ca="1">INDIRECT("'"&amp;$C30&amp;"'!"&amp;"$"&amp;$D30&amp;$AV$1&amp;"")</f>
        <v>0</v>
      </c>
      <c r="AW30" s="274" t="s">
        <v>1</v>
      </c>
      <c r="AX30" s="275" t="s">
        <v>1</v>
      </c>
      <c r="AY30" s="273" t="s">
        <v>1</v>
      </c>
      <c r="AZ30" s="275" cm="1">
        <f t="array" aca="1" ref="AZ30" ca="1">INDIRECT("'"&amp;$C30&amp;"'!"&amp;"$"&amp;$D30&amp;$AZ$1&amp;"")</f>
        <v>5.87</v>
      </c>
      <c r="BA30" s="274" t="s">
        <v>1</v>
      </c>
      <c r="BB30" s="275">
        <v>0.97</v>
      </c>
      <c r="BC30" s="273">
        <v>1.42</v>
      </c>
      <c r="BD30" s="277">
        <v>14.05</v>
      </c>
      <c r="BE30" s="276">
        <v>71.569999999999993</v>
      </c>
      <c r="BF30" s="277" cm="1">
        <f t="array" aca="1" ref="BF30" ca="1">INDIRECT("'"&amp;$C30&amp;"'!"&amp;"$"&amp;$D30&amp;$BF$1&amp;"")</f>
        <v>14.12</v>
      </c>
      <c r="BG30" s="275">
        <v>0.99</v>
      </c>
      <c r="BH30" s="273">
        <v>2.34</v>
      </c>
      <c r="BI30" s="304">
        <v>69.099999999999994</v>
      </c>
      <c r="BJ30" s="272" cm="1">
        <f t="array" aca="1" ref="BJ30" ca="1">INDIRECT("'"&amp;$C30&amp;"'!"&amp;"$"&amp;$D30&amp;$BI$1&amp;"")</f>
        <v>0</v>
      </c>
      <c r="BK30" s="274" t="s">
        <v>1</v>
      </c>
      <c r="BL30" s="273" t="s">
        <v>1</v>
      </c>
      <c r="BM30" s="277" cm="1">
        <f t="array" aca="1" ref="BM30" ca="1">INDIRECT("'"&amp;$C30&amp;"'!"&amp;"$"&amp;$D30&amp;$BM$1&amp;"")</f>
        <v>0.96</v>
      </c>
      <c r="BN30" s="275"/>
      <c r="BO30" s="275">
        <v>0.99</v>
      </c>
      <c r="BP30" s="273">
        <v>0.11</v>
      </c>
      <c r="BQ30" s="277" cm="1">
        <f t="array" aca="1" ref="BQ30" ca="1">INDIRECT("'"&amp;$C30&amp;"'!"&amp;"$"&amp;$D30&amp;$BQ$1&amp;"")</f>
        <v>0.76</v>
      </c>
      <c r="BR30" s="275"/>
      <c r="BS30" s="275">
        <v>0.96</v>
      </c>
      <c r="BT30" s="273">
        <v>0.2</v>
      </c>
      <c r="BU30" s="358" cm="1">
        <f t="array" aca="1" ref="BU30" ca="1">INDIRECT("'"&amp;$C30&amp;"'!"&amp;"$"&amp;$D30&amp;74&amp;"")</f>
        <v>0</v>
      </c>
      <c r="BV30" s="275"/>
      <c r="BW30" s="275" t="s">
        <v>1</v>
      </c>
      <c r="BX30" s="273" t="s">
        <v>1</v>
      </c>
    </row>
    <row r="31" spans="1:76">
      <c r="A31" s="459">
        <v>45840</v>
      </c>
      <c r="B31" s="345">
        <v>4.1666666666666699E-2</v>
      </c>
      <c r="C31" s="305">
        <v>2</v>
      </c>
      <c r="D31" s="306" t="s">
        <v>143</v>
      </c>
      <c r="E31" s="278">
        <v>14.2</v>
      </c>
      <c r="F31" s="279">
        <v>70.38</v>
      </c>
      <c r="G31" s="280" t="str" cm="1">
        <f t="array" aca="1" ref="G31" ca="1">INDIRECT("'"&amp;$C31&amp;"'!"&amp;"$"&amp;$D31&amp;$E$1&amp;"")</f>
        <v>CMS</v>
      </c>
      <c r="H31" s="281" t="s">
        <v>1</v>
      </c>
      <c r="I31" s="279" t="s">
        <v>1</v>
      </c>
      <c r="J31" s="280" cm="1">
        <f t="array" aca="1" ref="J31" ca="1">INDIRECT("'"&amp;$C31&amp;"'!"&amp;"$"&amp;$D31&amp;$J$1&amp;"")</f>
        <v>6.5</v>
      </c>
      <c r="K31" s="281"/>
      <c r="L31" s="281">
        <v>0.97</v>
      </c>
      <c r="M31" s="282">
        <v>1.53</v>
      </c>
      <c r="N31" s="278" t="str" cm="1">
        <f t="array" aca="1" ref="N31" ca="1">INDIRECT("'"&amp;$C31&amp;"'!"&amp;"$"&amp;$D31&amp;$N$1&amp;"")</f>
        <v>CMS</v>
      </c>
      <c r="O31" s="281"/>
      <c r="P31" s="281" t="s">
        <v>1</v>
      </c>
      <c r="Q31" s="279" t="s">
        <v>1</v>
      </c>
      <c r="R31" s="468" cm="1">
        <f t="array" aca="1" ref="R31" ca="1">INDIRECT("'"&amp;$C31&amp;"'!"&amp;"$"&amp;$D31&amp;$R$1&amp;"")</f>
        <v>6.5</v>
      </c>
      <c r="S31" s="281"/>
      <c r="T31" s="281">
        <v>0.97</v>
      </c>
      <c r="U31" s="279">
        <v>1.53</v>
      </c>
      <c r="V31" s="280" cm="1">
        <f t="array" aca="1" ref="V31" ca="1">INDIRECT("'"&amp;$C31&amp;"'!"&amp;"$"&amp;$D31&amp;$V$1&amp;"")</f>
        <v>0</v>
      </c>
      <c r="W31" s="281" t="s">
        <v>1</v>
      </c>
      <c r="X31" s="281" t="s">
        <v>1</v>
      </c>
      <c r="Y31" s="282" t="s">
        <v>1</v>
      </c>
      <c r="Z31" s="278" cm="1">
        <f t="array" aca="1" ref="Z31" ca="1">INDIRECT("'"&amp;$C31&amp;"'!"&amp;"$"&amp;$D31&amp;$Z$1&amp;"")</f>
        <v>0</v>
      </c>
      <c r="AA31" s="281" t="s">
        <v>1</v>
      </c>
      <c r="AB31" s="281" t="s">
        <v>1</v>
      </c>
      <c r="AC31" s="279" t="s">
        <v>1</v>
      </c>
      <c r="AD31" s="280" cm="1">
        <f t="array" aca="1" ref="AD31" ca="1">INDIRECT("'"&amp;$C31&amp;"'!"&amp;"$"&amp;$D31&amp;$AD$1&amp;"")</f>
        <v>0</v>
      </c>
      <c r="AE31" s="281" t="s">
        <v>1</v>
      </c>
      <c r="AF31" s="281" t="s">
        <v>1</v>
      </c>
      <c r="AG31" s="282" t="s">
        <v>1</v>
      </c>
      <c r="AH31" s="278" t="str" cm="1">
        <f t="array" aca="1" ref="AH31" ca="1">INDIRECT("'"&amp;$C31&amp;"'!"&amp;"$"&amp;$D31&amp;$AH$1&amp;"")</f>
        <v>CMS</v>
      </c>
      <c r="AI31" s="281" t="s">
        <v>1</v>
      </c>
      <c r="AJ31" s="281" t="s">
        <v>1</v>
      </c>
      <c r="AK31" s="279" t="s">
        <v>1</v>
      </c>
      <c r="AL31" s="278">
        <v>11.6</v>
      </c>
      <c r="AM31" s="282">
        <v>71</v>
      </c>
      <c r="AN31" s="278" cm="1">
        <f t="array" aca="1" ref="AN31" ca="1">INDIRECT("'"&amp;$C31&amp;"'!"&amp;"$"&amp;$D31&amp;$AL$1&amp;"")</f>
        <v>0</v>
      </c>
      <c r="AO31" s="281" t="s">
        <v>1</v>
      </c>
      <c r="AP31" s="279" t="s">
        <v>1</v>
      </c>
      <c r="AQ31" s="280" cm="1">
        <f t="array" aca="1" ref="AQ31" ca="1">INDIRECT("'"&amp;$C31&amp;"'!"&amp;"$"&amp;$D31&amp;$AQ$1&amp;"")</f>
        <v>1.5</v>
      </c>
      <c r="AR31" s="281">
        <v>0.97</v>
      </c>
      <c r="AS31" s="279">
        <v>0.37</v>
      </c>
      <c r="AT31" s="278">
        <v>13.92</v>
      </c>
      <c r="AU31" s="282">
        <v>70.7</v>
      </c>
      <c r="AV31" s="281" cm="1">
        <f t="array" aca="1" ref="AV31" ca="1">INDIRECT("'"&amp;$C31&amp;"'!"&amp;"$"&amp;$D31&amp;$AV$1&amp;"")</f>
        <v>0</v>
      </c>
      <c r="AW31" s="280" t="s">
        <v>1</v>
      </c>
      <c r="AX31" s="281" t="s">
        <v>1</v>
      </c>
      <c r="AY31" s="279" t="s">
        <v>1</v>
      </c>
      <c r="AZ31" s="281" cm="1">
        <f t="array" aca="1" ref="AZ31" ca="1">INDIRECT("'"&amp;$C31&amp;"'!"&amp;"$"&amp;$D31&amp;$AZ$1&amp;"")</f>
        <v>6.84</v>
      </c>
      <c r="BA31" s="280" t="s">
        <v>1</v>
      </c>
      <c r="BB31" s="281">
        <v>0.99</v>
      </c>
      <c r="BC31" s="279">
        <v>1.02</v>
      </c>
      <c r="BD31" s="283">
        <v>14.09</v>
      </c>
      <c r="BE31" s="282">
        <v>71.760000000000005</v>
      </c>
      <c r="BF31" s="283" cm="1">
        <f t="array" aca="1" ref="BF31" ca="1">INDIRECT("'"&amp;$C31&amp;"'!"&amp;"$"&amp;$D31&amp;$BF$1&amp;"")</f>
        <v>14.16</v>
      </c>
      <c r="BG31" s="281">
        <v>0.99</v>
      </c>
      <c r="BH31" s="279">
        <v>2.34</v>
      </c>
      <c r="BI31" s="284">
        <v>69.5</v>
      </c>
      <c r="BJ31" s="278" cm="1">
        <f t="array" aca="1" ref="BJ31" ca="1">INDIRECT("'"&amp;$C31&amp;"'!"&amp;"$"&amp;$D31&amp;$BI$1&amp;"")</f>
        <v>0</v>
      </c>
      <c r="BK31" s="280" t="s">
        <v>1</v>
      </c>
      <c r="BL31" s="279" t="s">
        <v>1</v>
      </c>
      <c r="BM31" s="283" cm="1">
        <f t="array" aca="1" ref="BM31" ca="1">INDIRECT("'"&amp;$C31&amp;"'!"&amp;"$"&amp;$D31&amp;$BM$1&amp;"")</f>
        <v>0.94</v>
      </c>
      <c r="BN31" s="281"/>
      <c r="BO31" s="281">
        <v>0.99</v>
      </c>
      <c r="BP31" s="279">
        <v>0.11</v>
      </c>
      <c r="BQ31" s="283" cm="1">
        <f t="array" aca="1" ref="BQ31" ca="1">INDIRECT("'"&amp;$C31&amp;"'!"&amp;"$"&amp;$D31&amp;$BQ$1&amp;"")</f>
        <v>0.74</v>
      </c>
      <c r="BR31" s="281"/>
      <c r="BS31" s="281">
        <v>0.96</v>
      </c>
      <c r="BT31" s="279">
        <v>0.19</v>
      </c>
      <c r="BU31" s="284" cm="1">
        <f t="array" aca="1" ref="BU31" ca="1">INDIRECT("'"&amp;$C31&amp;"'!"&amp;"$"&amp;$D31&amp;74&amp;"")</f>
        <v>0</v>
      </c>
      <c r="BV31" s="281"/>
      <c r="BW31" s="281" t="s">
        <v>1</v>
      </c>
      <c r="BX31" s="279" t="s">
        <v>1</v>
      </c>
    </row>
    <row r="32" spans="1:76">
      <c r="A32" s="459">
        <v>45840</v>
      </c>
      <c r="B32" s="345">
        <v>8.3333333333333301E-2</v>
      </c>
      <c r="C32" s="305">
        <v>2</v>
      </c>
      <c r="D32" s="306" t="s">
        <v>144</v>
      </c>
      <c r="E32" s="285">
        <v>14.2</v>
      </c>
      <c r="F32" s="286">
        <v>70.540000000000006</v>
      </c>
      <c r="G32" s="287" t="str" cm="1">
        <f t="array" aca="1" ref="G32" ca="1">INDIRECT("'"&amp;$C32&amp;"'!"&amp;"$"&amp;$D32&amp;$E$1&amp;"")</f>
        <v>CMS</v>
      </c>
      <c r="H32" s="288" t="s">
        <v>1</v>
      </c>
      <c r="I32" s="286" t="s">
        <v>1</v>
      </c>
      <c r="J32" s="287" cm="1">
        <f t="array" aca="1" ref="J32" ca="1">INDIRECT("'"&amp;$C32&amp;"'!"&amp;"$"&amp;$D32&amp;$J$1&amp;"")</f>
        <v>6.7</v>
      </c>
      <c r="K32" s="288"/>
      <c r="L32" s="288">
        <v>0.97</v>
      </c>
      <c r="M32" s="289">
        <v>1.61</v>
      </c>
      <c r="N32" s="285" t="str" cm="1">
        <f t="array" aca="1" ref="N32" ca="1">INDIRECT("'"&amp;$C32&amp;"'!"&amp;"$"&amp;$D32&amp;$N$1&amp;"")</f>
        <v>CMS</v>
      </c>
      <c r="O32" s="288"/>
      <c r="P32" s="288" t="s">
        <v>1</v>
      </c>
      <c r="Q32" s="286" t="s">
        <v>1</v>
      </c>
      <c r="R32" s="285" cm="1">
        <f t="array" aca="1" ref="R32" ca="1">INDIRECT("'"&amp;$C32&amp;"'!"&amp;"$"&amp;$D32&amp;$R$1&amp;"")</f>
        <v>6.7</v>
      </c>
      <c r="S32" s="288"/>
      <c r="T32" s="288">
        <v>0.97</v>
      </c>
      <c r="U32" s="286">
        <v>1.61</v>
      </c>
      <c r="V32" s="287" cm="1">
        <f t="array" aca="1" ref="V32" ca="1">INDIRECT("'"&amp;$C32&amp;"'!"&amp;"$"&amp;$D32&amp;$V$1&amp;"")</f>
        <v>0</v>
      </c>
      <c r="W32" s="288" t="s">
        <v>1</v>
      </c>
      <c r="X32" s="288" t="s">
        <v>1</v>
      </c>
      <c r="Y32" s="289" t="s">
        <v>1</v>
      </c>
      <c r="Z32" s="285">
        <v>0</v>
      </c>
      <c r="AA32" s="288" t="s">
        <v>1</v>
      </c>
      <c r="AB32" s="288" t="s">
        <v>1</v>
      </c>
      <c r="AC32" s="286" t="s">
        <v>1</v>
      </c>
      <c r="AD32" s="287" cm="1">
        <f t="array" aca="1" ref="AD32" ca="1">INDIRECT("'"&amp;$C32&amp;"'!"&amp;"$"&amp;$D32&amp;$AD$1&amp;"")</f>
        <v>0</v>
      </c>
      <c r="AE32" s="288" t="s">
        <v>1</v>
      </c>
      <c r="AF32" s="288" t="s">
        <v>1</v>
      </c>
      <c r="AG32" s="289" t="s">
        <v>1</v>
      </c>
      <c r="AH32" s="285" t="str" cm="1">
        <f t="array" aca="1" ref="AH32" ca="1">INDIRECT("'"&amp;$C32&amp;"'!"&amp;"$"&amp;$D32&amp;$AH$1&amp;"")</f>
        <v>CMS</v>
      </c>
      <c r="AI32" s="288" t="s">
        <v>1</v>
      </c>
      <c r="AJ32" s="288" t="s">
        <v>1</v>
      </c>
      <c r="AK32" s="289" t="s">
        <v>1</v>
      </c>
      <c r="AL32" s="285" t="s">
        <v>1</v>
      </c>
      <c r="AM32" s="289">
        <v>71</v>
      </c>
      <c r="AN32" s="285" cm="1">
        <f t="array" aca="1" ref="AN32" ca="1">INDIRECT("'"&amp;$C32&amp;"'!"&amp;"$"&amp;$D32&amp;$AL$1&amp;"")</f>
        <v>0</v>
      </c>
      <c r="AO32" s="288" t="s">
        <v>1</v>
      </c>
      <c r="AP32" s="286" t="s">
        <v>1</v>
      </c>
      <c r="AQ32" s="287" cm="1">
        <f t="array" aca="1" ref="AQ32" ca="1">INDIRECT("'"&amp;$C32&amp;"'!"&amp;"$"&amp;$D32&amp;$AQ$1&amp;"")</f>
        <v>0</v>
      </c>
      <c r="AR32" s="288" t="s">
        <v>1</v>
      </c>
      <c r="AS32" s="286" t="s">
        <v>1</v>
      </c>
      <c r="AT32" s="285">
        <v>13.91</v>
      </c>
      <c r="AU32" s="289">
        <v>70.7</v>
      </c>
      <c r="AV32" s="288" cm="1">
        <f t="array" aca="1" ref="AV32" ca="1">INDIRECT("'"&amp;$C32&amp;"'!"&amp;"$"&amp;$D32&amp;$AV$1&amp;"")</f>
        <v>0</v>
      </c>
      <c r="AW32" s="287" t="s">
        <v>1</v>
      </c>
      <c r="AX32" s="288" t="s">
        <v>1</v>
      </c>
      <c r="AY32" s="286" t="s">
        <v>1</v>
      </c>
      <c r="AZ32" s="288" cm="1">
        <f t="array" aca="1" ref="AZ32" ca="1">INDIRECT("'"&amp;$C32&amp;"'!"&amp;"$"&amp;$D32&amp;$AZ$1&amp;"")</f>
        <v>6.43</v>
      </c>
      <c r="BA32" s="287" t="s">
        <v>1</v>
      </c>
      <c r="BB32" s="288">
        <v>0.97</v>
      </c>
      <c r="BC32" s="286">
        <v>1.1200000000000001</v>
      </c>
      <c r="BD32" s="290">
        <v>14.08</v>
      </c>
      <c r="BE32" s="289">
        <v>71.72</v>
      </c>
      <c r="BF32" s="290" cm="1">
        <f t="array" aca="1" ref="BF32" ca="1">INDIRECT("'"&amp;$C32&amp;"'!"&amp;"$"&amp;$D32&amp;$BF$1&amp;"")</f>
        <v>14.13</v>
      </c>
      <c r="BG32" s="288">
        <v>1</v>
      </c>
      <c r="BH32" s="286">
        <v>1.27</v>
      </c>
      <c r="BI32" s="291">
        <v>69.599999999999994</v>
      </c>
      <c r="BJ32" s="285" cm="1">
        <f t="array" aca="1" ref="BJ32" ca="1">INDIRECT("'"&amp;$C32&amp;"'!"&amp;"$"&amp;$D32&amp;$BI$1&amp;"")</f>
        <v>0</v>
      </c>
      <c r="BK32" s="287" t="s">
        <v>1</v>
      </c>
      <c r="BL32" s="286" t="s">
        <v>1</v>
      </c>
      <c r="BM32" s="290" cm="1">
        <f t="array" aca="1" ref="BM32" ca="1">INDIRECT("'"&amp;$C32&amp;"'!"&amp;"$"&amp;$D32&amp;$BM$1&amp;"")</f>
        <v>0.84</v>
      </c>
      <c r="BN32" s="288"/>
      <c r="BO32" s="288">
        <v>0.99</v>
      </c>
      <c r="BP32" s="286">
        <v>0.1</v>
      </c>
      <c r="BQ32" s="290" cm="1">
        <f t="array" aca="1" ref="BQ32" ca="1">INDIRECT("'"&amp;$C32&amp;"'!"&amp;"$"&amp;$D32&amp;$BQ$1&amp;"")</f>
        <v>0.71</v>
      </c>
      <c r="BR32" s="288"/>
      <c r="BS32" s="288">
        <v>0.96</v>
      </c>
      <c r="BT32" s="286">
        <v>0.18</v>
      </c>
      <c r="BU32" s="291" cm="1">
        <f t="array" aca="1" ref="BU32" ca="1">INDIRECT("'"&amp;$C32&amp;"'!"&amp;"$"&amp;$D32&amp;74&amp;"")</f>
        <v>0</v>
      </c>
      <c r="BV32" s="288"/>
      <c r="BW32" s="288" t="s">
        <v>1</v>
      </c>
      <c r="BX32" s="286" t="s">
        <v>1</v>
      </c>
    </row>
    <row r="33" spans="1:76">
      <c r="A33" s="459">
        <v>45840</v>
      </c>
      <c r="B33" s="345">
        <v>0.125</v>
      </c>
      <c r="C33" s="305">
        <v>2</v>
      </c>
      <c r="D33" s="306" t="s">
        <v>145</v>
      </c>
      <c r="E33" s="278">
        <v>14.1</v>
      </c>
      <c r="F33" s="279">
        <v>70.209999999999994</v>
      </c>
      <c r="G33" s="280" t="str" cm="1">
        <f t="array" aca="1" ref="G33" ca="1">INDIRECT("'"&amp;$C33&amp;"'!"&amp;"$"&amp;$D33&amp;$E$1&amp;"")</f>
        <v>CMS</v>
      </c>
      <c r="H33" s="281" t="s">
        <v>1</v>
      </c>
      <c r="I33" s="279" t="s">
        <v>1</v>
      </c>
      <c r="J33" s="280" cm="1">
        <f t="array" aca="1" ref="J33" ca="1">INDIRECT("'"&amp;$C33&amp;"'!"&amp;"$"&amp;$D33&amp;$J$1&amp;"")</f>
        <v>6.2</v>
      </c>
      <c r="K33" s="281"/>
      <c r="L33" s="281">
        <v>0.99</v>
      </c>
      <c r="M33" s="282">
        <v>0.85</v>
      </c>
      <c r="N33" s="278" cm="1">
        <f t="array" aca="1" ref="N33" ca="1">INDIRECT("'"&amp;$C33&amp;"'!"&amp;"$"&amp;$D33&amp;$N$1&amp;"")</f>
        <v>0.5</v>
      </c>
      <c r="O33" s="281"/>
      <c r="P33" s="281">
        <v>1</v>
      </c>
      <c r="Q33" s="279">
        <v>0</v>
      </c>
      <c r="R33" s="468" cm="1">
        <f t="array" aca="1" ref="R33" ca="1">INDIRECT("'"&amp;$C33&amp;"'!"&amp;"$"&amp;$D33&amp;$R$1&amp;"")</f>
        <v>6.2</v>
      </c>
      <c r="S33" s="281"/>
      <c r="T33" s="281">
        <v>0.99</v>
      </c>
      <c r="U33" s="279">
        <v>0.85</v>
      </c>
      <c r="V33" s="280" cm="1">
        <f t="array" aca="1" ref="V33" ca="1">INDIRECT("'"&amp;$C33&amp;"'!"&amp;"$"&amp;$D33&amp;$V$1&amp;"")</f>
        <v>0</v>
      </c>
      <c r="W33" s="281" t="s">
        <v>1</v>
      </c>
      <c r="X33" s="281" t="s">
        <v>1</v>
      </c>
      <c r="Y33" s="282" t="s">
        <v>1</v>
      </c>
      <c r="Z33" s="278" cm="1">
        <f t="array" aca="1" ref="Z33" ca="1">INDIRECT("'"&amp;$C33&amp;"'!"&amp;"$"&amp;$D33&amp;$Z$1&amp;"")</f>
        <v>0</v>
      </c>
      <c r="AA33" s="281" t="s">
        <v>1</v>
      </c>
      <c r="AB33" s="281" t="s">
        <v>1</v>
      </c>
      <c r="AC33" s="279" t="s">
        <v>1</v>
      </c>
      <c r="AD33" s="280" cm="1">
        <f t="array" aca="1" ref="AD33" ca="1">INDIRECT("'"&amp;$C33&amp;"'!"&amp;"$"&amp;$D33&amp;$AD$1&amp;"")</f>
        <v>0</v>
      </c>
      <c r="AE33" s="281" t="s">
        <v>1</v>
      </c>
      <c r="AF33" s="281" t="s">
        <v>1</v>
      </c>
      <c r="AG33" s="282" t="s">
        <v>1</v>
      </c>
      <c r="AH33" s="278" t="str" cm="1">
        <f t="array" aca="1" ref="AH33" ca="1">INDIRECT("'"&amp;$C33&amp;"'!"&amp;"$"&amp;$D33&amp;$AH$1&amp;"")</f>
        <v>CMS</v>
      </c>
      <c r="AI33" s="281" t="s">
        <v>1</v>
      </c>
      <c r="AJ33" s="281" t="s">
        <v>1</v>
      </c>
      <c r="AK33" s="279" t="s">
        <v>1</v>
      </c>
      <c r="AL33" s="278" t="s">
        <v>1</v>
      </c>
      <c r="AM33" s="282">
        <v>70.900000000000006</v>
      </c>
      <c r="AN33" s="278" cm="1">
        <f t="array" aca="1" ref="AN33" ca="1">INDIRECT("'"&amp;$C33&amp;"'!"&amp;"$"&amp;$D33&amp;$AL$1&amp;"")</f>
        <v>0</v>
      </c>
      <c r="AO33" s="281" t="s">
        <v>1</v>
      </c>
      <c r="AP33" s="279" t="s">
        <v>1</v>
      </c>
      <c r="AQ33" s="280" cm="1">
        <f t="array" aca="1" ref="AQ33" ca="1">INDIRECT("'"&amp;$C33&amp;"'!"&amp;"$"&amp;$D33&amp;$AQ$1&amp;"")</f>
        <v>0</v>
      </c>
      <c r="AR33" s="281" t="s">
        <v>1</v>
      </c>
      <c r="AS33" s="279" t="s">
        <v>1</v>
      </c>
      <c r="AT33" s="278">
        <v>13.91</v>
      </c>
      <c r="AU33" s="282">
        <v>70.7</v>
      </c>
      <c r="AV33" s="281" cm="1">
        <f t="array" aca="1" ref="AV33" ca="1">INDIRECT("'"&amp;$C33&amp;"'!"&amp;"$"&amp;$D33&amp;$AV$1&amp;"")</f>
        <v>0</v>
      </c>
      <c r="AW33" s="280" t="s">
        <v>1</v>
      </c>
      <c r="AX33" s="281" t="s">
        <v>1</v>
      </c>
      <c r="AY33" s="279" t="s">
        <v>1</v>
      </c>
      <c r="AZ33" s="281" cm="1">
        <f t="array" aca="1" ref="AZ33" ca="1">INDIRECT("'"&amp;$C33&amp;"'!"&amp;"$"&amp;$D33&amp;$AZ$1&amp;"")</f>
        <v>5.82</v>
      </c>
      <c r="BA33" s="280" t="s">
        <v>1</v>
      </c>
      <c r="BB33" s="281">
        <v>0.98</v>
      </c>
      <c r="BC33" s="279">
        <v>1.07</v>
      </c>
      <c r="BD33" s="283">
        <v>14.12</v>
      </c>
      <c r="BE33" s="282">
        <v>71.92</v>
      </c>
      <c r="BF33" s="283" cm="1">
        <f t="array" aca="1" ref="BF33" ca="1">INDIRECT("'"&amp;$C33&amp;"'!"&amp;"$"&amp;$D33&amp;$BF$1&amp;"")</f>
        <v>14.13</v>
      </c>
      <c r="BG33" s="281">
        <v>1</v>
      </c>
      <c r="BH33" s="279">
        <v>1.25</v>
      </c>
      <c r="BI33" s="284">
        <v>69.8</v>
      </c>
      <c r="BJ33" s="278" cm="1">
        <f t="array" aca="1" ref="BJ33" ca="1">INDIRECT("'"&amp;$C33&amp;"'!"&amp;"$"&amp;$D33&amp;$BI$1&amp;"")</f>
        <v>0</v>
      </c>
      <c r="BK33" s="280" t="s">
        <v>1</v>
      </c>
      <c r="BL33" s="279" t="s">
        <v>1</v>
      </c>
      <c r="BM33" s="283" cm="1">
        <f t="array" aca="1" ref="BM33" ca="1">INDIRECT("'"&amp;$C33&amp;"'!"&amp;"$"&amp;$D33&amp;$BM$1&amp;"")</f>
        <v>0.82</v>
      </c>
      <c r="BN33" s="281"/>
      <c r="BO33" s="281">
        <v>0.99</v>
      </c>
      <c r="BP33" s="279">
        <v>0.09</v>
      </c>
      <c r="BQ33" s="283" cm="1">
        <f t="array" aca="1" ref="BQ33" ca="1">INDIRECT("'"&amp;$C33&amp;"'!"&amp;"$"&amp;$D33&amp;$BQ$1&amp;"")</f>
        <v>0.67</v>
      </c>
      <c r="BR33" s="281"/>
      <c r="BS33" s="281">
        <v>0.96</v>
      </c>
      <c r="BT33" s="279">
        <v>0.17</v>
      </c>
      <c r="BU33" s="284" cm="1">
        <f t="array" aca="1" ref="BU33" ca="1">INDIRECT("'"&amp;$C33&amp;"'!"&amp;"$"&amp;$D33&amp;74&amp;"")</f>
        <v>0</v>
      </c>
      <c r="BV33" s="281"/>
      <c r="BW33" s="281" t="s">
        <v>1</v>
      </c>
      <c r="BX33" s="279" t="s">
        <v>1</v>
      </c>
    </row>
    <row r="34" spans="1:76">
      <c r="A34" s="459">
        <v>45840</v>
      </c>
      <c r="B34" s="345">
        <v>0.16666666666666699</v>
      </c>
      <c r="C34" s="305">
        <v>2</v>
      </c>
      <c r="D34" s="306" t="s">
        <v>146</v>
      </c>
      <c r="E34" s="285">
        <v>14.2</v>
      </c>
      <c r="F34" s="286">
        <v>70.3</v>
      </c>
      <c r="G34" s="287" t="str" cm="1">
        <f t="array" aca="1" ref="G34" ca="1">INDIRECT("'"&amp;$C34&amp;"'!"&amp;"$"&amp;$D34&amp;$E$1&amp;"")</f>
        <v>CMS</v>
      </c>
      <c r="H34" s="288" t="s">
        <v>1</v>
      </c>
      <c r="I34" s="286" t="s">
        <v>1</v>
      </c>
      <c r="J34" s="287" cm="1">
        <f t="array" aca="1" ref="J34" ca="1">INDIRECT("'"&amp;$C34&amp;"'!"&amp;"$"&amp;$D34&amp;$J$1&amp;"")</f>
        <v>0</v>
      </c>
      <c r="K34" s="288"/>
      <c r="L34" s="288" t="s">
        <v>1</v>
      </c>
      <c r="M34" s="286" t="s">
        <v>1</v>
      </c>
      <c r="N34" s="285" cm="1">
        <f t="array" aca="1" ref="N34" ca="1">INDIRECT("'"&amp;$C34&amp;"'!"&amp;"$"&amp;$D34&amp;$N$1&amp;"")</f>
        <v>6.7</v>
      </c>
      <c r="O34" s="288"/>
      <c r="P34" s="288">
        <v>0.98</v>
      </c>
      <c r="Q34" s="286">
        <v>1.33</v>
      </c>
      <c r="R34" s="285" cm="1">
        <f t="array" aca="1" ref="R34" ca="1">INDIRECT("'"&amp;$C34&amp;"'!"&amp;"$"&amp;$D34&amp;$R$1&amp;"")</f>
        <v>6.7</v>
      </c>
      <c r="S34" s="288"/>
      <c r="T34" s="288">
        <v>0.98</v>
      </c>
      <c r="U34" s="286">
        <v>1.33</v>
      </c>
      <c r="V34" s="287" cm="1">
        <f t="array" aca="1" ref="V34" ca="1">INDIRECT("'"&amp;$C34&amp;"'!"&amp;"$"&amp;$D34&amp;$V$1&amp;"")</f>
        <v>0</v>
      </c>
      <c r="W34" s="288" t="s">
        <v>1</v>
      </c>
      <c r="X34" s="288" t="s">
        <v>1</v>
      </c>
      <c r="Y34" s="289" t="s">
        <v>1</v>
      </c>
      <c r="Z34" s="285" cm="1">
        <f t="array" aca="1" ref="Z34" ca="1">INDIRECT("'"&amp;$C34&amp;"'!"&amp;"$"&amp;$D34&amp;$Z$1&amp;"")</f>
        <v>0</v>
      </c>
      <c r="AA34" s="288" t="s">
        <v>1</v>
      </c>
      <c r="AB34" s="288" t="s">
        <v>1</v>
      </c>
      <c r="AC34" s="286" t="s">
        <v>1</v>
      </c>
      <c r="AD34" s="287" cm="1">
        <f t="array" aca="1" ref="AD34" ca="1">INDIRECT("'"&amp;$C34&amp;"'!"&amp;"$"&amp;$D34&amp;$AD$1&amp;"")</f>
        <v>0</v>
      </c>
      <c r="AE34" s="288" t="s">
        <v>1</v>
      </c>
      <c r="AF34" s="288" t="s">
        <v>1</v>
      </c>
      <c r="AG34" s="289" t="s">
        <v>1</v>
      </c>
      <c r="AH34" s="285" t="str" cm="1">
        <f t="array" aca="1" ref="AH34" ca="1">INDIRECT("'"&amp;$C34&amp;"'!"&amp;"$"&amp;$D34&amp;$AH$1&amp;"")</f>
        <v>CMS</v>
      </c>
      <c r="AI34" s="288" t="s">
        <v>1</v>
      </c>
      <c r="AJ34" s="288" t="s">
        <v>1</v>
      </c>
      <c r="AK34" s="286" t="s">
        <v>1</v>
      </c>
      <c r="AL34" s="285" t="s">
        <v>1</v>
      </c>
      <c r="AM34" s="289">
        <v>70.900000000000006</v>
      </c>
      <c r="AN34" s="285" cm="1">
        <f t="array" aca="1" ref="AN34" ca="1">INDIRECT("'"&amp;$C34&amp;"'!"&amp;"$"&amp;$D34&amp;$AL$1&amp;"")</f>
        <v>0</v>
      </c>
      <c r="AO34" s="288" t="s">
        <v>1</v>
      </c>
      <c r="AP34" s="286" t="s">
        <v>1</v>
      </c>
      <c r="AQ34" s="287" cm="1">
        <f t="array" aca="1" ref="AQ34" ca="1">INDIRECT("'"&amp;$C34&amp;"'!"&amp;"$"&amp;$D34&amp;$AQ$1&amp;"")</f>
        <v>0</v>
      </c>
      <c r="AR34" s="288" t="s">
        <v>1</v>
      </c>
      <c r="AS34" s="286" t="s">
        <v>1</v>
      </c>
      <c r="AT34" s="285">
        <v>13.91</v>
      </c>
      <c r="AU34" s="289">
        <v>70.7</v>
      </c>
      <c r="AV34" s="288" cm="1">
        <f t="array" aca="1" ref="AV34" ca="1">INDIRECT("'"&amp;$C34&amp;"'!"&amp;"$"&amp;$D34&amp;$AV$1&amp;"")</f>
        <v>0</v>
      </c>
      <c r="AW34" s="287" t="s">
        <v>1</v>
      </c>
      <c r="AX34" s="288" t="s">
        <v>1</v>
      </c>
      <c r="AY34" s="286" t="s">
        <v>1</v>
      </c>
      <c r="AZ34" s="288" cm="1">
        <f t="array" aca="1" ref="AZ34" ca="1">INDIRECT("'"&amp;$C34&amp;"'!"&amp;"$"&amp;$D34&amp;$AZ$1&amp;"")</f>
        <v>5.25</v>
      </c>
      <c r="BA34" s="287" t="s">
        <v>1</v>
      </c>
      <c r="BB34" s="288">
        <v>0.97</v>
      </c>
      <c r="BC34" s="286">
        <v>1.2</v>
      </c>
      <c r="BD34" s="290">
        <v>14.1</v>
      </c>
      <c r="BE34" s="289">
        <v>71.8</v>
      </c>
      <c r="BF34" s="290" cm="1">
        <f t="array" aca="1" ref="BF34" ca="1">INDIRECT("'"&amp;$C34&amp;"'!"&amp;"$"&amp;$D34&amp;$BF$1&amp;"")</f>
        <v>14.16</v>
      </c>
      <c r="BG34" s="288">
        <v>1</v>
      </c>
      <c r="BH34" s="286">
        <v>1.28</v>
      </c>
      <c r="BI34" s="291">
        <v>69.5</v>
      </c>
      <c r="BJ34" s="285" cm="1">
        <f t="array" aca="1" ref="BJ34" ca="1">INDIRECT("'"&amp;$C34&amp;"'!"&amp;"$"&amp;$D34&amp;$BI$1&amp;"")</f>
        <v>0</v>
      </c>
      <c r="BK34" s="287" t="s">
        <v>1</v>
      </c>
      <c r="BL34" s="286" t="s">
        <v>1</v>
      </c>
      <c r="BM34" s="290" cm="1">
        <f t="array" aca="1" ref="BM34" ca="1">INDIRECT("'"&amp;$C34&amp;"'!"&amp;"$"&amp;$D34&amp;$BM$1&amp;"")</f>
        <v>0.8</v>
      </c>
      <c r="BN34" s="288"/>
      <c r="BO34" s="288">
        <v>0.99</v>
      </c>
      <c r="BP34" s="286">
        <v>0.09</v>
      </c>
      <c r="BQ34" s="290" cm="1">
        <f t="array" aca="1" ref="BQ34" ca="1">INDIRECT("'"&amp;$C34&amp;"'!"&amp;"$"&amp;$D34&amp;$BQ$1&amp;"")</f>
        <v>0.68</v>
      </c>
      <c r="BR34" s="288"/>
      <c r="BS34" s="288">
        <v>0.96</v>
      </c>
      <c r="BT34" s="286">
        <v>0.17</v>
      </c>
      <c r="BU34" s="291" cm="1">
        <f t="array" aca="1" ref="BU34" ca="1">INDIRECT("'"&amp;$C34&amp;"'!"&amp;"$"&amp;$D34&amp;74&amp;"")</f>
        <v>0</v>
      </c>
      <c r="BV34" s="288"/>
      <c r="BW34" s="288" t="s">
        <v>1</v>
      </c>
      <c r="BX34" s="286" t="s">
        <v>1</v>
      </c>
    </row>
    <row r="35" spans="1:76">
      <c r="A35" s="459">
        <v>45840</v>
      </c>
      <c r="B35" s="345">
        <v>0.20833333333333301</v>
      </c>
      <c r="C35" s="305">
        <v>2</v>
      </c>
      <c r="D35" s="306" t="s">
        <v>147</v>
      </c>
      <c r="E35" s="278">
        <v>14.1</v>
      </c>
      <c r="F35" s="279">
        <v>69.98</v>
      </c>
      <c r="G35" s="280" t="str" cm="1">
        <f t="array" aca="1" ref="G35" ca="1">INDIRECT("'"&amp;$C35&amp;"'!"&amp;"$"&amp;$D35&amp;$E$1&amp;"")</f>
        <v>CMS</v>
      </c>
      <c r="H35" s="281" t="s">
        <v>1</v>
      </c>
      <c r="I35" s="279" t="s">
        <v>1</v>
      </c>
      <c r="J35" s="280" cm="1">
        <f t="array" aca="1" ref="J35" ca="1">INDIRECT("'"&amp;$C35&amp;"'!"&amp;"$"&amp;$D35&amp;$J$1&amp;"")</f>
        <v>0</v>
      </c>
      <c r="K35" s="281"/>
      <c r="L35" s="281" t="s">
        <v>1</v>
      </c>
      <c r="M35" s="279" t="s">
        <v>1</v>
      </c>
      <c r="N35" s="278" cm="1">
        <f t="array" aca="1" ref="N35" ca="1">INDIRECT("'"&amp;$C35&amp;"'!"&amp;"$"&amp;$D35&amp;$N$1&amp;"")</f>
        <v>6.8</v>
      </c>
      <c r="O35" s="281"/>
      <c r="P35" s="281">
        <v>0.98</v>
      </c>
      <c r="Q35" s="279">
        <v>1.32</v>
      </c>
      <c r="R35" s="468" cm="1">
        <f t="array" aca="1" ref="R35" ca="1">INDIRECT("'"&amp;$C35&amp;"'!"&amp;"$"&amp;$D35&amp;$R$1&amp;"")</f>
        <v>6.8</v>
      </c>
      <c r="S35" s="281"/>
      <c r="T35" s="281">
        <v>0.98</v>
      </c>
      <c r="U35" s="279">
        <v>1.32</v>
      </c>
      <c r="V35" s="280" cm="1">
        <f t="array" aca="1" ref="V35" ca="1">INDIRECT("'"&amp;$C35&amp;"'!"&amp;"$"&amp;$D35&amp;$V$1&amp;"")</f>
        <v>0</v>
      </c>
      <c r="W35" s="281" t="s">
        <v>1</v>
      </c>
      <c r="X35" s="281" t="s">
        <v>1</v>
      </c>
      <c r="Y35" s="282" t="s">
        <v>1</v>
      </c>
      <c r="Z35" s="278" cm="1">
        <f t="array" aca="1" ref="Z35" ca="1">INDIRECT("'"&amp;$C35&amp;"'!"&amp;"$"&amp;$D35&amp;$Z$1&amp;"")</f>
        <v>0</v>
      </c>
      <c r="AA35" s="281" t="s">
        <v>1</v>
      </c>
      <c r="AB35" s="281" t="s">
        <v>1</v>
      </c>
      <c r="AC35" s="279" t="s">
        <v>1</v>
      </c>
      <c r="AD35" s="280" cm="1">
        <f t="array" aca="1" ref="AD35" ca="1">INDIRECT("'"&amp;$C35&amp;"'!"&amp;"$"&amp;$D35&amp;$AD$1&amp;"")</f>
        <v>0</v>
      </c>
      <c r="AE35" s="281" t="s">
        <v>1</v>
      </c>
      <c r="AF35" s="281" t="s">
        <v>1</v>
      </c>
      <c r="AG35" s="282" t="s">
        <v>1</v>
      </c>
      <c r="AH35" s="278" t="str" cm="1">
        <f t="array" aca="1" ref="AH35" ca="1">INDIRECT("'"&amp;$C35&amp;"'!"&amp;"$"&amp;$D35&amp;$AH$1&amp;"")</f>
        <v>CMS</v>
      </c>
      <c r="AI35" s="281" t="s">
        <v>1</v>
      </c>
      <c r="AJ35" s="281" t="s">
        <v>1</v>
      </c>
      <c r="AK35" s="279" t="s">
        <v>1</v>
      </c>
      <c r="AL35" s="278" t="s">
        <v>1</v>
      </c>
      <c r="AM35" s="282">
        <v>70.7</v>
      </c>
      <c r="AN35" s="278" cm="1">
        <f t="array" aca="1" ref="AN35" ca="1">INDIRECT("'"&amp;$C35&amp;"'!"&amp;"$"&amp;$D35&amp;$AL$1&amp;"")</f>
        <v>0</v>
      </c>
      <c r="AO35" s="281" t="s">
        <v>1</v>
      </c>
      <c r="AP35" s="279" t="s">
        <v>1</v>
      </c>
      <c r="AQ35" s="280" cm="1">
        <f t="array" aca="1" ref="AQ35" ca="1">INDIRECT("'"&amp;$C35&amp;"'!"&amp;"$"&amp;$D35&amp;$AQ$1&amp;"")</f>
        <v>0</v>
      </c>
      <c r="AR35" s="281" t="s">
        <v>1</v>
      </c>
      <c r="AS35" s="279" t="s">
        <v>1</v>
      </c>
      <c r="AT35" s="278">
        <v>13.89</v>
      </c>
      <c r="AU35" s="282">
        <v>70.7</v>
      </c>
      <c r="AV35" s="281" cm="1">
        <f t="array" aca="1" ref="AV35" ca="1">INDIRECT("'"&amp;$C35&amp;"'!"&amp;"$"&amp;$D35&amp;$AV$1&amp;"")</f>
        <v>0</v>
      </c>
      <c r="AW35" s="280" t="s">
        <v>1</v>
      </c>
      <c r="AX35" s="281" t="s">
        <v>1</v>
      </c>
      <c r="AY35" s="279" t="s">
        <v>1</v>
      </c>
      <c r="AZ35" s="281" cm="1">
        <f t="array" aca="1" ref="AZ35" ca="1">INDIRECT("'"&amp;$C35&amp;"'!"&amp;"$"&amp;$D35&amp;$AZ$1&amp;"")</f>
        <v>6.9</v>
      </c>
      <c r="BA35" s="280" t="s">
        <v>1</v>
      </c>
      <c r="BB35" s="281">
        <v>0.98</v>
      </c>
      <c r="BC35" s="279">
        <v>1.49</v>
      </c>
      <c r="BD35" s="283">
        <v>14.07</v>
      </c>
      <c r="BE35" s="282">
        <v>71.64</v>
      </c>
      <c r="BF35" s="283" cm="1">
        <f t="array" aca="1" ref="BF35" ca="1">INDIRECT("'"&amp;$C35&amp;"'!"&amp;"$"&amp;$D35&amp;$BF$1&amp;"")</f>
        <v>14.13</v>
      </c>
      <c r="BG35" s="281">
        <v>1</v>
      </c>
      <c r="BH35" s="279">
        <v>1.24</v>
      </c>
      <c r="BI35" s="284">
        <v>69.099999999999994</v>
      </c>
      <c r="BJ35" s="278" cm="1">
        <f t="array" aca="1" ref="BJ35" ca="1">INDIRECT("'"&amp;$C35&amp;"'!"&amp;"$"&amp;$D35&amp;$BI$1&amp;"")</f>
        <v>0</v>
      </c>
      <c r="BK35" s="280" t="s">
        <v>1</v>
      </c>
      <c r="BL35" s="279" t="s">
        <v>1</v>
      </c>
      <c r="BM35" s="283" cm="1">
        <f t="array" aca="1" ref="BM35" ca="1">INDIRECT("'"&amp;$C35&amp;"'!"&amp;"$"&amp;$D35&amp;$BM$1&amp;"")</f>
        <v>0.89</v>
      </c>
      <c r="BN35" s="281"/>
      <c r="BO35" s="281">
        <v>0.99</v>
      </c>
      <c r="BP35" s="279">
        <v>0.1</v>
      </c>
      <c r="BQ35" s="283" cm="1">
        <f t="array" aca="1" ref="BQ35" ca="1">INDIRECT("'"&amp;$C35&amp;"'!"&amp;"$"&amp;$D35&amp;$BQ$1&amp;"")</f>
        <v>0.72</v>
      </c>
      <c r="BR35" s="281"/>
      <c r="BS35" s="281">
        <v>0.96</v>
      </c>
      <c r="BT35" s="279">
        <v>0.18</v>
      </c>
      <c r="BU35" s="284" cm="1">
        <f t="array" aca="1" ref="BU35" ca="1">INDIRECT("'"&amp;$C35&amp;"'!"&amp;"$"&amp;$D35&amp;74&amp;"")</f>
        <v>0</v>
      </c>
      <c r="BV35" s="281"/>
      <c r="BW35" s="281" t="s">
        <v>1</v>
      </c>
      <c r="BX35" s="279" t="s">
        <v>1</v>
      </c>
    </row>
    <row r="36" spans="1:76">
      <c r="A36" s="459">
        <v>45840</v>
      </c>
      <c r="B36" s="345">
        <v>0.25</v>
      </c>
      <c r="C36" s="305">
        <v>2</v>
      </c>
      <c r="D36" s="306" t="s">
        <v>148</v>
      </c>
      <c r="E36" s="285">
        <v>14.2</v>
      </c>
      <c r="F36" s="286">
        <v>69.44</v>
      </c>
      <c r="G36" s="287" t="str" cm="1">
        <f t="array" aca="1" ref="G36" ca="1">INDIRECT("'"&amp;$C36&amp;"'!"&amp;"$"&amp;$D36&amp;$E$1&amp;"")</f>
        <v>CMS</v>
      </c>
      <c r="H36" s="288" t="s">
        <v>1</v>
      </c>
      <c r="I36" s="286" t="s">
        <v>1</v>
      </c>
      <c r="J36" s="287" cm="1">
        <f t="array" aca="1" ref="J36" ca="1">INDIRECT("'"&amp;$C36&amp;"'!"&amp;"$"&amp;$D36&amp;$J$1&amp;"")</f>
        <v>6.7</v>
      </c>
      <c r="K36" s="288"/>
      <c r="L36" s="288">
        <v>0.97</v>
      </c>
      <c r="M36" s="286">
        <v>1.58</v>
      </c>
      <c r="N36" s="285" cm="1">
        <f t="array" aca="1" ref="N36" ca="1">INDIRECT("'"&amp;$C36&amp;"'!"&amp;"$"&amp;$D36&amp;$N$1&amp;"")</f>
        <v>4</v>
      </c>
      <c r="O36" s="288"/>
      <c r="P36" s="288">
        <v>0.97</v>
      </c>
      <c r="Q36" s="286">
        <v>0.98</v>
      </c>
      <c r="R36" s="285" cm="1">
        <f t="array" aca="1" ref="R36" ca="1">INDIRECT("'"&amp;$C36&amp;"'!"&amp;"$"&amp;$D36&amp;$R$1&amp;"")</f>
        <v>4</v>
      </c>
      <c r="S36" s="288"/>
      <c r="T36" s="288">
        <v>0.97</v>
      </c>
      <c r="U36" s="286">
        <v>0.98</v>
      </c>
      <c r="V36" s="287" t="str" cm="1">
        <f t="array" aca="1" ref="V36" ca="1">INDIRECT("'"&amp;$C36&amp;"'!"&amp;"$"&amp;$D36&amp;$V$1&amp;"")</f>
        <v>CMS</v>
      </c>
      <c r="W36" s="288" t="s">
        <v>1</v>
      </c>
      <c r="X36" s="288" t="s">
        <v>1</v>
      </c>
      <c r="Y36" s="289" t="s">
        <v>1</v>
      </c>
      <c r="Z36" s="285" cm="1">
        <f t="array" aca="1" ref="Z36" ca="1">INDIRECT("'"&amp;$C36&amp;"'!"&amp;"$"&amp;$D36&amp;$Z$1&amp;"")</f>
        <v>0</v>
      </c>
      <c r="AA36" s="288" t="s">
        <v>1</v>
      </c>
      <c r="AB36" s="288" t="s">
        <v>1</v>
      </c>
      <c r="AC36" s="286" t="s">
        <v>1</v>
      </c>
      <c r="AD36" s="287" cm="1">
        <f t="array" aca="1" ref="AD36" ca="1">INDIRECT("'"&amp;$C36&amp;"'!"&amp;"$"&amp;$D36&amp;$AD$1&amp;"")</f>
        <v>0</v>
      </c>
      <c r="AE36" s="288" t="s">
        <v>1</v>
      </c>
      <c r="AF36" s="288" t="s">
        <v>1</v>
      </c>
      <c r="AG36" s="289" t="s">
        <v>1</v>
      </c>
      <c r="AH36" s="285" t="str" cm="1">
        <f t="array" aca="1" ref="AH36" ca="1">INDIRECT("'"&amp;$C36&amp;"'!"&amp;"$"&amp;$D36&amp;$AH$1&amp;"")</f>
        <v>CMS</v>
      </c>
      <c r="AI36" s="288" t="s">
        <v>1</v>
      </c>
      <c r="AJ36" s="288" t="s">
        <v>1</v>
      </c>
      <c r="AK36" s="286" t="s">
        <v>1</v>
      </c>
      <c r="AL36" s="285">
        <v>11.5</v>
      </c>
      <c r="AM36" s="289">
        <v>70.7</v>
      </c>
      <c r="AN36" s="285" cm="1">
        <f t="array" aca="1" ref="AN36" ca="1">INDIRECT("'"&amp;$C36&amp;"'!"&amp;"$"&amp;$D36&amp;$AL$1&amp;"")</f>
        <v>3.2</v>
      </c>
      <c r="AO36" s="288">
        <v>0.99</v>
      </c>
      <c r="AP36" s="286">
        <v>0.33</v>
      </c>
      <c r="AQ36" s="287" cm="1">
        <f t="array" aca="1" ref="AQ36" ca="1">INDIRECT("'"&amp;$C36&amp;"'!"&amp;"$"&amp;$D36&amp;$AQ$1&amp;"")</f>
        <v>0</v>
      </c>
      <c r="AR36" s="288" t="s">
        <v>1</v>
      </c>
      <c r="AS36" s="286" t="s">
        <v>1</v>
      </c>
      <c r="AT36" s="285">
        <v>13.89</v>
      </c>
      <c r="AU36" s="289">
        <v>70.7</v>
      </c>
      <c r="AV36" s="288" cm="1">
        <f t="array" aca="1" ref="AV36" ca="1">INDIRECT("'"&amp;$C36&amp;"'!"&amp;"$"&amp;$D36&amp;$AV$1&amp;"")</f>
        <v>0</v>
      </c>
      <c r="AW36" s="287" t="s">
        <v>1</v>
      </c>
      <c r="AX36" s="288" t="s">
        <v>1</v>
      </c>
      <c r="AY36" s="286" t="s">
        <v>1</v>
      </c>
      <c r="AZ36" s="288" cm="1">
        <f t="array" aca="1" ref="AZ36" ca="1">INDIRECT("'"&amp;$C36&amp;"'!"&amp;"$"&amp;$D36&amp;$AZ$1&amp;"")</f>
        <v>7</v>
      </c>
      <c r="BA36" s="287" t="s">
        <v>1</v>
      </c>
      <c r="BB36" s="288">
        <v>0.97</v>
      </c>
      <c r="BC36" s="286">
        <v>1.67</v>
      </c>
      <c r="BD36" s="290">
        <v>14.09</v>
      </c>
      <c r="BE36" s="289">
        <v>71.52</v>
      </c>
      <c r="BF36" s="290" cm="1">
        <f t="array" aca="1" ref="BF36" ca="1">INDIRECT("'"&amp;$C36&amp;"'!"&amp;"$"&amp;$D36&amp;$BF$1&amp;"")</f>
        <v>14.16</v>
      </c>
      <c r="BG36" s="288">
        <v>0.99</v>
      </c>
      <c r="BH36" s="286">
        <v>2.2999999999999998</v>
      </c>
      <c r="BI36" s="291">
        <v>68.599999999999994</v>
      </c>
      <c r="BJ36" s="285" cm="1">
        <f t="array" aca="1" ref="BJ36" ca="1">INDIRECT("'"&amp;$C36&amp;"'!"&amp;"$"&amp;$D36&amp;$BI$1&amp;"")</f>
        <v>0</v>
      </c>
      <c r="BK36" s="287" t="s">
        <v>1</v>
      </c>
      <c r="BL36" s="286" t="s">
        <v>1</v>
      </c>
      <c r="BM36" s="290" cm="1">
        <f t="array" aca="1" ref="BM36" ca="1">INDIRECT("'"&amp;$C36&amp;"'!"&amp;"$"&amp;$D36&amp;$BM$1&amp;"")</f>
        <v>1.1399999999999999</v>
      </c>
      <c r="BN36" s="288"/>
      <c r="BO36" s="288">
        <v>0.99</v>
      </c>
      <c r="BP36" s="286">
        <v>0.12</v>
      </c>
      <c r="BQ36" s="290" cm="1">
        <f t="array" aca="1" ref="BQ36" ca="1">INDIRECT("'"&amp;$C36&amp;"'!"&amp;"$"&amp;$D36&amp;$BQ$1&amp;"")</f>
        <v>0.83</v>
      </c>
      <c r="BR36" s="288"/>
      <c r="BS36" s="288">
        <v>0.97</v>
      </c>
      <c r="BT36" s="286">
        <v>0.19</v>
      </c>
      <c r="BU36" s="291" cm="1">
        <f t="array" aca="1" ref="BU36" ca="1">INDIRECT("'"&amp;$C36&amp;"'!"&amp;"$"&amp;$D36&amp;74&amp;"")</f>
        <v>0</v>
      </c>
      <c r="BV36" s="288"/>
      <c r="BW36" s="288" t="s">
        <v>1</v>
      </c>
      <c r="BX36" s="286" t="s">
        <v>1</v>
      </c>
    </row>
    <row r="37" spans="1:76">
      <c r="A37" s="459">
        <v>45840</v>
      </c>
      <c r="B37" s="345">
        <v>0.29166666666666702</v>
      </c>
      <c r="C37" s="305">
        <v>2</v>
      </c>
      <c r="D37" s="306" t="s">
        <v>149</v>
      </c>
      <c r="E37" s="278">
        <v>14.1</v>
      </c>
      <c r="F37" s="279">
        <v>69.599999999999994</v>
      </c>
      <c r="G37" s="280" t="str" cm="1">
        <f t="array" aca="1" ref="G37" ca="1">INDIRECT("'"&amp;$C37&amp;"'!"&amp;"$"&amp;$D37&amp;$E$1&amp;"")</f>
        <v>CMS</v>
      </c>
      <c r="H37" s="281" t="s">
        <v>1</v>
      </c>
      <c r="I37" s="279" t="s">
        <v>1</v>
      </c>
      <c r="J37" s="280" cm="1">
        <f t="array" aca="1" ref="J37" ca="1">INDIRECT("'"&amp;$C37&amp;"'!"&amp;"$"&amp;$D37&amp;$J$1&amp;"")</f>
        <v>0</v>
      </c>
      <c r="K37" s="281"/>
      <c r="L37" s="281" t="s">
        <v>1</v>
      </c>
      <c r="M37" s="282" t="s">
        <v>1</v>
      </c>
      <c r="N37" s="278" cm="1">
        <f t="array" aca="1" ref="N37" ca="1">INDIRECT("'"&amp;$C37&amp;"'!"&amp;"$"&amp;$D37&amp;$N$1&amp;"")</f>
        <v>6.7</v>
      </c>
      <c r="O37" s="281"/>
      <c r="P37" s="281">
        <v>0.98</v>
      </c>
      <c r="Q37" s="279">
        <v>1.48</v>
      </c>
      <c r="R37" s="468" cm="1">
        <f t="array" aca="1" ref="R37" ca="1">INDIRECT("'"&amp;$C37&amp;"'!"&amp;"$"&amp;$D37&amp;$R$1&amp;"")</f>
        <v>6.7</v>
      </c>
      <c r="S37" s="281"/>
      <c r="T37" s="281">
        <v>0.98</v>
      </c>
      <c r="U37" s="279">
        <v>1.48</v>
      </c>
      <c r="V37" s="280" t="str" cm="1">
        <f t="array" aca="1" ref="V37" ca="1">INDIRECT("'"&amp;$C37&amp;"'!"&amp;"$"&amp;$D37&amp;$V$1&amp;"")</f>
        <v>CMS</v>
      </c>
      <c r="W37" s="281" t="s">
        <v>1</v>
      </c>
      <c r="X37" s="281" t="s">
        <v>1</v>
      </c>
      <c r="Y37" s="282" t="s">
        <v>1</v>
      </c>
      <c r="Z37" s="278" cm="1">
        <f t="array" aca="1" ref="Z37" ca="1">INDIRECT("'"&amp;$C37&amp;"'!"&amp;"$"&amp;$D37&amp;$Z$1&amp;"")</f>
        <v>0</v>
      </c>
      <c r="AA37" s="281" t="s">
        <v>1</v>
      </c>
      <c r="AB37" s="281" t="s">
        <v>1</v>
      </c>
      <c r="AC37" s="279" t="s">
        <v>1</v>
      </c>
      <c r="AD37" s="280" cm="1">
        <f t="array" aca="1" ref="AD37" ca="1">INDIRECT("'"&amp;$C37&amp;"'!"&amp;"$"&amp;$D37&amp;$AD$1&amp;"")</f>
        <v>0</v>
      </c>
      <c r="AE37" s="281" t="s">
        <v>1</v>
      </c>
      <c r="AF37" s="281" t="s">
        <v>1</v>
      </c>
      <c r="AG37" s="282" t="s">
        <v>1</v>
      </c>
      <c r="AH37" s="278" t="str" cm="1">
        <f t="array" aca="1" ref="AH37" ca="1">INDIRECT("'"&amp;$C37&amp;"'!"&amp;"$"&amp;$D37&amp;$AH$1&amp;"")</f>
        <v>CMS</v>
      </c>
      <c r="AI37" s="281" t="s">
        <v>1</v>
      </c>
      <c r="AJ37" s="281" t="s">
        <v>1</v>
      </c>
      <c r="AK37" s="279" t="s">
        <v>1</v>
      </c>
      <c r="AL37" s="278">
        <v>11.6</v>
      </c>
      <c r="AM37" s="282">
        <v>70.8</v>
      </c>
      <c r="AN37" s="278" cm="1">
        <f t="array" aca="1" ref="AN37" ca="1">INDIRECT("'"&amp;$C37&amp;"'!"&amp;"$"&amp;$D37&amp;$AL$1&amp;"")</f>
        <v>2</v>
      </c>
      <c r="AO37" s="281">
        <v>0.97</v>
      </c>
      <c r="AP37" s="279">
        <v>0.49</v>
      </c>
      <c r="AQ37" s="280" cm="1">
        <f t="array" aca="1" ref="AQ37" ca="1">INDIRECT("'"&amp;$C37&amp;"'!"&amp;"$"&amp;$D37&amp;$AQ$1&amp;"")</f>
        <v>0</v>
      </c>
      <c r="AR37" s="281" t="s">
        <v>1</v>
      </c>
      <c r="AS37" s="279" t="s">
        <v>1</v>
      </c>
      <c r="AT37" s="278">
        <v>13.9</v>
      </c>
      <c r="AU37" s="282">
        <v>70.7</v>
      </c>
      <c r="AV37" s="281" cm="1">
        <f t="array" aca="1" ref="AV37" ca="1">INDIRECT("'"&amp;$C37&amp;"'!"&amp;"$"&amp;$D37&amp;$AV$1&amp;"")</f>
        <v>0</v>
      </c>
      <c r="AW37" s="280" t="s">
        <v>1</v>
      </c>
      <c r="AX37" s="281" t="s">
        <v>1</v>
      </c>
      <c r="AY37" s="279" t="s">
        <v>1</v>
      </c>
      <c r="AZ37" s="281" cm="1">
        <f t="array" aca="1" ref="AZ37" ca="1">INDIRECT("'"&amp;$C37&amp;"'!"&amp;"$"&amp;$D37&amp;$AZ$1&amp;"")</f>
        <v>7</v>
      </c>
      <c r="BA37" s="280" t="s">
        <v>1</v>
      </c>
      <c r="BB37" s="281">
        <v>0.98</v>
      </c>
      <c r="BC37" s="279">
        <v>1.47</v>
      </c>
      <c r="BD37" s="283">
        <v>14.15</v>
      </c>
      <c r="BE37" s="282">
        <v>71.680000000000007</v>
      </c>
      <c r="BF37" s="283" cm="1">
        <f t="array" aca="1" ref="BF37" ca="1">INDIRECT("'"&amp;$C37&amp;"'!"&amp;"$"&amp;$D37&amp;$BF$1&amp;"")</f>
        <v>14.16</v>
      </c>
      <c r="BG37" s="281">
        <v>0.99</v>
      </c>
      <c r="BH37" s="279">
        <v>2.33</v>
      </c>
      <c r="BI37" s="284">
        <v>68.8</v>
      </c>
      <c r="BJ37" s="278" cm="1">
        <f t="array" aca="1" ref="BJ37" ca="1">INDIRECT("'"&amp;$C37&amp;"'!"&amp;"$"&amp;$D37&amp;$BI$1&amp;"")</f>
        <v>0</v>
      </c>
      <c r="BK37" s="280" t="s">
        <v>1</v>
      </c>
      <c r="BL37" s="279" t="s">
        <v>1</v>
      </c>
      <c r="BM37" s="283" cm="1">
        <f t="array" aca="1" ref="BM37" ca="1">INDIRECT("'"&amp;$C37&amp;"'!"&amp;"$"&amp;$D37&amp;$BM$1&amp;"")</f>
        <v>1.03</v>
      </c>
      <c r="BN37" s="281"/>
      <c r="BO37" s="281">
        <v>0.99</v>
      </c>
      <c r="BP37" s="279">
        <v>0.1</v>
      </c>
      <c r="BQ37" s="284" cm="1">
        <f t="array" aca="1" ref="BQ37" ca="1">INDIRECT("'"&amp;$C37&amp;"'!"&amp;"$"&amp;$D37&amp;$BQ$1&amp;"")</f>
        <v>0.72</v>
      </c>
      <c r="BR37" s="281"/>
      <c r="BS37" s="281">
        <v>0.96</v>
      </c>
      <c r="BT37" s="279">
        <v>0.2</v>
      </c>
      <c r="BU37" s="284" cm="1">
        <f t="array" aca="1" ref="BU37" ca="1">INDIRECT("'"&amp;$C37&amp;"'!"&amp;"$"&amp;$D37&amp;74&amp;"")</f>
        <v>0</v>
      </c>
      <c r="BV37" s="281"/>
      <c r="BW37" s="281" t="s">
        <v>1</v>
      </c>
      <c r="BX37" s="279" t="s">
        <v>1</v>
      </c>
    </row>
    <row r="38" spans="1:76">
      <c r="A38" s="459">
        <v>45840</v>
      </c>
      <c r="B38" s="345">
        <v>0.33333333333333398</v>
      </c>
      <c r="C38" s="305">
        <v>2</v>
      </c>
      <c r="D38" s="306" t="s">
        <v>150</v>
      </c>
      <c r="E38" s="285">
        <v>14.2</v>
      </c>
      <c r="F38" s="286">
        <v>69.819999999999993</v>
      </c>
      <c r="G38" s="287" t="str" cm="1">
        <f t="array" aca="1" ref="G38" ca="1">INDIRECT("'"&amp;$C38&amp;"'!"&amp;"$"&amp;$D38&amp;$E$1&amp;"")</f>
        <v>CMS</v>
      </c>
      <c r="H38" s="288" t="s">
        <v>1</v>
      </c>
      <c r="I38" s="286" t="s">
        <v>1</v>
      </c>
      <c r="J38" s="287" cm="1">
        <f t="array" aca="1" ref="J38" ca="1">INDIRECT("'"&amp;$C38&amp;"'!"&amp;"$"&amp;$D38&amp;$J$1&amp;"")</f>
        <v>0</v>
      </c>
      <c r="K38" s="288"/>
      <c r="L38" s="288" t="s">
        <v>1</v>
      </c>
      <c r="M38" s="289" t="s">
        <v>1</v>
      </c>
      <c r="N38" s="285" cm="1">
        <f t="array" aca="1" ref="N38" ca="1">INDIRECT("'"&amp;$C38&amp;"'!"&amp;"$"&amp;$D38&amp;$N$1&amp;"")</f>
        <v>7</v>
      </c>
      <c r="O38" s="288"/>
      <c r="P38" s="288">
        <v>0.94</v>
      </c>
      <c r="Q38" s="286">
        <v>2.65</v>
      </c>
      <c r="R38" s="285" cm="1">
        <f t="array" aca="1" ref="R38" ca="1">INDIRECT("'"&amp;$C38&amp;"'!"&amp;"$"&amp;$D38&amp;$R$1&amp;"")</f>
        <v>7</v>
      </c>
      <c r="S38" s="288"/>
      <c r="T38" s="288">
        <v>0.94</v>
      </c>
      <c r="U38" s="286">
        <v>2.69</v>
      </c>
      <c r="V38" s="287" t="str" cm="1">
        <f t="array" aca="1" ref="V38" ca="1">INDIRECT("'"&amp;$C38&amp;"'!"&amp;"$"&amp;$D38&amp;$V$1&amp;"")</f>
        <v>CMS</v>
      </c>
      <c r="W38" s="288" t="s">
        <v>1</v>
      </c>
      <c r="X38" s="288" t="s">
        <v>1</v>
      </c>
      <c r="Y38" s="289" t="s">
        <v>1</v>
      </c>
      <c r="Z38" s="285" cm="1">
        <f t="array" aca="1" ref="Z38" ca="1">INDIRECT("'"&amp;$C38&amp;"'!"&amp;"$"&amp;$D38&amp;$Z$1&amp;"")</f>
        <v>0</v>
      </c>
      <c r="AA38" s="288" t="s">
        <v>1</v>
      </c>
      <c r="AB38" s="288" t="s">
        <v>1</v>
      </c>
      <c r="AC38" s="286" t="s">
        <v>1</v>
      </c>
      <c r="AD38" s="287" cm="1">
        <f t="array" aca="1" ref="AD38" ca="1">INDIRECT("'"&amp;$C38&amp;"'!"&amp;"$"&amp;$D38&amp;$AD$1&amp;"")</f>
        <v>0</v>
      </c>
      <c r="AE38" s="288" t="s">
        <v>1</v>
      </c>
      <c r="AF38" s="288" t="s">
        <v>1</v>
      </c>
      <c r="AG38" s="289" t="s">
        <v>1</v>
      </c>
      <c r="AH38" s="285" t="str" cm="1">
        <f t="array" aca="1" ref="AH38" ca="1">INDIRECT("'"&amp;$C38&amp;"'!"&amp;"$"&amp;$D38&amp;$AH$1&amp;"")</f>
        <v>CMS</v>
      </c>
      <c r="AI38" s="288" t="s">
        <v>1</v>
      </c>
      <c r="AJ38" s="288" t="s">
        <v>1</v>
      </c>
      <c r="AK38" s="286" t="s">
        <v>1</v>
      </c>
      <c r="AL38" s="285">
        <v>11.6</v>
      </c>
      <c r="AM38" s="289">
        <v>70.5</v>
      </c>
      <c r="AN38" s="285" cm="1">
        <f t="array" aca="1" ref="AN38" ca="1">INDIRECT("'"&amp;$C38&amp;"'!"&amp;"$"&amp;$D38&amp;$AL$1&amp;"")</f>
        <v>3.8</v>
      </c>
      <c r="AO38" s="288">
        <v>0.98</v>
      </c>
      <c r="AP38" s="286">
        <v>0.63</v>
      </c>
      <c r="AQ38" s="287" cm="1">
        <f t="array" aca="1" ref="AQ38" ca="1">INDIRECT("'"&amp;$C38&amp;"'!"&amp;"$"&amp;$D38&amp;$AQ$1&amp;"")</f>
        <v>0</v>
      </c>
      <c r="AR38" s="288" t="s">
        <v>1</v>
      </c>
      <c r="AS38" s="286" t="s">
        <v>1</v>
      </c>
      <c r="AT38" s="285">
        <v>13.88</v>
      </c>
      <c r="AU38" s="289">
        <v>70.7</v>
      </c>
      <c r="AV38" s="288" cm="1">
        <f t="array" aca="1" ref="AV38" ca="1">INDIRECT("'"&amp;$C38&amp;"'!"&amp;"$"&amp;$D38&amp;$AV$1&amp;"")</f>
        <v>0</v>
      </c>
      <c r="AW38" s="287" t="s">
        <v>1</v>
      </c>
      <c r="AX38" s="288" t="s">
        <v>1</v>
      </c>
      <c r="AY38" s="286" t="s">
        <v>1</v>
      </c>
      <c r="AZ38" s="288" cm="1">
        <f t="array" aca="1" ref="AZ38" ca="1">INDIRECT("'"&amp;$C38&amp;"'!"&amp;"$"&amp;$D38&amp;$AZ$1&amp;"")</f>
        <v>7</v>
      </c>
      <c r="BA38" s="287" t="s">
        <v>1</v>
      </c>
      <c r="BB38" s="288">
        <v>0.98</v>
      </c>
      <c r="BC38" s="286">
        <v>1.43</v>
      </c>
      <c r="BD38" s="290">
        <v>14.08</v>
      </c>
      <c r="BE38" s="289">
        <v>71.260000000000005</v>
      </c>
      <c r="BF38" s="290" cm="1">
        <f t="array" aca="1" ref="BF38" ca="1">INDIRECT("'"&amp;$C38&amp;"'!"&amp;"$"&amp;$D38&amp;$BF$1&amp;"")</f>
        <v>14.14</v>
      </c>
      <c r="BG38" s="288">
        <v>0.99</v>
      </c>
      <c r="BH38" s="286">
        <v>2.2999999999999998</v>
      </c>
      <c r="BI38" s="291">
        <v>68.400000000000006</v>
      </c>
      <c r="BJ38" s="285" cm="1">
        <f t="array" aca="1" ref="BJ38" ca="1">INDIRECT("'"&amp;$C38&amp;"'!"&amp;"$"&amp;$D38&amp;$BI$1&amp;"")</f>
        <v>3.16</v>
      </c>
      <c r="BK38" s="287"/>
      <c r="BL38" s="286"/>
      <c r="BM38" s="290" cm="1">
        <f t="array" aca="1" ref="BM38" ca="1">INDIRECT("'"&amp;$C38&amp;"'!"&amp;"$"&amp;$D38&amp;$BM$1&amp;"")</f>
        <v>1.1100000000000001</v>
      </c>
      <c r="BN38" s="288"/>
      <c r="BO38" s="288">
        <v>0.99</v>
      </c>
      <c r="BP38" s="286">
        <v>0.14000000000000001</v>
      </c>
      <c r="BQ38" s="291" cm="1">
        <f t="array" aca="1" ref="BQ38" ca="1">INDIRECT("'"&amp;$C38&amp;"'!"&amp;"$"&amp;$D38&amp;$BQ$1&amp;"")</f>
        <v>0.75</v>
      </c>
      <c r="BR38" s="288"/>
      <c r="BS38" s="288">
        <v>0.96</v>
      </c>
      <c r="BT38" s="286">
        <v>0.2</v>
      </c>
      <c r="BU38" s="291" cm="1">
        <f t="array" aca="1" ref="BU38" ca="1">INDIRECT("'"&amp;$C38&amp;"'!"&amp;"$"&amp;$D38&amp;74&amp;"")</f>
        <v>0</v>
      </c>
      <c r="BV38" s="288"/>
      <c r="BW38" s="288" t="s">
        <v>1</v>
      </c>
      <c r="BX38" s="286" t="s">
        <v>1</v>
      </c>
    </row>
    <row r="39" spans="1:76">
      <c r="A39" s="459">
        <v>45840</v>
      </c>
      <c r="B39" s="345">
        <v>0.375</v>
      </c>
      <c r="C39" s="305">
        <v>2</v>
      </c>
      <c r="D39" s="306" t="s">
        <v>151</v>
      </c>
      <c r="E39" s="278">
        <v>14.1</v>
      </c>
      <c r="F39" s="279">
        <v>68.72</v>
      </c>
      <c r="G39" s="280" t="str" cm="1">
        <f t="array" aca="1" ref="G39" ca="1">INDIRECT("'"&amp;$C39&amp;"'!"&amp;"$"&amp;$D39&amp;$E$1&amp;"")</f>
        <v>CMS</v>
      </c>
      <c r="H39" s="281" t="s">
        <v>1</v>
      </c>
      <c r="I39" s="279" t="s">
        <v>1</v>
      </c>
      <c r="J39" s="280" cm="1">
        <f t="array" aca="1" ref="J39" ca="1">INDIRECT("'"&amp;$C39&amp;"'!"&amp;"$"&amp;$D39&amp;$J$1&amp;"")</f>
        <v>6.9</v>
      </c>
      <c r="K39" s="281"/>
      <c r="L39" s="281">
        <v>0.92</v>
      </c>
      <c r="M39" s="282">
        <v>2.89</v>
      </c>
      <c r="N39" s="278" cm="1">
        <f t="array" aca="1" ref="N39" ca="1">INDIRECT("'"&amp;$C39&amp;"'!"&amp;"$"&amp;$D39&amp;$N$1&amp;"")</f>
        <v>6.9</v>
      </c>
      <c r="O39" s="281"/>
      <c r="P39" s="281">
        <v>0.92</v>
      </c>
      <c r="Q39" s="279">
        <v>2.89</v>
      </c>
      <c r="R39" s="468" cm="1">
        <f t="array" aca="1" ref="R39" ca="1">INDIRECT("'"&amp;$C39&amp;"'!"&amp;"$"&amp;$D39&amp;$R$1&amp;"")</f>
        <v>6.9</v>
      </c>
      <c r="S39" s="281"/>
      <c r="T39" s="281">
        <v>0.92</v>
      </c>
      <c r="U39" s="279">
        <v>2.91</v>
      </c>
      <c r="V39" s="280" t="str" cm="1">
        <f t="array" aca="1" ref="V39" ca="1">INDIRECT("'"&amp;$C39&amp;"'!"&amp;"$"&amp;$D39&amp;$V$1&amp;"")</f>
        <v>CMS</v>
      </c>
      <c r="W39" s="281" t="s">
        <v>1</v>
      </c>
      <c r="X39" s="281" t="s">
        <v>1</v>
      </c>
      <c r="Y39" s="282" t="s">
        <v>1</v>
      </c>
      <c r="Z39" s="278" cm="1">
        <f t="array" aca="1" ref="Z39" ca="1">INDIRECT("'"&amp;$C39&amp;"'!"&amp;"$"&amp;$D39&amp;$Z$1&amp;"")</f>
        <v>0</v>
      </c>
      <c r="AA39" s="281" t="s">
        <v>1</v>
      </c>
      <c r="AB39" s="281" t="s">
        <v>1</v>
      </c>
      <c r="AC39" s="279" t="s">
        <v>1</v>
      </c>
      <c r="AD39" s="280" cm="1">
        <f t="array" aca="1" ref="AD39" ca="1">INDIRECT("'"&amp;$C39&amp;"'!"&amp;"$"&amp;$D39&amp;$AD$1&amp;"")</f>
        <v>3.8</v>
      </c>
      <c r="AE39" s="281">
        <f>3.8*3.58</f>
        <v>13.603999999999999</v>
      </c>
      <c r="AF39" s="281">
        <v>0.93</v>
      </c>
      <c r="AG39" s="282">
        <v>1.32</v>
      </c>
      <c r="AH39" s="278" cm="1">
        <f t="array" aca="1" ref="AH39" ca="1">INDIRECT("'"&amp;$C39&amp;"'!"&amp;"$"&amp;$D39&amp;$AH$1&amp;"")</f>
        <v>0.5</v>
      </c>
      <c r="AI39" s="281">
        <v>13.72</v>
      </c>
      <c r="AJ39" s="281">
        <v>0.98</v>
      </c>
      <c r="AK39" s="279">
        <v>0.16300000000000001</v>
      </c>
      <c r="AL39" s="278">
        <v>11.5</v>
      </c>
      <c r="AM39" s="282">
        <v>70</v>
      </c>
      <c r="AN39" s="278" cm="1">
        <f t="array" aca="1" ref="AN39" ca="1">INDIRECT("'"&amp;$C39&amp;"'!"&amp;"$"&amp;$D39&amp;$AL$1&amp;"")</f>
        <v>3.8</v>
      </c>
      <c r="AO39" s="281">
        <v>0.94</v>
      </c>
      <c r="AP39" s="279">
        <v>1.32</v>
      </c>
      <c r="AQ39" s="280" cm="1">
        <f t="array" aca="1" ref="AQ39" ca="1">INDIRECT("'"&amp;$C39&amp;"'!"&amp;"$"&amp;$D39&amp;$AQ$1&amp;"")</f>
        <v>0</v>
      </c>
      <c r="AR39" s="281" t="s">
        <v>1</v>
      </c>
      <c r="AS39" s="279" t="s">
        <v>1</v>
      </c>
      <c r="AT39" s="278">
        <v>13.97</v>
      </c>
      <c r="AU39" s="282">
        <v>70.459999999999994</v>
      </c>
      <c r="AV39" s="281" cm="1">
        <f t="array" aca="1" ref="AV39" ca="1">INDIRECT("'"&amp;$C39&amp;"'!"&amp;"$"&amp;$D39&amp;$AV$1&amp;"")</f>
        <v>0</v>
      </c>
      <c r="AW39" s="280" t="s">
        <v>1</v>
      </c>
      <c r="AX39" s="281" t="s">
        <v>1</v>
      </c>
      <c r="AY39" s="279" t="s">
        <v>1</v>
      </c>
      <c r="AZ39" s="281" cm="1">
        <f t="array" aca="1" ref="AZ39" ca="1">INDIRECT("'"&amp;$C39&amp;"'!"&amp;"$"&amp;$D39&amp;$AZ$1&amp;"")</f>
        <v>7</v>
      </c>
      <c r="BA39" s="280" t="s">
        <v>1</v>
      </c>
      <c r="BB39" s="281">
        <v>0.97</v>
      </c>
      <c r="BC39" s="279">
        <v>1.65</v>
      </c>
      <c r="BD39" s="283">
        <v>13.97</v>
      </c>
      <c r="BE39" s="282">
        <v>70.459999999999994</v>
      </c>
      <c r="BF39" s="283" cm="1">
        <f t="array" aca="1" ref="BF39" ca="1">INDIRECT("'"&amp;$C39&amp;"'!"&amp;"$"&amp;$D39&amp;$BF$1&amp;"")</f>
        <v>14.27</v>
      </c>
      <c r="BG39" s="281">
        <v>0.99</v>
      </c>
      <c r="BH39" s="279">
        <v>2.2999999999999998</v>
      </c>
      <c r="BI39" s="284">
        <v>67.2</v>
      </c>
      <c r="BJ39" s="278" cm="1">
        <f t="array" aca="1" ref="BJ39" ca="1">INDIRECT("'"&amp;$C39&amp;"'!"&amp;"$"&amp;$D39&amp;$BI$1&amp;"")</f>
        <v>0</v>
      </c>
      <c r="BK39" s="280" t="s">
        <v>1</v>
      </c>
      <c r="BL39" s="279" t="s">
        <v>1</v>
      </c>
      <c r="BM39" s="283" cm="1">
        <f t="array" aca="1" ref="BM39" ca="1">INDIRECT("'"&amp;$C39&amp;"'!"&amp;"$"&amp;$D39&amp;$BM$1&amp;"")</f>
        <v>1.38</v>
      </c>
      <c r="BN39" s="281"/>
      <c r="BO39" s="281">
        <v>0.99</v>
      </c>
      <c r="BP39" s="279">
        <v>0.18</v>
      </c>
      <c r="BQ39" s="284" cm="1">
        <f t="array" aca="1" ref="BQ39" ca="1">INDIRECT("'"&amp;$C39&amp;"'!"&amp;"$"&amp;$D39&amp;$BQ$1&amp;"")</f>
        <v>0.78</v>
      </c>
      <c r="BR39" s="281"/>
      <c r="BS39" s="281">
        <v>0.96</v>
      </c>
      <c r="BT39" s="279">
        <v>0.21</v>
      </c>
      <c r="BU39" s="284" cm="1">
        <f t="array" aca="1" ref="BU39" ca="1">INDIRECT("'"&amp;$C39&amp;"'!"&amp;"$"&amp;$D39&amp;74&amp;"")</f>
        <v>0</v>
      </c>
      <c r="BV39" s="281"/>
      <c r="BW39" s="281" t="s">
        <v>1</v>
      </c>
      <c r="BX39" s="279" t="s">
        <v>1</v>
      </c>
    </row>
    <row r="40" spans="1:76">
      <c r="A40" s="459">
        <v>45840</v>
      </c>
      <c r="B40" s="345">
        <v>0.41666666666666702</v>
      </c>
      <c r="C40" s="305">
        <v>2</v>
      </c>
      <c r="D40" s="306" t="s">
        <v>152</v>
      </c>
      <c r="E40" s="285">
        <v>14</v>
      </c>
      <c r="F40" s="286">
        <v>68.59</v>
      </c>
      <c r="G40" s="287" t="str" cm="1">
        <f t="array" aca="1" ref="G40" ca="1">INDIRECT("'"&amp;$C40&amp;"'!"&amp;"$"&amp;$D40&amp;$E$1&amp;"")</f>
        <v>CMS</v>
      </c>
      <c r="H40" s="288" t="s">
        <v>1</v>
      </c>
      <c r="I40" s="286" t="s">
        <v>1</v>
      </c>
      <c r="J40" s="287" cm="1">
        <f t="array" aca="1" ref="J40" ca="1">INDIRECT("'"&amp;$C40&amp;"'!"&amp;"$"&amp;$D40&amp;$J$1&amp;"")</f>
        <v>6.6</v>
      </c>
      <c r="K40" s="288"/>
      <c r="L40" s="288">
        <v>0.9</v>
      </c>
      <c r="M40" s="289">
        <v>3.12</v>
      </c>
      <c r="N40" s="285" cm="1">
        <f t="array" aca="1" ref="N40" ca="1">INDIRECT("'"&amp;$C40&amp;"'!"&amp;"$"&amp;$D40&amp;$N$1&amp;"")</f>
        <v>6.6</v>
      </c>
      <c r="O40" s="288"/>
      <c r="P40" s="288">
        <v>0.9</v>
      </c>
      <c r="Q40" s="286">
        <v>3.15</v>
      </c>
      <c r="R40" s="285" cm="1">
        <f t="array" aca="1" ref="R40" ca="1">INDIRECT("'"&amp;$C40&amp;"'!"&amp;"$"&amp;$D40&amp;$R$1&amp;"")</f>
        <v>6.6</v>
      </c>
      <c r="S40" s="288"/>
      <c r="T40" s="288">
        <v>0.9</v>
      </c>
      <c r="U40" s="286">
        <v>3.09</v>
      </c>
      <c r="V40" s="287" t="str" cm="1">
        <f t="array" aca="1" ref="V40" ca="1">INDIRECT("'"&amp;$C40&amp;"'!"&amp;"$"&amp;$D40&amp;$V$1&amp;"")</f>
        <v>CMS</v>
      </c>
      <c r="W40" s="288" t="s">
        <v>1</v>
      </c>
      <c r="X40" s="288" t="s">
        <v>1</v>
      </c>
      <c r="Y40" s="289" t="s">
        <v>1</v>
      </c>
      <c r="Z40" s="285" cm="1">
        <f t="array" aca="1" ref="Z40" ca="1">INDIRECT("'"&amp;$C40&amp;"'!"&amp;"$"&amp;$D40&amp;$Z$1&amp;"")</f>
        <v>0</v>
      </c>
      <c r="AA40" s="288" t="s">
        <v>1</v>
      </c>
      <c r="AB40" s="288" t="s">
        <v>1</v>
      </c>
      <c r="AC40" s="286" t="s">
        <v>1</v>
      </c>
      <c r="AD40" s="287" cm="1">
        <f t="array" aca="1" ref="AD40" ca="1">INDIRECT("'"&amp;$C40&amp;"'!"&amp;"$"&amp;$D40&amp;$AD$1&amp;"")</f>
        <v>2</v>
      </c>
      <c r="AE40" s="288">
        <f>3.8*3.45</f>
        <v>13.11</v>
      </c>
      <c r="AF40" s="288">
        <v>0.9</v>
      </c>
      <c r="AG40" s="289">
        <v>1.43</v>
      </c>
      <c r="AH40" s="285" cm="1">
        <f t="array" aca="1" ref="AH40" ca="1">INDIRECT("'"&amp;$C40&amp;"'!"&amp;"$"&amp;$D40&amp;$AH$1&amp;"")</f>
        <v>3</v>
      </c>
      <c r="AI40" s="288">
        <v>13.96</v>
      </c>
      <c r="AJ40" s="288">
        <v>0.97</v>
      </c>
      <c r="AK40" s="286">
        <v>0.60099999999999998</v>
      </c>
      <c r="AL40" s="285">
        <v>11.6</v>
      </c>
      <c r="AM40" s="289">
        <v>70.5</v>
      </c>
      <c r="AN40" s="285" cm="1">
        <f t="array" aca="1" ref="AN40" ca="1">INDIRECT("'"&amp;$C40&amp;"'!"&amp;"$"&amp;$D40&amp;$AL$1&amp;"")</f>
        <v>3.8</v>
      </c>
      <c r="AO40" s="288">
        <v>0.9</v>
      </c>
      <c r="AP40" s="286">
        <v>1.5</v>
      </c>
      <c r="AQ40" s="287" cm="1">
        <f t="array" aca="1" ref="AQ40" ca="1">INDIRECT("'"&amp;$C40&amp;"'!"&amp;"$"&amp;$D40&amp;$AQ$1&amp;"")</f>
        <v>0</v>
      </c>
      <c r="AR40" s="288" t="s">
        <v>1</v>
      </c>
      <c r="AS40" s="286" t="s">
        <v>1</v>
      </c>
      <c r="AT40" s="285">
        <v>14</v>
      </c>
      <c r="AU40" s="289">
        <v>70.7</v>
      </c>
      <c r="AV40" s="288" cm="1">
        <f t="array" aca="1" ref="AV40" ca="1">INDIRECT("'"&amp;$C40&amp;"'!"&amp;"$"&amp;$D40&amp;$AV$1&amp;"")</f>
        <v>3</v>
      </c>
      <c r="AW40" s="287" t="s">
        <v>1</v>
      </c>
      <c r="AX40" s="288">
        <v>0.96</v>
      </c>
      <c r="AY40" s="286">
        <v>0.87</v>
      </c>
      <c r="AZ40" s="288" cm="1">
        <f t="array" aca="1" ref="AZ40" ca="1">INDIRECT("'"&amp;$C40&amp;"'!"&amp;"$"&amp;$D40&amp;$AZ$1&amp;"")</f>
        <v>7</v>
      </c>
      <c r="BA40" s="287" t="s">
        <v>1</v>
      </c>
      <c r="BB40" s="288">
        <v>0.97</v>
      </c>
      <c r="BC40" s="286">
        <v>1.65</v>
      </c>
      <c r="BD40" s="290">
        <v>14.2</v>
      </c>
      <c r="BE40" s="289">
        <v>71.45</v>
      </c>
      <c r="BF40" s="290" cm="1">
        <f t="array" aca="1" ref="BF40" ca="1">INDIRECT("'"&amp;$C40&amp;"'!"&amp;"$"&amp;$D40&amp;$BF$1&amp;"")</f>
        <v>14.29</v>
      </c>
      <c r="BG40" s="288">
        <v>0.98</v>
      </c>
      <c r="BH40" s="286">
        <v>3.4</v>
      </c>
      <c r="BI40" s="291">
        <v>67.099999999999994</v>
      </c>
      <c r="BJ40" s="285" cm="1">
        <f t="array" aca="1" ref="BJ40" ca="1">INDIRECT("'"&amp;$C40&amp;"'!"&amp;"$"&amp;$D40&amp;$BI$1&amp;"")</f>
        <v>1.5</v>
      </c>
      <c r="BK40" s="287">
        <v>0.94</v>
      </c>
      <c r="BL40" s="286">
        <v>0.52</v>
      </c>
      <c r="BM40" s="290" cm="1">
        <f t="array" aca="1" ref="BM40" ca="1">INDIRECT("'"&amp;$C40&amp;"'!"&amp;"$"&amp;$D40&amp;$BM$1&amp;"")</f>
        <v>1.39</v>
      </c>
      <c r="BN40" s="288"/>
      <c r="BO40" s="288">
        <v>0.99</v>
      </c>
      <c r="BP40" s="286">
        <v>0.2</v>
      </c>
      <c r="BQ40" s="291" cm="1">
        <f t="array" aca="1" ref="BQ40" ca="1">INDIRECT("'"&amp;$C40&amp;"'!"&amp;"$"&amp;$D40&amp;$BQ$1&amp;"")</f>
        <v>0.85</v>
      </c>
      <c r="BR40" s="288"/>
      <c r="BS40" s="288">
        <v>0.96</v>
      </c>
      <c r="BT40" s="286">
        <v>0.23</v>
      </c>
      <c r="BU40" s="291" cm="1">
        <f t="array" aca="1" ref="BU40" ca="1">INDIRECT("'"&amp;$C40&amp;"'!"&amp;"$"&amp;$D40&amp;74&amp;"")</f>
        <v>0</v>
      </c>
      <c r="BV40" s="288"/>
      <c r="BW40" s="288" t="s">
        <v>1</v>
      </c>
      <c r="BX40" s="286" t="s">
        <v>1</v>
      </c>
    </row>
    <row r="41" spans="1:76">
      <c r="A41" s="459">
        <v>45840</v>
      </c>
      <c r="B41" s="345">
        <v>0.45833333333333398</v>
      </c>
      <c r="C41" s="305">
        <v>2</v>
      </c>
      <c r="D41" s="306" t="s">
        <v>153</v>
      </c>
      <c r="E41" s="278">
        <v>14</v>
      </c>
      <c r="F41" s="279">
        <v>68.87</v>
      </c>
      <c r="G41" s="280" t="str" cm="1">
        <f t="array" aca="1" ref="G41" ca="1">INDIRECT("'"&amp;$C41&amp;"'!"&amp;"$"&amp;$D41&amp;$E$1&amp;"")</f>
        <v>CMS</v>
      </c>
      <c r="H41" s="281" t="s">
        <v>1</v>
      </c>
      <c r="I41" s="279" t="s">
        <v>1</v>
      </c>
      <c r="J41" s="280" cm="1">
        <f t="array" aca="1" ref="J41" ca="1">INDIRECT("'"&amp;$C41&amp;"'!"&amp;"$"&amp;$D41&amp;$J$1&amp;"")</f>
        <v>6.5</v>
      </c>
      <c r="K41" s="281"/>
      <c r="L41" s="281">
        <v>0.91</v>
      </c>
      <c r="M41" s="282">
        <v>3</v>
      </c>
      <c r="N41" s="278" cm="1">
        <f t="array" aca="1" ref="N41" ca="1">INDIRECT("'"&amp;$C41&amp;"'!"&amp;"$"&amp;$D41&amp;$N$1&amp;"")</f>
        <v>6.5</v>
      </c>
      <c r="O41" s="281"/>
      <c r="P41" s="281">
        <v>0.91</v>
      </c>
      <c r="Q41" s="279">
        <v>3.04</v>
      </c>
      <c r="R41" s="468" cm="1">
        <f t="array" aca="1" ref="R41" ca="1">INDIRECT("'"&amp;$C41&amp;"'!"&amp;"$"&amp;$D41&amp;$R$1&amp;"")</f>
        <v>6.5</v>
      </c>
      <c r="S41" s="281"/>
      <c r="T41" s="281">
        <v>0.91</v>
      </c>
      <c r="U41" s="279">
        <v>3.0009999999999999</v>
      </c>
      <c r="V41" s="280" t="str" cm="1">
        <f t="array" aca="1" ref="V41" ca="1">INDIRECT("'"&amp;$C41&amp;"'!"&amp;"$"&amp;$D41&amp;$V$1&amp;"")</f>
        <v>CMS</v>
      </c>
      <c r="W41" s="281" t="s">
        <v>1</v>
      </c>
      <c r="X41" s="281" t="s">
        <v>1</v>
      </c>
      <c r="Y41" s="282" t="s">
        <v>1</v>
      </c>
      <c r="Z41" s="278" cm="1">
        <f t="array" aca="1" ref="Z41" ca="1">INDIRECT("'"&amp;$C41&amp;"'!"&amp;"$"&amp;$D41&amp;$Z$1&amp;"")</f>
        <v>0</v>
      </c>
      <c r="AA41" s="281" t="s">
        <v>1</v>
      </c>
      <c r="AB41" s="281" t="s">
        <v>1</v>
      </c>
      <c r="AC41" s="279" t="s">
        <v>1</v>
      </c>
      <c r="AD41" s="280" cm="1">
        <f t="array" aca="1" ref="AD41" ca="1">INDIRECT("'"&amp;$C41&amp;"'!"&amp;"$"&amp;$D41&amp;$AD$1&amp;"")</f>
        <v>3.8</v>
      </c>
      <c r="AE41" s="281">
        <f>3.8*3.48</f>
        <v>13.224</v>
      </c>
      <c r="AF41" s="281">
        <v>0.9</v>
      </c>
      <c r="AG41" s="282">
        <v>1.54</v>
      </c>
      <c r="AH41" s="278" cm="1">
        <f t="array" aca="1" ref="AH41" ca="1">INDIRECT("'"&amp;$C41&amp;"'!"&amp;"$"&amp;$D41&amp;$AH$1&amp;"")</f>
        <v>3.8</v>
      </c>
      <c r="AI41" s="281">
        <v>13.92</v>
      </c>
      <c r="AJ41" s="281">
        <v>0.99</v>
      </c>
      <c r="AK41" s="279">
        <v>0.438</v>
      </c>
      <c r="AL41" s="278">
        <v>11.6</v>
      </c>
      <c r="AM41" s="282">
        <v>70.400000000000006</v>
      </c>
      <c r="AN41" s="278" cm="1">
        <f t="array" aca="1" ref="AN41" ca="1">INDIRECT("'"&amp;$C41&amp;"'!"&amp;"$"&amp;$D41&amp;$AL$1&amp;"")</f>
        <v>3.8</v>
      </c>
      <c r="AO41" s="281">
        <v>0.9</v>
      </c>
      <c r="AP41" s="279">
        <v>1.5</v>
      </c>
      <c r="AQ41" s="280" cm="1">
        <f t="array" aca="1" ref="AQ41" ca="1">INDIRECT("'"&amp;$C41&amp;"'!"&amp;"$"&amp;$D41&amp;$AQ$1&amp;"")</f>
        <v>0</v>
      </c>
      <c r="AR41" s="281" t="s">
        <v>1</v>
      </c>
      <c r="AS41" s="279" t="s">
        <v>1</v>
      </c>
      <c r="AT41" s="278">
        <v>14</v>
      </c>
      <c r="AU41" s="282">
        <v>70.7</v>
      </c>
      <c r="AV41" s="281" cm="1">
        <f t="array" aca="1" ref="AV41" ca="1">INDIRECT("'"&amp;$C41&amp;"'!"&amp;"$"&amp;$D41&amp;$AV$1&amp;"")</f>
        <v>3</v>
      </c>
      <c r="AW41" s="280" t="s">
        <v>1</v>
      </c>
      <c r="AX41" s="281">
        <v>0.96</v>
      </c>
      <c r="AY41" s="279">
        <v>0.97</v>
      </c>
      <c r="AZ41" s="281" cm="1">
        <f t="array" aca="1" ref="AZ41" ca="1">INDIRECT("'"&amp;$C41&amp;"'!"&amp;"$"&amp;$D41&amp;$AZ$1&amp;"")</f>
        <v>7</v>
      </c>
      <c r="BA41" s="280" t="s">
        <v>1</v>
      </c>
      <c r="BB41" s="281">
        <v>0.97</v>
      </c>
      <c r="BC41" s="279">
        <v>1.65</v>
      </c>
      <c r="BD41" s="283">
        <v>14.19</v>
      </c>
      <c r="BE41" s="282">
        <v>71.555999999999997</v>
      </c>
      <c r="BF41" s="283" cm="1">
        <f t="array" aca="1" ref="BF41" ca="1">INDIRECT("'"&amp;$C41&amp;"'!"&amp;"$"&amp;$D41&amp;$BF$1&amp;"")</f>
        <v>14.31</v>
      </c>
      <c r="BG41" s="281">
        <v>0.98</v>
      </c>
      <c r="BH41" s="279">
        <v>3.4</v>
      </c>
      <c r="BI41" s="284">
        <v>67.3</v>
      </c>
      <c r="BJ41" s="278" cm="1">
        <f t="array" aca="1" ref="BJ41" ca="1">INDIRECT("'"&amp;$C41&amp;"'!"&amp;"$"&amp;$D41&amp;$BI$1&amp;"")</f>
        <v>3.1</v>
      </c>
      <c r="BK41" s="280">
        <v>0.94</v>
      </c>
      <c r="BL41" s="279">
        <v>1.1000000000000001</v>
      </c>
      <c r="BM41" s="283" cm="1">
        <f t="array" aca="1" ref="BM41" ca="1">INDIRECT("'"&amp;$C41&amp;"'!"&amp;"$"&amp;$D41&amp;$BM$1&amp;"")</f>
        <v>1.46</v>
      </c>
      <c r="BN41" s="281"/>
      <c r="BO41" s="281">
        <v>0.99</v>
      </c>
      <c r="BP41" s="279">
        <v>0.2</v>
      </c>
      <c r="BQ41" s="284" cm="1">
        <f t="array" aca="1" ref="BQ41" ca="1">INDIRECT("'"&amp;$C41&amp;"'!"&amp;"$"&amp;$D41&amp;$BQ$1&amp;"")</f>
        <v>0.85</v>
      </c>
      <c r="BR41" s="281"/>
      <c r="BS41" s="281">
        <v>0.96</v>
      </c>
      <c r="BT41" s="279">
        <v>0.24</v>
      </c>
      <c r="BU41" s="284" cm="1">
        <f t="array" aca="1" ref="BU41" ca="1">INDIRECT("'"&amp;$C41&amp;"'!"&amp;"$"&amp;$D41&amp;74&amp;"")</f>
        <v>0</v>
      </c>
      <c r="BV41" s="281"/>
      <c r="BW41" s="281" t="s">
        <v>1</v>
      </c>
      <c r="BX41" s="279" t="s">
        <v>1</v>
      </c>
    </row>
    <row r="42" spans="1:76">
      <c r="A42" s="459">
        <v>45840</v>
      </c>
      <c r="B42" s="345">
        <v>0.5</v>
      </c>
      <c r="C42" s="305">
        <v>2</v>
      </c>
      <c r="D42" s="306" t="s">
        <v>154</v>
      </c>
      <c r="E42" s="285">
        <v>14.1</v>
      </c>
      <c r="F42" s="286">
        <v>69.069999999999993</v>
      </c>
      <c r="G42" s="287" t="str" cm="1">
        <f t="array" aca="1" ref="G42" ca="1">INDIRECT("'"&amp;$C42&amp;"'!"&amp;"$"&amp;$D42&amp;$E$1&amp;"")</f>
        <v>CMS</v>
      </c>
      <c r="H42" s="288" t="s">
        <v>1</v>
      </c>
      <c r="I42" s="286" t="s">
        <v>1</v>
      </c>
      <c r="J42" s="287" cm="1">
        <f t="array" aca="1" ref="J42" ca="1">INDIRECT("'"&amp;$C42&amp;"'!"&amp;"$"&amp;$D42&amp;$J$1&amp;"")</f>
        <v>6.4</v>
      </c>
      <c r="K42" s="288"/>
      <c r="L42" s="288">
        <v>0.91</v>
      </c>
      <c r="M42" s="289">
        <v>2.84</v>
      </c>
      <c r="N42" s="285" cm="1">
        <f t="array" aca="1" ref="N42" ca="1">INDIRECT("'"&amp;$C42&amp;"'!"&amp;"$"&amp;$D42&amp;$N$1&amp;"")</f>
        <v>6.4</v>
      </c>
      <c r="O42" s="288"/>
      <c r="P42" s="288">
        <v>0.91</v>
      </c>
      <c r="Q42" s="289">
        <v>2.85</v>
      </c>
      <c r="R42" s="285" cm="1">
        <f t="array" aca="1" ref="R42" ca="1">INDIRECT("'"&amp;$C42&amp;"'!"&amp;"$"&amp;$D42&amp;$R$1&amp;"")</f>
        <v>6.4</v>
      </c>
      <c r="S42" s="288"/>
      <c r="T42" s="288">
        <v>0.91</v>
      </c>
      <c r="U42" s="286">
        <v>2.87</v>
      </c>
      <c r="V42" s="287" t="str" cm="1">
        <f t="array" aca="1" ref="V42" ca="1">INDIRECT("'"&amp;$C42&amp;"'!"&amp;"$"&amp;$D42&amp;$V$1&amp;"")</f>
        <v>CMS</v>
      </c>
      <c r="W42" s="288" t="s">
        <v>1</v>
      </c>
      <c r="X42" s="288" t="s">
        <v>1</v>
      </c>
      <c r="Y42" s="289" t="s">
        <v>1</v>
      </c>
      <c r="Z42" s="285" cm="1">
        <f t="array" aca="1" ref="Z42" ca="1">INDIRECT("'"&amp;$C42&amp;"'!"&amp;"$"&amp;$D42&amp;$Z$1&amp;"")</f>
        <v>0</v>
      </c>
      <c r="AA42" s="288" t="s">
        <v>1</v>
      </c>
      <c r="AB42" s="288" t="s">
        <v>1</v>
      </c>
      <c r="AC42" s="286" t="s">
        <v>1</v>
      </c>
      <c r="AD42" s="287" cm="1">
        <f t="array" aca="1" ref="AD42" ca="1">INDIRECT("'"&amp;$C42&amp;"'!"&amp;"$"&amp;$D42&amp;$AD$1&amp;"")</f>
        <v>3.8</v>
      </c>
      <c r="AE42" s="288">
        <f>3.8*3.48</f>
        <v>13.224</v>
      </c>
      <c r="AF42" s="288">
        <v>0.91</v>
      </c>
      <c r="AG42" s="289">
        <v>0.53</v>
      </c>
      <c r="AH42" s="285" cm="1">
        <f t="array" aca="1" ref="AH42" ca="1">INDIRECT("'"&amp;$C42&amp;"'!"&amp;"$"&amp;$D42&amp;$AH$1&amp;"")</f>
        <v>3.8</v>
      </c>
      <c r="AI42" s="288">
        <v>13.96</v>
      </c>
      <c r="AJ42" s="288">
        <v>0.99</v>
      </c>
      <c r="AK42" s="286">
        <v>0.38500000000000001</v>
      </c>
      <c r="AL42" s="285">
        <v>11.6</v>
      </c>
      <c r="AM42" s="289">
        <v>70.5</v>
      </c>
      <c r="AN42" s="285" cm="1">
        <f t="array" aca="1" ref="AN42" ca="1">INDIRECT("'"&amp;$C42&amp;"'!"&amp;"$"&amp;$D42&amp;$AL$1&amp;"")</f>
        <v>3.8</v>
      </c>
      <c r="AO42" s="288">
        <v>0.9</v>
      </c>
      <c r="AP42" s="286">
        <v>1.4</v>
      </c>
      <c r="AQ42" s="287" cm="1">
        <f t="array" aca="1" ref="AQ42" ca="1">INDIRECT("'"&amp;$C42&amp;"'!"&amp;"$"&amp;$D42&amp;$AQ$1&amp;"")</f>
        <v>0</v>
      </c>
      <c r="AR42" s="288" t="s">
        <v>1</v>
      </c>
      <c r="AS42" s="286" t="s">
        <v>1</v>
      </c>
      <c r="AT42" s="285">
        <v>14</v>
      </c>
      <c r="AU42" s="289">
        <v>70.7</v>
      </c>
      <c r="AV42" s="288" cm="1">
        <f t="array" aca="1" ref="AV42" ca="1">INDIRECT("'"&amp;$C42&amp;"'!"&amp;"$"&amp;$D42&amp;$AV$1&amp;"")</f>
        <v>3</v>
      </c>
      <c r="AW42" s="287" t="s">
        <v>1</v>
      </c>
      <c r="AX42" s="288">
        <v>0.96</v>
      </c>
      <c r="AY42" s="286">
        <v>0.97</v>
      </c>
      <c r="AZ42" s="288" cm="1">
        <f t="array" aca="1" ref="AZ42" ca="1">INDIRECT("'"&amp;$C42&amp;"'!"&amp;"$"&amp;$D42&amp;$AZ$1&amp;"")</f>
        <v>7</v>
      </c>
      <c r="BA42" s="287" t="s">
        <v>1</v>
      </c>
      <c r="BB42" s="288">
        <v>0.97</v>
      </c>
      <c r="BC42" s="286">
        <v>1.65</v>
      </c>
      <c r="BD42" s="290">
        <v>14.21</v>
      </c>
      <c r="BE42" s="289">
        <v>71.59</v>
      </c>
      <c r="BF42" s="290" cm="1">
        <f t="array" aca="1" ref="BF42" ca="1">INDIRECT("'"&amp;$C42&amp;"'!"&amp;"$"&amp;$D42&amp;$BF$1&amp;"")</f>
        <v>14.28</v>
      </c>
      <c r="BG42" s="288">
        <v>0.98</v>
      </c>
      <c r="BH42" s="286">
        <v>3.4</v>
      </c>
      <c r="BI42" s="291">
        <v>67.3</v>
      </c>
      <c r="BJ42" s="285" cm="1">
        <f t="array" aca="1" ref="BJ42" ca="1">INDIRECT("'"&amp;$C42&amp;"'!"&amp;"$"&amp;$D42&amp;$BI$1&amp;"")</f>
        <v>3.9000000000000004</v>
      </c>
      <c r="BK42" s="287">
        <v>0.94</v>
      </c>
      <c r="BL42" s="286">
        <v>1.3</v>
      </c>
      <c r="BM42" s="290" cm="1">
        <f t="array" aca="1" ref="BM42" ca="1">INDIRECT("'"&amp;$C42&amp;"'!"&amp;"$"&amp;$D42&amp;$BM$1&amp;"")</f>
        <v>1.46</v>
      </c>
      <c r="BN42" s="288"/>
      <c r="BO42" s="288">
        <v>0.99</v>
      </c>
      <c r="BP42" s="286">
        <v>0.2</v>
      </c>
      <c r="BQ42" s="291" cm="1">
        <f t="array" aca="1" ref="BQ42" ca="1">INDIRECT("'"&amp;$C42&amp;"'!"&amp;"$"&amp;$D42&amp;$BQ$1&amp;"")</f>
        <v>0.86</v>
      </c>
      <c r="BR42" s="288"/>
      <c r="BS42" s="288">
        <v>0.96</v>
      </c>
      <c r="BT42" s="286">
        <v>0.23</v>
      </c>
      <c r="BU42" s="291" cm="1">
        <f t="array" aca="1" ref="BU42" ca="1">INDIRECT("'"&amp;$C42&amp;"'!"&amp;"$"&amp;$D42&amp;74&amp;"")</f>
        <v>0</v>
      </c>
      <c r="BV42" s="288"/>
      <c r="BW42" s="288" t="s">
        <v>1</v>
      </c>
      <c r="BX42" s="286" t="s">
        <v>1</v>
      </c>
    </row>
    <row r="43" spans="1:76">
      <c r="A43" s="459">
        <v>45840</v>
      </c>
      <c r="B43" s="345">
        <v>0.54166666666666696</v>
      </c>
      <c r="C43" s="305">
        <v>2</v>
      </c>
      <c r="D43" s="306" t="s">
        <v>155</v>
      </c>
      <c r="E43" s="278">
        <v>14.1</v>
      </c>
      <c r="F43" s="279">
        <v>68.680000000000007</v>
      </c>
      <c r="G43" s="280" t="str" cm="1">
        <f t="array" aca="1" ref="G43" ca="1">INDIRECT("'"&amp;$C43&amp;"'!"&amp;"$"&amp;$D43&amp;$E$1&amp;"")</f>
        <v>CMS</v>
      </c>
      <c r="H43" s="281" t="s">
        <v>1</v>
      </c>
      <c r="I43" s="279" t="s">
        <v>1</v>
      </c>
      <c r="J43" s="280" cm="1">
        <f t="array" aca="1" ref="J43" ca="1">INDIRECT("'"&amp;$C43&amp;"'!"&amp;"$"&amp;$D43&amp;$J$1&amp;"")</f>
        <v>6.7</v>
      </c>
      <c r="K43" s="281"/>
      <c r="L43" s="281">
        <v>0.9</v>
      </c>
      <c r="M43" s="279">
        <v>3.28</v>
      </c>
      <c r="N43" s="278" cm="1">
        <f t="array" aca="1" ref="N43" ca="1">INDIRECT("'"&amp;$C43&amp;"'!"&amp;"$"&amp;$D43&amp;$N$1&amp;"")</f>
        <v>6.7</v>
      </c>
      <c r="O43" s="281"/>
      <c r="P43" s="281">
        <v>0.9</v>
      </c>
      <c r="Q43" s="279">
        <v>3.27</v>
      </c>
      <c r="R43" s="468" cm="1">
        <f t="array" aca="1" ref="R43" ca="1">INDIRECT("'"&amp;$C43&amp;"'!"&amp;"$"&amp;$D43&amp;$R$1&amp;"")</f>
        <v>6.7</v>
      </c>
      <c r="S43" s="281"/>
      <c r="T43" s="281">
        <v>0.89</v>
      </c>
      <c r="U43" s="279">
        <v>3.34</v>
      </c>
      <c r="V43" s="280" t="str" cm="1">
        <f t="array" aca="1" ref="V43" ca="1">INDIRECT("'"&amp;$C43&amp;"'!"&amp;"$"&amp;$D43&amp;$V$1&amp;"")</f>
        <v>CMS</v>
      </c>
      <c r="W43" s="281" t="s">
        <v>1</v>
      </c>
      <c r="X43" s="281" t="s">
        <v>1</v>
      </c>
      <c r="Y43" s="282" t="s">
        <v>1</v>
      </c>
      <c r="Z43" s="278" cm="1">
        <f t="array" aca="1" ref="Z43" ca="1">INDIRECT("'"&amp;$C43&amp;"'!"&amp;"$"&amp;$D43&amp;$Z$1&amp;"")</f>
        <v>0</v>
      </c>
      <c r="AA43" s="281" t="s">
        <v>1</v>
      </c>
      <c r="AB43" s="281" t="s">
        <v>1</v>
      </c>
      <c r="AC43" s="279" t="s">
        <v>1</v>
      </c>
      <c r="AD43" s="280" cm="1">
        <f t="array" aca="1" ref="AD43" ca="1">INDIRECT("'"&amp;$C43&amp;"'!"&amp;"$"&amp;$D43&amp;$AD$1&amp;"")</f>
        <v>3.8</v>
      </c>
      <c r="AE43" s="281">
        <f>3.8*3.47</f>
        <v>13.186</v>
      </c>
      <c r="AF43" s="281">
        <v>0.9</v>
      </c>
      <c r="AG43" s="282">
        <v>1.55</v>
      </c>
      <c r="AH43" s="278" cm="1">
        <f t="array" aca="1" ref="AH43" ca="1">INDIRECT("'"&amp;$C43&amp;"'!"&amp;"$"&amp;$D43&amp;$AH$1&amp;"")</f>
        <v>3.8</v>
      </c>
      <c r="AI43" s="281">
        <v>14</v>
      </c>
      <c r="AJ43" s="281">
        <v>0.98</v>
      </c>
      <c r="AK43" s="279">
        <v>0.55500000000000005</v>
      </c>
      <c r="AL43" s="278">
        <v>11.6</v>
      </c>
      <c r="AM43" s="282">
        <v>70.5</v>
      </c>
      <c r="AN43" s="278" cm="1">
        <f t="array" aca="1" ref="AN43" ca="1">INDIRECT("'"&amp;$C43&amp;"'!"&amp;"$"&amp;$D43&amp;$AL$1&amp;"")</f>
        <v>3.8</v>
      </c>
      <c r="AO43" s="281">
        <v>0.9</v>
      </c>
      <c r="AP43" s="279">
        <v>1.48</v>
      </c>
      <c r="AQ43" s="280" cm="1">
        <f t="array" aca="1" ref="AQ43" ca="1">INDIRECT("'"&amp;$C43&amp;"'!"&amp;"$"&amp;$D43&amp;$AQ$1&amp;"")</f>
        <v>0</v>
      </c>
      <c r="AR43" s="281" t="s">
        <v>1</v>
      </c>
      <c r="AS43" s="279" t="s">
        <v>1</v>
      </c>
      <c r="AT43" s="278">
        <v>14</v>
      </c>
      <c r="AU43" s="282">
        <v>70.7</v>
      </c>
      <c r="AV43" s="281" cm="1">
        <f t="array" aca="1" ref="AV43" ca="1">INDIRECT("'"&amp;$C43&amp;"'!"&amp;"$"&amp;$D43&amp;$AV$1&amp;"")</f>
        <v>3.4</v>
      </c>
      <c r="AW43" s="280">
        <v>13.7</v>
      </c>
      <c r="AX43" s="281">
        <v>0.96</v>
      </c>
      <c r="AY43" s="279">
        <v>0.97</v>
      </c>
      <c r="AZ43" s="281" cm="1">
        <f t="array" aca="1" ref="AZ43" ca="1">INDIRECT("'"&amp;$C43&amp;"'!"&amp;"$"&amp;$D43&amp;$AZ$1&amp;"")</f>
        <v>7</v>
      </c>
      <c r="BA43" s="280">
        <v>13.7</v>
      </c>
      <c r="BB43" s="281">
        <v>0.97</v>
      </c>
      <c r="BC43" s="279">
        <v>1.65</v>
      </c>
      <c r="BD43" s="283">
        <v>14.25</v>
      </c>
      <c r="BE43" s="282">
        <v>71.8</v>
      </c>
      <c r="BF43" s="283" cm="1">
        <f t="array" aca="1" ref="BF43" ca="1">INDIRECT("'"&amp;$C43&amp;"'!"&amp;"$"&amp;$D43&amp;$BF$1&amp;"")</f>
        <v>14.31</v>
      </c>
      <c r="BG43" s="281">
        <v>0.98</v>
      </c>
      <c r="BH43" s="279">
        <v>3.5</v>
      </c>
      <c r="BI43" s="284">
        <v>67.099999999999994</v>
      </c>
      <c r="BJ43" s="278" cm="1">
        <f t="array" aca="1" ref="BJ43" ca="1">INDIRECT("'"&amp;$C43&amp;"'!"&amp;"$"&amp;$D43&amp;$BI$1&amp;"")</f>
        <v>0</v>
      </c>
      <c r="BK43" s="280" t="s">
        <v>1</v>
      </c>
      <c r="BL43" s="279" t="s">
        <v>1</v>
      </c>
      <c r="BM43" s="283" cm="1">
        <f t="array" aca="1" ref="BM43" ca="1">INDIRECT("'"&amp;$C43&amp;"'!"&amp;"$"&amp;$D43&amp;$BM$1&amp;"")</f>
        <v>1.24</v>
      </c>
      <c r="BN43" s="281"/>
      <c r="BO43" s="281">
        <v>0.99</v>
      </c>
      <c r="BP43" s="279">
        <v>0.17</v>
      </c>
      <c r="BQ43" s="284" cm="1">
        <f t="array" aca="1" ref="BQ43" ca="1">INDIRECT("'"&amp;$C43&amp;"'!"&amp;"$"&amp;$D43&amp;$BQ$1&amp;"")</f>
        <v>0.86</v>
      </c>
      <c r="BR43" s="281"/>
      <c r="BS43" s="281">
        <v>0.96</v>
      </c>
      <c r="BT43" s="279">
        <v>0.24</v>
      </c>
      <c r="BU43" s="284" cm="1">
        <f t="array" aca="1" ref="BU43" ca="1">INDIRECT("'"&amp;$C43&amp;"'!"&amp;"$"&amp;$D43&amp;74&amp;"")</f>
        <v>0</v>
      </c>
      <c r="BV43" s="281"/>
      <c r="BW43" s="281" t="s">
        <v>1</v>
      </c>
      <c r="BX43" s="279" t="s">
        <v>1</v>
      </c>
    </row>
    <row r="44" spans="1:76">
      <c r="A44" s="459">
        <v>45840</v>
      </c>
      <c r="B44" s="345">
        <v>0.58333333333333404</v>
      </c>
      <c r="C44" s="305">
        <v>2</v>
      </c>
      <c r="D44" s="306" t="s">
        <v>156</v>
      </c>
      <c r="E44" s="285">
        <v>14.1</v>
      </c>
      <c r="F44" s="286">
        <v>68.72</v>
      </c>
      <c r="G44" s="287" t="str" cm="1">
        <f t="array" aca="1" ref="G44" ca="1">INDIRECT("'"&amp;$C44&amp;"'!"&amp;"$"&amp;$D44&amp;$E$1&amp;"")</f>
        <v>CMS</v>
      </c>
      <c r="H44" s="288" t="s">
        <v>1</v>
      </c>
      <c r="I44" s="286" t="s">
        <v>1</v>
      </c>
      <c r="J44" s="287" cm="1">
        <f t="array" aca="1" ref="J44" ca="1">INDIRECT("'"&amp;$C44&amp;"'!"&amp;"$"&amp;$D44&amp;$J$1&amp;"")</f>
        <v>6.7</v>
      </c>
      <c r="K44" s="288"/>
      <c r="L44" s="288">
        <v>0.91</v>
      </c>
      <c r="M44" s="289">
        <v>3.16</v>
      </c>
      <c r="N44" s="285" cm="1">
        <f t="array" aca="1" ref="N44" ca="1">INDIRECT("'"&amp;$C44&amp;"'!"&amp;"$"&amp;$D44&amp;$N$1&amp;"")</f>
        <v>6.7</v>
      </c>
      <c r="O44" s="288"/>
      <c r="P44" s="288">
        <v>0.91</v>
      </c>
      <c r="Q44" s="286">
        <v>3.12</v>
      </c>
      <c r="R44" s="285" cm="1">
        <f t="array" aca="1" ref="R44" ca="1">INDIRECT("'"&amp;$C44&amp;"'!"&amp;"$"&amp;$D44&amp;$R$1&amp;"")</f>
        <v>6.7</v>
      </c>
      <c r="S44" s="288"/>
      <c r="T44" s="288">
        <v>0.91</v>
      </c>
      <c r="U44" s="286">
        <v>3.15</v>
      </c>
      <c r="V44" s="287" t="str" cm="1">
        <f t="array" aca="1" ref="V44" ca="1">INDIRECT("'"&amp;$C44&amp;"'!"&amp;"$"&amp;$D44&amp;$V$1&amp;"")</f>
        <v>CMS</v>
      </c>
      <c r="W44" s="288" t="s">
        <v>1</v>
      </c>
      <c r="X44" s="288" t="s">
        <v>1</v>
      </c>
      <c r="Y44" s="289" t="s">
        <v>1</v>
      </c>
      <c r="Z44" s="285" cm="1">
        <f t="array" aca="1" ref="Z44" ca="1">INDIRECT("'"&amp;$C44&amp;"'!"&amp;"$"&amp;$D44&amp;$Z$1&amp;"")</f>
        <v>0.5</v>
      </c>
      <c r="AA44" s="288">
        <f>3.8*3.48</f>
        <v>13.224</v>
      </c>
      <c r="AB44" s="288">
        <v>0.95</v>
      </c>
      <c r="AC44" s="286">
        <v>0.16</v>
      </c>
      <c r="AD44" s="287" cm="1">
        <f t="array" aca="1" ref="AD44" ca="1">INDIRECT("'"&amp;$C44&amp;"'!"&amp;"$"&amp;$D44&amp;$AD$1&amp;"")</f>
        <v>3.3</v>
      </c>
      <c r="AE44" s="288">
        <v>13.22</v>
      </c>
      <c r="AF44" s="288">
        <v>0.9</v>
      </c>
      <c r="AG44" s="289">
        <v>1.52</v>
      </c>
      <c r="AH44" s="285" cm="1">
        <f t="array" aca="1" ref="AH44" ca="1">INDIRECT("'"&amp;$C44&amp;"'!"&amp;"$"&amp;$D44&amp;$AH$1&amp;"")</f>
        <v>3.8</v>
      </c>
      <c r="AI44" s="288">
        <v>14</v>
      </c>
      <c r="AJ44" s="288">
        <v>0.98</v>
      </c>
      <c r="AK44" s="286">
        <v>0.61699999999999999</v>
      </c>
      <c r="AL44" s="285">
        <v>11.6</v>
      </c>
      <c r="AM44" s="289">
        <v>70.599999999999994</v>
      </c>
      <c r="AN44" s="285" cm="1">
        <f t="array" aca="1" ref="AN44" ca="1">INDIRECT("'"&amp;$C44&amp;"'!"&amp;"$"&amp;$D44&amp;$AL$1&amp;"")</f>
        <v>3.8</v>
      </c>
      <c r="AO44" s="288">
        <v>0.9</v>
      </c>
      <c r="AP44" s="286">
        <v>1.44</v>
      </c>
      <c r="AQ44" s="287" cm="1">
        <f t="array" aca="1" ref="AQ44" ca="1">INDIRECT("'"&amp;$C44&amp;"'!"&amp;"$"&amp;$D44&amp;$AQ$1&amp;"")</f>
        <v>0</v>
      </c>
      <c r="AR44" s="288" t="s">
        <v>1</v>
      </c>
      <c r="AS44" s="286" t="s">
        <v>1</v>
      </c>
      <c r="AT44" s="285">
        <v>14</v>
      </c>
      <c r="AU44" s="289">
        <v>70.7</v>
      </c>
      <c r="AV44" s="288" cm="1">
        <f t="array" aca="1" ref="AV44" ca="1">INDIRECT("'"&amp;$C44&amp;"'!"&amp;"$"&amp;$D44&amp;$AV$1&amp;"")</f>
        <v>3.4</v>
      </c>
      <c r="AW44" s="287">
        <v>13.7</v>
      </c>
      <c r="AX44" s="288">
        <v>0.96</v>
      </c>
      <c r="AY44" s="286">
        <v>0.97</v>
      </c>
      <c r="AZ44" s="288" cm="1">
        <f t="array" aca="1" ref="AZ44" ca="1">INDIRECT("'"&amp;$C44&amp;"'!"&amp;"$"&amp;$D44&amp;$AZ$1&amp;"")</f>
        <v>7</v>
      </c>
      <c r="BA44" s="287">
        <v>13.7</v>
      </c>
      <c r="BB44" s="288">
        <v>0.97</v>
      </c>
      <c r="BC44" s="286">
        <v>1.65</v>
      </c>
      <c r="BD44" s="290">
        <v>14.24</v>
      </c>
      <c r="BE44" s="289">
        <v>71.83</v>
      </c>
      <c r="BF44" s="290" cm="1">
        <f t="array" aca="1" ref="BF44" ca="1">INDIRECT("'"&amp;$C44&amp;"'!"&amp;"$"&amp;$D44&amp;$BF$1&amp;"")</f>
        <v>14.29</v>
      </c>
      <c r="BG44" s="288">
        <v>0.98</v>
      </c>
      <c r="BH44" s="286">
        <v>3.4</v>
      </c>
      <c r="BI44" s="291">
        <v>67.3</v>
      </c>
      <c r="BJ44" s="285" cm="1">
        <f t="array" aca="1" ref="BJ44" ca="1">INDIRECT("'"&amp;$C44&amp;"'!"&amp;"$"&amp;$D44&amp;$BI$1&amp;"")</f>
        <v>0.8</v>
      </c>
      <c r="BK44" s="287">
        <v>0.94</v>
      </c>
      <c r="BL44" s="286">
        <v>0.27</v>
      </c>
      <c r="BM44" s="290" cm="1">
        <f t="array" aca="1" ref="BM44" ca="1">INDIRECT("'"&amp;$C44&amp;"'!"&amp;"$"&amp;$D44&amp;$BM$1&amp;"")</f>
        <v>1.2</v>
      </c>
      <c r="BN44" s="288"/>
      <c r="BO44" s="288">
        <v>0.99</v>
      </c>
      <c r="BP44" s="286">
        <v>0.16</v>
      </c>
      <c r="BQ44" s="291" cm="1">
        <f t="array" aca="1" ref="BQ44" ca="1">INDIRECT("'"&amp;$C44&amp;"'!"&amp;"$"&amp;$D44&amp;$BQ$1&amp;"")</f>
        <v>0.86</v>
      </c>
      <c r="BR44" s="288"/>
      <c r="BS44" s="288">
        <v>0.96</v>
      </c>
      <c r="BT44" s="286">
        <v>0.24</v>
      </c>
      <c r="BU44" s="291" cm="1">
        <f t="array" aca="1" ref="BU44" ca="1">INDIRECT("'"&amp;$C44&amp;"'!"&amp;"$"&amp;$D44&amp;74&amp;"")</f>
        <v>0</v>
      </c>
      <c r="BV44" s="288"/>
      <c r="BW44" s="288" t="s">
        <v>1</v>
      </c>
      <c r="BX44" s="286" t="s">
        <v>1</v>
      </c>
    </row>
    <row r="45" spans="1:76">
      <c r="A45" s="459">
        <v>45840</v>
      </c>
      <c r="B45" s="345">
        <v>0.625</v>
      </c>
      <c r="C45" s="305">
        <v>2</v>
      </c>
      <c r="D45" s="306" t="s">
        <v>157</v>
      </c>
      <c r="E45" s="278">
        <v>14.1</v>
      </c>
      <c r="F45" s="279">
        <v>68.88</v>
      </c>
      <c r="G45" s="280" t="str" cm="1">
        <f t="array" aca="1" ref="G45" ca="1">INDIRECT("'"&amp;$C45&amp;"'!"&amp;"$"&amp;$D45&amp;$E$1&amp;"")</f>
        <v>CMS</v>
      </c>
      <c r="H45" s="281" t="s">
        <v>1</v>
      </c>
      <c r="I45" s="279" t="s">
        <v>1</v>
      </c>
      <c r="J45" s="280" cm="1">
        <f t="array" aca="1" ref="J45" ca="1">INDIRECT("'"&amp;$C45&amp;"'!"&amp;"$"&amp;$D45&amp;$J$1&amp;"")</f>
        <v>6.4</v>
      </c>
      <c r="K45" s="281"/>
      <c r="L45" s="281">
        <v>0.92</v>
      </c>
      <c r="M45" s="282">
        <v>2.86</v>
      </c>
      <c r="N45" s="278" cm="1">
        <f t="array" aca="1" ref="N45" ca="1">INDIRECT("'"&amp;$C45&amp;"'!"&amp;"$"&amp;$D45&amp;$N$1&amp;"")</f>
        <v>6.4</v>
      </c>
      <c r="O45" s="281"/>
      <c r="P45" s="281">
        <v>0.92</v>
      </c>
      <c r="Q45" s="279">
        <v>2.89</v>
      </c>
      <c r="R45" s="468" cm="1">
        <f t="array" aca="1" ref="R45" ca="1">INDIRECT("'"&amp;$C45&amp;"'!"&amp;"$"&amp;$D45&amp;$R$1&amp;"")</f>
        <v>6.4</v>
      </c>
      <c r="S45" s="281"/>
      <c r="T45" s="281">
        <v>0.92</v>
      </c>
      <c r="U45" s="279">
        <v>2.87</v>
      </c>
      <c r="V45" s="280" t="str" cm="1">
        <f t="array" aca="1" ref="V45" ca="1">INDIRECT("'"&amp;$C45&amp;"'!"&amp;"$"&amp;$D45&amp;$V$1&amp;"")</f>
        <v>CMS</v>
      </c>
      <c r="W45" s="281" t="s">
        <v>1</v>
      </c>
      <c r="X45" s="281" t="s">
        <v>1</v>
      </c>
      <c r="Y45" s="282" t="s">
        <v>1</v>
      </c>
      <c r="Z45" s="278" t="str" cm="1">
        <f t="array" aca="1" ref="Z45" ca="1">INDIRECT("'"&amp;$C45&amp;"'!"&amp;"$"&amp;$D45&amp;$Z$1&amp;"")</f>
        <v>CMS</v>
      </c>
      <c r="AA45" s="281" t="s">
        <v>1</v>
      </c>
      <c r="AB45" s="281" t="s">
        <v>1</v>
      </c>
      <c r="AC45" s="279" t="s">
        <v>1</v>
      </c>
      <c r="AD45" s="280" cm="1">
        <f t="array" aca="1" ref="AD45" ca="1">INDIRECT("'"&amp;$C45&amp;"'!"&amp;"$"&amp;$D45&amp;$AD$1&amp;"")</f>
        <v>3</v>
      </c>
      <c r="AE45" s="281">
        <f>3.8*3.51</f>
        <v>13.337999999999999</v>
      </c>
      <c r="AF45" s="281">
        <v>0.9</v>
      </c>
      <c r="AG45" s="279">
        <v>1.1499999999999999</v>
      </c>
      <c r="AH45" s="278" cm="1">
        <f t="array" aca="1" ref="AH45" ca="1">INDIRECT("'"&amp;$C45&amp;"'!"&amp;"$"&amp;$D45&amp;$AH$1&amp;"")</f>
        <v>3</v>
      </c>
      <c r="AI45" s="281">
        <v>14</v>
      </c>
      <c r="AJ45" s="281">
        <v>0.98</v>
      </c>
      <c r="AK45" s="279">
        <v>0.54500000000000004</v>
      </c>
      <c r="AL45" s="278">
        <v>11.6</v>
      </c>
      <c r="AM45" s="282">
        <v>70.599999999999994</v>
      </c>
      <c r="AN45" s="278" cm="1">
        <f t="array" aca="1" ref="AN45" ca="1">INDIRECT("'"&amp;$C45&amp;"'!"&amp;"$"&amp;$D45&amp;$AL$1&amp;"")</f>
        <v>3.8</v>
      </c>
      <c r="AO45" s="281">
        <v>0.9</v>
      </c>
      <c r="AP45" s="279">
        <v>1.44</v>
      </c>
      <c r="AQ45" s="280" cm="1">
        <f t="array" aca="1" ref="AQ45" ca="1">INDIRECT("'"&amp;$C45&amp;"'!"&amp;"$"&amp;$D45&amp;$AQ$1&amp;"")</f>
        <v>0</v>
      </c>
      <c r="AR45" s="281" t="s">
        <v>1</v>
      </c>
      <c r="AS45" s="279" t="s">
        <v>1</v>
      </c>
      <c r="AT45" s="278">
        <v>14</v>
      </c>
      <c r="AU45" s="282">
        <v>70.7</v>
      </c>
      <c r="AV45" s="281" cm="1">
        <f t="array" aca="1" ref="AV45" ca="1">INDIRECT("'"&amp;$C45&amp;"'!"&amp;"$"&amp;$D45&amp;$AV$1&amp;"")</f>
        <v>3</v>
      </c>
      <c r="AW45" s="280">
        <v>13.7</v>
      </c>
      <c r="AX45" s="281">
        <v>0.96</v>
      </c>
      <c r="AY45" s="279">
        <v>0.97</v>
      </c>
      <c r="AZ45" s="281" cm="1">
        <f t="array" aca="1" ref="AZ45" ca="1">INDIRECT("'"&amp;$C45&amp;"'!"&amp;"$"&amp;$D45&amp;$AZ$1&amp;"")</f>
        <v>7</v>
      </c>
      <c r="BA45" s="280">
        <v>13.7</v>
      </c>
      <c r="BB45" s="281">
        <v>0.97</v>
      </c>
      <c r="BC45" s="279">
        <v>1.65</v>
      </c>
      <c r="BD45" s="283">
        <v>14.24</v>
      </c>
      <c r="BE45" s="282">
        <v>71.760000000000005</v>
      </c>
      <c r="BF45" s="283" cm="1">
        <f t="array" aca="1" ref="BF45" ca="1">INDIRECT("'"&amp;$C45&amp;"'!"&amp;"$"&amp;$D45&amp;$BF$1&amp;"")</f>
        <v>14.27</v>
      </c>
      <c r="BG45" s="281">
        <v>0.98</v>
      </c>
      <c r="BH45" s="279">
        <v>3.4</v>
      </c>
      <c r="BI45" s="284">
        <v>67.2</v>
      </c>
      <c r="BJ45" s="278" cm="1">
        <f t="array" aca="1" ref="BJ45" ca="1">INDIRECT("'"&amp;$C45&amp;"'!"&amp;"$"&amp;$D45&amp;$BI$1&amp;"")</f>
        <v>0</v>
      </c>
      <c r="BK45" s="280" t="s">
        <v>1</v>
      </c>
      <c r="BL45" s="279" t="s">
        <v>1</v>
      </c>
      <c r="BM45" s="283" cm="1">
        <f t="array" aca="1" ref="BM45" ca="1">INDIRECT("'"&amp;$C45&amp;"'!"&amp;"$"&amp;$D45&amp;$BM$1&amp;"")</f>
        <v>1.18</v>
      </c>
      <c r="BN45" s="281"/>
      <c r="BO45" s="281">
        <v>0.99</v>
      </c>
      <c r="BP45" s="279">
        <v>0.15</v>
      </c>
      <c r="BQ45" s="284" cm="1">
        <f t="array" aca="1" ref="BQ45" ca="1">INDIRECT("'"&amp;$C45&amp;"'!"&amp;"$"&amp;$D45&amp;$BQ$1&amp;"")</f>
        <v>0.87</v>
      </c>
      <c r="BR45" s="281"/>
      <c r="BS45" s="281">
        <v>0.96</v>
      </c>
      <c r="BT45" s="279">
        <v>0.23</v>
      </c>
      <c r="BU45" s="284" cm="1">
        <f t="array" aca="1" ref="BU45" ca="1">INDIRECT("'"&amp;$C45&amp;"'!"&amp;"$"&amp;$D45&amp;74&amp;"")</f>
        <v>0</v>
      </c>
      <c r="BV45" s="281"/>
      <c r="BW45" s="281" t="s">
        <v>1</v>
      </c>
      <c r="BX45" s="279" t="s">
        <v>1</v>
      </c>
    </row>
    <row r="46" spans="1:76">
      <c r="A46" s="459">
        <v>45840</v>
      </c>
      <c r="B46" s="345">
        <v>0.66666666666666696</v>
      </c>
      <c r="C46" s="305">
        <v>2</v>
      </c>
      <c r="D46" s="306" t="s">
        <v>158</v>
      </c>
      <c r="E46" s="285">
        <v>14.1</v>
      </c>
      <c r="F46" s="286">
        <v>69.37</v>
      </c>
      <c r="G46" s="287" t="str" cm="1">
        <f t="array" aca="1" ref="G46" ca="1">INDIRECT("'"&amp;$C46&amp;"'!"&amp;"$"&amp;$D46&amp;$E$1&amp;"")</f>
        <v>CMS</v>
      </c>
      <c r="H46" s="288" t="s">
        <v>1</v>
      </c>
      <c r="I46" s="286" t="s">
        <v>1</v>
      </c>
      <c r="J46" s="287" cm="1">
        <f t="array" aca="1" ref="J46" ca="1">INDIRECT("'"&amp;$C46&amp;"'!"&amp;"$"&amp;$D46&amp;$J$1&amp;"")</f>
        <v>6.5</v>
      </c>
      <c r="K46" s="288"/>
      <c r="L46" s="288">
        <v>0.91</v>
      </c>
      <c r="M46" s="289">
        <v>3.12</v>
      </c>
      <c r="N46" s="285" cm="1">
        <f t="array" aca="1" ref="N46" ca="1">INDIRECT("'"&amp;$C46&amp;"'!"&amp;"$"&amp;$D46&amp;$N$1&amp;"")</f>
        <v>6.5</v>
      </c>
      <c r="O46" s="288"/>
      <c r="P46" s="288">
        <v>0.91</v>
      </c>
      <c r="Q46" s="286">
        <v>3.08</v>
      </c>
      <c r="R46" s="469" cm="1">
        <f t="array" aca="1" ref="R46" ca="1">INDIRECT("'"&amp;$C46&amp;"'!"&amp;"$"&amp;$D46&amp;$R$1&amp;"")</f>
        <v>6.5</v>
      </c>
      <c r="S46" s="288"/>
      <c r="T46" s="288">
        <v>0.91</v>
      </c>
      <c r="U46" s="286">
        <v>3.09</v>
      </c>
      <c r="V46" s="287" t="str" cm="1">
        <f t="array" aca="1" ref="V46" ca="1">INDIRECT("'"&amp;$C46&amp;"'!"&amp;"$"&amp;$D46&amp;$V$1&amp;"")</f>
        <v>CMS</v>
      </c>
      <c r="W46" s="288" t="s">
        <v>1</v>
      </c>
      <c r="X46" s="288" t="s">
        <v>1</v>
      </c>
      <c r="Y46" s="289" t="s">
        <v>1</v>
      </c>
      <c r="Z46" s="285" t="str" cm="1">
        <f t="array" aca="1" ref="Z46" ca="1">INDIRECT("'"&amp;$C46&amp;"'!"&amp;"$"&amp;$D46&amp;$Z$1&amp;"")</f>
        <v>CMS</v>
      </c>
      <c r="AA46" s="288" t="s">
        <v>1</v>
      </c>
      <c r="AB46" s="288" t="s">
        <v>1</v>
      </c>
      <c r="AC46" s="286" t="s">
        <v>1</v>
      </c>
      <c r="AD46" s="287" cm="1">
        <f t="array" aca="1" ref="AD46" ca="1">INDIRECT("'"&amp;$C46&amp;"'!"&amp;"$"&amp;$D46&amp;$AD$1&amp;"")</f>
        <v>3.4</v>
      </c>
      <c r="AE46" s="288">
        <f>3.8*3.53</f>
        <v>13.413999999999998</v>
      </c>
      <c r="AF46" s="288">
        <v>0.9</v>
      </c>
      <c r="AG46" s="289">
        <v>1.66</v>
      </c>
      <c r="AH46" s="285" cm="1">
        <f t="array" aca="1" ref="AH46" ca="1">INDIRECT("'"&amp;$C46&amp;"'!"&amp;"$"&amp;$D46&amp;$AH$1&amp;"")</f>
        <v>3.8</v>
      </c>
      <c r="AI46" s="288">
        <v>14.04</v>
      </c>
      <c r="AJ46" s="288">
        <v>0.99</v>
      </c>
      <c r="AK46" s="286">
        <v>0.51900000000000002</v>
      </c>
      <c r="AL46" s="285">
        <v>11.6</v>
      </c>
      <c r="AM46" s="289">
        <v>70.599999999999994</v>
      </c>
      <c r="AN46" s="285" cm="1">
        <f t="array" aca="1" ref="AN46" ca="1">INDIRECT("'"&amp;$C46&amp;"'!"&amp;"$"&amp;$D46&amp;$AL$1&amp;"")</f>
        <v>3.8</v>
      </c>
      <c r="AO46" s="288">
        <v>0.92</v>
      </c>
      <c r="AP46" s="286">
        <v>1.28</v>
      </c>
      <c r="AQ46" s="287" cm="1">
        <f t="array" aca="1" ref="AQ46" ca="1">INDIRECT("'"&amp;$C46&amp;"'!"&amp;"$"&amp;$D46&amp;$AQ$1&amp;"")</f>
        <v>0</v>
      </c>
      <c r="AR46" s="288" t="s">
        <v>1</v>
      </c>
      <c r="AS46" s="286" t="s">
        <v>1</v>
      </c>
      <c r="AT46" s="285">
        <v>14</v>
      </c>
      <c r="AU46" s="289">
        <v>70.7</v>
      </c>
      <c r="AV46" s="288" cm="1">
        <f t="array" aca="1" ref="AV46" ca="1">INDIRECT("'"&amp;$C46&amp;"'!"&amp;"$"&amp;$D46&amp;$AV$1&amp;"")</f>
        <v>0</v>
      </c>
      <c r="AW46" s="287" t="s">
        <v>1</v>
      </c>
      <c r="AX46" s="288" t="s">
        <v>1</v>
      </c>
      <c r="AY46" s="286" t="s">
        <v>1</v>
      </c>
      <c r="AZ46" s="288" cm="1">
        <f t="array" aca="1" ref="AZ46" ca="1">INDIRECT("'"&amp;$C46&amp;"'!"&amp;"$"&amp;$D46&amp;$AZ$1&amp;"")</f>
        <v>7</v>
      </c>
      <c r="BA46" s="287" t="s">
        <v>1</v>
      </c>
      <c r="BB46" s="288">
        <v>0.97</v>
      </c>
      <c r="BC46" s="286">
        <v>1.65</v>
      </c>
      <c r="BD46" s="290">
        <v>14.26</v>
      </c>
      <c r="BE46" s="289">
        <v>71.680000000000007</v>
      </c>
      <c r="BF46" s="290" cm="1">
        <f t="array" aca="1" ref="BF46" ca="1">INDIRECT("'"&amp;$C46&amp;"'!"&amp;"$"&amp;$D46&amp;$BF$1&amp;"")</f>
        <v>14.3</v>
      </c>
      <c r="BG46" s="288">
        <v>0.98</v>
      </c>
      <c r="BH46" s="286">
        <v>3.4</v>
      </c>
      <c r="BI46" s="291">
        <v>67.66</v>
      </c>
      <c r="BJ46" s="285" cm="1">
        <f t="array" aca="1" ref="BJ46" ca="1">INDIRECT("'"&amp;$C46&amp;"'!"&amp;"$"&amp;$D46&amp;$BI$1&amp;"")</f>
        <v>0</v>
      </c>
      <c r="BK46" s="287" t="s">
        <v>1</v>
      </c>
      <c r="BL46" s="286" t="s">
        <v>1</v>
      </c>
      <c r="BM46" s="290" cm="1">
        <f t="array" aca="1" ref="BM46" ca="1">INDIRECT("'"&amp;$C46&amp;"'!"&amp;"$"&amp;$D46&amp;$BM$1&amp;"")</f>
        <v>1.4</v>
      </c>
      <c r="BN46" s="288"/>
      <c r="BO46" s="288">
        <v>0.99</v>
      </c>
      <c r="BP46" s="286">
        <v>0.16</v>
      </c>
      <c r="BQ46" s="291" cm="1">
        <f t="array" aca="1" ref="BQ46" ca="1">INDIRECT("'"&amp;$C46&amp;"'!"&amp;"$"&amp;$D46&amp;$BQ$1&amp;"")</f>
        <v>0.85</v>
      </c>
      <c r="BR46" s="288"/>
      <c r="BS46" s="288">
        <v>0.96</v>
      </c>
      <c r="BT46" s="286">
        <v>0.23</v>
      </c>
      <c r="BU46" s="291" cm="1">
        <f t="array" aca="1" ref="BU46" ca="1">INDIRECT("'"&amp;$C46&amp;"'!"&amp;"$"&amp;$D46&amp;74&amp;"")</f>
        <v>0</v>
      </c>
      <c r="BV46" s="288"/>
      <c r="BW46" s="288" t="s">
        <v>1</v>
      </c>
      <c r="BX46" s="286" t="s">
        <v>1</v>
      </c>
    </row>
    <row r="47" spans="1:76">
      <c r="A47" s="459">
        <v>45840</v>
      </c>
      <c r="B47" s="345">
        <v>0.70833333333333404</v>
      </c>
      <c r="C47" s="305">
        <v>2</v>
      </c>
      <c r="D47" s="306" t="s">
        <v>159</v>
      </c>
      <c r="E47" s="278">
        <v>14.1</v>
      </c>
      <c r="F47" s="279">
        <v>69.95</v>
      </c>
      <c r="G47" s="280" t="str" cm="1">
        <f t="array" aca="1" ref="G47" ca="1">INDIRECT("'"&amp;$C47&amp;"'!"&amp;"$"&amp;$D47&amp;$E$1&amp;"")</f>
        <v>CMS</v>
      </c>
      <c r="H47" s="281" t="s">
        <v>1</v>
      </c>
      <c r="I47" s="279" t="s">
        <v>1</v>
      </c>
      <c r="J47" s="280" cm="1">
        <f t="array" aca="1" ref="J47" ca="1">INDIRECT("'"&amp;$C47&amp;"'!"&amp;"$"&amp;$D47&amp;$J$1&amp;"")</f>
        <v>6.2</v>
      </c>
      <c r="K47" s="281"/>
      <c r="L47" s="281">
        <v>0.96</v>
      </c>
      <c r="M47" s="282">
        <v>1.72</v>
      </c>
      <c r="N47" s="278" cm="1">
        <f t="array" aca="1" ref="N47" ca="1">INDIRECT("'"&amp;$C47&amp;"'!"&amp;"$"&amp;$D47&amp;$N$1&amp;"")</f>
        <v>6.6</v>
      </c>
      <c r="O47" s="281"/>
      <c r="P47" s="281">
        <v>0.96</v>
      </c>
      <c r="Q47" s="279">
        <v>1.83</v>
      </c>
      <c r="R47" s="468" cm="1">
        <f t="array" aca="1" ref="R47" ca="1">INDIRECT("'"&amp;$C47&amp;"'!"&amp;"$"&amp;$D47&amp;$R$1&amp;"")</f>
        <v>6.4</v>
      </c>
      <c r="S47" s="281"/>
      <c r="T47" s="281">
        <v>0.94</v>
      </c>
      <c r="U47" s="279">
        <v>2.2400000000000002</v>
      </c>
      <c r="V47" s="280" t="str" cm="1">
        <f t="array" aca="1" ref="V47" ca="1">INDIRECT("'"&amp;$C47&amp;"'!"&amp;"$"&amp;$D47&amp;$V$1&amp;"")</f>
        <v>CMS</v>
      </c>
      <c r="W47" s="281" t="s">
        <v>1</v>
      </c>
      <c r="X47" s="281" t="s">
        <v>1</v>
      </c>
      <c r="Y47" s="282" t="s">
        <v>1</v>
      </c>
      <c r="Z47" s="278" t="str" cm="1">
        <f t="array" aca="1" ref="Z47" ca="1">INDIRECT("'"&amp;$C47&amp;"'!"&amp;"$"&amp;$D47&amp;$Z$1&amp;"")</f>
        <v>CMS</v>
      </c>
      <c r="AA47" s="281" t="s">
        <v>1</v>
      </c>
      <c r="AB47" s="281" t="s">
        <v>1</v>
      </c>
      <c r="AC47" s="279" t="s">
        <v>1</v>
      </c>
      <c r="AD47" s="280" cm="1">
        <f t="array" aca="1" ref="AD47" ca="1">INDIRECT("'"&amp;$C47&amp;"'!"&amp;"$"&amp;$D47&amp;$AD$1&amp;"")</f>
        <v>3</v>
      </c>
      <c r="AE47" s="281">
        <f>3.8*3.52</f>
        <v>13.375999999999999</v>
      </c>
      <c r="AF47" s="281">
        <v>0.9</v>
      </c>
      <c r="AG47" s="282">
        <v>1.64</v>
      </c>
      <c r="AH47" s="278" cm="1">
        <f t="array" aca="1" ref="AH47" ca="1">INDIRECT("'"&amp;$C47&amp;"'!"&amp;"$"&amp;$D47&amp;$AH$1&amp;"")</f>
        <v>3.8</v>
      </c>
      <c r="AI47" s="281">
        <v>14.04</v>
      </c>
      <c r="AJ47" s="281">
        <v>0.99</v>
      </c>
      <c r="AK47" s="279">
        <v>0.251</v>
      </c>
      <c r="AL47" s="278">
        <v>11.6</v>
      </c>
      <c r="AM47" s="282">
        <v>70.7</v>
      </c>
      <c r="AN47" s="278" cm="1">
        <f t="array" aca="1" ref="AN47" ca="1">INDIRECT("'"&amp;$C47&amp;"'!"&amp;"$"&amp;$D47&amp;$AL$1&amp;"")</f>
        <v>3.8</v>
      </c>
      <c r="AO47" s="281">
        <v>0.92</v>
      </c>
      <c r="AP47" s="279">
        <v>1.22</v>
      </c>
      <c r="AQ47" s="280" cm="1">
        <f t="array" aca="1" ref="AQ47" ca="1">INDIRECT("'"&amp;$C47&amp;"'!"&amp;"$"&amp;$D47&amp;$AQ$1&amp;"")</f>
        <v>0</v>
      </c>
      <c r="AR47" s="281" t="s">
        <v>1</v>
      </c>
      <c r="AS47" s="279" t="s">
        <v>1</v>
      </c>
      <c r="AT47" s="278">
        <v>14</v>
      </c>
      <c r="AU47" s="282">
        <v>70.5</v>
      </c>
      <c r="AV47" s="281" cm="1">
        <f t="array" aca="1" ref="AV47" ca="1">INDIRECT("'"&amp;$C47&amp;"'!"&amp;"$"&amp;$D47&amp;$AV$1&amp;"")</f>
        <v>0</v>
      </c>
      <c r="AW47" s="280" t="s">
        <v>1</v>
      </c>
      <c r="AX47" s="281" t="s">
        <v>1</v>
      </c>
      <c r="AY47" s="279" t="s">
        <v>1</v>
      </c>
      <c r="AZ47" s="281" cm="1">
        <f t="array" aca="1" ref="AZ47" ca="1">INDIRECT("'"&amp;$C47&amp;"'!"&amp;"$"&amp;$D47&amp;$AZ$1&amp;"")</f>
        <v>7</v>
      </c>
      <c r="BA47" s="280" t="s">
        <v>1</v>
      </c>
      <c r="BB47" s="281">
        <v>0.97</v>
      </c>
      <c r="BC47" s="279">
        <v>1.65</v>
      </c>
      <c r="BD47" s="283">
        <v>14.32</v>
      </c>
      <c r="BE47" s="282">
        <v>71.95</v>
      </c>
      <c r="BF47" s="283" cm="1">
        <f t="array" aca="1" ref="BF47" ca="1">INDIRECT("'"&amp;$C47&amp;"'!"&amp;"$"&amp;$D47&amp;$BF$1&amp;"")</f>
        <v>14.33</v>
      </c>
      <c r="BG47" s="281">
        <v>0.98</v>
      </c>
      <c r="BH47" s="279">
        <v>3.4</v>
      </c>
      <c r="BI47" s="284">
        <v>67.5</v>
      </c>
      <c r="BJ47" s="278" cm="1">
        <f t="array" aca="1" ref="BJ47" ca="1">INDIRECT("'"&amp;$C47&amp;"'!"&amp;"$"&amp;$D47&amp;$BI$1&amp;"")</f>
        <v>0</v>
      </c>
      <c r="BK47" s="280" t="s">
        <v>1</v>
      </c>
      <c r="BL47" s="279" t="s">
        <v>1</v>
      </c>
      <c r="BM47" s="283" cm="1">
        <f t="array" aca="1" ref="BM47" ca="1">INDIRECT("'"&amp;$C47&amp;"'!"&amp;"$"&amp;$D47&amp;$BM$1&amp;"")</f>
        <v>1.38</v>
      </c>
      <c r="BN47" s="281"/>
      <c r="BO47" s="281">
        <v>0.99</v>
      </c>
      <c r="BP47" s="279">
        <v>0.15</v>
      </c>
      <c r="BQ47" s="284" cm="1">
        <f t="array" aca="1" ref="BQ47" ca="1">INDIRECT("'"&amp;$C47&amp;"'!"&amp;"$"&amp;$D47&amp;$BQ$1&amp;"")</f>
        <v>0.86</v>
      </c>
      <c r="BR47" s="281"/>
      <c r="BS47" s="281">
        <v>0.96</v>
      </c>
      <c r="BT47" s="279">
        <v>0.23</v>
      </c>
      <c r="BU47" s="284" cm="1">
        <f t="array" aca="1" ref="BU47" ca="1">INDIRECT("'"&amp;$C47&amp;"'!"&amp;"$"&amp;$D47&amp;74&amp;"")</f>
        <v>0</v>
      </c>
      <c r="BV47" s="281"/>
      <c r="BW47" s="281" t="s">
        <v>1</v>
      </c>
      <c r="BX47" s="279" t="s">
        <v>1</v>
      </c>
    </row>
    <row r="48" spans="1:76">
      <c r="A48" s="459">
        <v>45840</v>
      </c>
      <c r="B48" s="345">
        <v>0.750000000000001</v>
      </c>
      <c r="C48" s="305">
        <v>2</v>
      </c>
      <c r="D48" s="306" t="s">
        <v>160</v>
      </c>
      <c r="E48" s="285">
        <v>14.1</v>
      </c>
      <c r="F48" s="286">
        <v>69.67</v>
      </c>
      <c r="G48" s="287" t="str" cm="1">
        <f t="array" aca="1" ref="G48" ca="1">INDIRECT("'"&amp;$C48&amp;"'!"&amp;"$"&amp;$D48&amp;$E$1&amp;"")</f>
        <v>CMS</v>
      </c>
      <c r="H48" s="288" t="s">
        <v>1</v>
      </c>
      <c r="I48" s="286" t="s">
        <v>1</v>
      </c>
      <c r="J48" s="287" cm="1">
        <f t="array" aca="1" ref="J48" ca="1">INDIRECT("'"&amp;$C48&amp;"'!"&amp;"$"&amp;$D48&amp;$J$1&amp;"")</f>
        <v>6.5</v>
      </c>
      <c r="K48" s="288"/>
      <c r="L48" s="288">
        <v>0.93</v>
      </c>
      <c r="M48" s="289">
        <v>2.58</v>
      </c>
      <c r="N48" s="285" cm="1">
        <f t="array" aca="1" ref="N48" ca="1">INDIRECT("'"&amp;$C48&amp;"'!"&amp;"$"&amp;$D48&amp;$N$1&amp;"")</f>
        <v>6.5</v>
      </c>
      <c r="O48" s="288"/>
      <c r="P48" s="288">
        <v>0.93</v>
      </c>
      <c r="Q48" s="286">
        <v>2.5499999999999998</v>
      </c>
      <c r="R48" s="285" cm="1">
        <f t="array" aca="1" ref="R48" ca="1">INDIRECT("'"&amp;$C48&amp;"'!"&amp;"$"&amp;$D48&amp;$R$1&amp;"")</f>
        <v>6.5</v>
      </c>
      <c r="S48" s="288"/>
      <c r="T48" s="288">
        <v>0.93</v>
      </c>
      <c r="U48" s="286">
        <v>2.59</v>
      </c>
      <c r="V48" s="287" t="str" cm="1">
        <f t="array" aca="1" ref="V48" ca="1">INDIRECT("'"&amp;$C48&amp;"'!"&amp;"$"&amp;$D48&amp;$V$1&amp;"")</f>
        <v>CMS</v>
      </c>
      <c r="W48" s="288" t="s">
        <v>1</v>
      </c>
      <c r="X48" s="288" t="s">
        <v>1</v>
      </c>
      <c r="Y48" s="289" t="s">
        <v>1</v>
      </c>
      <c r="Z48" s="285" cm="1">
        <f t="array" aca="1" ref="Z48" ca="1">INDIRECT("'"&amp;$C48&amp;"'!"&amp;"$"&amp;$D48&amp;$Z$1&amp;"")</f>
        <v>1.5</v>
      </c>
      <c r="AA48" s="288">
        <f>3.8*3.51</f>
        <v>13.337999999999999</v>
      </c>
      <c r="AB48" s="288">
        <v>0.94</v>
      </c>
      <c r="AC48" s="286">
        <v>0.59</v>
      </c>
      <c r="AD48" s="287" cm="1">
        <f t="array" aca="1" ref="AD48" ca="1">INDIRECT("'"&amp;$C48&amp;"'!"&amp;"$"&amp;$D48&amp;$AD$1&amp;"")</f>
        <v>1.5</v>
      </c>
      <c r="AE48" s="288">
        <v>13.34</v>
      </c>
      <c r="AF48" s="288">
        <v>0.94</v>
      </c>
      <c r="AG48" s="289">
        <v>0.56000000000000005</v>
      </c>
      <c r="AH48" s="285" cm="1">
        <f t="array" aca="1" ref="AH48" ca="1">INDIRECT("'"&amp;$C48&amp;"'!"&amp;"$"&amp;$D48&amp;$AH$1&amp;"")</f>
        <v>3</v>
      </c>
      <c r="AI48" s="288">
        <v>14.04</v>
      </c>
      <c r="AJ48" s="288">
        <v>0.99</v>
      </c>
      <c r="AK48" s="286">
        <v>0.26500000000000001</v>
      </c>
      <c r="AL48" s="285">
        <v>11.6</v>
      </c>
      <c r="AM48" s="289">
        <v>70.7</v>
      </c>
      <c r="AN48" s="285" cm="1">
        <f t="array" aca="1" ref="AN48" ca="1">INDIRECT("'"&amp;$C48&amp;"'!"&amp;"$"&amp;$D48&amp;$AL$1&amp;"")</f>
        <v>2.5</v>
      </c>
      <c r="AO48" s="288">
        <v>0.9</v>
      </c>
      <c r="AP48" s="286">
        <v>1.42</v>
      </c>
      <c r="AQ48" s="287" cm="1">
        <f t="array" aca="1" ref="AQ48" ca="1">INDIRECT("'"&amp;$C48&amp;"'!"&amp;"$"&amp;$D48&amp;$AQ$1&amp;"")</f>
        <v>0</v>
      </c>
      <c r="AR48" s="288" t="s">
        <v>1</v>
      </c>
      <c r="AS48" s="286" t="s">
        <v>1</v>
      </c>
      <c r="AT48" s="285">
        <v>14</v>
      </c>
      <c r="AU48" s="289">
        <v>70.5</v>
      </c>
      <c r="AV48" s="288" cm="1">
        <f t="array" aca="1" ref="AV48" ca="1">INDIRECT("'"&amp;$C48&amp;"'!"&amp;"$"&amp;$D48&amp;$AV$1&amp;"")</f>
        <v>0</v>
      </c>
      <c r="AW48" s="287" t="s">
        <v>1</v>
      </c>
      <c r="AX48" s="288" t="s">
        <v>1</v>
      </c>
      <c r="AY48" s="286" t="s">
        <v>1</v>
      </c>
      <c r="AZ48" s="288" cm="1">
        <f t="array" aca="1" ref="AZ48" ca="1">INDIRECT("'"&amp;$C48&amp;"'!"&amp;"$"&amp;$D48&amp;$AZ$1&amp;"")</f>
        <v>6</v>
      </c>
      <c r="BA48" s="287" t="s">
        <v>1</v>
      </c>
      <c r="BB48" s="288">
        <v>0.97</v>
      </c>
      <c r="BC48" s="286">
        <v>1.65</v>
      </c>
      <c r="BD48" s="290">
        <v>14.16</v>
      </c>
      <c r="BE48" s="289">
        <v>71.64</v>
      </c>
      <c r="BF48" s="290" cm="1">
        <f t="array" aca="1" ref="BF48" ca="1">INDIRECT("'"&amp;$C48&amp;"'!"&amp;"$"&amp;$D48&amp;$BF$1&amp;"")</f>
        <v>14.27</v>
      </c>
      <c r="BG48" s="288">
        <v>0.99</v>
      </c>
      <c r="BH48" s="286">
        <v>2.4</v>
      </c>
      <c r="BI48" s="291">
        <v>67.3</v>
      </c>
      <c r="BJ48" s="285" cm="1">
        <f t="array" aca="1" ref="BJ48" ca="1">INDIRECT("'"&amp;$C48&amp;"'!"&amp;"$"&amp;$D48&amp;$BI$1&amp;"")</f>
        <v>0</v>
      </c>
      <c r="BK48" s="287" t="s">
        <v>1</v>
      </c>
      <c r="BL48" s="286" t="s">
        <v>1</v>
      </c>
      <c r="BM48" s="290" cm="1">
        <f t="array" aca="1" ref="BM48" ca="1">INDIRECT("'"&amp;$C48&amp;"'!"&amp;"$"&amp;$D48&amp;$BM$1&amp;"")</f>
        <v>1.3</v>
      </c>
      <c r="BN48" s="288"/>
      <c r="BO48" s="288">
        <v>0.99</v>
      </c>
      <c r="BP48" s="286">
        <v>0.16</v>
      </c>
      <c r="BQ48" s="291" cm="1">
        <f t="array" aca="1" ref="BQ48" ca="1">INDIRECT("'"&amp;$C48&amp;"'!"&amp;"$"&amp;$D48&amp;$BQ$1&amp;"")</f>
        <v>0.87</v>
      </c>
      <c r="BR48" s="288"/>
      <c r="BS48" s="288">
        <v>0.96</v>
      </c>
      <c r="BT48" s="286">
        <v>0.24</v>
      </c>
      <c r="BU48" s="291" cm="1">
        <f t="array" aca="1" ref="BU48" ca="1">INDIRECT("'"&amp;$C48&amp;"'!"&amp;"$"&amp;$D48&amp;74&amp;"")</f>
        <v>0</v>
      </c>
      <c r="BV48" s="288"/>
      <c r="BW48" s="288" t="s">
        <v>1</v>
      </c>
      <c r="BX48" s="286" t="s">
        <v>1</v>
      </c>
    </row>
    <row r="49" spans="1:76">
      <c r="A49" s="459">
        <v>45840</v>
      </c>
      <c r="B49" s="345">
        <v>0.79166666666666696</v>
      </c>
      <c r="C49" s="305">
        <v>2</v>
      </c>
      <c r="D49" s="306" t="s">
        <v>161</v>
      </c>
      <c r="E49" s="278">
        <v>14.1</v>
      </c>
      <c r="F49" s="279">
        <v>69.03</v>
      </c>
      <c r="G49" s="280" t="str" cm="1">
        <f t="array" aca="1" ref="G49" ca="1">INDIRECT("'"&amp;$C49&amp;"'!"&amp;"$"&amp;$D49&amp;$E$1&amp;"")</f>
        <v>CMS</v>
      </c>
      <c r="H49" s="281" t="s">
        <v>1</v>
      </c>
      <c r="I49" s="279" t="s">
        <v>1</v>
      </c>
      <c r="J49" s="280" cm="1">
        <f t="array" aca="1" ref="J49" ca="1">INDIRECT("'"&amp;$C49&amp;"'!"&amp;"$"&amp;$D49&amp;$J$1&amp;"")</f>
        <v>6.7</v>
      </c>
      <c r="K49" s="292"/>
      <c r="L49" s="281">
        <v>0.92</v>
      </c>
      <c r="M49" s="282">
        <v>2.82</v>
      </c>
      <c r="N49" s="278" cm="1">
        <f t="array" aca="1" ref="N49" ca="1">INDIRECT("'"&amp;$C49&amp;"'!"&amp;"$"&amp;$D49&amp;$N$1&amp;"")</f>
        <v>6.7</v>
      </c>
      <c r="O49" s="281"/>
      <c r="P49" s="281">
        <v>0.92</v>
      </c>
      <c r="Q49" s="279">
        <v>2.79</v>
      </c>
      <c r="R49" s="468" cm="1">
        <f t="array" aca="1" ref="R49" ca="1">INDIRECT("'"&amp;$C49&amp;"'!"&amp;"$"&amp;$D49&amp;$R$1&amp;"")</f>
        <v>6.7</v>
      </c>
      <c r="S49" s="281"/>
      <c r="T49" s="281">
        <v>0.92</v>
      </c>
      <c r="U49" s="279">
        <v>2.85</v>
      </c>
      <c r="V49" s="280" t="str" cm="1">
        <f t="array" aca="1" ref="V49" ca="1">INDIRECT("'"&amp;$C49&amp;"'!"&amp;"$"&amp;$D49&amp;$V$1&amp;"")</f>
        <v>CMS</v>
      </c>
      <c r="W49" s="281" t="s">
        <v>1</v>
      </c>
      <c r="X49" s="281" t="s">
        <v>1</v>
      </c>
      <c r="Y49" s="282" t="s">
        <v>1</v>
      </c>
      <c r="Z49" s="278" cm="1">
        <f t="array" aca="1" ref="Z49" ca="1">INDIRECT("'"&amp;$C49&amp;"'!"&amp;"$"&amp;$D49&amp;$Z$1&amp;"")</f>
        <v>2.5</v>
      </c>
      <c r="AA49" s="281">
        <f>3.8*3.51</f>
        <v>13.337999999999999</v>
      </c>
      <c r="AB49" s="281">
        <v>0.93</v>
      </c>
      <c r="AC49" s="279">
        <v>0.91</v>
      </c>
      <c r="AD49" s="280" cm="1">
        <f t="array" aca="1" ref="AD49" ca="1">INDIRECT("'"&amp;$C49&amp;"'!"&amp;"$"&amp;$D49&amp;$AD$1&amp;"")</f>
        <v>1.3</v>
      </c>
      <c r="AE49" s="281">
        <v>13.34</v>
      </c>
      <c r="AF49" s="281">
        <v>0.93</v>
      </c>
      <c r="AG49" s="282">
        <v>0.64</v>
      </c>
      <c r="AH49" s="278" cm="1">
        <f t="array" aca="1" ref="AH49" ca="1">INDIRECT("'"&amp;$C49&amp;"'!"&amp;"$"&amp;$D49&amp;$AH$1&amp;"")</f>
        <v>3.8</v>
      </c>
      <c r="AI49" s="281">
        <v>14</v>
      </c>
      <c r="AJ49" s="281">
        <v>0.98</v>
      </c>
      <c r="AK49" s="279">
        <v>0.67800000000000005</v>
      </c>
      <c r="AL49" s="278">
        <v>11.6</v>
      </c>
      <c r="AM49" s="282">
        <v>70.5</v>
      </c>
      <c r="AN49" s="278" cm="1">
        <f t="array" aca="1" ref="AN49" ca="1">INDIRECT("'"&amp;$C49&amp;"'!"&amp;"$"&amp;$D49&amp;$AL$1&amp;"")</f>
        <v>0</v>
      </c>
      <c r="AO49" s="281" t="s">
        <v>1</v>
      </c>
      <c r="AP49" s="279" t="s">
        <v>1</v>
      </c>
      <c r="AQ49" s="280" cm="1">
        <f t="array" aca="1" ref="AQ49" ca="1">INDIRECT("'"&amp;$C49&amp;"'!"&amp;"$"&amp;$D49&amp;$AQ$1&amp;"")</f>
        <v>3.8</v>
      </c>
      <c r="AR49" s="281">
        <v>0.99</v>
      </c>
      <c r="AS49" s="279">
        <v>0.55000000000000004</v>
      </c>
      <c r="AT49" s="278">
        <v>14</v>
      </c>
      <c r="AU49" s="282">
        <v>70.5</v>
      </c>
      <c r="AV49" s="281" cm="1">
        <f t="array" aca="1" ref="AV49" ca="1">INDIRECT("'"&amp;$C49&amp;"'!"&amp;"$"&amp;$D49&amp;$AV$1&amp;"")</f>
        <v>0</v>
      </c>
      <c r="AW49" s="280">
        <v>13.7</v>
      </c>
      <c r="AX49" s="281" t="s">
        <v>1</v>
      </c>
      <c r="AY49" s="279" t="s">
        <v>1</v>
      </c>
      <c r="AZ49" s="281" cm="1">
        <f t="array" aca="1" ref="AZ49" ca="1">INDIRECT("'"&amp;$C49&amp;"'!"&amp;"$"&amp;$D49&amp;$AZ$1&amp;"")</f>
        <v>7</v>
      </c>
      <c r="BA49" s="280">
        <v>13.7</v>
      </c>
      <c r="BB49" s="281">
        <v>0.94</v>
      </c>
      <c r="BC49" s="279">
        <v>2.5</v>
      </c>
      <c r="BD49" s="283">
        <v>14.09</v>
      </c>
      <c r="BE49" s="282">
        <v>71.25</v>
      </c>
      <c r="BF49" s="283" cm="1">
        <f t="array" aca="1" ref="BF49" ca="1">INDIRECT("'"&amp;$C49&amp;"'!"&amp;"$"&amp;$D49&amp;$BF$1&amp;"")</f>
        <v>14.29</v>
      </c>
      <c r="BG49" s="281">
        <v>0.99</v>
      </c>
      <c r="BH49" s="279">
        <v>2.2999999999999998</v>
      </c>
      <c r="BI49" s="284">
        <v>67.599999999999994</v>
      </c>
      <c r="BJ49" s="278" cm="1">
        <f t="array" aca="1" ref="BJ49" ca="1">INDIRECT("'"&amp;$C49&amp;"'!"&amp;"$"&amp;$D49&amp;$BI$1&amp;"")</f>
        <v>0</v>
      </c>
      <c r="BK49" s="280" t="s">
        <v>1</v>
      </c>
      <c r="BL49" s="279" t="s">
        <v>1</v>
      </c>
      <c r="BM49" s="283" cm="1">
        <f t="array" aca="1" ref="BM49" ca="1">INDIRECT("'"&amp;$C49&amp;"'!"&amp;"$"&amp;$D49&amp;$BM$1&amp;"")</f>
        <v>1.49</v>
      </c>
      <c r="BN49" s="281"/>
      <c r="BO49" s="281">
        <v>0.99</v>
      </c>
      <c r="BP49" s="279">
        <v>0.17</v>
      </c>
      <c r="BQ49" s="284" cm="1">
        <f t="array" aca="1" ref="BQ49" ca="1">INDIRECT("'"&amp;$C49&amp;"'!"&amp;"$"&amp;$D49&amp;$BQ$1&amp;"")</f>
        <v>0.95</v>
      </c>
      <c r="BR49" s="281"/>
      <c r="BS49" s="281">
        <v>0.97</v>
      </c>
      <c r="BT49" s="279">
        <v>0.24</v>
      </c>
      <c r="BU49" s="284" cm="1">
        <f t="array" aca="1" ref="BU49" ca="1">INDIRECT("'"&amp;$C49&amp;"'!"&amp;"$"&amp;$D49&amp;74&amp;"")</f>
        <v>0</v>
      </c>
      <c r="BV49" s="281"/>
      <c r="BW49" s="281" t="s">
        <v>1</v>
      </c>
      <c r="BX49" s="279" t="s">
        <v>1</v>
      </c>
    </row>
    <row r="50" spans="1:76">
      <c r="A50" s="459">
        <v>45840</v>
      </c>
      <c r="B50" s="345">
        <v>0.83333333333333337</v>
      </c>
      <c r="C50" s="305">
        <v>2</v>
      </c>
      <c r="D50" s="306" t="s">
        <v>162</v>
      </c>
      <c r="E50" s="285">
        <v>14</v>
      </c>
      <c r="F50" s="286">
        <v>69.39</v>
      </c>
      <c r="G50" s="287" t="str" cm="1">
        <f t="array" aca="1" ref="G50" ca="1">INDIRECT("'"&amp;$C50&amp;"'!"&amp;"$"&amp;$D50&amp;$E$1&amp;"")</f>
        <v>CMS</v>
      </c>
      <c r="H50" s="288" t="s">
        <v>1</v>
      </c>
      <c r="I50" s="286" t="s">
        <v>1</v>
      </c>
      <c r="J50" s="287" cm="1">
        <f t="array" aca="1" ref="J50" ca="1">INDIRECT("'"&amp;$C50&amp;"'!"&amp;"$"&amp;$D50&amp;$J$1&amp;"")</f>
        <v>6.7</v>
      </c>
      <c r="K50" s="288"/>
      <c r="L50" s="288">
        <v>0.96</v>
      </c>
      <c r="M50" s="289">
        <v>1.92</v>
      </c>
      <c r="N50" s="285" cm="1">
        <f t="array" aca="1" ref="N50" ca="1">INDIRECT("'"&amp;$C50&amp;"'!"&amp;"$"&amp;$D50&amp;$N$1&amp;"")</f>
        <v>6.7</v>
      </c>
      <c r="O50" s="288"/>
      <c r="P50" s="288">
        <v>0.96</v>
      </c>
      <c r="Q50" s="286">
        <v>1.92</v>
      </c>
      <c r="R50" s="285" cm="1">
        <f t="array" aca="1" ref="R50" ca="1">INDIRECT("'"&amp;$C50&amp;"'!"&amp;"$"&amp;$D50&amp;$R$1&amp;"")</f>
        <v>6.7</v>
      </c>
      <c r="S50" s="288"/>
      <c r="T50" s="288">
        <v>0.96</v>
      </c>
      <c r="U50" s="286">
        <v>1.92</v>
      </c>
      <c r="V50" s="287" t="str" cm="1">
        <f t="array" aca="1" ref="V50" ca="1">INDIRECT("'"&amp;$C50&amp;"'!"&amp;"$"&amp;$D50&amp;$V$1&amp;"")</f>
        <v>CMS</v>
      </c>
      <c r="W50" s="288" t="s">
        <v>1</v>
      </c>
      <c r="X50" s="288" t="s">
        <v>1</v>
      </c>
      <c r="Y50" s="289" t="s">
        <v>1</v>
      </c>
      <c r="Z50" s="285" cm="1">
        <f t="array" aca="1" ref="Z50" ca="1">INDIRECT("'"&amp;$C50&amp;"'!"&amp;"$"&amp;$D50&amp;$Z$1&amp;"")</f>
        <v>2.5</v>
      </c>
      <c r="AA50" s="288">
        <f>3.8*3.54</f>
        <v>13.452</v>
      </c>
      <c r="AB50" s="288">
        <v>0.93</v>
      </c>
      <c r="AC50" s="286">
        <v>0.89</v>
      </c>
      <c r="AD50" s="287" cm="1">
        <f t="array" aca="1" ref="AD50" ca="1">INDIRECT("'"&amp;$C50&amp;"'!"&amp;"$"&amp;$D50&amp;$AD$1&amp;"")</f>
        <v>0.5</v>
      </c>
      <c r="AE50" s="288">
        <v>13.45</v>
      </c>
      <c r="AF50" s="288">
        <v>0.99</v>
      </c>
      <c r="AG50" s="289">
        <v>0.11</v>
      </c>
      <c r="AH50" s="285" cm="1">
        <f t="array" aca="1" ref="AH50" ca="1">INDIRECT("'"&amp;$C50&amp;"'!"&amp;"$"&amp;$D50&amp;$AH$1&amp;"")</f>
        <v>3</v>
      </c>
      <c r="AI50" s="288">
        <v>14</v>
      </c>
      <c r="AJ50" s="288">
        <v>0.98</v>
      </c>
      <c r="AK50" s="286">
        <v>0.45100000000000001</v>
      </c>
      <c r="AL50" s="285">
        <v>11.6</v>
      </c>
      <c r="AM50" s="289">
        <v>70.599999999999994</v>
      </c>
      <c r="AN50" s="285" cm="1">
        <f t="array" aca="1" ref="AN50" ca="1">INDIRECT("'"&amp;$C50&amp;"'!"&amp;"$"&amp;$D50&amp;$AL$1&amp;"")</f>
        <v>0</v>
      </c>
      <c r="AO50" s="288" t="s">
        <v>1</v>
      </c>
      <c r="AP50" s="286" t="s">
        <v>1</v>
      </c>
      <c r="AQ50" s="287" cm="1">
        <f t="array" aca="1" ref="AQ50" ca="1">INDIRECT("'"&amp;$C50&amp;"'!"&amp;"$"&amp;$D50&amp;$AQ$1&amp;"")</f>
        <v>3</v>
      </c>
      <c r="AR50" s="288">
        <v>0.96</v>
      </c>
      <c r="AS50" s="286">
        <v>0.83</v>
      </c>
      <c r="AT50" s="285">
        <v>14</v>
      </c>
      <c r="AU50" s="289">
        <v>70.5</v>
      </c>
      <c r="AV50" s="288" cm="1">
        <f t="array" aca="1" ref="AV50" ca="1">INDIRECT("'"&amp;$C50&amp;"'!"&amp;"$"&amp;$D50&amp;$AV$1&amp;"")</f>
        <v>0</v>
      </c>
      <c r="AW50" s="287" t="s">
        <v>1</v>
      </c>
      <c r="AX50" s="288" t="s">
        <v>1</v>
      </c>
      <c r="AY50" s="286" t="s">
        <v>1</v>
      </c>
      <c r="AZ50" s="288" cm="1">
        <f t="array" aca="1" ref="AZ50" ca="1">INDIRECT("'"&amp;$C50&amp;"'!"&amp;"$"&amp;$D50&amp;$AZ$1&amp;"")</f>
        <v>6.5</v>
      </c>
      <c r="BA50" s="287" t="s">
        <v>1</v>
      </c>
      <c r="BB50" s="288">
        <v>0.98</v>
      </c>
      <c r="BC50" s="286">
        <v>2</v>
      </c>
      <c r="BD50" s="290">
        <v>14.12</v>
      </c>
      <c r="BE50" s="289">
        <v>71.42</v>
      </c>
      <c r="BF50" s="290" cm="1">
        <f t="array" aca="1" ref="BF50" ca="1">INDIRECT("'"&amp;$C50&amp;"'!"&amp;"$"&amp;$D50&amp;$BF$1&amp;"")</f>
        <v>14.32</v>
      </c>
      <c r="BG50" s="288">
        <v>0.99</v>
      </c>
      <c r="BH50" s="286">
        <v>2.2999999999999998</v>
      </c>
      <c r="BI50" s="291">
        <v>68.099999999999994</v>
      </c>
      <c r="BJ50" s="285" cm="1">
        <f t="array" aca="1" ref="BJ50" ca="1">INDIRECT("'"&amp;$C50&amp;"'!"&amp;"$"&amp;$D50&amp;$BI$1&amp;"")</f>
        <v>0</v>
      </c>
      <c r="BK50" s="287" t="s">
        <v>1</v>
      </c>
      <c r="BL50" s="286" t="s">
        <v>1</v>
      </c>
      <c r="BM50" s="290" cm="1">
        <f t="array" aca="1" ref="BM50" ca="1">INDIRECT("'"&amp;$C50&amp;"'!"&amp;"$"&amp;$D50&amp;$BM$1&amp;"")</f>
        <v>1.52</v>
      </c>
      <c r="BN50" s="288"/>
      <c r="BO50" s="288">
        <v>0.99</v>
      </c>
      <c r="BP50" s="286">
        <v>0.16</v>
      </c>
      <c r="BQ50" s="291" cm="1">
        <f t="array" aca="1" ref="BQ50" ca="1">INDIRECT("'"&amp;$C50&amp;"'!"&amp;"$"&amp;$D50&amp;$BQ$1&amp;"")</f>
        <v>1.01</v>
      </c>
      <c r="BR50" s="288"/>
      <c r="BS50" s="288">
        <v>0.97</v>
      </c>
      <c r="BT50" s="286">
        <v>0.25</v>
      </c>
      <c r="BU50" s="291" cm="1">
        <f t="array" aca="1" ref="BU50" ca="1">INDIRECT("'"&amp;$C50&amp;"'!"&amp;"$"&amp;$D50&amp;74&amp;"")</f>
        <v>0</v>
      </c>
      <c r="BV50" s="288"/>
      <c r="BW50" s="288" t="s">
        <v>1</v>
      </c>
      <c r="BX50" s="286" t="s">
        <v>1</v>
      </c>
    </row>
    <row r="51" spans="1:76">
      <c r="A51" s="459">
        <v>45840</v>
      </c>
      <c r="B51" s="345">
        <v>0.875000000000001</v>
      </c>
      <c r="C51" s="305">
        <v>2</v>
      </c>
      <c r="D51" s="306" t="s">
        <v>163</v>
      </c>
      <c r="E51" s="278">
        <v>13.9</v>
      </c>
      <c r="F51" s="279">
        <v>69.7</v>
      </c>
      <c r="G51" s="280" t="str" cm="1">
        <f t="array" aca="1" ref="G51" ca="1">INDIRECT("'"&amp;$C51&amp;"'!"&amp;"$"&amp;$D51&amp;$E$1&amp;"")</f>
        <v>CMS</v>
      </c>
      <c r="H51" s="281" t="s">
        <v>1</v>
      </c>
      <c r="I51" s="279" t="s">
        <v>1</v>
      </c>
      <c r="J51" s="280" cm="1">
        <f t="array" aca="1" ref="J51" ca="1">INDIRECT("'"&amp;$C51&amp;"'!"&amp;"$"&amp;$D51&amp;$J$1&amp;"")</f>
        <v>6.5</v>
      </c>
      <c r="K51" s="281"/>
      <c r="L51" s="281">
        <v>0.98</v>
      </c>
      <c r="M51" s="282">
        <v>1.23</v>
      </c>
      <c r="N51" s="278" cm="1">
        <f t="array" aca="1" ref="N51" ca="1">INDIRECT("'"&amp;$C51&amp;"'!"&amp;"$"&amp;$D51&amp;$N$1&amp;"")</f>
        <v>6.5</v>
      </c>
      <c r="O51" s="281"/>
      <c r="P51" s="281">
        <v>0.98</v>
      </c>
      <c r="Q51" s="279">
        <v>1.23</v>
      </c>
      <c r="R51" s="468" cm="1">
        <f t="array" aca="1" ref="R51" ca="1">INDIRECT("'"&amp;$C51&amp;"'!"&amp;"$"&amp;$D51&amp;$R$1&amp;"")</f>
        <v>6.5</v>
      </c>
      <c r="S51" s="281"/>
      <c r="T51" s="281">
        <v>0.98</v>
      </c>
      <c r="U51" s="279">
        <v>1.23</v>
      </c>
      <c r="V51" s="280" t="str" cm="1">
        <f t="array" aca="1" ref="V51" ca="1">INDIRECT("'"&amp;$C51&amp;"'!"&amp;"$"&amp;$D51&amp;$V$1&amp;"")</f>
        <v>CMS</v>
      </c>
      <c r="W51" s="281" t="s">
        <v>1</v>
      </c>
      <c r="X51" s="281" t="s">
        <v>1</v>
      </c>
      <c r="Y51" s="282" t="s">
        <v>1</v>
      </c>
      <c r="Z51" s="278" cm="1">
        <f t="array" aca="1" ref="Z51" ca="1">INDIRECT("'"&amp;$C51&amp;"'!"&amp;"$"&amp;$D51&amp;$Z$1&amp;"")</f>
        <v>2.5</v>
      </c>
      <c r="AA51" s="281">
        <f>3.8*3.56</f>
        <v>13.527999999999999</v>
      </c>
      <c r="AB51" s="281">
        <v>0.97</v>
      </c>
      <c r="AC51" s="279">
        <v>0.57999999999999996</v>
      </c>
      <c r="AD51" s="280" cm="1">
        <f t="array" aca="1" ref="AD51" ca="1">INDIRECT("'"&amp;$C51&amp;"'!"&amp;"$"&amp;$D51&amp;$AD$1&amp;"")</f>
        <v>1.5</v>
      </c>
      <c r="AE51" s="281">
        <v>13.53</v>
      </c>
      <c r="AF51" s="281">
        <v>0.97</v>
      </c>
      <c r="AG51" s="282">
        <v>0.57999999999999996</v>
      </c>
      <c r="AH51" s="278" cm="1">
        <f t="array" aca="1" ref="AH51" ca="1">INDIRECT("'"&amp;$C51&amp;"'!"&amp;"$"&amp;$D51&amp;$AH$1&amp;"")</f>
        <v>0</v>
      </c>
      <c r="AI51" s="281" t="s">
        <v>1</v>
      </c>
      <c r="AJ51" s="281" t="s">
        <v>1</v>
      </c>
      <c r="AK51" s="279" t="s">
        <v>1</v>
      </c>
      <c r="AL51" s="278">
        <v>11.6</v>
      </c>
      <c r="AM51" s="282">
        <v>70.8</v>
      </c>
      <c r="AN51" s="278" cm="1">
        <f t="array" aca="1" ref="AN51" ca="1">INDIRECT("'"&amp;$C51&amp;"'!"&amp;"$"&amp;$D51&amp;$AL$1&amp;"")</f>
        <v>0</v>
      </c>
      <c r="AO51" s="281" t="s">
        <v>1</v>
      </c>
      <c r="AP51" s="279" t="s">
        <v>1</v>
      </c>
      <c r="AQ51" s="280" cm="1">
        <f t="array" aca="1" ref="AQ51" ca="1">INDIRECT("'"&amp;$C51&amp;"'!"&amp;"$"&amp;$D51&amp;$AQ$1&amp;"")</f>
        <v>3.3</v>
      </c>
      <c r="AR51" s="281">
        <v>0.96</v>
      </c>
      <c r="AS51" s="279">
        <v>0.83</v>
      </c>
      <c r="AT51" s="278">
        <v>13.9</v>
      </c>
      <c r="AU51" s="282">
        <v>70.400000000000006</v>
      </c>
      <c r="AV51" s="281" cm="1">
        <f t="array" aca="1" ref="AV51" ca="1">INDIRECT("'"&amp;$C51&amp;"'!"&amp;"$"&amp;$D51&amp;$AV$1&amp;"")</f>
        <v>0</v>
      </c>
      <c r="AW51" s="280" t="s">
        <v>1</v>
      </c>
      <c r="AX51" s="281" t="s">
        <v>1</v>
      </c>
      <c r="AY51" s="279" t="s">
        <v>1</v>
      </c>
      <c r="AZ51" s="281" cm="1">
        <f t="array" aca="1" ref="AZ51" ca="1">INDIRECT("'"&amp;$C51&amp;"'!"&amp;"$"&amp;$D51&amp;$AZ$1&amp;"")</f>
        <v>7</v>
      </c>
      <c r="BA51" s="280" t="s">
        <v>1</v>
      </c>
      <c r="BB51" s="281">
        <v>0.97</v>
      </c>
      <c r="BC51" s="279">
        <v>1.8</v>
      </c>
      <c r="BD51" s="283">
        <v>14.09</v>
      </c>
      <c r="BE51" s="282">
        <v>71.319999999999993</v>
      </c>
      <c r="BF51" s="283" cm="1">
        <f t="array" aca="1" ref="BF51" ca="1">INDIRECT("'"&amp;$C51&amp;"'!"&amp;"$"&amp;$D51&amp;$BF$1&amp;"")</f>
        <v>14.23</v>
      </c>
      <c r="BG51" s="281">
        <v>0.99</v>
      </c>
      <c r="BH51" s="279">
        <v>2.29</v>
      </c>
      <c r="BI51" s="284">
        <v>68.599999999999994</v>
      </c>
      <c r="BJ51" s="278" cm="1">
        <f t="array" aca="1" ref="BJ51" ca="1">INDIRECT("'"&amp;$C51&amp;"'!"&amp;"$"&amp;$D51&amp;$BI$1&amp;"")</f>
        <v>0</v>
      </c>
      <c r="BK51" s="280" t="s">
        <v>1</v>
      </c>
      <c r="BL51" s="279" t="s">
        <v>1</v>
      </c>
      <c r="BM51" s="283" cm="1">
        <f t="array" aca="1" ref="BM51" ca="1">INDIRECT("'"&amp;$C51&amp;"'!"&amp;"$"&amp;$D51&amp;$BM$1&amp;"")</f>
        <v>1.43</v>
      </c>
      <c r="BN51" s="281"/>
      <c r="BO51" s="281">
        <v>0.99</v>
      </c>
      <c r="BP51" s="279">
        <v>0.15</v>
      </c>
      <c r="BQ51" s="284" cm="1">
        <f t="array" aca="1" ref="BQ51" ca="1">INDIRECT("'"&amp;$C51&amp;"'!"&amp;"$"&amp;$D51&amp;$BQ$1&amp;"")</f>
        <v>0.96</v>
      </c>
      <c r="BR51" s="281"/>
      <c r="BS51" s="281">
        <v>0.97</v>
      </c>
      <c r="BT51" s="279">
        <v>0.24</v>
      </c>
      <c r="BU51" s="284" cm="1">
        <f t="array" aca="1" ref="BU51" ca="1">INDIRECT("'"&amp;$C51&amp;"'!"&amp;"$"&amp;$D51&amp;74&amp;"")</f>
        <v>0</v>
      </c>
      <c r="BV51" s="281"/>
      <c r="BW51" s="281" t="s">
        <v>1</v>
      </c>
      <c r="BX51" s="279" t="s">
        <v>1</v>
      </c>
    </row>
    <row r="52" spans="1:76">
      <c r="A52" s="459">
        <v>45840</v>
      </c>
      <c r="B52" s="345">
        <v>0.91666666666666696</v>
      </c>
      <c r="C52" s="305">
        <v>2</v>
      </c>
      <c r="D52" s="306" t="s">
        <v>164</v>
      </c>
      <c r="E52" s="285">
        <v>14</v>
      </c>
      <c r="F52" s="286">
        <v>70.22</v>
      </c>
      <c r="G52" s="287" t="str" cm="1">
        <f t="array" aca="1" ref="G52" ca="1">INDIRECT("'"&amp;$C52&amp;"'!"&amp;"$"&amp;$D52&amp;$E$1&amp;"")</f>
        <v>CMS</v>
      </c>
      <c r="H52" s="288" t="s">
        <v>1</v>
      </c>
      <c r="I52" s="286" t="s">
        <v>1</v>
      </c>
      <c r="J52" s="287" cm="1">
        <f t="array" aca="1" ref="J52" ca="1">INDIRECT("'"&amp;$C52&amp;"'!"&amp;"$"&amp;$D52&amp;$J$1&amp;"")</f>
        <v>6.4</v>
      </c>
      <c r="K52" s="288"/>
      <c r="L52" s="288">
        <v>0.98</v>
      </c>
      <c r="M52" s="289">
        <v>1.2</v>
      </c>
      <c r="N52" s="285" cm="1">
        <f t="array" aca="1" ref="N52" ca="1">INDIRECT("'"&amp;$C52&amp;"'!"&amp;"$"&amp;$D52&amp;$N$1&amp;"")</f>
        <v>6.4</v>
      </c>
      <c r="O52" s="288"/>
      <c r="P52" s="288">
        <v>0.98</v>
      </c>
      <c r="Q52" s="286">
        <v>1.2</v>
      </c>
      <c r="R52" s="285" cm="1">
        <f t="array" aca="1" ref="R52" ca="1">INDIRECT("'"&amp;$C52&amp;"'!"&amp;"$"&amp;$D52&amp;$R$1&amp;"")</f>
        <v>6.4</v>
      </c>
      <c r="S52" s="288"/>
      <c r="T52" s="288">
        <v>0.98</v>
      </c>
      <c r="U52" s="286">
        <v>1.2</v>
      </c>
      <c r="V52" s="287" t="str" cm="1">
        <f t="array" aca="1" ref="V52" ca="1">INDIRECT("'"&amp;$C52&amp;"'!"&amp;"$"&amp;$D52&amp;$V$1&amp;"")</f>
        <v>CMS</v>
      </c>
      <c r="W52" s="288" t="s">
        <v>1</v>
      </c>
      <c r="X52" s="288" t="s">
        <v>1</v>
      </c>
      <c r="Y52" s="289" t="s">
        <v>1</v>
      </c>
      <c r="Z52" s="285" t="str" cm="1">
        <f t="array" aca="1" ref="Z52" ca="1">INDIRECT("'"&amp;$C52&amp;"'!"&amp;"$"&amp;$D52&amp;$Z$1&amp;"")</f>
        <v>CMS</v>
      </c>
      <c r="AA52" s="288" t="s">
        <v>1</v>
      </c>
      <c r="AB52" s="288" t="s">
        <v>1</v>
      </c>
      <c r="AC52" s="286" t="s">
        <v>1</v>
      </c>
      <c r="AD52" s="287" cm="1">
        <f t="array" aca="1" ref="AD52" ca="1">INDIRECT("'"&amp;$C52&amp;"'!"&amp;"$"&amp;$D52&amp;$AD$1&amp;"")</f>
        <v>3</v>
      </c>
      <c r="AE52" s="288">
        <f>3.61*3.8</f>
        <v>13.717999999999998</v>
      </c>
      <c r="AF52" s="288">
        <v>0.98</v>
      </c>
      <c r="AG52" s="289">
        <v>0.52</v>
      </c>
      <c r="AH52" s="285" cm="1">
        <f t="array" aca="1" ref="AH52" ca="1">INDIRECT("'"&amp;$C52&amp;"'!"&amp;"$"&amp;$D52&amp;$AH$1&amp;"")</f>
        <v>0</v>
      </c>
      <c r="AI52" s="288" t="s">
        <v>1</v>
      </c>
      <c r="AJ52" s="288" t="s">
        <v>1</v>
      </c>
      <c r="AK52" s="286" t="s">
        <v>1</v>
      </c>
      <c r="AL52" s="285">
        <v>11.5</v>
      </c>
      <c r="AM52" s="289">
        <v>71</v>
      </c>
      <c r="AN52" s="285" cm="1">
        <f t="array" aca="1" ref="AN52" ca="1">INDIRECT("'"&amp;$C52&amp;"'!"&amp;"$"&amp;$D52&amp;$AL$1&amp;"")</f>
        <v>0</v>
      </c>
      <c r="AO52" s="288" t="s">
        <v>1</v>
      </c>
      <c r="AP52" s="286" t="s">
        <v>1</v>
      </c>
      <c r="AQ52" s="287" cm="1">
        <f t="array" aca="1" ref="AQ52" ca="1">INDIRECT("'"&amp;$C52&amp;"'!"&amp;"$"&amp;$D52&amp;$AQ$1&amp;"")</f>
        <v>1.5</v>
      </c>
      <c r="AR52" s="288">
        <v>0.99</v>
      </c>
      <c r="AS52" s="286">
        <v>0.1</v>
      </c>
      <c r="AT52" s="285">
        <v>13.94</v>
      </c>
      <c r="AU52" s="289">
        <v>70.3</v>
      </c>
      <c r="AV52" s="288" cm="1">
        <f t="array" aca="1" ref="AV52" ca="1">INDIRECT("'"&amp;$C52&amp;"'!"&amp;"$"&amp;$D52&amp;$AV$1&amp;"")</f>
        <v>0</v>
      </c>
      <c r="AW52" s="287" t="s">
        <v>1</v>
      </c>
      <c r="AX52" s="288" t="s">
        <v>1</v>
      </c>
      <c r="AY52" s="286" t="s">
        <v>1</v>
      </c>
      <c r="AZ52" s="288" cm="1">
        <f t="array" aca="1" ref="AZ52" ca="1">INDIRECT("'"&amp;$C52&amp;"'!"&amp;"$"&amp;$D52&amp;$AZ$1&amp;"")</f>
        <v>6</v>
      </c>
      <c r="BA52" s="287" t="s">
        <v>1</v>
      </c>
      <c r="BB52" s="288">
        <v>0.96</v>
      </c>
      <c r="BC52" s="286">
        <v>1.6</v>
      </c>
      <c r="BD52" s="290">
        <v>14.15</v>
      </c>
      <c r="BE52" s="289">
        <v>71.650000000000006</v>
      </c>
      <c r="BF52" s="290" cm="1">
        <f t="array" aca="1" ref="BF52" ca="1">INDIRECT("'"&amp;$C52&amp;"'!"&amp;"$"&amp;$D52&amp;$BF$1&amp;"")</f>
        <v>14.21</v>
      </c>
      <c r="BG52" s="288">
        <v>0.99</v>
      </c>
      <c r="BH52" s="286">
        <v>2.34</v>
      </c>
      <c r="BI52" s="291">
        <v>69.099999999999994</v>
      </c>
      <c r="BJ52" s="285" cm="1">
        <f t="array" aca="1" ref="BJ52" ca="1">INDIRECT("'"&amp;$C52&amp;"'!"&amp;"$"&amp;$D52&amp;$BI$1&amp;"")</f>
        <v>0</v>
      </c>
      <c r="BK52" s="287" t="s">
        <v>1</v>
      </c>
      <c r="BL52" s="286" t="s">
        <v>1</v>
      </c>
      <c r="BM52" s="290" cm="1">
        <f t="array" aca="1" ref="BM52" ca="1">INDIRECT("'"&amp;$C52&amp;"'!"&amp;"$"&amp;$D52&amp;$BM$1&amp;"")</f>
        <v>1.19</v>
      </c>
      <c r="BN52" s="288"/>
      <c r="BO52" s="288">
        <v>0.99</v>
      </c>
      <c r="BP52" s="286">
        <v>0.14000000000000001</v>
      </c>
      <c r="BQ52" s="291" cm="1">
        <f t="array" aca="1" ref="BQ52" ca="1">INDIRECT("'"&amp;$C52&amp;"'!"&amp;"$"&amp;$D52&amp;$BQ$1&amp;"")</f>
        <v>0.92</v>
      </c>
      <c r="BR52" s="288"/>
      <c r="BS52" s="288">
        <v>0.97</v>
      </c>
      <c r="BT52" s="286">
        <v>0.23</v>
      </c>
      <c r="BU52" s="291" cm="1">
        <f t="array" aca="1" ref="BU52" ca="1">INDIRECT("'"&amp;$C52&amp;"'!"&amp;"$"&amp;$D52&amp;74&amp;"")</f>
        <v>0</v>
      </c>
      <c r="BV52" s="288"/>
      <c r="BW52" s="288" t="s">
        <v>1</v>
      </c>
      <c r="BX52" s="286" t="s">
        <v>1</v>
      </c>
    </row>
    <row r="53" spans="1:76" ht="14.45" thickBot="1">
      <c r="A53" s="460">
        <v>45840</v>
      </c>
      <c r="B53" s="346">
        <v>0.95833333333333404</v>
      </c>
      <c r="C53" s="307">
        <v>2</v>
      </c>
      <c r="D53" s="308" t="s">
        <v>165</v>
      </c>
      <c r="E53" s="293">
        <v>14</v>
      </c>
      <c r="F53" s="294">
        <v>70.11</v>
      </c>
      <c r="G53" s="295" t="str" cm="1">
        <f t="array" aca="1" ref="G53" ca="1">INDIRECT("'"&amp;$C53&amp;"'!"&amp;"$"&amp;$D53&amp;$E$1&amp;"")</f>
        <v>CMS</v>
      </c>
      <c r="H53" s="296" t="s">
        <v>1</v>
      </c>
      <c r="I53" s="294" t="s">
        <v>1</v>
      </c>
      <c r="J53" s="295" cm="1">
        <f t="array" aca="1" ref="J53" ca="1">INDIRECT("'"&amp;$C53&amp;"'!"&amp;"$"&amp;$D53&amp;$J$1&amp;"")</f>
        <v>3</v>
      </c>
      <c r="K53" s="296"/>
      <c r="L53" s="296">
        <v>0.99</v>
      </c>
      <c r="M53" s="297">
        <v>0.49</v>
      </c>
      <c r="N53" s="293" cm="1">
        <f t="array" aca="1" ref="N53" ca="1">INDIRECT("'"&amp;$C53&amp;"'!"&amp;"$"&amp;$D53&amp;$N$1&amp;"")</f>
        <v>6.6</v>
      </c>
      <c r="O53" s="296"/>
      <c r="P53" s="296">
        <v>0.99</v>
      </c>
      <c r="Q53" s="294">
        <v>1.25</v>
      </c>
      <c r="R53" s="470" cm="1">
        <f t="array" aca="1" ref="R53" ca="1">INDIRECT("'"&amp;$C53&amp;"'!"&amp;"$"&amp;$D53&amp;$R$1&amp;"")</f>
        <v>6.6</v>
      </c>
      <c r="S53" s="296"/>
      <c r="T53" s="296">
        <v>0.99</v>
      </c>
      <c r="U53" s="294">
        <v>1</v>
      </c>
      <c r="V53" s="295" t="str" cm="1">
        <f t="array" aca="1" ref="V53" ca="1">INDIRECT("'"&amp;$C53&amp;"'!"&amp;"$"&amp;$D53&amp;$V$1&amp;"")</f>
        <v>CMS</v>
      </c>
      <c r="W53" s="296" t="s">
        <v>1</v>
      </c>
      <c r="X53" s="296" t="s">
        <v>1</v>
      </c>
      <c r="Y53" s="297" t="s">
        <v>1</v>
      </c>
      <c r="Z53" s="293" t="str" cm="1">
        <f t="array" aca="1" ref="Z53" ca="1">INDIRECT("'"&amp;$C53&amp;"'!"&amp;"$"&amp;$D53&amp;$Z$1&amp;"")</f>
        <v>CMS</v>
      </c>
      <c r="AA53" s="296" t="s">
        <v>1</v>
      </c>
      <c r="AB53" s="296" t="s">
        <v>1</v>
      </c>
      <c r="AC53" s="294" t="s">
        <v>1</v>
      </c>
      <c r="AD53" s="295" cm="1">
        <f t="array" aca="1" ref="AD53" ca="1">INDIRECT("'"&amp;$C53&amp;"'!"&amp;"$"&amp;$D53&amp;$AD$1&amp;"")</f>
        <v>3.8</v>
      </c>
      <c r="AE53" s="296">
        <f>3.62*3.8</f>
        <v>13.756</v>
      </c>
      <c r="AF53" s="296">
        <v>0.98</v>
      </c>
      <c r="AG53" s="297">
        <v>0.71</v>
      </c>
      <c r="AH53" s="293" cm="1">
        <f t="array" aca="1" ref="AH53" ca="1">INDIRECT("'"&amp;$C53&amp;"'!"&amp;"$"&amp;$D53&amp;$AH$1&amp;"")</f>
        <v>0</v>
      </c>
      <c r="AI53" s="296" t="s">
        <v>1</v>
      </c>
      <c r="AJ53" s="296" t="s">
        <v>1</v>
      </c>
      <c r="AK53" s="294" t="s">
        <v>1</v>
      </c>
      <c r="AL53" s="293">
        <v>11.6</v>
      </c>
      <c r="AM53" s="297">
        <v>70.5</v>
      </c>
      <c r="AN53" s="293" cm="1">
        <f t="array" aca="1" ref="AN53" ca="1">INDIRECT("'"&amp;$C53&amp;"'!"&amp;"$"&amp;$D53&amp;$AL$1&amp;"")</f>
        <v>0</v>
      </c>
      <c r="AO53" s="296" t="s">
        <v>1</v>
      </c>
      <c r="AP53" s="294" t="s">
        <v>1</v>
      </c>
      <c r="AQ53" s="295" cm="1">
        <f t="array" aca="1" ref="AQ53" ca="1">INDIRECT("'"&amp;$C53&amp;"'!"&amp;"$"&amp;$D53&amp;$AQ$1&amp;"")</f>
        <v>4.2</v>
      </c>
      <c r="AR53" s="296">
        <v>0.98</v>
      </c>
      <c r="AS53" s="294">
        <v>0.82</v>
      </c>
      <c r="AT53" s="293">
        <v>13.88</v>
      </c>
      <c r="AU53" s="297">
        <v>70.3</v>
      </c>
      <c r="AV53" s="296" cm="1">
        <f t="array" aca="1" ref="AV53" ca="1">INDIRECT("'"&amp;$C53&amp;"'!"&amp;"$"&amp;$D53&amp;$AV$1&amp;"")</f>
        <v>0</v>
      </c>
      <c r="AW53" s="295" t="s">
        <v>1</v>
      </c>
      <c r="AX53" s="296" t="s">
        <v>1</v>
      </c>
      <c r="AY53" s="294" t="s">
        <v>1</v>
      </c>
      <c r="AZ53" s="296" cm="1">
        <f t="array" aca="1" ref="AZ53" ca="1">INDIRECT("'"&amp;$C53&amp;"'!"&amp;"$"&amp;$D53&amp;$AZ$1&amp;"")</f>
        <v>0.9</v>
      </c>
      <c r="BA53" s="295" t="s">
        <v>1</v>
      </c>
      <c r="BB53" s="296">
        <v>0.78</v>
      </c>
      <c r="BC53" s="294">
        <v>0.76</v>
      </c>
      <c r="BD53" s="298">
        <v>14.21</v>
      </c>
      <c r="BE53" s="297">
        <v>71.95</v>
      </c>
      <c r="BF53" s="298" cm="1">
        <f t="array" aca="1" ref="BF53" ca="1">INDIRECT("'"&amp;$C53&amp;"'!"&amp;"$"&amp;$D53&amp;$BF$1&amp;"")</f>
        <v>14.22</v>
      </c>
      <c r="BG53" s="296">
        <v>0.99</v>
      </c>
      <c r="BH53" s="294">
        <v>2.34</v>
      </c>
      <c r="BI53" s="299">
        <v>69.2</v>
      </c>
      <c r="BJ53" s="293" cm="1">
        <f t="array" aca="1" ref="BJ53" ca="1">INDIRECT("'"&amp;$C53&amp;"'!"&amp;"$"&amp;$D53&amp;$BI$1&amp;"")</f>
        <v>0</v>
      </c>
      <c r="BK53" s="295" t="s">
        <v>1</v>
      </c>
      <c r="BL53" s="294" t="s">
        <v>1</v>
      </c>
      <c r="BM53" s="298" cm="1">
        <f t="array" aca="1" ref="BM53" ca="1">INDIRECT("'"&amp;$C53&amp;"'!"&amp;"$"&amp;$D53&amp;$BM$1&amp;"")</f>
        <v>1</v>
      </c>
      <c r="BN53" s="296"/>
      <c r="BO53" s="296">
        <v>0.99</v>
      </c>
      <c r="BP53" s="294">
        <v>0.13</v>
      </c>
      <c r="BQ53" s="299" cm="1">
        <f t="array" aca="1" ref="BQ53" ca="1">INDIRECT("'"&amp;$C53&amp;"'!"&amp;"$"&amp;$D53&amp;$BQ$1&amp;"")</f>
        <v>0.85</v>
      </c>
      <c r="BR53" s="296"/>
      <c r="BS53" s="296">
        <v>0.97</v>
      </c>
      <c r="BT53" s="294">
        <v>0.22</v>
      </c>
      <c r="BU53" s="299" cm="1">
        <f t="array" aca="1" ref="BU53" ca="1">INDIRECT("'"&amp;$C53&amp;"'!"&amp;"$"&amp;$D53&amp;74&amp;"")</f>
        <v>0</v>
      </c>
      <c r="BV53" s="296"/>
      <c r="BW53" s="296" t="s">
        <v>1</v>
      </c>
      <c r="BX53" s="294" t="s">
        <v>1</v>
      </c>
    </row>
    <row r="54" spans="1:76" ht="14.45" thickBot="1"/>
    <row r="55" spans="1:76">
      <c r="A55" s="347">
        <v>45841</v>
      </c>
      <c r="B55" s="344">
        <v>0</v>
      </c>
      <c r="C55" s="302">
        <v>3</v>
      </c>
      <c r="D55" s="303" t="s">
        <v>142</v>
      </c>
      <c r="E55" s="272">
        <v>14</v>
      </c>
      <c r="F55" s="273">
        <v>70.180000000000007</v>
      </c>
      <c r="G55" s="274" t="str" cm="1">
        <f t="array" aca="1" ref="G55" ca="1">INDIRECT("'"&amp;$C55&amp;"'!"&amp;"$"&amp;$D55&amp;$E$1&amp;"")</f>
        <v>CMS</v>
      </c>
      <c r="H55" s="275" t="s">
        <v>1</v>
      </c>
      <c r="I55" s="273" t="s">
        <v>1</v>
      </c>
      <c r="J55" s="274" t="str" cm="1">
        <f t="array" aca="1" ref="J55" ca="1">INDIRECT("'"&amp;$C55&amp;"'!"&amp;"$"&amp;$D55&amp;$J$1&amp;"")</f>
        <v>CMS</v>
      </c>
      <c r="K55" s="275"/>
      <c r="L55" s="275" t="s">
        <v>1</v>
      </c>
      <c r="M55" s="276" t="s">
        <v>1</v>
      </c>
      <c r="N55" s="272" cm="1">
        <f t="array" aca="1" ref="N55" ca="1">INDIRECT("'"&amp;$C55&amp;"'!"&amp;"$"&amp;$D55&amp;$N$1&amp;"")</f>
        <v>6.7</v>
      </c>
      <c r="O55" s="275"/>
      <c r="P55" s="275">
        <v>0.99</v>
      </c>
      <c r="Q55" s="273">
        <v>1.08</v>
      </c>
      <c r="R55" s="467" cm="1">
        <f t="array" aca="1" ref="R55" ca="1">INDIRECT("'"&amp;$C55&amp;"'!"&amp;"$"&amp;$D55&amp;$R$1&amp;"")</f>
        <v>6.7</v>
      </c>
      <c r="S55" s="275"/>
      <c r="T55" s="275">
        <v>0.99</v>
      </c>
      <c r="U55" s="273">
        <v>1.08</v>
      </c>
      <c r="V55" s="274" t="str" cm="1">
        <f t="array" aca="1" ref="V55" ca="1">INDIRECT("'"&amp;$C55&amp;"'!"&amp;"$"&amp;$D55&amp;$V$1&amp;"")</f>
        <v>CMS</v>
      </c>
      <c r="W55" s="275" t="s">
        <v>1</v>
      </c>
      <c r="X55" s="275" t="s">
        <v>1</v>
      </c>
      <c r="Y55" s="276" t="s">
        <v>1</v>
      </c>
      <c r="Z55" s="272" t="str" cm="1">
        <f t="array" aca="1" ref="Z55" ca="1">INDIRECT("'"&amp;$C55&amp;"'!"&amp;"$"&amp;$D55&amp;$Z$1&amp;"")</f>
        <v>CMS</v>
      </c>
      <c r="AA55" s="275" t="s">
        <v>1</v>
      </c>
      <c r="AB55" s="275" t="s">
        <v>1</v>
      </c>
      <c r="AC55" s="273" t="s">
        <v>1</v>
      </c>
      <c r="AD55" s="274" cm="1">
        <f t="array" aca="1" ref="AD55" ca="1">INDIRECT("'"&amp;$C55&amp;"'!"&amp;"$"&amp;$D55&amp;$AD$1&amp;"")</f>
        <v>3</v>
      </c>
      <c r="AE55" s="275">
        <f>3.62*3.8</f>
        <v>13.756</v>
      </c>
      <c r="AF55" s="275">
        <v>0.99</v>
      </c>
      <c r="AG55" s="273">
        <v>0.14000000000000001</v>
      </c>
      <c r="AH55" s="272" cm="1">
        <f t="array" aca="1" ref="AH55" ca="1">INDIRECT("'"&amp;$C55&amp;"'!"&amp;"$"&amp;$D55&amp;$AH$1&amp;"")</f>
        <v>0</v>
      </c>
      <c r="AI55" s="275" t="s">
        <v>1</v>
      </c>
      <c r="AJ55" s="275" t="s">
        <v>1</v>
      </c>
      <c r="AK55" s="273" t="s">
        <v>1</v>
      </c>
      <c r="AL55" s="272">
        <v>11.6</v>
      </c>
      <c r="AM55" s="276">
        <v>70.7</v>
      </c>
      <c r="AN55" s="272" cm="1">
        <f t="array" aca="1" ref="AN55" ca="1">INDIRECT("'"&amp;$C55&amp;"'!"&amp;"$"&amp;$D55&amp;$AL$1&amp;"")</f>
        <v>3</v>
      </c>
      <c r="AO55" s="275">
        <v>0.97</v>
      </c>
      <c r="AP55" s="273">
        <v>0.61</v>
      </c>
      <c r="AQ55" s="274" cm="1">
        <f t="array" aca="1" ref="AQ55" ca="1">INDIRECT("'"&amp;$C55&amp;"'!"&amp;"$"&amp;$D55&amp;$AQ$1&amp;"")</f>
        <v>3</v>
      </c>
      <c r="AR55" s="275">
        <v>0.97</v>
      </c>
      <c r="AS55" s="273">
        <v>0.61</v>
      </c>
      <c r="AT55" s="272" t="s">
        <v>1</v>
      </c>
      <c r="AU55" s="276" t="s">
        <v>1</v>
      </c>
      <c r="AV55" s="275" cm="1">
        <f t="array" aca="1" ref="AV55" ca="1">INDIRECT("'"&amp;$C55&amp;"'!"&amp;"$"&amp;$D55&amp;$AV$1&amp;"")</f>
        <v>0</v>
      </c>
      <c r="AW55" s="274" t="s">
        <v>1</v>
      </c>
      <c r="AX55" s="275" t="s">
        <v>1</v>
      </c>
      <c r="AY55" s="273" t="s">
        <v>1</v>
      </c>
      <c r="AZ55" s="275" t="str" cm="1">
        <f t="array" aca="1" ref="AZ55" ca="1">INDIRECT("'"&amp;$C55&amp;"'!"&amp;"$"&amp;$D55&amp;$AZ$1&amp;"")</f>
        <v>CMS</v>
      </c>
      <c r="BA55" s="274" t="s">
        <v>1</v>
      </c>
      <c r="BB55" s="275" t="s">
        <v>1</v>
      </c>
      <c r="BC55" s="273" t="s">
        <v>1</v>
      </c>
      <c r="BD55" s="277">
        <v>14.01</v>
      </c>
      <c r="BE55" s="276">
        <v>71.42</v>
      </c>
      <c r="BF55" s="277" cm="1">
        <f t="array" aca="1" ref="BF55" ca="1">INDIRECT("'"&amp;$C55&amp;"'!"&amp;"$"&amp;$D55&amp;$BF$1&amp;"")</f>
        <v>14.26</v>
      </c>
      <c r="BG55" s="275">
        <v>1</v>
      </c>
      <c r="BH55" s="273">
        <v>1.25</v>
      </c>
      <c r="BI55" s="523">
        <v>69.3</v>
      </c>
      <c r="BJ55" s="272" cm="1">
        <f t="array" aca="1" ref="BJ55" ca="1">INDIRECT("'"&amp;$C55&amp;"'!"&amp;"$"&amp;$D55&amp;$BI$1&amp;"")</f>
        <v>0</v>
      </c>
      <c r="BK55" s="274" t="s">
        <v>1</v>
      </c>
      <c r="BL55" s="273" t="s">
        <v>1</v>
      </c>
      <c r="BM55" s="277" cm="1">
        <f t="array" aca="1" ref="BM55" ca="1">INDIRECT("'"&amp;$C55&amp;"'!"&amp;"$"&amp;$D55&amp;$BM$1&amp;"")</f>
        <v>0.99</v>
      </c>
      <c r="BN55" s="275"/>
      <c r="BO55" s="275">
        <v>0.99</v>
      </c>
      <c r="BP55" s="273">
        <v>0.12</v>
      </c>
      <c r="BQ55" s="277" cm="1">
        <f t="array" aca="1" ref="BQ55" ca="1">INDIRECT("'"&amp;$C55&amp;"'!"&amp;"$"&amp;$D55&amp;$BQ$1&amp;"")</f>
        <v>0.79</v>
      </c>
      <c r="BR55" s="275"/>
      <c r="BS55" s="275">
        <v>0.97</v>
      </c>
      <c r="BT55" s="273">
        <v>0.2</v>
      </c>
      <c r="BU55" s="358" cm="1">
        <f t="array" aca="1" ref="BU55" ca="1">INDIRECT("'"&amp;$C55&amp;"'!"&amp;"$"&amp;$D55&amp;74&amp;"")</f>
        <v>0</v>
      </c>
      <c r="BV55" s="275"/>
      <c r="BW55" s="275" t="s">
        <v>1</v>
      </c>
      <c r="BX55" s="273" t="s">
        <v>1</v>
      </c>
    </row>
    <row r="56" spans="1:76">
      <c r="A56" s="459">
        <v>45841</v>
      </c>
      <c r="B56" s="345">
        <v>4.1666666666666699E-2</v>
      </c>
      <c r="C56" s="305">
        <v>3</v>
      </c>
      <c r="D56" s="306" t="s">
        <v>143</v>
      </c>
      <c r="E56" s="278">
        <v>13.9</v>
      </c>
      <c r="F56" s="279">
        <v>69.7</v>
      </c>
      <c r="G56" s="280" t="str" cm="1">
        <f t="array" aca="1" ref="G56" ca="1">INDIRECT("'"&amp;$C56&amp;"'!"&amp;"$"&amp;$D56&amp;$E$1&amp;"")</f>
        <v>CMS</v>
      </c>
      <c r="H56" s="281" t="s">
        <v>1</v>
      </c>
      <c r="I56" s="279" t="s">
        <v>1</v>
      </c>
      <c r="J56" s="280" t="str" cm="1">
        <f t="array" aca="1" ref="J56" ca="1">INDIRECT("'"&amp;$C56&amp;"'!"&amp;"$"&amp;$D56&amp;$J$1&amp;"")</f>
        <v>CMS</v>
      </c>
      <c r="K56" s="281"/>
      <c r="L56" s="281" t="s">
        <v>1</v>
      </c>
      <c r="M56" s="282" t="s">
        <v>1</v>
      </c>
      <c r="N56" s="278" cm="1">
        <f t="array" aca="1" ref="N56" ca="1">INDIRECT("'"&amp;$C56&amp;"'!"&amp;"$"&amp;$D56&amp;$N$1&amp;"")</f>
        <v>6.7</v>
      </c>
      <c r="O56" s="281"/>
      <c r="P56" s="281">
        <v>0.98</v>
      </c>
      <c r="Q56" s="279">
        <v>1.29</v>
      </c>
      <c r="R56" s="468" cm="1">
        <f t="array" aca="1" ref="R56" ca="1">INDIRECT("'"&amp;$C56&amp;"'!"&amp;"$"&amp;$D56&amp;$R$1&amp;"")</f>
        <v>6.7</v>
      </c>
      <c r="S56" s="281"/>
      <c r="T56" s="281">
        <v>0.98</v>
      </c>
      <c r="U56" s="279">
        <v>1.29</v>
      </c>
      <c r="V56" s="280" t="str" cm="1">
        <f t="array" aca="1" ref="V56" ca="1">INDIRECT("'"&amp;$C56&amp;"'!"&amp;"$"&amp;$D56&amp;$V$1&amp;"")</f>
        <v>CMS</v>
      </c>
      <c r="W56" s="281" t="s">
        <v>1</v>
      </c>
      <c r="X56" s="281" t="s">
        <v>1</v>
      </c>
      <c r="Y56" s="282" t="s">
        <v>1</v>
      </c>
      <c r="Z56" s="278" t="str" cm="1">
        <f t="array" aca="1" ref="Z56" ca="1">INDIRECT("'"&amp;$C56&amp;"'!"&amp;"$"&amp;$D56&amp;$Z$1&amp;"")</f>
        <v>CMS</v>
      </c>
      <c r="AA56" s="281" t="s">
        <v>1</v>
      </c>
      <c r="AB56" s="281" t="s">
        <v>1</v>
      </c>
      <c r="AC56" s="279" t="s">
        <v>1</v>
      </c>
      <c r="AD56" s="280" cm="1">
        <f t="array" aca="1" ref="AD56" ca="1">INDIRECT("'"&amp;$C56&amp;"'!"&amp;"$"&amp;$D56&amp;$AD$1&amp;"")</f>
        <v>0</v>
      </c>
      <c r="AE56" s="281" t="s">
        <v>1</v>
      </c>
      <c r="AF56" s="281" t="s">
        <v>1</v>
      </c>
      <c r="AG56" s="282" t="s">
        <v>1</v>
      </c>
      <c r="AH56" s="278" cm="1">
        <f t="array" aca="1" ref="AH56" ca="1">INDIRECT("'"&amp;$C56&amp;"'!"&amp;"$"&amp;$D56&amp;$AH$1&amp;"")</f>
        <v>0</v>
      </c>
      <c r="AI56" s="281" t="s">
        <v>1</v>
      </c>
      <c r="AJ56" s="281" t="s">
        <v>1</v>
      </c>
      <c r="AK56" s="279" t="s">
        <v>1</v>
      </c>
      <c r="AL56" s="278">
        <v>11.6</v>
      </c>
      <c r="AM56" s="282">
        <v>70.5</v>
      </c>
      <c r="AN56" s="278" cm="1">
        <f t="array" aca="1" ref="AN56" ca="1">INDIRECT("'"&amp;$C56&amp;"'!"&amp;"$"&amp;$D56&amp;$AL$1&amp;"")</f>
        <v>3.5</v>
      </c>
      <c r="AO56" s="281">
        <v>0.98</v>
      </c>
      <c r="AP56" s="279">
        <v>0.7</v>
      </c>
      <c r="AQ56" s="280" cm="1">
        <f t="array" aca="1" ref="AQ56" ca="1">INDIRECT("'"&amp;$C56&amp;"'!"&amp;"$"&amp;$D56&amp;$AQ$1&amp;"")</f>
        <v>3.5</v>
      </c>
      <c r="AR56" s="281">
        <v>0.98</v>
      </c>
      <c r="AS56" s="279">
        <v>0.7</v>
      </c>
      <c r="AT56" s="278" t="s">
        <v>1</v>
      </c>
      <c r="AU56" s="282" t="s">
        <v>1</v>
      </c>
      <c r="AV56" s="281" cm="1">
        <f t="array" aca="1" ref="AV56" ca="1">INDIRECT("'"&amp;$C56&amp;"'!"&amp;"$"&amp;$D56&amp;$AV$1&amp;"")</f>
        <v>0</v>
      </c>
      <c r="AW56" s="280" t="s">
        <v>1</v>
      </c>
      <c r="AX56" s="281" t="s">
        <v>1</v>
      </c>
      <c r="AY56" s="279" t="s">
        <v>1</v>
      </c>
      <c r="AZ56" s="281" t="str" cm="1">
        <f t="array" aca="1" ref="AZ56" ca="1">INDIRECT("'"&amp;$C56&amp;"'!"&amp;"$"&amp;$D56&amp;$AZ$1&amp;"")</f>
        <v>CMS</v>
      </c>
      <c r="BA56" s="280" t="s">
        <v>1</v>
      </c>
      <c r="BB56" s="281" t="s">
        <v>1</v>
      </c>
      <c r="BC56" s="279" t="s">
        <v>1</v>
      </c>
      <c r="BD56" s="283">
        <v>13.98</v>
      </c>
      <c r="BE56" s="282">
        <v>71.22</v>
      </c>
      <c r="BF56" s="283" cm="1">
        <f t="array" aca="1" ref="BF56" ca="1">INDIRECT("'"&amp;$C56&amp;"'!"&amp;"$"&amp;$D56&amp;$BF$1&amp;"")</f>
        <v>14.25</v>
      </c>
      <c r="BG56" s="281">
        <v>1</v>
      </c>
      <c r="BH56" s="279">
        <v>1.25</v>
      </c>
      <c r="BI56" s="524">
        <v>68.900000000000006</v>
      </c>
      <c r="BJ56" s="278" cm="1">
        <f t="array" aca="1" ref="BJ56" ca="1">INDIRECT("'"&amp;$C56&amp;"'!"&amp;"$"&amp;$D56&amp;$BI$1&amp;"")</f>
        <v>0</v>
      </c>
      <c r="BK56" s="280" t="s">
        <v>1</v>
      </c>
      <c r="BL56" s="279" t="s">
        <v>1</v>
      </c>
      <c r="BM56" s="283" cm="1">
        <f t="array" aca="1" ref="BM56" ca="1">INDIRECT("'"&amp;$C56&amp;"'!"&amp;"$"&amp;$D56&amp;$BM$1&amp;"")</f>
        <v>0.95</v>
      </c>
      <c r="BN56" s="281"/>
      <c r="BO56" s="281">
        <v>0.99</v>
      </c>
      <c r="BP56" s="279">
        <v>0.11</v>
      </c>
      <c r="BQ56" s="283" cm="1">
        <f t="array" aca="1" ref="BQ56" ca="1">INDIRECT("'"&amp;$C56&amp;"'!"&amp;"$"&amp;$D56&amp;$BQ$1&amp;"")</f>
        <v>0.76</v>
      </c>
      <c r="BR56" s="281"/>
      <c r="BS56" s="281">
        <v>0.97</v>
      </c>
      <c r="BT56" s="279">
        <v>0.19</v>
      </c>
      <c r="BU56" s="284" cm="1">
        <f t="array" aca="1" ref="BU56" ca="1">INDIRECT("'"&amp;$C56&amp;"'!"&amp;"$"&amp;$D56&amp;74&amp;"")</f>
        <v>0</v>
      </c>
      <c r="BV56" s="281"/>
      <c r="BW56" s="281" t="s">
        <v>1</v>
      </c>
      <c r="BX56" s="279" t="s">
        <v>1</v>
      </c>
    </row>
    <row r="57" spans="1:76">
      <c r="A57" s="459">
        <v>45841</v>
      </c>
      <c r="B57" s="345">
        <v>8.3333333333333301E-2</v>
      </c>
      <c r="C57" s="305">
        <v>3</v>
      </c>
      <c r="D57" s="306" t="s">
        <v>144</v>
      </c>
      <c r="E57" s="285">
        <v>14</v>
      </c>
      <c r="F57" s="286">
        <v>70.06</v>
      </c>
      <c r="G57" s="287" t="str" cm="1">
        <f t="array" aca="1" ref="G57" ca="1">INDIRECT("'"&amp;$C57&amp;"'!"&amp;"$"&amp;$D57&amp;$E$1&amp;"")</f>
        <v>CMS</v>
      </c>
      <c r="H57" s="288" t="s">
        <v>1</v>
      </c>
      <c r="I57" s="286" t="s">
        <v>1</v>
      </c>
      <c r="J57" s="287" t="str" cm="1">
        <f t="array" aca="1" ref="J57" ca="1">INDIRECT("'"&amp;$C57&amp;"'!"&amp;"$"&amp;$D57&amp;$J$1&amp;"")</f>
        <v>CMS</v>
      </c>
      <c r="K57" s="288"/>
      <c r="L57" s="288" t="s">
        <v>1</v>
      </c>
      <c r="M57" s="289" t="s">
        <v>1</v>
      </c>
      <c r="N57" s="285" cm="1">
        <f t="array" aca="1" ref="N57" ca="1">INDIRECT("'"&amp;$C57&amp;"'!"&amp;"$"&amp;$D57&amp;$N$1&amp;"")</f>
        <v>6.8</v>
      </c>
      <c r="O57" s="288"/>
      <c r="P57" s="288">
        <v>0.98</v>
      </c>
      <c r="Q57" s="286">
        <v>1.22</v>
      </c>
      <c r="R57" s="285" cm="1">
        <f t="array" aca="1" ref="R57" ca="1">INDIRECT("'"&amp;$C57&amp;"'!"&amp;"$"&amp;$D57&amp;$R$1&amp;"")</f>
        <v>6.8</v>
      </c>
      <c r="S57" s="288"/>
      <c r="T57" s="288">
        <v>0.98</v>
      </c>
      <c r="U57" s="286">
        <v>1.22</v>
      </c>
      <c r="V57" s="287" t="str" cm="1">
        <f t="array" aca="1" ref="V57" ca="1">INDIRECT("'"&amp;$C57&amp;"'!"&amp;"$"&amp;$D57&amp;$V$1&amp;"")</f>
        <v>CMS</v>
      </c>
      <c r="W57" s="288" t="s">
        <v>1</v>
      </c>
      <c r="X57" s="288" t="s">
        <v>1</v>
      </c>
      <c r="Y57" s="289" t="s">
        <v>1</v>
      </c>
      <c r="Z57" s="278" t="str" cm="1">
        <f t="array" aca="1" ref="Z57" ca="1">INDIRECT("'"&amp;$C57&amp;"'!"&amp;"$"&amp;$D57&amp;$Z$1&amp;"")</f>
        <v>CMS</v>
      </c>
      <c r="AA57" s="288" t="s">
        <v>1</v>
      </c>
      <c r="AB57" s="288" t="s">
        <v>1</v>
      </c>
      <c r="AC57" s="286" t="s">
        <v>1</v>
      </c>
      <c r="AD57" s="287" cm="1">
        <f t="array" aca="1" ref="AD57" ca="1">INDIRECT("'"&amp;$C57&amp;"'!"&amp;"$"&amp;$D57&amp;$AD$1&amp;"")</f>
        <v>0</v>
      </c>
      <c r="AE57" s="288" t="s">
        <v>1</v>
      </c>
      <c r="AF57" s="288" t="s">
        <v>1</v>
      </c>
      <c r="AG57" s="289" t="s">
        <v>1</v>
      </c>
      <c r="AH57" s="285" cm="1">
        <f t="array" aca="1" ref="AH57" ca="1">INDIRECT("'"&amp;$C57&amp;"'!"&amp;"$"&amp;$D57&amp;$AH$1&amp;"")</f>
        <v>0</v>
      </c>
      <c r="AI57" s="288" t="s">
        <v>1</v>
      </c>
      <c r="AJ57" s="288" t="s">
        <v>1</v>
      </c>
      <c r="AK57" s="289" t="s">
        <v>1</v>
      </c>
      <c r="AL57" s="285">
        <v>11.6</v>
      </c>
      <c r="AM57" s="289">
        <v>70.599999999999994</v>
      </c>
      <c r="AN57" s="285" cm="1">
        <f t="array" aca="1" ref="AN57" ca="1">INDIRECT("'"&amp;$C57&amp;"'!"&amp;"$"&amp;$D57&amp;$AL$1&amp;"")</f>
        <v>2.5</v>
      </c>
      <c r="AO57" s="288">
        <v>0.96</v>
      </c>
      <c r="AP57" s="286">
        <v>0.69</v>
      </c>
      <c r="AQ57" s="287" cm="1">
        <f t="array" aca="1" ref="AQ57" ca="1">INDIRECT("'"&amp;$C57&amp;"'!"&amp;"$"&amp;$D57&amp;$AQ$1&amp;"")</f>
        <v>2.5</v>
      </c>
      <c r="AR57" s="288">
        <v>0.96</v>
      </c>
      <c r="AS57" s="286">
        <v>0.69</v>
      </c>
      <c r="AT57" s="285" t="s">
        <v>1</v>
      </c>
      <c r="AU57" s="289" t="s">
        <v>1</v>
      </c>
      <c r="AV57" s="288" cm="1">
        <f t="array" aca="1" ref="AV57" ca="1">INDIRECT("'"&amp;$C57&amp;"'!"&amp;"$"&amp;$D57&amp;$AV$1&amp;"")</f>
        <v>0</v>
      </c>
      <c r="AW57" s="287" t="s">
        <v>1</v>
      </c>
      <c r="AX57" s="288" t="s">
        <v>1</v>
      </c>
      <c r="AY57" s="286" t="s">
        <v>1</v>
      </c>
      <c r="AZ57" s="288" t="str" cm="1">
        <f t="array" aca="1" ref="AZ57" ca="1">INDIRECT("'"&amp;$C57&amp;"'!"&amp;"$"&amp;$D57&amp;$AZ$1&amp;"")</f>
        <v>CMS</v>
      </c>
      <c r="BA57" s="287" t="s">
        <v>1</v>
      </c>
      <c r="BB57" s="288" t="s">
        <v>1</v>
      </c>
      <c r="BC57" s="286" t="s">
        <v>1</v>
      </c>
      <c r="BD57" s="290">
        <v>14.03</v>
      </c>
      <c r="BE57" s="289">
        <v>71.44</v>
      </c>
      <c r="BF57" s="290" cm="1">
        <f t="array" aca="1" ref="BF57" ca="1">INDIRECT("'"&amp;$C57&amp;"'!"&amp;"$"&amp;$D57&amp;$BF$1&amp;"")</f>
        <v>14.26</v>
      </c>
      <c r="BG57" s="288">
        <v>1</v>
      </c>
      <c r="BH57" s="286">
        <v>1.28</v>
      </c>
      <c r="BI57" s="525">
        <v>69.099999999999994</v>
      </c>
      <c r="BJ57" s="285" cm="1">
        <f t="array" aca="1" ref="BJ57" ca="1">INDIRECT("'"&amp;$C57&amp;"'!"&amp;"$"&amp;$D57&amp;$BI$1&amp;"")</f>
        <v>0</v>
      </c>
      <c r="BK57" s="287" t="s">
        <v>1</v>
      </c>
      <c r="BL57" s="286" t="s">
        <v>1</v>
      </c>
      <c r="BM57" s="290" cm="1">
        <f t="array" aca="1" ref="BM57" ca="1">INDIRECT("'"&amp;$C57&amp;"'!"&amp;"$"&amp;$D57&amp;$BM$1&amp;"")</f>
        <v>0.83</v>
      </c>
      <c r="BN57" s="288"/>
      <c r="BO57" s="288">
        <v>0.99</v>
      </c>
      <c r="BP57" s="286">
        <v>0.08</v>
      </c>
      <c r="BQ57" s="290" cm="1">
        <f t="array" aca="1" ref="BQ57" ca="1">INDIRECT("'"&amp;$C57&amp;"'!"&amp;"$"&amp;$D57&amp;$BQ$1&amp;"")</f>
        <v>0.72</v>
      </c>
      <c r="BR57" s="288"/>
      <c r="BS57" s="288">
        <v>0.96</v>
      </c>
      <c r="BT57" s="286">
        <v>0.19</v>
      </c>
      <c r="BU57" s="291" cm="1">
        <f t="array" aca="1" ref="BU57" ca="1">INDIRECT("'"&amp;$C57&amp;"'!"&amp;"$"&amp;$D57&amp;74&amp;"")</f>
        <v>0</v>
      </c>
      <c r="BV57" s="288"/>
      <c r="BW57" s="288" t="s">
        <v>1</v>
      </c>
      <c r="BX57" s="286" t="s">
        <v>1</v>
      </c>
    </row>
    <row r="58" spans="1:76">
      <c r="A58" s="459">
        <v>45841</v>
      </c>
      <c r="B58" s="345">
        <v>0.125</v>
      </c>
      <c r="C58" s="305">
        <v>3</v>
      </c>
      <c r="D58" s="306" t="s">
        <v>145</v>
      </c>
      <c r="E58" s="278">
        <v>14</v>
      </c>
      <c r="F58" s="279">
        <v>69.989999999999995</v>
      </c>
      <c r="G58" s="280" t="str" cm="1">
        <f t="array" aca="1" ref="G58" ca="1">INDIRECT("'"&amp;$C58&amp;"'!"&amp;"$"&amp;$D58&amp;$E$1&amp;"")</f>
        <v>CMS</v>
      </c>
      <c r="H58" s="281" t="s">
        <v>1</v>
      </c>
      <c r="I58" s="279" t="s">
        <v>1</v>
      </c>
      <c r="J58" s="280" t="str" cm="1">
        <f t="array" aca="1" ref="J58" ca="1">INDIRECT("'"&amp;$C58&amp;"'!"&amp;"$"&amp;$D58&amp;$J$1&amp;"")</f>
        <v>CMS</v>
      </c>
      <c r="K58" s="281"/>
      <c r="L58" s="281" t="s">
        <v>1</v>
      </c>
      <c r="M58" s="282" t="s">
        <v>1</v>
      </c>
      <c r="N58" s="278" cm="1">
        <f t="array" aca="1" ref="N58" ca="1">INDIRECT("'"&amp;$C58&amp;"'!"&amp;"$"&amp;$D58&amp;$N$1&amp;"")</f>
        <v>6.8</v>
      </c>
      <c r="O58" s="281"/>
      <c r="P58" s="281">
        <v>0.98</v>
      </c>
      <c r="Q58" s="279">
        <v>1.26</v>
      </c>
      <c r="R58" s="468" cm="1">
        <f t="array" aca="1" ref="R58" ca="1">INDIRECT("'"&amp;$C58&amp;"'!"&amp;"$"&amp;$D58&amp;$R$1&amp;"")</f>
        <v>6.8</v>
      </c>
      <c r="S58" s="281"/>
      <c r="T58" s="281">
        <v>0.98</v>
      </c>
      <c r="U58" s="279">
        <v>1.26</v>
      </c>
      <c r="V58" s="280" t="str" cm="1">
        <f t="array" aca="1" ref="V58" ca="1">INDIRECT("'"&amp;$C58&amp;"'!"&amp;"$"&amp;$D58&amp;$V$1&amp;"")</f>
        <v>CMS</v>
      </c>
      <c r="W58" s="281" t="s">
        <v>1</v>
      </c>
      <c r="X58" s="281" t="s">
        <v>1</v>
      </c>
      <c r="Y58" s="282" t="s">
        <v>1</v>
      </c>
      <c r="Z58" s="278" t="str" cm="1">
        <f t="array" aca="1" ref="Z58" ca="1">INDIRECT("'"&amp;$C58&amp;"'!"&amp;"$"&amp;$D58&amp;$Z$1&amp;"")</f>
        <v>CMS</v>
      </c>
      <c r="AA58" s="281" t="s">
        <v>1</v>
      </c>
      <c r="AB58" s="281" t="s">
        <v>1</v>
      </c>
      <c r="AC58" s="279" t="s">
        <v>1</v>
      </c>
      <c r="AD58" s="280" cm="1">
        <f t="array" aca="1" ref="AD58" ca="1">INDIRECT("'"&amp;$C58&amp;"'!"&amp;"$"&amp;$D58&amp;$AD$1&amp;"")</f>
        <v>0</v>
      </c>
      <c r="AE58" s="281" t="s">
        <v>1</v>
      </c>
      <c r="AF58" s="281" t="s">
        <v>1</v>
      </c>
      <c r="AG58" s="282" t="s">
        <v>1</v>
      </c>
      <c r="AH58" s="278" cm="1">
        <f t="array" aca="1" ref="AH58" ca="1">INDIRECT("'"&amp;$C58&amp;"'!"&amp;"$"&amp;$D58&amp;$AH$1&amp;"")</f>
        <v>0</v>
      </c>
      <c r="AI58" s="281" t="s">
        <v>1</v>
      </c>
      <c r="AJ58" s="281" t="s">
        <v>1</v>
      </c>
      <c r="AK58" s="279" t="s">
        <v>1</v>
      </c>
      <c r="AL58" s="278">
        <v>11.6</v>
      </c>
      <c r="AM58" s="282">
        <v>70.5</v>
      </c>
      <c r="AN58" s="278" cm="1">
        <f t="array" aca="1" ref="AN58" ca="1">INDIRECT("'"&amp;$C58&amp;"'!"&amp;"$"&amp;$D58&amp;$AL$1&amp;"")</f>
        <v>2</v>
      </c>
      <c r="AO58" s="281">
        <v>0.94</v>
      </c>
      <c r="AP58" s="279">
        <v>0.72</v>
      </c>
      <c r="AQ58" s="280" cm="1">
        <f t="array" aca="1" ref="AQ58" ca="1">INDIRECT("'"&amp;$C58&amp;"'!"&amp;"$"&amp;$D58&amp;$AQ$1&amp;"")</f>
        <v>2.5</v>
      </c>
      <c r="AR58" s="281">
        <v>0.97</v>
      </c>
      <c r="AS58" s="279">
        <v>0.65</v>
      </c>
      <c r="AT58" s="278" t="s">
        <v>1</v>
      </c>
      <c r="AU58" s="282" t="s">
        <v>1</v>
      </c>
      <c r="AV58" s="281" cm="1">
        <f t="array" aca="1" ref="AV58" ca="1">INDIRECT("'"&amp;$C58&amp;"'!"&amp;"$"&amp;$D58&amp;$AV$1&amp;"")</f>
        <v>0</v>
      </c>
      <c r="AW58" s="280" t="s">
        <v>1</v>
      </c>
      <c r="AX58" s="281" t="s">
        <v>1</v>
      </c>
      <c r="AY58" s="279" t="s">
        <v>1</v>
      </c>
      <c r="AZ58" s="281" t="str" cm="1">
        <f t="array" aca="1" ref="AZ58" ca="1">INDIRECT("'"&amp;$C58&amp;"'!"&amp;"$"&amp;$D58&amp;$AZ$1&amp;"")</f>
        <v>CMS</v>
      </c>
      <c r="BA58" s="280" t="s">
        <v>1</v>
      </c>
      <c r="BB58" s="281" t="s">
        <v>1</v>
      </c>
      <c r="BC58" s="279" t="s">
        <v>1</v>
      </c>
      <c r="BD58" s="283">
        <v>14.03</v>
      </c>
      <c r="BE58" s="282">
        <v>71.36</v>
      </c>
      <c r="BF58" s="283" cm="1">
        <f t="array" aca="1" ref="BF58" ca="1">INDIRECT("'"&amp;$C58&amp;"'!"&amp;"$"&amp;$D58&amp;$BF$1&amp;"")</f>
        <v>14.26</v>
      </c>
      <c r="BG58" s="281">
        <v>1</v>
      </c>
      <c r="BH58" s="279">
        <v>1.29</v>
      </c>
      <c r="BI58" s="524">
        <v>69.099999999999994</v>
      </c>
      <c r="BJ58" s="278" cm="1">
        <f t="array" aca="1" ref="BJ58" ca="1">INDIRECT("'"&amp;$C58&amp;"'!"&amp;"$"&amp;$D58&amp;$BI$1&amp;"")</f>
        <v>0</v>
      </c>
      <c r="BK58" s="280" t="s">
        <v>1</v>
      </c>
      <c r="BL58" s="279" t="s">
        <v>1</v>
      </c>
      <c r="BM58" s="283" cm="1">
        <f t="array" aca="1" ref="BM58" ca="1">INDIRECT("'"&amp;$C58&amp;"'!"&amp;"$"&amp;$D58&amp;$BM$1&amp;"")</f>
        <v>0.81</v>
      </c>
      <c r="BN58" s="281"/>
      <c r="BO58" s="281">
        <v>0.99</v>
      </c>
      <c r="BP58" s="279">
        <v>7.0000000000000007E-2</v>
      </c>
      <c r="BQ58" s="283" cm="1">
        <f t="array" aca="1" ref="BQ58" ca="1">INDIRECT("'"&amp;$C58&amp;"'!"&amp;"$"&amp;$D58&amp;$BQ$1&amp;"")</f>
        <v>0.7</v>
      </c>
      <c r="BR58" s="281"/>
      <c r="BS58" s="281">
        <v>0.96</v>
      </c>
      <c r="BT58" s="279">
        <v>0.18</v>
      </c>
      <c r="BU58" s="284" cm="1">
        <f t="array" aca="1" ref="BU58" ca="1">INDIRECT("'"&amp;$C58&amp;"'!"&amp;"$"&amp;$D58&amp;74&amp;"")</f>
        <v>0</v>
      </c>
      <c r="BV58" s="281"/>
      <c r="BW58" s="281" t="s">
        <v>1</v>
      </c>
      <c r="BX58" s="279" t="s">
        <v>1</v>
      </c>
    </row>
    <row r="59" spans="1:76">
      <c r="A59" s="459">
        <v>45841</v>
      </c>
      <c r="B59" s="345">
        <v>0.16666666666666699</v>
      </c>
      <c r="C59" s="305">
        <v>3</v>
      </c>
      <c r="D59" s="306" t="s">
        <v>146</v>
      </c>
      <c r="E59" s="285">
        <v>14</v>
      </c>
      <c r="F59" s="286">
        <v>69.989999999999995</v>
      </c>
      <c r="G59" s="287" t="str" cm="1">
        <f t="array" aca="1" ref="G59" ca="1">INDIRECT("'"&amp;$C59&amp;"'!"&amp;"$"&amp;$D59&amp;$E$1&amp;"")</f>
        <v>CMS</v>
      </c>
      <c r="H59" s="288" t="s">
        <v>1</v>
      </c>
      <c r="I59" s="286" t="s">
        <v>1</v>
      </c>
      <c r="J59" s="287" t="str" cm="1">
        <f t="array" aca="1" ref="J59" ca="1">INDIRECT("'"&amp;$C59&amp;"'!"&amp;"$"&amp;$D59&amp;$J$1&amp;"")</f>
        <v>CMS</v>
      </c>
      <c r="K59" s="288"/>
      <c r="L59" s="288" t="s">
        <v>1</v>
      </c>
      <c r="M59" s="286" t="s">
        <v>1</v>
      </c>
      <c r="N59" s="285" cm="1">
        <f t="array" aca="1" ref="N59" ca="1">INDIRECT("'"&amp;$C59&amp;"'!"&amp;"$"&amp;$D59&amp;$N$1&amp;"")</f>
        <v>6.7</v>
      </c>
      <c r="O59" s="288"/>
      <c r="P59" s="288">
        <v>0.98</v>
      </c>
      <c r="Q59" s="286">
        <v>1.28</v>
      </c>
      <c r="R59" s="285" cm="1">
        <f t="array" aca="1" ref="R59" ca="1">INDIRECT("'"&amp;$C59&amp;"'!"&amp;"$"&amp;$D59&amp;$R$1&amp;"")</f>
        <v>6.7</v>
      </c>
      <c r="S59" s="288"/>
      <c r="T59" s="288">
        <v>0.98</v>
      </c>
      <c r="U59" s="286">
        <v>1.28</v>
      </c>
      <c r="V59" s="287" t="str" cm="1">
        <f t="array" aca="1" ref="V59" ca="1">INDIRECT("'"&amp;$C59&amp;"'!"&amp;"$"&amp;$D59&amp;$V$1&amp;"")</f>
        <v>CMS</v>
      </c>
      <c r="W59" s="288" t="s">
        <v>1</v>
      </c>
      <c r="X59" s="288" t="s">
        <v>1</v>
      </c>
      <c r="Y59" s="289" t="s">
        <v>1</v>
      </c>
      <c r="Z59" s="285" t="str" cm="1">
        <f t="array" aca="1" ref="Z59" ca="1">INDIRECT("'"&amp;$C59&amp;"'!"&amp;"$"&amp;$D59&amp;$Z$1&amp;"")</f>
        <v>CMS</v>
      </c>
      <c r="AA59" s="288" t="s">
        <v>1</v>
      </c>
      <c r="AB59" s="288" t="s">
        <v>1</v>
      </c>
      <c r="AC59" s="286" t="s">
        <v>1</v>
      </c>
      <c r="AD59" s="287" cm="1">
        <f t="array" aca="1" ref="AD59" ca="1">INDIRECT("'"&amp;$C59&amp;"'!"&amp;"$"&amp;$D59&amp;$AD$1&amp;"")</f>
        <v>0</v>
      </c>
      <c r="AE59" s="288" t="s">
        <v>1</v>
      </c>
      <c r="AF59" s="288" t="s">
        <v>1</v>
      </c>
      <c r="AG59" s="289" t="s">
        <v>1</v>
      </c>
      <c r="AH59" s="285" cm="1">
        <f t="array" aca="1" ref="AH59" ca="1">INDIRECT("'"&amp;$C59&amp;"'!"&amp;"$"&amp;$D59&amp;$AH$1&amp;"")</f>
        <v>0</v>
      </c>
      <c r="AI59" s="288" t="s">
        <v>1</v>
      </c>
      <c r="AJ59" s="288" t="s">
        <v>1</v>
      </c>
      <c r="AK59" s="286" t="s">
        <v>1</v>
      </c>
      <c r="AL59" s="285">
        <v>11.6</v>
      </c>
      <c r="AM59" s="289">
        <v>70.599999999999994</v>
      </c>
      <c r="AN59" s="285" cm="1">
        <f t="array" aca="1" ref="AN59" ca="1">INDIRECT("'"&amp;$C59&amp;"'!"&amp;"$"&amp;$D59&amp;$AL$1&amp;"")</f>
        <v>2</v>
      </c>
      <c r="AO59" s="288">
        <v>0.97</v>
      </c>
      <c r="AP59" s="286">
        <v>0.55000000000000004</v>
      </c>
      <c r="AQ59" s="287" cm="1">
        <f t="array" aca="1" ref="AQ59" ca="1">INDIRECT("'"&amp;$C59&amp;"'!"&amp;"$"&amp;$D59&amp;$AQ$1&amp;"")</f>
        <v>2.5</v>
      </c>
      <c r="AR59" s="288">
        <v>0.97</v>
      </c>
      <c r="AS59" s="286">
        <v>0.48</v>
      </c>
      <c r="AT59" s="285" t="s">
        <v>1</v>
      </c>
      <c r="AU59" s="289" t="s">
        <v>1</v>
      </c>
      <c r="AV59" s="288" cm="1">
        <f t="array" aca="1" ref="AV59" ca="1">INDIRECT("'"&amp;$C59&amp;"'!"&amp;"$"&amp;$D59&amp;$AV$1&amp;"")</f>
        <v>0</v>
      </c>
      <c r="AW59" s="287" t="s">
        <v>1</v>
      </c>
      <c r="AX59" s="288" t="s">
        <v>1</v>
      </c>
      <c r="AY59" s="286" t="s">
        <v>1</v>
      </c>
      <c r="AZ59" s="288" t="str" cm="1">
        <f t="array" aca="1" ref="AZ59" ca="1">INDIRECT("'"&amp;$C59&amp;"'!"&amp;"$"&amp;$D59&amp;$AZ$1&amp;"")</f>
        <v>CMS</v>
      </c>
      <c r="BA59" s="287" t="s">
        <v>1</v>
      </c>
      <c r="BB59" s="288" t="s">
        <v>1</v>
      </c>
      <c r="BC59" s="286" t="s">
        <v>1</v>
      </c>
      <c r="BD59" s="290">
        <v>14.04</v>
      </c>
      <c r="BE59" s="289">
        <v>71.400000000000006</v>
      </c>
      <c r="BF59" s="290" cm="1">
        <f t="array" aca="1" ref="BF59" ca="1">INDIRECT("'"&amp;$C59&amp;"'!"&amp;"$"&amp;$D59&amp;$BF$1&amp;"")</f>
        <v>14.24</v>
      </c>
      <c r="BG59" s="288">
        <v>1</v>
      </c>
      <c r="BH59" s="286">
        <v>1.24</v>
      </c>
      <c r="BI59" s="525">
        <v>69.099999999999994</v>
      </c>
      <c r="BJ59" s="285" cm="1">
        <f t="array" aca="1" ref="BJ59" ca="1">INDIRECT("'"&amp;$C59&amp;"'!"&amp;"$"&amp;$D59&amp;$BI$1&amp;"")</f>
        <v>0</v>
      </c>
      <c r="BK59" s="287" t="s">
        <v>1</v>
      </c>
      <c r="BL59" s="286" t="s">
        <v>1</v>
      </c>
      <c r="BM59" s="290" cm="1">
        <f t="array" aca="1" ref="BM59" ca="1">INDIRECT("'"&amp;$C59&amp;"'!"&amp;"$"&amp;$D59&amp;$BM$1&amp;"")</f>
        <v>0.8</v>
      </c>
      <c r="BN59" s="288"/>
      <c r="BO59" s="288">
        <v>0.99</v>
      </c>
      <c r="BP59" s="286">
        <v>0.08</v>
      </c>
      <c r="BQ59" s="290" cm="1">
        <f t="array" aca="1" ref="BQ59" ca="1">INDIRECT("'"&amp;$C59&amp;"'!"&amp;"$"&amp;$D59&amp;$BQ$1&amp;"")</f>
        <v>0.69</v>
      </c>
      <c r="BR59" s="288"/>
      <c r="BS59" s="288">
        <v>0.96</v>
      </c>
      <c r="BT59" s="286">
        <v>0.18</v>
      </c>
      <c r="BU59" s="291" cm="1">
        <f t="array" aca="1" ref="BU59" ca="1">INDIRECT("'"&amp;$C59&amp;"'!"&amp;"$"&amp;$D59&amp;74&amp;"")</f>
        <v>0</v>
      </c>
      <c r="BV59" s="288"/>
      <c r="BW59" s="288" t="s">
        <v>1</v>
      </c>
      <c r="BX59" s="286" t="s">
        <v>1</v>
      </c>
    </row>
    <row r="60" spans="1:76">
      <c r="A60" s="459">
        <v>45841</v>
      </c>
      <c r="B60" s="345">
        <v>0.20833333333333301</v>
      </c>
      <c r="C60" s="305">
        <v>3</v>
      </c>
      <c r="D60" s="306" t="s">
        <v>147</v>
      </c>
      <c r="E60" s="278">
        <v>14</v>
      </c>
      <c r="F60" s="279">
        <v>69.599999999999994</v>
      </c>
      <c r="G60" s="280" t="str" cm="1">
        <f t="array" aca="1" ref="G60" ca="1">INDIRECT("'"&amp;$C60&amp;"'!"&amp;"$"&amp;$D60&amp;$E$1&amp;"")</f>
        <v>CMS</v>
      </c>
      <c r="H60" s="281" t="s">
        <v>1</v>
      </c>
      <c r="I60" s="279" t="s">
        <v>1</v>
      </c>
      <c r="J60" s="280" t="str" cm="1">
        <f t="array" aca="1" ref="J60" ca="1">INDIRECT("'"&amp;$C60&amp;"'!"&amp;"$"&amp;$D60&amp;$J$1&amp;"")</f>
        <v>CMS</v>
      </c>
      <c r="K60" s="281"/>
      <c r="L60" s="281" t="s">
        <v>1</v>
      </c>
      <c r="M60" s="279" t="s">
        <v>1</v>
      </c>
      <c r="N60" s="278" cm="1">
        <f t="array" aca="1" ref="N60" ca="1">INDIRECT("'"&amp;$C60&amp;"'!"&amp;"$"&amp;$D60&amp;$N$1&amp;"")</f>
        <v>6.7</v>
      </c>
      <c r="O60" s="281"/>
      <c r="P60" s="281">
        <v>0.97</v>
      </c>
      <c r="Q60" s="279">
        <v>1.65</v>
      </c>
      <c r="R60" s="468" cm="1">
        <f t="array" aca="1" ref="R60" ca="1">INDIRECT("'"&amp;$C60&amp;"'!"&amp;"$"&amp;$D60&amp;$R$1&amp;"")</f>
        <v>6.7</v>
      </c>
      <c r="S60" s="281"/>
      <c r="T60" s="281">
        <v>0.97</v>
      </c>
      <c r="U60" s="279">
        <v>1.65</v>
      </c>
      <c r="V60" s="280" t="str" cm="1">
        <f t="array" aca="1" ref="V60" ca="1">INDIRECT("'"&amp;$C60&amp;"'!"&amp;"$"&amp;$D60&amp;$V$1&amp;"")</f>
        <v>CMS</v>
      </c>
      <c r="W60" s="281" t="s">
        <v>1</v>
      </c>
      <c r="X60" s="281" t="s">
        <v>1</v>
      </c>
      <c r="Y60" s="282" t="s">
        <v>1</v>
      </c>
      <c r="Z60" s="278" t="str" cm="1">
        <f t="array" aca="1" ref="Z60" ca="1">INDIRECT("'"&amp;$C60&amp;"'!"&amp;"$"&amp;$D60&amp;$Z$1&amp;"")</f>
        <v>CMS</v>
      </c>
      <c r="AA60" s="281" t="s">
        <v>1</v>
      </c>
      <c r="AB60" s="281" t="s">
        <v>1</v>
      </c>
      <c r="AC60" s="279" t="s">
        <v>1</v>
      </c>
      <c r="AD60" s="280" cm="1">
        <f t="array" aca="1" ref="AD60" ca="1">INDIRECT("'"&amp;$C60&amp;"'!"&amp;"$"&amp;$D60&amp;$AD$1&amp;"")</f>
        <v>0</v>
      </c>
      <c r="AE60" s="281" t="s">
        <v>1</v>
      </c>
      <c r="AF60" s="281" t="s">
        <v>1</v>
      </c>
      <c r="AG60" s="282" t="s">
        <v>1</v>
      </c>
      <c r="AH60" s="278" cm="1">
        <f t="array" aca="1" ref="AH60" ca="1">INDIRECT("'"&amp;$C60&amp;"'!"&amp;"$"&amp;$D60&amp;$AH$1&amp;"")</f>
        <v>0</v>
      </c>
      <c r="AI60" s="281" t="s">
        <v>1</v>
      </c>
      <c r="AJ60" s="281" t="s">
        <v>1</v>
      </c>
      <c r="AK60" s="279" t="s">
        <v>1</v>
      </c>
      <c r="AL60" s="278">
        <v>11.6</v>
      </c>
      <c r="AM60" s="282">
        <v>70.400000000000006</v>
      </c>
      <c r="AN60" s="278" cm="1">
        <f t="array" aca="1" ref="AN60" ca="1">INDIRECT("'"&amp;$C60&amp;"'!"&amp;"$"&amp;$D60&amp;$AL$1&amp;"")</f>
        <v>3</v>
      </c>
      <c r="AO60" s="281">
        <v>0.98</v>
      </c>
      <c r="AP60" s="279">
        <v>0.76</v>
      </c>
      <c r="AQ60" s="280" cm="1">
        <f t="array" aca="1" ref="AQ60" ca="1">INDIRECT("'"&amp;$C60&amp;"'!"&amp;"$"&amp;$D60&amp;$AQ$1&amp;"")</f>
        <v>3</v>
      </c>
      <c r="AR60" s="281">
        <v>0.98</v>
      </c>
      <c r="AS60" s="279">
        <v>0.76</v>
      </c>
      <c r="AT60" s="278">
        <v>13.78</v>
      </c>
      <c r="AU60" s="282">
        <v>70.3</v>
      </c>
      <c r="AV60" s="281" cm="1">
        <f t="array" aca="1" ref="AV60" ca="1">INDIRECT("'"&amp;$C60&amp;"'!"&amp;"$"&amp;$D60&amp;$AV$1&amp;"")</f>
        <v>0</v>
      </c>
      <c r="AW60" s="280" t="s">
        <v>1</v>
      </c>
      <c r="AX60" s="281" t="s">
        <v>1</v>
      </c>
      <c r="AY60" s="279" t="s">
        <v>1</v>
      </c>
      <c r="AZ60" s="281" cm="1">
        <f t="array" aca="1" ref="AZ60" ca="1">INDIRECT("'"&amp;$C60&amp;"'!"&amp;"$"&amp;$D60&amp;$AZ$1&amp;"")</f>
        <v>1</v>
      </c>
      <c r="BA60" s="280" t="s">
        <v>1</v>
      </c>
      <c r="BB60" s="281">
        <v>0.92</v>
      </c>
      <c r="BC60" s="279">
        <v>0.41</v>
      </c>
      <c r="BD60" s="283">
        <v>14</v>
      </c>
      <c r="BE60" s="282">
        <v>71.290000000000006</v>
      </c>
      <c r="BF60" s="283" cm="1">
        <f t="array" aca="1" ref="BF60" ca="1">INDIRECT("'"&amp;$C60&amp;"'!"&amp;"$"&amp;$D60&amp;$BF$1&amp;"")</f>
        <v>14.24</v>
      </c>
      <c r="BG60" s="281">
        <v>1</v>
      </c>
      <c r="BH60" s="279">
        <v>1.26</v>
      </c>
      <c r="BI60" s="524">
        <v>68.8</v>
      </c>
      <c r="BJ60" s="278" cm="1">
        <f t="array" aca="1" ref="BJ60" ca="1">INDIRECT("'"&amp;$C60&amp;"'!"&amp;"$"&amp;$D60&amp;$BI$1&amp;"")</f>
        <v>0</v>
      </c>
      <c r="BK60" s="280" t="s">
        <v>1</v>
      </c>
      <c r="BL60" s="279" t="s">
        <v>1</v>
      </c>
      <c r="BM60" s="283" cm="1">
        <f t="array" aca="1" ref="BM60" ca="1">INDIRECT("'"&amp;$C60&amp;"'!"&amp;"$"&amp;$D60&amp;$BM$1&amp;"")</f>
        <v>0.87</v>
      </c>
      <c r="BN60" s="281"/>
      <c r="BO60" s="281">
        <v>0.99</v>
      </c>
      <c r="BP60" s="279">
        <v>0.1</v>
      </c>
      <c r="BQ60" s="283" cm="1">
        <f t="array" aca="1" ref="BQ60" ca="1">INDIRECT("'"&amp;$C60&amp;"'!"&amp;"$"&amp;$D60&amp;$BQ$1&amp;"")</f>
        <v>0.73</v>
      </c>
      <c r="BR60" s="281"/>
      <c r="BS60" s="281">
        <v>0.96</v>
      </c>
      <c r="BT60" s="279">
        <v>0.2</v>
      </c>
      <c r="BU60" s="284" cm="1">
        <f t="array" aca="1" ref="BU60" ca="1">INDIRECT("'"&amp;$C60&amp;"'!"&amp;"$"&amp;$D60&amp;74&amp;"")</f>
        <v>0</v>
      </c>
      <c r="BV60" s="281"/>
      <c r="BW60" s="281" t="s">
        <v>1</v>
      </c>
      <c r="BX60" s="279" t="s">
        <v>1</v>
      </c>
    </row>
    <row r="61" spans="1:76">
      <c r="A61" s="459">
        <v>45841</v>
      </c>
      <c r="B61" s="345">
        <v>0.25</v>
      </c>
      <c r="C61" s="305">
        <v>3</v>
      </c>
      <c r="D61" s="306" t="s">
        <v>148</v>
      </c>
      <c r="E61" s="285">
        <v>14</v>
      </c>
      <c r="F61" s="286">
        <v>69.790000000000006</v>
      </c>
      <c r="G61" s="287" t="str" cm="1">
        <f t="array" aca="1" ref="G61" ca="1">INDIRECT("'"&amp;$C61&amp;"'!"&amp;"$"&amp;$D61&amp;$E$1&amp;"")</f>
        <v>CMS</v>
      </c>
      <c r="H61" s="288" t="s">
        <v>1</v>
      </c>
      <c r="I61" s="286" t="s">
        <v>1</v>
      </c>
      <c r="J61" s="287" t="str" cm="1">
        <f t="array" aca="1" ref="J61" ca="1">INDIRECT("'"&amp;$C61&amp;"'!"&amp;"$"&amp;$D61&amp;$J$1&amp;"")</f>
        <v>CMS</v>
      </c>
      <c r="K61" s="288"/>
      <c r="L61" s="288" t="s">
        <v>1</v>
      </c>
      <c r="M61" s="286" t="s">
        <v>1</v>
      </c>
      <c r="N61" s="285" cm="1">
        <f t="array" aca="1" ref="N61" ca="1">INDIRECT("'"&amp;$C61&amp;"'!"&amp;"$"&amp;$D61&amp;$N$1&amp;"")</f>
        <v>6.6</v>
      </c>
      <c r="O61" s="288"/>
      <c r="P61" s="288">
        <v>0.98</v>
      </c>
      <c r="Q61" s="286">
        <v>1.25</v>
      </c>
      <c r="R61" s="285" cm="1">
        <f t="array" aca="1" ref="R61" ca="1">INDIRECT("'"&amp;$C61&amp;"'!"&amp;"$"&amp;$D61&amp;$R$1&amp;"")</f>
        <v>6.6</v>
      </c>
      <c r="S61" s="288"/>
      <c r="T61" s="288">
        <v>0.98</v>
      </c>
      <c r="U61" s="286">
        <v>1.23</v>
      </c>
      <c r="V61" s="287" t="str" cm="1">
        <f t="array" aca="1" ref="V61" ca="1">INDIRECT("'"&amp;$C61&amp;"'!"&amp;"$"&amp;$D61&amp;$V$1&amp;"")</f>
        <v>CMS</v>
      </c>
      <c r="W61" s="288" t="s">
        <v>1</v>
      </c>
      <c r="X61" s="288" t="s">
        <v>1</v>
      </c>
      <c r="Y61" s="289" t="s">
        <v>1</v>
      </c>
      <c r="Z61" s="285" t="str" cm="1">
        <f t="array" aca="1" ref="Z61" ca="1">INDIRECT("'"&amp;$C61&amp;"'!"&amp;"$"&amp;$D61&amp;$Z$1&amp;"")</f>
        <v>CMS</v>
      </c>
      <c r="AA61" s="288" t="s">
        <v>1</v>
      </c>
      <c r="AB61" s="288" t="s">
        <v>1</v>
      </c>
      <c r="AC61" s="286" t="s">
        <v>1</v>
      </c>
      <c r="AD61" s="287" cm="1">
        <f t="array" aca="1" ref="AD61" ca="1">INDIRECT("'"&amp;$C61&amp;"'!"&amp;"$"&amp;$D61&amp;$AD$1&amp;"")</f>
        <v>1.3</v>
      </c>
      <c r="AE61" s="288">
        <f>3.8*3.51</f>
        <v>13.337999999999999</v>
      </c>
      <c r="AF61" s="288">
        <v>0.99</v>
      </c>
      <c r="AG61" s="289">
        <v>0.05</v>
      </c>
      <c r="AH61" s="285" cm="1">
        <f t="array" aca="1" ref="AH61" ca="1">INDIRECT("'"&amp;$C61&amp;"'!"&amp;"$"&amp;$D61&amp;$AH$1&amp;"")</f>
        <v>0</v>
      </c>
      <c r="AI61" s="288" t="s">
        <v>1</v>
      </c>
      <c r="AJ61" s="288" t="s">
        <v>1</v>
      </c>
      <c r="AK61" s="286" t="s">
        <v>1</v>
      </c>
      <c r="AL61" s="285">
        <v>11.6</v>
      </c>
      <c r="AM61" s="289">
        <v>70.8</v>
      </c>
      <c r="AN61" s="285" cm="1">
        <f t="array" aca="1" ref="AN61" ca="1">INDIRECT("'"&amp;$C61&amp;"'!"&amp;"$"&amp;$D61&amp;$AL$1&amp;"")</f>
        <v>3.5</v>
      </c>
      <c r="AO61" s="288">
        <v>0.99</v>
      </c>
      <c r="AP61" s="286">
        <v>0.35</v>
      </c>
      <c r="AQ61" s="287" cm="1">
        <f t="array" aca="1" ref="AQ61" ca="1">INDIRECT("'"&amp;$C61&amp;"'!"&amp;"$"&amp;$D61&amp;$AQ$1&amp;"")</f>
        <v>3.5</v>
      </c>
      <c r="AR61" s="288">
        <v>0.99</v>
      </c>
      <c r="AS61" s="286">
        <v>0.35</v>
      </c>
      <c r="AT61" s="285">
        <v>13.8</v>
      </c>
      <c r="AU61" s="289">
        <v>0.2</v>
      </c>
      <c r="AV61" s="288" cm="1">
        <f t="array" aca="1" ref="AV61" ca="1">INDIRECT("'"&amp;$C61&amp;"'!"&amp;"$"&amp;$D61&amp;$AV$1&amp;"")</f>
        <v>0</v>
      </c>
      <c r="AW61" s="287" t="s">
        <v>1</v>
      </c>
      <c r="AX61" s="288" t="s">
        <v>1</v>
      </c>
      <c r="AY61" s="286" t="s">
        <v>1</v>
      </c>
      <c r="AZ61" s="288" cm="1">
        <f t="array" aca="1" ref="AZ61" ca="1">INDIRECT("'"&amp;$C61&amp;"'!"&amp;"$"&amp;$D61&amp;$AZ$1&amp;"")</f>
        <v>2</v>
      </c>
      <c r="BA61" s="287" t="s">
        <v>1</v>
      </c>
      <c r="BB61" s="288">
        <v>0.96</v>
      </c>
      <c r="BC61" s="286">
        <v>0.63</v>
      </c>
      <c r="BD61" s="290">
        <v>14.1</v>
      </c>
      <c r="BE61" s="289">
        <v>71.48</v>
      </c>
      <c r="BF61" s="290" cm="1">
        <f t="array" aca="1" ref="BF61" ca="1">INDIRECT("'"&amp;$C61&amp;"'!"&amp;"$"&amp;$D61&amp;$BF$1&amp;"")</f>
        <v>14.21</v>
      </c>
      <c r="BG61" s="288">
        <v>0.99</v>
      </c>
      <c r="BH61" s="286">
        <v>2.29</v>
      </c>
      <c r="BI61" s="525">
        <v>69</v>
      </c>
      <c r="BJ61" s="285" cm="1">
        <f t="array" aca="1" ref="BJ61" ca="1">INDIRECT("'"&amp;$C61&amp;"'!"&amp;"$"&amp;$D61&amp;$BI$1&amp;"")</f>
        <v>2.2999999999999998</v>
      </c>
      <c r="BK61" s="287">
        <v>0.97</v>
      </c>
      <c r="BL61" s="286">
        <v>0.56999999999999995</v>
      </c>
      <c r="BM61" s="290" cm="1">
        <f t="array" aca="1" ref="BM61" ca="1">INDIRECT("'"&amp;$C61&amp;"'!"&amp;"$"&amp;$D61&amp;$BM$1&amp;"")</f>
        <v>1.18</v>
      </c>
      <c r="BN61" s="288"/>
      <c r="BO61" s="288">
        <v>0.99</v>
      </c>
      <c r="BP61" s="286">
        <v>0.11</v>
      </c>
      <c r="BQ61" s="290" cm="1">
        <f t="array" aca="1" ref="BQ61" ca="1">INDIRECT("'"&amp;$C61&amp;"'!"&amp;"$"&amp;$D61&amp;$BQ$1&amp;"")</f>
        <v>0.81</v>
      </c>
      <c r="BR61" s="288"/>
      <c r="BS61" s="288">
        <v>0.97</v>
      </c>
      <c r="BT61" s="286">
        <v>0.2</v>
      </c>
      <c r="BU61" s="291" cm="1">
        <f t="array" aca="1" ref="BU61" ca="1">INDIRECT("'"&amp;$C61&amp;"'!"&amp;"$"&amp;$D61&amp;74&amp;"")</f>
        <v>0</v>
      </c>
      <c r="BV61" s="288"/>
      <c r="BW61" s="288" t="s">
        <v>1</v>
      </c>
      <c r="BX61" s="286" t="s">
        <v>1</v>
      </c>
    </row>
    <row r="62" spans="1:76">
      <c r="A62" s="459">
        <v>45841</v>
      </c>
      <c r="B62" s="345">
        <v>0.29166666666666702</v>
      </c>
      <c r="C62" s="305">
        <v>3</v>
      </c>
      <c r="D62" s="306" t="s">
        <v>149</v>
      </c>
      <c r="E62" s="278">
        <v>13.9</v>
      </c>
      <c r="F62" s="279">
        <v>69.599999999999994</v>
      </c>
      <c r="G62" s="280" t="str" cm="1">
        <f t="array" aca="1" ref="G62" ca="1">INDIRECT("'"&amp;$C62&amp;"'!"&amp;"$"&amp;$D62&amp;$E$1&amp;"")</f>
        <v>CMS</v>
      </c>
      <c r="H62" s="281" t="s">
        <v>1</v>
      </c>
      <c r="I62" s="279" t="s">
        <v>1</v>
      </c>
      <c r="J62" s="280" cm="1">
        <f t="array" aca="1" ref="J62" ca="1">INDIRECT("'"&amp;$C62&amp;"'!"&amp;"$"&amp;$D62&amp;$J$1&amp;"")</f>
        <v>2.2999999999999998</v>
      </c>
      <c r="K62" s="281"/>
      <c r="L62" s="281">
        <v>0.99</v>
      </c>
      <c r="M62" s="282">
        <v>0.31</v>
      </c>
      <c r="N62" s="278" cm="1">
        <f t="array" aca="1" ref="N62" ca="1">INDIRECT("'"&amp;$C62&amp;"'!"&amp;"$"&amp;$D62&amp;$N$1&amp;"")</f>
        <v>5.2</v>
      </c>
      <c r="O62" s="281"/>
      <c r="P62" s="281">
        <v>0.98</v>
      </c>
      <c r="Q62" s="279">
        <v>0.99</v>
      </c>
      <c r="R62" s="468" cm="1">
        <f t="array" aca="1" ref="R62" ca="1">INDIRECT("'"&amp;$C62&amp;"'!"&amp;"$"&amp;$D62&amp;$R$1&amp;"")</f>
        <v>5.2</v>
      </c>
      <c r="S62" s="281"/>
      <c r="T62" s="281">
        <v>0.98</v>
      </c>
      <c r="U62" s="279">
        <v>0.99</v>
      </c>
      <c r="V62" s="280" t="str" cm="1">
        <f t="array" aca="1" ref="V62" ca="1">INDIRECT("'"&amp;$C62&amp;"'!"&amp;"$"&amp;$D62&amp;$V$1&amp;"")</f>
        <v>CMS</v>
      </c>
      <c r="W62" s="281" t="s">
        <v>1</v>
      </c>
      <c r="X62" s="281" t="s">
        <v>1</v>
      </c>
      <c r="Y62" s="282" t="s">
        <v>1</v>
      </c>
      <c r="Z62" s="278" t="str" cm="1">
        <f t="array" aca="1" ref="Z62" ca="1">INDIRECT("'"&amp;$C62&amp;"'!"&amp;"$"&amp;$D62&amp;$Z$1&amp;"")</f>
        <v>CMS</v>
      </c>
      <c r="AA62" s="281" t="s">
        <v>1</v>
      </c>
      <c r="AB62" s="281" t="s">
        <v>1</v>
      </c>
      <c r="AC62" s="279" t="s">
        <v>1</v>
      </c>
      <c r="AD62" s="280" cm="1">
        <f t="array" aca="1" ref="AD62" ca="1">INDIRECT("'"&amp;$C62&amp;"'!"&amp;"$"&amp;$D62&amp;$AD$1&amp;"")</f>
        <v>3</v>
      </c>
      <c r="AE62" s="281">
        <f>3.8*3.6</f>
        <v>13.68</v>
      </c>
      <c r="AF62" s="281">
        <v>0.98</v>
      </c>
      <c r="AG62" s="282">
        <v>0.52</v>
      </c>
      <c r="AH62" s="278" cm="1">
        <f t="array" aca="1" ref="AH62" ca="1">INDIRECT("'"&amp;$C62&amp;"'!"&amp;"$"&amp;$D62&amp;$AH$1&amp;"")</f>
        <v>0</v>
      </c>
      <c r="AI62" s="281" t="s">
        <v>1</v>
      </c>
      <c r="AJ62" s="281" t="s">
        <v>1</v>
      </c>
      <c r="AK62" s="279" t="s">
        <v>1</v>
      </c>
      <c r="AL62" s="278">
        <v>11.6</v>
      </c>
      <c r="AM62" s="282">
        <v>70.400000000000006</v>
      </c>
      <c r="AN62" s="278" cm="1">
        <f t="array" aca="1" ref="AN62" ca="1">INDIRECT("'"&amp;$C62&amp;"'!"&amp;"$"&amp;$D62&amp;$AL$1&amp;"")</f>
        <v>3.3</v>
      </c>
      <c r="AO62" s="281">
        <v>0.97</v>
      </c>
      <c r="AP62" s="279">
        <v>0.64</v>
      </c>
      <c r="AQ62" s="280" cm="1">
        <f t="array" aca="1" ref="AQ62" ca="1">INDIRECT("'"&amp;$C62&amp;"'!"&amp;"$"&amp;$D62&amp;$AQ$1&amp;"")</f>
        <v>3.3</v>
      </c>
      <c r="AR62" s="281">
        <v>0.97</v>
      </c>
      <c r="AS62" s="279">
        <v>0.64</v>
      </c>
      <c r="AT62" s="278" t="s">
        <v>1</v>
      </c>
      <c r="AU62" s="282" t="s">
        <v>1</v>
      </c>
      <c r="AV62" s="281" cm="1">
        <f t="array" aca="1" ref="AV62" ca="1">INDIRECT("'"&amp;$C62&amp;"'!"&amp;"$"&amp;$D62&amp;$AV$1&amp;"")</f>
        <v>0</v>
      </c>
      <c r="AW62" s="280" t="s">
        <v>1</v>
      </c>
      <c r="AX62" s="281" t="s">
        <v>1</v>
      </c>
      <c r="AY62" s="279" t="s">
        <v>1</v>
      </c>
      <c r="AZ62" s="281" t="str" cm="1">
        <f t="array" aca="1" ref="AZ62" ca="1">INDIRECT("'"&amp;$C62&amp;"'!"&amp;"$"&amp;$D62&amp;$AZ$1&amp;"")</f>
        <v>CMS</v>
      </c>
      <c r="BA62" s="280" t="s">
        <v>1</v>
      </c>
      <c r="BB62" s="281" t="s">
        <v>1</v>
      </c>
      <c r="BC62" s="279" t="s">
        <v>1</v>
      </c>
      <c r="BD62" s="283">
        <v>14.05</v>
      </c>
      <c r="BE62" s="282">
        <v>71.260000000000005</v>
      </c>
      <c r="BF62" s="283" cm="1">
        <f t="array" aca="1" ref="BF62" ca="1">INDIRECT("'"&amp;$C62&amp;"'!"&amp;"$"&amp;$D62&amp;$BF$1&amp;"")</f>
        <v>14.21</v>
      </c>
      <c r="BG62" s="281">
        <v>0.99</v>
      </c>
      <c r="BH62" s="279">
        <v>2.35</v>
      </c>
      <c r="BI62" s="524">
        <v>68.7</v>
      </c>
      <c r="BJ62" s="278" cm="1">
        <f t="array" aca="1" ref="BJ62" ca="1">INDIRECT("'"&amp;$C62&amp;"'!"&amp;"$"&amp;$D62&amp;$BI$1&amp;"")</f>
        <v>0</v>
      </c>
      <c r="BK62" s="280" t="s">
        <v>1</v>
      </c>
      <c r="BL62" s="279" t="s">
        <v>1</v>
      </c>
      <c r="BM62" s="283" cm="1">
        <f t="array" aca="1" ref="BM62" ca="1">INDIRECT("'"&amp;$C62&amp;"'!"&amp;"$"&amp;$D62&amp;$BM$1&amp;"")</f>
        <v>0</v>
      </c>
      <c r="BN62" s="281"/>
      <c r="BO62" s="281" t="s">
        <v>1</v>
      </c>
      <c r="BP62" s="279" t="s">
        <v>1</v>
      </c>
      <c r="BQ62" s="284" cm="1">
        <f t="array" aca="1" ref="BQ62" ca="1">INDIRECT("'"&amp;$C62&amp;"'!"&amp;"$"&amp;$D62&amp;$BQ$1&amp;"")</f>
        <v>0</v>
      </c>
      <c r="BR62" s="281"/>
      <c r="BS62" s="281" t="s">
        <v>1</v>
      </c>
      <c r="BT62" s="279" t="s">
        <v>1</v>
      </c>
      <c r="BU62" s="284" cm="1">
        <f t="array" aca="1" ref="BU62" ca="1">INDIRECT("'"&amp;$C62&amp;"'!"&amp;"$"&amp;$D62&amp;74&amp;"")</f>
        <v>0</v>
      </c>
      <c r="BV62" s="281"/>
      <c r="BW62" s="281" t="s">
        <v>1</v>
      </c>
      <c r="BX62" s="279" t="s">
        <v>1</v>
      </c>
    </row>
    <row r="63" spans="1:76">
      <c r="A63" s="459">
        <v>45841</v>
      </c>
      <c r="B63" s="345">
        <v>0.33333333333333398</v>
      </c>
      <c r="C63" s="305">
        <v>3</v>
      </c>
      <c r="D63" s="306" t="s">
        <v>150</v>
      </c>
      <c r="E63" s="285">
        <v>14.1</v>
      </c>
      <c r="F63" s="286">
        <v>70.209999999999994</v>
      </c>
      <c r="G63" s="287" t="str" cm="1">
        <f t="array" aca="1" ref="G63" ca="1">INDIRECT("'"&amp;$C63&amp;"'!"&amp;"$"&amp;$D63&amp;$E$1&amp;"")</f>
        <v>CMS</v>
      </c>
      <c r="H63" s="288" t="s">
        <v>1</v>
      </c>
      <c r="I63" s="286" t="s">
        <v>1</v>
      </c>
      <c r="J63" s="287" cm="1">
        <f t="array" aca="1" ref="J63" ca="1">INDIRECT("'"&amp;$C63&amp;"'!"&amp;"$"&amp;$D63&amp;$J$1&amp;"")</f>
        <v>6.7</v>
      </c>
      <c r="K63" s="288"/>
      <c r="L63" s="288">
        <v>0.96</v>
      </c>
      <c r="M63" s="289">
        <v>2.02</v>
      </c>
      <c r="N63" s="285" cm="1">
        <f t="array" aca="1" ref="N63" ca="1">INDIRECT("'"&amp;$C63&amp;"'!"&amp;"$"&amp;$D63&amp;$N$1&amp;"")</f>
        <v>0</v>
      </c>
      <c r="O63" s="288"/>
      <c r="P63" s="288" t="s">
        <v>1</v>
      </c>
      <c r="Q63" s="286" t="s">
        <v>1</v>
      </c>
      <c r="R63" s="285" cm="1">
        <f t="array" aca="1" ref="R63" ca="1">INDIRECT("'"&amp;$C63&amp;"'!"&amp;"$"&amp;$D63&amp;$R$1&amp;"")</f>
        <v>6.7</v>
      </c>
      <c r="S63" s="288"/>
      <c r="T63" s="288">
        <v>0.96</v>
      </c>
      <c r="U63" s="286">
        <v>2.0299999999999998</v>
      </c>
      <c r="V63" s="287" t="str" cm="1">
        <f t="array" aca="1" ref="V63" ca="1">INDIRECT("'"&amp;$C63&amp;"'!"&amp;"$"&amp;$D63&amp;$V$1&amp;"")</f>
        <v>CMS</v>
      </c>
      <c r="W63" s="288" t="s">
        <v>1</v>
      </c>
      <c r="X63" s="288" t="s">
        <v>1</v>
      </c>
      <c r="Y63" s="289" t="s">
        <v>1</v>
      </c>
      <c r="Z63" s="285" t="str" cm="1">
        <f t="array" aca="1" ref="Z63" ca="1">INDIRECT("'"&amp;$C63&amp;"'!"&amp;"$"&amp;$D63&amp;$Z$1&amp;"")</f>
        <v>CMS</v>
      </c>
      <c r="AA63" s="288" t="s">
        <v>1</v>
      </c>
      <c r="AB63" s="288" t="s">
        <v>1</v>
      </c>
      <c r="AC63" s="286" t="s">
        <v>1</v>
      </c>
      <c r="AD63" s="287" cm="1">
        <f t="array" aca="1" ref="AD63" ca="1">INDIRECT("'"&amp;$C63&amp;"'!"&amp;"$"&amp;$D63&amp;$AD$1&amp;"")</f>
        <v>3.8</v>
      </c>
      <c r="AE63" s="288">
        <f>3.58*3.8</f>
        <v>13.603999999999999</v>
      </c>
      <c r="AF63" s="288">
        <v>0.95</v>
      </c>
      <c r="AG63" s="289">
        <v>1.2</v>
      </c>
      <c r="AH63" s="285" cm="1">
        <f t="array" aca="1" ref="AH63" ca="1">INDIRECT("'"&amp;$C63&amp;"'!"&amp;"$"&amp;$D63&amp;$AH$1&amp;"")</f>
        <v>0</v>
      </c>
      <c r="AI63" s="288" t="s">
        <v>1</v>
      </c>
      <c r="AJ63" s="288" t="s">
        <v>1</v>
      </c>
      <c r="AK63" s="286" t="s">
        <v>1</v>
      </c>
      <c r="AL63" s="285">
        <v>11.6</v>
      </c>
      <c r="AM63" s="289">
        <v>70.599999999999994</v>
      </c>
      <c r="AN63" s="285" cm="1">
        <f t="array" aca="1" ref="AN63" ca="1">INDIRECT("'"&amp;$C63&amp;"'!"&amp;"$"&amp;$D63&amp;$AL$1&amp;"")</f>
        <v>4</v>
      </c>
      <c r="AO63" s="288">
        <v>0.99</v>
      </c>
      <c r="AP63" s="286">
        <v>0.45</v>
      </c>
      <c r="AQ63" s="287" cm="1">
        <f t="array" aca="1" ref="AQ63" ca="1">INDIRECT("'"&amp;$C63&amp;"'!"&amp;"$"&amp;$D63&amp;$AQ$1&amp;"")</f>
        <v>4</v>
      </c>
      <c r="AR63" s="288">
        <v>0.99</v>
      </c>
      <c r="AS63" s="286">
        <v>0.45</v>
      </c>
      <c r="AT63" s="285" t="s">
        <v>1</v>
      </c>
      <c r="AU63" s="289" t="s">
        <v>1</v>
      </c>
      <c r="AV63" s="288" cm="1">
        <f t="array" aca="1" ref="AV63" ca="1">INDIRECT("'"&amp;$C63&amp;"'!"&amp;"$"&amp;$D63&amp;$AV$1&amp;"")</f>
        <v>0</v>
      </c>
      <c r="AW63" s="287" t="s">
        <v>1</v>
      </c>
      <c r="AX63" s="288" t="s">
        <v>1</v>
      </c>
      <c r="AY63" s="286" t="s">
        <v>1</v>
      </c>
      <c r="AZ63" s="288" t="str" cm="1">
        <f t="array" aca="1" ref="AZ63" ca="1">INDIRECT("'"&amp;$C63&amp;"'!"&amp;"$"&amp;$D63&amp;$AZ$1&amp;"")</f>
        <v>CMS</v>
      </c>
      <c r="BA63" s="287" t="s">
        <v>1</v>
      </c>
      <c r="BB63" s="288" t="s">
        <v>1</v>
      </c>
      <c r="BC63" s="286" t="s">
        <v>1</v>
      </c>
      <c r="BD63" s="290">
        <v>14.07</v>
      </c>
      <c r="BE63" s="289">
        <v>71.2</v>
      </c>
      <c r="BF63" s="290" cm="1">
        <f t="array" aca="1" ref="BF63" ca="1">INDIRECT("'"&amp;$C63&amp;"'!"&amp;"$"&amp;$D63&amp;$BF$1&amp;"")</f>
        <v>14.24</v>
      </c>
      <c r="BG63" s="288">
        <v>0.99</v>
      </c>
      <c r="BH63" s="286">
        <v>2.2799999999999998</v>
      </c>
      <c r="BI63" s="525">
        <v>68.900000000000006</v>
      </c>
      <c r="BJ63" s="285" cm="1">
        <f t="array" aca="1" ref="BJ63" ca="1">INDIRECT("'"&amp;$C63&amp;"'!"&amp;"$"&amp;$D63&amp;$BI$1&amp;"")</f>
        <v>2.2999999999999998</v>
      </c>
      <c r="BK63" s="287">
        <v>0.96</v>
      </c>
      <c r="BL63" s="286">
        <v>0.65</v>
      </c>
      <c r="BM63" s="290" cm="1">
        <f t="array" aca="1" ref="BM63" ca="1">INDIRECT("'"&amp;$C63&amp;"'!"&amp;"$"&amp;$D63&amp;$BM$1&amp;"")</f>
        <v>1</v>
      </c>
      <c r="BN63" s="288"/>
      <c r="BO63" s="288">
        <v>0.99</v>
      </c>
      <c r="BP63" s="286">
        <v>0.14000000000000001</v>
      </c>
      <c r="BQ63" s="291" cm="1">
        <f t="array" aca="1" ref="BQ63" ca="1">INDIRECT("'"&amp;$C63&amp;"'!"&amp;"$"&amp;$D63&amp;$BQ$1&amp;"")</f>
        <v>0.76</v>
      </c>
      <c r="BR63" s="288"/>
      <c r="BS63" s="288">
        <v>0.96</v>
      </c>
      <c r="BT63" s="286">
        <v>0.21</v>
      </c>
      <c r="BU63" s="291" cm="1">
        <f t="array" aca="1" ref="BU63" ca="1">INDIRECT("'"&amp;$C63&amp;"'!"&amp;"$"&amp;$D63&amp;74&amp;"")</f>
        <v>0</v>
      </c>
      <c r="BV63" s="288"/>
      <c r="BW63" s="288" t="s">
        <v>1</v>
      </c>
      <c r="BX63" s="286" t="s">
        <v>1</v>
      </c>
    </row>
    <row r="64" spans="1:76">
      <c r="A64" s="459">
        <v>45841</v>
      </c>
      <c r="B64" s="345">
        <v>0.375</v>
      </c>
      <c r="C64" s="305">
        <v>3</v>
      </c>
      <c r="D64" s="306" t="s">
        <v>151</v>
      </c>
      <c r="E64" s="278">
        <v>14.1</v>
      </c>
      <c r="F64" s="279">
        <v>69.48</v>
      </c>
      <c r="G64" s="280" t="str" cm="1">
        <f t="array" aca="1" ref="G64" ca="1">INDIRECT("'"&amp;$C64&amp;"'!"&amp;"$"&amp;$D64&amp;$E$1&amp;"")</f>
        <v>CMS</v>
      </c>
      <c r="H64" s="281" t="s">
        <v>1</v>
      </c>
      <c r="I64" s="279" t="s">
        <v>1</v>
      </c>
      <c r="J64" s="280" cm="1">
        <f t="array" aca="1" ref="J64" ca="1">INDIRECT("'"&amp;$C64&amp;"'!"&amp;"$"&amp;$D64&amp;$J$1&amp;"")</f>
        <v>6.3</v>
      </c>
      <c r="K64" s="281"/>
      <c r="L64" s="281">
        <v>0.92</v>
      </c>
      <c r="M64" s="282">
        <v>2.64</v>
      </c>
      <c r="N64" s="278" cm="1">
        <f t="array" aca="1" ref="N64" ca="1">INDIRECT("'"&amp;$C64&amp;"'!"&amp;"$"&amp;$D64&amp;$N$1&amp;"")</f>
        <v>6</v>
      </c>
      <c r="O64" s="281"/>
      <c r="P64" s="281">
        <v>0.96</v>
      </c>
      <c r="Q64" s="279">
        <v>0.94</v>
      </c>
      <c r="R64" s="468" cm="1">
        <f t="array" aca="1" ref="R64" ca="1">INDIRECT("'"&amp;$C64&amp;"'!"&amp;"$"&amp;$D64&amp;$R$1&amp;"")</f>
        <v>6.3</v>
      </c>
      <c r="S64" s="281"/>
      <c r="T64" s="281">
        <v>0.92</v>
      </c>
      <c r="U64" s="279">
        <v>2.65</v>
      </c>
      <c r="V64" s="280" t="str" cm="1">
        <f t="array" aca="1" ref="V64" ca="1">INDIRECT("'"&amp;$C64&amp;"'!"&amp;"$"&amp;$D64&amp;$V$1&amp;"")</f>
        <v>CMS</v>
      </c>
      <c r="W64" s="281" t="s">
        <v>1</v>
      </c>
      <c r="X64" s="281" t="s">
        <v>1</v>
      </c>
      <c r="Y64" s="282" t="s">
        <v>1</v>
      </c>
      <c r="Z64" s="278" t="str" cm="1">
        <f t="array" aca="1" ref="Z64" ca="1">INDIRECT("'"&amp;$C64&amp;"'!"&amp;"$"&amp;$D64&amp;$Z$1&amp;"")</f>
        <v>CMS</v>
      </c>
      <c r="AA64" s="281" t="s">
        <v>1</v>
      </c>
      <c r="AB64" s="281" t="s">
        <v>1</v>
      </c>
      <c r="AC64" s="279" t="s">
        <v>1</v>
      </c>
      <c r="AD64" s="280" cm="1">
        <f t="array" aca="1" ref="AD64" ca="1">INDIRECT("'"&amp;$C64&amp;"'!"&amp;"$"&amp;$D64&amp;$AD$1&amp;"")</f>
        <v>3.8</v>
      </c>
      <c r="AE64" s="281">
        <f>3.8*3.52</f>
        <v>13.375999999999999</v>
      </c>
      <c r="AF64" s="281">
        <v>0.94</v>
      </c>
      <c r="AG64" s="282">
        <v>1.36</v>
      </c>
      <c r="AH64" s="278" cm="1">
        <f t="array" aca="1" ref="AH64" ca="1">INDIRECT("'"&amp;$C64&amp;"'!"&amp;"$"&amp;$D64&amp;$AH$1&amp;"")</f>
        <v>3.8</v>
      </c>
      <c r="AI64" s="281">
        <v>13.96</v>
      </c>
      <c r="AJ64" s="281">
        <v>0.98</v>
      </c>
      <c r="AK64" s="279">
        <v>0.59099999999999997</v>
      </c>
      <c r="AL64" s="278">
        <v>11.6</v>
      </c>
      <c r="AM64" s="282">
        <v>70.099999999999994</v>
      </c>
      <c r="AN64" s="278" cm="1">
        <f t="array" aca="1" ref="AN64" ca="1">INDIRECT("'"&amp;$C64&amp;"'!"&amp;"$"&amp;$D64&amp;$AL$1&amp;"")</f>
        <v>3.5</v>
      </c>
      <c r="AO64" s="281">
        <v>0.97</v>
      </c>
      <c r="AP64" s="279">
        <v>0.75</v>
      </c>
      <c r="AQ64" s="280" cm="1">
        <f t="array" aca="1" ref="AQ64" ca="1">INDIRECT("'"&amp;$C64&amp;"'!"&amp;"$"&amp;$D64&amp;$AQ$1&amp;"")</f>
        <v>3.5</v>
      </c>
      <c r="AR64" s="281">
        <v>0.97</v>
      </c>
      <c r="AS64" s="279">
        <v>0.75</v>
      </c>
      <c r="AT64" s="278">
        <v>13.8</v>
      </c>
      <c r="AU64" s="282">
        <v>70.2</v>
      </c>
      <c r="AV64" s="281" cm="1">
        <f t="array" aca="1" ref="AV64" ca="1">INDIRECT("'"&amp;$C64&amp;"'!"&amp;"$"&amp;$D64&amp;$AV$1&amp;"")</f>
        <v>0</v>
      </c>
      <c r="AW64" s="280" t="s">
        <v>1</v>
      </c>
      <c r="AX64" s="281" t="s">
        <v>1</v>
      </c>
      <c r="AY64" s="279" t="s">
        <v>1</v>
      </c>
      <c r="AZ64" s="281" cm="1">
        <f t="array" aca="1" ref="AZ64" ca="1">INDIRECT("'"&amp;$C64&amp;"'!"&amp;"$"&amp;$D64&amp;$AZ$1&amp;"")</f>
        <v>1</v>
      </c>
      <c r="BA64" s="280" t="s">
        <v>1</v>
      </c>
      <c r="BB64" s="281">
        <v>0.85</v>
      </c>
      <c r="BC64" s="279">
        <v>0.6</v>
      </c>
      <c r="BD64" s="283">
        <v>14.15</v>
      </c>
      <c r="BE64" s="282">
        <v>71.14</v>
      </c>
      <c r="BF64" s="283" cm="1">
        <f t="array" aca="1" ref="BF64" ca="1">INDIRECT("'"&amp;$C64&amp;"'!"&amp;"$"&amp;$D64&amp;$BF$1&amp;"")</f>
        <v>14.27</v>
      </c>
      <c r="BG64" s="281">
        <v>0.98</v>
      </c>
      <c r="BH64" s="279">
        <v>3.4</v>
      </c>
      <c r="BI64" s="524">
        <v>67.8</v>
      </c>
      <c r="BJ64" s="278" cm="1">
        <f t="array" aca="1" ref="BJ64" ca="1">INDIRECT("'"&amp;$C64&amp;"'!"&amp;"$"&amp;$D64&amp;$BI$1&amp;"")</f>
        <v>3</v>
      </c>
      <c r="BK64" s="280">
        <v>0.95</v>
      </c>
      <c r="BL64" s="279">
        <v>0.98</v>
      </c>
      <c r="BM64" s="283" cm="1">
        <f t="array" aca="1" ref="BM64" ca="1">INDIRECT("'"&amp;$C64&amp;"'!"&amp;"$"&amp;$D64&amp;$BM$1&amp;"")</f>
        <v>1.1599999999999999</v>
      </c>
      <c r="BN64" s="281"/>
      <c r="BO64" s="281">
        <v>0.99</v>
      </c>
      <c r="BP64" s="279">
        <v>0.13</v>
      </c>
      <c r="BQ64" s="284" cm="1">
        <f t="array" aca="1" ref="BQ64" ca="1">INDIRECT("'"&amp;$C64&amp;"'!"&amp;"$"&amp;$D64&amp;$BQ$1&amp;"")</f>
        <v>0.78</v>
      </c>
      <c r="BR64" s="281"/>
      <c r="BS64" s="281">
        <v>0.96</v>
      </c>
      <c r="BT64" s="279">
        <v>0.21</v>
      </c>
      <c r="BU64" s="284" cm="1">
        <f t="array" aca="1" ref="BU64" ca="1">INDIRECT("'"&amp;$C64&amp;"'!"&amp;"$"&amp;$D64&amp;74&amp;"")</f>
        <v>0</v>
      </c>
      <c r="BV64" s="281"/>
      <c r="BW64" s="281" t="s">
        <v>1</v>
      </c>
      <c r="BX64" s="279" t="s">
        <v>1</v>
      </c>
    </row>
    <row r="65" spans="1:76">
      <c r="A65" s="459">
        <v>45841</v>
      </c>
      <c r="B65" s="345">
        <v>0.41666666666666702</v>
      </c>
      <c r="C65" s="305">
        <v>3</v>
      </c>
      <c r="D65" s="306" t="s">
        <v>152</v>
      </c>
      <c r="E65" s="285">
        <v>14</v>
      </c>
      <c r="F65" s="286">
        <v>69.13</v>
      </c>
      <c r="G65" s="287" t="str" cm="1">
        <f t="array" aca="1" ref="G65" ca="1">INDIRECT("'"&amp;$C65&amp;"'!"&amp;"$"&amp;$D65&amp;$E$1&amp;"")</f>
        <v>CMS</v>
      </c>
      <c r="H65" s="288" t="s">
        <v>1</v>
      </c>
      <c r="I65" s="286" t="s">
        <v>1</v>
      </c>
      <c r="J65" s="287" cm="1">
        <f t="array" aca="1" ref="J65" ca="1">INDIRECT("'"&amp;$C65&amp;"'!"&amp;"$"&amp;$D65&amp;$J$1&amp;"")</f>
        <v>6.8</v>
      </c>
      <c r="K65" s="288"/>
      <c r="L65" s="288">
        <v>0.9</v>
      </c>
      <c r="M65" s="289">
        <v>3.1</v>
      </c>
      <c r="N65" s="285" cm="1">
        <f t="array" aca="1" ref="N65" ca="1">INDIRECT("'"&amp;$C65&amp;"'!"&amp;"$"&amp;$D65&amp;$N$1&amp;"")</f>
        <v>6.8</v>
      </c>
      <c r="O65" s="288"/>
      <c r="P65" s="288">
        <v>0.9</v>
      </c>
      <c r="Q65" s="286">
        <v>3.15</v>
      </c>
      <c r="R65" s="285" cm="1">
        <f t="array" aca="1" ref="R65" ca="1">INDIRECT("'"&amp;$C65&amp;"'!"&amp;"$"&amp;$D65&amp;$R$1&amp;"")</f>
        <v>6.8</v>
      </c>
      <c r="S65" s="288"/>
      <c r="T65" s="288">
        <v>0.9</v>
      </c>
      <c r="U65" s="286">
        <v>3.14</v>
      </c>
      <c r="V65" s="287" t="str" cm="1">
        <f t="array" aca="1" ref="V65" ca="1">INDIRECT("'"&amp;$C65&amp;"'!"&amp;"$"&amp;$D65&amp;$V$1&amp;"")</f>
        <v>CMS</v>
      </c>
      <c r="W65" s="288" t="s">
        <v>1</v>
      </c>
      <c r="X65" s="288" t="s">
        <v>1</v>
      </c>
      <c r="Y65" s="289" t="s">
        <v>1</v>
      </c>
      <c r="Z65" s="285" t="str" cm="1">
        <f t="array" aca="1" ref="Z65" ca="1">INDIRECT("'"&amp;$C65&amp;"'!"&amp;"$"&amp;$D65&amp;$Z$1&amp;"")</f>
        <v>CMS</v>
      </c>
      <c r="AA65" s="288" t="s">
        <v>1</v>
      </c>
      <c r="AB65" s="288" t="s">
        <v>1</v>
      </c>
      <c r="AC65" s="286" t="s">
        <v>1</v>
      </c>
      <c r="AD65" s="287" cm="1">
        <f t="array" aca="1" ref="AD65" ca="1">INDIRECT("'"&amp;$C65&amp;"'!"&amp;"$"&amp;$D65&amp;$AD$1&amp;"")</f>
        <v>3.8</v>
      </c>
      <c r="AE65" s="288">
        <v>13.641999999999999</v>
      </c>
      <c r="AF65" s="288">
        <v>0.9</v>
      </c>
      <c r="AG65" s="289">
        <v>1.57</v>
      </c>
      <c r="AH65" s="285" cm="1">
        <f t="array" aca="1" ref="AH65" ca="1">INDIRECT("'"&amp;$C65&amp;"'!"&amp;"$"&amp;$D65&amp;$AH$1&amp;"")</f>
        <v>3.8</v>
      </c>
      <c r="AI65" s="288">
        <v>14</v>
      </c>
      <c r="AJ65" s="288">
        <v>0.98</v>
      </c>
      <c r="AK65" s="286">
        <v>0.72199999999999998</v>
      </c>
      <c r="AL65" s="285">
        <v>11.6</v>
      </c>
      <c r="AM65" s="289">
        <v>70.599999999999994</v>
      </c>
      <c r="AN65" s="285" cm="1">
        <f t="array" aca="1" ref="AN65" ca="1">INDIRECT("'"&amp;$C65&amp;"'!"&amp;"$"&amp;$D65&amp;$AL$1&amp;"")</f>
        <v>0</v>
      </c>
      <c r="AO65" s="288" t="s">
        <v>1</v>
      </c>
      <c r="AP65" s="286" t="s">
        <v>1</v>
      </c>
      <c r="AQ65" s="287" cm="1">
        <f t="array" aca="1" ref="AQ65" ca="1">INDIRECT("'"&amp;$C65&amp;"'!"&amp;"$"&amp;$D65&amp;$AQ$1&amp;"")</f>
        <v>3.8</v>
      </c>
      <c r="AR65" s="288">
        <v>0.93</v>
      </c>
      <c r="AS65" s="286">
        <v>0.88</v>
      </c>
      <c r="AT65" s="285">
        <v>14</v>
      </c>
      <c r="AU65" s="289">
        <v>70.400000000000006</v>
      </c>
      <c r="AV65" s="288" cm="1">
        <f t="array" aca="1" ref="AV65" ca="1">INDIRECT("'"&amp;$C65&amp;"'!"&amp;"$"&amp;$D65&amp;$AV$1&amp;"")</f>
        <v>0</v>
      </c>
      <c r="AW65" s="287" t="s">
        <v>1</v>
      </c>
      <c r="AX65" s="288" t="s">
        <v>1</v>
      </c>
      <c r="AY65" s="286" t="s">
        <v>1</v>
      </c>
      <c r="AZ65" s="288" cm="1">
        <f t="array" aca="1" ref="AZ65" ca="1">INDIRECT("'"&amp;$C65&amp;"'!"&amp;"$"&amp;$D65&amp;$AZ$1&amp;"")</f>
        <v>7</v>
      </c>
      <c r="BA65" s="287" t="s">
        <v>1</v>
      </c>
      <c r="BB65" s="288">
        <v>0.85</v>
      </c>
      <c r="BC65" s="286">
        <v>0.6</v>
      </c>
      <c r="BD65" s="290">
        <v>14.22</v>
      </c>
      <c r="BE65" s="289">
        <v>71.430000000000007</v>
      </c>
      <c r="BF65" s="290" cm="1">
        <f t="array" aca="1" ref="BF65" ca="1">INDIRECT("'"&amp;$C65&amp;"'!"&amp;"$"&amp;$D65&amp;$BF$1&amp;"")</f>
        <v>14.29</v>
      </c>
      <c r="BG65" s="288">
        <v>0.98</v>
      </c>
      <c r="BH65" s="286">
        <v>3.4</v>
      </c>
      <c r="BI65" s="525">
        <v>67.599999999999994</v>
      </c>
      <c r="BJ65" s="285" cm="1">
        <f t="array" aca="1" ref="BJ65" ca="1">INDIRECT("'"&amp;$C65&amp;"'!"&amp;"$"&amp;$D65&amp;$BI$1&amp;"")</f>
        <v>3</v>
      </c>
      <c r="BK65" s="287">
        <v>0.95</v>
      </c>
      <c r="BL65" s="286">
        <v>0.98</v>
      </c>
      <c r="BM65" s="290" cm="1">
        <f t="array" aca="1" ref="BM65" ca="1">INDIRECT("'"&amp;$C65&amp;"'!"&amp;"$"&amp;$D65&amp;$BM$1&amp;"")</f>
        <v>1.19</v>
      </c>
      <c r="BN65" s="288"/>
      <c r="BO65" s="288">
        <v>0.99</v>
      </c>
      <c r="BP65" s="286">
        <v>0.15</v>
      </c>
      <c r="BQ65" s="291" cm="1">
        <f t="array" aca="1" ref="BQ65" ca="1">INDIRECT("'"&amp;$C65&amp;"'!"&amp;"$"&amp;$D65&amp;$BQ$1&amp;"")</f>
        <v>0.81</v>
      </c>
      <c r="BR65" s="288"/>
      <c r="BS65" s="288">
        <v>0.96</v>
      </c>
      <c r="BT65" s="286">
        <v>0.23</v>
      </c>
      <c r="BU65" s="291" cm="1">
        <f t="array" aca="1" ref="BU65" ca="1">INDIRECT("'"&amp;$C65&amp;"'!"&amp;"$"&amp;$D65&amp;74&amp;"")</f>
        <v>0</v>
      </c>
      <c r="BV65" s="288"/>
      <c r="BW65" s="288" t="s">
        <v>1</v>
      </c>
      <c r="BX65" s="286" t="s">
        <v>1</v>
      </c>
    </row>
    <row r="66" spans="1:76">
      <c r="A66" s="459">
        <v>45841</v>
      </c>
      <c r="B66" s="345">
        <v>0.45833333333333398</v>
      </c>
      <c r="C66" s="305">
        <v>3</v>
      </c>
      <c r="D66" s="306" t="s">
        <v>153</v>
      </c>
      <c r="E66" s="278">
        <v>13.9</v>
      </c>
      <c r="F66" s="279">
        <v>68.760000000000005</v>
      </c>
      <c r="G66" s="280" t="str" cm="1">
        <f t="array" aca="1" ref="G66" ca="1">INDIRECT("'"&amp;$C66&amp;"'!"&amp;"$"&amp;$D66&amp;$E$1&amp;"")</f>
        <v>CMS</v>
      </c>
      <c r="H66" s="281" t="s">
        <v>1</v>
      </c>
      <c r="I66" s="279" t="s">
        <v>1</v>
      </c>
      <c r="J66" s="280" cm="1">
        <f t="array" aca="1" ref="J66" ca="1">INDIRECT("'"&amp;$C66&amp;"'!"&amp;"$"&amp;$D66&amp;$J$1&amp;"")</f>
        <v>6.7</v>
      </c>
      <c r="K66" s="281"/>
      <c r="L66" s="281">
        <v>0.9</v>
      </c>
      <c r="M66" s="282">
        <v>3.04</v>
      </c>
      <c r="N66" s="278" cm="1">
        <f t="array" aca="1" ref="N66" ca="1">INDIRECT("'"&amp;$C66&amp;"'!"&amp;"$"&amp;$D66&amp;$N$1&amp;"")</f>
        <v>6.7</v>
      </c>
      <c r="O66" s="281"/>
      <c r="P66" s="281">
        <v>0.9</v>
      </c>
      <c r="Q66" s="279">
        <v>3.1</v>
      </c>
      <c r="R66" s="468" cm="1">
        <f t="array" aca="1" ref="R66" ca="1">INDIRECT("'"&amp;$C66&amp;"'!"&amp;"$"&amp;$D66&amp;$R$1&amp;"")</f>
        <v>6.7</v>
      </c>
      <c r="S66" s="281"/>
      <c r="T66" s="281">
        <v>0.9</v>
      </c>
      <c r="U66" s="279">
        <v>3.08</v>
      </c>
      <c r="V66" s="280" t="str" cm="1">
        <f t="array" aca="1" ref="V66" ca="1">INDIRECT("'"&amp;$C66&amp;"'!"&amp;"$"&amp;$D66&amp;$V$1&amp;"")</f>
        <v>CMS</v>
      </c>
      <c r="W66" s="281" t="s">
        <v>1</v>
      </c>
      <c r="X66" s="281" t="s">
        <v>1</v>
      </c>
      <c r="Y66" s="282" t="s">
        <v>1</v>
      </c>
      <c r="Z66" s="278" t="str" cm="1">
        <f t="array" aca="1" ref="Z66" ca="1">INDIRECT("'"&amp;$C66&amp;"'!"&amp;"$"&amp;$D66&amp;$Z$1&amp;"")</f>
        <v>CMS</v>
      </c>
      <c r="AA66" s="281" t="s">
        <v>1</v>
      </c>
      <c r="AB66" s="281" t="s">
        <v>1</v>
      </c>
      <c r="AC66" s="279" t="s">
        <v>1</v>
      </c>
      <c r="AD66" s="280" cm="1">
        <f t="array" aca="1" ref="AD66" ca="1">INDIRECT("'"&amp;$C66&amp;"'!"&amp;"$"&amp;$D66&amp;$AD$1&amp;"")</f>
        <v>3</v>
      </c>
      <c r="AE66" s="281">
        <f>3.8*3.49</f>
        <v>13.262</v>
      </c>
      <c r="AF66" s="281">
        <v>0.9</v>
      </c>
      <c r="AG66" s="282">
        <v>1.55</v>
      </c>
      <c r="AH66" s="278" cm="1">
        <f t="array" aca="1" ref="AH66" ca="1">INDIRECT("'"&amp;$C66&amp;"'!"&amp;"$"&amp;$D66&amp;$AH$1&amp;"")</f>
        <v>3.8</v>
      </c>
      <c r="AI66" s="281">
        <v>14</v>
      </c>
      <c r="AJ66" s="281">
        <v>0.97</v>
      </c>
      <c r="AK66" s="279">
        <v>0.85899999999999999</v>
      </c>
      <c r="AL66" s="278">
        <v>11.6</v>
      </c>
      <c r="AM66" s="282">
        <v>70.599999999999994</v>
      </c>
      <c r="AN66" s="278" cm="1">
        <f t="array" aca="1" ref="AN66" ca="1">INDIRECT("'"&amp;$C66&amp;"'!"&amp;"$"&amp;$D66&amp;$AL$1&amp;"")</f>
        <v>0</v>
      </c>
      <c r="AO66" s="281" t="s">
        <v>1</v>
      </c>
      <c r="AP66" s="279" t="s">
        <v>1</v>
      </c>
      <c r="AQ66" s="280" cm="1">
        <f t="array" aca="1" ref="AQ66" ca="1">INDIRECT("'"&amp;$C66&amp;"'!"&amp;"$"&amp;$D66&amp;$AQ$1&amp;"")</f>
        <v>3.8</v>
      </c>
      <c r="AR66" s="281">
        <v>0.93</v>
      </c>
      <c r="AS66" s="279">
        <v>0.88</v>
      </c>
      <c r="AT66" s="278">
        <v>14</v>
      </c>
      <c r="AU66" s="282">
        <v>70.400000000000006</v>
      </c>
      <c r="AV66" s="281" cm="1">
        <f t="array" aca="1" ref="AV66" ca="1">INDIRECT("'"&amp;$C66&amp;"'!"&amp;"$"&amp;$D66&amp;$AV$1&amp;"")</f>
        <v>3</v>
      </c>
      <c r="AW66" s="280" t="s">
        <v>1</v>
      </c>
      <c r="AX66" s="281">
        <v>0.96</v>
      </c>
      <c r="AY66" s="279">
        <v>0.9</v>
      </c>
      <c r="AZ66" s="281" cm="1">
        <f t="array" aca="1" ref="AZ66" ca="1">INDIRECT("'"&amp;$C66&amp;"'!"&amp;"$"&amp;$D66&amp;$AZ$1&amp;"")</f>
        <v>7</v>
      </c>
      <c r="BA66" s="280" t="s">
        <v>1</v>
      </c>
      <c r="BB66" s="281">
        <v>0.85</v>
      </c>
      <c r="BC66" s="279">
        <v>0.6</v>
      </c>
      <c r="BD66" s="283">
        <v>14.16</v>
      </c>
      <c r="BE66" s="282">
        <v>71.31</v>
      </c>
      <c r="BF66" s="283" cm="1">
        <f t="array" aca="1" ref="BF66" ca="1">INDIRECT("'"&amp;$C66&amp;"'!"&amp;"$"&amp;$D66&amp;$BF$1&amp;"")</f>
        <v>14.31</v>
      </c>
      <c r="BG66" s="281">
        <v>0.98</v>
      </c>
      <c r="BH66" s="279">
        <v>3.5</v>
      </c>
      <c r="BI66" s="524">
        <v>67.099999999999994</v>
      </c>
      <c r="BJ66" s="278" cm="1">
        <f t="array" aca="1" ref="BJ66" ca="1">INDIRECT("'"&amp;$C66&amp;"'!"&amp;"$"&amp;$D66&amp;$BI$1&amp;"")</f>
        <v>2.2999999999999998</v>
      </c>
      <c r="BK66" s="280">
        <v>0.95</v>
      </c>
      <c r="BL66" s="279">
        <v>0.75</v>
      </c>
      <c r="BM66" s="283" cm="1">
        <f t="array" aca="1" ref="BM66" ca="1">INDIRECT("'"&amp;$C66&amp;"'!"&amp;"$"&amp;$D66&amp;$BM$1&amp;"")</f>
        <v>1.2</v>
      </c>
      <c r="BN66" s="281"/>
      <c r="BO66" s="281">
        <v>0.99</v>
      </c>
      <c r="BP66" s="279">
        <v>0.15</v>
      </c>
      <c r="BQ66" s="284" cm="1">
        <f t="array" aca="1" ref="BQ66" ca="1">INDIRECT("'"&amp;$C66&amp;"'!"&amp;"$"&amp;$D66&amp;$BQ$1&amp;"")</f>
        <v>0.83</v>
      </c>
      <c r="BR66" s="281"/>
      <c r="BS66" s="281">
        <v>0.96</v>
      </c>
      <c r="BT66" s="279">
        <v>0.22</v>
      </c>
      <c r="BU66" s="284" cm="1">
        <f t="array" aca="1" ref="BU66" ca="1">INDIRECT("'"&amp;$C66&amp;"'!"&amp;"$"&amp;$D66&amp;74&amp;"")</f>
        <v>0</v>
      </c>
      <c r="BV66" s="281"/>
      <c r="BW66" s="281" t="s">
        <v>1</v>
      </c>
      <c r="BX66" s="279" t="s">
        <v>1</v>
      </c>
    </row>
    <row r="67" spans="1:76">
      <c r="A67" s="459">
        <v>45841</v>
      </c>
      <c r="B67" s="345">
        <v>0.5</v>
      </c>
      <c r="C67" s="305">
        <v>3</v>
      </c>
      <c r="D67" s="306" t="s">
        <v>154</v>
      </c>
      <c r="E67" s="285">
        <v>13.9</v>
      </c>
      <c r="F67" s="286">
        <v>69.2</v>
      </c>
      <c r="G67" s="287" t="str" cm="1">
        <f t="array" aca="1" ref="G67" ca="1">INDIRECT("'"&amp;$C67&amp;"'!"&amp;"$"&amp;$D67&amp;$E$1&amp;"")</f>
        <v>CMS</v>
      </c>
      <c r="H67" s="288" t="s">
        <v>1</v>
      </c>
      <c r="I67" s="286" t="s">
        <v>1</v>
      </c>
      <c r="J67" s="287" cm="1">
        <f t="array" aca="1" ref="J67" ca="1">INDIRECT("'"&amp;$C67&amp;"'!"&amp;"$"&amp;$D67&amp;$J$1&amp;"")</f>
        <v>6.4</v>
      </c>
      <c r="K67" s="288"/>
      <c r="L67" s="288">
        <v>0.9</v>
      </c>
      <c r="M67" s="289">
        <v>4.7699999999999996</v>
      </c>
      <c r="N67" s="285" cm="1">
        <f t="array" aca="1" ref="N67" ca="1">INDIRECT("'"&amp;$C67&amp;"'!"&amp;"$"&amp;$D67&amp;$N$1&amp;"")</f>
        <v>6.4</v>
      </c>
      <c r="O67" s="288"/>
      <c r="P67" s="288">
        <v>0.9</v>
      </c>
      <c r="Q67" s="289">
        <v>4.72</v>
      </c>
      <c r="R67" s="285" cm="1">
        <f t="array" aca="1" ref="R67" ca="1">INDIRECT("'"&amp;$C67&amp;"'!"&amp;"$"&amp;$D67&amp;$R$1&amp;"")</f>
        <v>6.4</v>
      </c>
      <c r="S67" s="288"/>
      <c r="T67" s="288">
        <v>0.9</v>
      </c>
      <c r="U67" s="286">
        <v>4.7300000000000004</v>
      </c>
      <c r="V67" s="287" t="str" cm="1">
        <f t="array" aca="1" ref="V67" ca="1">INDIRECT("'"&amp;$C67&amp;"'!"&amp;"$"&amp;$D67&amp;$V$1&amp;"")</f>
        <v>CMS</v>
      </c>
      <c r="W67" s="288" t="s">
        <v>1</v>
      </c>
      <c r="X67" s="288" t="s">
        <v>1</v>
      </c>
      <c r="Y67" s="289" t="s">
        <v>1</v>
      </c>
      <c r="Z67" s="285" t="str" cm="1">
        <f t="array" aca="1" ref="Z67" ca="1">INDIRECT("'"&amp;$C67&amp;"'!"&amp;"$"&amp;$D67&amp;$Z$1&amp;"")</f>
        <v>CMS</v>
      </c>
      <c r="AA67" s="288" t="s">
        <v>1</v>
      </c>
      <c r="AB67" s="288" t="s">
        <v>1</v>
      </c>
      <c r="AC67" s="286" t="s">
        <v>1</v>
      </c>
      <c r="AD67" s="287" cm="1">
        <f t="array" aca="1" ref="AD67" ca="1">INDIRECT("'"&amp;$C67&amp;"'!"&amp;"$"&amp;$D67&amp;$AD$1&amp;"")</f>
        <v>3.8</v>
      </c>
      <c r="AE67" s="288">
        <v>13.299999999999999</v>
      </c>
      <c r="AF67" s="288">
        <v>0.9</v>
      </c>
      <c r="AG67" s="289">
        <v>1.58</v>
      </c>
      <c r="AH67" s="285" cm="1">
        <f t="array" aca="1" ref="AH67" ca="1">INDIRECT("'"&amp;$C67&amp;"'!"&amp;"$"&amp;$D67&amp;$AH$1&amp;"")</f>
        <v>3</v>
      </c>
      <c r="AI67" s="288">
        <v>14</v>
      </c>
      <c r="AJ67" s="288">
        <v>0.98</v>
      </c>
      <c r="AK67" s="286">
        <v>0.48699999999999999</v>
      </c>
      <c r="AL67" s="285">
        <v>11.6</v>
      </c>
      <c r="AM67" s="289">
        <v>71</v>
      </c>
      <c r="AN67" s="285" cm="1">
        <f t="array" aca="1" ref="AN67" ca="1">INDIRECT("'"&amp;$C67&amp;"'!"&amp;"$"&amp;$D67&amp;$AL$1&amp;"")</f>
        <v>0</v>
      </c>
      <c r="AO67" s="288" t="s">
        <v>1</v>
      </c>
      <c r="AP67" s="286" t="s">
        <v>1</v>
      </c>
      <c r="AQ67" s="287" cm="1">
        <f t="array" aca="1" ref="AQ67" ca="1">INDIRECT("'"&amp;$C67&amp;"'!"&amp;"$"&amp;$D67&amp;$AQ$1&amp;"")</f>
        <v>3</v>
      </c>
      <c r="AR67" s="288">
        <v>0.9</v>
      </c>
      <c r="AS67" s="286">
        <v>1.28</v>
      </c>
      <c r="AT67" s="285">
        <v>14</v>
      </c>
      <c r="AU67" s="289">
        <v>70.400000000000006</v>
      </c>
      <c r="AV67" s="288" cm="1">
        <f t="array" aca="1" ref="AV67" ca="1">INDIRECT("'"&amp;$C67&amp;"'!"&amp;"$"&amp;$D67&amp;$AV$1&amp;"")</f>
        <v>3</v>
      </c>
      <c r="AW67" s="287" t="s">
        <v>1</v>
      </c>
      <c r="AX67" s="288">
        <v>0.96</v>
      </c>
      <c r="AY67" s="286">
        <v>0.9</v>
      </c>
      <c r="AZ67" s="288" cm="1">
        <f t="array" aca="1" ref="AZ67" ca="1">INDIRECT("'"&amp;$C67&amp;"'!"&amp;"$"&amp;$D67&amp;$AZ$1&amp;"")</f>
        <v>7</v>
      </c>
      <c r="BA67" s="287" t="s">
        <v>1</v>
      </c>
      <c r="BB67" s="288">
        <v>0.85</v>
      </c>
      <c r="BC67" s="286">
        <v>0.6</v>
      </c>
      <c r="BD67" s="290">
        <v>14.25</v>
      </c>
      <c r="BE67" s="289">
        <v>71.69</v>
      </c>
      <c r="BF67" s="290" cm="1">
        <f t="array" aca="1" ref="BF67" ca="1">INDIRECT("'"&amp;$C67&amp;"'!"&amp;"$"&amp;$D67&amp;$BF$1&amp;"")</f>
        <v>14.29</v>
      </c>
      <c r="BG67" s="288">
        <v>0.98</v>
      </c>
      <c r="BH67" s="286">
        <v>3.5</v>
      </c>
      <c r="BI67" s="525">
        <v>67.5</v>
      </c>
      <c r="BJ67" s="285" cm="1">
        <f t="array" aca="1" ref="BJ67" ca="1">INDIRECT("'"&amp;$C67&amp;"'!"&amp;"$"&amp;$D67&amp;$BI$1&amp;"")</f>
        <v>0</v>
      </c>
      <c r="BK67" s="287" t="s">
        <v>1</v>
      </c>
      <c r="BL67" s="286" t="s">
        <v>1</v>
      </c>
      <c r="BM67" s="290" cm="1">
        <f t="array" aca="1" ref="BM67" ca="1">INDIRECT("'"&amp;$C67&amp;"'!"&amp;"$"&amp;$D67&amp;$BM$1&amp;"")</f>
        <v>1.36</v>
      </c>
      <c r="BN67" s="288"/>
      <c r="BO67" s="288">
        <v>0.99</v>
      </c>
      <c r="BP67" s="286">
        <v>0.17</v>
      </c>
      <c r="BQ67" s="291" cm="1">
        <f t="array" aca="1" ref="BQ67" ca="1">INDIRECT("'"&amp;$C67&amp;"'!"&amp;"$"&amp;$D67&amp;$BQ$1&amp;"")</f>
        <v>0.85</v>
      </c>
      <c r="BR67" s="288"/>
      <c r="BS67" s="288">
        <v>0.96</v>
      </c>
      <c r="BT67" s="286">
        <v>0.23</v>
      </c>
      <c r="BU67" s="291" cm="1">
        <f t="array" aca="1" ref="BU67" ca="1">INDIRECT("'"&amp;$C67&amp;"'!"&amp;"$"&amp;$D67&amp;74&amp;"")</f>
        <v>0</v>
      </c>
      <c r="BV67" s="288"/>
      <c r="BW67" s="288" t="s">
        <v>1</v>
      </c>
      <c r="BX67" s="286" t="s">
        <v>1</v>
      </c>
    </row>
    <row r="68" spans="1:76">
      <c r="A68" s="459">
        <v>45841</v>
      </c>
      <c r="B68" s="345">
        <v>0.54166666666666696</v>
      </c>
      <c r="C68" s="305">
        <v>3</v>
      </c>
      <c r="D68" s="306" t="s">
        <v>155</v>
      </c>
      <c r="E68" s="278">
        <v>14</v>
      </c>
      <c r="F68" s="279">
        <v>68.84</v>
      </c>
      <c r="G68" s="280" t="str" cm="1">
        <f t="array" aca="1" ref="G68" ca="1">INDIRECT("'"&amp;$C68&amp;"'!"&amp;"$"&amp;$D68&amp;$E$1&amp;"")</f>
        <v>CMS</v>
      </c>
      <c r="H68" s="281" t="s">
        <v>1</v>
      </c>
      <c r="I68" s="279" t="s">
        <v>1</v>
      </c>
      <c r="J68" s="280" cm="1">
        <f t="array" aca="1" ref="J68" ca="1">INDIRECT("'"&amp;$C68&amp;"'!"&amp;"$"&amp;$D68&amp;$J$1&amp;"")</f>
        <v>7</v>
      </c>
      <c r="K68" s="281"/>
      <c r="L68" s="281">
        <v>0.9</v>
      </c>
      <c r="M68" s="279">
        <v>3.39</v>
      </c>
      <c r="N68" s="278" cm="1">
        <f t="array" aca="1" ref="N68" ca="1">INDIRECT("'"&amp;$C68&amp;"'!"&amp;"$"&amp;$D68&amp;$N$1&amp;"")</f>
        <v>7</v>
      </c>
      <c r="O68" s="281"/>
      <c r="P68" s="281">
        <v>0.9</v>
      </c>
      <c r="Q68" s="279">
        <v>3.34</v>
      </c>
      <c r="R68" s="468" cm="1">
        <f t="array" aca="1" ref="R68" ca="1">INDIRECT("'"&amp;$C68&amp;"'!"&amp;"$"&amp;$D68&amp;$R$1&amp;"")</f>
        <v>7</v>
      </c>
      <c r="S68" s="281"/>
      <c r="T68" s="281">
        <v>0.9</v>
      </c>
      <c r="U68" s="279">
        <v>3.36</v>
      </c>
      <c r="V68" s="280" t="str" cm="1">
        <f t="array" aca="1" ref="V68" ca="1">INDIRECT("'"&amp;$C68&amp;"'!"&amp;"$"&amp;$D68&amp;$V$1&amp;"")</f>
        <v>CMS</v>
      </c>
      <c r="W68" s="281" t="s">
        <v>1</v>
      </c>
      <c r="X68" s="281" t="s">
        <v>1</v>
      </c>
      <c r="Y68" s="282" t="s">
        <v>1</v>
      </c>
      <c r="Z68" s="278" t="str" cm="1">
        <f t="array" aca="1" ref="Z68" ca="1">INDIRECT("'"&amp;$C68&amp;"'!"&amp;"$"&amp;$D68&amp;$Z$1&amp;"")</f>
        <v>CMS</v>
      </c>
      <c r="AA68" s="281" t="s">
        <v>1</v>
      </c>
      <c r="AB68" s="281" t="s">
        <v>1</v>
      </c>
      <c r="AC68" s="279" t="s">
        <v>1</v>
      </c>
      <c r="AD68" s="280" cm="1">
        <f t="array" aca="1" ref="AD68" ca="1">INDIRECT("'"&amp;$C68&amp;"'!"&amp;"$"&amp;$D68&amp;$AD$1&amp;"")</f>
        <v>3.8</v>
      </c>
      <c r="AE68" s="281">
        <f>3.8*3.48</f>
        <v>13.224</v>
      </c>
      <c r="AF68" s="281">
        <v>0.9</v>
      </c>
      <c r="AG68" s="282">
        <v>1.58</v>
      </c>
      <c r="AH68" s="278" cm="1">
        <f t="array" aca="1" ref="AH68" ca="1">INDIRECT("'"&amp;$C68&amp;"'!"&amp;"$"&amp;$D68&amp;$AH$1&amp;"")</f>
        <v>3</v>
      </c>
      <c r="AI68" s="281">
        <v>14.09</v>
      </c>
      <c r="AJ68" s="281">
        <v>0.96</v>
      </c>
      <c r="AK68" s="279">
        <v>0.85199999999999998</v>
      </c>
      <c r="AL68" s="278">
        <v>11.6</v>
      </c>
      <c r="AM68" s="282">
        <v>71</v>
      </c>
      <c r="AN68" s="278" cm="1">
        <f t="array" aca="1" ref="AN68" ca="1">INDIRECT("'"&amp;$C68&amp;"'!"&amp;"$"&amp;$D68&amp;$AL$1&amp;"")</f>
        <v>0</v>
      </c>
      <c r="AO68" s="281" t="s">
        <v>1</v>
      </c>
      <c r="AP68" s="279" t="s">
        <v>1</v>
      </c>
      <c r="AQ68" s="280" cm="1">
        <f t="array" aca="1" ref="AQ68" ca="1">INDIRECT("'"&amp;$C68&amp;"'!"&amp;"$"&amp;$D68&amp;$AQ$1&amp;"")</f>
        <v>3.2</v>
      </c>
      <c r="AR68" s="281">
        <v>0.9</v>
      </c>
      <c r="AS68" s="279">
        <v>1.28</v>
      </c>
      <c r="AT68" s="278">
        <v>14</v>
      </c>
      <c r="AU68" s="282">
        <v>70.400000000000006</v>
      </c>
      <c r="AV68" s="281" cm="1">
        <f t="array" aca="1" ref="AV68" ca="1">INDIRECT("'"&amp;$C68&amp;"'!"&amp;"$"&amp;$D68&amp;$AV$1&amp;"")</f>
        <v>3.3</v>
      </c>
      <c r="AW68" s="280">
        <v>13.7</v>
      </c>
      <c r="AX68" s="281">
        <v>0.96</v>
      </c>
      <c r="AY68" s="279">
        <v>0.9</v>
      </c>
      <c r="AZ68" s="281" cm="1">
        <f t="array" aca="1" ref="AZ68" ca="1">INDIRECT("'"&amp;$C68&amp;"'!"&amp;"$"&amp;$D68&amp;$AZ$1&amp;"")</f>
        <v>7</v>
      </c>
      <c r="BA68" s="280">
        <v>13.7</v>
      </c>
      <c r="BB68" s="281">
        <v>0.85</v>
      </c>
      <c r="BC68" s="279">
        <v>0.6</v>
      </c>
      <c r="BD68" s="283">
        <v>14.26</v>
      </c>
      <c r="BE68" s="282">
        <v>71.819999999999993</v>
      </c>
      <c r="BF68" s="283" cm="1">
        <f t="array" aca="1" ref="BF68" ca="1">INDIRECT("'"&amp;$C68&amp;"'!"&amp;"$"&amp;$D68&amp;$BF$1&amp;"")</f>
        <v>14.28</v>
      </c>
      <c r="BG68" s="281">
        <v>0.98</v>
      </c>
      <c r="BH68" s="279">
        <v>3.4</v>
      </c>
      <c r="BI68" s="524">
        <v>67</v>
      </c>
      <c r="BJ68" s="278" cm="1">
        <f t="array" aca="1" ref="BJ68" ca="1">INDIRECT("'"&amp;$C68&amp;"'!"&amp;"$"&amp;$D68&amp;$BI$1&amp;"")</f>
        <v>0</v>
      </c>
      <c r="BK68" s="280" t="s">
        <v>1</v>
      </c>
      <c r="BL68" s="279" t="s">
        <v>1</v>
      </c>
      <c r="BM68" s="283" cm="1">
        <f t="array" aca="1" ref="BM68" ca="1">INDIRECT("'"&amp;$C68&amp;"'!"&amp;"$"&amp;$D68&amp;$BM$1&amp;"")</f>
        <v>1.36</v>
      </c>
      <c r="BN68" s="281"/>
      <c r="BO68" s="281">
        <v>0.99</v>
      </c>
      <c r="BP68" s="279">
        <v>0.17</v>
      </c>
      <c r="BQ68" s="284" cm="1">
        <f t="array" aca="1" ref="BQ68" ca="1">INDIRECT("'"&amp;$C68&amp;"'!"&amp;"$"&amp;$D68&amp;$BQ$1&amp;"")</f>
        <v>0</v>
      </c>
      <c r="BR68" s="281"/>
      <c r="BS68" s="281" t="s">
        <v>1</v>
      </c>
      <c r="BT68" s="279" t="s">
        <v>1</v>
      </c>
      <c r="BU68" s="284" cm="1">
        <f t="array" aca="1" ref="BU68" ca="1">INDIRECT("'"&amp;$C68&amp;"'!"&amp;"$"&amp;$D68&amp;74&amp;"")</f>
        <v>0</v>
      </c>
      <c r="BV68" s="281"/>
      <c r="BW68" s="281" t="s">
        <v>1</v>
      </c>
      <c r="BX68" s="279" t="s">
        <v>1</v>
      </c>
    </row>
    <row r="69" spans="1:76">
      <c r="A69" s="459">
        <v>45841</v>
      </c>
      <c r="B69" s="345">
        <v>0.58333333333333404</v>
      </c>
      <c r="C69" s="305">
        <v>3</v>
      </c>
      <c r="D69" s="306" t="s">
        <v>156</v>
      </c>
      <c r="E69" s="285">
        <v>14</v>
      </c>
      <c r="F69" s="286">
        <v>68.58</v>
      </c>
      <c r="G69" s="287" t="str" cm="1">
        <f t="array" aca="1" ref="G69" ca="1">INDIRECT("'"&amp;$C69&amp;"'!"&amp;"$"&amp;$D69&amp;$E$1&amp;"")</f>
        <v>CMS</v>
      </c>
      <c r="H69" s="288" t="s">
        <v>1</v>
      </c>
      <c r="I69" s="286" t="s">
        <v>1</v>
      </c>
      <c r="J69" s="287" cm="1">
        <f t="array" aca="1" ref="J69" ca="1">INDIRECT("'"&amp;$C69&amp;"'!"&amp;"$"&amp;$D69&amp;$J$1&amp;"")</f>
        <v>6.6</v>
      </c>
      <c r="K69" s="288"/>
      <c r="L69" s="288">
        <v>0.9</v>
      </c>
      <c r="M69" s="289">
        <v>3.13</v>
      </c>
      <c r="N69" s="285" cm="1">
        <f t="array" aca="1" ref="N69" ca="1">INDIRECT("'"&amp;$C69&amp;"'!"&amp;"$"&amp;$D69&amp;$N$1&amp;"")</f>
        <v>6.6</v>
      </c>
      <c r="O69" s="288"/>
      <c r="P69" s="288">
        <v>0.9</v>
      </c>
      <c r="Q69" s="286">
        <v>3.15</v>
      </c>
      <c r="R69" s="285" cm="1">
        <f t="array" aca="1" ref="R69" ca="1">INDIRECT("'"&amp;$C69&amp;"'!"&amp;"$"&amp;$D69&amp;$R$1&amp;"")</f>
        <v>6.6</v>
      </c>
      <c r="S69" s="288"/>
      <c r="T69" s="288">
        <v>0.9</v>
      </c>
      <c r="U69" s="286">
        <v>3.17</v>
      </c>
      <c r="V69" s="287" t="str" cm="1">
        <f t="array" aca="1" ref="V69" ca="1">INDIRECT("'"&amp;$C69&amp;"'!"&amp;"$"&amp;$D69&amp;$V$1&amp;"")</f>
        <v>CMS</v>
      </c>
      <c r="W69" s="288" t="s">
        <v>1</v>
      </c>
      <c r="X69" s="288" t="s">
        <v>1</v>
      </c>
      <c r="Y69" s="289" t="s">
        <v>1</v>
      </c>
      <c r="Z69" s="285" t="str" cm="1">
        <f t="array" aca="1" ref="Z69" ca="1">INDIRECT("'"&amp;$C69&amp;"'!"&amp;"$"&amp;$D69&amp;$Z$1&amp;"")</f>
        <v>CMS</v>
      </c>
      <c r="AA69" s="288" t="s">
        <v>1</v>
      </c>
      <c r="AB69" s="288" t="s">
        <v>1</v>
      </c>
      <c r="AC69" s="286" t="s">
        <v>1</v>
      </c>
      <c r="AD69" s="287" cm="1">
        <f t="array" aca="1" ref="AD69" ca="1">INDIRECT("'"&amp;$C69&amp;"'!"&amp;"$"&amp;$D69&amp;$AD$1&amp;"")</f>
        <v>3.5</v>
      </c>
      <c r="AE69" s="288">
        <f>3.8*3.46</f>
        <v>13.148</v>
      </c>
      <c r="AF69" s="288">
        <v>0.9</v>
      </c>
      <c r="AG69" s="289">
        <v>1.56</v>
      </c>
      <c r="AH69" s="285" cm="1">
        <f t="array" aca="1" ref="AH69" ca="1">INDIRECT("'"&amp;$C69&amp;"'!"&amp;"$"&amp;$D69&amp;$AH$1&amp;"")</f>
        <v>3.8</v>
      </c>
      <c r="AI69" s="288">
        <v>14.04</v>
      </c>
      <c r="AJ69" s="288">
        <v>0.97</v>
      </c>
      <c r="AK69" s="286">
        <v>0.85899999999999999</v>
      </c>
      <c r="AL69" s="285">
        <v>11.6</v>
      </c>
      <c r="AM69" s="289">
        <v>71</v>
      </c>
      <c r="AN69" s="285" cm="1">
        <f t="array" aca="1" ref="AN69" ca="1">INDIRECT("'"&amp;$C69&amp;"'!"&amp;"$"&amp;$D69&amp;$AL$1&amp;"")</f>
        <v>0</v>
      </c>
      <c r="AO69" s="288" t="s">
        <v>1</v>
      </c>
      <c r="AP69" s="286" t="s">
        <v>1</v>
      </c>
      <c r="AQ69" s="287" cm="1">
        <f t="array" aca="1" ref="AQ69" ca="1">INDIRECT("'"&amp;$C69&amp;"'!"&amp;"$"&amp;$D69&amp;$AQ$1&amp;"")</f>
        <v>3.2</v>
      </c>
      <c r="AR69" s="288">
        <v>0.92</v>
      </c>
      <c r="AS69" s="286">
        <v>1.1000000000000001</v>
      </c>
      <c r="AT69" s="285">
        <v>14</v>
      </c>
      <c r="AU69" s="289">
        <v>70.400000000000006</v>
      </c>
      <c r="AV69" s="288" cm="1">
        <f t="array" aca="1" ref="AV69" ca="1">INDIRECT("'"&amp;$C69&amp;"'!"&amp;"$"&amp;$D69&amp;$AV$1&amp;"")</f>
        <v>3</v>
      </c>
      <c r="AW69" s="287">
        <v>13.7</v>
      </c>
      <c r="AX69" s="288">
        <v>0.96</v>
      </c>
      <c r="AY69" s="286">
        <v>0.9</v>
      </c>
      <c r="AZ69" s="288" cm="1">
        <f t="array" aca="1" ref="AZ69" ca="1">INDIRECT("'"&amp;$C69&amp;"'!"&amp;"$"&amp;$D69&amp;$AZ$1&amp;"")</f>
        <v>6.8</v>
      </c>
      <c r="BA69" s="287">
        <v>13.7</v>
      </c>
      <c r="BB69" s="288">
        <v>0.9</v>
      </c>
      <c r="BC69" s="286">
        <v>0.6</v>
      </c>
      <c r="BD69" s="290">
        <v>14.09</v>
      </c>
      <c r="BE69" s="289">
        <v>71.680000000000007</v>
      </c>
      <c r="BF69" s="290" cm="1">
        <f t="array" aca="1" ref="BF69" ca="1">INDIRECT("'"&amp;$C69&amp;"'!"&amp;"$"&amp;$D69&amp;$BF$1&amp;"")</f>
        <v>12.79</v>
      </c>
      <c r="BG69" s="288">
        <v>1</v>
      </c>
      <c r="BH69" s="286">
        <v>1.2</v>
      </c>
      <c r="BI69" s="525">
        <v>67</v>
      </c>
      <c r="BJ69" s="285" cm="1">
        <f t="array" aca="1" ref="BJ69" ca="1">INDIRECT("'"&amp;$C69&amp;"'!"&amp;"$"&amp;$D69&amp;$BI$1&amp;"")</f>
        <v>1.4</v>
      </c>
      <c r="BK69" s="287">
        <v>0.99</v>
      </c>
      <c r="BL69" s="286">
        <v>0.46</v>
      </c>
      <c r="BM69" s="290" cm="1">
        <f t="array" aca="1" ref="BM69" ca="1">INDIRECT("'"&amp;$C69&amp;"'!"&amp;"$"&amp;$D69&amp;$BM$1&amp;"")</f>
        <v>1.17</v>
      </c>
      <c r="BN69" s="288"/>
      <c r="BO69" s="288">
        <v>0.99</v>
      </c>
      <c r="BP69" s="286">
        <v>0.15</v>
      </c>
      <c r="BQ69" s="291" cm="1">
        <f t="array" aca="1" ref="BQ69" ca="1">INDIRECT("'"&amp;$C69&amp;"'!"&amp;"$"&amp;$D69&amp;$BQ$1&amp;"")</f>
        <v>0</v>
      </c>
      <c r="BR69" s="288"/>
      <c r="BS69" s="288" t="s">
        <v>1</v>
      </c>
      <c r="BT69" s="286" t="s">
        <v>1</v>
      </c>
      <c r="BU69" s="291" cm="1">
        <f t="array" aca="1" ref="BU69" ca="1">INDIRECT("'"&amp;$C69&amp;"'!"&amp;"$"&amp;$D69&amp;74&amp;"")</f>
        <v>0</v>
      </c>
      <c r="BV69" s="288"/>
      <c r="BW69" s="288" t="s">
        <v>1</v>
      </c>
      <c r="BX69" s="286" t="s">
        <v>1</v>
      </c>
    </row>
    <row r="70" spans="1:76">
      <c r="A70" s="459">
        <v>45841</v>
      </c>
      <c r="B70" s="345">
        <v>0.625</v>
      </c>
      <c r="C70" s="305">
        <v>3</v>
      </c>
      <c r="D70" s="306" t="s">
        <v>157</v>
      </c>
      <c r="E70" s="278">
        <v>14</v>
      </c>
      <c r="F70" s="279">
        <v>68.89</v>
      </c>
      <c r="G70" s="280" t="str" cm="1">
        <f t="array" aca="1" ref="G70" ca="1">INDIRECT("'"&amp;$C70&amp;"'!"&amp;"$"&amp;$D70&amp;$E$1&amp;"")</f>
        <v>CMS</v>
      </c>
      <c r="H70" s="281" t="s">
        <v>1</v>
      </c>
      <c r="I70" s="279" t="s">
        <v>1</v>
      </c>
      <c r="J70" s="280" cm="1">
        <f t="array" aca="1" ref="J70" ca="1">INDIRECT("'"&amp;$C70&amp;"'!"&amp;"$"&amp;$D70&amp;$J$1&amp;"")</f>
        <v>6.4</v>
      </c>
      <c r="K70" s="281"/>
      <c r="L70" s="281">
        <v>0.9</v>
      </c>
      <c r="M70" s="282">
        <v>3.09</v>
      </c>
      <c r="N70" s="278" cm="1">
        <f t="array" aca="1" ref="N70" ca="1">INDIRECT("'"&amp;$C70&amp;"'!"&amp;"$"&amp;$D70&amp;$N$1&amp;"")</f>
        <v>6.4</v>
      </c>
      <c r="O70" s="281"/>
      <c r="P70" s="281">
        <v>0.9</v>
      </c>
      <c r="Q70" s="279">
        <v>2.97</v>
      </c>
      <c r="R70" s="468" cm="1">
        <f t="array" aca="1" ref="R70" ca="1">INDIRECT("'"&amp;$C70&amp;"'!"&amp;"$"&amp;$D70&amp;$R$1&amp;"")</f>
        <v>6.4</v>
      </c>
      <c r="S70" s="281"/>
      <c r="T70" s="281">
        <v>0.9</v>
      </c>
      <c r="U70" s="279">
        <v>2.99</v>
      </c>
      <c r="V70" s="280" t="str" cm="1">
        <f t="array" aca="1" ref="V70" ca="1">INDIRECT("'"&amp;$C70&amp;"'!"&amp;"$"&amp;$D70&amp;$V$1&amp;"")</f>
        <v>CMS</v>
      </c>
      <c r="W70" s="281" t="s">
        <v>1</v>
      </c>
      <c r="X70" s="281" t="s">
        <v>1</v>
      </c>
      <c r="Y70" s="282" t="s">
        <v>1</v>
      </c>
      <c r="Z70" s="278" t="str" cm="1">
        <f t="array" aca="1" ref="Z70" ca="1">INDIRECT("'"&amp;$C70&amp;"'!"&amp;"$"&amp;$D70&amp;$Z$1&amp;"")</f>
        <v>CMS</v>
      </c>
      <c r="AA70" s="281" t="s">
        <v>1</v>
      </c>
      <c r="AB70" s="281" t="s">
        <v>1</v>
      </c>
      <c r="AC70" s="279" t="s">
        <v>1</v>
      </c>
      <c r="AD70" s="280" cm="1">
        <f t="array" aca="1" ref="AD70" ca="1">INDIRECT("'"&amp;$C70&amp;"'!"&amp;"$"&amp;$D70&amp;$AD$1&amp;"")</f>
        <v>3</v>
      </c>
      <c r="AE70" s="281">
        <f>3.8*3.48</f>
        <v>13.224</v>
      </c>
      <c r="AF70" s="281">
        <v>0.9</v>
      </c>
      <c r="AG70" s="279">
        <v>1.21</v>
      </c>
      <c r="AH70" s="278" cm="1">
        <f t="array" aca="1" ref="AH70" ca="1">INDIRECT("'"&amp;$C70&amp;"'!"&amp;"$"&amp;$D70&amp;$AH$1&amp;"")</f>
        <v>3</v>
      </c>
      <c r="AI70" s="281">
        <v>14.04</v>
      </c>
      <c r="AJ70" s="281">
        <v>0.97</v>
      </c>
      <c r="AK70" s="279">
        <v>0.84299999999999997</v>
      </c>
      <c r="AL70" s="278">
        <v>11.6</v>
      </c>
      <c r="AM70" s="282">
        <v>70.7</v>
      </c>
      <c r="AN70" s="278" cm="1">
        <f t="array" aca="1" ref="AN70" ca="1">INDIRECT("'"&amp;$C70&amp;"'!"&amp;"$"&amp;$D70&amp;$AL$1&amp;"")</f>
        <v>0</v>
      </c>
      <c r="AO70" s="281" t="s">
        <v>1</v>
      </c>
      <c r="AP70" s="279" t="s">
        <v>1</v>
      </c>
      <c r="AQ70" s="280" cm="1">
        <f t="array" aca="1" ref="AQ70" ca="1">INDIRECT("'"&amp;$C70&amp;"'!"&amp;"$"&amp;$D70&amp;$AQ$1&amp;"")</f>
        <v>3</v>
      </c>
      <c r="AR70" s="281">
        <v>0.94</v>
      </c>
      <c r="AS70" s="279">
        <v>1.1000000000000001</v>
      </c>
      <c r="AT70" s="278">
        <v>14.1</v>
      </c>
      <c r="AU70" s="282">
        <v>70.5</v>
      </c>
      <c r="AV70" s="281" cm="1">
        <f t="array" aca="1" ref="AV70" ca="1">INDIRECT("'"&amp;$C70&amp;"'!"&amp;"$"&amp;$D70&amp;$AV$1&amp;"")</f>
        <v>3</v>
      </c>
      <c r="AW70" s="280">
        <v>13.7</v>
      </c>
      <c r="AX70" s="281">
        <v>0.96</v>
      </c>
      <c r="AY70" s="279">
        <v>0.9</v>
      </c>
      <c r="AZ70" s="281" cm="1">
        <f t="array" aca="1" ref="AZ70" ca="1">INDIRECT("'"&amp;$C70&amp;"'!"&amp;"$"&amp;$D70&amp;$AZ$1&amp;"")</f>
        <v>6.5</v>
      </c>
      <c r="BA70" s="280">
        <v>13.7</v>
      </c>
      <c r="BB70" s="281">
        <v>0.9</v>
      </c>
      <c r="BC70" s="279">
        <v>0.6</v>
      </c>
      <c r="BD70" s="283">
        <v>14.17</v>
      </c>
      <c r="BE70" s="282">
        <v>71.650000000000006</v>
      </c>
      <c r="BF70" s="283" cm="1">
        <f t="array" aca="1" ref="BF70" ca="1">INDIRECT("'"&amp;$C70&amp;"'!"&amp;"$"&amp;$D70&amp;$BF$1&amp;"")</f>
        <v>14.27</v>
      </c>
      <c r="BG70" s="281">
        <v>0.99</v>
      </c>
      <c r="BH70" s="279">
        <v>2.4</v>
      </c>
      <c r="BI70" s="524">
        <v>67.3</v>
      </c>
      <c r="BJ70" s="278" cm="1">
        <f t="array" aca="1" ref="BJ70" ca="1">INDIRECT("'"&amp;$C70&amp;"'!"&amp;"$"&amp;$D70&amp;$BI$1&amp;"")</f>
        <v>2.2000000000000002</v>
      </c>
      <c r="BK70" s="280">
        <v>0.95</v>
      </c>
      <c r="BL70" s="279">
        <v>0.7</v>
      </c>
      <c r="BM70" s="283" cm="1">
        <f t="array" aca="1" ref="BM70" ca="1">INDIRECT("'"&amp;$C70&amp;"'!"&amp;"$"&amp;$D70&amp;$BM$1&amp;"")</f>
        <v>1.0900000000000001</v>
      </c>
      <c r="BN70" s="281"/>
      <c r="BO70" s="281">
        <v>0.99</v>
      </c>
      <c r="BP70" s="279">
        <v>0.14000000000000001</v>
      </c>
      <c r="BQ70" s="284" cm="1">
        <f t="array" aca="1" ref="BQ70" ca="1">INDIRECT("'"&amp;$C70&amp;"'!"&amp;"$"&amp;$D70&amp;$BQ$1&amp;"")</f>
        <v>0</v>
      </c>
      <c r="BR70" s="281"/>
      <c r="BS70" s="281" t="s">
        <v>1</v>
      </c>
      <c r="BT70" s="279" t="s">
        <v>1</v>
      </c>
      <c r="BU70" s="284" cm="1">
        <f t="array" aca="1" ref="BU70" ca="1">INDIRECT("'"&amp;$C70&amp;"'!"&amp;"$"&amp;$D70&amp;74&amp;"")</f>
        <v>0</v>
      </c>
      <c r="BV70" s="281"/>
      <c r="BW70" s="281" t="s">
        <v>1</v>
      </c>
      <c r="BX70" s="279" t="s">
        <v>1</v>
      </c>
    </row>
    <row r="71" spans="1:76">
      <c r="A71" s="459">
        <v>45841</v>
      </c>
      <c r="B71" s="345">
        <v>0.66666666666666696</v>
      </c>
      <c r="C71" s="305">
        <v>3</v>
      </c>
      <c r="D71" s="306" t="s">
        <v>158</v>
      </c>
      <c r="E71" s="285">
        <v>14.1</v>
      </c>
      <c r="F71" s="286">
        <v>69.260000000000005</v>
      </c>
      <c r="G71" s="287" t="str" cm="1">
        <f t="array" aca="1" ref="G71" ca="1">INDIRECT("'"&amp;$C71&amp;"'!"&amp;"$"&amp;$D71&amp;$E$1&amp;"")</f>
        <v>CMS</v>
      </c>
      <c r="H71" s="288" t="s">
        <v>1</v>
      </c>
      <c r="I71" s="286" t="s">
        <v>1</v>
      </c>
      <c r="J71" s="287" cm="1">
        <f t="array" aca="1" ref="J71" ca="1">INDIRECT("'"&amp;$C71&amp;"'!"&amp;"$"&amp;$D71&amp;$J$1&amp;"")</f>
        <v>6.7</v>
      </c>
      <c r="K71" s="288"/>
      <c r="L71" s="288">
        <v>0.9</v>
      </c>
      <c r="M71" s="289">
        <v>3.22</v>
      </c>
      <c r="N71" s="285" cm="1">
        <f t="array" aca="1" ref="N71" ca="1">INDIRECT("'"&amp;$C71&amp;"'!"&amp;"$"&amp;$D71&amp;$N$1&amp;"")</f>
        <v>6.7</v>
      </c>
      <c r="O71" s="288"/>
      <c r="P71" s="288">
        <v>0.9</v>
      </c>
      <c r="Q71" s="286">
        <v>3.19</v>
      </c>
      <c r="R71" s="469" cm="1">
        <f t="array" aca="1" ref="R71" ca="1">INDIRECT("'"&amp;$C71&amp;"'!"&amp;"$"&amp;$D71&amp;$R$1&amp;"")</f>
        <v>6.7</v>
      </c>
      <c r="S71" s="288"/>
      <c r="T71" s="288">
        <v>0.9</v>
      </c>
      <c r="U71" s="286">
        <v>3.24</v>
      </c>
      <c r="V71" s="287" t="str" cm="1">
        <f t="array" aca="1" ref="V71" ca="1">INDIRECT("'"&amp;$C71&amp;"'!"&amp;"$"&amp;$D71&amp;$V$1&amp;"")</f>
        <v>CMS</v>
      </c>
      <c r="W71" s="288" t="s">
        <v>1</v>
      </c>
      <c r="X71" s="288" t="s">
        <v>1</v>
      </c>
      <c r="Y71" s="289" t="s">
        <v>1</v>
      </c>
      <c r="Z71" s="285" t="str" cm="1">
        <f t="array" aca="1" ref="Z71" ca="1">INDIRECT("'"&amp;$C71&amp;"'!"&amp;"$"&amp;$D71&amp;$Z$1&amp;"")</f>
        <v>CMS</v>
      </c>
      <c r="AA71" s="288" t="s">
        <v>1</v>
      </c>
      <c r="AB71" s="288" t="s">
        <v>1</v>
      </c>
      <c r="AC71" s="286" t="s">
        <v>1</v>
      </c>
      <c r="AD71" s="287" cm="1">
        <f t="array" aca="1" ref="AD71" ca="1">INDIRECT("'"&amp;$C71&amp;"'!"&amp;"$"&amp;$D71&amp;$AD$1&amp;"")</f>
        <v>3.8</v>
      </c>
      <c r="AE71" s="288">
        <f>3.51*3.8</f>
        <v>13.337999999999999</v>
      </c>
      <c r="AF71" s="288">
        <v>0.9</v>
      </c>
      <c r="AG71" s="289">
        <v>1.74</v>
      </c>
      <c r="AH71" s="285" cm="1">
        <f t="array" aca="1" ref="AH71" ca="1">INDIRECT("'"&amp;$C71&amp;"'!"&amp;"$"&amp;$D71&amp;$AH$1&amp;"")</f>
        <v>3.8</v>
      </c>
      <c r="AI71" s="288">
        <v>14.04</v>
      </c>
      <c r="AJ71" s="288">
        <v>0.97</v>
      </c>
      <c r="AK71" s="286">
        <v>0.35099999999999998</v>
      </c>
      <c r="AL71" s="285">
        <v>11.6</v>
      </c>
      <c r="AM71" s="289">
        <v>70.7</v>
      </c>
      <c r="AN71" s="285" cm="1">
        <f t="array" aca="1" ref="AN71" ca="1">INDIRECT("'"&amp;$C71&amp;"'!"&amp;"$"&amp;$D71&amp;$AL$1&amp;"")</f>
        <v>0</v>
      </c>
      <c r="AO71" s="288" t="s">
        <v>1</v>
      </c>
      <c r="AP71" s="286" t="s">
        <v>1</v>
      </c>
      <c r="AQ71" s="287" cm="1">
        <f t="array" aca="1" ref="AQ71" ca="1">INDIRECT("'"&amp;$C71&amp;"'!"&amp;"$"&amp;$D71&amp;$AQ$1&amp;"")</f>
        <v>3.8</v>
      </c>
      <c r="AR71" s="288">
        <v>0.94</v>
      </c>
      <c r="AS71" s="286">
        <v>1.3</v>
      </c>
      <c r="AT71" s="285">
        <v>14.1</v>
      </c>
      <c r="AU71" s="289">
        <v>70.5</v>
      </c>
      <c r="AV71" s="288" cm="1">
        <f t="array" aca="1" ref="AV71" ca="1">INDIRECT("'"&amp;$C71&amp;"'!"&amp;"$"&amp;$D71&amp;$AV$1&amp;"")</f>
        <v>0</v>
      </c>
      <c r="AW71" s="287" t="s">
        <v>1</v>
      </c>
      <c r="AX71" s="288" t="s">
        <v>1</v>
      </c>
      <c r="AY71" s="286" t="s">
        <v>1</v>
      </c>
      <c r="AZ71" s="288" cm="1">
        <f t="array" aca="1" ref="AZ71" ca="1">INDIRECT("'"&amp;$C71&amp;"'!"&amp;"$"&amp;$D71&amp;$AZ$1&amp;"")</f>
        <v>7</v>
      </c>
      <c r="BA71" s="287" t="s">
        <v>1</v>
      </c>
      <c r="BB71" s="288">
        <v>0.9</v>
      </c>
      <c r="BC71" s="286">
        <v>0.6</v>
      </c>
      <c r="BD71" s="290">
        <v>14.14</v>
      </c>
      <c r="BE71" s="289">
        <v>71.42</v>
      </c>
      <c r="BF71" s="290" cm="1">
        <f t="array" aca="1" ref="BF71" ca="1">INDIRECT("'"&amp;$C71&amp;"'!"&amp;"$"&amp;$D71&amp;$BF$1&amp;"")</f>
        <v>14.31</v>
      </c>
      <c r="BG71" s="288">
        <v>0.99</v>
      </c>
      <c r="BH71" s="286">
        <v>2.4</v>
      </c>
      <c r="BI71" s="525">
        <v>67.599999999999994</v>
      </c>
      <c r="BJ71" s="285" cm="1">
        <f t="array" aca="1" ref="BJ71" ca="1">INDIRECT("'"&amp;$C71&amp;"'!"&amp;"$"&amp;$D71&amp;$BI$1&amp;"")</f>
        <v>0.7</v>
      </c>
      <c r="BK71" s="287">
        <v>0.95</v>
      </c>
      <c r="BL71" s="286">
        <v>0.7</v>
      </c>
      <c r="BM71" s="290" cm="1">
        <f t="array" aca="1" ref="BM71" ca="1">INDIRECT("'"&amp;$C71&amp;"'!"&amp;"$"&amp;$D71&amp;$BM$1&amp;"")</f>
        <v>1.0900000000000001</v>
      </c>
      <c r="BN71" s="288"/>
      <c r="BO71" s="288">
        <v>0.99</v>
      </c>
      <c r="BP71" s="286">
        <v>0.14000000000000001</v>
      </c>
      <c r="BQ71" s="291" cm="1">
        <f t="array" aca="1" ref="BQ71" ca="1">INDIRECT("'"&amp;$C71&amp;"'!"&amp;"$"&amp;$D71&amp;$BQ$1&amp;"")</f>
        <v>0</v>
      </c>
      <c r="BR71" s="288"/>
      <c r="BS71" s="288" t="s">
        <v>1</v>
      </c>
      <c r="BT71" s="286" t="s">
        <v>1</v>
      </c>
      <c r="BU71" s="291" cm="1">
        <f t="array" aca="1" ref="BU71" ca="1">INDIRECT("'"&amp;$C71&amp;"'!"&amp;"$"&amp;$D71&amp;74&amp;"")</f>
        <v>0</v>
      </c>
      <c r="BV71" s="288"/>
      <c r="BW71" s="288" t="s">
        <v>1</v>
      </c>
      <c r="BX71" s="286" t="s">
        <v>1</v>
      </c>
    </row>
    <row r="72" spans="1:76">
      <c r="A72" s="459">
        <v>45841</v>
      </c>
      <c r="B72" s="345">
        <v>0.70833333333333404</v>
      </c>
      <c r="C72" s="305">
        <v>3</v>
      </c>
      <c r="D72" s="306" t="s">
        <v>159</v>
      </c>
      <c r="E72" s="278">
        <v>14.1</v>
      </c>
      <c r="F72" s="279">
        <v>69.680000000000007</v>
      </c>
      <c r="G72" s="280" t="str" cm="1">
        <f t="array" aca="1" ref="G72" ca="1">INDIRECT("'"&amp;$C72&amp;"'!"&amp;"$"&amp;$D72&amp;$E$1&amp;"")</f>
        <v>CMS</v>
      </c>
      <c r="H72" s="281" t="s">
        <v>1</v>
      </c>
      <c r="I72" s="279" t="s">
        <v>1</v>
      </c>
      <c r="J72" s="280" cm="1">
        <f t="array" aca="1" ref="J72" ca="1">INDIRECT("'"&amp;$C72&amp;"'!"&amp;"$"&amp;$D72&amp;$J$1&amp;"")</f>
        <v>6.7</v>
      </c>
      <c r="K72" s="281"/>
      <c r="L72" s="281">
        <v>0.92</v>
      </c>
      <c r="M72" s="282">
        <v>2.84</v>
      </c>
      <c r="N72" s="278" cm="1">
        <f t="array" aca="1" ref="N72" ca="1">INDIRECT("'"&amp;$C72&amp;"'!"&amp;"$"&amp;$D72&amp;$N$1&amp;"")</f>
        <v>6.7</v>
      </c>
      <c r="O72" s="281"/>
      <c r="P72" s="281">
        <v>0.92</v>
      </c>
      <c r="Q72" s="279">
        <v>2.89</v>
      </c>
      <c r="R72" s="468" cm="1">
        <f t="array" aca="1" ref="R72" ca="1">INDIRECT("'"&amp;$C72&amp;"'!"&amp;"$"&amp;$D72&amp;$R$1&amp;"")</f>
        <v>6.7</v>
      </c>
      <c r="S72" s="281"/>
      <c r="T72" s="281">
        <v>0.92</v>
      </c>
      <c r="U72" s="279">
        <v>2.81</v>
      </c>
      <c r="V72" s="280" t="str" cm="1">
        <f t="array" aca="1" ref="V72" ca="1">INDIRECT("'"&amp;$C72&amp;"'!"&amp;"$"&amp;$D72&amp;$V$1&amp;"")</f>
        <v>CMS</v>
      </c>
      <c r="W72" s="281" t="s">
        <v>1</v>
      </c>
      <c r="X72" s="281" t="s">
        <v>1</v>
      </c>
      <c r="Y72" s="282" t="s">
        <v>1</v>
      </c>
      <c r="Z72" s="278" t="str" cm="1">
        <f t="array" aca="1" ref="Z72" ca="1">INDIRECT("'"&amp;$C72&amp;"'!"&amp;"$"&amp;$D72&amp;$Z$1&amp;"")</f>
        <v>CMS</v>
      </c>
      <c r="AA72" s="281" t="s">
        <v>1</v>
      </c>
      <c r="AB72" s="281" t="s">
        <v>1</v>
      </c>
      <c r="AC72" s="279" t="s">
        <v>1</v>
      </c>
      <c r="AD72" s="280" cm="1">
        <f t="array" aca="1" ref="AD72" ca="1">INDIRECT("'"&amp;$C72&amp;"'!"&amp;"$"&amp;$D72&amp;$AD$1&amp;"")</f>
        <v>3</v>
      </c>
      <c r="AE72" s="281">
        <f>3.8*3.55</f>
        <v>13.489999999999998</v>
      </c>
      <c r="AF72" s="281">
        <v>0.92</v>
      </c>
      <c r="AG72" s="282">
        <v>1.1200000000000001</v>
      </c>
      <c r="AH72" s="278" cm="1">
        <f t="array" aca="1" ref="AH72" ca="1">INDIRECT("'"&amp;$C72&amp;"'!"&amp;"$"&amp;$D72&amp;$AH$1&amp;"")</f>
        <v>3</v>
      </c>
      <c r="AI72" s="281">
        <v>14.09</v>
      </c>
      <c r="AJ72" s="281">
        <v>0.98</v>
      </c>
      <c r="AK72" s="279">
        <v>0.59799999999999998</v>
      </c>
      <c r="AL72" s="278">
        <v>11.6</v>
      </c>
      <c r="AM72" s="282">
        <v>71</v>
      </c>
      <c r="AN72" s="278" cm="1">
        <f t="array" aca="1" ref="AN72" ca="1">INDIRECT("'"&amp;$C72&amp;"'!"&amp;"$"&amp;$D72&amp;$AL$1&amp;"")</f>
        <v>0</v>
      </c>
      <c r="AO72" s="281" t="s">
        <v>1</v>
      </c>
      <c r="AP72" s="279" t="s">
        <v>1</v>
      </c>
      <c r="AQ72" s="280" cm="1">
        <f t="array" aca="1" ref="AQ72" ca="1">INDIRECT("'"&amp;$C72&amp;"'!"&amp;"$"&amp;$D72&amp;$AQ$1&amp;"")</f>
        <v>3</v>
      </c>
      <c r="AR72" s="281">
        <v>0.9</v>
      </c>
      <c r="AS72" s="279">
        <v>1.1000000000000001</v>
      </c>
      <c r="AT72" s="278">
        <v>14.1</v>
      </c>
      <c r="AU72" s="282">
        <v>70.5</v>
      </c>
      <c r="AV72" s="281" cm="1">
        <f t="array" aca="1" ref="AV72" ca="1">INDIRECT("'"&amp;$C72&amp;"'!"&amp;"$"&amp;$D72&amp;$AV$1&amp;"")</f>
        <v>0</v>
      </c>
      <c r="AW72" s="280" t="s">
        <v>1</v>
      </c>
      <c r="AX72" s="281" t="s">
        <v>1</v>
      </c>
      <c r="AY72" s="279" t="s">
        <v>1</v>
      </c>
      <c r="AZ72" s="281" cm="1">
        <f t="array" aca="1" ref="AZ72" ca="1">INDIRECT("'"&amp;$C72&amp;"'!"&amp;"$"&amp;$D72&amp;$AZ$1&amp;"")</f>
        <v>7</v>
      </c>
      <c r="BA72" s="280" t="s">
        <v>1</v>
      </c>
      <c r="BB72" s="281">
        <v>0.93</v>
      </c>
      <c r="BC72" s="279">
        <v>2.6</v>
      </c>
      <c r="BD72" s="283">
        <v>14.2</v>
      </c>
      <c r="BE72" s="282">
        <v>71.849999999999994</v>
      </c>
      <c r="BF72" s="283" cm="1">
        <f t="array" aca="1" ref="BF72" ca="1">INDIRECT("'"&amp;$C72&amp;"'!"&amp;"$"&amp;$D72&amp;$BF$1&amp;"")</f>
        <v>14.29</v>
      </c>
      <c r="BG72" s="281">
        <v>0.99</v>
      </c>
      <c r="BH72" s="279">
        <v>2.4</v>
      </c>
      <c r="BI72" s="524">
        <v>68</v>
      </c>
      <c r="BJ72" s="278" cm="1">
        <f t="array" aca="1" ref="BJ72" ca="1">INDIRECT("'"&amp;$C72&amp;"'!"&amp;"$"&amp;$D72&amp;$BI$1&amp;"")</f>
        <v>0</v>
      </c>
      <c r="BK72" s="280" t="s">
        <v>1</v>
      </c>
      <c r="BL72" s="279" t="s">
        <v>1</v>
      </c>
      <c r="BM72" s="283" cm="1">
        <f t="array" aca="1" ref="BM72" ca="1">INDIRECT("'"&amp;$C72&amp;"'!"&amp;"$"&amp;$D72&amp;$BM$1&amp;"")</f>
        <v>1.06</v>
      </c>
      <c r="BN72" s="281"/>
      <c r="BO72" s="281">
        <v>0.99</v>
      </c>
      <c r="BP72" s="279">
        <v>0.12</v>
      </c>
      <c r="BQ72" s="284" cm="1">
        <f t="array" aca="1" ref="BQ72" ca="1">INDIRECT("'"&amp;$C72&amp;"'!"&amp;"$"&amp;$D72&amp;$BQ$1&amp;"")</f>
        <v>0.95</v>
      </c>
      <c r="BR72" s="281"/>
      <c r="BS72" s="281">
        <v>0.96</v>
      </c>
      <c r="BT72" s="279">
        <v>0.26</v>
      </c>
      <c r="BU72" s="284" cm="1">
        <f t="array" aca="1" ref="BU72" ca="1">INDIRECT("'"&amp;$C72&amp;"'!"&amp;"$"&amp;$D72&amp;74&amp;"")</f>
        <v>0</v>
      </c>
      <c r="BV72" s="281"/>
      <c r="BW72" s="281" t="s">
        <v>1</v>
      </c>
      <c r="BX72" s="279" t="s">
        <v>1</v>
      </c>
    </row>
    <row r="73" spans="1:76">
      <c r="A73" s="459">
        <v>45841</v>
      </c>
      <c r="B73" s="345">
        <v>0.750000000000001</v>
      </c>
      <c r="C73" s="305">
        <v>3</v>
      </c>
      <c r="D73" s="306" t="s">
        <v>160</v>
      </c>
      <c r="E73" s="285">
        <v>14.1</v>
      </c>
      <c r="F73" s="286">
        <v>69.89</v>
      </c>
      <c r="G73" s="287" t="str" cm="1">
        <f t="array" aca="1" ref="G73" ca="1">INDIRECT("'"&amp;$C73&amp;"'!"&amp;"$"&amp;$D73&amp;$E$1&amp;"")</f>
        <v>CMS</v>
      </c>
      <c r="H73" s="288" t="s">
        <v>1</v>
      </c>
      <c r="I73" s="286" t="s">
        <v>1</v>
      </c>
      <c r="J73" s="287" cm="1">
        <f t="array" aca="1" ref="J73" ca="1">INDIRECT("'"&amp;$C73&amp;"'!"&amp;"$"&amp;$D73&amp;$J$1&amp;"")</f>
        <v>6.6</v>
      </c>
      <c r="K73" s="288"/>
      <c r="L73" s="288">
        <v>0.92</v>
      </c>
      <c r="M73" s="289">
        <v>2.74</v>
      </c>
      <c r="N73" s="285" cm="1">
        <f t="array" aca="1" ref="N73" ca="1">INDIRECT("'"&amp;$C73&amp;"'!"&amp;"$"&amp;$D73&amp;$N$1&amp;"")</f>
        <v>6.6</v>
      </c>
      <c r="O73" s="288"/>
      <c r="P73" s="288">
        <v>0.92</v>
      </c>
      <c r="Q73" s="286">
        <v>2.79</v>
      </c>
      <c r="R73" s="285" cm="1">
        <f t="array" aca="1" ref="R73" ca="1">INDIRECT("'"&amp;$C73&amp;"'!"&amp;"$"&amp;$D73&amp;$R$1&amp;"")</f>
        <v>6.6</v>
      </c>
      <c r="S73" s="288"/>
      <c r="T73" s="288">
        <v>0.92</v>
      </c>
      <c r="U73" s="286">
        <v>2.8</v>
      </c>
      <c r="V73" s="287" t="str" cm="1">
        <f t="array" aca="1" ref="V73" ca="1">INDIRECT("'"&amp;$C73&amp;"'!"&amp;"$"&amp;$D73&amp;$V$1&amp;"")</f>
        <v>CMS</v>
      </c>
      <c r="W73" s="288" t="s">
        <v>1</v>
      </c>
      <c r="X73" s="288" t="s">
        <v>1</v>
      </c>
      <c r="Y73" s="289" t="s">
        <v>1</v>
      </c>
      <c r="Z73" s="285" t="str" cm="1">
        <f t="array" aca="1" ref="Z73" ca="1">INDIRECT("'"&amp;$C73&amp;"'!"&amp;"$"&amp;$D73&amp;$Z$1&amp;"")</f>
        <v>CMS</v>
      </c>
      <c r="AA73" s="288" t="s">
        <v>1</v>
      </c>
      <c r="AB73" s="288" t="s">
        <v>1</v>
      </c>
      <c r="AC73" s="286" t="s">
        <v>1</v>
      </c>
      <c r="AD73" s="287" cm="1">
        <f t="array" aca="1" ref="AD73" ca="1">INDIRECT("'"&amp;$C73&amp;"'!"&amp;"$"&amp;$D73&amp;$AD$1&amp;"")</f>
        <v>3.5</v>
      </c>
      <c r="AE73" s="288">
        <f>3.57*3.8</f>
        <v>13.565999999999999</v>
      </c>
      <c r="AF73" s="288">
        <v>0.92</v>
      </c>
      <c r="AG73" s="289">
        <v>1.47</v>
      </c>
      <c r="AH73" s="285" cm="1">
        <f t="array" aca="1" ref="AH73" ca="1">INDIRECT("'"&amp;$C73&amp;"'!"&amp;"$"&amp;$D73&amp;$AH$1&amp;"")</f>
        <v>3</v>
      </c>
      <c r="AI73" s="288">
        <v>14.12</v>
      </c>
      <c r="AJ73" s="288">
        <v>0.99</v>
      </c>
      <c r="AK73" s="286">
        <v>0.40500000000000003</v>
      </c>
      <c r="AL73" s="285">
        <v>11.6</v>
      </c>
      <c r="AM73" s="289">
        <v>71.099999999999994</v>
      </c>
      <c r="AN73" s="285" cm="1">
        <f t="array" aca="1" ref="AN73" ca="1">INDIRECT("'"&amp;$C73&amp;"'!"&amp;"$"&amp;$D73&amp;$AL$1&amp;"")</f>
        <v>0</v>
      </c>
      <c r="AO73" s="288" t="s">
        <v>1</v>
      </c>
      <c r="AP73" s="286" t="s">
        <v>1</v>
      </c>
      <c r="AQ73" s="287" cm="1">
        <f t="array" aca="1" ref="AQ73" ca="1">INDIRECT("'"&amp;$C73&amp;"'!"&amp;"$"&amp;$D73&amp;$AQ$1&amp;"")</f>
        <v>3</v>
      </c>
      <c r="AR73" s="288">
        <v>0.93</v>
      </c>
      <c r="AS73" s="286">
        <v>0.99</v>
      </c>
      <c r="AT73" s="285">
        <v>14.1</v>
      </c>
      <c r="AU73" s="289">
        <v>70.5</v>
      </c>
      <c r="AV73" s="288" cm="1">
        <f t="array" aca="1" ref="AV73" ca="1">INDIRECT("'"&amp;$C73&amp;"'!"&amp;"$"&amp;$D73&amp;$AV$1&amp;"")</f>
        <v>0</v>
      </c>
      <c r="AW73" s="287" t="s">
        <v>1</v>
      </c>
      <c r="AX73" s="288" t="s">
        <v>1</v>
      </c>
      <c r="AY73" s="286" t="s">
        <v>1</v>
      </c>
      <c r="AZ73" s="288" cm="1">
        <f t="array" aca="1" ref="AZ73" ca="1">INDIRECT("'"&amp;$C73&amp;"'!"&amp;"$"&amp;$D73&amp;$AZ$1&amp;"")</f>
        <v>6.5</v>
      </c>
      <c r="BA73" s="287" t="s">
        <v>1</v>
      </c>
      <c r="BB73" s="288">
        <v>0.93</v>
      </c>
      <c r="BC73" s="286">
        <v>2.5</v>
      </c>
      <c r="BD73" s="290">
        <v>14.25</v>
      </c>
      <c r="BE73" s="289">
        <v>72</v>
      </c>
      <c r="BF73" s="290" cm="1">
        <f t="array" aca="1" ref="BF73" ca="1">INDIRECT("'"&amp;$C73&amp;"'!"&amp;"$"&amp;$D73&amp;$BF$1&amp;"")</f>
        <v>14.3</v>
      </c>
      <c r="BG73" s="288">
        <v>0.99</v>
      </c>
      <c r="BH73" s="286">
        <v>2.2999999999999998</v>
      </c>
      <c r="BI73" s="525">
        <v>68.3</v>
      </c>
      <c r="BJ73" s="285" cm="1">
        <f t="array" aca="1" ref="BJ73" ca="1">INDIRECT("'"&amp;$C73&amp;"'!"&amp;"$"&amp;$D73&amp;$BI$1&amp;"")</f>
        <v>0</v>
      </c>
      <c r="BK73" s="287" t="s">
        <v>1</v>
      </c>
      <c r="BL73" s="286" t="s">
        <v>1</v>
      </c>
      <c r="BM73" s="290" cm="1">
        <f t="array" aca="1" ref="BM73" ca="1">INDIRECT("'"&amp;$C73&amp;"'!"&amp;"$"&amp;$D73&amp;$BM$1&amp;"")</f>
        <v>1.4</v>
      </c>
      <c r="BN73" s="288"/>
      <c r="BO73" s="288">
        <v>0.99</v>
      </c>
      <c r="BP73" s="286">
        <v>0.13</v>
      </c>
      <c r="BQ73" s="291" cm="1">
        <f t="array" aca="1" ref="BQ73" ca="1">INDIRECT("'"&amp;$C73&amp;"'!"&amp;"$"&amp;$D73&amp;$BQ$1&amp;"")</f>
        <v>0.93</v>
      </c>
      <c r="BR73" s="288"/>
      <c r="BS73" s="288">
        <v>0.96</v>
      </c>
      <c r="BT73" s="286">
        <v>0.25</v>
      </c>
      <c r="BU73" s="291" cm="1">
        <f t="array" aca="1" ref="BU73" ca="1">INDIRECT("'"&amp;$C73&amp;"'!"&amp;"$"&amp;$D73&amp;74&amp;"")</f>
        <v>0</v>
      </c>
      <c r="BV73" s="288"/>
      <c r="BW73" s="288" t="s">
        <v>1</v>
      </c>
      <c r="BX73" s="286" t="s">
        <v>1</v>
      </c>
    </row>
    <row r="74" spans="1:76">
      <c r="A74" s="459">
        <v>45841</v>
      </c>
      <c r="B74" s="345">
        <v>0.79166666666666696</v>
      </c>
      <c r="C74" s="305">
        <v>3</v>
      </c>
      <c r="D74" s="306" t="s">
        <v>161</v>
      </c>
      <c r="E74" s="278">
        <v>14.1</v>
      </c>
      <c r="F74" s="279">
        <v>69.790000000000006</v>
      </c>
      <c r="G74" s="280" t="str" cm="1">
        <f t="array" aca="1" ref="G74" ca="1">INDIRECT("'"&amp;$C74&amp;"'!"&amp;"$"&amp;$D74&amp;$E$1&amp;"")</f>
        <v>CMS</v>
      </c>
      <c r="H74" s="281" t="s">
        <v>1</v>
      </c>
      <c r="I74" s="279" t="s">
        <v>1</v>
      </c>
      <c r="J74" s="280" cm="1">
        <f t="array" aca="1" ref="J74" ca="1">INDIRECT("'"&amp;$C74&amp;"'!"&amp;"$"&amp;$D74&amp;$J$1&amp;"")</f>
        <v>6.6</v>
      </c>
      <c r="K74" s="292"/>
      <c r="L74" s="281">
        <v>0.92</v>
      </c>
      <c r="M74" s="282">
        <v>2.73</v>
      </c>
      <c r="N74" s="278" cm="1">
        <f t="array" aca="1" ref="N74" ca="1">INDIRECT("'"&amp;$C74&amp;"'!"&amp;"$"&amp;$D74&amp;$N$1&amp;"")</f>
        <v>6.6</v>
      </c>
      <c r="O74" s="281"/>
      <c r="P74" s="281">
        <v>0.92</v>
      </c>
      <c r="Q74" s="279">
        <v>2.77</v>
      </c>
      <c r="R74" s="468" cm="1">
        <f t="array" aca="1" ref="R74" ca="1">INDIRECT("'"&amp;$C74&amp;"'!"&amp;"$"&amp;$D74&amp;$R$1&amp;"")</f>
        <v>6.6</v>
      </c>
      <c r="S74" s="281"/>
      <c r="T74" s="281">
        <v>0.92</v>
      </c>
      <c r="U74" s="279">
        <v>2.79</v>
      </c>
      <c r="V74" s="280" t="str" cm="1">
        <f t="array" aca="1" ref="V74" ca="1">INDIRECT("'"&amp;$C74&amp;"'!"&amp;"$"&amp;$D74&amp;$V$1&amp;"")</f>
        <v>CMS</v>
      </c>
      <c r="W74" s="281" t="s">
        <v>1</v>
      </c>
      <c r="X74" s="281" t="s">
        <v>1</v>
      </c>
      <c r="Y74" s="282" t="s">
        <v>1</v>
      </c>
      <c r="Z74" s="278" t="str" cm="1">
        <f t="array" aca="1" ref="Z74" ca="1">INDIRECT("'"&amp;$C74&amp;"'!"&amp;"$"&amp;$D74&amp;$Z$1&amp;"")</f>
        <v>CMS</v>
      </c>
      <c r="AA74" s="281" t="s">
        <v>1</v>
      </c>
      <c r="AB74" s="281" t="s">
        <v>1</v>
      </c>
      <c r="AC74" s="279" t="s">
        <v>1</v>
      </c>
      <c r="AD74" s="280" cm="1">
        <f t="array" aca="1" ref="AD74" ca="1">INDIRECT("'"&amp;$C74&amp;"'!"&amp;"$"&amp;$D74&amp;$AD$1&amp;"")</f>
        <v>3</v>
      </c>
      <c r="AE74" s="281">
        <f>3.8*3.56</f>
        <v>13.527999999999999</v>
      </c>
      <c r="AF74" s="281">
        <v>0.94</v>
      </c>
      <c r="AG74" s="282">
        <v>0.96</v>
      </c>
      <c r="AH74" s="278" cm="1">
        <f t="array" aca="1" ref="AH74" ca="1">INDIRECT("'"&amp;$C74&amp;"'!"&amp;"$"&amp;$D74&amp;$AH$1&amp;"")</f>
        <v>3</v>
      </c>
      <c r="AI74" s="281">
        <v>14.08</v>
      </c>
      <c r="AJ74" s="281">
        <v>0.99</v>
      </c>
      <c r="AK74" s="279">
        <v>0.48699999999999999</v>
      </c>
      <c r="AL74" s="278">
        <v>11.6</v>
      </c>
      <c r="AM74" s="282">
        <v>71.099999999999994</v>
      </c>
      <c r="AN74" s="278" cm="1">
        <f t="array" aca="1" ref="AN74" ca="1">INDIRECT("'"&amp;$C74&amp;"'!"&amp;"$"&amp;$D74&amp;$AL$1&amp;"")</f>
        <v>0</v>
      </c>
      <c r="AO74" s="281" t="s">
        <v>1</v>
      </c>
      <c r="AP74" s="279" t="s">
        <v>1</v>
      </c>
      <c r="AQ74" s="280" cm="1">
        <f t="array" aca="1" ref="AQ74" ca="1">INDIRECT("'"&amp;$C74&amp;"'!"&amp;"$"&amp;$D74&amp;$AQ$1&amp;"")</f>
        <v>3.8</v>
      </c>
      <c r="AR74" s="281">
        <v>0.96</v>
      </c>
      <c r="AS74" s="279">
        <v>0.99</v>
      </c>
      <c r="AT74" s="278">
        <v>14.1</v>
      </c>
      <c r="AU74" s="282">
        <v>70.5</v>
      </c>
      <c r="AV74" s="281" cm="1">
        <f t="array" aca="1" ref="AV74" ca="1">INDIRECT("'"&amp;$C74&amp;"'!"&amp;"$"&amp;$D74&amp;$AV$1&amp;"")</f>
        <v>0</v>
      </c>
      <c r="AW74" s="280">
        <v>13.7</v>
      </c>
      <c r="AX74" s="281" t="s">
        <v>1</v>
      </c>
      <c r="AY74" s="279" t="s">
        <v>1</v>
      </c>
      <c r="AZ74" s="281" cm="1">
        <f t="array" aca="1" ref="AZ74" ca="1">INDIRECT("'"&amp;$C74&amp;"'!"&amp;"$"&amp;$D74&amp;$AZ$1&amp;"")</f>
        <v>7</v>
      </c>
      <c r="BA74" s="280">
        <v>13.7</v>
      </c>
      <c r="BB74" s="281">
        <v>0.93</v>
      </c>
      <c r="BC74" s="279">
        <v>2.2999999999999998</v>
      </c>
      <c r="BD74" s="283">
        <v>14.25</v>
      </c>
      <c r="BE74" s="282">
        <v>72</v>
      </c>
      <c r="BF74" s="283" cm="1">
        <f t="array" aca="1" ref="BF74" ca="1">INDIRECT("'"&amp;$C74&amp;"'!"&amp;"$"&amp;$D74&amp;$BF$1&amp;"")</f>
        <v>14.32</v>
      </c>
      <c r="BG74" s="281">
        <v>0.99</v>
      </c>
      <c r="BH74" s="279">
        <v>2.4</v>
      </c>
      <c r="BI74" s="524">
        <v>68.3</v>
      </c>
      <c r="BJ74" s="278" cm="1">
        <f t="array" aca="1" ref="BJ74" ca="1">INDIRECT("'"&amp;$C74&amp;"'!"&amp;"$"&amp;$D74&amp;$BI$1&amp;"")</f>
        <v>0</v>
      </c>
      <c r="BK74" s="280" t="s">
        <v>1</v>
      </c>
      <c r="BL74" s="279" t="s">
        <v>1</v>
      </c>
      <c r="BM74" s="283" cm="1">
        <f t="array" aca="1" ref="BM74" ca="1">INDIRECT("'"&amp;$C74&amp;"'!"&amp;"$"&amp;$D74&amp;$BM$1&amp;"")</f>
        <v>1.23</v>
      </c>
      <c r="BN74" s="281"/>
      <c r="BO74" s="281">
        <v>0.99</v>
      </c>
      <c r="BP74" s="279">
        <v>0.12</v>
      </c>
      <c r="BQ74" s="284" cm="1">
        <f t="array" aca="1" ref="BQ74" ca="1">INDIRECT("'"&amp;$C74&amp;"'!"&amp;"$"&amp;$D74&amp;$BQ$1&amp;"")</f>
        <v>0.99</v>
      </c>
      <c r="BR74" s="281"/>
      <c r="BS74" s="281">
        <v>0.97</v>
      </c>
      <c r="BT74" s="279">
        <v>0.25</v>
      </c>
      <c r="BU74" s="284" cm="1">
        <f t="array" aca="1" ref="BU74" ca="1">INDIRECT("'"&amp;$C74&amp;"'!"&amp;"$"&amp;$D74&amp;74&amp;"")</f>
        <v>0</v>
      </c>
      <c r="BV74" s="281"/>
      <c r="BW74" s="281" t="s">
        <v>1</v>
      </c>
      <c r="BX74" s="279" t="s">
        <v>1</v>
      </c>
    </row>
    <row r="75" spans="1:76">
      <c r="A75" s="459">
        <v>45841</v>
      </c>
      <c r="B75" s="345">
        <v>0.83333333333333337</v>
      </c>
      <c r="C75" s="305">
        <v>3</v>
      </c>
      <c r="D75" s="306" t="s">
        <v>162</v>
      </c>
      <c r="E75" s="285">
        <v>14</v>
      </c>
      <c r="F75" s="286">
        <v>69.41</v>
      </c>
      <c r="G75" s="287" t="str" cm="1">
        <f t="array" aca="1" ref="G75" ca="1">INDIRECT("'"&amp;$C75&amp;"'!"&amp;"$"&amp;$D75&amp;$E$1&amp;"")</f>
        <v>CMS</v>
      </c>
      <c r="H75" s="288" t="s">
        <v>1</v>
      </c>
      <c r="I75" s="286" t="s">
        <v>1</v>
      </c>
      <c r="J75" s="287" cm="1">
        <f t="array" aca="1" ref="J75" ca="1">INDIRECT("'"&amp;$C75&amp;"'!"&amp;"$"&amp;$D75&amp;$J$1&amp;"")</f>
        <v>6.5</v>
      </c>
      <c r="K75" s="288"/>
      <c r="L75" s="288">
        <v>0.95</v>
      </c>
      <c r="M75" s="289">
        <v>1.8</v>
      </c>
      <c r="N75" s="285" cm="1">
        <f t="array" aca="1" ref="N75" ca="1">INDIRECT("'"&amp;$C75&amp;"'!"&amp;"$"&amp;$D75&amp;$N$1&amp;"")</f>
        <v>6.5</v>
      </c>
      <c r="O75" s="288"/>
      <c r="P75" s="288">
        <v>0.95</v>
      </c>
      <c r="Q75" s="286">
        <v>1.8</v>
      </c>
      <c r="R75" s="285" cm="1">
        <f t="array" aca="1" ref="R75" ca="1">INDIRECT("'"&amp;$C75&amp;"'!"&amp;"$"&amp;$D75&amp;$R$1&amp;"")</f>
        <v>6.5</v>
      </c>
      <c r="S75" s="288"/>
      <c r="T75" s="288">
        <v>0.95</v>
      </c>
      <c r="U75" s="286">
        <v>1.8</v>
      </c>
      <c r="V75" s="287" t="str" cm="1">
        <f t="array" aca="1" ref="V75" ca="1">INDIRECT("'"&amp;$C75&amp;"'!"&amp;"$"&amp;$D75&amp;$V$1&amp;"")</f>
        <v>CMS</v>
      </c>
      <c r="W75" s="288" t="s">
        <v>1</v>
      </c>
      <c r="X75" s="288" t="s">
        <v>1</v>
      </c>
      <c r="Y75" s="289" t="s">
        <v>1</v>
      </c>
      <c r="Z75" s="285" t="str" cm="1">
        <f t="array" aca="1" ref="Z75" ca="1">INDIRECT("'"&amp;$C75&amp;"'!"&amp;"$"&amp;$D75&amp;$Z$1&amp;"")</f>
        <v>CMS</v>
      </c>
      <c r="AA75" s="288" t="s">
        <v>1</v>
      </c>
      <c r="AB75" s="288" t="s">
        <v>1</v>
      </c>
      <c r="AC75" s="286" t="s">
        <v>1</v>
      </c>
      <c r="AD75" s="287" cm="1">
        <f t="array" aca="1" ref="AD75" ca="1">INDIRECT("'"&amp;$C75&amp;"'!"&amp;"$"&amp;$D75&amp;$AD$1&amp;"")</f>
        <v>3</v>
      </c>
      <c r="AE75" s="288">
        <f>3.57*3.8</f>
        <v>13.565999999999999</v>
      </c>
      <c r="AF75" s="288">
        <v>0.95</v>
      </c>
      <c r="AG75" s="289">
        <v>0.85</v>
      </c>
      <c r="AH75" s="285" cm="1">
        <f t="array" aca="1" ref="AH75" ca="1">INDIRECT("'"&amp;$C75&amp;"'!"&amp;"$"&amp;$D75&amp;$AH$1&amp;"")</f>
        <v>2.5</v>
      </c>
      <c r="AI75" s="288">
        <v>14</v>
      </c>
      <c r="AJ75" s="288">
        <v>0.97</v>
      </c>
      <c r="AK75" s="286">
        <v>0.52300000000000002</v>
      </c>
      <c r="AL75" s="285">
        <v>11.6</v>
      </c>
      <c r="AM75" s="289">
        <v>70.5</v>
      </c>
      <c r="AN75" s="285" cm="1">
        <f t="array" aca="1" ref="AN75" ca="1">INDIRECT("'"&amp;$C75&amp;"'!"&amp;"$"&amp;$D75&amp;$AL$1&amp;"")</f>
        <v>0</v>
      </c>
      <c r="AO75" s="288" t="s">
        <v>1</v>
      </c>
      <c r="AP75" s="286" t="s">
        <v>1</v>
      </c>
      <c r="AQ75" s="287" cm="1">
        <f t="array" aca="1" ref="AQ75" ca="1">INDIRECT("'"&amp;$C75&amp;"'!"&amp;"$"&amp;$D75&amp;$AQ$1&amp;"")</f>
        <v>2</v>
      </c>
      <c r="AR75" s="288">
        <v>0.9</v>
      </c>
      <c r="AS75" s="286">
        <v>1.4</v>
      </c>
      <c r="AT75" s="285">
        <v>14.1</v>
      </c>
      <c r="AU75" s="289">
        <v>70.5</v>
      </c>
      <c r="AV75" s="288" cm="1">
        <f t="array" aca="1" ref="AV75" ca="1">INDIRECT("'"&amp;$C75&amp;"'!"&amp;"$"&amp;$D75&amp;$AV$1&amp;"")</f>
        <v>0</v>
      </c>
      <c r="AW75" s="287" t="s">
        <v>1</v>
      </c>
      <c r="AX75" s="288" t="s">
        <v>1</v>
      </c>
      <c r="AY75" s="286" t="s">
        <v>1</v>
      </c>
      <c r="AZ75" s="288" cm="1">
        <f t="array" aca="1" ref="AZ75" ca="1">INDIRECT("'"&amp;$C75&amp;"'!"&amp;"$"&amp;$D75&amp;$AZ$1&amp;"")</f>
        <v>7</v>
      </c>
      <c r="BA75" s="287" t="s">
        <v>1</v>
      </c>
      <c r="BB75" s="288">
        <v>0.93</v>
      </c>
      <c r="BC75" s="286">
        <v>2.6</v>
      </c>
      <c r="BD75" s="290">
        <v>14.06</v>
      </c>
      <c r="BE75" s="289">
        <v>71.56</v>
      </c>
      <c r="BF75" s="290" cm="1">
        <f t="array" aca="1" ref="BF75" ca="1">INDIRECT("'"&amp;$C75&amp;"'!"&amp;"$"&amp;$D75&amp;$BF$1&amp;"")</f>
        <v>14.27</v>
      </c>
      <c r="BG75" s="288">
        <v>1</v>
      </c>
      <c r="BH75" s="286">
        <v>1.3</v>
      </c>
      <c r="BI75" s="525">
        <v>68.5</v>
      </c>
      <c r="BJ75" s="285" cm="1">
        <f t="array" aca="1" ref="BJ75" ca="1">INDIRECT("'"&amp;$C75&amp;"'!"&amp;"$"&amp;$D75&amp;$BI$1&amp;"")</f>
        <v>0</v>
      </c>
      <c r="BK75" s="287" t="s">
        <v>1</v>
      </c>
      <c r="BL75" s="286" t="s">
        <v>1</v>
      </c>
      <c r="BM75" s="290" cm="1">
        <f t="array" aca="1" ref="BM75" ca="1">INDIRECT("'"&amp;$C75&amp;"'!"&amp;"$"&amp;$D75&amp;$BM$1&amp;"")</f>
        <v>1.1599999999999999</v>
      </c>
      <c r="BN75" s="288"/>
      <c r="BO75" s="288">
        <v>0.99</v>
      </c>
      <c r="BP75" s="286">
        <v>0.12</v>
      </c>
      <c r="BQ75" s="291" cm="1">
        <f t="array" aca="1" ref="BQ75" ca="1">INDIRECT("'"&amp;$C75&amp;"'!"&amp;"$"&amp;$D75&amp;$BQ$1&amp;"")</f>
        <v>0.91</v>
      </c>
      <c r="BR75" s="288"/>
      <c r="BS75" s="288">
        <v>0.97</v>
      </c>
      <c r="BT75" s="286">
        <v>0.23</v>
      </c>
      <c r="BU75" s="291" cm="1">
        <f t="array" aca="1" ref="BU75" ca="1">INDIRECT("'"&amp;$C75&amp;"'!"&amp;"$"&amp;$D75&amp;74&amp;"")</f>
        <v>0</v>
      </c>
      <c r="BV75" s="288"/>
      <c r="BW75" s="288" t="s">
        <v>1</v>
      </c>
      <c r="BX75" s="286" t="s">
        <v>1</v>
      </c>
    </row>
    <row r="76" spans="1:76">
      <c r="A76" s="459">
        <v>45841</v>
      </c>
      <c r="B76" s="345">
        <v>0.875000000000001</v>
      </c>
      <c r="C76" s="305">
        <v>3</v>
      </c>
      <c r="D76" s="306" t="s">
        <v>163</v>
      </c>
      <c r="E76" s="278">
        <v>14</v>
      </c>
      <c r="F76" s="279">
        <v>69.5</v>
      </c>
      <c r="G76" s="280" t="str" cm="1">
        <f t="array" aca="1" ref="G76" ca="1">INDIRECT("'"&amp;$C76&amp;"'!"&amp;"$"&amp;$D76&amp;$E$1&amp;"")</f>
        <v>CMS</v>
      </c>
      <c r="H76" s="281" t="s">
        <v>1</v>
      </c>
      <c r="I76" s="279" t="s">
        <v>1</v>
      </c>
      <c r="J76" s="280" cm="1">
        <f t="array" aca="1" ref="J76" ca="1">INDIRECT("'"&amp;$C76&amp;"'!"&amp;"$"&amp;$D76&amp;$J$1&amp;"")</f>
        <v>6.6</v>
      </c>
      <c r="K76" s="281"/>
      <c r="L76" s="281">
        <v>0.96</v>
      </c>
      <c r="M76" s="282">
        <v>1.87</v>
      </c>
      <c r="N76" s="278" cm="1">
        <f t="array" aca="1" ref="N76" ca="1">INDIRECT("'"&amp;$C76&amp;"'!"&amp;"$"&amp;$D76&amp;$N$1&amp;"")</f>
        <v>6.6</v>
      </c>
      <c r="O76" s="281"/>
      <c r="P76" s="281">
        <v>0.96</v>
      </c>
      <c r="Q76" s="279">
        <v>1.87</v>
      </c>
      <c r="R76" s="468" cm="1">
        <f t="array" aca="1" ref="R76" ca="1">INDIRECT("'"&amp;$C76&amp;"'!"&amp;"$"&amp;$D76&amp;$R$1&amp;"")</f>
        <v>6.6</v>
      </c>
      <c r="S76" s="281"/>
      <c r="T76" s="281">
        <v>0.96</v>
      </c>
      <c r="U76" s="279">
        <v>1.87</v>
      </c>
      <c r="V76" s="280" t="str" cm="1">
        <f t="array" aca="1" ref="V76" ca="1">INDIRECT("'"&amp;$C76&amp;"'!"&amp;"$"&amp;$D76&amp;$V$1&amp;"")</f>
        <v>CMS</v>
      </c>
      <c r="W76" s="281" t="s">
        <v>1</v>
      </c>
      <c r="X76" s="281" t="s">
        <v>1</v>
      </c>
      <c r="Y76" s="282" t="s">
        <v>1</v>
      </c>
      <c r="Z76" s="278" t="str" cm="1">
        <f t="array" aca="1" ref="Z76" ca="1">INDIRECT("'"&amp;$C76&amp;"'!"&amp;"$"&amp;$D76&amp;$Z$1&amp;"")</f>
        <v>CMS</v>
      </c>
      <c r="AA76" s="281" t="s">
        <v>1</v>
      </c>
      <c r="AB76" s="281" t="s">
        <v>1</v>
      </c>
      <c r="AC76" s="279" t="s">
        <v>1</v>
      </c>
      <c r="AD76" s="280" cm="1">
        <f t="array" aca="1" ref="AD76" ca="1">INDIRECT("'"&amp;$C76&amp;"'!"&amp;"$"&amp;$D76&amp;$AD$1&amp;"")</f>
        <v>2.5</v>
      </c>
      <c r="AE76" s="281">
        <f>3.8*3.54</f>
        <v>13.452</v>
      </c>
      <c r="AF76" s="281">
        <v>0.97</v>
      </c>
      <c r="AG76" s="282">
        <v>0.49</v>
      </c>
      <c r="AH76" s="278" cm="1">
        <f t="array" aca="1" ref="AH76" ca="1">INDIRECT("'"&amp;$C76&amp;"'!"&amp;"$"&amp;$D76&amp;$AH$1&amp;"")</f>
        <v>0</v>
      </c>
      <c r="AI76" s="281" t="s">
        <v>1</v>
      </c>
      <c r="AJ76" s="281" t="s">
        <v>1</v>
      </c>
      <c r="AK76" s="279" t="s">
        <v>1</v>
      </c>
      <c r="AL76" s="278">
        <v>11.6</v>
      </c>
      <c r="AM76" s="282">
        <v>70.7</v>
      </c>
      <c r="AN76" s="278" cm="1">
        <f t="array" aca="1" ref="AN76" ca="1">INDIRECT("'"&amp;$C76&amp;"'!"&amp;"$"&amp;$D76&amp;$AL$1&amp;"")</f>
        <v>0</v>
      </c>
      <c r="AO76" s="281" t="s">
        <v>1</v>
      </c>
      <c r="AP76" s="279" t="s">
        <v>1</v>
      </c>
      <c r="AQ76" s="280" cm="1">
        <f t="array" aca="1" ref="AQ76" ca="1">INDIRECT("'"&amp;$C76&amp;"'!"&amp;"$"&amp;$D76&amp;$AQ$1&amp;"")</f>
        <v>2</v>
      </c>
      <c r="AR76" s="281">
        <v>0.94</v>
      </c>
      <c r="AS76" s="279">
        <v>0.69</v>
      </c>
      <c r="AT76" s="278">
        <v>13.88</v>
      </c>
      <c r="AU76" s="282">
        <v>70.3</v>
      </c>
      <c r="AV76" s="281" cm="1">
        <f t="array" aca="1" ref="AV76" ca="1">INDIRECT("'"&amp;$C76&amp;"'!"&amp;"$"&amp;$D76&amp;$AV$1&amp;"")</f>
        <v>0</v>
      </c>
      <c r="AW76" s="280" t="s">
        <v>1</v>
      </c>
      <c r="AX76" s="281" t="s">
        <v>1</v>
      </c>
      <c r="AY76" s="279" t="s">
        <v>1</v>
      </c>
      <c r="AZ76" s="281" cm="1">
        <f t="array" aca="1" ref="AZ76" ca="1">INDIRECT("'"&amp;$C76&amp;"'!"&amp;"$"&amp;$D76&amp;$AZ$1&amp;"")</f>
        <v>7</v>
      </c>
      <c r="BA76" s="280" t="s">
        <v>1</v>
      </c>
      <c r="BB76" s="281">
        <v>0.98</v>
      </c>
      <c r="BC76" s="279">
        <v>1.4</v>
      </c>
      <c r="BD76" s="283">
        <v>14.12</v>
      </c>
      <c r="BE76" s="282">
        <v>71.41</v>
      </c>
      <c r="BF76" s="283" cm="1">
        <f t="array" aca="1" ref="BF76" ca="1">INDIRECT("'"&amp;$C76&amp;"'!"&amp;"$"&amp;$D76&amp;$BF$1&amp;"")</f>
        <v>14.23</v>
      </c>
      <c r="BG76" s="281">
        <v>0.99</v>
      </c>
      <c r="BH76" s="279">
        <v>2.4</v>
      </c>
      <c r="BI76" s="524">
        <v>68.599999999999994</v>
      </c>
      <c r="BJ76" s="278" cm="1">
        <f t="array" aca="1" ref="BJ76" ca="1">INDIRECT("'"&amp;$C76&amp;"'!"&amp;"$"&amp;$D76&amp;$BI$1&amp;"")</f>
        <v>0</v>
      </c>
      <c r="BK76" s="280" t="s">
        <v>1</v>
      </c>
      <c r="BL76" s="279" t="s">
        <v>1</v>
      </c>
      <c r="BM76" s="283" cm="1">
        <f t="array" aca="1" ref="BM76" ca="1">INDIRECT("'"&amp;$C76&amp;"'!"&amp;"$"&amp;$D76&amp;$BM$1&amp;"")</f>
        <v>1.1000000000000001</v>
      </c>
      <c r="BN76" s="281"/>
      <c r="BO76" s="281">
        <v>0.99</v>
      </c>
      <c r="BP76" s="279">
        <v>0.12</v>
      </c>
      <c r="BQ76" s="284" cm="1">
        <f t="array" aca="1" ref="BQ76" ca="1">INDIRECT("'"&amp;$C76&amp;"'!"&amp;"$"&amp;$D76&amp;$BQ$1&amp;"")</f>
        <v>0.85</v>
      </c>
      <c r="BR76" s="281"/>
      <c r="BS76" s="281">
        <v>0.97</v>
      </c>
      <c r="BT76" s="279">
        <v>0.22</v>
      </c>
      <c r="BU76" s="284" cm="1">
        <f t="array" aca="1" ref="BU76" ca="1">INDIRECT("'"&amp;$C76&amp;"'!"&amp;"$"&amp;$D76&amp;74&amp;"")</f>
        <v>0</v>
      </c>
      <c r="BV76" s="281"/>
      <c r="BW76" s="281" t="s">
        <v>1</v>
      </c>
      <c r="BX76" s="279" t="s">
        <v>1</v>
      </c>
    </row>
    <row r="77" spans="1:76">
      <c r="A77" s="459">
        <v>45841</v>
      </c>
      <c r="B77" s="345">
        <v>0.91666666666666696</v>
      </c>
      <c r="C77" s="305">
        <v>3</v>
      </c>
      <c r="D77" s="306" t="s">
        <v>164</v>
      </c>
      <c r="E77" s="285">
        <v>14</v>
      </c>
      <c r="F77" s="286">
        <v>69.790000000000006</v>
      </c>
      <c r="G77" s="287" t="str" cm="1">
        <f t="array" aca="1" ref="G77" ca="1">INDIRECT("'"&amp;$C77&amp;"'!"&amp;"$"&amp;$D77&amp;$E$1&amp;"")</f>
        <v>CMS</v>
      </c>
      <c r="H77" s="288" t="s">
        <v>1</v>
      </c>
      <c r="I77" s="286" t="s">
        <v>1</v>
      </c>
      <c r="J77" s="287" cm="1">
        <f t="array" aca="1" ref="J77" ca="1">INDIRECT("'"&amp;$C77&amp;"'!"&amp;"$"&amp;$D77&amp;$J$1&amp;"")</f>
        <v>6.7</v>
      </c>
      <c r="K77" s="288"/>
      <c r="L77" s="288">
        <v>0.98</v>
      </c>
      <c r="M77" s="289">
        <v>1.25</v>
      </c>
      <c r="N77" s="285" cm="1">
        <f t="array" aca="1" ref="N77" ca="1">INDIRECT("'"&amp;$C77&amp;"'!"&amp;"$"&amp;$D77&amp;$N$1&amp;"")</f>
        <v>6.7</v>
      </c>
      <c r="O77" s="288"/>
      <c r="P77" s="288">
        <v>0.98</v>
      </c>
      <c r="Q77" s="286">
        <v>1.25</v>
      </c>
      <c r="R77" s="285" cm="1">
        <f t="array" aca="1" ref="R77" ca="1">INDIRECT("'"&amp;$C77&amp;"'!"&amp;"$"&amp;$D77&amp;$R$1&amp;"")</f>
        <v>6.7</v>
      </c>
      <c r="S77" s="288"/>
      <c r="T77" s="288">
        <v>0.98</v>
      </c>
      <c r="U77" s="286">
        <v>1.25</v>
      </c>
      <c r="V77" s="287" t="str" cm="1">
        <f t="array" aca="1" ref="V77" ca="1">INDIRECT("'"&amp;$C77&amp;"'!"&amp;"$"&amp;$D77&amp;$V$1&amp;"")</f>
        <v>CMS</v>
      </c>
      <c r="W77" s="288" t="s">
        <v>1</v>
      </c>
      <c r="X77" s="288" t="s">
        <v>1</v>
      </c>
      <c r="Y77" s="289" t="s">
        <v>1</v>
      </c>
      <c r="Z77" s="285" t="str" cm="1">
        <f t="array" aca="1" ref="Z77" ca="1">INDIRECT("'"&amp;$C77&amp;"'!"&amp;"$"&amp;$D77&amp;$Z$1&amp;"")</f>
        <v>CMS</v>
      </c>
      <c r="AA77" s="288" t="s">
        <v>1</v>
      </c>
      <c r="AB77" s="288" t="s">
        <v>1</v>
      </c>
      <c r="AC77" s="286" t="s">
        <v>1</v>
      </c>
      <c r="AD77" s="287" cm="1">
        <f t="array" aca="1" ref="AD77" ca="1">INDIRECT("'"&amp;$C77&amp;"'!"&amp;"$"&amp;$D77&amp;$AD$1&amp;"")</f>
        <v>0</v>
      </c>
      <c r="AE77" s="288" t="s">
        <v>1</v>
      </c>
      <c r="AF77" s="288" t="s">
        <v>1</v>
      </c>
      <c r="AG77" s="289" t="s">
        <v>1</v>
      </c>
      <c r="AH77" s="285" cm="1">
        <f t="array" aca="1" ref="AH77" ca="1">INDIRECT("'"&amp;$C77&amp;"'!"&amp;"$"&amp;$D77&amp;$AH$1&amp;"")</f>
        <v>0</v>
      </c>
      <c r="AI77" s="288" t="s">
        <v>1</v>
      </c>
      <c r="AJ77" s="288" t="s">
        <v>1</v>
      </c>
      <c r="AK77" s="286" t="s">
        <v>1</v>
      </c>
      <c r="AL77" s="285">
        <v>11.6</v>
      </c>
      <c r="AM77" s="289">
        <v>70.599999999999994</v>
      </c>
      <c r="AN77" s="285" cm="1">
        <f t="array" aca="1" ref="AN77" ca="1">INDIRECT("'"&amp;$C77&amp;"'!"&amp;"$"&amp;$D77&amp;$AL$1&amp;"")</f>
        <v>0</v>
      </c>
      <c r="AO77" s="288" t="s">
        <v>1</v>
      </c>
      <c r="AP77" s="286" t="s">
        <v>1</v>
      </c>
      <c r="AQ77" s="287" cm="1">
        <f t="array" aca="1" ref="AQ77" ca="1">INDIRECT("'"&amp;$C77&amp;"'!"&amp;"$"&amp;$D77&amp;$AQ$1&amp;"")</f>
        <v>1.5</v>
      </c>
      <c r="AR77" s="288">
        <v>0.96</v>
      </c>
      <c r="AS77" s="286">
        <v>0.52</v>
      </c>
      <c r="AT77" s="285">
        <v>13.89</v>
      </c>
      <c r="AU77" s="289">
        <v>70.3</v>
      </c>
      <c r="AV77" s="288" cm="1">
        <f t="array" aca="1" ref="AV77" ca="1">INDIRECT("'"&amp;$C77&amp;"'!"&amp;"$"&amp;$D77&amp;$AV$1&amp;"")</f>
        <v>0</v>
      </c>
      <c r="AW77" s="287" t="s">
        <v>1</v>
      </c>
      <c r="AX77" s="288" t="s">
        <v>1</v>
      </c>
      <c r="AY77" s="286" t="s">
        <v>1</v>
      </c>
      <c r="AZ77" s="288" cm="1">
        <f t="array" aca="1" ref="AZ77" ca="1">INDIRECT("'"&amp;$C77&amp;"'!"&amp;"$"&amp;$D77&amp;$AZ$1&amp;"")</f>
        <v>5.5</v>
      </c>
      <c r="BA77" s="287" t="s">
        <v>1</v>
      </c>
      <c r="BB77" s="288">
        <v>0.97</v>
      </c>
      <c r="BC77" s="286">
        <v>1.2</v>
      </c>
      <c r="BD77" s="290">
        <v>14.18</v>
      </c>
      <c r="BE77" s="289">
        <v>71.81</v>
      </c>
      <c r="BF77" s="290" cm="1">
        <f t="array" aca="1" ref="BF77" ca="1">INDIRECT("'"&amp;$C77&amp;"'!"&amp;"$"&amp;$D77&amp;$BF$1&amp;"")</f>
        <v>14.33</v>
      </c>
      <c r="BG77" s="288">
        <v>0.99</v>
      </c>
      <c r="BH77" s="286">
        <v>2.4</v>
      </c>
      <c r="BI77" s="525">
        <v>68.7</v>
      </c>
      <c r="BJ77" s="285" cm="1">
        <f t="array" aca="1" ref="BJ77" ca="1">INDIRECT("'"&amp;$C77&amp;"'!"&amp;"$"&amp;$D77&amp;$BI$1&amp;"")</f>
        <v>0</v>
      </c>
      <c r="BK77" s="287" t="s">
        <v>1</v>
      </c>
      <c r="BL77" s="286" t="s">
        <v>1</v>
      </c>
      <c r="BM77" s="290" cm="1">
        <f t="array" aca="1" ref="BM77" ca="1">INDIRECT("'"&amp;$C77&amp;"'!"&amp;"$"&amp;$D77&amp;$BM$1&amp;"")</f>
        <v>1</v>
      </c>
      <c r="BN77" s="288"/>
      <c r="BO77" s="288">
        <v>0.99</v>
      </c>
      <c r="BP77" s="286">
        <v>0.09</v>
      </c>
      <c r="BQ77" s="291" cm="1">
        <f t="array" aca="1" ref="BQ77" ca="1">INDIRECT("'"&amp;$C77&amp;"'!"&amp;"$"&amp;$D77&amp;$BQ$1&amp;"")</f>
        <v>0.83</v>
      </c>
      <c r="BR77" s="288"/>
      <c r="BS77" s="288">
        <v>0.97</v>
      </c>
      <c r="BT77" s="286">
        <v>0.24</v>
      </c>
      <c r="BU77" s="291" cm="1">
        <f t="array" aca="1" ref="BU77" ca="1">INDIRECT("'"&amp;$C77&amp;"'!"&amp;"$"&amp;$D77&amp;74&amp;"")</f>
        <v>0</v>
      </c>
      <c r="BV77" s="288"/>
      <c r="BW77" s="288" t="s">
        <v>1</v>
      </c>
      <c r="BX77" s="286" t="s">
        <v>1</v>
      </c>
    </row>
    <row r="78" spans="1:76" ht="14.45" thickBot="1">
      <c r="A78" s="460">
        <v>45841</v>
      </c>
      <c r="B78" s="346">
        <v>0.95833333333333404</v>
      </c>
      <c r="C78" s="307">
        <v>3</v>
      </c>
      <c r="D78" s="308" t="s">
        <v>165</v>
      </c>
      <c r="E78" s="293">
        <v>14</v>
      </c>
      <c r="F78" s="294">
        <v>69.8</v>
      </c>
      <c r="G78" s="295" t="str" cm="1">
        <f t="array" aca="1" ref="G78" ca="1">INDIRECT("'"&amp;$C78&amp;"'!"&amp;"$"&amp;$D78&amp;$E$1&amp;"")</f>
        <v>CMS</v>
      </c>
      <c r="H78" s="296" t="s">
        <v>1</v>
      </c>
      <c r="I78" s="294" t="s">
        <v>1</v>
      </c>
      <c r="J78" s="295" cm="1">
        <f t="array" aca="1" ref="J78" ca="1">INDIRECT("'"&amp;$C78&amp;"'!"&amp;"$"&amp;$D78&amp;$J$1&amp;"")</f>
        <v>6.2</v>
      </c>
      <c r="K78" s="296"/>
      <c r="L78" s="296">
        <v>0.98</v>
      </c>
      <c r="M78" s="297">
        <v>1.18</v>
      </c>
      <c r="N78" s="293" cm="1">
        <f t="array" aca="1" ref="N78" ca="1">INDIRECT("'"&amp;$C78&amp;"'!"&amp;"$"&amp;$D78&amp;$N$1&amp;"")</f>
        <v>6.8</v>
      </c>
      <c r="O78" s="296"/>
      <c r="P78" s="296">
        <v>0.98</v>
      </c>
      <c r="Q78" s="294">
        <v>1</v>
      </c>
      <c r="R78" s="470" cm="1">
        <f t="array" aca="1" ref="R78" ca="1">INDIRECT("'"&amp;$C78&amp;"'!"&amp;"$"&amp;$D78&amp;$R$1&amp;"")</f>
        <v>6.2</v>
      </c>
      <c r="S78" s="296"/>
      <c r="T78" s="296">
        <v>0.98</v>
      </c>
      <c r="U78" s="294">
        <v>1.17</v>
      </c>
      <c r="V78" s="295" t="str" cm="1">
        <f t="array" aca="1" ref="V78" ca="1">INDIRECT("'"&amp;$C78&amp;"'!"&amp;"$"&amp;$D78&amp;$V$1&amp;"")</f>
        <v>CMS</v>
      </c>
      <c r="W78" s="296" t="s">
        <v>1</v>
      </c>
      <c r="X78" s="296" t="s">
        <v>1</v>
      </c>
      <c r="Y78" s="297" t="s">
        <v>1</v>
      </c>
      <c r="Z78" s="293" t="str" cm="1">
        <f t="array" aca="1" ref="Z78" ca="1">INDIRECT("'"&amp;$C78&amp;"'!"&amp;"$"&amp;$D78&amp;$Z$1&amp;"")</f>
        <v>CMS</v>
      </c>
      <c r="AA78" s="296" t="s">
        <v>1</v>
      </c>
      <c r="AB78" s="296" t="s">
        <v>1</v>
      </c>
      <c r="AC78" s="294" t="s">
        <v>1</v>
      </c>
      <c r="AD78" s="295" cm="1">
        <f t="array" aca="1" ref="AD78" ca="1">INDIRECT("'"&amp;$C78&amp;"'!"&amp;"$"&amp;$D78&amp;$AD$1&amp;"")</f>
        <v>0</v>
      </c>
      <c r="AE78" s="296" t="s">
        <v>1</v>
      </c>
      <c r="AF78" s="296" t="s">
        <v>1</v>
      </c>
      <c r="AG78" s="297" t="s">
        <v>1</v>
      </c>
      <c r="AH78" s="293" cm="1">
        <f t="array" aca="1" ref="AH78" ca="1">INDIRECT("'"&amp;$C78&amp;"'!"&amp;"$"&amp;$D78&amp;$AH$1&amp;"")</f>
        <v>0</v>
      </c>
      <c r="AI78" s="296" t="s">
        <v>1</v>
      </c>
      <c r="AJ78" s="296" t="s">
        <v>1</v>
      </c>
      <c r="AK78" s="294" t="s">
        <v>1</v>
      </c>
      <c r="AL78" s="293">
        <v>11.6</v>
      </c>
      <c r="AM78" s="297">
        <v>70.599999999999994</v>
      </c>
      <c r="AN78" s="293" cm="1">
        <f t="array" aca="1" ref="AN78" ca="1">INDIRECT("'"&amp;$C78&amp;"'!"&amp;"$"&amp;$D78&amp;$AL$1&amp;"")</f>
        <v>0</v>
      </c>
      <c r="AO78" s="296" t="s">
        <v>1</v>
      </c>
      <c r="AP78" s="294" t="s">
        <v>1</v>
      </c>
      <c r="AQ78" s="295" cm="1">
        <f t="array" aca="1" ref="AQ78" ca="1">INDIRECT("'"&amp;$C78&amp;"'!"&amp;"$"&amp;$D78&amp;$AQ$1&amp;"")</f>
        <v>1.5</v>
      </c>
      <c r="AR78" s="296">
        <v>0.96</v>
      </c>
      <c r="AS78" s="294">
        <v>0.64</v>
      </c>
      <c r="AT78" s="293">
        <v>13.87</v>
      </c>
      <c r="AU78" s="297">
        <v>70.2</v>
      </c>
      <c r="AV78" s="296" cm="1">
        <f t="array" aca="1" ref="AV78" ca="1">INDIRECT("'"&amp;$C78&amp;"'!"&amp;"$"&amp;$D78&amp;$AV$1&amp;"")</f>
        <v>0</v>
      </c>
      <c r="AW78" s="295" t="s">
        <v>1</v>
      </c>
      <c r="AX78" s="296" t="s">
        <v>1</v>
      </c>
      <c r="AY78" s="294" t="s">
        <v>1</v>
      </c>
      <c r="AZ78" s="296" cm="1">
        <f t="array" aca="1" ref="AZ78" ca="1">INDIRECT("'"&amp;$C78&amp;"'!"&amp;"$"&amp;$D78&amp;$AZ$1&amp;"")</f>
        <v>2.7</v>
      </c>
      <c r="BA78" s="295" t="s">
        <v>1</v>
      </c>
      <c r="BB78" s="296">
        <v>0.91</v>
      </c>
      <c r="BC78" s="294">
        <v>1.4</v>
      </c>
      <c r="BD78" s="298">
        <v>14.17</v>
      </c>
      <c r="BE78" s="297">
        <v>71.959999999999994</v>
      </c>
      <c r="BF78" s="298" cm="1">
        <f t="array" aca="1" ref="BF78" ca="1">INDIRECT("'"&amp;$C78&amp;"'!"&amp;"$"&amp;$D78&amp;$BF$1&amp;"")</f>
        <v>14.04</v>
      </c>
      <c r="BG78" s="296">
        <v>1</v>
      </c>
      <c r="BH78" s="294">
        <v>1.3</v>
      </c>
      <c r="BI78" s="526">
        <v>68.8</v>
      </c>
      <c r="BJ78" s="293" cm="1">
        <f t="array" aca="1" ref="BJ78" ca="1">INDIRECT("'"&amp;$C78&amp;"'!"&amp;"$"&amp;$D78&amp;$BI$1&amp;"")</f>
        <v>0</v>
      </c>
      <c r="BK78" s="295" t="s">
        <v>1</v>
      </c>
      <c r="BL78" s="294" t="s">
        <v>1</v>
      </c>
      <c r="BM78" s="298" cm="1">
        <f t="array" aca="1" ref="BM78" ca="1">INDIRECT("'"&amp;$C78&amp;"'!"&amp;"$"&amp;$D78&amp;$BM$1&amp;"")</f>
        <v>0.97</v>
      </c>
      <c r="BN78" s="296"/>
      <c r="BO78" s="296">
        <v>0.99</v>
      </c>
      <c r="BP78" s="294">
        <v>0.09</v>
      </c>
      <c r="BQ78" s="299" cm="1">
        <f t="array" aca="1" ref="BQ78" ca="1">INDIRECT("'"&amp;$C78&amp;"'!"&amp;"$"&amp;$D78&amp;$BQ$1&amp;"")</f>
        <v>0.81</v>
      </c>
      <c r="BR78" s="296"/>
      <c r="BS78" s="296">
        <v>0.97</v>
      </c>
      <c r="BT78" s="294">
        <v>0.21</v>
      </c>
      <c r="BU78" s="299" cm="1">
        <f t="array" aca="1" ref="BU78" ca="1">INDIRECT("'"&amp;$C78&amp;"'!"&amp;"$"&amp;$D78&amp;74&amp;"")</f>
        <v>0</v>
      </c>
      <c r="BV78" s="296"/>
      <c r="BW78" s="296" t="s">
        <v>1</v>
      </c>
      <c r="BX78" s="294" t="s">
        <v>1</v>
      </c>
    </row>
    <row r="79" spans="1:76" ht="14.45" thickBot="1"/>
    <row r="80" spans="1:76">
      <c r="A80" s="347">
        <v>45842</v>
      </c>
      <c r="B80" s="344">
        <v>0</v>
      </c>
      <c r="C80" s="302">
        <v>4</v>
      </c>
      <c r="D80" s="303" t="s">
        <v>142</v>
      </c>
      <c r="E80" s="272">
        <v>14</v>
      </c>
      <c r="F80" s="273">
        <v>69.7</v>
      </c>
      <c r="G80" s="274" t="str" cm="1">
        <f t="array" aca="1" ref="G80" ca="1">INDIRECT("'"&amp;$C80&amp;"'!"&amp;"$"&amp;$D80&amp;$E$1&amp;"")</f>
        <v>CMS</v>
      </c>
      <c r="H80" s="275" t="s">
        <v>1</v>
      </c>
      <c r="I80" s="273" t="s">
        <v>1</v>
      </c>
      <c r="J80" s="274" cm="1">
        <f t="array" aca="1" ref="J80" ca="1">INDIRECT("'"&amp;$C80&amp;"'!"&amp;"$"&amp;$D80&amp;$J$1&amp;"")</f>
        <v>6.7</v>
      </c>
      <c r="K80" s="275"/>
      <c r="L80" s="275">
        <v>0.97</v>
      </c>
      <c r="M80" s="276">
        <v>1.87</v>
      </c>
      <c r="N80" s="272" cm="1">
        <f t="array" aca="1" ref="N80" ca="1">INDIRECT("'"&amp;$C80&amp;"'!"&amp;"$"&amp;$D80&amp;$N$1&amp;"")</f>
        <v>0</v>
      </c>
      <c r="O80" s="275"/>
      <c r="P80" s="275" t="s">
        <v>1</v>
      </c>
      <c r="Q80" s="273" t="s">
        <v>1</v>
      </c>
      <c r="R80" s="467" cm="1">
        <f t="array" aca="1" ref="R80" ca="1">INDIRECT("'"&amp;$C80&amp;"'!"&amp;"$"&amp;$D80&amp;$R$1&amp;"")</f>
        <v>6.7</v>
      </c>
      <c r="S80" s="275"/>
      <c r="T80" s="275">
        <v>0.97</v>
      </c>
      <c r="U80" s="273">
        <v>1.87</v>
      </c>
      <c r="V80" s="274" t="str" cm="1">
        <f t="array" aca="1" ref="V80" ca="1">INDIRECT("'"&amp;$C80&amp;"'!"&amp;"$"&amp;$D80&amp;$V$1&amp;"")</f>
        <v>CMS</v>
      </c>
      <c r="W80" s="275" t="s">
        <v>1</v>
      </c>
      <c r="X80" s="275" t="s">
        <v>1</v>
      </c>
      <c r="Y80" s="276" t="s">
        <v>1</v>
      </c>
      <c r="Z80" s="272" t="str" cm="1">
        <f t="array" aca="1" ref="Z80" ca="1">INDIRECT("'"&amp;$C80&amp;"'!"&amp;"$"&amp;$D80&amp;$Z$1&amp;"")</f>
        <v>CMS</v>
      </c>
      <c r="AA80" s="275" t="s">
        <v>1</v>
      </c>
      <c r="AB80" s="275" t="s">
        <v>1</v>
      </c>
      <c r="AC80" s="273" t="s">
        <v>1</v>
      </c>
      <c r="AD80" s="274" cm="1">
        <f t="array" aca="1" ref="AD80" ca="1">INDIRECT("'"&amp;$C80&amp;"'!"&amp;"$"&amp;$D80&amp;$AD$1&amp;"")</f>
        <v>0</v>
      </c>
      <c r="AE80" s="275" t="s">
        <v>1</v>
      </c>
      <c r="AF80" s="275" t="s">
        <v>1</v>
      </c>
      <c r="AG80" s="273" t="s">
        <v>1</v>
      </c>
      <c r="AH80" s="272" cm="1">
        <f t="array" aca="1" ref="AH80" ca="1">INDIRECT("'"&amp;$C80&amp;"'!"&amp;"$"&amp;$D80&amp;$AH$1&amp;"")</f>
        <v>0</v>
      </c>
      <c r="AI80" s="275" t="s">
        <v>1</v>
      </c>
      <c r="AJ80" s="275" t="s">
        <v>1</v>
      </c>
      <c r="AK80" s="273" t="s">
        <v>1</v>
      </c>
      <c r="AL80" s="272">
        <v>11.6</v>
      </c>
      <c r="AM80" s="276">
        <v>70.5</v>
      </c>
      <c r="AN80" s="272" cm="1">
        <f t="array" aca="1" ref="AN80" ca="1">INDIRECT("'"&amp;$C80&amp;"'!"&amp;"$"&amp;$D80&amp;$AL$1&amp;"")</f>
        <v>4</v>
      </c>
      <c r="AO80" s="275">
        <v>0.98</v>
      </c>
      <c r="AP80" s="273">
        <v>0.69</v>
      </c>
      <c r="AQ80" s="274" cm="1">
        <f t="array" aca="1" ref="AQ80" ca="1">INDIRECT("'"&amp;$C80&amp;"'!"&amp;"$"&amp;$D80&amp;$AQ$1&amp;"")</f>
        <v>4</v>
      </c>
      <c r="AR80" s="275">
        <v>0.98</v>
      </c>
      <c r="AS80" s="273">
        <v>0.69</v>
      </c>
      <c r="AT80" s="272" t="s">
        <v>1</v>
      </c>
      <c r="AU80" s="276" t="s">
        <v>1</v>
      </c>
      <c r="AV80" s="275" cm="1">
        <f t="array" aca="1" ref="AV80" ca="1">INDIRECT("'"&amp;$C80&amp;"'!"&amp;"$"&amp;$D80&amp;$AV$1&amp;"")</f>
        <v>0</v>
      </c>
      <c r="AW80" s="274" t="s">
        <v>1</v>
      </c>
      <c r="AX80" s="275" t="s">
        <v>1</v>
      </c>
      <c r="AY80" s="273" t="s">
        <v>1</v>
      </c>
      <c r="AZ80" s="275" t="str" cm="1">
        <f t="array" aca="1" ref="AZ80" ca="1">INDIRECT("'"&amp;$C80&amp;"'!"&amp;"$"&amp;$D80&amp;$AZ$1&amp;"")</f>
        <v>CMS</v>
      </c>
      <c r="BA80" s="274" t="s">
        <v>1</v>
      </c>
      <c r="BB80" s="275" t="s">
        <v>1</v>
      </c>
      <c r="BC80" s="273" t="s">
        <v>1</v>
      </c>
      <c r="BD80" s="277">
        <v>14.05</v>
      </c>
      <c r="BE80" s="276">
        <v>71.5</v>
      </c>
      <c r="BF80" s="277" cm="1">
        <f t="array" aca="1" ref="BF80" ca="1">INDIRECT("'"&amp;$C80&amp;"'!"&amp;"$"&amp;$D80&amp;$BF$1&amp;"")</f>
        <v>14.13</v>
      </c>
      <c r="BG80" s="275">
        <v>1</v>
      </c>
      <c r="BH80" s="273">
        <v>1.3</v>
      </c>
      <c r="BI80" s="523">
        <v>68.8</v>
      </c>
      <c r="BJ80" s="272" cm="1">
        <f t="array" aca="1" ref="BJ80" ca="1">INDIRECT("'"&amp;$C80&amp;"'!"&amp;"$"&amp;$D80&amp;$BI$1&amp;"")</f>
        <v>0.8</v>
      </c>
      <c r="BK80" s="274">
        <v>0.98</v>
      </c>
      <c r="BL80" s="273">
        <v>0.16</v>
      </c>
      <c r="BM80" s="277" cm="1">
        <f t="array" aca="1" ref="BM80" ca="1">INDIRECT("'"&amp;$C80&amp;"'!"&amp;"$"&amp;$D80&amp;$BM$1&amp;"")</f>
        <v>0.86</v>
      </c>
      <c r="BN80" s="275"/>
      <c r="BO80" s="275">
        <v>0.99</v>
      </c>
      <c r="BP80" s="273">
        <v>0.09</v>
      </c>
      <c r="BQ80" s="277" cm="1">
        <f t="array" aca="1" ref="BQ80" ca="1">INDIRECT("'"&amp;$C80&amp;"'!"&amp;"$"&amp;$D80&amp;$BQ$1&amp;"")</f>
        <v>0.74</v>
      </c>
      <c r="BR80" s="275"/>
      <c r="BS80" s="275">
        <v>0.97</v>
      </c>
      <c r="BT80" s="273">
        <v>0.2</v>
      </c>
      <c r="BU80" s="358" cm="1">
        <f t="array" aca="1" ref="BU80" ca="1">INDIRECT("'"&amp;$C80&amp;"'!"&amp;"$"&amp;$D80&amp;74&amp;"")</f>
        <v>0</v>
      </c>
      <c r="BV80" s="275"/>
      <c r="BW80" s="275" t="s">
        <v>1</v>
      </c>
      <c r="BX80" s="273" t="s">
        <v>1</v>
      </c>
    </row>
    <row r="81" spans="1:76">
      <c r="A81" s="459">
        <v>45842</v>
      </c>
      <c r="B81" s="345">
        <v>4.1666666666666699E-2</v>
      </c>
      <c r="C81" s="305">
        <v>4</v>
      </c>
      <c r="D81" s="306" t="s">
        <v>143</v>
      </c>
      <c r="E81" s="278">
        <v>14.1</v>
      </c>
      <c r="F81" s="279">
        <v>70.2</v>
      </c>
      <c r="G81" s="280" t="str" cm="1">
        <f t="array" aca="1" ref="G81" ca="1">INDIRECT("'"&amp;$C81&amp;"'!"&amp;"$"&amp;$D81&amp;$E$1&amp;"")</f>
        <v>CMS</v>
      </c>
      <c r="H81" s="281" t="s">
        <v>1</v>
      </c>
      <c r="I81" s="279" t="s">
        <v>1</v>
      </c>
      <c r="J81" s="280" cm="1">
        <f t="array" aca="1" ref="J81" ca="1">INDIRECT("'"&amp;$C81&amp;"'!"&amp;"$"&amp;$D81&amp;$J$1&amp;"")</f>
        <v>6.7</v>
      </c>
      <c r="K81" s="281"/>
      <c r="L81" s="281">
        <v>0.97</v>
      </c>
      <c r="M81" s="282">
        <v>1.78</v>
      </c>
      <c r="N81" s="278" cm="1">
        <f t="array" aca="1" ref="N81" ca="1">INDIRECT("'"&amp;$C81&amp;"'!"&amp;"$"&amp;$D81&amp;$N$1&amp;"")</f>
        <v>0</v>
      </c>
      <c r="O81" s="281"/>
      <c r="P81" s="281" t="s">
        <v>1</v>
      </c>
      <c r="Q81" s="279" t="s">
        <v>1</v>
      </c>
      <c r="R81" s="468" cm="1">
        <f t="array" aca="1" ref="R81" ca="1">INDIRECT("'"&amp;$C81&amp;"'!"&amp;"$"&amp;$D81&amp;$R$1&amp;"")</f>
        <v>6.7</v>
      </c>
      <c r="S81" s="281"/>
      <c r="T81" s="281">
        <v>0.97</v>
      </c>
      <c r="U81" s="279">
        <v>1.78</v>
      </c>
      <c r="V81" s="280" t="str" cm="1">
        <f t="array" aca="1" ref="V81" ca="1">INDIRECT("'"&amp;$C81&amp;"'!"&amp;"$"&amp;$D81&amp;$V$1&amp;"")</f>
        <v>CMS</v>
      </c>
      <c r="W81" s="281" t="s">
        <v>1</v>
      </c>
      <c r="X81" s="281" t="s">
        <v>1</v>
      </c>
      <c r="Y81" s="282" t="s">
        <v>1</v>
      </c>
      <c r="Z81" s="278" t="str" cm="1">
        <f t="array" aca="1" ref="Z81" ca="1">INDIRECT("'"&amp;$C81&amp;"'!"&amp;"$"&amp;$D81&amp;$Z$1&amp;"")</f>
        <v>CMS</v>
      </c>
      <c r="AA81" s="281" t="s">
        <v>1</v>
      </c>
      <c r="AB81" s="281" t="s">
        <v>1</v>
      </c>
      <c r="AC81" s="279" t="s">
        <v>1</v>
      </c>
      <c r="AD81" s="280" cm="1">
        <f t="array" aca="1" ref="AD81" ca="1">INDIRECT("'"&amp;$C81&amp;"'!"&amp;"$"&amp;$D81&amp;$AD$1&amp;"")</f>
        <v>0</v>
      </c>
      <c r="AE81" s="281" t="s">
        <v>1</v>
      </c>
      <c r="AF81" s="281" t="s">
        <v>1</v>
      </c>
      <c r="AG81" s="282" t="s">
        <v>1</v>
      </c>
      <c r="AH81" s="278" cm="1">
        <f t="array" aca="1" ref="AH81" ca="1">INDIRECT("'"&amp;$C81&amp;"'!"&amp;"$"&amp;$D81&amp;$AH$1&amp;"")</f>
        <v>0</v>
      </c>
      <c r="AI81" s="281" t="s">
        <v>1</v>
      </c>
      <c r="AJ81" s="281" t="s">
        <v>1</v>
      </c>
      <c r="AK81" s="279" t="s">
        <v>1</v>
      </c>
      <c r="AL81" s="278" t="s">
        <v>1</v>
      </c>
      <c r="AM81" s="282">
        <v>70.900000000000006</v>
      </c>
      <c r="AN81" s="278" cm="1">
        <f t="array" aca="1" ref="AN81" ca="1">INDIRECT("'"&amp;$C81&amp;"'!"&amp;"$"&amp;$D81&amp;$AL$1&amp;"")</f>
        <v>0</v>
      </c>
      <c r="AO81" s="281" t="s">
        <v>1</v>
      </c>
      <c r="AP81" s="279" t="s">
        <v>1</v>
      </c>
      <c r="AQ81" s="280" cm="1">
        <f t="array" aca="1" ref="AQ81" ca="1">INDIRECT("'"&amp;$C81&amp;"'!"&amp;"$"&amp;$D81&amp;$AQ$1&amp;"")</f>
        <v>0</v>
      </c>
      <c r="AR81" s="281" t="s">
        <v>1</v>
      </c>
      <c r="AS81" s="279" t="s">
        <v>1</v>
      </c>
      <c r="AT81" s="278">
        <v>13.91</v>
      </c>
      <c r="AU81" s="282">
        <v>70.3</v>
      </c>
      <c r="AV81" s="281" cm="1">
        <f t="array" aca="1" ref="AV81" ca="1">INDIRECT("'"&amp;$C81&amp;"'!"&amp;"$"&amp;$D81&amp;$AV$1&amp;"")</f>
        <v>0</v>
      </c>
      <c r="AW81" s="280" t="s">
        <v>1</v>
      </c>
      <c r="AX81" s="281" t="s">
        <v>1</v>
      </c>
      <c r="AY81" s="279" t="s">
        <v>1</v>
      </c>
      <c r="AZ81" s="281" cm="1">
        <f t="array" aca="1" ref="AZ81" ca="1">INDIRECT("'"&amp;$C81&amp;"'!"&amp;"$"&amp;$D81&amp;$AZ$1&amp;"")</f>
        <v>6</v>
      </c>
      <c r="BA81" s="280" t="s">
        <v>1</v>
      </c>
      <c r="BB81" s="281">
        <v>0.98</v>
      </c>
      <c r="BC81" s="279">
        <v>1.3</v>
      </c>
      <c r="BD81" s="283">
        <v>14.09</v>
      </c>
      <c r="BE81" s="282">
        <v>71.72</v>
      </c>
      <c r="BF81" s="283" cm="1">
        <f t="array" aca="1" ref="BF81" ca="1">INDIRECT("'"&amp;$C81&amp;"'!"&amp;"$"&amp;$D81&amp;$BF$1&amp;"")</f>
        <v>14.2</v>
      </c>
      <c r="BG81" s="281">
        <v>1</v>
      </c>
      <c r="BH81" s="279">
        <v>1.3</v>
      </c>
      <c r="BI81" s="524">
        <v>69.3</v>
      </c>
      <c r="BJ81" s="278" cm="1">
        <f t="array" aca="1" ref="BJ81" ca="1">INDIRECT("'"&amp;$C81&amp;"'!"&amp;"$"&amp;$D81&amp;$BI$1&amp;"")</f>
        <v>0</v>
      </c>
      <c r="BK81" s="280" t="s">
        <v>1</v>
      </c>
      <c r="BL81" s="279" t="s">
        <v>1</v>
      </c>
      <c r="BM81" s="283" cm="1">
        <f t="array" aca="1" ref="BM81" ca="1">INDIRECT("'"&amp;$C81&amp;"'!"&amp;"$"&amp;$D81&amp;$BM$1&amp;"")</f>
        <v>0.86</v>
      </c>
      <c r="BN81" s="281"/>
      <c r="BO81" s="281">
        <v>0.99</v>
      </c>
      <c r="BP81" s="279">
        <v>0.1</v>
      </c>
      <c r="BQ81" s="283" cm="1">
        <f t="array" aca="1" ref="BQ81" ca="1">INDIRECT("'"&amp;$C81&amp;"'!"&amp;"$"&amp;$D81&amp;$BQ$1&amp;"")</f>
        <v>0.72</v>
      </c>
      <c r="BR81" s="281"/>
      <c r="BS81" s="281">
        <v>0.97</v>
      </c>
      <c r="BT81" s="279">
        <v>0.19</v>
      </c>
      <c r="BU81" s="284" cm="1">
        <f t="array" aca="1" ref="BU81" ca="1">INDIRECT("'"&amp;$C81&amp;"'!"&amp;"$"&amp;$D81&amp;74&amp;"")</f>
        <v>0</v>
      </c>
      <c r="BV81" s="281"/>
      <c r="BW81" s="281" t="s">
        <v>1</v>
      </c>
      <c r="BX81" s="279" t="s">
        <v>1</v>
      </c>
    </row>
    <row r="82" spans="1:76">
      <c r="A82" s="459">
        <v>45842</v>
      </c>
      <c r="B82" s="345">
        <v>8.3333333333333301E-2</v>
      </c>
      <c r="C82" s="305">
        <v>4</v>
      </c>
      <c r="D82" s="306" t="s">
        <v>144</v>
      </c>
      <c r="E82" s="285">
        <v>14.1</v>
      </c>
      <c r="F82" s="286">
        <v>70.400000000000006</v>
      </c>
      <c r="G82" s="287" t="str" cm="1">
        <f t="array" aca="1" ref="G82" ca="1">INDIRECT("'"&amp;$C82&amp;"'!"&amp;"$"&amp;$D82&amp;$E$1&amp;"")</f>
        <v>CMS</v>
      </c>
      <c r="H82" s="288" t="s">
        <v>1</v>
      </c>
      <c r="I82" s="286" t="s">
        <v>1</v>
      </c>
      <c r="J82" s="287" cm="1">
        <f t="array" aca="1" ref="J82" ca="1">INDIRECT("'"&amp;$C82&amp;"'!"&amp;"$"&amp;$D82&amp;$J$1&amp;"")</f>
        <v>6.7</v>
      </c>
      <c r="K82" s="288"/>
      <c r="L82" s="288">
        <v>0.97</v>
      </c>
      <c r="M82" s="289">
        <v>1.79</v>
      </c>
      <c r="N82" s="285" cm="1">
        <f t="array" aca="1" ref="N82" ca="1">INDIRECT("'"&amp;$C82&amp;"'!"&amp;"$"&amp;$D82&amp;$N$1&amp;"")</f>
        <v>0</v>
      </c>
      <c r="O82" s="288"/>
      <c r="P82" s="288" t="s">
        <v>1</v>
      </c>
      <c r="Q82" s="286" t="s">
        <v>1</v>
      </c>
      <c r="R82" s="285" cm="1">
        <f t="array" aca="1" ref="R82" ca="1">INDIRECT("'"&amp;$C82&amp;"'!"&amp;"$"&amp;$D82&amp;$R$1&amp;"")</f>
        <v>6.7</v>
      </c>
      <c r="S82" s="288"/>
      <c r="T82" s="288">
        <v>0.99</v>
      </c>
      <c r="U82" s="286">
        <v>0.86</v>
      </c>
      <c r="V82" s="287" t="str" cm="1">
        <f t="array" aca="1" ref="V82" ca="1">INDIRECT("'"&amp;$C82&amp;"'!"&amp;"$"&amp;$D82&amp;$V$1&amp;"")</f>
        <v>CMS</v>
      </c>
      <c r="W82" s="288" t="s">
        <v>1</v>
      </c>
      <c r="X82" s="288" t="s">
        <v>1</v>
      </c>
      <c r="Y82" s="289" t="s">
        <v>1</v>
      </c>
      <c r="Z82" s="278" t="str" cm="1">
        <f t="array" aca="1" ref="Z82" ca="1">INDIRECT("'"&amp;$C82&amp;"'!"&amp;"$"&amp;$D82&amp;$Z$1&amp;"")</f>
        <v>CMS</v>
      </c>
      <c r="AA82" s="288" t="s">
        <v>1</v>
      </c>
      <c r="AB82" s="288" t="s">
        <v>1</v>
      </c>
      <c r="AC82" s="286" t="s">
        <v>1</v>
      </c>
      <c r="AD82" s="287" cm="1">
        <f t="array" aca="1" ref="AD82" ca="1">INDIRECT("'"&amp;$C82&amp;"'!"&amp;"$"&amp;$D82&amp;$AD$1&amp;"")</f>
        <v>0</v>
      </c>
      <c r="AE82" s="288" t="s">
        <v>1</v>
      </c>
      <c r="AF82" s="288" t="s">
        <v>1</v>
      </c>
      <c r="AG82" s="289" t="s">
        <v>1</v>
      </c>
      <c r="AH82" s="285" cm="1">
        <f t="array" aca="1" ref="AH82" ca="1">INDIRECT("'"&amp;$C82&amp;"'!"&amp;"$"&amp;$D82&amp;$AH$1&amp;"")</f>
        <v>0</v>
      </c>
      <c r="AI82" s="288" t="s">
        <v>1</v>
      </c>
      <c r="AJ82" s="288" t="s">
        <v>1</v>
      </c>
      <c r="AK82" s="289" t="s">
        <v>1</v>
      </c>
      <c r="AL82" s="285" t="s">
        <v>1</v>
      </c>
      <c r="AM82" s="289">
        <v>71</v>
      </c>
      <c r="AN82" s="285" cm="1">
        <f t="array" aca="1" ref="AN82" ca="1">INDIRECT("'"&amp;$C82&amp;"'!"&amp;"$"&amp;$D82&amp;$AL$1&amp;"")</f>
        <v>0</v>
      </c>
      <c r="AO82" s="288" t="s">
        <v>1</v>
      </c>
      <c r="AP82" s="286" t="s">
        <v>1</v>
      </c>
      <c r="AQ82" s="287" cm="1">
        <f t="array" aca="1" ref="AQ82" ca="1">INDIRECT("'"&amp;$C82&amp;"'!"&amp;"$"&amp;$D82&amp;$AQ$1&amp;"")</f>
        <v>0</v>
      </c>
      <c r="AR82" s="288" t="s">
        <v>1</v>
      </c>
      <c r="AS82" s="286" t="s">
        <v>1</v>
      </c>
      <c r="AT82" s="285">
        <v>13.92</v>
      </c>
      <c r="AU82" s="289">
        <v>70.400000000000006</v>
      </c>
      <c r="AV82" s="288" cm="1">
        <f t="array" aca="1" ref="AV82" ca="1">INDIRECT("'"&amp;$C82&amp;"'!"&amp;"$"&amp;$D82&amp;$AV$1&amp;"")</f>
        <v>0</v>
      </c>
      <c r="AW82" s="287" t="s">
        <v>1</v>
      </c>
      <c r="AX82" s="288" t="s">
        <v>1</v>
      </c>
      <c r="AY82" s="286" t="s">
        <v>1</v>
      </c>
      <c r="AZ82" s="288" cm="1">
        <f t="array" aca="1" ref="AZ82" ca="1">INDIRECT("'"&amp;$C82&amp;"'!"&amp;"$"&amp;$D82&amp;$AZ$1&amp;"")</f>
        <v>4.5</v>
      </c>
      <c r="BA82" s="287" t="s">
        <v>1</v>
      </c>
      <c r="BB82" s="288">
        <v>0.97</v>
      </c>
      <c r="BC82" s="286">
        <v>1.1000000000000001</v>
      </c>
      <c r="BD82" s="290">
        <v>14.12</v>
      </c>
      <c r="BE82" s="289">
        <v>71.91</v>
      </c>
      <c r="BF82" s="290" cm="1">
        <f t="array" aca="1" ref="BF82" ca="1">INDIRECT("'"&amp;$C82&amp;"'!"&amp;"$"&amp;$D82&amp;$BF$1&amp;"")</f>
        <v>14.29</v>
      </c>
      <c r="BG82" s="288">
        <v>1</v>
      </c>
      <c r="BH82" s="286">
        <v>1.3</v>
      </c>
      <c r="BI82" s="525">
        <v>69.599999999999994</v>
      </c>
      <c r="BJ82" s="285" cm="1">
        <f t="array" aca="1" ref="BJ82" ca="1">INDIRECT("'"&amp;$C82&amp;"'!"&amp;"$"&amp;$D82&amp;$BI$1&amp;"")</f>
        <v>0</v>
      </c>
      <c r="BK82" s="287" t="s">
        <v>1</v>
      </c>
      <c r="BL82" s="286" t="s">
        <v>1</v>
      </c>
      <c r="BM82" s="290" cm="1">
        <f t="array" aca="1" ref="BM82" ca="1">INDIRECT("'"&amp;$C82&amp;"'!"&amp;"$"&amp;$D82&amp;$BM$1&amp;"")</f>
        <v>0.8</v>
      </c>
      <c r="BN82" s="288"/>
      <c r="BO82" s="288">
        <v>0.99</v>
      </c>
      <c r="BP82" s="286">
        <v>0.1</v>
      </c>
      <c r="BQ82" s="290" cm="1">
        <f t="array" aca="1" ref="BQ82" ca="1">INDIRECT("'"&amp;$C82&amp;"'!"&amp;"$"&amp;$D82&amp;$BQ$1&amp;"")</f>
        <v>0.7</v>
      </c>
      <c r="BR82" s="288"/>
      <c r="BS82" s="288">
        <v>0.97</v>
      </c>
      <c r="BT82" s="286">
        <v>0.19</v>
      </c>
      <c r="BU82" s="291" cm="1">
        <f t="array" aca="1" ref="BU82" ca="1">INDIRECT("'"&amp;$C82&amp;"'!"&amp;"$"&amp;$D82&amp;74&amp;"")</f>
        <v>0</v>
      </c>
      <c r="BV82" s="288"/>
      <c r="BW82" s="288" t="s">
        <v>1</v>
      </c>
      <c r="BX82" s="286" t="s">
        <v>1</v>
      </c>
    </row>
    <row r="83" spans="1:76">
      <c r="A83" s="459">
        <v>45842</v>
      </c>
      <c r="B83" s="345">
        <v>0.125</v>
      </c>
      <c r="C83" s="305">
        <v>4</v>
      </c>
      <c r="D83" s="306" t="s">
        <v>145</v>
      </c>
      <c r="E83" s="278">
        <v>14.1</v>
      </c>
      <c r="F83" s="279">
        <v>70.599999999999994</v>
      </c>
      <c r="G83" s="280" t="str" cm="1">
        <f t="array" aca="1" ref="G83" ca="1">INDIRECT("'"&amp;$C83&amp;"'!"&amp;"$"&amp;$D83&amp;$E$1&amp;"")</f>
        <v>CMS</v>
      </c>
      <c r="H83" s="281" t="s">
        <v>1</v>
      </c>
      <c r="I83" s="279" t="s">
        <v>1</v>
      </c>
      <c r="J83" s="280" cm="1">
        <f t="array" aca="1" ref="J83" ca="1">INDIRECT("'"&amp;$C83&amp;"'!"&amp;"$"&amp;$D83&amp;$J$1&amp;"")</f>
        <v>6.7</v>
      </c>
      <c r="K83" s="281"/>
      <c r="L83" s="281">
        <v>0.97</v>
      </c>
      <c r="M83" s="282">
        <v>1.8</v>
      </c>
      <c r="N83" s="278" cm="1">
        <f t="array" aca="1" ref="N83" ca="1">INDIRECT("'"&amp;$C83&amp;"'!"&amp;"$"&amp;$D83&amp;$N$1&amp;"")</f>
        <v>0</v>
      </c>
      <c r="O83" s="281"/>
      <c r="P83" s="281" t="s">
        <v>1</v>
      </c>
      <c r="Q83" s="279" t="s">
        <v>1</v>
      </c>
      <c r="R83" s="468" cm="1">
        <f t="array" aca="1" ref="R83" ca="1">INDIRECT("'"&amp;$C83&amp;"'!"&amp;"$"&amp;$D83&amp;$R$1&amp;"")</f>
        <v>6.7</v>
      </c>
      <c r="S83" s="281"/>
      <c r="T83" s="281">
        <v>1</v>
      </c>
      <c r="U83" s="279">
        <v>0.61</v>
      </c>
      <c r="V83" s="280" t="str" cm="1">
        <f t="array" aca="1" ref="V83" ca="1">INDIRECT("'"&amp;$C83&amp;"'!"&amp;"$"&amp;$D83&amp;$V$1&amp;"")</f>
        <v>CMS</v>
      </c>
      <c r="W83" s="281" t="s">
        <v>1</v>
      </c>
      <c r="X83" s="281" t="s">
        <v>1</v>
      </c>
      <c r="Y83" s="282" t="s">
        <v>1</v>
      </c>
      <c r="Z83" s="278" t="str" cm="1">
        <f t="array" aca="1" ref="Z83" ca="1">INDIRECT("'"&amp;$C83&amp;"'!"&amp;"$"&amp;$D83&amp;$Z$1&amp;"")</f>
        <v>CMS</v>
      </c>
      <c r="AA83" s="281" t="s">
        <v>1</v>
      </c>
      <c r="AB83" s="281" t="s">
        <v>1</v>
      </c>
      <c r="AC83" s="279" t="s">
        <v>1</v>
      </c>
      <c r="AD83" s="280" cm="1">
        <f t="array" aca="1" ref="AD83" ca="1">INDIRECT("'"&amp;$C83&amp;"'!"&amp;"$"&amp;$D83&amp;$AD$1&amp;"")</f>
        <v>0</v>
      </c>
      <c r="AE83" s="281" t="s">
        <v>1</v>
      </c>
      <c r="AF83" s="281" t="s">
        <v>1</v>
      </c>
      <c r="AG83" s="282" t="s">
        <v>1</v>
      </c>
      <c r="AH83" s="278" cm="1">
        <f t="array" aca="1" ref="AH83" ca="1">INDIRECT("'"&amp;$C83&amp;"'!"&amp;"$"&amp;$D83&amp;$AH$1&amp;"")</f>
        <v>0</v>
      </c>
      <c r="AI83" s="281" t="s">
        <v>1</v>
      </c>
      <c r="AJ83" s="281" t="s">
        <v>1</v>
      </c>
      <c r="AK83" s="279" t="s">
        <v>1</v>
      </c>
      <c r="AL83" s="278" t="s">
        <v>1</v>
      </c>
      <c r="AM83" s="282">
        <v>69.7</v>
      </c>
      <c r="AN83" s="278" cm="1">
        <f t="array" aca="1" ref="AN83" ca="1">INDIRECT("'"&amp;$C83&amp;"'!"&amp;"$"&amp;$D83&amp;$AL$1&amp;"")</f>
        <v>0</v>
      </c>
      <c r="AO83" s="281" t="s">
        <v>1</v>
      </c>
      <c r="AP83" s="279" t="s">
        <v>1</v>
      </c>
      <c r="AQ83" s="280" cm="1">
        <f t="array" aca="1" ref="AQ83" ca="1">INDIRECT("'"&amp;$C83&amp;"'!"&amp;"$"&amp;$D83&amp;$AQ$1&amp;"")</f>
        <v>0</v>
      </c>
      <c r="AR83" s="281" t="s">
        <v>1</v>
      </c>
      <c r="AS83" s="279" t="s">
        <v>1</v>
      </c>
      <c r="AT83" s="278">
        <v>13.93</v>
      </c>
      <c r="AU83" s="282">
        <v>70.400000000000006</v>
      </c>
      <c r="AV83" s="281" cm="1">
        <f t="array" aca="1" ref="AV83" ca="1">INDIRECT("'"&amp;$C83&amp;"'!"&amp;"$"&amp;$D83&amp;$AV$1&amp;"")</f>
        <v>0</v>
      </c>
      <c r="AW83" s="280" t="s">
        <v>1</v>
      </c>
      <c r="AX83" s="281" t="s">
        <v>1</v>
      </c>
      <c r="AY83" s="279" t="s">
        <v>1</v>
      </c>
      <c r="AZ83" s="281" cm="1">
        <f t="array" aca="1" ref="AZ83" ca="1">INDIRECT("'"&amp;$C83&amp;"'!"&amp;"$"&amp;$D83&amp;$AZ$1&amp;"")</f>
        <v>3.5</v>
      </c>
      <c r="BA83" s="280" t="s">
        <v>1</v>
      </c>
      <c r="BB83" s="281">
        <v>0.96</v>
      </c>
      <c r="BC83" s="279">
        <v>1</v>
      </c>
      <c r="BD83" s="283">
        <v>14.13</v>
      </c>
      <c r="BE83" s="282">
        <v>71.959999999999994</v>
      </c>
      <c r="BF83" s="283" cm="1">
        <f t="array" aca="1" ref="BF83" ca="1">INDIRECT("'"&amp;$C83&amp;"'!"&amp;"$"&amp;$D83&amp;$BF$1&amp;"")</f>
        <v>14.27</v>
      </c>
      <c r="BG83" s="281">
        <v>1</v>
      </c>
      <c r="BH83" s="279">
        <v>1.3</v>
      </c>
      <c r="BI83" s="524">
        <v>69.7</v>
      </c>
      <c r="BJ83" s="278" cm="1">
        <f t="array" aca="1" ref="BJ83" ca="1">INDIRECT("'"&amp;$C83&amp;"'!"&amp;"$"&amp;$D83&amp;$BI$1&amp;"")</f>
        <v>0</v>
      </c>
      <c r="BK83" s="280" t="s">
        <v>1</v>
      </c>
      <c r="BL83" s="279" t="s">
        <v>1</v>
      </c>
      <c r="BM83" s="283" cm="1">
        <f t="array" aca="1" ref="BM83" ca="1">INDIRECT("'"&amp;$C83&amp;"'!"&amp;"$"&amp;$D83&amp;$BM$1&amp;"")</f>
        <v>0.78</v>
      </c>
      <c r="BN83" s="281"/>
      <c r="BO83" s="281">
        <v>0.99</v>
      </c>
      <c r="BP83" s="279">
        <v>0.1</v>
      </c>
      <c r="BQ83" s="283" cm="1">
        <f t="array" aca="1" ref="BQ83" ca="1">INDIRECT("'"&amp;$C83&amp;"'!"&amp;"$"&amp;$D83&amp;$BQ$1&amp;"")</f>
        <v>0.68</v>
      </c>
      <c r="BR83" s="281"/>
      <c r="BS83" s="281">
        <v>0.97</v>
      </c>
      <c r="BT83" s="279">
        <v>0.18</v>
      </c>
      <c r="BU83" s="284" cm="1">
        <f t="array" aca="1" ref="BU83" ca="1">INDIRECT("'"&amp;$C83&amp;"'!"&amp;"$"&amp;$D83&amp;74&amp;"")</f>
        <v>0</v>
      </c>
      <c r="BV83" s="281"/>
      <c r="BW83" s="281" t="s">
        <v>1</v>
      </c>
      <c r="BX83" s="279" t="s">
        <v>1</v>
      </c>
    </row>
    <row r="84" spans="1:76">
      <c r="A84" s="459">
        <v>45842</v>
      </c>
      <c r="B84" s="345">
        <v>0.16666666666666699</v>
      </c>
      <c r="C84" s="305">
        <v>4</v>
      </c>
      <c r="D84" s="306" t="s">
        <v>146</v>
      </c>
      <c r="E84" s="285">
        <v>14</v>
      </c>
      <c r="F84" s="286">
        <v>70.099999999999994</v>
      </c>
      <c r="G84" s="287" t="str" cm="1">
        <f t="array" aca="1" ref="G84" ca="1">INDIRECT("'"&amp;$C84&amp;"'!"&amp;"$"&amp;$D84&amp;$E$1&amp;"")</f>
        <v>CMS</v>
      </c>
      <c r="H84" s="288" t="s">
        <v>1</v>
      </c>
      <c r="I84" s="286" t="s">
        <v>1</v>
      </c>
      <c r="J84" s="287" cm="1">
        <f t="array" aca="1" ref="J84" ca="1">INDIRECT("'"&amp;$C84&amp;"'!"&amp;"$"&amp;$D84&amp;$J$1&amp;"")</f>
        <v>6.7</v>
      </c>
      <c r="K84" s="288"/>
      <c r="L84" s="288">
        <v>0.99</v>
      </c>
      <c r="M84" s="286">
        <v>0.77</v>
      </c>
      <c r="N84" s="285" cm="1">
        <f t="array" aca="1" ref="N84" ca="1">INDIRECT("'"&amp;$C84&amp;"'!"&amp;"$"&amp;$D84&amp;$N$1&amp;"")</f>
        <v>0</v>
      </c>
      <c r="O84" s="288"/>
      <c r="P84" s="288" t="s">
        <v>1</v>
      </c>
      <c r="Q84" s="286" t="s">
        <v>1</v>
      </c>
      <c r="R84" s="285" cm="1">
        <f t="array" aca="1" ref="R84" ca="1">INDIRECT("'"&amp;$C84&amp;"'!"&amp;"$"&amp;$D84&amp;$R$1&amp;"")</f>
        <v>6.7</v>
      </c>
      <c r="S84" s="288"/>
      <c r="T84" s="288">
        <v>0.99</v>
      </c>
      <c r="U84" s="286">
        <v>0.77</v>
      </c>
      <c r="V84" s="287" t="str" cm="1">
        <f t="array" aca="1" ref="V84" ca="1">INDIRECT("'"&amp;$C84&amp;"'!"&amp;"$"&amp;$D84&amp;$V$1&amp;"")</f>
        <v>CMS</v>
      </c>
      <c r="W84" s="288" t="s">
        <v>1</v>
      </c>
      <c r="X84" s="288" t="s">
        <v>1</v>
      </c>
      <c r="Y84" s="289" t="s">
        <v>1</v>
      </c>
      <c r="Z84" s="285" t="str" cm="1">
        <f t="array" aca="1" ref="Z84" ca="1">INDIRECT("'"&amp;$C84&amp;"'!"&amp;"$"&amp;$D84&amp;$Z$1&amp;"")</f>
        <v>CMS</v>
      </c>
      <c r="AA84" s="288" t="s">
        <v>1</v>
      </c>
      <c r="AB84" s="288" t="s">
        <v>1</v>
      </c>
      <c r="AC84" s="286" t="s">
        <v>1</v>
      </c>
      <c r="AD84" s="287" cm="1">
        <f t="array" aca="1" ref="AD84" ca="1">INDIRECT("'"&amp;$C84&amp;"'!"&amp;"$"&amp;$D84&amp;$AD$1&amp;"")</f>
        <v>0</v>
      </c>
      <c r="AE84" s="288" t="s">
        <v>1</v>
      </c>
      <c r="AF84" s="288" t="s">
        <v>1</v>
      </c>
      <c r="AG84" s="289" t="s">
        <v>1</v>
      </c>
      <c r="AH84" s="285" cm="1">
        <f t="array" aca="1" ref="AH84" ca="1">INDIRECT("'"&amp;$C84&amp;"'!"&amp;"$"&amp;$D84&amp;$AH$1&amp;"")</f>
        <v>0</v>
      </c>
      <c r="AI84" s="288" t="s">
        <v>1</v>
      </c>
      <c r="AJ84" s="288" t="s">
        <v>1</v>
      </c>
      <c r="AK84" s="286" t="s">
        <v>1</v>
      </c>
      <c r="AL84" s="285" t="s">
        <v>1</v>
      </c>
      <c r="AM84" s="289">
        <v>70.900000000000006</v>
      </c>
      <c r="AN84" s="285" cm="1">
        <f t="array" aca="1" ref="AN84" ca="1">INDIRECT("'"&amp;$C84&amp;"'!"&amp;"$"&amp;$D84&amp;$AL$1&amp;"")</f>
        <v>0</v>
      </c>
      <c r="AO84" s="288" t="s">
        <v>1</v>
      </c>
      <c r="AP84" s="286" t="s">
        <v>1</v>
      </c>
      <c r="AQ84" s="287" cm="1">
        <f t="array" aca="1" ref="AQ84" ca="1">INDIRECT("'"&amp;$C84&amp;"'!"&amp;"$"&amp;$D84&amp;$AQ$1&amp;"")</f>
        <v>0</v>
      </c>
      <c r="AR84" s="288" t="s">
        <v>1</v>
      </c>
      <c r="AS84" s="286" t="s">
        <v>1</v>
      </c>
      <c r="AT84" s="285">
        <v>13.91</v>
      </c>
      <c r="AU84" s="289">
        <v>70.3</v>
      </c>
      <c r="AV84" s="288" cm="1">
        <f t="array" aca="1" ref="AV84" ca="1">INDIRECT("'"&amp;$C84&amp;"'!"&amp;"$"&amp;$D84&amp;$AV$1&amp;"")</f>
        <v>0</v>
      </c>
      <c r="AW84" s="287" t="s">
        <v>1</v>
      </c>
      <c r="AX84" s="288" t="s">
        <v>1</v>
      </c>
      <c r="AY84" s="286" t="s">
        <v>1</v>
      </c>
      <c r="AZ84" s="288" cm="1">
        <f t="array" aca="1" ref="AZ84" ca="1">INDIRECT("'"&amp;$C84&amp;"'!"&amp;"$"&amp;$D84&amp;$AZ$1&amp;"")</f>
        <v>3.5</v>
      </c>
      <c r="BA84" s="287" t="s">
        <v>1</v>
      </c>
      <c r="BB84" s="288">
        <v>0.94</v>
      </c>
      <c r="BC84" s="286">
        <v>1.4</v>
      </c>
      <c r="BD84" s="290">
        <v>14.1</v>
      </c>
      <c r="BE84" s="289">
        <v>71.790000000000006</v>
      </c>
      <c r="BF84" s="290" cm="1">
        <f t="array" aca="1" ref="BF84" ca="1">INDIRECT("'"&amp;$C84&amp;"'!"&amp;"$"&amp;$D84&amp;$BF$1&amp;"")</f>
        <v>14.2</v>
      </c>
      <c r="BG84" s="288">
        <v>1</v>
      </c>
      <c r="BH84" s="286">
        <v>1.3</v>
      </c>
      <c r="BI84" s="525">
        <v>69.2</v>
      </c>
      <c r="BJ84" s="285" cm="1">
        <f t="array" aca="1" ref="BJ84" ca="1">INDIRECT("'"&amp;$C84&amp;"'!"&amp;"$"&amp;$D84&amp;$BI$1&amp;"")</f>
        <v>0</v>
      </c>
      <c r="BK84" s="287" t="s">
        <v>1</v>
      </c>
      <c r="BL84" s="286" t="s">
        <v>1</v>
      </c>
      <c r="BM84" s="290" cm="1">
        <f t="array" aca="1" ref="BM84" ca="1">INDIRECT("'"&amp;$C84&amp;"'!"&amp;"$"&amp;$D84&amp;$BM$1&amp;"")</f>
        <v>0.77</v>
      </c>
      <c r="BN84" s="288"/>
      <c r="BO84" s="288">
        <v>0.99</v>
      </c>
      <c r="BP84" s="286">
        <v>0.09</v>
      </c>
      <c r="BQ84" s="290" cm="1">
        <f t="array" aca="1" ref="BQ84" ca="1">INDIRECT("'"&amp;$C84&amp;"'!"&amp;"$"&amp;$D84&amp;$BQ$1&amp;"")</f>
        <v>0.67</v>
      </c>
      <c r="BR84" s="288"/>
      <c r="BS84" s="288">
        <v>0.97</v>
      </c>
      <c r="BT84" s="286">
        <v>0.17</v>
      </c>
      <c r="BU84" s="291" cm="1">
        <f t="array" aca="1" ref="BU84" ca="1">INDIRECT("'"&amp;$C84&amp;"'!"&amp;"$"&amp;$D84&amp;74&amp;"")</f>
        <v>0</v>
      </c>
      <c r="BV84" s="288"/>
      <c r="BW84" s="288" t="s">
        <v>1</v>
      </c>
      <c r="BX84" s="286" t="s">
        <v>1</v>
      </c>
    </row>
    <row r="85" spans="1:76">
      <c r="A85" s="459">
        <v>45842</v>
      </c>
      <c r="B85" s="345">
        <v>0.20833333333333301</v>
      </c>
      <c r="C85" s="305">
        <v>4</v>
      </c>
      <c r="D85" s="306" t="s">
        <v>147</v>
      </c>
      <c r="E85" s="278">
        <v>13.9</v>
      </c>
      <c r="F85" s="279">
        <v>69.599999999999994</v>
      </c>
      <c r="G85" s="280" t="str" cm="1">
        <f t="array" aca="1" ref="G85" ca="1">INDIRECT("'"&amp;$C85&amp;"'!"&amp;"$"&amp;$D85&amp;$E$1&amp;"")</f>
        <v>CMS</v>
      </c>
      <c r="H85" s="281" t="s">
        <v>1</v>
      </c>
      <c r="I85" s="279" t="s">
        <v>1</v>
      </c>
      <c r="J85" s="280" cm="1">
        <f t="array" aca="1" ref="J85" ca="1">INDIRECT("'"&amp;$C85&amp;"'!"&amp;"$"&amp;$D85&amp;$J$1&amp;"")</f>
        <v>5.6</v>
      </c>
      <c r="K85" s="281"/>
      <c r="L85" s="281">
        <v>0.99</v>
      </c>
      <c r="M85" s="279">
        <v>0.6</v>
      </c>
      <c r="N85" s="278" cm="1">
        <f t="array" aca="1" ref="N85" ca="1">INDIRECT("'"&amp;$C85&amp;"'!"&amp;"$"&amp;$D85&amp;$N$1&amp;"")</f>
        <v>2</v>
      </c>
      <c r="O85" s="281"/>
      <c r="P85" s="281">
        <v>0.95</v>
      </c>
      <c r="Q85" s="279">
        <v>0.64</v>
      </c>
      <c r="R85" s="468" cm="1">
        <f t="array" aca="1" ref="R85" ca="1">INDIRECT("'"&amp;$C85&amp;"'!"&amp;"$"&amp;$D85&amp;$R$1&amp;"")</f>
        <v>5.6</v>
      </c>
      <c r="S85" s="281"/>
      <c r="T85" s="281">
        <v>0.99</v>
      </c>
      <c r="U85" s="279">
        <v>0.6</v>
      </c>
      <c r="V85" s="280" t="str" cm="1">
        <f t="array" aca="1" ref="V85" ca="1">INDIRECT("'"&amp;$C85&amp;"'!"&amp;"$"&amp;$D85&amp;$V$1&amp;"")</f>
        <v>CMS</v>
      </c>
      <c r="W85" s="281" t="s">
        <v>1</v>
      </c>
      <c r="X85" s="281" t="s">
        <v>1</v>
      </c>
      <c r="Y85" s="282" t="s">
        <v>1</v>
      </c>
      <c r="Z85" s="278" t="str" cm="1">
        <f t="array" aca="1" ref="Z85" ca="1">INDIRECT("'"&amp;$C85&amp;"'!"&amp;"$"&amp;$D85&amp;$Z$1&amp;"")</f>
        <v>CMS</v>
      </c>
      <c r="AA85" s="281" t="s">
        <v>1</v>
      </c>
      <c r="AB85" s="281" t="s">
        <v>1</v>
      </c>
      <c r="AC85" s="279" t="s">
        <v>1</v>
      </c>
      <c r="AD85" s="280" cm="1">
        <f t="array" aca="1" ref="AD85" ca="1">INDIRECT("'"&amp;$C85&amp;"'!"&amp;"$"&amp;$D85&amp;$AD$1&amp;"")</f>
        <v>0</v>
      </c>
      <c r="AE85" s="281" t="s">
        <v>1</v>
      </c>
      <c r="AF85" s="281" t="s">
        <v>1</v>
      </c>
      <c r="AG85" s="282" t="s">
        <v>1</v>
      </c>
      <c r="AH85" s="278" cm="1">
        <f t="array" aca="1" ref="AH85" ca="1">INDIRECT("'"&amp;$C85&amp;"'!"&amp;"$"&amp;$D85&amp;$AH$1&amp;"")</f>
        <v>0</v>
      </c>
      <c r="AI85" s="281" t="s">
        <v>1</v>
      </c>
      <c r="AJ85" s="281" t="s">
        <v>1</v>
      </c>
      <c r="AK85" s="279" t="s">
        <v>1</v>
      </c>
      <c r="AL85" s="278" t="s">
        <v>1</v>
      </c>
      <c r="AM85" s="282">
        <v>70.599999999999994</v>
      </c>
      <c r="AN85" s="278" cm="1">
        <f t="array" aca="1" ref="AN85" ca="1">INDIRECT("'"&amp;$C85&amp;"'!"&amp;"$"&amp;$D85&amp;$AL$1&amp;"")</f>
        <v>0</v>
      </c>
      <c r="AO85" s="281" t="s">
        <v>1</v>
      </c>
      <c r="AP85" s="279" t="s">
        <v>1</v>
      </c>
      <c r="AQ85" s="280" cm="1">
        <f t="array" aca="1" ref="AQ85" ca="1">INDIRECT("'"&amp;$C85&amp;"'!"&amp;"$"&amp;$D85&amp;$AQ$1&amp;"")</f>
        <v>0</v>
      </c>
      <c r="AR85" s="281" t="s">
        <v>1</v>
      </c>
      <c r="AS85" s="279" t="s">
        <v>1</v>
      </c>
      <c r="AT85" s="278">
        <v>13.88</v>
      </c>
      <c r="AU85" s="282">
        <v>70.3</v>
      </c>
      <c r="AV85" s="281" cm="1">
        <f t="array" aca="1" ref="AV85" ca="1">INDIRECT("'"&amp;$C85&amp;"'!"&amp;"$"&amp;$D85&amp;$AV$1&amp;"")</f>
        <v>0</v>
      </c>
      <c r="AW85" s="280" t="s">
        <v>1</v>
      </c>
      <c r="AX85" s="281" t="s">
        <v>1</v>
      </c>
      <c r="AY85" s="279" t="s">
        <v>1</v>
      </c>
      <c r="AZ85" s="281" cm="1">
        <f t="array" aca="1" ref="AZ85" ca="1">INDIRECT("'"&amp;$C85&amp;"'!"&amp;"$"&amp;$D85&amp;$AZ$1&amp;"")</f>
        <v>5.5</v>
      </c>
      <c r="BA85" s="280" t="s">
        <v>1</v>
      </c>
      <c r="BB85" s="281">
        <v>0.96</v>
      </c>
      <c r="BC85" s="279">
        <v>1.6</v>
      </c>
      <c r="BD85" s="283">
        <v>14.07</v>
      </c>
      <c r="BE85" s="282">
        <v>71.819999999999993</v>
      </c>
      <c r="BF85" s="283" cm="1">
        <f t="array" aca="1" ref="BF85" ca="1">INDIRECT("'"&amp;$C85&amp;"'!"&amp;"$"&amp;$D85&amp;$BF$1&amp;"")</f>
        <v>14.25</v>
      </c>
      <c r="BG85" s="281">
        <v>1</v>
      </c>
      <c r="BH85" s="279">
        <v>1.3</v>
      </c>
      <c r="BI85" s="524">
        <v>69.099999999999994</v>
      </c>
      <c r="BJ85" s="278" cm="1">
        <f t="array" aca="1" ref="BJ85" ca="1">INDIRECT("'"&amp;$C85&amp;"'!"&amp;"$"&amp;$D85&amp;$BI$1&amp;"")</f>
        <v>0</v>
      </c>
      <c r="BK85" s="280" t="s">
        <v>1</v>
      </c>
      <c r="BL85" s="279" t="s">
        <v>1</v>
      </c>
      <c r="BM85" s="283" cm="1">
        <f t="array" aca="1" ref="BM85" ca="1">INDIRECT("'"&amp;$C85&amp;"'!"&amp;"$"&amp;$D85&amp;$BM$1&amp;"")</f>
        <v>0.82</v>
      </c>
      <c r="BN85" s="281"/>
      <c r="BO85" s="281">
        <v>0.99</v>
      </c>
      <c r="BP85" s="279">
        <v>0.1</v>
      </c>
      <c r="BQ85" s="283" cm="1">
        <f t="array" aca="1" ref="BQ85" ca="1">INDIRECT("'"&amp;$C85&amp;"'!"&amp;"$"&amp;$D85&amp;$BQ$1&amp;"")</f>
        <v>0.73</v>
      </c>
      <c r="BR85" s="281"/>
      <c r="BS85" s="281">
        <v>0.97</v>
      </c>
      <c r="BT85" s="279">
        <v>0.19</v>
      </c>
      <c r="BU85" s="284" cm="1">
        <f t="array" aca="1" ref="BU85" ca="1">INDIRECT("'"&amp;$C85&amp;"'!"&amp;"$"&amp;$D85&amp;74&amp;"")</f>
        <v>0</v>
      </c>
      <c r="BV85" s="281"/>
      <c r="BW85" s="281" t="s">
        <v>1</v>
      </c>
      <c r="BX85" s="279" t="s">
        <v>1</v>
      </c>
    </row>
    <row r="86" spans="1:76">
      <c r="A86" s="459">
        <v>45842</v>
      </c>
      <c r="B86" s="345">
        <v>0.25</v>
      </c>
      <c r="C86" s="305">
        <v>4</v>
      </c>
      <c r="D86" s="306" t="s">
        <v>148</v>
      </c>
      <c r="E86" s="285">
        <v>14</v>
      </c>
      <c r="F86" s="286">
        <v>69.650000000000006</v>
      </c>
      <c r="G86" s="287" t="str" cm="1">
        <f t="array" aca="1" ref="G86" ca="1">INDIRECT("'"&amp;$C86&amp;"'!"&amp;"$"&amp;$D86&amp;$E$1&amp;"")</f>
        <v>CMS</v>
      </c>
      <c r="H86" s="288" t="s">
        <v>1</v>
      </c>
      <c r="I86" s="286" t="s">
        <v>1</v>
      </c>
      <c r="J86" s="287" cm="1">
        <f t="array" aca="1" ref="J86" ca="1">INDIRECT("'"&amp;$C86&amp;"'!"&amp;"$"&amp;$D86&amp;$J$1&amp;"")</f>
        <v>0</v>
      </c>
      <c r="K86" s="288"/>
      <c r="L86" s="288"/>
      <c r="M86" s="286"/>
      <c r="N86" s="285" cm="1">
        <f t="array" aca="1" ref="N86" ca="1">INDIRECT("'"&amp;$C86&amp;"'!"&amp;"$"&amp;$D86&amp;$N$1&amp;"")</f>
        <v>6.4</v>
      </c>
      <c r="O86" s="288"/>
      <c r="P86" s="288">
        <v>0.97</v>
      </c>
      <c r="Q86" s="286">
        <v>1.6</v>
      </c>
      <c r="R86" s="285" cm="1">
        <f t="array" aca="1" ref="R86" ca="1">INDIRECT("'"&amp;$C86&amp;"'!"&amp;"$"&amp;$D86&amp;$R$1&amp;"")</f>
        <v>6.4</v>
      </c>
      <c r="S86" s="288"/>
      <c r="T86" s="288">
        <v>0.95</v>
      </c>
      <c r="U86" s="286">
        <v>2.1</v>
      </c>
      <c r="V86" s="287" t="str" cm="1">
        <f t="array" aca="1" ref="V86" ca="1">INDIRECT("'"&amp;$C86&amp;"'!"&amp;"$"&amp;$D86&amp;$V$1&amp;"")</f>
        <v>CMS</v>
      </c>
      <c r="W86" s="288" t="s">
        <v>1</v>
      </c>
      <c r="X86" s="288" t="s">
        <v>1</v>
      </c>
      <c r="Y86" s="289" t="s">
        <v>1</v>
      </c>
      <c r="Z86" s="285" t="str" cm="1">
        <f t="array" aca="1" ref="Z86" ca="1">INDIRECT("'"&amp;$C86&amp;"'!"&amp;"$"&amp;$D86&amp;$Z$1&amp;"")</f>
        <v>CMS</v>
      </c>
      <c r="AA86" s="288" t="s">
        <v>1</v>
      </c>
      <c r="AB86" s="288" t="s">
        <v>1</v>
      </c>
      <c r="AC86" s="286" t="s">
        <v>1</v>
      </c>
      <c r="AD86" s="287" cm="1">
        <f t="array" aca="1" ref="AD86" ca="1">INDIRECT("'"&amp;$C86&amp;"'!"&amp;"$"&amp;$D86&amp;$AD$1&amp;"")</f>
        <v>0</v>
      </c>
      <c r="AE86" s="288" t="s">
        <v>1</v>
      </c>
      <c r="AF86" s="288" t="s">
        <v>1</v>
      </c>
      <c r="AG86" s="289" t="s">
        <v>1</v>
      </c>
      <c r="AH86" s="285" cm="1">
        <f t="array" aca="1" ref="AH86" ca="1">INDIRECT("'"&amp;$C86&amp;"'!"&amp;"$"&amp;$D86&amp;$AH$1&amp;"")</f>
        <v>0</v>
      </c>
      <c r="AI86" s="288" t="s">
        <v>1</v>
      </c>
      <c r="AJ86" s="288" t="s">
        <v>1</v>
      </c>
      <c r="AK86" s="286" t="s">
        <v>1</v>
      </c>
      <c r="AL86" s="285">
        <v>11.6</v>
      </c>
      <c r="AM86" s="289">
        <v>70.8</v>
      </c>
      <c r="AN86" s="285" cm="1">
        <f t="array" aca="1" ref="AN86" ca="1">INDIRECT("'"&amp;$C86&amp;"'!"&amp;"$"&amp;$D86&amp;$AL$1&amp;"")</f>
        <v>0</v>
      </c>
      <c r="AO86" s="288" t="s">
        <v>1</v>
      </c>
      <c r="AP86" s="286" t="s">
        <v>1</v>
      </c>
      <c r="AQ86" s="287" cm="1">
        <f t="array" aca="1" ref="AQ86" ca="1">INDIRECT("'"&amp;$C86&amp;"'!"&amp;"$"&amp;$D86&amp;$AQ$1&amp;"")</f>
        <v>3.8</v>
      </c>
      <c r="AR86" s="288">
        <v>0.97</v>
      </c>
      <c r="AS86" s="286">
        <v>0.94</v>
      </c>
      <c r="AT86" s="285">
        <v>13.91</v>
      </c>
      <c r="AU86" s="289">
        <v>70.3</v>
      </c>
      <c r="AV86" s="288" cm="1">
        <f t="array" aca="1" ref="AV86" ca="1">INDIRECT("'"&amp;$C86&amp;"'!"&amp;"$"&amp;$D86&amp;$AV$1&amp;"")</f>
        <v>0</v>
      </c>
      <c r="AW86" s="287" t="s">
        <v>1</v>
      </c>
      <c r="AX86" s="288" t="s">
        <v>1</v>
      </c>
      <c r="AY86" s="286" t="s">
        <v>1</v>
      </c>
      <c r="AZ86" s="288" cm="1">
        <f t="array" aca="1" ref="AZ86" ca="1">INDIRECT("'"&amp;$C86&amp;"'!"&amp;"$"&amp;$D86&amp;$AZ$1&amp;"")</f>
        <v>7</v>
      </c>
      <c r="BA86" s="287" t="s">
        <v>1</v>
      </c>
      <c r="BB86" s="288">
        <v>0.98</v>
      </c>
      <c r="BC86" s="286">
        <v>1.2</v>
      </c>
      <c r="BD86" s="290">
        <v>14.05</v>
      </c>
      <c r="BE86" s="289">
        <v>71.48</v>
      </c>
      <c r="BF86" s="290" cm="1">
        <f t="array" aca="1" ref="BF86" ca="1">INDIRECT("'"&amp;$C86&amp;"'!"&amp;"$"&amp;$D86&amp;$BF$1&amp;"")</f>
        <v>14.17</v>
      </c>
      <c r="BG86" s="288">
        <v>1</v>
      </c>
      <c r="BH86" s="286">
        <v>1.3</v>
      </c>
      <c r="BI86" s="525">
        <v>68.7</v>
      </c>
      <c r="BJ86" s="285" cm="1">
        <f t="array" aca="1" ref="BJ86" ca="1">INDIRECT("'"&amp;$C86&amp;"'!"&amp;"$"&amp;$D86&amp;$BI$1&amp;"")</f>
        <v>0</v>
      </c>
      <c r="BK86" s="287" t="s">
        <v>1</v>
      </c>
      <c r="BL86" s="286" t="s">
        <v>1</v>
      </c>
      <c r="BM86" s="290" cm="1">
        <f t="array" aca="1" ref="BM86" ca="1">INDIRECT("'"&amp;$C86&amp;"'!"&amp;"$"&amp;$D86&amp;$BM$1&amp;"")</f>
        <v>1</v>
      </c>
      <c r="BN86" s="288"/>
      <c r="BO86" s="288">
        <v>0.99</v>
      </c>
      <c r="BP86" s="286">
        <v>0.11</v>
      </c>
      <c r="BQ86" s="290" cm="1">
        <f t="array" aca="1" ref="BQ86" ca="1">INDIRECT("'"&amp;$C86&amp;"'!"&amp;"$"&amp;$D86&amp;$BQ$1&amp;"")</f>
        <v>0.8</v>
      </c>
      <c r="BR86" s="288"/>
      <c r="BS86" s="288">
        <v>0.97</v>
      </c>
      <c r="BT86" s="286">
        <v>0.19</v>
      </c>
      <c r="BU86" s="291" cm="1">
        <f t="array" aca="1" ref="BU86" ca="1">INDIRECT("'"&amp;$C86&amp;"'!"&amp;"$"&amp;$D86&amp;74&amp;"")</f>
        <v>0</v>
      </c>
      <c r="BV86" s="288"/>
      <c r="BW86" s="288" t="s">
        <v>1</v>
      </c>
      <c r="BX86" s="286" t="s">
        <v>1</v>
      </c>
    </row>
    <row r="87" spans="1:76">
      <c r="A87" s="459">
        <v>45842</v>
      </c>
      <c r="B87" s="345">
        <v>0.29166666666666702</v>
      </c>
      <c r="C87" s="305">
        <v>4</v>
      </c>
      <c r="D87" s="306" t="s">
        <v>149</v>
      </c>
      <c r="E87" s="278">
        <v>14</v>
      </c>
      <c r="F87" s="279">
        <v>69.78</v>
      </c>
      <c r="G87" s="280" t="str" cm="1">
        <f t="array" aca="1" ref="G87" ca="1">INDIRECT("'"&amp;$C87&amp;"'!"&amp;"$"&amp;$D87&amp;$E$1&amp;"")</f>
        <v>CMS</v>
      </c>
      <c r="H87" s="281" t="s">
        <v>1</v>
      </c>
      <c r="I87" s="279" t="s">
        <v>1</v>
      </c>
      <c r="J87" s="280" cm="1">
        <f t="array" aca="1" ref="J87" ca="1">INDIRECT("'"&amp;$C87&amp;"'!"&amp;"$"&amp;$D87&amp;$J$1&amp;"")</f>
        <v>0</v>
      </c>
      <c r="K87" s="281"/>
      <c r="L87" s="281"/>
      <c r="M87" s="282"/>
      <c r="N87" s="278" cm="1">
        <f t="array" aca="1" ref="N87" ca="1">INDIRECT("'"&amp;$C87&amp;"'!"&amp;"$"&amp;$D87&amp;$N$1&amp;"")</f>
        <v>6.4</v>
      </c>
      <c r="O87" s="281"/>
      <c r="P87" s="281">
        <v>0.96</v>
      </c>
      <c r="Q87" s="279">
        <v>1.8</v>
      </c>
      <c r="R87" s="468" cm="1">
        <f t="array" aca="1" ref="R87" ca="1">INDIRECT("'"&amp;$C87&amp;"'!"&amp;"$"&amp;$D87&amp;$R$1&amp;"")</f>
        <v>6.4</v>
      </c>
      <c r="S87" s="281"/>
      <c r="T87" s="281">
        <v>0.96</v>
      </c>
      <c r="U87" s="279" t="s">
        <v>166</v>
      </c>
      <c r="V87" s="280" t="str" cm="1">
        <f t="array" aca="1" ref="V87" ca="1">INDIRECT("'"&amp;$C87&amp;"'!"&amp;"$"&amp;$D87&amp;$V$1&amp;"")</f>
        <v>CMS</v>
      </c>
      <c r="W87" s="281" t="s">
        <v>1</v>
      </c>
      <c r="X87" s="281" t="s">
        <v>1</v>
      </c>
      <c r="Y87" s="282" t="s">
        <v>1</v>
      </c>
      <c r="Z87" s="278" t="str" cm="1">
        <f t="array" aca="1" ref="Z87" ca="1">INDIRECT("'"&amp;$C87&amp;"'!"&amp;"$"&amp;$D87&amp;$Z$1&amp;"")</f>
        <v>CMS</v>
      </c>
      <c r="AA87" s="281" t="s">
        <v>1</v>
      </c>
      <c r="AB87" s="281" t="s">
        <v>1</v>
      </c>
      <c r="AC87" s="279" t="s">
        <v>1</v>
      </c>
      <c r="AD87" s="280" cm="1">
        <f t="array" aca="1" ref="AD87" ca="1">INDIRECT("'"&amp;$C87&amp;"'!"&amp;"$"&amp;$D87&amp;$AD$1&amp;"")</f>
        <v>0</v>
      </c>
      <c r="AE87" s="281" t="s">
        <v>1</v>
      </c>
      <c r="AF87" s="281" t="s">
        <v>1</v>
      </c>
      <c r="AG87" s="282" t="s">
        <v>1</v>
      </c>
      <c r="AH87" s="278" cm="1">
        <f t="array" aca="1" ref="AH87" ca="1">INDIRECT("'"&amp;$C87&amp;"'!"&amp;"$"&amp;$D87&amp;$AH$1&amp;"")</f>
        <v>0</v>
      </c>
      <c r="AI87" s="281" t="s">
        <v>1</v>
      </c>
      <c r="AJ87" s="281" t="s">
        <v>1</v>
      </c>
      <c r="AK87" s="279" t="s">
        <v>1</v>
      </c>
      <c r="AL87" s="278">
        <v>11.6</v>
      </c>
      <c r="AM87" s="282">
        <v>70.7</v>
      </c>
      <c r="AN87" s="278" cm="1">
        <f t="array" aca="1" ref="AN87" ca="1">INDIRECT("'"&amp;$C87&amp;"'!"&amp;"$"&amp;$D87&amp;$AL$1&amp;"")</f>
        <v>0</v>
      </c>
      <c r="AO87" s="281" t="s">
        <v>1</v>
      </c>
      <c r="AP87" s="279" t="s">
        <v>1</v>
      </c>
      <c r="AQ87" s="280" cm="1">
        <f t="array" aca="1" ref="AQ87" ca="1">INDIRECT("'"&amp;$C87&amp;"'!"&amp;"$"&amp;$D87&amp;$AQ$1&amp;"")</f>
        <v>1.8</v>
      </c>
      <c r="AR87" s="281">
        <v>0.92</v>
      </c>
      <c r="AS87" s="279">
        <v>0.8</v>
      </c>
      <c r="AT87" s="278">
        <v>13.89</v>
      </c>
      <c r="AU87" s="282">
        <v>70.3</v>
      </c>
      <c r="AV87" s="281" cm="1">
        <f t="array" aca="1" ref="AV87" ca="1">INDIRECT("'"&amp;$C87&amp;"'!"&amp;"$"&amp;$D87&amp;$AV$1&amp;"")</f>
        <v>0</v>
      </c>
      <c r="AW87" s="280" t="s">
        <v>1</v>
      </c>
      <c r="AX87" s="281" t="s">
        <v>1</v>
      </c>
      <c r="AY87" s="279" t="s">
        <v>1</v>
      </c>
      <c r="AZ87" s="281" cm="1">
        <f t="array" aca="1" ref="AZ87" ca="1">INDIRECT("'"&amp;$C87&amp;"'!"&amp;"$"&amp;$D87&amp;$AZ$1&amp;"")</f>
        <v>7</v>
      </c>
      <c r="BA87" s="280" t="s">
        <v>1</v>
      </c>
      <c r="BB87" s="281">
        <v>0.98</v>
      </c>
      <c r="BC87" s="279">
        <v>1.3</v>
      </c>
      <c r="BD87" s="283">
        <v>14</v>
      </c>
      <c r="BE87" s="282">
        <v>71.510000000000005</v>
      </c>
      <c r="BF87" s="283" cm="1">
        <f t="array" aca="1" ref="BF87" ca="1">INDIRECT("'"&amp;$C87&amp;"'!"&amp;"$"&amp;$D87&amp;$BF$1&amp;"")</f>
        <v>13.59</v>
      </c>
      <c r="BG87" s="281">
        <v>1</v>
      </c>
      <c r="BH87" s="279">
        <v>1.3</v>
      </c>
      <c r="BI87" s="524">
        <v>68.7</v>
      </c>
      <c r="BJ87" s="278" cm="1">
        <f t="array" aca="1" ref="BJ87" ca="1">INDIRECT("'"&amp;$C87&amp;"'!"&amp;"$"&amp;$D87&amp;$BI$1&amp;"")</f>
        <v>0</v>
      </c>
      <c r="BK87" s="280"/>
      <c r="BL87" s="279"/>
      <c r="BM87" s="283" cm="1">
        <f t="array" aca="1" ref="BM87" ca="1">INDIRECT("'"&amp;$C87&amp;"'!"&amp;"$"&amp;$D87&amp;$BM$1&amp;"")</f>
        <v>1</v>
      </c>
      <c r="BN87" s="281"/>
      <c r="BO87" s="281">
        <v>0.99</v>
      </c>
      <c r="BP87" s="279">
        <v>0.13</v>
      </c>
      <c r="BQ87" s="284" cm="1">
        <f t="array" aca="1" ref="BQ87" ca="1">INDIRECT("'"&amp;$C87&amp;"'!"&amp;"$"&amp;$D87&amp;$BQ$1&amp;"")</f>
        <v>0.73</v>
      </c>
      <c r="BR87" s="281"/>
      <c r="BS87" s="281">
        <v>0.96</v>
      </c>
      <c r="BT87" s="279">
        <v>0.2</v>
      </c>
      <c r="BU87" s="284" cm="1">
        <f t="array" aca="1" ref="BU87" ca="1">INDIRECT("'"&amp;$C87&amp;"'!"&amp;"$"&amp;$D87&amp;74&amp;"")</f>
        <v>0</v>
      </c>
      <c r="BV87" s="281"/>
      <c r="BW87" s="281" t="s">
        <v>1</v>
      </c>
      <c r="BX87" s="279" t="s">
        <v>1</v>
      </c>
    </row>
    <row r="88" spans="1:76">
      <c r="A88" s="459">
        <v>45842</v>
      </c>
      <c r="B88" s="345">
        <v>0.33333333333333398</v>
      </c>
      <c r="C88" s="305">
        <v>4</v>
      </c>
      <c r="D88" s="306" t="s">
        <v>150</v>
      </c>
      <c r="E88" s="285">
        <v>14.1</v>
      </c>
      <c r="F88" s="286">
        <v>69.459999999999994</v>
      </c>
      <c r="G88" s="287" t="str" cm="1">
        <f t="array" aca="1" ref="G88" ca="1">INDIRECT("'"&amp;$C88&amp;"'!"&amp;"$"&amp;$D88&amp;$E$1&amp;"")</f>
        <v>CMS</v>
      </c>
      <c r="H88" s="288" t="s">
        <v>1</v>
      </c>
      <c r="I88" s="286" t="s">
        <v>1</v>
      </c>
      <c r="J88" s="287" cm="1">
        <f t="array" aca="1" ref="J88" ca="1">INDIRECT("'"&amp;$C88&amp;"'!"&amp;"$"&amp;$D88&amp;$J$1&amp;"")</f>
        <v>0</v>
      </c>
      <c r="K88" s="288"/>
      <c r="L88" s="288"/>
      <c r="M88" s="289"/>
      <c r="N88" s="285" cm="1">
        <f t="array" aca="1" ref="N88" ca="1">INDIRECT("'"&amp;$C88&amp;"'!"&amp;"$"&amp;$D88&amp;$N$1&amp;"")</f>
        <v>7</v>
      </c>
      <c r="O88" s="288"/>
      <c r="P88" s="288">
        <v>0.96</v>
      </c>
      <c r="Q88" s="286">
        <v>2.0299999999999998</v>
      </c>
      <c r="R88" s="285" cm="1">
        <f t="array" aca="1" ref="R88" ca="1">INDIRECT("'"&amp;$C88&amp;"'!"&amp;"$"&amp;$D88&amp;$R$1&amp;"")</f>
        <v>7</v>
      </c>
      <c r="S88" s="288"/>
      <c r="T88" s="288">
        <v>0.93</v>
      </c>
      <c r="U88" s="286">
        <v>2.67</v>
      </c>
      <c r="V88" s="287" t="str" cm="1">
        <f t="array" aca="1" ref="V88" ca="1">INDIRECT("'"&amp;$C88&amp;"'!"&amp;"$"&amp;$D88&amp;$V$1&amp;"")</f>
        <v>CMS</v>
      </c>
      <c r="W88" s="288" t="s">
        <v>1</v>
      </c>
      <c r="X88" s="288" t="s">
        <v>1</v>
      </c>
      <c r="Y88" s="289" t="s">
        <v>1</v>
      </c>
      <c r="Z88" s="285" t="str" cm="1">
        <f t="array" aca="1" ref="Z88" ca="1">INDIRECT("'"&amp;$C88&amp;"'!"&amp;"$"&amp;$D88&amp;$Z$1&amp;"")</f>
        <v>CMS</v>
      </c>
      <c r="AA88" s="288" t="s">
        <v>1</v>
      </c>
      <c r="AB88" s="288" t="s">
        <v>1</v>
      </c>
      <c r="AC88" s="286" t="s">
        <v>1</v>
      </c>
      <c r="AD88" s="287" cm="1">
        <f t="array" aca="1" ref="AD88" ca="1">INDIRECT("'"&amp;$C88&amp;"'!"&amp;"$"&amp;$D88&amp;$AD$1&amp;"")</f>
        <v>0</v>
      </c>
      <c r="AE88" s="288" t="s">
        <v>1</v>
      </c>
      <c r="AF88" s="288" t="s">
        <v>1</v>
      </c>
      <c r="AG88" s="289" t="s">
        <v>1</v>
      </c>
      <c r="AH88" s="285" cm="1">
        <f t="array" aca="1" ref="AH88" ca="1">INDIRECT("'"&amp;$C88&amp;"'!"&amp;"$"&amp;$D88&amp;$AH$1&amp;"")</f>
        <v>0</v>
      </c>
      <c r="AI88" s="288" t="s">
        <v>1</v>
      </c>
      <c r="AJ88" s="288" t="s">
        <v>1</v>
      </c>
      <c r="AK88" s="286" t="s">
        <v>1</v>
      </c>
      <c r="AL88" s="285">
        <v>11</v>
      </c>
      <c r="AM88" s="289">
        <v>70.599999999999994</v>
      </c>
      <c r="AN88" s="285" cm="1">
        <f t="array" aca="1" ref="AN88" ca="1">INDIRECT("'"&amp;$C88&amp;"'!"&amp;"$"&amp;$D88&amp;$AL$1&amp;"")</f>
        <v>0</v>
      </c>
      <c r="AO88" s="288" t="s">
        <v>1</v>
      </c>
      <c r="AP88" s="286" t="s">
        <v>1</v>
      </c>
      <c r="AQ88" s="287" cm="1">
        <f t="array" aca="1" ref="AQ88" ca="1">INDIRECT("'"&amp;$C88&amp;"'!"&amp;"$"&amp;$D88&amp;$AQ$1&amp;"")</f>
        <v>3.8</v>
      </c>
      <c r="AR88" s="288">
        <v>0.98</v>
      </c>
      <c r="AS88" s="286">
        <v>0.78</v>
      </c>
      <c r="AT88" s="285">
        <v>13.888999999999999</v>
      </c>
      <c r="AU88" s="289">
        <v>70.2</v>
      </c>
      <c r="AV88" s="288" cm="1">
        <f t="array" aca="1" ref="AV88" ca="1">INDIRECT("'"&amp;$C88&amp;"'!"&amp;"$"&amp;$D88&amp;$AV$1&amp;"")</f>
        <v>0</v>
      </c>
      <c r="AW88" s="287" t="s">
        <v>1</v>
      </c>
      <c r="AX88" s="288"/>
      <c r="AY88" s="286"/>
      <c r="AZ88" s="288" cm="1">
        <f t="array" aca="1" ref="AZ88" ca="1">INDIRECT("'"&amp;$C88&amp;"'!"&amp;"$"&amp;$D88&amp;$AZ$1&amp;"")</f>
        <v>7</v>
      </c>
      <c r="BA88" s="287" t="s">
        <v>1</v>
      </c>
      <c r="BB88" s="288">
        <v>0.98</v>
      </c>
      <c r="BC88" s="286">
        <v>1.5</v>
      </c>
      <c r="BD88" s="290">
        <v>14.14</v>
      </c>
      <c r="BE88" s="289">
        <v>71.599999999999994</v>
      </c>
      <c r="BF88" s="290" cm="1">
        <f t="array" aca="1" ref="BF88" ca="1">INDIRECT("'"&amp;$C88&amp;"'!"&amp;"$"&amp;$D88&amp;$BF$1&amp;"")</f>
        <v>14.14</v>
      </c>
      <c r="BG88" s="288">
        <v>0.99</v>
      </c>
      <c r="BH88" s="286">
        <v>2.4</v>
      </c>
      <c r="BI88" s="525">
        <v>68.2</v>
      </c>
      <c r="BJ88" s="285" cm="1">
        <f t="array" aca="1" ref="BJ88" ca="1">INDIRECT("'"&amp;$C88&amp;"'!"&amp;"$"&amp;$D88&amp;$BI$1&amp;"")</f>
        <v>0.8</v>
      </c>
      <c r="BK88" s="287">
        <v>0.96</v>
      </c>
      <c r="BL88" s="286">
        <v>0.23</v>
      </c>
      <c r="BM88" s="290" cm="1">
        <f t="array" aca="1" ref="BM88" ca="1">INDIRECT("'"&amp;$C88&amp;"'!"&amp;"$"&amp;$D88&amp;$BM$1&amp;"")</f>
        <v>1</v>
      </c>
      <c r="BN88" s="288"/>
      <c r="BO88" s="288">
        <v>0.99</v>
      </c>
      <c r="BP88" s="286">
        <v>0.11</v>
      </c>
      <c r="BQ88" s="291" cm="1">
        <f t="array" aca="1" ref="BQ88" ca="1">INDIRECT("'"&amp;$C88&amp;"'!"&amp;"$"&amp;$D88&amp;$BQ$1&amp;"")</f>
        <v>0.74</v>
      </c>
      <c r="BR88" s="288"/>
      <c r="BS88" s="288">
        <v>0.96</v>
      </c>
      <c r="BT88" s="286">
        <v>0.21</v>
      </c>
      <c r="BU88" s="291" cm="1">
        <f t="array" aca="1" ref="BU88" ca="1">INDIRECT("'"&amp;$C88&amp;"'!"&amp;"$"&amp;$D88&amp;74&amp;"")</f>
        <v>0</v>
      </c>
      <c r="BV88" s="288"/>
      <c r="BW88" s="288" t="s">
        <v>1</v>
      </c>
      <c r="BX88" s="286" t="s">
        <v>1</v>
      </c>
    </row>
    <row r="89" spans="1:76">
      <c r="A89" s="459">
        <v>45842</v>
      </c>
      <c r="B89" s="345">
        <v>0.375</v>
      </c>
      <c r="C89" s="305">
        <v>4</v>
      </c>
      <c r="D89" s="306" t="s">
        <v>151</v>
      </c>
      <c r="E89" s="278">
        <v>14.1</v>
      </c>
      <c r="F89" s="279">
        <v>69.12</v>
      </c>
      <c r="G89" s="280" t="str" cm="1">
        <f t="array" aca="1" ref="G89" ca="1">INDIRECT("'"&amp;$C89&amp;"'!"&amp;"$"&amp;$D89&amp;$E$1&amp;"")</f>
        <v>CMS</v>
      </c>
      <c r="H89" s="281" t="s">
        <v>1</v>
      </c>
      <c r="I89" s="279" t="s">
        <v>1</v>
      </c>
      <c r="J89" s="280" cm="1">
        <f t="array" aca="1" ref="J89" ca="1">INDIRECT("'"&amp;$C89&amp;"'!"&amp;"$"&amp;$D89&amp;$J$1&amp;"")</f>
        <v>6.5</v>
      </c>
      <c r="K89" s="281"/>
      <c r="L89" s="281">
        <v>0.92</v>
      </c>
      <c r="M89" s="282">
        <v>2.83</v>
      </c>
      <c r="N89" s="278" t="str" cm="1">
        <f t="array" aca="1" ref="N89" ca="1">INDIRECT("'"&amp;$C89&amp;"'!"&amp;"$"&amp;$D89&amp;$N$1&amp;"")</f>
        <v>CMS</v>
      </c>
      <c r="O89" s="281"/>
      <c r="P89" s="281"/>
      <c r="Q89" s="279"/>
      <c r="R89" s="468" cm="1">
        <f t="array" aca="1" ref="R89" ca="1">INDIRECT("'"&amp;$C89&amp;"'!"&amp;"$"&amp;$D89&amp;$R$1&amp;"")</f>
        <v>6.5</v>
      </c>
      <c r="S89" s="281"/>
      <c r="T89" s="281">
        <v>0.92</v>
      </c>
      <c r="U89" s="279">
        <v>2.85</v>
      </c>
      <c r="V89" s="280" t="str" cm="1">
        <f t="array" aca="1" ref="V89" ca="1">INDIRECT("'"&amp;$C89&amp;"'!"&amp;"$"&amp;$D89&amp;$V$1&amp;"")</f>
        <v>CMS</v>
      </c>
      <c r="W89" s="281" t="s">
        <v>1</v>
      </c>
      <c r="X89" s="281" t="s">
        <v>1</v>
      </c>
      <c r="Y89" s="282" t="s">
        <v>1</v>
      </c>
      <c r="Z89" s="278" t="str" cm="1">
        <f t="array" aca="1" ref="Z89" ca="1">INDIRECT("'"&amp;$C89&amp;"'!"&amp;"$"&amp;$D89&amp;$Z$1&amp;"")</f>
        <v>CMS</v>
      </c>
      <c r="AA89" s="281" t="s">
        <v>1</v>
      </c>
      <c r="AB89" s="281" t="s">
        <v>1</v>
      </c>
      <c r="AC89" s="279" t="s">
        <v>1</v>
      </c>
      <c r="AD89" s="280" cm="1">
        <f t="array" aca="1" ref="AD89" ca="1">INDIRECT("'"&amp;$C89&amp;"'!"&amp;"$"&amp;$D89&amp;$AD$1&amp;"")</f>
        <v>3.8</v>
      </c>
      <c r="AE89" s="281">
        <f>3.55*3.8</f>
        <v>13.489999999999998</v>
      </c>
      <c r="AF89" s="281">
        <v>0.94</v>
      </c>
      <c r="AG89" s="282">
        <v>1.35</v>
      </c>
      <c r="AH89" s="278" cm="1">
        <f t="array" aca="1" ref="AH89" ca="1">INDIRECT("'"&amp;$C89&amp;"'!"&amp;"$"&amp;$D89&amp;$AH$1&amp;"")</f>
        <v>0</v>
      </c>
      <c r="AI89" s="281"/>
      <c r="AJ89" s="281"/>
      <c r="AK89" s="279"/>
      <c r="AL89" s="278">
        <v>11.6</v>
      </c>
      <c r="AM89" s="282">
        <v>70.5</v>
      </c>
      <c r="AN89" s="278" cm="1">
        <f t="array" aca="1" ref="AN89" ca="1">INDIRECT("'"&amp;$C89&amp;"'!"&amp;"$"&amp;$D89&amp;$AL$1&amp;"")</f>
        <v>0</v>
      </c>
      <c r="AO89" s="281"/>
      <c r="AP89" s="279"/>
      <c r="AQ89" s="280" cm="1">
        <f t="array" aca="1" ref="AQ89" ca="1">INDIRECT("'"&amp;$C89&amp;"'!"&amp;"$"&amp;$D89&amp;$AQ$1&amp;"")</f>
        <v>3.9</v>
      </c>
      <c r="AR89" s="281">
        <v>0.96</v>
      </c>
      <c r="AS89" s="279">
        <v>1.24</v>
      </c>
      <c r="AT89" s="278">
        <v>13.89</v>
      </c>
      <c r="AU89" s="282">
        <v>70.2</v>
      </c>
      <c r="AV89" s="281" cm="1">
        <f t="array" aca="1" ref="AV89" ca="1">INDIRECT("'"&amp;$C89&amp;"'!"&amp;"$"&amp;$D89&amp;$AV$1&amp;"")</f>
        <v>2</v>
      </c>
      <c r="AW89" s="280" t="s">
        <v>1</v>
      </c>
      <c r="AX89" s="281">
        <v>0.93</v>
      </c>
      <c r="AY89" s="279">
        <v>0.8</v>
      </c>
      <c r="AZ89" s="281" cm="1">
        <f t="array" aca="1" ref="AZ89" ca="1">INDIRECT("'"&amp;$C89&amp;"'!"&amp;"$"&amp;$D89&amp;$AZ$1&amp;"")</f>
        <v>7</v>
      </c>
      <c r="BA89" s="280" t="s">
        <v>1</v>
      </c>
      <c r="BB89" s="281">
        <v>0.98</v>
      </c>
      <c r="BC89" s="279">
        <v>1.5</v>
      </c>
      <c r="BD89" s="283">
        <v>13.98</v>
      </c>
      <c r="BE89" s="282">
        <v>70.84</v>
      </c>
      <c r="BF89" s="283" cm="1">
        <f t="array" aca="1" ref="BF89" ca="1">INDIRECT("'"&amp;$C89&amp;"'!"&amp;"$"&amp;$D89&amp;$BF$1&amp;"")</f>
        <v>14.31</v>
      </c>
      <c r="BG89" s="281">
        <v>0.99</v>
      </c>
      <c r="BH89" s="279">
        <v>2.2999999999999998</v>
      </c>
      <c r="BI89" s="524">
        <v>68.3</v>
      </c>
      <c r="BJ89" s="278" cm="1">
        <f t="array" aca="1" ref="BJ89" ca="1">INDIRECT("'"&amp;$C89&amp;"'!"&amp;"$"&amp;$D89&amp;$BI$1&amp;"")</f>
        <v>4.5999999999999996</v>
      </c>
      <c r="BK89" s="280">
        <v>0.95</v>
      </c>
      <c r="BL89" s="279">
        <v>1.5</v>
      </c>
      <c r="BM89" s="283" cm="1">
        <f t="array" aca="1" ref="BM89" ca="1">INDIRECT("'"&amp;$C89&amp;"'!"&amp;"$"&amp;$D89&amp;$BM$1&amp;"")</f>
        <v>1.2</v>
      </c>
      <c r="BN89" s="281"/>
      <c r="BO89" s="281">
        <v>0.99</v>
      </c>
      <c r="BP89" s="279">
        <v>0.15</v>
      </c>
      <c r="BQ89" s="284" cm="1">
        <f t="array" aca="1" ref="BQ89" ca="1">INDIRECT("'"&amp;$C89&amp;"'!"&amp;"$"&amp;$D89&amp;$BQ$1&amp;"")</f>
        <v>0.76</v>
      </c>
      <c r="BR89" s="281"/>
      <c r="BS89" s="281">
        <v>0.96</v>
      </c>
      <c r="BT89" s="279">
        <v>0.21</v>
      </c>
      <c r="BU89" s="284" cm="1">
        <f t="array" aca="1" ref="BU89" ca="1">INDIRECT("'"&amp;$C89&amp;"'!"&amp;"$"&amp;$D89&amp;74&amp;"")</f>
        <v>0</v>
      </c>
      <c r="BV89" s="281"/>
      <c r="BW89" s="281" t="s">
        <v>1</v>
      </c>
      <c r="BX89" s="279" t="s">
        <v>1</v>
      </c>
    </row>
    <row r="90" spans="1:76">
      <c r="A90" s="459">
        <v>45842</v>
      </c>
      <c r="B90" s="345">
        <v>0.41666666666666702</v>
      </c>
      <c r="C90" s="305">
        <v>4</v>
      </c>
      <c r="D90" s="306" t="s">
        <v>152</v>
      </c>
      <c r="E90" s="285">
        <v>13.9</v>
      </c>
      <c r="F90" s="286">
        <v>68.180000000000007</v>
      </c>
      <c r="G90" s="287" t="str" cm="1">
        <f t="array" aca="1" ref="G90" ca="1">INDIRECT("'"&amp;$C90&amp;"'!"&amp;"$"&amp;$D90&amp;$E$1&amp;"")</f>
        <v>CMS</v>
      </c>
      <c r="H90" s="288" t="s">
        <v>1</v>
      </c>
      <c r="I90" s="286" t="s">
        <v>1</v>
      </c>
      <c r="J90" s="287" cm="1">
        <f t="array" aca="1" ref="J90" ca="1">INDIRECT("'"&amp;$C90&amp;"'!"&amp;"$"&amp;$D90&amp;$J$1&amp;"")</f>
        <v>6</v>
      </c>
      <c r="K90" s="288"/>
      <c r="L90" s="288">
        <v>0.91</v>
      </c>
      <c r="M90" s="289">
        <v>2.62</v>
      </c>
      <c r="N90" s="285" cm="1">
        <f t="array" aca="1" ref="N90" ca="1">INDIRECT("'"&amp;$C90&amp;"'!"&amp;"$"&amp;$D90&amp;$N$1&amp;"")</f>
        <v>1.3</v>
      </c>
      <c r="O90" s="288"/>
      <c r="P90" s="288">
        <v>0.94</v>
      </c>
      <c r="Q90" s="286">
        <v>2.4900000000000002</v>
      </c>
      <c r="R90" s="285" cm="1">
        <f t="array" aca="1" ref="R90" ca="1">INDIRECT("'"&amp;$C90&amp;"'!"&amp;"$"&amp;$D90&amp;$R$1&amp;"")</f>
        <v>5.9</v>
      </c>
      <c r="S90" s="288"/>
      <c r="T90" s="288">
        <v>0.91</v>
      </c>
      <c r="U90" s="286">
        <v>2.57</v>
      </c>
      <c r="V90" s="287" t="str" cm="1">
        <f t="array" aca="1" ref="V90" ca="1">INDIRECT("'"&amp;$C90&amp;"'!"&amp;"$"&amp;$D90&amp;$V$1&amp;"")</f>
        <v>CMS</v>
      </c>
      <c r="W90" s="288" t="s">
        <v>1</v>
      </c>
      <c r="X90" s="288" t="s">
        <v>1</v>
      </c>
      <c r="Y90" s="289" t="s">
        <v>1</v>
      </c>
      <c r="Z90" s="285" t="str" cm="1">
        <f t="array" aca="1" ref="Z90" ca="1">INDIRECT("'"&amp;$C90&amp;"'!"&amp;"$"&amp;$D90&amp;$Z$1&amp;"")</f>
        <v>CMS</v>
      </c>
      <c r="AA90" s="288" t="s">
        <v>1</v>
      </c>
      <c r="AB90" s="288" t="s">
        <v>1</v>
      </c>
      <c r="AC90" s="286" t="s">
        <v>1</v>
      </c>
      <c r="AD90" s="287" cm="1">
        <f t="array" aca="1" ref="AD90" ca="1">INDIRECT("'"&amp;$C90&amp;"'!"&amp;"$"&amp;$D90&amp;$AD$1&amp;"")</f>
        <v>3.8</v>
      </c>
      <c r="AE90" s="288">
        <f>3.8*3.49</f>
        <v>13.262</v>
      </c>
      <c r="AF90" s="288">
        <v>0.9</v>
      </c>
      <c r="AG90" s="289">
        <v>1.54</v>
      </c>
      <c r="AH90" s="285" cm="1">
        <f t="array" aca="1" ref="AH90" ca="1">INDIRECT("'"&amp;$C90&amp;"'!"&amp;"$"&amp;$D90&amp;$AH$1&amp;"")</f>
        <v>3.8</v>
      </c>
      <c r="AI90" s="288">
        <v>13.84</v>
      </c>
      <c r="AJ90" s="288">
        <v>0.9</v>
      </c>
      <c r="AK90" s="286">
        <v>0.33300000000000002</v>
      </c>
      <c r="AL90" s="285">
        <v>11.6</v>
      </c>
      <c r="AM90" s="289">
        <v>70.599999999999994</v>
      </c>
      <c r="AN90" s="285" cm="1">
        <f t="array" aca="1" ref="AN90" ca="1">INDIRECT("'"&amp;$C90&amp;"'!"&amp;"$"&amp;$D90&amp;$AL$1&amp;"")</f>
        <v>0</v>
      </c>
      <c r="AO90" s="288"/>
      <c r="AP90" s="286"/>
      <c r="AQ90" s="287" cm="1">
        <f t="array" aca="1" ref="AQ90" ca="1">INDIRECT("'"&amp;$C90&amp;"'!"&amp;"$"&amp;$D90&amp;$AQ$1&amp;"")</f>
        <v>3.8</v>
      </c>
      <c r="AR90" s="288">
        <v>0.9</v>
      </c>
      <c r="AS90" s="286">
        <v>1.5</v>
      </c>
      <c r="AT90" s="285">
        <v>13.99</v>
      </c>
      <c r="AU90" s="289">
        <v>70.400000000000006</v>
      </c>
      <c r="AV90" s="288" cm="1">
        <f t="array" aca="1" ref="AV90" ca="1">INDIRECT("'"&amp;$C90&amp;"'!"&amp;"$"&amp;$D90&amp;$AV$1&amp;"")</f>
        <v>4.7</v>
      </c>
      <c r="AW90" s="287" t="s">
        <v>1</v>
      </c>
      <c r="AX90" s="288">
        <v>0.96</v>
      </c>
      <c r="AY90" s="286">
        <v>1.3</v>
      </c>
      <c r="AZ90" s="288" cm="1">
        <f t="array" aca="1" ref="AZ90" ca="1">INDIRECT("'"&amp;$C90&amp;"'!"&amp;"$"&amp;$D90&amp;$AZ$1&amp;"")</f>
        <v>7</v>
      </c>
      <c r="BA90" s="287" t="s">
        <v>1</v>
      </c>
      <c r="BB90" s="288">
        <v>0.98</v>
      </c>
      <c r="BC90" s="286">
        <v>1.5</v>
      </c>
      <c r="BD90" s="290">
        <v>13.99</v>
      </c>
      <c r="BE90" s="289">
        <v>70.739999999999995</v>
      </c>
      <c r="BF90" s="290" cm="1">
        <f t="array" aca="1" ref="BF90" ca="1">INDIRECT("'"&amp;$C90&amp;"'!"&amp;"$"&amp;$D90&amp;$BF$1&amp;"")</f>
        <v>14.27</v>
      </c>
      <c r="BG90" s="288">
        <v>0.99</v>
      </c>
      <c r="BH90" s="286">
        <v>2.4</v>
      </c>
      <c r="BI90" s="525">
        <v>67.5</v>
      </c>
      <c r="BJ90" s="285" cm="1">
        <f t="array" aca="1" ref="BJ90" ca="1">INDIRECT("'"&amp;$C90&amp;"'!"&amp;"$"&amp;$D90&amp;$BI$1&amp;"")</f>
        <v>0.8</v>
      </c>
      <c r="BK90" s="287">
        <v>0.96</v>
      </c>
      <c r="BL90" s="286">
        <v>1.1000000000000001</v>
      </c>
      <c r="BM90" s="290" cm="1">
        <f t="array" aca="1" ref="BM90" ca="1">INDIRECT("'"&amp;$C90&amp;"'!"&amp;"$"&amp;$D90&amp;$BM$1&amp;"")</f>
        <v>1.29</v>
      </c>
      <c r="BN90" s="288"/>
      <c r="BO90" s="288">
        <v>0.99</v>
      </c>
      <c r="BP90" s="286">
        <v>0.16</v>
      </c>
      <c r="BQ90" s="291" cm="1">
        <f t="array" aca="1" ref="BQ90" ca="1">INDIRECT("'"&amp;$C90&amp;"'!"&amp;"$"&amp;$D90&amp;$BQ$1&amp;"")</f>
        <v>0.83</v>
      </c>
      <c r="BR90" s="288"/>
      <c r="BS90" s="288">
        <v>0.96</v>
      </c>
      <c r="BT90" s="286">
        <v>0.23</v>
      </c>
      <c r="BU90" s="291" cm="1">
        <f t="array" aca="1" ref="BU90" ca="1">INDIRECT("'"&amp;$C90&amp;"'!"&amp;"$"&amp;$D90&amp;74&amp;"")</f>
        <v>0</v>
      </c>
      <c r="BV90" s="288"/>
      <c r="BW90" s="288" t="s">
        <v>1</v>
      </c>
      <c r="BX90" s="286" t="s">
        <v>1</v>
      </c>
    </row>
    <row r="91" spans="1:76">
      <c r="A91" s="459">
        <v>45842</v>
      </c>
      <c r="B91" s="345">
        <v>0.45833333333333398</v>
      </c>
      <c r="C91" s="305">
        <v>4</v>
      </c>
      <c r="D91" s="306" t="s">
        <v>153</v>
      </c>
      <c r="E91" s="278">
        <v>14.2</v>
      </c>
      <c r="F91" s="279">
        <v>69.14</v>
      </c>
      <c r="G91" s="280" t="str" cm="1">
        <f t="array" aca="1" ref="G91" ca="1">INDIRECT("'"&amp;$C91&amp;"'!"&amp;"$"&amp;$D91&amp;$E$1&amp;"")</f>
        <v>CMS</v>
      </c>
      <c r="H91" s="281" t="s">
        <v>1</v>
      </c>
      <c r="I91" s="279" t="s">
        <v>1</v>
      </c>
      <c r="J91" s="280" cm="1">
        <f t="array" aca="1" ref="J91" ca="1">INDIRECT("'"&amp;$C91&amp;"'!"&amp;"$"&amp;$D91&amp;$J$1&amp;"")</f>
        <v>6.4</v>
      </c>
      <c r="K91" s="281"/>
      <c r="L91" s="281">
        <v>0.91</v>
      </c>
      <c r="M91" s="282">
        <v>2.87</v>
      </c>
      <c r="N91" s="278" cm="1">
        <f t="array" aca="1" ref="N91" ca="1">INDIRECT("'"&amp;$C91&amp;"'!"&amp;"$"&amp;$D91&amp;$N$1&amp;"")</f>
        <v>6.6</v>
      </c>
      <c r="O91" s="281"/>
      <c r="P91" s="281">
        <v>0.91</v>
      </c>
      <c r="Q91" s="279">
        <v>3.02</v>
      </c>
      <c r="R91" s="468" cm="1">
        <f t="array" aca="1" ref="R91" ca="1">INDIRECT("'"&amp;$C91&amp;"'!"&amp;"$"&amp;$D91&amp;$R$1&amp;"")</f>
        <v>6.2</v>
      </c>
      <c r="S91" s="281"/>
      <c r="T91" s="281">
        <v>0.93</v>
      </c>
      <c r="U91" s="279">
        <v>3.48</v>
      </c>
      <c r="V91" s="280" t="str" cm="1">
        <f t="array" aca="1" ref="V91" ca="1">INDIRECT("'"&amp;$C91&amp;"'!"&amp;"$"&amp;$D91&amp;$V$1&amp;"")</f>
        <v>CMS</v>
      </c>
      <c r="W91" s="281" t="s">
        <v>1</v>
      </c>
      <c r="X91" s="281" t="s">
        <v>1</v>
      </c>
      <c r="Y91" s="282" t="s">
        <v>1</v>
      </c>
      <c r="Z91" s="278" t="str" cm="1">
        <f t="array" aca="1" ref="Z91" ca="1">INDIRECT("'"&amp;$C91&amp;"'!"&amp;"$"&amp;$D91&amp;$Z$1&amp;"")</f>
        <v>CMS</v>
      </c>
      <c r="AA91" s="281" t="s">
        <v>1</v>
      </c>
      <c r="AB91" s="281" t="s">
        <v>1</v>
      </c>
      <c r="AC91" s="279" t="s">
        <v>1</v>
      </c>
      <c r="AD91" s="280" cm="1">
        <f t="array" aca="1" ref="AD91" ca="1">INDIRECT("'"&amp;$C91&amp;"'!"&amp;"$"&amp;$D91&amp;$AD$1&amp;"")</f>
        <v>3.8</v>
      </c>
      <c r="AE91" s="281">
        <f>3.8*3.53</f>
        <v>13.413999999999998</v>
      </c>
      <c r="AF91" s="281">
        <v>0.9</v>
      </c>
      <c r="AG91" s="282">
        <v>1.57</v>
      </c>
      <c r="AH91" s="278" cm="1">
        <f t="array" aca="1" ref="AH91" ca="1">INDIRECT("'"&amp;$C91&amp;"'!"&amp;"$"&amp;$D91&amp;$AH$1&amp;"")</f>
        <v>3.8</v>
      </c>
      <c r="AI91" s="281">
        <v>13.88</v>
      </c>
      <c r="AJ91" s="281">
        <v>0.99</v>
      </c>
      <c r="AK91" s="279">
        <v>0.35899999999999999</v>
      </c>
      <c r="AL91" s="278">
        <v>11.6</v>
      </c>
      <c r="AM91" s="282">
        <v>70.599999999999994</v>
      </c>
      <c r="AN91" s="278" cm="1">
        <f t="array" aca="1" ref="AN91" ca="1">INDIRECT("'"&amp;$C91&amp;"'!"&amp;"$"&amp;$D91&amp;$AL$1&amp;"")</f>
        <v>0</v>
      </c>
      <c r="AO91" s="281"/>
      <c r="AP91" s="279"/>
      <c r="AQ91" s="280" cm="1">
        <f t="array" aca="1" ref="AQ91" ca="1">INDIRECT("'"&amp;$C91&amp;"'!"&amp;"$"&amp;$D91&amp;$AQ$1&amp;"")</f>
        <v>3.8</v>
      </c>
      <c r="AR91" s="281">
        <v>0.9</v>
      </c>
      <c r="AS91" s="279">
        <v>1.5</v>
      </c>
      <c r="AT91" s="278">
        <v>14</v>
      </c>
      <c r="AU91" s="282">
        <v>70.400000000000006</v>
      </c>
      <c r="AV91" s="281" cm="1">
        <f t="array" aca="1" ref="AV91" ca="1">INDIRECT("'"&amp;$C91&amp;"'!"&amp;"$"&amp;$D91&amp;$AV$1&amp;"")</f>
        <v>3</v>
      </c>
      <c r="AW91" s="280" t="s">
        <v>1</v>
      </c>
      <c r="AX91" s="281">
        <v>0.93</v>
      </c>
      <c r="AY91" s="279">
        <v>1.1000000000000001</v>
      </c>
      <c r="AZ91" s="281" cm="1">
        <f t="array" aca="1" ref="AZ91" ca="1">INDIRECT("'"&amp;$C91&amp;"'!"&amp;"$"&amp;$D91&amp;$AZ$1&amp;"")</f>
        <v>7</v>
      </c>
      <c r="BA91" s="280" t="s">
        <v>1</v>
      </c>
      <c r="BB91" s="281">
        <v>0.96</v>
      </c>
      <c r="BC91" s="279">
        <v>0.2</v>
      </c>
      <c r="BD91" s="283">
        <v>14.03</v>
      </c>
      <c r="BE91" s="282">
        <v>70</v>
      </c>
      <c r="BF91" s="283" cm="1">
        <f t="array" aca="1" ref="BF91" ca="1">INDIRECT("'"&amp;$C91&amp;"'!"&amp;"$"&amp;$D91&amp;$BF$1&amp;"")</f>
        <v>14.29</v>
      </c>
      <c r="BG91" s="281">
        <v>0.99</v>
      </c>
      <c r="BH91" s="279">
        <v>2.4</v>
      </c>
      <c r="BI91" s="524">
        <v>68</v>
      </c>
      <c r="BJ91" s="278" cm="1">
        <f t="array" aca="1" ref="BJ91" ca="1">INDIRECT("'"&amp;$C91&amp;"'!"&amp;"$"&amp;$D91&amp;$BI$1&amp;"")</f>
        <v>0.7</v>
      </c>
      <c r="BK91" s="280">
        <v>0.96</v>
      </c>
      <c r="BL91" s="279">
        <v>0.2</v>
      </c>
      <c r="BM91" s="283" cm="1">
        <f t="array" aca="1" ref="BM91" ca="1">INDIRECT("'"&amp;$C91&amp;"'!"&amp;"$"&amp;$D91&amp;$BM$1&amp;"")</f>
        <v>1.33</v>
      </c>
      <c r="BN91" s="281"/>
      <c r="BO91" s="281">
        <v>0.99</v>
      </c>
      <c r="BP91" s="279">
        <v>0.16</v>
      </c>
      <c r="BQ91" s="284" cm="1">
        <f t="array" aca="1" ref="BQ91" ca="1">INDIRECT("'"&amp;$C91&amp;"'!"&amp;"$"&amp;$D91&amp;$BQ$1&amp;"")</f>
        <v>0.83</v>
      </c>
      <c r="BR91" s="281"/>
      <c r="BS91" s="281">
        <v>0.96</v>
      </c>
      <c r="BT91" s="279">
        <v>0.23</v>
      </c>
      <c r="BU91" s="284" cm="1">
        <f t="array" aca="1" ref="BU91" ca="1">INDIRECT("'"&amp;$C91&amp;"'!"&amp;"$"&amp;$D91&amp;74&amp;"")</f>
        <v>0</v>
      </c>
      <c r="BV91" s="281"/>
      <c r="BW91" s="281" t="s">
        <v>1</v>
      </c>
      <c r="BX91" s="279" t="s">
        <v>1</v>
      </c>
    </row>
    <row r="92" spans="1:76">
      <c r="A92" s="459">
        <v>45842</v>
      </c>
      <c r="B92" s="345">
        <v>0.5</v>
      </c>
      <c r="C92" s="305">
        <v>4</v>
      </c>
      <c r="D92" s="306" t="s">
        <v>154</v>
      </c>
      <c r="E92" s="285">
        <v>14.2</v>
      </c>
      <c r="F92" s="286">
        <v>69.010000000000005</v>
      </c>
      <c r="G92" s="287" t="str" cm="1">
        <f t="array" aca="1" ref="G92" ca="1">INDIRECT("'"&amp;$C92&amp;"'!"&amp;"$"&amp;$D92&amp;$E$1&amp;"")</f>
        <v>CMS</v>
      </c>
      <c r="H92" s="288" t="s">
        <v>1</v>
      </c>
      <c r="I92" s="286" t="s">
        <v>1</v>
      </c>
      <c r="J92" s="287" cm="1">
        <f t="array" aca="1" ref="J92" ca="1">INDIRECT("'"&amp;$C92&amp;"'!"&amp;"$"&amp;$D92&amp;$J$1&amp;"")</f>
        <v>6.6</v>
      </c>
      <c r="K92" s="288"/>
      <c r="L92" s="288">
        <v>0.91</v>
      </c>
      <c r="M92" s="289">
        <v>2.95</v>
      </c>
      <c r="N92" s="285" cm="1">
        <f t="array" aca="1" ref="N92" ca="1">INDIRECT("'"&amp;$C92&amp;"'!"&amp;"$"&amp;$D92&amp;$N$1&amp;"")</f>
        <v>6.6</v>
      </c>
      <c r="O92" s="288"/>
      <c r="P92" s="288">
        <v>0.91</v>
      </c>
      <c r="Q92" s="289">
        <v>3.02</v>
      </c>
      <c r="R92" s="285" cm="1">
        <f t="array" aca="1" ref="R92" ca="1">INDIRECT("'"&amp;$C92&amp;"'!"&amp;"$"&amp;$D92&amp;$R$1&amp;"")</f>
        <v>6.6</v>
      </c>
      <c r="S92" s="288"/>
      <c r="T92" s="288">
        <v>0.92</v>
      </c>
      <c r="U92" s="286">
        <v>2.71</v>
      </c>
      <c r="V92" s="287" t="str" cm="1">
        <f t="array" aca="1" ref="V92" ca="1">INDIRECT("'"&amp;$C92&amp;"'!"&amp;"$"&amp;$D92&amp;$V$1&amp;"")</f>
        <v>CMS</v>
      </c>
      <c r="W92" s="288" t="s">
        <v>1</v>
      </c>
      <c r="X92" s="288" t="s">
        <v>1</v>
      </c>
      <c r="Y92" s="289" t="s">
        <v>1</v>
      </c>
      <c r="Z92" s="285" t="str" cm="1">
        <f t="array" aca="1" ref="Z92" ca="1">INDIRECT("'"&amp;$C92&amp;"'!"&amp;"$"&amp;$D92&amp;$Z$1&amp;"")</f>
        <v>CMS</v>
      </c>
      <c r="AA92" s="288" t="s">
        <v>1</v>
      </c>
      <c r="AB92" s="288" t="s">
        <v>1</v>
      </c>
      <c r="AC92" s="286" t="s">
        <v>1</v>
      </c>
      <c r="AD92" s="287" cm="1">
        <f t="array" aca="1" ref="AD92" ca="1">INDIRECT("'"&amp;$C92&amp;"'!"&amp;"$"&amp;$D92&amp;$AD$1&amp;"")</f>
        <v>3.8</v>
      </c>
      <c r="AE92" s="288">
        <f>3.8*3.53</f>
        <v>13.413999999999998</v>
      </c>
      <c r="AF92" s="288">
        <v>0.9</v>
      </c>
      <c r="AG92" s="289">
        <v>1.58</v>
      </c>
      <c r="AH92" s="285" cm="1">
        <f t="array" aca="1" ref="AH92" ca="1">INDIRECT("'"&amp;$C92&amp;"'!"&amp;"$"&amp;$D92&amp;$AH$1&amp;"")</f>
        <v>3.8</v>
      </c>
      <c r="AI92" s="288">
        <v>14.04</v>
      </c>
      <c r="AJ92" s="288">
        <v>0.97</v>
      </c>
      <c r="AK92" s="286">
        <v>0.90500000000000003</v>
      </c>
      <c r="AL92" s="285">
        <v>11.6</v>
      </c>
      <c r="AM92" s="289">
        <v>70.900000000000006</v>
      </c>
      <c r="AN92" s="285" cm="1">
        <f t="array" aca="1" ref="AN92" ca="1">INDIRECT("'"&amp;$C92&amp;"'!"&amp;"$"&amp;$D92&amp;$AL$1&amp;"")</f>
        <v>0</v>
      </c>
      <c r="AO92" s="288" t="s">
        <v>1</v>
      </c>
      <c r="AP92" s="286" t="s">
        <v>1</v>
      </c>
      <c r="AQ92" s="287" cm="1">
        <f t="array" aca="1" ref="AQ92" ca="1">INDIRECT("'"&amp;$C92&amp;"'!"&amp;"$"&amp;$D92&amp;$AQ$1&amp;"")</f>
        <v>3.8</v>
      </c>
      <c r="AR92" s="288">
        <v>0.92</v>
      </c>
      <c r="AS92" s="286">
        <v>1.2</v>
      </c>
      <c r="AT92" s="285">
        <v>14</v>
      </c>
      <c r="AU92" s="289">
        <v>70.400000000000006</v>
      </c>
      <c r="AV92" s="288" cm="1">
        <f t="array" aca="1" ref="AV92" ca="1">INDIRECT("'"&amp;$C92&amp;"'!"&amp;"$"&amp;$D92&amp;$AV$1&amp;"")</f>
        <v>3</v>
      </c>
      <c r="AW92" s="287" t="s">
        <v>1</v>
      </c>
      <c r="AX92" s="288">
        <v>0.95</v>
      </c>
      <c r="AY92" s="286">
        <v>0.9</v>
      </c>
      <c r="AZ92" s="288" cm="1">
        <f t="array" aca="1" ref="AZ92" ca="1">INDIRECT("'"&amp;$C92&amp;"'!"&amp;"$"&amp;$D92&amp;$AZ$1&amp;"")</f>
        <v>7</v>
      </c>
      <c r="BA92" s="287" t="s">
        <v>1</v>
      </c>
      <c r="BB92" s="288">
        <v>0.98</v>
      </c>
      <c r="BC92" s="286">
        <v>1.5</v>
      </c>
      <c r="BD92" s="290">
        <v>14.15</v>
      </c>
      <c r="BE92" s="289">
        <v>70.08</v>
      </c>
      <c r="BF92" s="290" cm="1">
        <f t="array" aca="1" ref="BF92" ca="1">INDIRECT("'"&amp;$C92&amp;"'!"&amp;"$"&amp;$D92&amp;$BF$1&amp;"")</f>
        <v>14.28</v>
      </c>
      <c r="BG92" s="288">
        <v>0.99</v>
      </c>
      <c r="BH92" s="286">
        <v>2.4</v>
      </c>
      <c r="BI92" s="525">
        <v>68.099999999999994</v>
      </c>
      <c r="BJ92" s="285" cm="1">
        <f t="array" aca="1" ref="BJ92" ca="1">INDIRECT("'"&amp;$C92&amp;"'!"&amp;"$"&amp;$D92&amp;$BI$1&amp;"")</f>
        <v>0.7</v>
      </c>
      <c r="BK92" s="287">
        <v>0.96</v>
      </c>
      <c r="BL92" s="286">
        <v>0.2</v>
      </c>
      <c r="BM92" s="290" cm="1">
        <f t="array" aca="1" ref="BM92" ca="1">INDIRECT("'"&amp;$C92&amp;"'!"&amp;"$"&amp;$D92&amp;$BM$1&amp;"")</f>
        <v>1.35</v>
      </c>
      <c r="BN92" s="288"/>
      <c r="BO92" s="288">
        <v>0.99</v>
      </c>
      <c r="BP92" s="286">
        <v>0.17</v>
      </c>
      <c r="BQ92" s="291" cm="1">
        <f t="array" aca="1" ref="BQ92" ca="1">INDIRECT("'"&amp;$C92&amp;"'!"&amp;"$"&amp;$D92&amp;$BQ$1&amp;"")</f>
        <v>0.86</v>
      </c>
      <c r="BR92" s="288"/>
      <c r="BS92" s="288">
        <v>0.96</v>
      </c>
      <c r="BT92" s="286">
        <v>0.24</v>
      </c>
      <c r="BU92" s="291" cm="1">
        <f t="array" aca="1" ref="BU92" ca="1">INDIRECT("'"&amp;$C92&amp;"'!"&amp;"$"&amp;$D92&amp;74&amp;"")</f>
        <v>0</v>
      </c>
      <c r="BV92" s="288"/>
      <c r="BW92" s="288" t="s">
        <v>1</v>
      </c>
      <c r="BX92" s="286" t="s">
        <v>1</v>
      </c>
    </row>
    <row r="93" spans="1:76">
      <c r="A93" s="459">
        <v>45842</v>
      </c>
      <c r="B93" s="345">
        <v>0.54166666666666696</v>
      </c>
      <c r="C93" s="305">
        <v>4</v>
      </c>
      <c r="D93" s="306" t="s">
        <v>155</v>
      </c>
      <c r="E93" s="278">
        <v>14.2</v>
      </c>
      <c r="F93" s="279">
        <v>69.14</v>
      </c>
      <c r="G93" s="280" t="str" cm="1">
        <f t="array" aca="1" ref="G93" ca="1">INDIRECT("'"&amp;$C93&amp;"'!"&amp;"$"&amp;$D93&amp;$E$1&amp;"")</f>
        <v>CMS</v>
      </c>
      <c r="H93" s="281" t="s">
        <v>1</v>
      </c>
      <c r="I93" s="279" t="s">
        <v>1</v>
      </c>
      <c r="J93" s="280" cm="1">
        <f t="array" aca="1" ref="J93" ca="1">INDIRECT("'"&amp;$C93&amp;"'!"&amp;"$"&amp;$D93&amp;$J$1&amp;"")</f>
        <v>6.7</v>
      </c>
      <c r="K93" s="281"/>
      <c r="L93" s="281">
        <v>0.91</v>
      </c>
      <c r="M93" s="279">
        <v>3.04</v>
      </c>
      <c r="N93" s="278" cm="1">
        <f t="array" aca="1" ref="N93" ca="1">INDIRECT("'"&amp;$C93&amp;"'!"&amp;"$"&amp;$D93&amp;$N$1&amp;"")</f>
        <v>6.7</v>
      </c>
      <c r="O93" s="281"/>
      <c r="P93" s="281">
        <v>0.91</v>
      </c>
      <c r="Q93" s="279">
        <v>3.01</v>
      </c>
      <c r="R93" s="468" cm="1">
        <f t="array" aca="1" ref="R93" ca="1">INDIRECT("'"&amp;$C93&amp;"'!"&amp;"$"&amp;$D93&amp;$R$1&amp;"")</f>
        <v>6.7</v>
      </c>
      <c r="S93" s="281"/>
      <c r="T93" s="281">
        <v>0.91</v>
      </c>
      <c r="U93" s="279">
        <v>3.08</v>
      </c>
      <c r="V93" s="280" t="str" cm="1">
        <f t="array" aca="1" ref="V93" ca="1">INDIRECT("'"&amp;$C93&amp;"'!"&amp;"$"&amp;$D93&amp;$V$1&amp;"")</f>
        <v>CMS</v>
      </c>
      <c r="W93" s="281" t="s">
        <v>1</v>
      </c>
      <c r="X93" s="281" t="s">
        <v>1</v>
      </c>
      <c r="Y93" s="282" t="s">
        <v>1</v>
      </c>
      <c r="Z93" s="278" t="str" cm="1">
        <f t="array" aca="1" ref="Z93" ca="1">INDIRECT("'"&amp;$C93&amp;"'!"&amp;"$"&amp;$D93&amp;$Z$1&amp;"")</f>
        <v>CMS</v>
      </c>
      <c r="AA93" s="281" t="s">
        <v>1</v>
      </c>
      <c r="AB93" s="281" t="s">
        <v>1</v>
      </c>
      <c r="AC93" s="279" t="s">
        <v>1</v>
      </c>
      <c r="AD93" s="280" cm="1">
        <f t="array" aca="1" ref="AD93" ca="1">INDIRECT("'"&amp;$C93&amp;"'!"&amp;"$"&amp;$D93&amp;$AD$1&amp;"")</f>
        <v>3.8</v>
      </c>
      <c r="AE93" s="281">
        <f>3.8*3.52</f>
        <v>13.375999999999999</v>
      </c>
      <c r="AF93" s="281">
        <v>0.9</v>
      </c>
      <c r="AG93" s="282">
        <v>1.56</v>
      </c>
      <c r="AH93" s="278" cm="1">
        <f t="array" aca="1" ref="AH93" ca="1">INDIRECT("'"&amp;$C93&amp;"'!"&amp;"$"&amp;$D93&amp;$AH$1&amp;"")</f>
        <v>3.8</v>
      </c>
      <c r="AI93" s="281">
        <v>14.04</v>
      </c>
      <c r="AJ93" s="281">
        <v>0.97</v>
      </c>
      <c r="AK93" s="279">
        <v>0.86899999999999999</v>
      </c>
      <c r="AL93" s="278">
        <v>11.6</v>
      </c>
      <c r="AM93" s="282">
        <v>70.900000000000006</v>
      </c>
      <c r="AN93" s="278" cm="1">
        <f t="array" aca="1" ref="AN93" ca="1">INDIRECT("'"&amp;$C93&amp;"'!"&amp;"$"&amp;$D93&amp;$AL$1&amp;"")</f>
        <v>0</v>
      </c>
      <c r="AO93" s="281" t="s">
        <v>1</v>
      </c>
      <c r="AP93" s="279" t="s">
        <v>1</v>
      </c>
      <c r="AQ93" s="280" cm="1">
        <f t="array" aca="1" ref="AQ93" ca="1">INDIRECT("'"&amp;$C93&amp;"'!"&amp;"$"&amp;$D93&amp;$AQ$1&amp;"")</f>
        <v>3.8</v>
      </c>
      <c r="AR93" s="281">
        <v>0.92</v>
      </c>
      <c r="AS93" s="279">
        <v>1.2</v>
      </c>
      <c r="AT93" s="278">
        <v>14</v>
      </c>
      <c r="AU93" s="282">
        <v>70.400000000000006</v>
      </c>
      <c r="AV93" s="281" cm="1">
        <f t="array" aca="1" ref="AV93" ca="1">INDIRECT("'"&amp;$C93&amp;"'!"&amp;"$"&amp;$D93&amp;$AV$1&amp;"")</f>
        <v>3</v>
      </c>
      <c r="AW93" s="280">
        <v>13.7</v>
      </c>
      <c r="AX93" s="281">
        <v>0.93</v>
      </c>
      <c r="AY93" s="279">
        <v>0.9</v>
      </c>
      <c r="AZ93" s="281" cm="1">
        <f t="array" aca="1" ref="AZ93" ca="1">INDIRECT("'"&amp;$C93&amp;"'!"&amp;"$"&amp;$D93&amp;$AZ$1&amp;"")</f>
        <v>7</v>
      </c>
      <c r="BA93" s="280">
        <v>13.7</v>
      </c>
      <c r="BB93" s="281">
        <v>0.98</v>
      </c>
      <c r="BC93" s="279">
        <v>1.5</v>
      </c>
      <c r="BD93" s="283">
        <v>14.15</v>
      </c>
      <c r="BE93" s="282">
        <v>71.66</v>
      </c>
      <c r="BF93" s="283" cm="1">
        <f t="array" aca="1" ref="BF93" ca="1">INDIRECT("'"&amp;$C93&amp;"'!"&amp;"$"&amp;$D93&amp;$BF$1&amp;"")</f>
        <v>14.29</v>
      </c>
      <c r="BG93" s="281">
        <v>0.99</v>
      </c>
      <c r="BH93" s="279">
        <v>2.4</v>
      </c>
      <c r="BI93" s="524">
        <v>67.900000000000006</v>
      </c>
      <c r="BJ93" s="278" cm="1">
        <f t="array" aca="1" ref="BJ93" ca="1">INDIRECT("'"&amp;$C93&amp;"'!"&amp;"$"&amp;$D93&amp;$BI$1&amp;"")</f>
        <v>2.4000000000000004</v>
      </c>
      <c r="BK93" s="280">
        <v>0.96</v>
      </c>
      <c r="BL93" s="279">
        <v>0.23</v>
      </c>
      <c r="BM93" s="283" cm="1">
        <f t="array" aca="1" ref="BM93" ca="1">INDIRECT("'"&amp;$C93&amp;"'!"&amp;"$"&amp;$D93&amp;$BM$1&amp;"")</f>
        <v>1.36</v>
      </c>
      <c r="BN93" s="281"/>
      <c r="BO93" s="281">
        <v>0.99</v>
      </c>
      <c r="BP93" s="279">
        <v>0.16</v>
      </c>
      <c r="BQ93" s="284" cm="1">
        <f t="array" aca="1" ref="BQ93" ca="1">INDIRECT("'"&amp;$C93&amp;"'!"&amp;"$"&amp;$D93&amp;$BQ$1&amp;"")</f>
        <v>0.82</v>
      </c>
      <c r="BR93" s="281"/>
      <c r="BS93" s="281">
        <v>0.96</v>
      </c>
      <c r="BT93" s="279">
        <v>0.22</v>
      </c>
      <c r="BU93" s="284" cm="1">
        <f t="array" aca="1" ref="BU93" ca="1">INDIRECT("'"&amp;$C93&amp;"'!"&amp;"$"&amp;$D93&amp;74&amp;"")</f>
        <v>0</v>
      </c>
      <c r="BV93" s="281"/>
      <c r="BW93" s="281" t="s">
        <v>1</v>
      </c>
      <c r="BX93" s="279" t="s">
        <v>1</v>
      </c>
    </row>
    <row r="94" spans="1:76">
      <c r="A94" s="459">
        <v>45842</v>
      </c>
      <c r="B94" s="345">
        <v>0.58333333333333404</v>
      </c>
      <c r="C94" s="305">
        <v>4</v>
      </c>
      <c r="D94" s="306" t="s">
        <v>156</v>
      </c>
      <c r="E94" s="285">
        <v>14.2</v>
      </c>
      <c r="F94" s="286">
        <v>68.78</v>
      </c>
      <c r="G94" s="287" t="str" cm="1">
        <f t="array" aca="1" ref="G94" ca="1">INDIRECT("'"&amp;$C94&amp;"'!"&amp;"$"&amp;$D94&amp;$E$1&amp;"")</f>
        <v>CMS</v>
      </c>
      <c r="H94" s="288" t="s">
        <v>1</v>
      </c>
      <c r="I94" s="286" t="s">
        <v>1</v>
      </c>
      <c r="J94" s="287" cm="1">
        <f t="array" aca="1" ref="J94" ca="1">INDIRECT("'"&amp;$C94&amp;"'!"&amp;"$"&amp;$D94&amp;$J$1&amp;"")</f>
        <v>6.7</v>
      </c>
      <c r="K94" s="288"/>
      <c r="L94" s="288">
        <v>0.91</v>
      </c>
      <c r="M94" s="289">
        <v>3.03</v>
      </c>
      <c r="N94" s="285" cm="1">
        <f t="array" aca="1" ref="N94" ca="1">INDIRECT("'"&amp;$C94&amp;"'!"&amp;"$"&amp;$D94&amp;$N$1&amp;"")</f>
        <v>6.7</v>
      </c>
      <c r="O94" s="288"/>
      <c r="P94" s="288">
        <v>0.91</v>
      </c>
      <c r="Q94" s="286">
        <v>3.09</v>
      </c>
      <c r="R94" s="285" cm="1">
        <f t="array" aca="1" ref="R94" ca="1">INDIRECT("'"&amp;$C94&amp;"'!"&amp;"$"&amp;$D94&amp;$R$1&amp;"")</f>
        <v>6.7</v>
      </c>
      <c r="S94" s="288"/>
      <c r="T94" s="288">
        <v>0.89</v>
      </c>
      <c r="U94" s="286">
        <v>3.38</v>
      </c>
      <c r="V94" s="287" t="str" cm="1">
        <f t="array" aca="1" ref="V94" ca="1">INDIRECT("'"&amp;$C94&amp;"'!"&amp;"$"&amp;$D94&amp;$V$1&amp;"")</f>
        <v>CMS</v>
      </c>
      <c r="W94" s="288" t="s">
        <v>1</v>
      </c>
      <c r="X94" s="288" t="s">
        <v>1</v>
      </c>
      <c r="Y94" s="289" t="s">
        <v>1</v>
      </c>
      <c r="Z94" s="285" t="str" cm="1">
        <f t="array" aca="1" ref="Z94" ca="1">INDIRECT("'"&amp;$C94&amp;"'!"&amp;"$"&amp;$D94&amp;$Z$1&amp;"")</f>
        <v>CMS</v>
      </c>
      <c r="AA94" s="288" t="s">
        <v>1</v>
      </c>
      <c r="AB94" s="288" t="s">
        <v>1</v>
      </c>
      <c r="AC94" s="286" t="s">
        <v>1</v>
      </c>
      <c r="AD94" s="287" cm="1">
        <f t="array" aca="1" ref="AD94" ca="1">INDIRECT("'"&amp;$C94&amp;"'!"&amp;"$"&amp;$D94&amp;$AD$1&amp;"")</f>
        <v>3.8</v>
      </c>
      <c r="AE94" s="288">
        <f>3.8*3.48</f>
        <v>13.224</v>
      </c>
      <c r="AF94" s="288">
        <v>0.9</v>
      </c>
      <c r="AG94" s="289">
        <v>1.58</v>
      </c>
      <c r="AH94" s="285" cm="1">
        <f t="array" aca="1" ref="AH94" ca="1">INDIRECT("'"&amp;$C94&amp;"'!"&amp;"$"&amp;$D94&amp;$AH$1&amp;"")</f>
        <v>3.8</v>
      </c>
      <c r="AI94" s="288">
        <v>14.04</v>
      </c>
      <c r="AJ94" s="288">
        <v>0.97</v>
      </c>
      <c r="AK94" s="286">
        <v>0.91</v>
      </c>
      <c r="AL94" s="285">
        <v>11.6</v>
      </c>
      <c r="AM94" s="289">
        <v>70.7</v>
      </c>
      <c r="AN94" s="285" cm="1">
        <f t="array" aca="1" ref="AN94" ca="1">INDIRECT("'"&amp;$C94&amp;"'!"&amp;"$"&amp;$D94&amp;$AL$1&amp;"")</f>
        <v>0</v>
      </c>
      <c r="AO94" s="288" t="s">
        <v>1</v>
      </c>
      <c r="AP94" s="286" t="s">
        <v>1</v>
      </c>
      <c r="AQ94" s="287" cm="1">
        <f t="array" aca="1" ref="AQ94" ca="1">INDIRECT("'"&amp;$C94&amp;"'!"&amp;"$"&amp;$D94&amp;$AQ$1&amp;"")</f>
        <v>3.8</v>
      </c>
      <c r="AR94" s="288">
        <v>0.92</v>
      </c>
      <c r="AS94" s="286">
        <v>1.3</v>
      </c>
      <c r="AT94" s="285">
        <v>14</v>
      </c>
      <c r="AU94" s="289">
        <v>70.400000000000006</v>
      </c>
      <c r="AV94" s="288" cm="1">
        <f t="array" aca="1" ref="AV94" ca="1">INDIRECT("'"&amp;$C94&amp;"'!"&amp;"$"&amp;$D94&amp;$AV$1&amp;"")</f>
        <v>5</v>
      </c>
      <c r="AW94" s="287">
        <v>13.7</v>
      </c>
      <c r="AX94" s="288">
        <v>0.93</v>
      </c>
      <c r="AY94" s="286">
        <v>0.9</v>
      </c>
      <c r="AZ94" s="288" cm="1">
        <f t="array" aca="1" ref="AZ94" ca="1">INDIRECT("'"&amp;$C94&amp;"'!"&amp;"$"&amp;$D94&amp;$AZ$1&amp;"")</f>
        <v>7</v>
      </c>
      <c r="BA94" s="287">
        <v>13.7</v>
      </c>
      <c r="BB94" s="288">
        <v>0.98</v>
      </c>
      <c r="BC94" s="286">
        <v>1.5</v>
      </c>
      <c r="BD94" s="290">
        <v>14.09</v>
      </c>
      <c r="BE94" s="289">
        <v>71.37</v>
      </c>
      <c r="BF94" s="290" cm="1">
        <f t="array" aca="1" ref="BF94" ca="1">INDIRECT("'"&amp;$C94&amp;"'!"&amp;"$"&amp;$D94&amp;$BF$1&amp;"")</f>
        <v>14.27</v>
      </c>
      <c r="BG94" s="288">
        <v>0.99</v>
      </c>
      <c r="BH94" s="286">
        <v>2.2999999999999998</v>
      </c>
      <c r="BI94" s="525">
        <v>67.8</v>
      </c>
      <c r="BJ94" s="285" cm="1">
        <f t="array" aca="1" ref="BJ94" ca="1">INDIRECT("'"&amp;$C94&amp;"'!"&amp;"$"&amp;$D94&amp;$BI$1&amp;"")</f>
        <v>2.4000000000000004</v>
      </c>
      <c r="BK94" s="287">
        <v>0.96</v>
      </c>
      <c r="BL94" s="286">
        <v>0.7</v>
      </c>
      <c r="BM94" s="290" cm="1">
        <f t="array" aca="1" ref="BM94" ca="1">INDIRECT("'"&amp;$C94&amp;"'!"&amp;"$"&amp;$D94&amp;$BM$1&amp;"")</f>
        <v>1.39</v>
      </c>
      <c r="BN94" s="288"/>
      <c r="BO94" s="288">
        <v>0.99</v>
      </c>
      <c r="BP94" s="286">
        <v>0.18</v>
      </c>
      <c r="BQ94" s="291" cm="1">
        <f t="array" aca="1" ref="BQ94" ca="1">INDIRECT("'"&amp;$C94&amp;"'!"&amp;"$"&amp;$D94&amp;$BQ$1&amp;"")</f>
        <v>0.83</v>
      </c>
      <c r="BR94" s="288"/>
      <c r="BS94" s="288">
        <v>0.96</v>
      </c>
      <c r="BT94" s="286">
        <v>2.2999999999999998</v>
      </c>
      <c r="BU94" s="291" cm="1">
        <f t="array" aca="1" ref="BU94" ca="1">INDIRECT("'"&amp;$C94&amp;"'!"&amp;"$"&amp;$D94&amp;74&amp;"")</f>
        <v>0</v>
      </c>
      <c r="BV94" s="288"/>
      <c r="BW94" s="288" t="s">
        <v>1</v>
      </c>
      <c r="BX94" s="286" t="s">
        <v>1</v>
      </c>
    </row>
    <row r="95" spans="1:76">
      <c r="A95" s="459">
        <v>45842</v>
      </c>
      <c r="B95" s="345">
        <v>0.625</v>
      </c>
      <c r="C95" s="305">
        <v>4</v>
      </c>
      <c r="D95" s="306" t="s">
        <v>157</v>
      </c>
      <c r="E95" s="278">
        <v>14.2</v>
      </c>
      <c r="F95" s="279">
        <v>68.959999999999994</v>
      </c>
      <c r="G95" s="280" t="str" cm="1">
        <f t="array" aca="1" ref="G95" ca="1">INDIRECT("'"&amp;$C95&amp;"'!"&amp;"$"&amp;$D95&amp;$E$1&amp;"")</f>
        <v>CMS</v>
      </c>
      <c r="H95" s="281" t="s">
        <v>1</v>
      </c>
      <c r="I95" s="279" t="s">
        <v>1</v>
      </c>
      <c r="J95" s="280" cm="1">
        <f t="array" aca="1" ref="J95" ca="1">INDIRECT("'"&amp;$C95&amp;"'!"&amp;"$"&amp;$D95&amp;$J$1&amp;"")</f>
        <v>6.7</v>
      </c>
      <c r="K95" s="281"/>
      <c r="L95" s="281">
        <v>0.91</v>
      </c>
      <c r="M95" s="282">
        <v>3.03</v>
      </c>
      <c r="N95" s="278" cm="1">
        <f t="array" aca="1" ref="N95" ca="1">INDIRECT("'"&amp;$C95&amp;"'!"&amp;"$"&amp;$D95&amp;$N$1&amp;"")</f>
        <v>6.7</v>
      </c>
      <c r="O95" s="281"/>
      <c r="P95" s="281">
        <v>0.91</v>
      </c>
      <c r="Q95" s="279">
        <v>3.05</v>
      </c>
      <c r="R95" s="468" cm="1">
        <f t="array" aca="1" ref="R95" ca="1">INDIRECT("'"&amp;$C95&amp;"'!"&amp;"$"&amp;$D95&amp;$R$1&amp;"")</f>
        <v>6.7</v>
      </c>
      <c r="S95" s="281"/>
      <c r="T95" s="281">
        <v>0.91</v>
      </c>
      <c r="U95" s="279">
        <v>3.04</v>
      </c>
      <c r="V95" s="280" t="str" cm="1">
        <f t="array" aca="1" ref="V95" ca="1">INDIRECT("'"&amp;$C95&amp;"'!"&amp;"$"&amp;$D95&amp;$V$1&amp;"")</f>
        <v>CMS</v>
      </c>
      <c r="W95" s="281" t="s">
        <v>1</v>
      </c>
      <c r="X95" s="281" t="s">
        <v>1</v>
      </c>
      <c r="Y95" s="282" t="s">
        <v>1</v>
      </c>
      <c r="Z95" s="278" t="str" cm="1">
        <f t="array" aca="1" ref="Z95" ca="1">INDIRECT("'"&amp;$C95&amp;"'!"&amp;"$"&amp;$D95&amp;$Z$1&amp;"")</f>
        <v>CMS</v>
      </c>
      <c r="AA95" s="281" t="s">
        <v>1</v>
      </c>
      <c r="AB95" s="281" t="s">
        <v>1</v>
      </c>
      <c r="AC95" s="279" t="s">
        <v>1</v>
      </c>
      <c r="AD95" s="280" cm="1">
        <f t="array" aca="1" ref="AD95" ca="1">INDIRECT("'"&amp;$C95&amp;"'!"&amp;"$"&amp;$D95&amp;$AD$1&amp;"")</f>
        <v>3.8</v>
      </c>
      <c r="AE95" s="281">
        <f>3.8*3.49</f>
        <v>13.262</v>
      </c>
      <c r="AF95" s="281">
        <v>0.9</v>
      </c>
      <c r="AG95" s="279">
        <v>1.58</v>
      </c>
      <c r="AH95" s="278" cm="1">
        <f t="array" aca="1" ref="AH95" ca="1">INDIRECT("'"&amp;$C95&amp;"'!"&amp;"$"&amp;$D95&amp;$AH$1&amp;"")</f>
        <v>3.8</v>
      </c>
      <c r="AI95" s="281">
        <v>14.04</v>
      </c>
      <c r="AJ95" s="281">
        <v>0.97</v>
      </c>
      <c r="AK95" s="279">
        <v>0.89800000000000002</v>
      </c>
      <c r="AL95" s="278">
        <v>11.6</v>
      </c>
      <c r="AM95" s="282">
        <v>70.7</v>
      </c>
      <c r="AN95" s="278" cm="1">
        <f t="array" aca="1" ref="AN95" ca="1">INDIRECT("'"&amp;$C95&amp;"'!"&amp;"$"&amp;$D95&amp;$AL$1&amp;"")</f>
        <v>0</v>
      </c>
      <c r="AO95" s="281" t="s">
        <v>1</v>
      </c>
      <c r="AP95" s="279" t="s">
        <v>1</v>
      </c>
      <c r="AQ95" s="280" cm="1">
        <f t="array" aca="1" ref="AQ95" ca="1">INDIRECT("'"&amp;$C95&amp;"'!"&amp;"$"&amp;$D95&amp;$AQ$1&amp;"")</f>
        <v>3.3</v>
      </c>
      <c r="AR95" s="281">
        <v>0.92</v>
      </c>
      <c r="AS95" s="279">
        <v>1.3</v>
      </c>
      <c r="AT95" s="278">
        <v>14</v>
      </c>
      <c r="AU95" s="282">
        <v>70.400000000000006</v>
      </c>
      <c r="AV95" s="281" cm="1">
        <f t="array" aca="1" ref="AV95" ca="1">INDIRECT("'"&amp;$C95&amp;"'!"&amp;"$"&amp;$D95&amp;$AV$1&amp;"")</f>
        <v>4</v>
      </c>
      <c r="AW95" s="280">
        <v>13.7</v>
      </c>
      <c r="AX95" s="281">
        <v>0.96</v>
      </c>
      <c r="AY95" s="279">
        <v>1</v>
      </c>
      <c r="AZ95" s="281" cm="1">
        <f t="array" aca="1" ref="AZ95" ca="1">INDIRECT("'"&amp;$C95&amp;"'!"&amp;"$"&amp;$D95&amp;$AZ$1&amp;"")</f>
        <v>7</v>
      </c>
      <c r="BA95" s="280">
        <v>13.7</v>
      </c>
      <c r="BB95" s="281">
        <v>0.98</v>
      </c>
      <c r="BC95" s="279">
        <v>1.5</v>
      </c>
      <c r="BD95" s="283">
        <v>14.13</v>
      </c>
      <c r="BE95" s="282">
        <v>71.38</v>
      </c>
      <c r="BF95" s="283" cm="1">
        <f t="array" aca="1" ref="BF95" ca="1">INDIRECT("'"&amp;$C95&amp;"'!"&amp;"$"&amp;$D95&amp;$BF$1&amp;"")</f>
        <v>14.31</v>
      </c>
      <c r="BG95" s="281">
        <v>0.99</v>
      </c>
      <c r="BH95" s="279">
        <v>2.4</v>
      </c>
      <c r="BI95" s="524">
        <v>67.8</v>
      </c>
      <c r="BJ95" s="278" cm="1">
        <f t="array" aca="1" ref="BJ95" ca="1">INDIRECT("'"&amp;$C95&amp;"'!"&amp;"$"&amp;$D95&amp;$BI$1&amp;"")</f>
        <v>1.4</v>
      </c>
      <c r="BK95" s="280">
        <v>0.96</v>
      </c>
      <c r="BL95" s="279">
        <v>0.4</v>
      </c>
      <c r="BM95" s="283" cm="1">
        <f t="array" aca="1" ref="BM95" ca="1">INDIRECT("'"&amp;$C95&amp;"'!"&amp;"$"&amp;$D95&amp;$BM$1&amp;"")</f>
        <v>1.1399999999999999</v>
      </c>
      <c r="BN95" s="281"/>
      <c r="BO95" s="281">
        <v>0.99</v>
      </c>
      <c r="BP95" s="279">
        <v>0.17</v>
      </c>
      <c r="BQ95" s="284" cm="1">
        <f t="array" aca="1" ref="BQ95" ca="1">INDIRECT("'"&amp;$C95&amp;"'!"&amp;"$"&amp;$D95&amp;$BQ$1&amp;"")</f>
        <v>0.85</v>
      </c>
      <c r="BR95" s="281"/>
      <c r="BS95" s="281">
        <v>0.96</v>
      </c>
      <c r="BT95" s="279">
        <v>0.23</v>
      </c>
      <c r="BU95" s="284" cm="1">
        <f t="array" aca="1" ref="BU95" ca="1">INDIRECT("'"&amp;$C95&amp;"'!"&amp;"$"&amp;$D95&amp;74&amp;"")</f>
        <v>0</v>
      </c>
      <c r="BV95" s="281"/>
      <c r="BW95" s="281" t="s">
        <v>1</v>
      </c>
      <c r="BX95" s="279" t="s">
        <v>1</v>
      </c>
    </row>
    <row r="96" spans="1:76">
      <c r="A96" s="459">
        <v>45842</v>
      </c>
      <c r="B96" s="345">
        <v>0.66666666666666696</v>
      </c>
      <c r="C96" s="305">
        <v>4</v>
      </c>
      <c r="D96" s="306" t="s">
        <v>158</v>
      </c>
      <c r="E96" s="285">
        <v>14.2</v>
      </c>
      <c r="F96" s="286">
        <v>68.55</v>
      </c>
      <c r="G96" s="287" t="str" cm="1">
        <f t="array" aca="1" ref="G96" ca="1">INDIRECT("'"&amp;$C96&amp;"'!"&amp;"$"&amp;$D96&amp;$E$1&amp;"")</f>
        <v>CMS</v>
      </c>
      <c r="H96" s="288" t="s">
        <v>1</v>
      </c>
      <c r="I96" s="286" t="s">
        <v>1</v>
      </c>
      <c r="J96" s="287" cm="1">
        <f t="array" aca="1" ref="J96" ca="1">INDIRECT("'"&amp;$C96&amp;"'!"&amp;"$"&amp;$D96&amp;$J$1&amp;"")</f>
        <v>6.7</v>
      </c>
      <c r="K96" s="288"/>
      <c r="L96" s="288">
        <v>0.91</v>
      </c>
      <c r="M96" s="289">
        <v>3.03</v>
      </c>
      <c r="N96" s="285" cm="1">
        <f t="array" aca="1" ref="N96" ca="1">INDIRECT("'"&amp;$C96&amp;"'!"&amp;"$"&amp;$D96&amp;$N$1&amp;"")</f>
        <v>6.7</v>
      </c>
      <c r="O96" s="288"/>
      <c r="P96" s="288">
        <v>0.91</v>
      </c>
      <c r="Q96" s="286">
        <v>3.05</v>
      </c>
      <c r="R96" s="469" cm="1">
        <f t="array" aca="1" ref="R96" ca="1">INDIRECT("'"&amp;$C96&amp;"'!"&amp;"$"&amp;$D96&amp;$R$1&amp;"")</f>
        <v>6.7</v>
      </c>
      <c r="S96" s="288"/>
      <c r="T96" s="288">
        <v>0.91</v>
      </c>
      <c r="U96" s="286">
        <v>3.05</v>
      </c>
      <c r="V96" s="287" t="str" cm="1">
        <f t="array" aca="1" ref="V96" ca="1">INDIRECT("'"&amp;$C96&amp;"'!"&amp;"$"&amp;$D96&amp;$V$1&amp;"")</f>
        <v>CMS</v>
      </c>
      <c r="W96" s="288" t="s">
        <v>1</v>
      </c>
      <c r="X96" s="288" t="s">
        <v>1</v>
      </c>
      <c r="Y96" s="289" t="s">
        <v>1</v>
      </c>
      <c r="Z96" s="285" t="str" cm="1">
        <f t="array" aca="1" ref="Z96" ca="1">INDIRECT("'"&amp;$C96&amp;"'!"&amp;"$"&amp;$D96&amp;$Z$1&amp;"")</f>
        <v>CMS</v>
      </c>
      <c r="AA96" s="288" t="s">
        <v>1</v>
      </c>
      <c r="AB96" s="288" t="s">
        <v>1</v>
      </c>
      <c r="AC96" s="286" t="s">
        <v>1</v>
      </c>
      <c r="AD96" s="287" cm="1">
        <f t="array" aca="1" ref="AD96" ca="1">INDIRECT("'"&amp;$C96&amp;"'!"&amp;"$"&amp;$D96&amp;$AD$1&amp;"")</f>
        <v>3.8</v>
      </c>
      <c r="AE96" s="288">
        <f>3.8*3.49</f>
        <v>13.262</v>
      </c>
      <c r="AF96" s="288">
        <v>0.9</v>
      </c>
      <c r="AG96" s="289">
        <v>1.55</v>
      </c>
      <c r="AH96" s="285" cm="1">
        <f t="array" aca="1" ref="AH96" ca="1">INDIRECT("'"&amp;$C96&amp;"'!"&amp;"$"&amp;$D96&amp;$AH$1&amp;"")</f>
        <v>3.8</v>
      </c>
      <c r="AI96" s="288">
        <v>14.04</v>
      </c>
      <c r="AJ96" s="288">
        <v>0.97</v>
      </c>
      <c r="AK96" s="286">
        <v>0.84299999999999997</v>
      </c>
      <c r="AL96" s="285">
        <v>11.6</v>
      </c>
      <c r="AM96" s="289">
        <v>70.7</v>
      </c>
      <c r="AN96" s="285" cm="1">
        <f t="array" aca="1" ref="AN96" ca="1">INDIRECT("'"&amp;$C96&amp;"'!"&amp;"$"&amp;$D96&amp;$AL$1&amp;"")</f>
        <v>0</v>
      </c>
      <c r="AO96" s="288" t="s">
        <v>1</v>
      </c>
      <c r="AP96" s="286" t="s">
        <v>1</v>
      </c>
      <c r="AQ96" s="287" cm="1">
        <f t="array" aca="1" ref="AQ96" ca="1">INDIRECT("'"&amp;$C96&amp;"'!"&amp;"$"&amp;$D96&amp;$AQ$1&amp;"")</f>
        <v>3.8</v>
      </c>
      <c r="AR96" s="288">
        <v>0.92</v>
      </c>
      <c r="AS96" s="286">
        <v>1.3</v>
      </c>
      <c r="AT96" s="285">
        <v>14</v>
      </c>
      <c r="AU96" s="289">
        <v>70.400000000000006</v>
      </c>
      <c r="AV96" s="288" cm="1">
        <f t="array" aca="1" ref="AV96" ca="1">INDIRECT("'"&amp;$C96&amp;"'!"&amp;"$"&amp;$D96&amp;$AV$1&amp;"")</f>
        <v>4.0999999999999996</v>
      </c>
      <c r="AW96" s="287" t="s">
        <v>1</v>
      </c>
      <c r="AX96" s="288">
        <v>0.97</v>
      </c>
      <c r="AY96" s="286">
        <v>1</v>
      </c>
      <c r="AZ96" s="288" cm="1">
        <f t="array" aca="1" ref="AZ96" ca="1">INDIRECT("'"&amp;$C96&amp;"'!"&amp;"$"&amp;$D96&amp;$AZ$1&amp;"")</f>
        <v>7</v>
      </c>
      <c r="BA96" s="287" t="s">
        <v>1</v>
      </c>
      <c r="BB96" s="288">
        <v>0.98</v>
      </c>
      <c r="BC96" s="286">
        <v>1.5</v>
      </c>
      <c r="BD96" s="290">
        <v>14.18</v>
      </c>
      <c r="BE96" s="289">
        <v>71.599999999999994</v>
      </c>
      <c r="BF96" s="290" cm="1">
        <f t="array" aca="1" ref="BF96" ca="1">INDIRECT("'"&amp;$C96&amp;"'!"&amp;"$"&amp;$D96&amp;$BF$1&amp;"")</f>
        <v>14.29</v>
      </c>
      <c r="BG96" s="288">
        <v>0.99</v>
      </c>
      <c r="BH96" s="286">
        <v>2.2999999999999998</v>
      </c>
      <c r="BI96" s="525">
        <v>67.599999999999994</v>
      </c>
      <c r="BJ96" s="285" cm="1">
        <f t="array" aca="1" ref="BJ96" ca="1">INDIRECT("'"&amp;$C96&amp;"'!"&amp;"$"&amp;$D96&amp;$BI$1&amp;"")</f>
        <v>1.4</v>
      </c>
      <c r="BK96" s="287">
        <v>0.96</v>
      </c>
      <c r="BL96" s="286">
        <v>0.41</v>
      </c>
      <c r="BM96" s="290" cm="1">
        <f t="array" aca="1" ref="BM96" ca="1">INDIRECT("'"&amp;$C96&amp;"'!"&amp;"$"&amp;$D96&amp;$BM$1&amp;"")</f>
        <v>1.37</v>
      </c>
      <c r="BN96" s="288"/>
      <c r="BO96" s="288">
        <v>0.99</v>
      </c>
      <c r="BP96" s="286">
        <v>0.16</v>
      </c>
      <c r="BQ96" s="291" cm="1">
        <f t="array" aca="1" ref="BQ96" ca="1">INDIRECT("'"&amp;$C96&amp;"'!"&amp;"$"&amp;$D96&amp;$BQ$1&amp;"")</f>
        <v>0.86</v>
      </c>
      <c r="BR96" s="288"/>
      <c r="BS96" s="288">
        <v>0.96</v>
      </c>
      <c r="BT96" s="286">
        <v>0.23</v>
      </c>
      <c r="BU96" s="291" cm="1">
        <f t="array" aca="1" ref="BU96" ca="1">INDIRECT("'"&amp;$C96&amp;"'!"&amp;"$"&amp;$D96&amp;74&amp;"")</f>
        <v>0</v>
      </c>
      <c r="BV96" s="288"/>
      <c r="BW96" s="288" t="s">
        <v>1</v>
      </c>
      <c r="BX96" s="286" t="s">
        <v>1</v>
      </c>
    </row>
    <row r="97" spans="1:76">
      <c r="A97" s="459">
        <v>45842</v>
      </c>
      <c r="B97" s="345">
        <v>0.70833333333333404</v>
      </c>
      <c r="C97" s="305">
        <v>4</v>
      </c>
      <c r="D97" s="306" t="s">
        <v>159</v>
      </c>
      <c r="E97" s="278">
        <v>14.2</v>
      </c>
      <c r="F97" s="279">
        <v>69.260000000000005</v>
      </c>
      <c r="G97" s="280" t="str" cm="1">
        <f t="array" aca="1" ref="G97" ca="1">INDIRECT("'"&amp;$C97&amp;"'!"&amp;"$"&amp;$D97&amp;$E$1&amp;"")</f>
        <v>CMS</v>
      </c>
      <c r="H97" s="281" t="s">
        <v>1</v>
      </c>
      <c r="I97" s="279" t="s">
        <v>1</v>
      </c>
      <c r="J97" s="280" cm="1">
        <f t="array" aca="1" ref="J97" ca="1">INDIRECT("'"&amp;$C97&amp;"'!"&amp;"$"&amp;$D97&amp;$J$1&amp;"")</f>
        <v>6.4</v>
      </c>
      <c r="K97" s="281"/>
      <c r="L97" s="281">
        <v>0.92</v>
      </c>
      <c r="M97" s="282">
        <v>2.74</v>
      </c>
      <c r="N97" s="278" cm="1">
        <f t="array" aca="1" ref="N97" ca="1">INDIRECT("'"&amp;$C97&amp;"'!"&amp;"$"&amp;$D97&amp;$N$1&amp;"")</f>
        <v>6.6</v>
      </c>
      <c r="O97" s="281"/>
      <c r="P97" s="281">
        <v>0.91</v>
      </c>
      <c r="Q97" s="279">
        <v>2.96</v>
      </c>
      <c r="R97" s="468" cm="1">
        <f t="array" aca="1" ref="R97" ca="1">INDIRECT("'"&amp;$C97&amp;"'!"&amp;"$"&amp;$D97&amp;$R$1&amp;"")</f>
        <v>6.5</v>
      </c>
      <c r="S97" s="281"/>
      <c r="T97" s="281">
        <v>0.94</v>
      </c>
      <c r="U97" s="279">
        <v>2.42</v>
      </c>
      <c r="V97" s="280" t="str" cm="1">
        <f t="array" aca="1" ref="V97" ca="1">INDIRECT("'"&amp;$C97&amp;"'!"&amp;"$"&amp;$D97&amp;$V$1&amp;"")</f>
        <v>CMS</v>
      </c>
      <c r="W97" s="281" t="s">
        <v>1</v>
      </c>
      <c r="X97" s="281" t="s">
        <v>1</v>
      </c>
      <c r="Y97" s="282" t="s">
        <v>1</v>
      </c>
      <c r="Z97" s="278" t="str" cm="1">
        <f t="array" aca="1" ref="Z97" ca="1">INDIRECT("'"&amp;$C97&amp;"'!"&amp;"$"&amp;$D97&amp;$Z$1&amp;"")</f>
        <v>CMS</v>
      </c>
      <c r="AA97" s="281" t="s">
        <v>1</v>
      </c>
      <c r="AB97" s="281" t="s">
        <v>1</v>
      </c>
      <c r="AC97" s="279" t="s">
        <v>1</v>
      </c>
      <c r="AD97" s="280" cm="1">
        <f t="array" aca="1" ref="AD97" ca="1">INDIRECT("'"&amp;$C97&amp;"'!"&amp;"$"&amp;$D97&amp;$AD$1&amp;"")</f>
        <v>3</v>
      </c>
      <c r="AE97" s="281">
        <f>3.8*3.5</f>
        <v>13.299999999999999</v>
      </c>
      <c r="AF97" s="281">
        <v>0.9</v>
      </c>
      <c r="AG97" s="282">
        <v>1.53</v>
      </c>
      <c r="AH97" s="278" cm="1">
        <f t="array" aca="1" ref="AH97" ca="1">INDIRECT("'"&amp;$C97&amp;"'!"&amp;"$"&amp;$D97&amp;$AH$1&amp;"")</f>
        <v>3.8</v>
      </c>
      <c r="AI97" s="281">
        <v>14.08</v>
      </c>
      <c r="AJ97" s="281">
        <v>0.98</v>
      </c>
      <c r="AK97" s="279">
        <v>0.52300000000000002</v>
      </c>
      <c r="AL97" s="278">
        <v>11.6</v>
      </c>
      <c r="AM97" s="282">
        <v>70.7</v>
      </c>
      <c r="AN97" s="278" cm="1">
        <f t="array" aca="1" ref="AN97" ca="1">INDIRECT("'"&amp;$C97&amp;"'!"&amp;"$"&amp;$D97&amp;$AL$1&amp;"")</f>
        <v>0</v>
      </c>
      <c r="AO97" s="281" t="s">
        <v>1</v>
      </c>
      <c r="AP97" s="279" t="s">
        <v>1</v>
      </c>
      <c r="AQ97" s="280" cm="1">
        <f t="array" aca="1" ref="AQ97" ca="1">INDIRECT("'"&amp;$C97&amp;"'!"&amp;"$"&amp;$D97&amp;$AQ$1&amp;"")</f>
        <v>3.3</v>
      </c>
      <c r="AR97" s="281">
        <v>0.94</v>
      </c>
      <c r="AS97" s="279">
        <v>1.1000000000000001</v>
      </c>
      <c r="AT97" s="278">
        <v>14</v>
      </c>
      <c r="AU97" s="282">
        <v>70.400000000000006</v>
      </c>
      <c r="AV97" s="281" cm="1">
        <f t="array" aca="1" ref="AV97" ca="1">INDIRECT("'"&amp;$C97&amp;"'!"&amp;"$"&amp;$D97&amp;$AV$1&amp;"")</f>
        <v>3</v>
      </c>
      <c r="AW97" s="280" t="s">
        <v>1</v>
      </c>
      <c r="AX97" s="281">
        <v>0.95</v>
      </c>
      <c r="AY97" s="279">
        <v>0.9</v>
      </c>
      <c r="AZ97" s="281" cm="1">
        <f t="array" aca="1" ref="AZ97" ca="1">INDIRECT("'"&amp;$C97&amp;"'!"&amp;"$"&amp;$D97&amp;$AZ$1&amp;"")</f>
        <v>7</v>
      </c>
      <c r="BA97" s="280" t="s">
        <v>1</v>
      </c>
      <c r="BB97" s="281">
        <v>0.98</v>
      </c>
      <c r="BC97" s="279">
        <v>1.5</v>
      </c>
      <c r="BD97" s="283">
        <v>14.19</v>
      </c>
      <c r="BE97" s="282">
        <v>71.599999999999994</v>
      </c>
      <c r="BF97" s="283" cm="1">
        <f t="array" aca="1" ref="BF97" ca="1">INDIRECT("'"&amp;$C97&amp;"'!"&amp;"$"&amp;$D97&amp;$BF$1&amp;"")</f>
        <v>14.3</v>
      </c>
      <c r="BG97" s="281">
        <v>0.99</v>
      </c>
      <c r="BH97" s="279">
        <v>2.4</v>
      </c>
      <c r="BI97" s="524">
        <v>68</v>
      </c>
      <c r="BJ97" s="278" cm="1">
        <f t="array" aca="1" ref="BJ97" ca="1">INDIRECT("'"&amp;$C97&amp;"'!"&amp;"$"&amp;$D97&amp;$BI$1&amp;"")</f>
        <v>1.4</v>
      </c>
      <c r="BK97" s="280">
        <v>0.96</v>
      </c>
      <c r="BL97" s="279">
        <v>0.4</v>
      </c>
      <c r="BM97" s="283" cm="1">
        <f t="array" aca="1" ref="BM97" ca="1">INDIRECT("'"&amp;$C97&amp;"'!"&amp;"$"&amp;$D97&amp;$BM$1&amp;"")</f>
        <v>1.28</v>
      </c>
      <c r="BN97" s="281"/>
      <c r="BO97" s="281">
        <v>0.99</v>
      </c>
      <c r="BP97" s="279">
        <v>0.14000000000000001</v>
      </c>
      <c r="BQ97" s="284" cm="1">
        <f t="array" aca="1" ref="BQ97" ca="1">INDIRECT("'"&amp;$C97&amp;"'!"&amp;"$"&amp;$D97&amp;$BQ$1&amp;"")</f>
        <v>0.84</v>
      </c>
      <c r="BR97" s="281"/>
      <c r="BS97" s="281">
        <v>0.96</v>
      </c>
      <c r="BT97" s="279">
        <v>0.23</v>
      </c>
      <c r="BU97" s="284" cm="1">
        <f t="array" aca="1" ref="BU97" ca="1">INDIRECT("'"&amp;$C97&amp;"'!"&amp;"$"&amp;$D97&amp;74&amp;"")</f>
        <v>0</v>
      </c>
      <c r="BV97" s="281"/>
      <c r="BW97" s="281" t="s">
        <v>1</v>
      </c>
      <c r="BX97" s="279" t="s">
        <v>1</v>
      </c>
    </row>
    <row r="98" spans="1:76">
      <c r="A98" s="459">
        <v>45842</v>
      </c>
      <c r="B98" s="345">
        <v>0.750000000000001</v>
      </c>
      <c r="C98" s="305">
        <v>4</v>
      </c>
      <c r="D98" s="306" t="s">
        <v>160</v>
      </c>
      <c r="E98" s="285">
        <v>14.3</v>
      </c>
      <c r="F98" s="286">
        <v>69.459999999999994</v>
      </c>
      <c r="G98" s="287" t="str" cm="1">
        <f t="array" aca="1" ref="G98" ca="1">INDIRECT("'"&amp;$C98&amp;"'!"&amp;"$"&amp;$D98&amp;$E$1&amp;"")</f>
        <v>CMS</v>
      </c>
      <c r="H98" s="288" t="s">
        <v>1</v>
      </c>
      <c r="I98" s="286" t="s">
        <v>1</v>
      </c>
      <c r="J98" s="287" cm="1">
        <f t="array" aca="1" ref="J98" ca="1">INDIRECT("'"&amp;$C98&amp;"'!"&amp;"$"&amp;$D98&amp;$J$1&amp;"")</f>
        <v>6.7</v>
      </c>
      <c r="K98" s="288"/>
      <c r="L98" s="288">
        <v>0.92</v>
      </c>
      <c r="M98" s="289">
        <v>2.78</v>
      </c>
      <c r="N98" s="285" cm="1">
        <f t="array" aca="1" ref="N98" ca="1">INDIRECT("'"&amp;$C98&amp;"'!"&amp;"$"&amp;$D98&amp;$N$1&amp;"")</f>
        <v>6.7</v>
      </c>
      <c r="O98" s="288"/>
      <c r="P98" s="288">
        <v>0.92</v>
      </c>
      <c r="Q98" s="286">
        <v>2.79</v>
      </c>
      <c r="R98" s="285" cm="1">
        <f t="array" aca="1" ref="R98" ca="1">INDIRECT("'"&amp;$C98&amp;"'!"&amp;"$"&amp;$D98&amp;$R$1&amp;"")</f>
        <v>6.7</v>
      </c>
      <c r="S98" s="288"/>
      <c r="T98" s="288">
        <v>0.95</v>
      </c>
      <c r="U98" s="286">
        <v>2.33</v>
      </c>
      <c r="V98" s="287" t="str" cm="1">
        <f t="array" aca="1" ref="V98" ca="1">INDIRECT("'"&amp;$C98&amp;"'!"&amp;"$"&amp;$D98&amp;$V$1&amp;"")</f>
        <v>CMS</v>
      </c>
      <c r="W98" s="288" t="s">
        <v>1</v>
      </c>
      <c r="X98" s="288" t="s">
        <v>1</v>
      </c>
      <c r="Y98" s="289" t="s">
        <v>1</v>
      </c>
      <c r="Z98" s="285" t="str" cm="1">
        <f t="array" aca="1" ref="Z98" ca="1">INDIRECT("'"&amp;$C98&amp;"'!"&amp;"$"&amp;$D98&amp;$Z$1&amp;"")</f>
        <v>CMS</v>
      </c>
      <c r="AA98" s="288" t="s">
        <v>1</v>
      </c>
      <c r="AB98" s="288" t="s">
        <v>1</v>
      </c>
      <c r="AC98" s="286" t="s">
        <v>1</v>
      </c>
      <c r="AD98" s="287" cm="1">
        <f t="array" aca="1" ref="AD98" ca="1">INDIRECT("'"&amp;$C98&amp;"'!"&amp;"$"&amp;$D98&amp;$AD$1&amp;"")</f>
        <v>3.8</v>
      </c>
      <c r="AE98" s="288">
        <f>3.8*3.54</f>
        <v>13.452</v>
      </c>
      <c r="AF98" s="288">
        <v>0.9</v>
      </c>
      <c r="AG98" s="289">
        <v>1.58</v>
      </c>
      <c r="AH98" s="285" cm="1">
        <f t="array" aca="1" ref="AH98" ca="1">INDIRECT("'"&amp;$C98&amp;"'!"&amp;"$"&amp;$D98&amp;$AH$1&amp;"")</f>
        <v>3.8</v>
      </c>
      <c r="AI98" s="288">
        <v>14.08</v>
      </c>
      <c r="AJ98" s="288">
        <v>0.99</v>
      </c>
      <c r="AK98" s="286">
        <v>0.39500000000000002</v>
      </c>
      <c r="AL98" s="285">
        <v>11.6</v>
      </c>
      <c r="AM98" s="289">
        <v>71</v>
      </c>
      <c r="AN98" s="285" cm="1">
        <f t="array" aca="1" ref="AN98" ca="1">INDIRECT("'"&amp;$C98&amp;"'!"&amp;"$"&amp;$D98&amp;$AL$1&amp;"")</f>
        <v>3.8</v>
      </c>
      <c r="AO98" s="288">
        <v>0.97</v>
      </c>
      <c r="AP98" s="286">
        <v>0.85</v>
      </c>
      <c r="AQ98" s="287" cm="1">
        <f t="array" aca="1" ref="AQ98" ca="1">INDIRECT("'"&amp;$C98&amp;"'!"&amp;"$"&amp;$D98&amp;$AQ$1&amp;"")</f>
        <v>0</v>
      </c>
      <c r="AR98" s="288" t="s">
        <v>1</v>
      </c>
      <c r="AS98" s="286" t="s">
        <v>1</v>
      </c>
      <c r="AT98" s="285">
        <v>14</v>
      </c>
      <c r="AU98" s="289">
        <v>70.400000000000006</v>
      </c>
      <c r="AV98" s="288" cm="1">
        <f t="array" aca="1" ref="AV98" ca="1">INDIRECT("'"&amp;$C98&amp;"'!"&amp;"$"&amp;$D98&amp;$AV$1&amp;"")</f>
        <v>0</v>
      </c>
      <c r="AW98" s="287" t="s">
        <v>1</v>
      </c>
      <c r="AX98" s="288" t="s">
        <v>1</v>
      </c>
      <c r="AY98" s="286" t="s">
        <v>1</v>
      </c>
      <c r="AZ98" s="288" cm="1">
        <f t="array" aca="1" ref="AZ98" ca="1">INDIRECT("'"&amp;$C98&amp;"'!"&amp;"$"&amp;$D98&amp;$AZ$1&amp;"")</f>
        <v>7</v>
      </c>
      <c r="BA98" s="287" t="s">
        <v>1</v>
      </c>
      <c r="BB98" s="288">
        <v>0.98</v>
      </c>
      <c r="BC98" s="286">
        <v>1.5</v>
      </c>
      <c r="BD98" s="290">
        <v>14.2372</v>
      </c>
      <c r="BE98" s="289">
        <v>72</v>
      </c>
      <c r="BF98" s="290" cm="1">
        <f t="array" aca="1" ref="BF98" ca="1">INDIRECT("'"&amp;$C98&amp;"'!"&amp;"$"&amp;$D98&amp;$BF$1&amp;"")</f>
        <v>14.33</v>
      </c>
      <c r="BG98" s="288">
        <v>0.99</v>
      </c>
      <c r="BH98" s="286">
        <v>2.4</v>
      </c>
      <c r="BI98" s="525">
        <v>68.3</v>
      </c>
      <c r="BJ98" s="285" cm="1">
        <f t="array" aca="1" ref="BJ98" ca="1">INDIRECT("'"&amp;$C98&amp;"'!"&amp;"$"&amp;$D98&amp;$BI$1&amp;"")</f>
        <v>0</v>
      </c>
      <c r="BK98" s="287" t="s">
        <v>1</v>
      </c>
      <c r="BL98" s="286" t="s">
        <v>1</v>
      </c>
      <c r="BM98" s="290" cm="1">
        <f t="array" aca="1" ref="BM98" ca="1">INDIRECT("'"&amp;$C98&amp;"'!"&amp;"$"&amp;$D98&amp;$BM$1&amp;"")</f>
        <v>1.1499999999999999</v>
      </c>
      <c r="BN98" s="288"/>
      <c r="BO98" s="288">
        <v>0.99</v>
      </c>
      <c r="BP98" s="286">
        <v>0.14000000000000001</v>
      </c>
      <c r="BQ98" s="291" cm="1">
        <f t="array" aca="1" ref="BQ98" ca="1">INDIRECT("'"&amp;$C98&amp;"'!"&amp;"$"&amp;$D98&amp;$BQ$1&amp;"")</f>
        <v>0.86</v>
      </c>
      <c r="BR98" s="288"/>
      <c r="BS98" s="288">
        <v>0.96</v>
      </c>
      <c r="BT98" s="286">
        <v>0.23</v>
      </c>
      <c r="BU98" s="291" cm="1">
        <f t="array" aca="1" ref="BU98" ca="1">INDIRECT("'"&amp;$C98&amp;"'!"&amp;"$"&amp;$D98&amp;74&amp;"")</f>
        <v>0</v>
      </c>
      <c r="BV98" s="288"/>
      <c r="BW98" s="288" t="s">
        <v>1</v>
      </c>
      <c r="BX98" s="286" t="s">
        <v>1</v>
      </c>
    </row>
    <row r="99" spans="1:76">
      <c r="A99" s="459">
        <v>45842</v>
      </c>
      <c r="B99" s="345">
        <v>0.79166666666666696</v>
      </c>
      <c r="C99" s="305">
        <v>4</v>
      </c>
      <c r="D99" s="306" t="s">
        <v>161</v>
      </c>
      <c r="E99" s="278">
        <v>14.3</v>
      </c>
      <c r="F99" s="279">
        <v>69.83</v>
      </c>
      <c r="G99" s="280" t="str" cm="1">
        <f t="array" aca="1" ref="G99" ca="1">INDIRECT("'"&amp;$C99&amp;"'!"&amp;"$"&amp;$D99&amp;$E$1&amp;"")</f>
        <v>CMS</v>
      </c>
      <c r="H99" s="281" t="s">
        <v>1</v>
      </c>
      <c r="I99" s="279" t="s">
        <v>1</v>
      </c>
      <c r="J99" s="280" cm="1">
        <f t="array" aca="1" ref="J99" ca="1">INDIRECT("'"&amp;$C99&amp;"'!"&amp;"$"&amp;$D99&amp;$J$1&amp;"")</f>
        <v>6.7</v>
      </c>
      <c r="K99" s="292"/>
      <c r="L99" s="281">
        <v>0.94</v>
      </c>
      <c r="M99" s="282">
        <v>2.4700000000000002</v>
      </c>
      <c r="N99" s="278" cm="1">
        <f t="array" aca="1" ref="N99" ca="1">INDIRECT("'"&amp;$C99&amp;"'!"&amp;"$"&amp;$D99&amp;$N$1&amp;"")</f>
        <v>6.8</v>
      </c>
      <c r="O99" s="281"/>
      <c r="P99" s="281">
        <v>0.94</v>
      </c>
      <c r="Q99" s="279">
        <v>2.46</v>
      </c>
      <c r="R99" s="468" cm="1">
        <f t="array" aca="1" ref="R99" ca="1">INDIRECT("'"&amp;$C99&amp;"'!"&amp;"$"&amp;$D99&amp;$R$1&amp;"")</f>
        <v>6.7</v>
      </c>
      <c r="S99" s="281"/>
      <c r="T99" s="281">
        <v>0.96</v>
      </c>
      <c r="U99" s="279">
        <v>2.04</v>
      </c>
      <c r="V99" s="280" t="str" cm="1">
        <f t="array" aca="1" ref="V99" ca="1">INDIRECT("'"&amp;$C99&amp;"'!"&amp;"$"&amp;$D99&amp;$V$1&amp;"")</f>
        <v>CMS</v>
      </c>
      <c r="W99" s="281" t="s">
        <v>1</v>
      </c>
      <c r="X99" s="281" t="s">
        <v>1</v>
      </c>
      <c r="Y99" s="282" t="s">
        <v>1</v>
      </c>
      <c r="Z99" s="278" t="str" cm="1">
        <f t="array" aca="1" ref="Z99" ca="1">INDIRECT("'"&amp;$C99&amp;"'!"&amp;"$"&amp;$D99&amp;$Z$1&amp;"")</f>
        <v>CMS</v>
      </c>
      <c r="AA99" s="281" t="s">
        <v>1</v>
      </c>
      <c r="AB99" s="281" t="s">
        <v>1</v>
      </c>
      <c r="AC99" s="279" t="s">
        <v>1</v>
      </c>
      <c r="AD99" s="280" cm="1">
        <f t="array" aca="1" ref="AD99" ca="1">INDIRECT("'"&amp;$C99&amp;"'!"&amp;"$"&amp;$D99&amp;$AD$1&amp;"")</f>
        <v>3.8</v>
      </c>
      <c r="AE99" s="281">
        <f>3.8*3.56</f>
        <v>13.527999999999999</v>
      </c>
      <c r="AF99" s="281">
        <v>0.9</v>
      </c>
      <c r="AG99" s="282">
        <v>1.58</v>
      </c>
      <c r="AH99" s="278" cm="1">
        <f t="array" aca="1" ref="AH99" ca="1">INDIRECT("'"&amp;$C99&amp;"'!"&amp;"$"&amp;$D99&amp;$AH$1&amp;"")</f>
        <v>3.8</v>
      </c>
      <c r="AI99" s="281">
        <v>14.04</v>
      </c>
      <c r="AJ99" s="281">
        <v>0.98</v>
      </c>
      <c r="AK99" s="279">
        <v>0.70499999999999996</v>
      </c>
      <c r="AL99" s="278">
        <v>11.6</v>
      </c>
      <c r="AM99" s="282">
        <v>71.099999999999994</v>
      </c>
      <c r="AN99" s="278" cm="1">
        <f t="array" aca="1" ref="AN99" ca="1">INDIRECT("'"&amp;$C99&amp;"'!"&amp;"$"&amp;$D99&amp;$AL$1&amp;"")</f>
        <v>3.8</v>
      </c>
      <c r="AO99" s="281">
        <v>0.96</v>
      </c>
      <c r="AP99" s="279">
        <v>0.86</v>
      </c>
      <c r="AQ99" s="280" cm="1">
        <f t="array" aca="1" ref="AQ99" ca="1">INDIRECT("'"&amp;$C99&amp;"'!"&amp;"$"&amp;$D99&amp;$AQ$1&amp;"")</f>
        <v>0</v>
      </c>
      <c r="AR99" s="281" t="s">
        <v>1</v>
      </c>
      <c r="AS99" s="279" t="s">
        <v>1</v>
      </c>
      <c r="AT99" s="278">
        <v>14</v>
      </c>
      <c r="AU99" s="282">
        <v>70.400000000000006</v>
      </c>
      <c r="AV99" s="281" cm="1">
        <f t="array" aca="1" ref="AV99" ca="1">INDIRECT("'"&amp;$C99&amp;"'!"&amp;"$"&amp;$D99&amp;$AV$1&amp;"")</f>
        <v>0</v>
      </c>
      <c r="AW99" s="280">
        <v>13.7</v>
      </c>
      <c r="AX99" s="281" t="s">
        <v>1</v>
      </c>
      <c r="AY99" s="279" t="s">
        <v>1</v>
      </c>
      <c r="AZ99" s="281" cm="1">
        <f t="array" aca="1" ref="AZ99" ca="1">INDIRECT("'"&amp;$C99&amp;"'!"&amp;"$"&amp;$D99&amp;$AZ$1&amp;"")</f>
        <v>7</v>
      </c>
      <c r="BA99" s="280">
        <v>13.7</v>
      </c>
      <c r="BB99" s="281">
        <v>0.98</v>
      </c>
      <c r="BC99" s="279">
        <v>1.5</v>
      </c>
      <c r="BD99" s="283">
        <v>14.05</v>
      </c>
      <c r="BE99" s="282">
        <v>71.5</v>
      </c>
      <c r="BF99" s="283" cm="1">
        <f t="array" aca="1" ref="BF99" ca="1">INDIRECT("'"&amp;$C99&amp;"'!"&amp;"$"&amp;$D99&amp;$BF$1&amp;"")</f>
        <v>14.32</v>
      </c>
      <c r="BG99" s="281">
        <v>0.99</v>
      </c>
      <c r="BH99" s="279">
        <v>1.3</v>
      </c>
      <c r="BI99" s="524">
        <v>68.7</v>
      </c>
      <c r="BJ99" s="278" cm="1">
        <f t="array" aca="1" ref="BJ99" ca="1">INDIRECT("'"&amp;$C99&amp;"'!"&amp;"$"&amp;$D99&amp;$BI$1&amp;"")</f>
        <v>3.8</v>
      </c>
      <c r="BK99" s="280">
        <v>0.98</v>
      </c>
      <c r="BL99" s="279">
        <v>0.77</v>
      </c>
      <c r="BM99" s="283" cm="1">
        <f t="array" aca="1" ref="BM99" ca="1">INDIRECT("'"&amp;$C99&amp;"'!"&amp;"$"&amp;$D99&amp;$BM$1&amp;"")</f>
        <v>1.45</v>
      </c>
      <c r="BN99" s="281"/>
      <c r="BO99" s="281">
        <v>0.99</v>
      </c>
      <c r="BP99" s="279">
        <v>0.16</v>
      </c>
      <c r="BQ99" s="284" cm="1">
        <f t="array" aca="1" ref="BQ99" ca="1">INDIRECT("'"&amp;$C99&amp;"'!"&amp;"$"&amp;$D99&amp;$BQ$1&amp;"")</f>
        <v>0.96</v>
      </c>
      <c r="BR99" s="281"/>
      <c r="BS99" s="281">
        <v>0.97</v>
      </c>
      <c r="BT99" s="279">
        <v>0.25</v>
      </c>
      <c r="BU99" s="284" cm="1">
        <f t="array" aca="1" ref="BU99" ca="1">INDIRECT("'"&amp;$C99&amp;"'!"&amp;"$"&amp;$D99&amp;74&amp;"")</f>
        <v>0</v>
      </c>
      <c r="BV99" s="281"/>
      <c r="BW99" s="281" t="s">
        <v>1</v>
      </c>
      <c r="BX99" s="279" t="s">
        <v>1</v>
      </c>
    </row>
    <row r="100" spans="1:76">
      <c r="A100" s="459">
        <v>45842</v>
      </c>
      <c r="B100" s="345">
        <v>0.83333333333333337</v>
      </c>
      <c r="C100" s="305">
        <v>4</v>
      </c>
      <c r="D100" s="306" t="s">
        <v>162</v>
      </c>
      <c r="E100" s="285">
        <v>14.2</v>
      </c>
      <c r="F100" s="286">
        <v>69.69</v>
      </c>
      <c r="G100" s="287" t="str" cm="1">
        <f t="array" aca="1" ref="G100" ca="1">INDIRECT("'"&amp;$C100&amp;"'!"&amp;"$"&amp;$D100&amp;$E$1&amp;"")</f>
        <v>CMS</v>
      </c>
      <c r="H100" s="288" t="s">
        <v>1</v>
      </c>
      <c r="I100" s="286" t="s">
        <v>1</v>
      </c>
      <c r="J100" s="287" cm="1">
        <f t="array" aca="1" ref="J100" ca="1">INDIRECT("'"&amp;$C100&amp;"'!"&amp;"$"&amp;$D100&amp;$J$1&amp;"")</f>
        <v>6.8</v>
      </c>
      <c r="K100" s="288"/>
      <c r="L100" s="288">
        <v>0.93</v>
      </c>
      <c r="M100" s="289">
        <v>2.7</v>
      </c>
      <c r="N100" s="285" cm="1">
        <f t="array" aca="1" ref="N100" ca="1">INDIRECT("'"&amp;$C100&amp;"'!"&amp;"$"&amp;$D100&amp;$N$1&amp;"")</f>
        <v>6.8</v>
      </c>
      <c r="O100" s="288"/>
      <c r="P100" s="288">
        <v>0.93</v>
      </c>
      <c r="Q100" s="286">
        <v>2.75</v>
      </c>
      <c r="R100" s="285" cm="1">
        <f t="array" aca="1" ref="R100" ca="1">INDIRECT("'"&amp;$C100&amp;"'!"&amp;"$"&amp;$D100&amp;$R$1&amp;"")</f>
        <v>6.8</v>
      </c>
      <c r="S100" s="288"/>
      <c r="T100" s="288">
        <v>0.93</v>
      </c>
      <c r="U100" s="286">
        <v>2.79</v>
      </c>
      <c r="V100" s="287" t="str" cm="1">
        <f t="array" aca="1" ref="V100" ca="1">INDIRECT("'"&amp;$C100&amp;"'!"&amp;"$"&amp;$D100&amp;$V$1&amp;"")</f>
        <v>CMS</v>
      </c>
      <c r="W100" s="288" t="s">
        <v>1</v>
      </c>
      <c r="X100" s="288" t="s">
        <v>1</v>
      </c>
      <c r="Y100" s="289" t="s">
        <v>1</v>
      </c>
      <c r="Z100" s="285" t="str" cm="1">
        <f t="array" aca="1" ref="Z100" ca="1">INDIRECT("'"&amp;$C100&amp;"'!"&amp;"$"&amp;$D100&amp;$Z$1&amp;"")</f>
        <v>CMS</v>
      </c>
      <c r="AA100" s="288" t="s">
        <v>1</v>
      </c>
      <c r="AB100" s="288" t="s">
        <v>1</v>
      </c>
      <c r="AC100" s="286" t="s">
        <v>1</v>
      </c>
      <c r="AD100" s="287" cm="1">
        <f t="array" aca="1" ref="AD100" ca="1">INDIRECT("'"&amp;$C100&amp;"'!"&amp;"$"&amp;$D100&amp;$AD$1&amp;"")</f>
        <v>3.7</v>
      </c>
      <c r="AE100" s="288">
        <f>3.8*3.51</f>
        <v>13.337999999999999</v>
      </c>
      <c r="AF100" s="288">
        <v>0.95</v>
      </c>
      <c r="AG100" s="289">
        <v>1.24</v>
      </c>
      <c r="AH100" s="285" cm="1">
        <f t="array" aca="1" ref="AH100" ca="1">INDIRECT("'"&amp;$C100&amp;"'!"&amp;"$"&amp;$D100&amp;$AH$1&amp;"")</f>
        <v>3.8</v>
      </c>
      <c r="AI100" s="288">
        <v>14.04</v>
      </c>
      <c r="AJ100" s="288">
        <v>0.98</v>
      </c>
      <c r="AK100" s="286">
        <v>0.56499999999999995</v>
      </c>
      <c r="AL100" s="285">
        <v>11.6</v>
      </c>
      <c r="AM100" s="289">
        <v>70.599999999999994</v>
      </c>
      <c r="AN100" s="285" cm="1">
        <f t="array" aca="1" ref="AN100" ca="1">INDIRECT("'"&amp;$C100&amp;"'!"&amp;"$"&amp;$D100&amp;$AL$1&amp;"")</f>
        <v>3.8</v>
      </c>
      <c r="AO100" s="288">
        <v>0.95</v>
      </c>
      <c r="AP100" s="286">
        <v>1.3</v>
      </c>
      <c r="AQ100" s="287" cm="1">
        <f t="array" aca="1" ref="AQ100" ca="1">INDIRECT("'"&amp;$C100&amp;"'!"&amp;"$"&amp;$D100&amp;$AQ$1&amp;"")</f>
        <v>0</v>
      </c>
      <c r="AR100" s="288" t="s">
        <v>1</v>
      </c>
      <c r="AS100" s="286" t="s">
        <v>1</v>
      </c>
      <c r="AT100" s="285">
        <v>14</v>
      </c>
      <c r="AU100" s="289">
        <v>70.400000000000006</v>
      </c>
      <c r="AV100" s="288" cm="1">
        <f t="array" aca="1" ref="AV100" ca="1">INDIRECT("'"&amp;$C100&amp;"'!"&amp;"$"&amp;$D100&amp;$AV$1&amp;"")</f>
        <v>0</v>
      </c>
      <c r="AW100" s="287" t="s">
        <v>1</v>
      </c>
      <c r="AX100" s="288" t="s">
        <v>1</v>
      </c>
      <c r="AY100" s="286" t="s">
        <v>1</v>
      </c>
      <c r="AZ100" s="288" cm="1">
        <f t="array" aca="1" ref="AZ100" ca="1">INDIRECT("'"&amp;$C100&amp;"'!"&amp;"$"&amp;$D100&amp;$AZ$1&amp;"")</f>
        <v>7</v>
      </c>
      <c r="BA100" s="287" t="s">
        <v>1</v>
      </c>
      <c r="BB100" s="288">
        <v>0.98</v>
      </c>
      <c r="BC100" s="286">
        <v>1.5</v>
      </c>
      <c r="BD100" s="290">
        <v>14.06</v>
      </c>
      <c r="BE100" s="289">
        <v>71.64</v>
      </c>
      <c r="BF100" s="290" cm="1">
        <f t="array" aca="1" ref="BF100" ca="1">INDIRECT("'"&amp;$C100&amp;"'!"&amp;"$"&amp;$D100&amp;$BF$1&amp;"")</f>
        <v>14.31</v>
      </c>
      <c r="BG100" s="288">
        <v>0.99</v>
      </c>
      <c r="BH100" s="286">
        <v>1.3</v>
      </c>
      <c r="BI100" s="525">
        <v>68.2</v>
      </c>
      <c r="BJ100" s="285" cm="1">
        <f t="array" aca="1" ref="BJ100" ca="1">INDIRECT("'"&amp;$C100&amp;"'!"&amp;"$"&amp;$D100&amp;$BI$1&amp;"")</f>
        <v>0</v>
      </c>
      <c r="BK100" s="287" t="s">
        <v>1</v>
      </c>
      <c r="BL100" s="286" t="s">
        <v>1</v>
      </c>
      <c r="BM100" s="290" cm="1">
        <f t="array" aca="1" ref="BM100" ca="1">INDIRECT("'"&amp;$C100&amp;"'!"&amp;"$"&amp;$D100&amp;$BM$1&amp;"")</f>
        <v>1.4550000000000001</v>
      </c>
      <c r="BN100" s="288"/>
      <c r="BO100" s="288">
        <v>0.99</v>
      </c>
      <c r="BP100" s="286">
        <v>0.16</v>
      </c>
      <c r="BQ100" s="291" cm="1">
        <f t="array" aca="1" ref="BQ100" ca="1">INDIRECT("'"&amp;$C100&amp;"'!"&amp;"$"&amp;$D100&amp;$BQ$1&amp;"")</f>
        <v>0.98</v>
      </c>
      <c r="BR100" s="288"/>
      <c r="BS100" s="288">
        <v>0.97</v>
      </c>
      <c r="BT100" s="286">
        <v>0.25</v>
      </c>
      <c r="BU100" s="291" cm="1">
        <f t="array" aca="1" ref="BU100" ca="1">INDIRECT("'"&amp;$C100&amp;"'!"&amp;"$"&amp;$D100&amp;74&amp;"")</f>
        <v>0</v>
      </c>
      <c r="BV100" s="288"/>
      <c r="BW100" s="288" t="s">
        <v>1</v>
      </c>
      <c r="BX100" s="286" t="s">
        <v>1</v>
      </c>
    </row>
    <row r="101" spans="1:76">
      <c r="A101" s="459">
        <v>45842</v>
      </c>
      <c r="B101" s="345">
        <v>0.875000000000001</v>
      </c>
      <c r="C101" s="305">
        <v>4</v>
      </c>
      <c r="D101" s="306" t="s">
        <v>163</v>
      </c>
      <c r="E101" s="278">
        <v>14.1</v>
      </c>
      <c r="F101" s="279">
        <v>69.040000000000006</v>
      </c>
      <c r="G101" s="280" t="str" cm="1">
        <f t="array" aca="1" ref="G101" ca="1">INDIRECT("'"&amp;$C101&amp;"'!"&amp;"$"&amp;$D101&amp;$E$1&amp;"")</f>
        <v>CMS</v>
      </c>
      <c r="H101" s="281" t="s">
        <v>1</v>
      </c>
      <c r="I101" s="279" t="s">
        <v>1</v>
      </c>
      <c r="J101" s="280" cm="1">
        <f t="array" aca="1" ref="J101" ca="1">INDIRECT("'"&amp;$C101&amp;"'!"&amp;"$"&amp;$D101&amp;$J$1&amp;"")</f>
        <v>6.7</v>
      </c>
      <c r="K101" s="281"/>
      <c r="L101" s="281">
        <v>0.93</v>
      </c>
      <c r="M101" s="282">
        <v>2.85</v>
      </c>
      <c r="N101" s="278" cm="1">
        <f t="array" aca="1" ref="N101" ca="1">INDIRECT("'"&amp;$C101&amp;"'!"&amp;"$"&amp;$D101&amp;$N$1&amp;"")</f>
        <v>6.7</v>
      </c>
      <c r="O101" s="281"/>
      <c r="P101" s="281">
        <v>0.93</v>
      </c>
      <c r="Q101" s="279">
        <v>2.81</v>
      </c>
      <c r="R101" s="468" cm="1">
        <f t="array" aca="1" ref="R101" ca="1">INDIRECT("'"&amp;$C101&amp;"'!"&amp;"$"&amp;$D101&amp;$R$1&amp;"")</f>
        <v>6.7</v>
      </c>
      <c r="S101" s="281"/>
      <c r="T101" s="281">
        <v>0.93</v>
      </c>
      <c r="U101" s="279">
        <v>2.84</v>
      </c>
      <c r="V101" s="280" t="str" cm="1">
        <f t="array" aca="1" ref="V101" ca="1">INDIRECT("'"&amp;$C101&amp;"'!"&amp;"$"&amp;$D101&amp;$V$1&amp;"")</f>
        <v>CMS</v>
      </c>
      <c r="W101" s="281" t="s">
        <v>1</v>
      </c>
      <c r="X101" s="281" t="s">
        <v>1</v>
      </c>
      <c r="Y101" s="282" t="s">
        <v>1</v>
      </c>
      <c r="Z101" s="278" t="str" cm="1">
        <f t="array" aca="1" ref="Z101" ca="1">INDIRECT("'"&amp;$C101&amp;"'!"&amp;"$"&amp;$D101&amp;$Z$1&amp;"")</f>
        <v>CMS</v>
      </c>
      <c r="AA101" s="281" t="s">
        <v>1</v>
      </c>
      <c r="AB101" s="281" t="s">
        <v>1</v>
      </c>
      <c r="AC101" s="279" t="s">
        <v>1</v>
      </c>
      <c r="AD101" s="280" cm="1">
        <f t="array" aca="1" ref="AD101" ca="1">INDIRECT("'"&amp;$C101&amp;"'!"&amp;"$"&amp;$D101&amp;$AD$1&amp;"")</f>
        <v>3</v>
      </c>
      <c r="AE101" s="281">
        <f>3.8*3.49</f>
        <v>13.262</v>
      </c>
      <c r="AF101" s="281">
        <v>0.95</v>
      </c>
      <c r="AG101" s="282">
        <v>0.91</v>
      </c>
      <c r="AH101" s="278" cm="1">
        <f t="array" aca="1" ref="AH101" ca="1">INDIRECT("'"&amp;$C101&amp;"'!"&amp;"$"&amp;$D101&amp;$AH$1&amp;"")</f>
        <v>3</v>
      </c>
      <c r="AI101" s="281">
        <v>13.92</v>
      </c>
      <c r="AJ101" s="281">
        <v>0.98</v>
      </c>
      <c r="AK101" s="279">
        <v>0.57799999999999996</v>
      </c>
      <c r="AL101" s="278">
        <v>11.6</v>
      </c>
      <c r="AM101" s="282">
        <v>70.099999999999994</v>
      </c>
      <c r="AN101" s="278" cm="1">
        <f t="array" aca="1" ref="AN101" ca="1">INDIRECT("'"&amp;$C101&amp;"'!"&amp;"$"&amp;$D101&amp;$AL$1&amp;"")</f>
        <v>3.3</v>
      </c>
      <c r="AO101" s="281">
        <v>0.95</v>
      </c>
      <c r="AP101" s="279">
        <v>1.1200000000000001</v>
      </c>
      <c r="AQ101" s="280" cm="1">
        <f t="array" aca="1" ref="AQ101" ca="1">INDIRECT("'"&amp;$C101&amp;"'!"&amp;"$"&amp;$D101&amp;$AQ$1&amp;"")</f>
        <v>0</v>
      </c>
      <c r="AR101" s="281" t="s">
        <v>1</v>
      </c>
      <c r="AS101" s="279" t="s">
        <v>1</v>
      </c>
      <c r="AT101" s="278">
        <v>13.83</v>
      </c>
      <c r="AU101" s="282">
        <v>70.2</v>
      </c>
      <c r="AV101" s="281" cm="1">
        <f t="array" aca="1" ref="AV101" ca="1">INDIRECT("'"&amp;$C101&amp;"'!"&amp;"$"&amp;$D101&amp;$AV$1&amp;"")</f>
        <v>0</v>
      </c>
      <c r="AW101" s="280" t="s">
        <v>1</v>
      </c>
      <c r="AX101" s="281" t="s">
        <v>1</v>
      </c>
      <c r="AY101" s="279" t="s">
        <v>1</v>
      </c>
      <c r="AZ101" s="281" cm="1">
        <f t="array" aca="1" ref="AZ101" ca="1">INDIRECT("'"&amp;$C101&amp;"'!"&amp;"$"&amp;$D101&amp;$AZ$1&amp;"")</f>
        <v>7</v>
      </c>
      <c r="BA101" s="280" t="s">
        <v>1</v>
      </c>
      <c r="BB101" s="281">
        <v>0.97</v>
      </c>
      <c r="BC101" s="279">
        <v>1.9</v>
      </c>
      <c r="BD101" s="283">
        <v>13.96</v>
      </c>
      <c r="BE101" s="282">
        <v>71.11</v>
      </c>
      <c r="BF101" s="283" cm="1">
        <f t="array" aca="1" ref="BF101" ca="1">INDIRECT("'"&amp;$C101&amp;"'!"&amp;"$"&amp;$D101&amp;$BF$1&amp;"")</f>
        <v>14.28</v>
      </c>
      <c r="BG101" s="281">
        <v>1</v>
      </c>
      <c r="BH101" s="279">
        <v>1.3</v>
      </c>
      <c r="BI101" s="524">
        <v>67.5</v>
      </c>
      <c r="BJ101" s="278" cm="1">
        <f t="array" aca="1" ref="BJ101" ca="1">INDIRECT("'"&amp;$C101&amp;"'!"&amp;"$"&amp;$D101&amp;$BI$1&amp;"")</f>
        <v>0</v>
      </c>
      <c r="BK101" s="280" t="s">
        <v>1</v>
      </c>
      <c r="BL101" s="279" t="s">
        <v>1</v>
      </c>
      <c r="BM101" s="283" cm="1">
        <f t="array" aca="1" ref="BM101" ca="1">INDIRECT("'"&amp;$C101&amp;"'!"&amp;"$"&amp;$D101&amp;$BM$1&amp;"")</f>
        <v>1.36</v>
      </c>
      <c r="BN101" s="281"/>
      <c r="BO101" s="281">
        <v>0.99</v>
      </c>
      <c r="BP101" s="279">
        <v>0.14000000000000001</v>
      </c>
      <c r="BQ101" s="284" cm="1">
        <f t="array" aca="1" ref="BQ101" ca="1">INDIRECT("'"&amp;$C101&amp;"'!"&amp;"$"&amp;$D101&amp;$BQ$1&amp;"")</f>
        <v>0.93</v>
      </c>
      <c r="BR101" s="281"/>
      <c r="BS101" s="281">
        <v>0.97</v>
      </c>
      <c r="BT101" s="279">
        <v>0.23</v>
      </c>
      <c r="BU101" s="284" cm="1">
        <f t="array" aca="1" ref="BU101" ca="1">INDIRECT("'"&amp;$C101&amp;"'!"&amp;"$"&amp;$D101&amp;74&amp;"")</f>
        <v>0</v>
      </c>
      <c r="BV101" s="281"/>
      <c r="BW101" s="281" t="s">
        <v>1</v>
      </c>
      <c r="BX101" s="279" t="s">
        <v>1</v>
      </c>
    </row>
    <row r="102" spans="1:76">
      <c r="A102" s="459">
        <v>45842</v>
      </c>
      <c r="B102" s="345">
        <v>0.91666666666666696</v>
      </c>
      <c r="C102" s="305">
        <v>4</v>
      </c>
      <c r="D102" s="306" t="s">
        <v>164</v>
      </c>
      <c r="E102" s="285">
        <v>14</v>
      </c>
      <c r="F102" s="286">
        <v>69.67</v>
      </c>
      <c r="G102" s="287" t="str" cm="1">
        <f t="array" aca="1" ref="G102" ca="1">INDIRECT("'"&amp;$C102&amp;"'!"&amp;"$"&amp;$D102&amp;$E$1&amp;"")</f>
        <v>CMS</v>
      </c>
      <c r="H102" s="288" t="s">
        <v>1</v>
      </c>
      <c r="I102" s="286" t="s">
        <v>1</v>
      </c>
      <c r="J102" s="287" cm="1">
        <f t="array" aca="1" ref="J102" ca="1">INDIRECT("'"&amp;$C102&amp;"'!"&amp;"$"&amp;$D102&amp;$J$1&amp;"")</f>
        <v>6.8</v>
      </c>
      <c r="K102" s="288"/>
      <c r="L102" s="288">
        <v>0.94</v>
      </c>
      <c r="M102" s="289">
        <v>2.54</v>
      </c>
      <c r="N102" s="285" cm="1">
        <f t="array" aca="1" ref="N102" ca="1">INDIRECT("'"&amp;$C102&amp;"'!"&amp;"$"&amp;$D102&amp;$N$1&amp;"")</f>
        <v>6.8</v>
      </c>
      <c r="O102" s="288"/>
      <c r="P102" s="288">
        <v>0.94</v>
      </c>
      <c r="Q102" s="286">
        <v>2.57</v>
      </c>
      <c r="R102" s="285" t="str" cm="1">
        <f t="array" aca="1" ref="R102" ca="1">INDIRECT("'"&amp;$C102&amp;"'!"&amp;"$"&amp;$D102&amp;$R$1&amp;"")</f>
        <v>CMS</v>
      </c>
      <c r="S102" s="288"/>
      <c r="T102" s="288" t="s">
        <v>1</v>
      </c>
      <c r="U102" s="286" t="s">
        <v>1</v>
      </c>
      <c r="V102" s="287" t="str" cm="1">
        <f t="array" aca="1" ref="V102" ca="1">INDIRECT("'"&amp;$C102&amp;"'!"&amp;"$"&amp;$D102&amp;$V$1&amp;"")</f>
        <v>CMS</v>
      </c>
      <c r="W102" s="288" t="s">
        <v>1</v>
      </c>
      <c r="X102" s="288" t="s">
        <v>1</v>
      </c>
      <c r="Y102" s="289" t="s">
        <v>1</v>
      </c>
      <c r="Z102" s="285" t="str" cm="1">
        <f t="array" aca="1" ref="Z102" ca="1">INDIRECT("'"&amp;$C102&amp;"'!"&amp;"$"&amp;$D102&amp;$Z$1&amp;"")</f>
        <v>CMS</v>
      </c>
      <c r="AA102" s="288" t="s">
        <v>1</v>
      </c>
      <c r="AB102" s="288" t="s">
        <v>1</v>
      </c>
      <c r="AC102" s="286" t="s">
        <v>1</v>
      </c>
      <c r="AD102" s="287" cm="1">
        <f t="array" aca="1" ref="AD102" ca="1">INDIRECT("'"&amp;$C102&amp;"'!"&amp;"$"&amp;$D102&amp;$AD$1&amp;"")</f>
        <v>3.8</v>
      </c>
      <c r="AE102" s="288">
        <f>3.56*3.8</f>
        <v>13.527999999999999</v>
      </c>
      <c r="AF102" s="288">
        <v>0.96</v>
      </c>
      <c r="AG102" s="289">
        <v>1.0900000000000001</v>
      </c>
      <c r="AH102" s="285" cm="1">
        <f t="array" aca="1" ref="AH102" ca="1">INDIRECT("'"&amp;$C102&amp;"'!"&amp;"$"&amp;$D102&amp;$AH$1&amp;"")</f>
        <v>3.8</v>
      </c>
      <c r="AI102" s="288">
        <v>14</v>
      </c>
      <c r="AJ102" s="288">
        <v>0.99</v>
      </c>
      <c r="AK102" s="286">
        <v>0.20899999999999999</v>
      </c>
      <c r="AL102" s="285">
        <v>11.6</v>
      </c>
      <c r="AM102" s="289">
        <v>70.8</v>
      </c>
      <c r="AN102" s="285" cm="1">
        <f t="array" aca="1" ref="AN102" ca="1">INDIRECT("'"&amp;$C102&amp;"'!"&amp;"$"&amp;$D102&amp;$AL$1&amp;"")</f>
        <v>3.8</v>
      </c>
      <c r="AO102" s="288">
        <v>0.98</v>
      </c>
      <c r="AP102" s="286">
        <v>0.71</v>
      </c>
      <c r="AQ102" s="287" cm="1">
        <f t="array" aca="1" ref="AQ102" ca="1">INDIRECT("'"&amp;$C102&amp;"'!"&amp;"$"&amp;$D102&amp;$AQ$1&amp;"")</f>
        <v>0</v>
      </c>
      <c r="AR102" s="288" t="s">
        <v>1</v>
      </c>
      <c r="AS102" s="286" t="s">
        <v>1</v>
      </c>
      <c r="AT102" s="285">
        <v>13.88</v>
      </c>
      <c r="AU102" s="289">
        <v>70.3</v>
      </c>
      <c r="AV102" s="288" cm="1">
        <f t="array" aca="1" ref="AV102" ca="1">INDIRECT("'"&amp;$C102&amp;"'!"&amp;"$"&amp;$D102&amp;$AV$1&amp;"")</f>
        <v>0</v>
      </c>
      <c r="AW102" s="287" t="s">
        <v>1</v>
      </c>
      <c r="AX102" s="288" t="s">
        <v>1</v>
      </c>
      <c r="AY102" s="286" t="s">
        <v>1</v>
      </c>
      <c r="AZ102" s="288" cm="1">
        <f t="array" aca="1" ref="AZ102" ca="1">INDIRECT("'"&amp;$C102&amp;"'!"&amp;"$"&amp;$D102&amp;$AZ$1&amp;"")</f>
        <v>7</v>
      </c>
      <c r="BA102" s="287" t="s">
        <v>1</v>
      </c>
      <c r="BB102" s="288">
        <v>0.99</v>
      </c>
      <c r="BC102" s="286">
        <v>1</v>
      </c>
      <c r="BD102" s="290">
        <v>14.19</v>
      </c>
      <c r="BE102" s="289">
        <v>71.98</v>
      </c>
      <c r="BF102" s="290" cm="1">
        <f t="array" aca="1" ref="BF102" ca="1">INDIRECT("'"&amp;$C102&amp;"'!"&amp;"$"&amp;$D102&amp;$BF$1&amp;"")</f>
        <v>14.29</v>
      </c>
      <c r="BG102" s="288">
        <v>0.99</v>
      </c>
      <c r="BH102" s="286">
        <v>2.2999999999999998</v>
      </c>
      <c r="BI102" s="525">
        <v>68.400000000000006</v>
      </c>
      <c r="BJ102" s="285" cm="1">
        <f t="array" aca="1" ref="BJ102" ca="1">INDIRECT("'"&amp;$C102&amp;"'!"&amp;"$"&amp;$D102&amp;$BI$1&amp;"")</f>
        <v>1.5</v>
      </c>
      <c r="BK102" s="287">
        <v>0.98</v>
      </c>
      <c r="BL102" s="286">
        <v>0.28999999999999998</v>
      </c>
      <c r="BM102" s="290" cm="1">
        <f t="array" aca="1" ref="BM102" ca="1">INDIRECT("'"&amp;$C102&amp;"'!"&amp;"$"&amp;$D102&amp;$BM$1&amp;"")</f>
        <v>1.22</v>
      </c>
      <c r="BN102" s="288"/>
      <c r="BO102" s="288">
        <v>0.99</v>
      </c>
      <c r="BP102" s="286">
        <v>0.12</v>
      </c>
      <c r="BQ102" s="291" cm="1">
        <f t="array" aca="1" ref="BQ102" ca="1">INDIRECT("'"&amp;$C102&amp;"'!"&amp;"$"&amp;$D102&amp;$BQ$1&amp;"")</f>
        <v>0.88</v>
      </c>
      <c r="BR102" s="288"/>
      <c r="BS102" s="288">
        <v>0.97</v>
      </c>
      <c r="BT102" s="286">
        <v>0.12</v>
      </c>
      <c r="BU102" s="291" cm="1">
        <f t="array" aca="1" ref="BU102" ca="1">INDIRECT("'"&amp;$C102&amp;"'!"&amp;"$"&amp;$D102&amp;74&amp;"")</f>
        <v>0</v>
      </c>
      <c r="BV102" s="288"/>
      <c r="BW102" s="288" t="s">
        <v>1</v>
      </c>
      <c r="BX102" s="286" t="s">
        <v>1</v>
      </c>
    </row>
    <row r="103" spans="1:76" ht="14.45" thickBot="1">
      <c r="A103" s="460">
        <v>45842</v>
      </c>
      <c r="B103" s="346">
        <v>0.95833333333333404</v>
      </c>
      <c r="C103" s="307">
        <v>4</v>
      </c>
      <c r="D103" s="308" t="s">
        <v>165</v>
      </c>
      <c r="E103" s="293">
        <v>14</v>
      </c>
      <c r="F103" s="294">
        <v>69.69</v>
      </c>
      <c r="G103" s="295" t="str" cm="1">
        <f t="array" aca="1" ref="G103" ca="1">INDIRECT("'"&amp;$C103&amp;"'!"&amp;"$"&amp;$D103&amp;$E$1&amp;"")</f>
        <v>CMS</v>
      </c>
      <c r="H103" s="296" t="s">
        <v>1</v>
      </c>
      <c r="I103" s="294" t="s">
        <v>1</v>
      </c>
      <c r="J103" s="295" cm="1">
        <f t="array" aca="1" ref="J103" ca="1">INDIRECT("'"&amp;$C103&amp;"'!"&amp;"$"&amp;$D103&amp;$J$1&amp;"")</f>
        <v>6.7</v>
      </c>
      <c r="K103" s="296"/>
      <c r="L103" s="296">
        <v>0.95</v>
      </c>
      <c r="M103" s="297">
        <v>2.33</v>
      </c>
      <c r="N103" s="293" cm="1">
        <f t="array" aca="1" ref="N103" ca="1">INDIRECT("'"&amp;$C103&amp;"'!"&amp;"$"&amp;$D103&amp;$N$1&amp;"")</f>
        <v>6.7</v>
      </c>
      <c r="O103" s="296"/>
      <c r="P103" s="296">
        <v>0.95</v>
      </c>
      <c r="Q103" s="294">
        <v>2.37</v>
      </c>
      <c r="R103" s="470" t="str" cm="1">
        <f t="array" aca="1" ref="R103" ca="1">INDIRECT("'"&amp;$C103&amp;"'!"&amp;"$"&amp;$D103&amp;$R$1&amp;"")</f>
        <v>CMS</v>
      </c>
      <c r="S103" s="296"/>
      <c r="T103" s="296" t="s">
        <v>1</v>
      </c>
      <c r="U103" s="294" t="s">
        <v>1</v>
      </c>
      <c r="V103" s="295" t="str" cm="1">
        <f t="array" aca="1" ref="V103" ca="1">INDIRECT("'"&amp;$C103&amp;"'!"&amp;"$"&amp;$D103&amp;$V$1&amp;"")</f>
        <v>CMS</v>
      </c>
      <c r="W103" s="296" t="s">
        <v>1</v>
      </c>
      <c r="X103" s="296" t="s">
        <v>1</v>
      </c>
      <c r="Y103" s="297" t="s">
        <v>1</v>
      </c>
      <c r="Z103" s="293" t="str" cm="1">
        <f t="array" aca="1" ref="Z103" ca="1">INDIRECT("'"&amp;$C103&amp;"'!"&amp;"$"&amp;$D103&amp;$Z$1&amp;"")</f>
        <v>CMS</v>
      </c>
      <c r="AA103" s="296" t="s">
        <v>1</v>
      </c>
      <c r="AB103" s="296" t="s">
        <v>1</v>
      </c>
      <c r="AC103" s="294" t="s">
        <v>1</v>
      </c>
      <c r="AD103" s="295" cm="1">
        <f t="array" aca="1" ref="AD103" ca="1">INDIRECT("'"&amp;$C103&amp;"'!"&amp;"$"&amp;$D103&amp;$AD$1&amp;"")</f>
        <v>3</v>
      </c>
      <c r="AE103" s="296">
        <f>3.56*3.8</f>
        <v>13.527999999999999</v>
      </c>
      <c r="AF103" s="296">
        <v>0.97</v>
      </c>
      <c r="AG103" s="297">
        <v>0.88</v>
      </c>
      <c r="AH103" s="293" cm="1">
        <f t="array" aca="1" ref="AH103" ca="1">INDIRECT("'"&amp;$C103&amp;"'!"&amp;"$"&amp;$D103&amp;$AH$1&amp;"")</f>
        <v>3</v>
      </c>
      <c r="AI103" s="296">
        <v>14</v>
      </c>
      <c r="AJ103" s="296">
        <v>0.98</v>
      </c>
      <c r="AK103" s="294">
        <v>0.42899999999999999</v>
      </c>
      <c r="AL103" s="293">
        <v>11.5</v>
      </c>
      <c r="AM103" s="297">
        <v>70.599999999999994</v>
      </c>
      <c r="AN103" s="293" cm="1">
        <f t="array" aca="1" ref="AN103" ca="1">INDIRECT("'"&amp;$C103&amp;"'!"&amp;"$"&amp;$D103&amp;$AL$1&amp;"")</f>
        <v>1.5</v>
      </c>
      <c r="AO103" s="296">
        <v>0.94</v>
      </c>
      <c r="AP103" s="294">
        <v>0.77</v>
      </c>
      <c r="AQ103" s="295" cm="1">
        <f t="array" aca="1" ref="AQ103" ca="1">INDIRECT("'"&amp;$C103&amp;"'!"&amp;"$"&amp;$D103&amp;$AQ$1&amp;"")</f>
        <v>0</v>
      </c>
      <c r="AR103" s="296" t="s">
        <v>1</v>
      </c>
      <c r="AS103" s="294" t="s">
        <v>1</v>
      </c>
      <c r="AT103" s="293">
        <v>13.86</v>
      </c>
      <c r="AU103" s="297">
        <v>70.3</v>
      </c>
      <c r="AV103" s="296" cm="1">
        <f t="array" aca="1" ref="AV103" ca="1">INDIRECT("'"&amp;$C103&amp;"'!"&amp;"$"&amp;$D103&amp;$AV$1&amp;"")</f>
        <v>0</v>
      </c>
      <c r="AW103" s="295" t="s">
        <v>1</v>
      </c>
      <c r="AX103" s="296" t="s">
        <v>1</v>
      </c>
      <c r="AY103" s="294" t="s">
        <v>1</v>
      </c>
      <c r="AZ103" s="296" cm="1">
        <f t="array" aca="1" ref="AZ103" ca="1">INDIRECT("'"&amp;$C103&amp;"'!"&amp;"$"&amp;$D103&amp;$AZ$1&amp;"")</f>
        <v>6.5</v>
      </c>
      <c r="BA103" s="295" t="s">
        <v>1</v>
      </c>
      <c r="BB103" s="296">
        <v>0.98</v>
      </c>
      <c r="BC103" s="294">
        <v>1.3</v>
      </c>
      <c r="BD103" s="298">
        <v>14.03</v>
      </c>
      <c r="BE103" s="297">
        <v>71.55</v>
      </c>
      <c r="BF103" s="298" cm="1">
        <f t="array" aca="1" ref="BF103" ca="1">INDIRECT("'"&amp;$C103&amp;"'!"&amp;"$"&amp;$D103&amp;$BF$1&amp;"")</f>
        <v>14.24</v>
      </c>
      <c r="BG103" s="296">
        <v>1</v>
      </c>
      <c r="BH103" s="294">
        <v>1.3</v>
      </c>
      <c r="BI103" s="526">
        <v>68.400000000000006</v>
      </c>
      <c r="BJ103" s="293" cm="1">
        <f t="array" aca="1" ref="BJ103" ca="1">INDIRECT("'"&amp;$C103&amp;"'!"&amp;"$"&amp;$D103&amp;$BI$1&amp;"")</f>
        <v>0</v>
      </c>
      <c r="BK103" s="295" t="s">
        <v>1</v>
      </c>
      <c r="BL103" s="294" t="s">
        <v>1</v>
      </c>
      <c r="BM103" s="298" cm="1">
        <f t="array" aca="1" ref="BM103" ca="1">INDIRECT("'"&amp;$C103&amp;"'!"&amp;"$"&amp;$D103&amp;$BM$1&amp;"")</f>
        <v>1</v>
      </c>
      <c r="BN103" s="296"/>
      <c r="BO103" s="296">
        <v>0.99</v>
      </c>
      <c r="BP103" s="294">
        <v>0.1</v>
      </c>
      <c r="BQ103" s="299" cm="1">
        <f t="array" aca="1" ref="BQ103" ca="1">INDIRECT("'"&amp;$C103&amp;"'!"&amp;"$"&amp;$D103&amp;$BQ$1&amp;"")</f>
        <v>0.83</v>
      </c>
      <c r="BR103" s="296"/>
      <c r="BS103" s="296">
        <v>0.97</v>
      </c>
      <c r="BT103" s="294">
        <v>0.21</v>
      </c>
      <c r="BU103" s="299" cm="1">
        <f t="array" aca="1" ref="BU103" ca="1">INDIRECT("'"&amp;$C103&amp;"'!"&amp;"$"&amp;$D103&amp;74&amp;"")</f>
        <v>0</v>
      </c>
      <c r="BV103" s="296"/>
      <c r="BW103" s="296" t="s">
        <v>1</v>
      </c>
      <c r="BX103" s="294" t="s">
        <v>1</v>
      </c>
    </row>
    <row r="104" spans="1:76" ht="14.45" thickBot="1"/>
    <row r="105" spans="1:76">
      <c r="A105" s="347">
        <v>45843</v>
      </c>
      <c r="B105" s="344">
        <v>0</v>
      </c>
      <c r="C105" s="302">
        <v>5</v>
      </c>
      <c r="D105" s="303" t="s">
        <v>142</v>
      </c>
      <c r="E105" s="272">
        <v>14</v>
      </c>
      <c r="F105" s="273">
        <v>70.12</v>
      </c>
      <c r="G105" s="274" t="str" cm="1">
        <f t="array" aca="1" ref="G105" ca="1">INDIRECT("'"&amp;$C105&amp;"'!"&amp;"$"&amp;$D105&amp;$E$1&amp;"")</f>
        <v>CMS</v>
      </c>
      <c r="H105" s="275" t="s">
        <v>1</v>
      </c>
      <c r="I105" s="273" t="s">
        <v>1</v>
      </c>
      <c r="J105" s="274" cm="1">
        <f t="array" aca="1" ref="J105" ca="1">INDIRECT("'"&amp;$C105&amp;"'!"&amp;"$"&amp;$D105&amp;$J$1&amp;"")</f>
        <v>6.8</v>
      </c>
      <c r="K105" s="275"/>
      <c r="L105" s="275">
        <v>0.97</v>
      </c>
      <c r="M105" s="276">
        <v>1.82</v>
      </c>
      <c r="N105" s="272" cm="1">
        <f t="array" aca="1" ref="N105" ca="1">INDIRECT("'"&amp;$C105&amp;"'!"&amp;"$"&amp;$D105&amp;$N$1&amp;"")</f>
        <v>6.8</v>
      </c>
      <c r="O105" s="275"/>
      <c r="P105" s="275">
        <v>0.97</v>
      </c>
      <c r="Q105" s="273">
        <v>1.84</v>
      </c>
      <c r="R105" s="467" t="str" cm="1">
        <f t="array" aca="1" ref="R105" ca="1">INDIRECT("'"&amp;$C105&amp;"'!"&amp;"$"&amp;$D105&amp;$R$1&amp;"")</f>
        <v>CMS</v>
      </c>
      <c r="S105" s="275"/>
      <c r="T105" s="275" t="s">
        <v>1</v>
      </c>
      <c r="U105" s="273" t="s">
        <v>1</v>
      </c>
      <c r="V105" s="274" t="str" cm="1">
        <f t="array" aca="1" ref="V105" ca="1">INDIRECT("'"&amp;$C105&amp;"'!"&amp;"$"&amp;$D105&amp;$V$1&amp;"")</f>
        <v>CMS</v>
      </c>
      <c r="W105" s="275" t="s">
        <v>1</v>
      </c>
      <c r="X105" s="275" t="s">
        <v>1</v>
      </c>
      <c r="Y105" s="276" t="s">
        <v>1</v>
      </c>
      <c r="Z105" s="272" t="str" cm="1">
        <f t="array" aca="1" ref="Z105" ca="1">INDIRECT("'"&amp;$C105&amp;"'!"&amp;"$"&amp;$D105&amp;$Z$1&amp;"")</f>
        <v>CMS</v>
      </c>
      <c r="AA105" s="275" t="s">
        <v>1</v>
      </c>
      <c r="AB105" s="275" t="s">
        <v>1</v>
      </c>
      <c r="AC105" s="273" t="s">
        <v>1</v>
      </c>
      <c r="AD105" s="274" cm="1">
        <f t="array" aca="1" ref="AD105" ca="1">INDIRECT("'"&amp;$C105&amp;"'!"&amp;"$"&amp;$D105&amp;$AD$1&amp;"")</f>
        <v>2.5</v>
      </c>
      <c r="AE105" s="275">
        <f>3.58*3.8</f>
        <v>13.603999999999999</v>
      </c>
      <c r="AF105" s="275">
        <v>0.99</v>
      </c>
      <c r="AG105" s="273">
        <v>0.22</v>
      </c>
      <c r="AH105" s="272" cm="1">
        <f t="array" aca="1" ref="AH105" ca="1">INDIRECT("'"&amp;$C105&amp;"'!"&amp;"$"&amp;$D105&amp;$AH$1&amp;"")</f>
        <v>0</v>
      </c>
      <c r="AI105" s="275" t="s">
        <v>1</v>
      </c>
      <c r="AJ105" s="275" t="s">
        <v>1</v>
      </c>
      <c r="AK105" s="273" t="s">
        <v>1</v>
      </c>
      <c r="AL105" s="272">
        <v>11.5</v>
      </c>
      <c r="AM105" s="276">
        <v>70.7</v>
      </c>
      <c r="AN105" s="272" cm="1">
        <f t="array" aca="1" ref="AN105" ca="1">INDIRECT("'"&amp;$C105&amp;"'!"&amp;"$"&amp;$D105&amp;$AL$1&amp;"")</f>
        <v>1.5</v>
      </c>
      <c r="AO105" s="275">
        <v>0.94</v>
      </c>
      <c r="AP105" s="273">
        <v>0.7</v>
      </c>
      <c r="AQ105" s="274" cm="1">
        <f t="array" aca="1" ref="AQ105" ca="1">INDIRECT("'"&amp;$C105&amp;"'!"&amp;"$"&amp;$D105&amp;$AQ$1&amp;"")</f>
        <v>0</v>
      </c>
      <c r="AR105" s="275" t="s">
        <v>1</v>
      </c>
      <c r="AS105" s="273" t="s">
        <v>1</v>
      </c>
      <c r="AT105" s="272">
        <v>13.88</v>
      </c>
      <c r="AU105" s="276">
        <v>70.3</v>
      </c>
      <c r="AV105" s="275" cm="1">
        <f t="array" aca="1" ref="AV105" ca="1">INDIRECT("'"&amp;$C105&amp;"'!"&amp;"$"&amp;$D105&amp;$AV$1&amp;"")</f>
        <v>0</v>
      </c>
      <c r="AW105" s="274" t="s">
        <v>1</v>
      </c>
      <c r="AX105" s="275" t="s">
        <v>1</v>
      </c>
      <c r="AY105" s="273" t="s">
        <v>1</v>
      </c>
      <c r="AZ105" s="275" cm="1">
        <f t="array" aca="1" ref="AZ105" ca="1">INDIRECT("'"&amp;$C105&amp;"'!"&amp;"$"&amp;$D105&amp;$AZ$1&amp;"")</f>
        <v>6.5</v>
      </c>
      <c r="BA105" s="274" t="s">
        <v>1</v>
      </c>
      <c r="BB105" s="275">
        <v>0.98</v>
      </c>
      <c r="BC105" s="273">
        <v>1.1000000000000001</v>
      </c>
      <c r="BD105" s="277">
        <v>14.04</v>
      </c>
      <c r="BE105" s="276">
        <v>71.47</v>
      </c>
      <c r="BF105" s="277" cm="1">
        <f t="array" aca="1" ref="BF105" ca="1">INDIRECT("'"&amp;$C105&amp;"'!"&amp;"$"&amp;$D105&amp;$BF$1&amp;"")</f>
        <v>14.27</v>
      </c>
      <c r="BG105" s="275">
        <v>1</v>
      </c>
      <c r="BH105" s="273">
        <v>1.3</v>
      </c>
      <c r="BI105" s="523">
        <v>68.8</v>
      </c>
      <c r="BJ105" s="272" cm="1">
        <f t="array" aca="1" ref="BJ105" ca="1">INDIRECT("'"&amp;$C105&amp;"'!"&amp;"$"&amp;$D105&amp;$BI$1&amp;"")</f>
        <v>0</v>
      </c>
      <c r="BK105" s="274" t="s">
        <v>1</v>
      </c>
      <c r="BL105" s="273" t="s">
        <v>1</v>
      </c>
      <c r="BM105" s="277" cm="1">
        <f t="array" aca="1" ref="BM105" ca="1">INDIRECT("'"&amp;$C105&amp;"'!"&amp;"$"&amp;$D105&amp;$BM$1&amp;"")</f>
        <v>0.96</v>
      </c>
      <c r="BN105" s="275"/>
      <c r="BO105" s="275">
        <v>0.99</v>
      </c>
      <c r="BP105" s="273">
        <v>0.11</v>
      </c>
      <c r="BQ105" s="277" cm="1">
        <f t="array" aca="1" ref="BQ105" ca="1">INDIRECT("'"&amp;$C105&amp;"'!"&amp;"$"&amp;$D105&amp;$BQ$1&amp;"")</f>
        <v>0.78</v>
      </c>
      <c r="BR105" s="275"/>
      <c r="BS105" s="275">
        <v>0.97</v>
      </c>
      <c r="BT105" s="273">
        <v>0.2</v>
      </c>
      <c r="BU105" s="358" cm="1">
        <f t="array" aca="1" ref="BU105" ca="1">INDIRECT("'"&amp;$C105&amp;"'!"&amp;"$"&amp;$D105&amp;74&amp;"")</f>
        <v>0</v>
      </c>
      <c r="BV105" s="275"/>
      <c r="BW105" s="275" t="s">
        <v>1</v>
      </c>
      <c r="BX105" s="273" t="s">
        <v>1</v>
      </c>
    </row>
    <row r="106" spans="1:76">
      <c r="A106" s="459">
        <v>45843</v>
      </c>
      <c r="B106" s="345">
        <v>4.1666666666666699E-2</v>
      </c>
      <c r="C106" s="305">
        <v>5</v>
      </c>
      <c r="D106" s="306" t="s">
        <v>143</v>
      </c>
      <c r="E106" s="278">
        <v>14</v>
      </c>
      <c r="F106" s="279">
        <v>69.989999999999995</v>
      </c>
      <c r="G106" s="280" t="str" cm="1">
        <f t="array" aca="1" ref="G106" ca="1">INDIRECT("'"&amp;$C106&amp;"'!"&amp;"$"&amp;$D106&amp;$E$1&amp;"")</f>
        <v>CMS</v>
      </c>
      <c r="H106" s="281" t="s">
        <v>1</v>
      </c>
      <c r="I106" s="279" t="s">
        <v>1</v>
      </c>
      <c r="J106" s="280" cm="1">
        <f t="array" aca="1" ref="J106" ca="1">INDIRECT("'"&amp;$C106&amp;"'!"&amp;"$"&amp;$D106&amp;$J$1&amp;"")</f>
        <v>6.7</v>
      </c>
      <c r="K106" s="281"/>
      <c r="L106" s="281">
        <v>0.96</v>
      </c>
      <c r="M106" s="282">
        <v>1.98</v>
      </c>
      <c r="N106" s="278" cm="1">
        <f t="array" aca="1" ref="N106" ca="1">INDIRECT("'"&amp;$C106&amp;"'!"&amp;"$"&amp;$D106&amp;$N$1&amp;"")</f>
        <v>6.7</v>
      </c>
      <c r="O106" s="281"/>
      <c r="P106" s="281">
        <v>0.96</v>
      </c>
      <c r="Q106" s="279">
        <v>1.99</v>
      </c>
      <c r="R106" s="468" t="str" cm="1">
        <f t="array" aca="1" ref="R106" ca="1">INDIRECT("'"&amp;$C106&amp;"'!"&amp;"$"&amp;$D106&amp;$R$1&amp;"")</f>
        <v>CMS</v>
      </c>
      <c r="S106" s="281"/>
      <c r="T106" s="281" t="s">
        <v>1</v>
      </c>
      <c r="U106" s="279" t="s">
        <v>1</v>
      </c>
      <c r="V106" s="280" t="str" cm="1">
        <f t="array" aca="1" ref="V106" ca="1">INDIRECT("'"&amp;$C106&amp;"'!"&amp;"$"&amp;$D106&amp;$V$1&amp;"")</f>
        <v>CMS</v>
      </c>
      <c r="W106" s="281" t="s">
        <v>1</v>
      </c>
      <c r="X106" s="281" t="s">
        <v>1</v>
      </c>
      <c r="Y106" s="282" t="s">
        <v>1</v>
      </c>
      <c r="Z106" s="278" t="str" cm="1">
        <f t="array" aca="1" ref="Z106" ca="1">INDIRECT("'"&amp;$C106&amp;"'!"&amp;"$"&amp;$D106&amp;$Z$1&amp;"")</f>
        <v>CMS</v>
      </c>
      <c r="AA106" s="281" t="s">
        <v>1</v>
      </c>
      <c r="AB106" s="281" t="s">
        <v>1</v>
      </c>
      <c r="AC106" s="279" t="s">
        <v>1</v>
      </c>
      <c r="AD106" s="280" cm="1">
        <f t="array" aca="1" ref="AD106" ca="1">INDIRECT("'"&amp;$C106&amp;"'!"&amp;"$"&amp;$D106&amp;$AD$1&amp;"")</f>
        <v>0</v>
      </c>
      <c r="AE106" s="281" t="s">
        <v>167</v>
      </c>
      <c r="AF106" s="281" t="s">
        <v>1</v>
      </c>
      <c r="AG106" s="282" t="s">
        <v>1</v>
      </c>
      <c r="AH106" s="278" cm="1">
        <f t="array" aca="1" ref="AH106" ca="1">INDIRECT("'"&amp;$C106&amp;"'!"&amp;"$"&amp;$D106&amp;$AH$1&amp;"")</f>
        <v>0</v>
      </c>
      <c r="AI106" s="281" t="s">
        <v>1</v>
      </c>
      <c r="AJ106" s="281" t="s">
        <v>1</v>
      </c>
      <c r="AK106" s="279" t="s">
        <v>1</v>
      </c>
      <c r="AL106" s="278">
        <v>11.5</v>
      </c>
      <c r="AM106" s="282">
        <v>70.7</v>
      </c>
      <c r="AN106" s="278" cm="1">
        <f t="array" aca="1" ref="AN106" ca="1">INDIRECT("'"&amp;$C106&amp;"'!"&amp;"$"&amp;$D106&amp;$AL$1&amp;"")</f>
        <v>1.5</v>
      </c>
      <c r="AO106" s="281">
        <v>0.94</v>
      </c>
      <c r="AP106" s="279">
        <v>0.77</v>
      </c>
      <c r="AQ106" s="280" cm="1">
        <f t="array" aca="1" ref="AQ106" ca="1">INDIRECT("'"&amp;$C106&amp;"'!"&amp;"$"&amp;$D106&amp;$AQ$1&amp;"")</f>
        <v>0</v>
      </c>
      <c r="AR106" s="281" t="s">
        <v>1</v>
      </c>
      <c r="AS106" s="279" t="s">
        <v>1</v>
      </c>
      <c r="AT106" s="278">
        <v>13.87</v>
      </c>
      <c r="AU106" s="282">
        <v>70.2</v>
      </c>
      <c r="AV106" s="281" cm="1">
        <f t="array" aca="1" ref="AV106" ca="1">INDIRECT("'"&amp;$C106&amp;"'!"&amp;"$"&amp;$D106&amp;$AV$1&amp;"")</f>
        <v>0</v>
      </c>
      <c r="AW106" s="280" t="s">
        <v>1</v>
      </c>
      <c r="AX106" s="281" t="s">
        <v>1</v>
      </c>
      <c r="AY106" s="279" t="s">
        <v>1</v>
      </c>
      <c r="AZ106" s="281" cm="1">
        <f t="array" aca="1" ref="AZ106" ca="1">INDIRECT("'"&amp;$C106&amp;"'!"&amp;"$"&amp;$D106&amp;$AZ$1&amp;"")</f>
        <v>7</v>
      </c>
      <c r="BA106" s="280" t="s">
        <v>1</v>
      </c>
      <c r="BB106" s="281">
        <v>0.98</v>
      </c>
      <c r="BC106" s="279">
        <v>1.2</v>
      </c>
      <c r="BD106" s="283">
        <v>14.05</v>
      </c>
      <c r="BE106" s="282">
        <v>71.53</v>
      </c>
      <c r="BF106" s="283" cm="1">
        <f t="array" aca="1" ref="BF106" ca="1">INDIRECT("'"&amp;$C106&amp;"'!"&amp;"$"&amp;$D106&amp;$BF$1&amp;"")</f>
        <v>14.22</v>
      </c>
      <c r="BG106" s="281">
        <v>1</v>
      </c>
      <c r="BH106" s="279">
        <v>1.3</v>
      </c>
      <c r="BI106" s="524">
        <v>68.7</v>
      </c>
      <c r="BJ106" s="278" cm="1">
        <f t="array" aca="1" ref="BJ106" ca="1">INDIRECT("'"&amp;$C106&amp;"'!"&amp;"$"&amp;$D106&amp;$BI$1&amp;"")</f>
        <v>0</v>
      </c>
      <c r="BK106" s="280" t="s">
        <v>1</v>
      </c>
      <c r="BL106" s="279" t="s">
        <v>1</v>
      </c>
      <c r="BM106" s="283" cm="1">
        <f t="array" aca="1" ref="BM106" ca="1">INDIRECT("'"&amp;$C106&amp;"'!"&amp;"$"&amp;$D106&amp;$BM$1&amp;"")</f>
        <v>0.96</v>
      </c>
      <c r="BN106" s="281"/>
      <c r="BO106" s="281">
        <v>0.99</v>
      </c>
      <c r="BP106" s="279">
        <v>0.13</v>
      </c>
      <c r="BQ106" s="283" cm="1">
        <f t="array" aca="1" ref="BQ106" ca="1">INDIRECT("'"&amp;$C106&amp;"'!"&amp;"$"&amp;$D106&amp;$BQ$1&amp;"")</f>
        <v>0.75</v>
      </c>
      <c r="BR106" s="281"/>
      <c r="BS106" s="281">
        <v>0.97</v>
      </c>
      <c r="BT106" s="279">
        <v>0.19</v>
      </c>
      <c r="BU106" s="284" cm="1">
        <f t="array" aca="1" ref="BU106" ca="1">INDIRECT("'"&amp;$C106&amp;"'!"&amp;"$"&amp;$D106&amp;74&amp;"")</f>
        <v>0</v>
      </c>
      <c r="BV106" s="281"/>
      <c r="BW106" s="281" t="s">
        <v>1</v>
      </c>
      <c r="BX106" s="279" t="s">
        <v>1</v>
      </c>
    </row>
    <row r="107" spans="1:76">
      <c r="A107" s="459">
        <v>45843</v>
      </c>
      <c r="B107" s="345">
        <v>8.3333333333333301E-2</v>
      </c>
      <c r="C107" s="305">
        <v>5</v>
      </c>
      <c r="D107" s="306" t="s">
        <v>144</v>
      </c>
      <c r="E107" s="285">
        <v>14</v>
      </c>
      <c r="F107" s="286">
        <v>70.099999999999994</v>
      </c>
      <c r="G107" s="287" t="str" cm="1">
        <f t="array" aca="1" ref="G107" ca="1">INDIRECT("'"&amp;$C107&amp;"'!"&amp;"$"&amp;$D107&amp;$E$1&amp;"")</f>
        <v>CMS</v>
      </c>
      <c r="H107" s="288" t="s">
        <v>1</v>
      </c>
      <c r="I107" s="286" t="s">
        <v>1</v>
      </c>
      <c r="J107" s="287" cm="1">
        <f t="array" aca="1" ref="J107" ca="1">INDIRECT("'"&amp;$C107&amp;"'!"&amp;"$"&amp;$D107&amp;$J$1&amp;"")</f>
        <v>6.7</v>
      </c>
      <c r="K107" s="288"/>
      <c r="L107" s="288">
        <v>0.97</v>
      </c>
      <c r="M107" s="289">
        <v>1.84</v>
      </c>
      <c r="N107" s="285" cm="1">
        <f t="array" aca="1" ref="N107" ca="1">INDIRECT("'"&amp;$C107&amp;"'!"&amp;"$"&amp;$D107&amp;$N$1&amp;"")</f>
        <v>6.7</v>
      </c>
      <c r="O107" s="288"/>
      <c r="P107" s="288">
        <v>0.97</v>
      </c>
      <c r="Q107" s="286">
        <v>1.84</v>
      </c>
      <c r="R107" s="285" t="str" cm="1">
        <f t="array" aca="1" ref="R107" ca="1">INDIRECT("'"&amp;$C107&amp;"'!"&amp;"$"&amp;$D107&amp;$R$1&amp;"")</f>
        <v>CMS</v>
      </c>
      <c r="S107" s="288"/>
      <c r="T107" s="288" t="s">
        <v>1</v>
      </c>
      <c r="U107" s="286" t="s">
        <v>1</v>
      </c>
      <c r="V107" s="287" t="str" cm="1">
        <f t="array" aca="1" ref="V107" ca="1">INDIRECT("'"&amp;$C107&amp;"'!"&amp;"$"&amp;$D107&amp;$V$1&amp;"")</f>
        <v>CMS</v>
      </c>
      <c r="W107" s="288" t="s">
        <v>1</v>
      </c>
      <c r="X107" s="288" t="s">
        <v>1</v>
      </c>
      <c r="Y107" s="289" t="s">
        <v>1</v>
      </c>
      <c r="Z107" s="278" t="str" cm="1">
        <f t="array" aca="1" ref="Z107" ca="1">INDIRECT("'"&amp;$C107&amp;"'!"&amp;"$"&amp;$D107&amp;$Z$1&amp;"")</f>
        <v>CMS</v>
      </c>
      <c r="AA107" s="288" t="s">
        <v>1</v>
      </c>
      <c r="AB107" s="288" t="s">
        <v>1</v>
      </c>
      <c r="AC107" s="286" t="s">
        <v>1</v>
      </c>
      <c r="AD107" s="287" cm="1">
        <f t="array" aca="1" ref="AD107" ca="1">INDIRECT("'"&amp;$C107&amp;"'!"&amp;"$"&amp;$D107&amp;$AD$1&amp;"")</f>
        <v>0</v>
      </c>
      <c r="AE107" s="288" t="s">
        <v>1</v>
      </c>
      <c r="AF107" s="288" t="s">
        <v>1</v>
      </c>
      <c r="AG107" s="289" t="s">
        <v>1</v>
      </c>
      <c r="AH107" s="285" cm="1">
        <f t="array" aca="1" ref="AH107" ca="1">INDIRECT("'"&amp;$C107&amp;"'!"&amp;"$"&amp;$D107&amp;$AH$1&amp;"")</f>
        <v>0</v>
      </c>
      <c r="AI107" s="288" t="s">
        <v>1</v>
      </c>
      <c r="AJ107" s="288" t="s">
        <v>1</v>
      </c>
      <c r="AK107" s="289" t="s">
        <v>1</v>
      </c>
      <c r="AL107" s="285" t="s">
        <v>1</v>
      </c>
      <c r="AM107" s="289">
        <v>70.5</v>
      </c>
      <c r="AN107" s="285" cm="1">
        <f t="array" aca="1" ref="AN107" ca="1">INDIRECT("'"&amp;$C107&amp;"'!"&amp;"$"&amp;$D107&amp;$AL$1&amp;"")</f>
        <v>0</v>
      </c>
      <c r="AO107" s="288" t="s">
        <v>1</v>
      </c>
      <c r="AP107" s="286" t="s">
        <v>1</v>
      </c>
      <c r="AQ107" s="287" cm="1">
        <f t="array" aca="1" ref="AQ107" ca="1">INDIRECT("'"&amp;$C107&amp;"'!"&amp;"$"&amp;$D107&amp;$AQ$1&amp;"")</f>
        <v>0</v>
      </c>
      <c r="AR107" s="288" t="s">
        <v>1</v>
      </c>
      <c r="AS107" s="286" t="s">
        <v>1</v>
      </c>
      <c r="AT107" s="285">
        <v>13.83</v>
      </c>
      <c r="AU107" s="289">
        <v>70.2</v>
      </c>
      <c r="AV107" s="288" cm="1">
        <f t="array" aca="1" ref="AV107" ca="1">INDIRECT("'"&amp;$C107&amp;"'!"&amp;"$"&amp;$D107&amp;$AV$1&amp;"")</f>
        <v>0</v>
      </c>
      <c r="AW107" s="287" t="s">
        <v>1</v>
      </c>
      <c r="AX107" s="288" t="s">
        <v>1</v>
      </c>
      <c r="AY107" s="286" t="s">
        <v>1</v>
      </c>
      <c r="AZ107" s="288" cm="1">
        <f t="array" aca="1" ref="AZ107" ca="1">INDIRECT("'"&amp;$C107&amp;"'!"&amp;"$"&amp;$D107&amp;$AZ$1&amp;"")</f>
        <v>7</v>
      </c>
      <c r="BA107" s="287" t="s">
        <v>1</v>
      </c>
      <c r="BB107" s="288">
        <v>0.98</v>
      </c>
      <c r="BC107" s="286">
        <v>1.2</v>
      </c>
      <c r="BD107" s="290">
        <v>14.02</v>
      </c>
      <c r="BE107" s="289">
        <v>71.400000000000006</v>
      </c>
      <c r="BF107" s="290" cm="1">
        <f t="array" aca="1" ref="BF107" ca="1">INDIRECT("'"&amp;$C107&amp;"'!"&amp;"$"&amp;$D107&amp;$BF$1&amp;"")</f>
        <v>14.29</v>
      </c>
      <c r="BG107" s="288">
        <v>1</v>
      </c>
      <c r="BH107" s="286">
        <v>1.3</v>
      </c>
      <c r="BI107" s="525">
        <v>68.8</v>
      </c>
      <c r="BJ107" s="285" cm="1">
        <f t="array" aca="1" ref="BJ107" ca="1">INDIRECT("'"&amp;$C107&amp;"'!"&amp;"$"&amp;$D107&amp;$BI$1&amp;"")</f>
        <v>0</v>
      </c>
      <c r="BK107" s="287" t="s">
        <v>1</v>
      </c>
      <c r="BL107" s="286" t="s">
        <v>1</v>
      </c>
      <c r="BM107" s="290" cm="1">
        <f t="array" aca="1" ref="BM107" ca="1">INDIRECT("'"&amp;$C107&amp;"'!"&amp;"$"&amp;$D107&amp;$BM$1&amp;"")</f>
        <v>0.92</v>
      </c>
      <c r="BN107" s="288"/>
      <c r="BO107" s="288">
        <v>0.99</v>
      </c>
      <c r="BP107" s="286">
        <v>0.12</v>
      </c>
      <c r="BQ107" s="290" cm="1">
        <f t="array" aca="1" ref="BQ107" ca="1">INDIRECT("'"&amp;$C107&amp;"'!"&amp;"$"&amp;$D107&amp;$BQ$1&amp;"")</f>
        <v>0.72</v>
      </c>
      <c r="BR107" s="288"/>
      <c r="BS107" s="288">
        <v>0.96</v>
      </c>
      <c r="BT107" s="286">
        <v>0.19</v>
      </c>
      <c r="BU107" s="291" cm="1">
        <f t="array" aca="1" ref="BU107" ca="1">INDIRECT("'"&amp;$C107&amp;"'!"&amp;"$"&amp;$D107&amp;74&amp;"")</f>
        <v>0</v>
      </c>
      <c r="BV107" s="288"/>
      <c r="BW107" s="288" t="s">
        <v>1</v>
      </c>
      <c r="BX107" s="286" t="s">
        <v>1</v>
      </c>
    </row>
    <row r="108" spans="1:76">
      <c r="A108" s="459">
        <v>45843</v>
      </c>
      <c r="B108" s="345">
        <v>0.125</v>
      </c>
      <c r="C108" s="305">
        <v>5</v>
      </c>
      <c r="D108" s="306" t="s">
        <v>145</v>
      </c>
      <c r="E108" s="278">
        <v>14</v>
      </c>
      <c r="F108" s="279">
        <v>70.08</v>
      </c>
      <c r="G108" s="280" t="str" cm="1">
        <f t="array" aca="1" ref="G108" ca="1">INDIRECT("'"&amp;$C108&amp;"'!"&amp;"$"&amp;$D108&amp;$E$1&amp;"")</f>
        <v>CMS</v>
      </c>
      <c r="H108" s="281" t="s">
        <v>1</v>
      </c>
      <c r="I108" s="279" t="s">
        <v>1</v>
      </c>
      <c r="J108" s="280" cm="1">
        <f t="array" aca="1" ref="J108" ca="1">INDIRECT("'"&amp;$C108&amp;"'!"&amp;"$"&amp;$D108&amp;$J$1&amp;"")</f>
        <v>6.4</v>
      </c>
      <c r="K108" s="281"/>
      <c r="L108" s="281">
        <v>0.98</v>
      </c>
      <c r="M108" s="282">
        <v>0.99</v>
      </c>
      <c r="N108" s="278" cm="1">
        <f t="array" aca="1" ref="N108" ca="1">INDIRECT("'"&amp;$C108&amp;"'!"&amp;"$"&amp;$D108&amp;$N$1&amp;"")</f>
        <v>6</v>
      </c>
      <c r="O108" s="281"/>
      <c r="P108" s="281">
        <v>0.98</v>
      </c>
      <c r="Q108" s="279">
        <v>1.3</v>
      </c>
      <c r="R108" s="468" t="str" cm="1">
        <f t="array" aca="1" ref="R108" ca="1">INDIRECT("'"&amp;$C108&amp;"'!"&amp;"$"&amp;$D108&amp;$R$1&amp;"")</f>
        <v>CMS</v>
      </c>
      <c r="S108" s="281"/>
      <c r="T108" s="281" t="s">
        <v>1</v>
      </c>
      <c r="U108" s="279" t="s">
        <v>1</v>
      </c>
      <c r="V108" s="280" t="str" cm="1">
        <f t="array" aca="1" ref="V108" ca="1">INDIRECT("'"&amp;$C108&amp;"'!"&amp;"$"&amp;$D108&amp;$V$1&amp;"")</f>
        <v>CMS</v>
      </c>
      <c r="W108" s="281" t="s">
        <v>1</v>
      </c>
      <c r="X108" s="281" t="s">
        <v>1</v>
      </c>
      <c r="Y108" s="282" t="s">
        <v>1</v>
      </c>
      <c r="Z108" s="278" t="str" cm="1">
        <f t="array" aca="1" ref="Z108" ca="1">INDIRECT("'"&amp;$C108&amp;"'!"&amp;"$"&amp;$D108&amp;$Z$1&amp;"")</f>
        <v>CMS</v>
      </c>
      <c r="AA108" s="281" t="s">
        <v>1</v>
      </c>
      <c r="AB108" s="281" t="s">
        <v>1</v>
      </c>
      <c r="AC108" s="279" t="s">
        <v>1</v>
      </c>
      <c r="AD108" s="280" cm="1">
        <f t="array" aca="1" ref="AD108" ca="1">INDIRECT("'"&amp;$C108&amp;"'!"&amp;"$"&amp;$D108&amp;$AD$1&amp;"")</f>
        <v>0</v>
      </c>
      <c r="AE108" s="281" t="s">
        <v>1</v>
      </c>
      <c r="AF108" s="281" t="s">
        <v>1</v>
      </c>
      <c r="AG108" s="282" t="s">
        <v>1</v>
      </c>
      <c r="AH108" s="278" cm="1">
        <f t="array" aca="1" ref="AH108" ca="1">INDIRECT("'"&amp;$C108&amp;"'!"&amp;"$"&amp;$D108&amp;$AH$1&amp;"")</f>
        <v>0</v>
      </c>
      <c r="AI108" s="281" t="s">
        <v>1</v>
      </c>
      <c r="AJ108" s="281" t="s">
        <v>1</v>
      </c>
      <c r="AK108" s="279" t="s">
        <v>1</v>
      </c>
      <c r="AL108" s="278" t="s">
        <v>1</v>
      </c>
      <c r="AM108" s="282">
        <v>70.5</v>
      </c>
      <c r="AN108" s="278" cm="1">
        <f t="array" aca="1" ref="AN108" ca="1">INDIRECT("'"&amp;$C108&amp;"'!"&amp;"$"&amp;$D108&amp;$AL$1&amp;"")</f>
        <v>0</v>
      </c>
      <c r="AO108" s="281" t="s">
        <v>1</v>
      </c>
      <c r="AP108" s="279" t="s">
        <v>1</v>
      </c>
      <c r="AQ108" s="280" cm="1">
        <f t="array" aca="1" ref="AQ108" ca="1">INDIRECT("'"&amp;$C108&amp;"'!"&amp;"$"&amp;$D108&amp;$AQ$1&amp;"")</f>
        <v>0</v>
      </c>
      <c r="AR108" s="281" t="s">
        <v>1</v>
      </c>
      <c r="AS108" s="279" t="s">
        <v>1</v>
      </c>
      <c r="AT108" s="278">
        <v>13.83</v>
      </c>
      <c r="AU108" s="282">
        <v>70.2</v>
      </c>
      <c r="AV108" s="281" cm="1">
        <f t="array" aca="1" ref="AV108" ca="1">INDIRECT("'"&amp;$C108&amp;"'!"&amp;"$"&amp;$D108&amp;$AV$1&amp;"")</f>
        <v>0</v>
      </c>
      <c r="AW108" s="280" t="s">
        <v>1</v>
      </c>
      <c r="AX108" s="281" t="s">
        <v>1</v>
      </c>
      <c r="AY108" s="279" t="s">
        <v>1</v>
      </c>
      <c r="AZ108" s="281" cm="1">
        <f t="array" aca="1" ref="AZ108" ca="1">INDIRECT("'"&amp;$C108&amp;"'!"&amp;"$"&amp;$D108&amp;$AZ$1&amp;"")</f>
        <v>5.8</v>
      </c>
      <c r="BA108" s="280" t="s">
        <v>1</v>
      </c>
      <c r="BB108" s="281">
        <v>0.98</v>
      </c>
      <c r="BC108" s="279">
        <v>1.2</v>
      </c>
      <c r="BD108" s="283">
        <v>14.04</v>
      </c>
      <c r="BE108" s="282">
        <v>71.41</v>
      </c>
      <c r="BF108" s="283" cm="1">
        <f t="array" aca="1" ref="BF108" ca="1">INDIRECT("'"&amp;$C108&amp;"'!"&amp;"$"&amp;$D108&amp;$BF$1&amp;"")</f>
        <v>14.25</v>
      </c>
      <c r="BG108" s="281">
        <v>1</v>
      </c>
      <c r="BH108" s="279">
        <v>1.3</v>
      </c>
      <c r="BI108" s="524">
        <v>68.8</v>
      </c>
      <c r="BJ108" s="278" cm="1">
        <f t="array" aca="1" ref="BJ108" ca="1">INDIRECT("'"&amp;$C108&amp;"'!"&amp;"$"&amp;$D108&amp;$BI$1&amp;"")</f>
        <v>0</v>
      </c>
      <c r="BK108" s="280" t="s">
        <v>1</v>
      </c>
      <c r="BL108" s="279" t="s">
        <v>1</v>
      </c>
      <c r="BM108" s="283" cm="1">
        <f t="array" aca="1" ref="BM108" ca="1">INDIRECT("'"&amp;$C108&amp;"'!"&amp;"$"&amp;$D108&amp;$BM$1&amp;"")</f>
        <v>0.88</v>
      </c>
      <c r="BN108" s="281"/>
      <c r="BO108" s="281">
        <v>0.99</v>
      </c>
      <c r="BP108" s="279">
        <v>0.11</v>
      </c>
      <c r="BQ108" s="283" cm="1">
        <f t="array" aca="1" ref="BQ108" ca="1">INDIRECT("'"&amp;$C108&amp;"'!"&amp;"$"&amp;$D108&amp;$BQ$1&amp;"")</f>
        <v>0.7</v>
      </c>
      <c r="BR108" s="281"/>
      <c r="BS108" s="281">
        <v>0.96</v>
      </c>
      <c r="BT108" s="279">
        <v>0.18</v>
      </c>
      <c r="BU108" s="284" cm="1">
        <f t="array" aca="1" ref="BU108" ca="1">INDIRECT("'"&amp;$C108&amp;"'!"&amp;"$"&amp;$D108&amp;74&amp;"")</f>
        <v>0</v>
      </c>
      <c r="BV108" s="281"/>
      <c r="BW108" s="281" t="s">
        <v>1</v>
      </c>
      <c r="BX108" s="279" t="s">
        <v>1</v>
      </c>
    </row>
    <row r="109" spans="1:76">
      <c r="A109" s="459">
        <v>45843</v>
      </c>
      <c r="B109" s="345">
        <v>0.16666666666666699</v>
      </c>
      <c r="C109" s="305">
        <v>5</v>
      </c>
      <c r="D109" s="306" t="s">
        <v>146</v>
      </c>
      <c r="E109" s="285">
        <v>14</v>
      </c>
      <c r="F109" s="286">
        <v>69.739999999999995</v>
      </c>
      <c r="G109" s="287" t="str" cm="1">
        <f t="array" aca="1" ref="G109" ca="1">INDIRECT("'"&amp;$C109&amp;"'!"&amp;"$"&amp;$D109&amp;$E$1&amp;"")</f>
        <v>CMS</v>
      </c>
      <c r="H109" s="288" t="s">
        <v>1</v>
      </c>
      <c r="I109" s="286" t="s">
        <v>1</v>
      </c>
      <c r="J109" s="287" cm="1">
        <f t="array" aca="1" ref="J109" ca="1">INDIRECT("'"&amp;$C109&amp;"'!"&amp;"$"&amp;$D109&amp;$J$1&amp;"")</f>
        <v>6.7</v>
      </c>
      <c r="K109" s="288"/>
      <c r="L109" s="288">
        <v>0.92</v>
      </c>
      <c r="M109" s="286">
        <v>2.85</v>
      </c>
      <c r="N109" s="285" t="str" cm="1">
        <f t="array" aca="1" ref="N109" ca="1">INDIRECT("'"&amp;$C109&amp;"'!"&amp;"$"&amp;$D109&amp;$N$1&amp;"")</f>
        <v>CMS</v>
      </c>
      <c r="O109" s="288"/>
      <c r="P109" s="288" t="s">
        <v>1</v>
      </c>
      <c r="Q109" s="286" t="s">
        <v>1</v>
      </c>
      <c r="R109" s="285" t="str" cm="1">
        <f t="array" aca="1" ref="R109" ca="1">INDIRECT("'"&amp;$C109&amp;"'!"&amp;"$"&amp;$D109&amp;$R$1&amp;"")</f>
        <v>CMS</v>
      </c>
      <c r="S109" s="288"/>
      <c r="T109" s="288" t="s">
        <v>1</v>
      </c>
      <c r="U109" s="286" t="s">
        <v>1</v>
      </c>
      <c r="V109" s="287" t="str" cm="1">
        <f t="array" aca="1" ref="V109" ca="1">INDIRECT("'"&amp;$C109&amp;"'!"&amp;"$"&amp;$D109&amp;$V$1&amp;"")</f>
        <v>CMS</v>
      </c>
      <c r="W109" s="288" t="s">
        <v>1</v>
      </c>
      <c r="X109" s="288" t="s">
        <v>1</v>
      </c>
      <c r="Y109" s="289" t="s">
        <v>1</v>
      </c>
      <c r="Z109" s="285" t="str" cm="1">
        <f t="array" aca="1" ref="Z109" ca="1">INDIRECT("'"&amp;$C109&amp;"'!"&amp;"$"&amp;$D109&amp;$Z$1&amp;"")</f>
        <v>CMS</v>
      </c>
      <c r="AA109" s="288" t="s">
        <v>1</v>
      </c>
      <c r="AB109" s="288" t="s">
        <v>1</v>
      </c>
      <c r="AC109" s="286" t="s">
        <v>1</v>
      </c>
      <c r="AD109" s="287" cm="1">
        <f t="array" aca="1" ref="AD109" ca="1">INDIRECT("'"&amp;$C109&amp;"'!"&amp;"$"&amp;$D109&amp;$AD$1&amp;"")</f>
        <v>0</v>
      </c>
      <c r="AE109" s="288" t="s">
        <v>1</v>
      </c>
      <c r="AF109" s="288" t="s">
        <v>1</v>
      </c>
      <c r="AG109" s="289" t="s">
        <v>1</v>
      </c>
      <c r="AH109" s="285" cm="1">
        <f t="array" aca="1" ref="AH109" ca="1">INDIRECT("'"&amp;$C109&amp;"'!"&amp;"$"&amp;$D109&amp;$AH$1&amp;"")</f>
        <v>0</v>
      </c>
      <c r="AI109" s="288" t="s">
        <v>1</v>
      </c>
      <c r="AJ109" s="288" t="s">
        <v>1</v>
      </c>
      <c r="AK109" s="286" t="s">
        <v>1</v>
      </c>
      <c r="AL109" s="285">
        <v>11.6</v>
      </c>
      <c r="AM109" s="289">
        <v>70.7</v>
      </c>
      <c r="AN109" s="285" cm="1">
        <f t="array" aca="1" ref="AN109" ca="1">INDIRECT("'"&amp;$C109&amp;"'!"&amp;"$"&amp;$D109&amp;$AL$1&amp;"")</f>
        <v>0</v>
      </c>
      <c r="AO109" s="288" t="s">
        <v>1</v>
      </c>
      <c r="AP109" s="286" t="s">
        <v>1</v>
      </c>
      <c r="AQ109" s="287" cm="1">
        <f t="array" aca="1" ref="AQ109" ca="1">INDIRECT("'"&amp;$C109&amp;"'!"&amp;"$"&amp;$D109&amp;$AQ$1&amp;"")</f>
        <v>3.8</v>
      </c>
      <c r="AR109" s="288">
        <v>0.99</v>
      </c>
      <c r="AS109" s="286">
        <v>0.47</v>
      </c>
      <c r="AT109" s="285">
        <v>13.86</v>
      </c>
      <c r="AU109" s="289">
        <v>70.3</v>
      </c>
      <c r="AV109" s="288" cm="1">
        <f t="array" aca="1" ref="AV109" ca="1">INDIRECT("'"&amp;$C109&amp;"'!"&amp;"$"&amp;$D109&amp;$AV$1&amp;"")</f>
        <v>0</v>
      </c>
      <c r="AW109" s="287" t="s">
        <v>1</v>
      </c>
      <c r="AX109" s="288" t="s">
        <v>1</v>
      </c>
      <c r="AY109" s="286" t="s">
        <v>1</v>
      </c>
      <c r="AZ109" s="288" cm="1">
        <f t="array" aca="1" ref="AZ109" ca="1">INDIRECT("'"&amp;$C109&amp;"'!"&amp;"$"&amp;$D109&amp;$AZ$1&amp;"")</f>
        <v>7.2</v>
      </c>
      <c r="BA109" s="287" t="s">
        <v>1</v>
      </c>
      <c r="BB109" s="288">
        <v>0.99</v>
      </c>
      <c r="BC109" s="286">
        <v>0.94</v>
      </c>
      <c r="BD109" s="290">
        <v>14.08</v>
      </c>
      <c r="BE109" s="289">
        <v>71.61</v>
      </c>
      <c r="BF109" s="290" cm="1">
        <f t="array" aca="1" ref="BF109" ca="1">INDIRECT("'"&amp;$C109&amp;"'!"&amp;"$"&amp;$D109&amp;$BF$1&amp;"")</f>
        <v>14.26</v>
      </c>
      <c r="BG109" s="288">
        <v>1</v>
      </c>
      <c r="BH109" s="286">
        <v>1.3</v>
      </c>
      <c r="BI109" s="525">
        <v>68.5</v>
      </c>
      <c r="BJ109" s="285" cm="1">
        <f t="array" aca="1" ref="BJ109" ca="1">INDIRECT("'"&amp;$C109&amp;"'!"&amp;"$"&amp;$D109&amp;$BI$1&amp;"")</f>
        <v>0.8</v>
      </c>
      <c r="BK109" s="287" t="s">
        <v>1</v>
      </c>
      <c r="BL109" s="286" t="s">
        <v>1</v>
      </c>
      <c r="BM109" s="290" cm="1">
        <f t="array" aca="1" ref="BM109" ca="1">INDIRECT("'"&amp;$C109&amp;"'!"&amp;"$"&amp;$D109&amp;$BM$1&amp;"")</f>
        <v>0.87</v>
      </c>
      <c r="BN109" s="288"/>
      <c r="BO109" s="288">
        <v>0.99</v>
      </c>
      <c r="BP109" s="286">
        <v>0.11</v>
      </c>
      <c r="BQ109" s="290" cm="1">
        <f t="array" aca="1" ref="BQ109" ca="1">INDIRECT("'"&amp;$C109&amp;"'!"&amp;"$"&amp;$D109&amp;$BQ$1&amp;"")</f>
        <v>0.68</v>
      </c>
      <c r="BR109" s="288"/>
      <c r="BS109" s="288">
        <v>0.97</v>
      </c>
      <c r="BT109" s="286">
        <v>0.17</v>
      </c>
      <c r="BU109" s="291" cm="1">
        <f t="array" aca="1" ref="BU109" ca="1">INDIRECT("'"&amp;$C109&amp;"'!"&amp;"$"&amp;$D109&amp;74&amp;"")</f>
        <v>0</v>
      </c>
      <c r="BV109" s="288"/>
      <c r="BW109" s="288" t="s">
        <v>1</v>
      </c>
      <c r="BX109" s="286" t="s">
        <v>1</v>
      </c>
    </row>
    <row r="110" spans="1:76">
      <c r="A110" s="459">
        <v>45843</v>
      </c>
      <c r="B110" s="345">
        <v>0.20833333333333301</v>
      </c>
      <c r="C110" s="305">
        <v>5</v>
      </c>
      <c r="D110" s="306" t="s">
        <v>147</v>
      </c>
      <c r="E110" s="278">
        <v>14</v>
      </c>
      <c r="F110" s="279">
        <v>69.7</v>
      </c>
      <c r="G110" s="280" t="str" cm="1">
        <f t="array" aca="1" ref="G110" ca="1">INDIRECT("'"&amp;$C110&amp;"'!"&amp;"$"&amp;$D110&amp;$E$1&amp;"")</f>
        <v>CMS</v>
      </c>
      <c r="H110" s="281" t="s">
        <v>1</v>
      </c>
      <c r="I110" s="279" t="s">
        <v>1</v>
      </c>
      <c r="J110" s="280" cm="1">
        <f t="array" aca="1" ref="J110" ca="1">INDIRECT("'"&amp;$C110&amp;"'!"&amp;"$"&amp;$D110&amp;$J$1&amp;"")</f>
        <v>6.7</v>
      </c>
      <c r="K110" s="281"/>
      <c r="L110" s="281">
        <v>0.92</v>
      </c>
      <c r="M110" s="279">
        <v>2.79</v>
      </c>
      <c r="N110" s="278" t="str" cm="1">
        <f t="array" aca="1" ref="N110" ca="1">INDIRECT("'"&amp;$C110&amp;"'!"&amp;"$"&amp;$D110&amp;$N$1&amp;"")</f>
        <v>CMS</v>
      </c>
      <c r="O110" s="281"/>
      <c r="P110" s="281" t="s">
        <v>1</v>
      </c>
      <c r="Q110" s="279" t="s">
        <v>1</v>
      </c>
      <c r="R110" s="468" t="str" cm="1">
        <f t="array" aca="1" ref="R110" ca="1">INDIRECT("'"&amp;$C110&amp;"'!"&amp;"$"&amp;$D110&amp;$R$1&amp;"")</f>
        <v>CMS</v>
      </c>
      <c r="S110" s="281"/>
      <c r="T110" s="281" t="s">
        <v>1</v>
      </c>
      <c r="U110" s="279" t="s">
        <v>1</v>
      </c>
      <c r="V110" s="280" t="str" cm="1">
        <f t="array" aca="1" ref="V110" ca="1">INDIRECT("'"&amp;$C110&amp;"'!"&amp;"$"&amp;$D110&amp;$V$1&amp;"")</f>
        <v>CMS</v>
      </c>
      <c r="W110" s="281" t="s">
        <v>1</v>
      </c>
      <c r="X110" s="281" t="s">
        <v>1</v>
      </c>
      <c r="Y110" s="282" t="s">
        <v>1</v>
      </c>
      <c r="Z110" s="278" t="str" cm="1">
        <f t="array" aca="1" ref="Z110" ca="1">INDIRECT("'"&amp;$C110&amp;"'!"&amp;"$"&amp;$D110&amp;$Z$1&amp;"")</f>
        <v>CMS</v>
      </c>
      <c r="AA110" s="281" t="s">
        <v>1</v>
      </c>
      <c r="AB110" s="281" t="s">
        <v>1</v>
      </c>
      <c r="AC110" s="279" t="s">
        <v>1</v>
      </c>
      <c r="AD110" s="280" cm="1">
        <f t="array" aca="1" ref="AD110" ca="1">INDIRECT("'"&amp;$C110&amp;"'!"&amp;"$"&amp;$D110&amp;$AD$1&amp;"")</f>
        <v>0</v>
      </c>
      <c r="AE110" s="281" t="s">
        <v>1</v>
      </c>
      <c r="AF110" s="281" t="s">
        <v>1</v>
      </c>
      <c r="AG110" s="282" t="s">
        <v>1</v>
      </c>
      <c r="AH110" s="278" cm="1">
        <f t="array" aca="1" ref="AH110" ca="1">INDIRECT("'"&amp;$C110&amp;"'!"&amp;"$"&amp;$D110&amp;$AH$1&amp;"")</f>
        <v>0</v>
      </c>
      <c r="AI110" s="281" t="s">
        <v>1</v>
      </c>
      <c r="AJ110" s="281" t="s">
        <v>1</v>
      </c>
      <c r="AK110" s="279" t="s">
        <v>1</v>
      </c>
      <c r="AL110" s="278">
        <v>11.6</v>
      </c>
      <c r="AM110" s="282">
        <v>70.7</v>
      </c>
      <c r="AN110" s="278" cm="1">
        <f t="array" aca="1" ref="AN110" ca="1">INDIRECT("'"&amp;$C110&amp;"'!"&amp;"$"&amp;$D110&amp;$AL$1&amp;"")</f>
        <v>0</v>
      </c>
      <c r="AO110" s="281" t="s">
        <v>1</v>
      </c>
      <c r="AP110" s="279" t="s">
        <v>1</v>
      </c>
      <c r="AQ110" s="280" cm="1">
        <f t="array" aca="1" ref="AQ110" ca="1">INDIRECT("'"&amp;$C110&amp;"'!"&amp;"$"&amp;$D110&amp;$AQ$1&amp;"")</f>
        <v>3.9</v>
      </c>
      <c r="AR110" s="281">
        <v>0.99</v>
      </c>
      <c r="AS110" s="279">
        <v>0.54</v>
      </c>
      <c r="AT110" s="278">
        <v>13.86</v>
      </c>
      <c r="AU110" s="282">
        <v>70.2</v>
      </c>
      <c r="AV110" s="281" cm="1">
        <f t="array" aca="1" ref="AV110" ca="1">INDIRECT("'"&amp;$C110&amp;"'!"&amp;"$"&amp;$D110&amp;$AV$1&amp;"")</f>
        <v>0</v>
      </c>
      <c r="AW110" s="280" t="s">
        <v>1</v>
      </c>
      <c r="AX110" s="281" t="s">
        <v>1</v>
      </c>
      <c r="AY110" s="279" t="s">
        <v>1</v>
      </c>
      <c r="AZ110" s="281" cm="1">
        <f t="array" aca="1" ref="AZ110" ca="1">INDIRECT("'"&amp;$C110&amp;"'!"&amp;"$"&amp;$D110&amp;$AZ$1&amp;"")</f>
        <v>7.2</v>
      </c>
      <c r="BA110" s="280" t="s">
        <v>1</v>
      </c>
      <c r="BB110" s="281">
        <v>0.99</v>
      </c>
      <c r="BC110" s="279">
        <v>0.9</v>
      </c>
      <c r="BD110" s="283">
        <v>14.07</v>
      </c>
      <c r="BE110" s="282">
        <v>71.61</v>
      </c>
      <c r="BF110" s="283" cm="1">
        <f t="array" aca="1" ref="BF110" ca="1">INDIRECT("'"&amp;$C110&amp;"'!"&amp;"$"&amp;$D110&amp;$BF$1&amp;"")</f>
        <v>14.28</v>
      </c>
      <c r="BG110" s="281">
        <v>1</v>
      </c>
      <c r="BH110" s="279">
        <v>1.2</v>
      </c>
      <c r="BI110" s="524">
        <v>68.599999999999994</v>
      </c>
      <c r="BJ110" s="278" cm="1">
        <f t="array" aca="1" ref="BJ110" ca="1">INDIRECT("'"&amp;$C110&amp;"'!"&amp;"$"&amp;$D110&amp;$BI$1&amp;"")</f>
        <v>1.5</v>
      </c>
      <c r="BK110" s="280">
        <v>0.98</v>
      </c>
      <c r="BL110" s="279">
        <v>0.28999999999999998</v>
      </c>
      <c r="BM110" s="283" cm="1">
        <f t="array" aca="1" ref="BM110" ca="1">INDIRECT("'"&amp;$C110&amp;"'!"&amp;"$"&amp;$D110&amp;$BM$1&amp;"")</f>
        <v>0.88</v>
      </c>
      <c r="BN110" s="281"/>
      <c r="BO110" s="281">
        <v>0.99</v>
      </c>
      <c r="BP110" s="279">
        <v>0.11</v>
      </c>
      <c r="BQ110" s="283" cm="1">
        <f t="array" aca="1" ref="BQ110" ca="1">INDIRECT("'"&amp;$C110&amp;"'!"&amp;"$"&amp;$D110&amp;$BQ$1&amp;"")</f>
        <v>0.7</v>
      </c>
      <c r="BR110" s="281"/>
      <c r="BS110" s="281">
        <v>0.97</v>
      </c>
      <c r="BT110" s="279">
        <v>0.18</v>
      </c>
      <c r="BU110" s="284" cm="1">
        <f t="array" aca="1" ref="BU110" ca="1">INDIRECT("'"&amp;$C110&amp;"'!"&amp;"$"&amp;$D110&amp;74&amp;"")</f>
        <v>0</v>
      </c>
      <c r="BV110" s="281"/>
      <c r="BW110" s="281" t="s">
        <v>1</v>
      </c>
      <c r="BX110" s="279" t="s">
        <v>1</v>
      </c>
    </row>
    <row r="111" spans="1:76">
      <c r="A111" s="459">
        <v>45843</v>
      </c>
      <c r="B111" s="345">
        <v>0.25</v>
      </c>
      <c r="C111" s="305">
        <v>5</v>
      </c>
      <c r="D111" s="306" t="s">
        <v>148</v>
      </c>
      <c r="E111" s="285">
        <v>14.1</v>
      </c>
      <c r="F111" s="286">
        <v>69.69</v>
      </c>
      <c r="G111" s="287" t="str" cm="1">
        <f t="array" aca="1" ref="G111" ca="1">INDIRECT("'"&amp;$C111&amp;"'!"&amp;"$"&amp;$D111&amp;$E$1&amp;"")</f>
        <v>CMS</v>
      </c>
      <c r="H111" s="288" t="s">
        <v>1</v>
      </c>
      <c r="I111" s="286" t="s">
        <v>1</v>
      </c>
      <c r="J111" s="287" cm="1">
        <f t="array" aca="1" ref="J111" ca="1">INDIRECT("'"&amp;$C111&amp;"'!"&amp;"$"&amp;$D111&amp;$J$1&amp;"")</f>
        <v>6.8</v>
      </c>
      <c r="K111" s="288"/>
      <c r="L111" s="288">
        <v>0.92</v>
      </c>
      <c r="M111" s="286">
        <v>2.82</v>
      </c>
      <c r="N111" s="285" t="str" cm="1">
        <f t="array" aca="1" ref="N111" ca="1">INDIRECT("'"&amp;$C111&amp;"'!"&amp;"$"&amp;$D111&amp;$N$1&amp;"")</f>
        <v>CMS</v>
      </c>
      <c r="O111" s="288"/>
      <c r="P111" s="288" t="s">
        <v>1</v>
      </c>
      <c r="Q111" s="286" t="s">
        <v>1</v>
      </c>
      <c r="R111" s="285" t="str" cm="1">
        <f t="array" aca="1" ref="R111" ca="1">INDIRECT("'"&amp;$C111&amp;"'!"&amp;"$"&amp;$D111&amp;$R$1&amp;"")</f>
        <v>CMS</v>
      </c>
      <c r="S111" s="288"/>
      <c r="T111" s="288" t="s">
        <v>1</v>
      </c>
      <c r="U111" s="286" t="s">
        <v>1</v>
      </c>
      <c r="V111" s="287" t="str" cm="1">
        <f t="array" aca="1" ref="V111" ca="1">INDIRECT("'"&amp;$C111&amp;"'!"&amp;"$"&amp;$D111&amp;$V$1&amp;"")</f>
        <v>CMS</v>
      </c>
      <c r="W111" s="288" t="s">
        <v>1</v>
      </c>
      <c r="X111" s="288" t="s">
        <v>1</v>
      </c>
      <c r="Y111" s="289" t="s">
        <v>1</v>
      </c>
      <c r="Z111" s="285" t="str" cm="1">
        <f t="array" aca="1" ref="Z111" ca="1">INDIRECT("'"&amp;$C111&amp;"'!"&amp;"$"&amp;$D111&amp;$Z$1&amp;"")</f>
        <v>CMS</v>
      </c>
      <c r="AA111" s="288" t="s">
        <v>1</v>
      </c>
      <c r="AB111" s="288" t="s">
        <v>1</v>
      </c>
      <c r="AC111" s="286" t="s">
        <v>1</v>
      </c>
      <c r="AD111" s="287" cm="1">
        <f t="array" aca="1" ref="AD111" ca="1">INDIRECT("'"&amp;$C111&amp;"'!"&amp;"$"&amp;$D111&amp;$AD$1&amp;"")</f>
        <v>0</v>
      </c>
      <c r="AE111" s="288" t="s">
        <v>1</v>
      </c>
      <c r="AF111" s="288" t="s">
        <v>1</v>
      </c>
      <c r="AG111" s="289" t="s">
        <v>1</v>
      </c>
      <c r="AH111" s="285" cm="1">
        <f t="array" aca="1" ref="AH111" ca="1">INDIRECT("'"&amp;$C111&amp;"'!"&amp;"$"&amp;$D111&amp;$AH$1&amp;"")</f>
        <v>0</v>
      </c>
      <c r="AI111" s="288" t="s">
        <v>1</v>
      </c>
      <c r="AJ111" s="288" t="s">
        <v>1</v>
      </c>
      <c r="AK111" s="286" t="s">
        <v>1</v>
      </c>
      <c r="AL111" s="285">
        <v>11.6</v>
      </c>
      <c r="AM111" s="289">
        <v>70.5</v>
      </c>
      <c r="AN111" s="285" cm="1">
        <f t="array" aca="1" ref="AN111" ca="1">INDIRECT("'"&amp;$C111&amp;"'!"&amp;"$"&amp;$D111&amp;$AL$1&amp;"")</f>
        <v>0</v>
      </c>
      <c r="AO111" s="288" t="s">
        <v>1</v>
      </c>
      <c r="AP111" s="286" t="s">
        <v>1</v>
      </c>
      <c r="AQ111" s="287" cm="1">
        <f t="array" aca="1" ref="AQ111" ca="1">INDIRECT("'"&amp;$C111&amp;"'!"&amp;"$"&amp;$D111&amp;$AQ$1&amp;"")</f>
        <v>4</v>
      </c>
      <c r="AR111" s="288" t="s">
        <v>1</v>
      </c>
      <c r="AS111" s="286" t="s">
        <v>1</v>
      </c>
      <c r="AT111" s="285">
        <v>13.85</v>
      </c>
      <c r="AU111" s="289">
        <v>70.3</v>
      </c>
      <c r="AV111" s="288" cm="1">
        <f t="array" aca="1" ref="AV111" ca="1">INDIRECT("'"&amp;$C111&amp;"'!"&amp;"$"&amp;$D111&amp;$AV$1&amp;"")</f>
        <v>0</v>
      </c>
      <c r="AW111" s="287" t="s">
        <v>1</v>
      </c>
      <c r="AX111" s="288" t="s">
        <v>1</v>
      </c>
      <c r="AY111" s="286" t="s">
        <v>1</v>
      </c>
      <c r="AZ111" s="288" cm="1">
        <f t="array" aca="1" ref="AZ111" ca="1">INDIRECT("'"&amp;$C111&amp;"'!"&amp;"$"&amp;$D111&amp;$AZ$1&amp;"")</f>
        <v>7.4</v>
      </c>
      <c r="BA111" s="287" t="s">
        <v>1</v>
      </c>
      <c r="BB111" s="288">
        <v>0.99</v>
      </c>
      <c r="BC111" s="286">
        <v>1.1000000000000001</v>
      </c>
      <c r="BD111" s="285">
        <v>14.02</v>
      </c>
      <c r="BE111" s="289">
        <v>71.41</v>
      </c>
      <c r="BF111" s="290" cm="1">
        <f t="array" aca="1" ref="BF111" ca="1">INDIRECT("'"&amp;$C111&amp;"'!"&amp;"$"&amp;$D111&amp;$BF$1&amp;"")</f>
        <v>14.27</v>
      </c>
      <c r="BG111" s="288">
        <v>1</v>
      </c>
      <c r="BH111" s="286">
        <v>1.3</v>
      </c>
      <c r="BI111" s="525">
        <v>68.5</v>
      </c>
      <c r="BJ111" s="285" cm="1">
        <f t="array" aca="1" ref="BJ111" ca="1">INDIRECT("'"&amp;$C111&amp;"'!"&amp;"$"&amp;$D111&amp;$BI$1&amp;"")</f>
        <v>3.8000000000000007</v>
      </c>
      <c r="BK111" s="287">
        <v>0.96</v>
      </c>
      <c r="BL111" s="286">
        <v>1.1000000000000001</v>
      </c>
      <c r="BM111" s="290" cm="1">
        <f t="array" aca="1" ref="BM111" ca="1">INDIRECT("'"&amp;$C111&amp;"'!"&amp;"$"&amp;$D111&amp;$BM$1&amp;"")</f>
        <v>0.94</v>
      </c>
      <c r="BN111" s="288"/>
      <c r="BO111" s="288">
        <v>0.99</v>
      </c>
      <c r="BP111" s="286">
        <v>0.11</v>
      </c>
      <c r="BQ111" s="290" cm="1">
        <f t="array" aca="1" ref="BQ111" ca="1">INDIRECT("'"&amp;$C111&amp;"'!"&amp;"$"&amp;$D111&amp;$BQ$1&amp;"")</f>
        <v>0.75</v>
      </c>
      <c r="BR111" s="288"/>
      <c r="BS111" s="288">
        <v>0.96</v>
      </c>
      <c r="BT111" s="286">
        <v>0.22</v>
      </c>
      <c r="BU111" s="291" cm="1">
        <f t="array" aca="1" ref="BU111" ca="1">INDIRECT("'"&amp;$C111&amp;"'!"&amp;"$"&amp;$D111&amp;74&amp;"")</f>
        <v>0</v>
      </c>
      <c r="BV111" s="288"/>
      <c r="BW111" s="288" t="s">
        <v>1</v>
      </c>
      <c r="BX111" s="286" t="s">
        <v>1</v>
      </c>
    </row>
    <row r="112" spans="1:76">
      <c r="A112" s="459">
        <v>45843</v>
      </c>
      <c r="B112" s="345">
        <v>0.29166666666666702</v>
      </c>
      <c r="C112" s="305">
        <v>5</v>
      </c>
      <c r="D112" s="306" t="s">
        <v>149</v>
      </c>
      <c r="E112" s="278">
        <v>14</v>
      </c>
      <c r="F112" s="279">
        <v>69.41</v>
      </c>
      <c r="G112" s="280" t="str" cm="1">
        <f t="array" aca="1" ref="G112" ca="1">INDIRECT("'"&amp;$C112&amp;"'!"&amp;"$"&amp;$D112&amp;$E$1&amp;"")</f>
        <v>CMS</v>
      </c>
      <c r="H112" s="281" t="s">
        <v>1</v>
      </c>
      <c r="I112" s="279" t="s">
        <v>1</v>
      </c>
      <c r="J112" s="280" cm="1">
        <f t="array" aca="1" ref="J112" ca="1">INDIRECT("'"&amp;$C112&amp;"'!"&amp;"$"&amp;$D112&amp;$J$1&amp;"")</f>
        <v>5.8</v>
      </c>
      <c r="K112" s="281"/>
      <c r="L112" s="281">
        <v>0.92</v>
      </c>
      <c r="M112" s="282">
        <v>2.42</v>
      </c>
      <c r="N112" s="278" cm="1">
        <f t="array" aca="1" ref="N112" ca="1">INDIRECT("'"&amp;$C112&amp;"'!"&amp;"$"&amp;$D112&amp;$N$1&amp;"")</f>
        <v>3</v>
      </c>
      <c r="O112" s="281"/>
      <c r="P112" s="281">
        <v>0.96</v>
      </c>
      <c r="Q112" s="279">
        <v>0.83</v>
      </c>
      <c r="R112" s="468" t="str" cm="1">
        <f t="array" aca="1" ref="R112" ca="1">INDIRECT("'"&amp;$C112&amp;"'!"&amp;"$"&amp;$D112&amp;$R$1&amp;"")</f>
        <v>CMS</v>
      </c>
      <c r="S112" s="281"/>
      <c r="T112" s="281" t="s">
        <v>1</v>
      </c>
      <c r="U112" s="279" t="s">
        <v>1</v>
      </c>
      <c r="V112" s="280" t="str" cm="1">
        <f t="array" aca="1" ref="V112" ca="1">INDIRECT("'"&amp;$C112&amp;"'!"&amp;"$"&amp;$D112&amp;$V$1&amp;"")</f>
        <v>CMS</v>
      </c>
      <c r="W112" s="281" t="s">
        <v>1</v>
      </c>
      <c r="X112" s="281" t="s">
        <v>1</v>
      </c>
      <c r="Y112" s="282" t="s">
        <v>1</v>
      </c>
      <c r="Z112" s="278" t="str" cm="1">
        <f t="array" aca="1" ref="Z112" ca="1">INDIRECT("'"&amp;$C112&amp;"'!"&amp;"$"&amp;$D112&amp;$Z$1&amp;"")</f>
        <v>CMS</v>
      </c>
      <c r="AA112" s="281" t="s">
        <v>1</v>
      </c>
      <c r="AB112" s="281" t="s">
        <v>1</v>
      </c>
      <c r="AC112" s="279" t="s">
        <v>1</v>
      </c>
      <c r="AD112" s="280" cm="1">
        <f t="array" aca="1" ref="AD112" ca="1">INDIRECT("'"&amp;$C112&amp;"'!"&amp;"$"&amp;$D112&amp;$AD$1&amp;"")</f>
        <v>0</v>
      </c>
      <c r="AE112" s="281" t="s">
        <v>1</v>
      </c>
      <c r="AF112" s="281" t="s">
        <v>1</v>
      </c>
      <c r="AG112" s="282" t="s">
        <v>1</v>
      </c>
      <c r="AH112" s="278" cm="1">
        <f t="array" aca="1" ref="AH112" ca="1">INDIRECT("'"&amp;$C112&amp;"'!"&amp;"$"&amp;$D112&amp;$AH$1&amp;"")</f>
        <v>0</v>
      </c>
      <c r="AI112" s="281" t="s">
        <v>1</v>
      </c>
      <c r="AJ112" s="281" t="s">
        <v>1</v>
      </c>
      <c r="AK112" s="279" t="s">
        <v>1</v>
      </c>
      <c r="AL112" s="278">
        <v>11.6</v>
      </c>
      <c r="AM112" s="282">
        <v>70.400000000000006</v>
      </c>
      <c r="AN112" s="278" cm="1">
        <f t="array" aca="1" ref="AN112" ca="1">INDIRECT("'"&amp;$C112&amp;"'!"&amp;"$"&amp;$D112&amp;$AL$1&amp;"")</f>
        <v>0</v>
      </c>
      <c r="AO112" s="281" t="s">
        <v>1</v>
      </c>
      <c r="AP112" s="279" t="s">
        <v>1</v>
      </c>
      <c r="AQ112" s="280" cm="1">
        <f t="array" aca="1" ref="AQ112" ca="1">INDIRECT("'"&amp;$C112&amp;"'!"&amp;"$"&amp;$D112&amp;$AQ$1&amp;"")</f>
        <v>3.8</v>
      </c>
      <c r="AR112" s="281">
        <v>0.98</v>
      </c>
      <c r="AS112" s="279">
        <v>0.75</v>
      </c>
      <c r="AT112" s="278">
        <v>13.83</v>
      </c>
      <c r="AU112" s="282">
        <v>70.2</v>
      </c>
      <c r="AV112" s="281" cm="1">
        <f t="array" aca="1" ref="AV112" ca="1">INDIRECT("'"&amp;$C112&amp;"'!"&amp;"$"&amp;$D112&amp;$AV$1&amp;"")</f>
        <v>0</v>
      </c>
      <c r="AW112" s="280" t="s">
        <v>1</v>
      </c>
      <c r="AX112" s="281" t="s">
        <v>1</v>
      </c>
      <c r="AY112" s="279" t="s">
        <v>1</v>
      </c>
      <c r="AZ112" s="281" cm="1">
        <f t="array" aca="1" ref="AZ112" ca="1">INDIRECT("'"&amp;$C112&amp;"'!"&amp;"$"&amp;$D112&amp;$AZ$1&amp;"")</f>
        <v>7</v>
      </c>
      <c r="BA112" s="280" t="s">
        <v>1</v>
      </c>
      <c r="BB112" s="281">
        <v>0.98</v>
      </c>
      <c r="BC112" s="279">
        <v>1.3</v>
      </c>
      <c r="BD112" s="283">
        <v>13.99</v>
      </c>
      <c r="BE112" s="282">
        <v>71.209999999999994</v>
      </c>
      <c r="BF112" s="283" cm="1">
        <f t="array" aca="1" ref="BF112" ca="1">INDIRECT("'"&amp;$C112&amp;"'!"&amp;"$"&amp;$D112&amp;$BF$1&amp;"")</f>
        <v>14.31</v>
      </c>
      <c r="BG112" s="281">
        <v>1</v>
      </c>
      <c r="BH112" s="279">
        <v>1.3</v>
      </c>
      <c r="BI112" s="524">
        <v>68.2</v>
      </c>
      <c r="BJ112" s="278" cm="1">
        <f t="array" aca="1" ref="BJ112" ca="1">INDIRECT("'"&amp;$C112&amp;"'!"&amp;"$"&amp;$D112&amp;$BI$1&amp;"")</f>
        <v>2.2999999999999998</v>
      </c>
      <c r="BK112" s="280">
        <v>0.96</v>
      </c>
      <c r="BL112" s="279">
        <v>0.65</v>
      </c>
      <c r="BM112" s="283" cm="1">
        <f t="array" aca="1" ref="BM112" ca="1">INDIRECT("'"&amp;$C112&amp;"'!"&amp;"$"&amp;$D112&amp;$BM$1&amp;"")</f>
        <v>1</v>
      </c>
      <c r="BN112" s="281"/>
      <c r="BO112" s="281">
        <v>0.99</v>
      </c>
      <c r="BP112" s="279">
        <v>0.14000000000000001</v>
      </c>
      <c r="BQ112" s="284" cm="1">
        <f t="array" aca="1" ref="BQ112" ca="1">INDIRECT("'"&amp;$C112&amp;"'!"&amp;"$"&amp;$D112&amp;$BQ$1&amp;"")</f>
        <v>0.71</v>
      </c>
      <c r="BR112" s="281"/>
      <c r="BS112" s="281">
        <v>0.96</v>
      </c>
      <c r="BT112" s="279">
        <v>0.19</v>
      </c>
      <c r="BU112" s="284" cm="1">
        <f t="array" aca="1" ref="BU112" ca="1">INDIRECT("'"&amp;$C112&amp;"'!"&amp;"$"&amp;$D112&amp;74&amp;"")</f>
        <v>0</v>
      </c>
      <c r="BV112" s="281"/>
      <c r="BW112" s="281" t="s">
        <v>1</v>
      </c>
      <c r="BX112" s="279" t="s">
        <v>1</v>
      </c>
    </row>
    <row r="113" spans="1:76">
      <c r="A113" s="459">
        <v>45843</v>
      </c>
      <c r="B113" s="345">
        <v>0.33333333333333398</v>
      </c>
      <c r="C113" s="305">
        <v>5</v>
      </c>
      <c r="D113" s="306" t="s">
        <v>150</v>
      </c>
      <c r="E113" s="285">
        <v>14</v>
      </c>
      <c r="F113" s="286">
        <v>69.290000000000006</v>
      </c>
      <c r="G113" s="287" t="str" cm="1">
        <f t="array" aca="1" ref="G113" ca="1">INDIRECT("'"&amp;$C113&amp;"'!"&amp;"$"&amp;$D113&amp;$E$1&amp;"")</f>
        <v>CMS</v>
      </c>
      <c r="H113" s="288" t="s">
        <v>1</v>
      </c>
      <c r="I113" s="286" t="s">
        <v>1</v>
      </c>
      <c r="J113" s="287" cm="1">
        <f t="array" aca="1" ref="J113" ca="1">INDIRECT("'"&amp;$C113&amp;"'!"&amp;"$"&amp;$D113&amp;$J$1&amp;"")</f>
        <v>7.1</v>
      </c>
      <c r="K113" s="288"/>
      <c r="L113" s="288">
        <v>0.96</v>
      </c>
      <c r="M113" s="289">
        <v>2.0099999999999998</v>
      </c>
      <c r="N113" s="285" cm="1">
        <f t="array" aca="1" ref="N113" ca="1">INDIRECT("'"&amp;$C113&amp;"'!"&amp;"$"&amp;$D113&amp;$N$1&amp;"")</f>
        <v>7.1</v>
      </c>
      <c r="O113" s="288"/>
      <c r="P113" s="288">
        <v>0.96</v>
      </c>
      <c r="Q113" s="286">
        <v>2.04</v>
      </c>
      <c r="R113" s="285" t="str" cm="1">
        <f t="array" aca="1" ref="R113" ca="1">INDIRECT("'"&amp;$C113&amp;"'!"&amp;"$"&amp;$D113&amp;$R$1&amp;"")</f>
        <v>CMS</v>
      </c>
      <c r="S113" s="288"/>
      <c r="T113" s="288" t="s">
        <v>1</v>
      </c>
      <c r="U113" s="286" t="s">
        <v>1</v>
      </c>
      <c r="V113" s="287" t="str" cm="1">
        <f t="array" aca="1" ref="V113" ca="1">INDIRECT("'"&amp;$C113&amp;"'!"&amp;"$"&amp;$D113&amp;$V$1&amp;"")</f>
        <v>CMS</v>
      </c>
      <c r="W113" s="288" t="s">
        <v>1</v>
      </c>
      <c r="X113" s="288" t="s">
        <v>1</v>
      </c>
      <c r="Y113" s="289" t="s">
        <v>1</v>
      </c>
      <c r="Z113" s="285" t="str" cm="1">
        <f t="array" aca="1" ref="Z113" ca="1">INDIRECT("'"&amp;$C113&amp;"'!"&amp;"$"&amp;$D113&amp;$Z$1&amp;"")</f>
        <v>CMS</v>
      </c>
      <c r="AA113" s="288" t="s">
        <v>1</v>
      </c>
      <c r="AB113" s="288" t="s">
        <v>1</v>
      </c>
      <c r="AC113" s="286" t="s">
        <v>1</v>
      </c>
      <c r="AD113" s="287" cm="1">
        <f t="array" aca="1" ref="AD113" ca="1">INDIRECT("'"&amp;$C113&amp;"'!"&amp;"$"&amp;$D113&amp;$AD$1&amp;"")</f>
        <v>3.8</v>
      </c>
      <c r="AE113" s="288">
        <f>3.8*3.55</f>
        <v>13.489999999999998</v>
      </c>
      <c r="AF113" s="288">
        <v>0.96</v>
      </c>
      <c r="AG113" s="289">
        <v>1.05</v>
      </c>
      <c r="AH113" s="285" cm="1">
        <f t="array" aca="1" ref="AH113" ca="1">INDIRECT("'"&amp;$C113&amp;"'!"&amp;"$"&amp;$D113&amp;$AH$1&amp;"")</f>
        <v>0</v>
      </c>
      <c r="AI113" s="288" t="s">
        <v>1</v>
      </c>
      <c r="AJ113" s="288" t="s">
        <v>1</v>
      </c>
      <c r="AK113" s="286" t="s">
        <v>1</v>
      </c>
      <c r="AL113" s="285">
        <v>11.5</v>
      </c>
      <c r="AM113" s="289">
        <v>70.3</v>
      </c>
      <c r="AN113" s="285" cm="1">
        <f t="array" aca="1" ref="AN113" ca="1">INDIRECT("'"&amp;$C113&amp;"'!"&amp;"$"&amp;$D113&amp;$AL$1&amp;"")</f>
        <v>0</v>
      </c>
      <c r="AO113" s="288" t="s">
        <v>1</v>
      </c>
      <c r="AP113" s="286" t="s">
        <v>1</v>
      </c>
      <c r="AQ113" s="287" cm="1">
        <f t="array" aca="1" ref="AQ113" ca="1">INDIRECT("'"&amp;$C113&amp;"'!"&amp;"$"&amp;$D113&amp;$AQ$1&amp;"")</f>
        <v>1.8</v>
      </c>
      <c r="AR113" s="288">
        <v>0.94</v>
      </c>
      <c r="AS113" s="286">
        <v>0.79</v>
      </c>
      <c r="AT113" s="285">
        <v>13.82</v>
      </c>
      <c r="AU113" s="289">
        <v>70.099999999999994</v>
      </c>
      <c r="AV113" s="288" cm="1">
        <f t="array" aca="1" ref="AV113" ca="1">INDIRECT("'"&amp;$C113&amp;"'!"&amp;"$"&amp;$D113&amp;$AV$1&amp;"")</f>
        <v>0</v>
      </c>
      <c r="AW113" s="287" t="s">
        <v>1</v>
      </c>
      <c r="AX113" s="288" t="s">
        <v>1</v>
      </c>
      <c r="AY113" s="286" t="s">
        <v>1</v>
      </c>
      <c r="AZ113" s="288" cm="1">
        <f t="array" aca="1" ref="AZ113" ca="1">INDIRECT("'"&amp;$C113&amp;"'!"&amp;"$"&amp;$D113&amp;$AZ$1&amp;"")</f>
        <v>5</v>
      </c>
      <c r="BA113" s="287" t="s">
        <v>1</v>
      </c>
      <c r="BB113" s="288">
        <v>0.93</v>
      </c>
      <c r="BC113" s="286">
        <v>2.1</v>
      </c>
      <c r="BD113" s="290">
        <v>13.96</v>
      </c>
      <c r="BE113" s="289">
        <v>71.040000000000006</v>
      </c>
      <c r="BF113" s="290" cm="1">
        <f t="array" aca="1" ref="BF113" ca="1">INDIRECT("'"&amp;$C113&amp;"'!"&amp;"$"&amp;$D113&amp;$BF$1&amp;"")</f>
        <v>14.26</v>
      </c>
      <c r="BG113" s="288">
        <v>1</v>
      </c>
      <c r="BH113" s="286">
        <v>1.3</v>
      </c>
      <c r="BI113" s="525">
        <v>68.099999999999994</v>
      </c>
      <c r="BJ113" s="285" cm="1">
        <f t="array" aca="1" ref="BJ113" ca="1">INDIRECT("'"&amp;$C113&amp;"'!"&amp;"$"&amp;$D113&amp;$BI$1&amp;"")</f>
        <v>0</v>
      </c>
      <c r="BK113" s="287" t="s">
        <v>1</v>
      </c>
      <c r="BL113" s="286" t="s">
        <v>1</v>
      </c>
      <c r="BM113" s="290" cm="1">
        <f t="array" aca="1" ref="BM113" ca="1">INDIRECT("'"&amp;$C113&amp;"'!"&amp;"$"&amp;$D113&amp;$BM$1&amp;"")</f>
        <v>1</v>
      </c>
      <c r="BN113" s="288"/>
      <c r="BO113" s="288">
        <v>0.99</v>
      </c>
      <c r="BP113" s="286">
        <v>0.12</v>
      </c>
      <c r="BQ113" s="291" cm="1">
        <f t="array" aca="1" ref="BQ113" ca="1">INDIRECT("'"&amp;$C113&amp;"'!"&amp;"$"&amp;$D113&amp;$BQ$1&amp;"")</f>
        <v>0.76</v>
      </c>
      <c r="BR113" s="288"/>
      <c r="BS113" s="288">
        <v>0.96</v>
      </c>
      <c r="BT113" s="286">
        <v>0.21</v>
      </c>
      <c r="BU113" s="291" cm="1">
        <f t="array" aca="1" ref="BU113" ca="1">INDIRECT("'"&amp;$C113&amp;"'!"&amp;"$"&amp;$D113&amp;74&amp;"")</f>
        <v>0</v>
      </c>
      <c r="BV113" s="288"/>
      <c r="BW113" s="288" t="s">
        <v>1</v>
      </c>
      <c r="BX113" s="286" t="s">
        <v>1</v>
      </c>
    </row>
    <row r="114" spans="1:76">
      <c r="A114" s="459">
        <v>45843</v>
      </c>
      <c r="B114" s="345">
        <v>0.375</v>
      </c>
      <c r="C114" s="305">
        <v>5</v>
      </c>
      <c r="D114" s="306" t="s">
        <v>151</v>
      </c>
      <c r="E114" s="278">
        <v>14</v>
      </c>
      <c r="F114" s="279">
        <v>69</v>
      </c>
      <c r="G114" s="280" t="str" cm="1">
        <f t="array" aca="1" ref="G114" ca="1">INDIRECT("'"&amp;$C114&amp;"'!"&amp;"$"&amp;$D114&amp;$E$1&amp;"")</f>
        <v>CMS</v>
      </c>
      <c r="H114" s="281" t="s">
        <v>1</v>
      </c>
      <c r="I114" s="279" t="s">
        <v>1</v>
      </c>
      <c r="J114" s="280" cm="1">
        <f t="array" aca="1" ref="J114" ca="1">INDIRECT("'"&amp;$C114&amp;"'!"&amp;"$"&amp;$D114&amp;$J$1&amp;"")</f>
        <v>6.2</v>
      </c>
      <c r="K114" s="281"/>
      <c r="L114" s="281">
        <v>0.94</v>
      </c>
      <c r="M114" s="282">
        <v>2.37</v>
      </c>
      <c r="N114" s="278" cm="1">
        <f t="array" aca="1" ref="N114" ca="1">INDIRECT("'"&amp;$C114&amp;"'!"&amp;"$"&amp;$D114&amp;$N$1&amp;"")</f>
        <v>6</v>
      </c>
      <c r="O114" s="281"/>
      <c r="P114" s="281">
        <v>0.92</v>
      </c>
      <c r="Q114" s="279">
        <v>2.5299999999999998</v>
      </c>
      <c r="R114" s="468" cm="1">
        <f t="array" aca="1" ref="R114" ca="1">INDIRECT("'"&amp;$C114&amp;"'!"&amp;"$"&amp;$D114&amp;$R$1&amp;"")</f>
        <v>1</v>
      </c>
      <c r="S114" s="281"/>
      <c r="T114" s="281">
        <v>0.96</v>
      </c>
      <c r="U114" s="279">
        <v>0.22</v>
      </c>
      <c r="V114" s="280" t="str" cm="1">
        <f t="array" aca="1" ref="V114" ca="1">INDIRECT("'"&amp;$C114&amp;"'!"&amp;"$"&amp;$D114&amp;$V$1&amp;"")</f>
        <v>CMS</v>
      </c>
      <c r="W114" s="281" t="s">
        <v>1</v>
      </c>
      <c r="X114" s="281" t="s">
        <v>1</v>
      </c>
      <c r="Y114" s="282" t="s">
        <v>1</v>
      </c>
      <c r="Z114" s="278" cm="1">
        <f t="array" aca="1" ref="Z114" ca="1">INDIRECT("'"&amp;$C114&amp;"'!"&amp;"$"&amp;$D114&amp;$Z$1&amp;"")</f>
        <v>1</v>
      </c>
      <c r="AA114" s="281">
        <v>13.413999999999998</v>
      </c>
      <c r="AB114" s="281">
        <v>0.96</v>
      </c>
      <c r="AC114" s="279">
        <v>0.28000000000000003</v>
      </c>
      <c r="AD114" s="280" cm="1">
        <f t="array" aca="1" ref="AD114" ca="1">INDIRECT("'"&amp;$C114&amp;"'!"&amp;"$"&amp;$D114&amp;$AD$1&amp;"")</f>
        <v>3</v>
      </c>
      <c r="AE114" s="281">
        <v>13.413999999999998</v>
      </c>
      <c r="AF114" s="281">
        <v>0.96</v>
      </c>
      <c r="AG114" s="282">
        <v>0.73</v>
      </c>
      <c r="AH114" s="278" cm="1">
        <f t="array" aca="1" ref="AH114" ca="1">INDIRECT("'"&amp;$C114&amp;"'!"&amp;"$"&amp;$D114&amp;$AH$1&amp;"")</f>
        <v>1</v>
      </c>
      <c r="AI114" s="281" t="s">
        <v>1</v>
      </c>
      <c r="AJ114" s="281" t="s">
        <v>1</v>
      </c>
      <c r="AK114" s="279" t="s">
        <v>1</v>
      </c>
      <c r="AL114" s="278">
        <v>11.5</v>
      </c>
      <c r="AM114" s="282">
        <v>70.3</v>
      </c>
      <c r="AN114" s="278" cm="1">
        <f t="array" aca="1" ref="AN114" ca="1">INDIRECT("'"&amp;$C114&amp;"'!"&amp;"$"&amp;$D114&amp;$AL$1&amp;"")</f>
        <v>0</v>
      </c>
      <c r="AO114" s="281" t="s">
        <v>1</v>
      </c>
      <c r="AP114" s="279" t="s">
        <v>1</v>
      </c>
      <c r="AQ114" s="280" cm="1">
        <f t="array" aca="1" ref="AQ114" ca="1">INDIRECT("'"&amp;$C114&amp;"'!"&amp;"$"&amp;$D114&amp;$AQ$1&amp;"")</f>
        <v>3.8</v>
      </c>
      <c r="AR114" s="281">
        <v>0.95</v>
      </c>
      <c r="AS114" s="279">
        <v>1.1000000000000001</v>
      </c>
      <c r="AT114" s="278">
        <v>13.9</v>
      </c>
      <c r="AU114" s="282">
        <v>70.099999999999994</v>
      </c>
      <c r="AV114" s="281" cm="1">
        <f t="array" aca="1" ref="AV114" ca="1">INDIRECT("'"&amp;$C114&amp;"'!"&amp;"$"&amp;$D114&amp;$AV$1&amp;"")</f>
        <v>0</v>
      </c>
      <c r="AW114" s="280" t="s">
        <v>1</v>
      </c>
      <c r="AX114" s="281" t="s">
        <v>1</v>
      </c>
      <c r="AY114" s="279" t="s">
        <v>1</v>
      </c>
      <c r="AZ114" s="281" cm="1">
        <f t="array" aca="1" ref="AZ114" ca="1">INDIRECT("'"&amp;$C114&amp;"'!"&amp;"$"&amp;$D114&amp;$AZ$1&amp;"")</f>
        <v>7</v>
      </c>
      <c r="BA114" s="280" t="s">
        <v>1</v>
      </c>
      <c r="BB114" s="281">
        <v>0.93</v>
      </c>
      <c r="BC114" s="279">
        <v>2.1</v>
      </c>
      <c r="BD114" s="283">
        <v>14.04</v>
      </c>
      <c r="BE114" s="282">
        <v>70.900000000000006</v>
      </c>
      <c r="BF114" s="283" cm="1">
        <f t="array" aca="1" ref="BF114" ca="1">INDIRECT("'"&amp;$C114&amp;"'!"&amp;"$"&amp;$D114&amp;$BF$1&amp;"")</f>
        <v>14.29</v>
      </c>
      <c r="BG114" s="281">
        <v>0.99</v>
      </c>
      <c r="BH114" s="279">
        <v>2.4</v>
      </c>
      <c r="BI114" s="524">
        <v>68</v>
      </c>
      <c r="BJ114" s="278" cm="1">
        <f t="array" aca="1" ref="BJ114" ca="1">INDIRECT("'"&amp;$C114&amp;"'!"&amp;"$"&amp;$D114&amp;$BI$1&amp;"")</f>
        <v>3.1</v>
      </c>
      <c r="BK114" s="280">
        <v>0.9</v>
      </c>
      <c r="BL114" s="279">
        <v>1</v>
      </c>
      <c r="BM114" s="283" cm="1">
        <f t="array" aca="1" ref="BM114" ca="1">INDIRECT("'"&amp;$C114&amp;"'!"&amp;"$"&amp;$D114&amp;$BM$1&amp;"")</f>
        <v>1.1299999999999999</v>
      </c>
      <c r="BN114" s="281"/>
      <c r="BO114" s="281">
        <v>0.99</v>
      </c>
      <c r="BP114" s="279">
        <v>0.15</v>
      </c>
      <c r="BQ114" s="284" cm="1">
        <f t="array" aca="1" ref="BQ114" ca="1">INDIRECT("'"&amp;$C114&amp;"'!"&amp;"$"&amp;$D114&amp;$BQ$1&amp;"")</f>
        <v>0.78</v>
      </c>
      <c r="BR114" s="281"/>
      <c r="BS114" s="281">
        <v>0.96</v>
      </c>
      <c r="BT114" s="279">
        <v>0.21</v>
      </c>
      <c r="BU114" s="284" cm="1">
        <f t="array" aca="1" ref="BU114" ca="1">INDIRECT("'"&amp;$C114&amp;"'!"&amp;"$"&amp;$D114&amp;74&amp;"")</f>
        <v>0</v>
      </c>
      <c r="BV114" s="281"/>
      <c r="BW114" s="281" t="s">
        <v>1</v>
      </c>
      <c r="BX114" s="279" t="s">
        <v>1</v>
      </c>
    </row>
    <row r="115" spans="1:76">
      <c r="A115" s="459">
        <v>45843</v>
      </c>
      <c r="B115" s="345">
        <v>0.41666666666666702</v>
      </c>
      <c r="C115" s="305">
        <v>5</v>
      </c>
      <c r="D115" s="306" t="s">
        <v>152</v>
      </c>
      <c r="E115" s="285">
        <v>13.5</v>
      </c>
      <c r="F115" s="286">
        <v>68.150000000000006</v>
      </c>
      <c r="G115" s="287" t="str" cm="1">
        <f t="array" aca="1" ref="G115" ca="1">INDIRECT("'"&amp;$C115&amp;"'!"&amp;"$"&amp;$D115&amp;$E$1&amp;"")</f>
        <v>CMS</v>
      </c>
      <c r="H115" s="288" t="s">
        <v>1</v>
      </c>
      <c r="I115" s="286" t="s">
        <v>1</v>
      </c>
      <c r="J115" s="287" cm="1">
        <f t="array" aca="1" ref="J115" ca="1">INDIRECT("'"&amp;$C115&amp;"'!"&amp;"$"&amp;$D115&amp;$J$1&amp;"")</f>
        <v>4.7</v>
      </c>
      <c r="K115" s="288"/>
      <c r="L115" s="288">
        <v>0.92</v>
      </c>
      <c r="M115" s="289">
        <v>0.97</v>
      </c>
      <c r="N115" s="285" cm="1">
        <f t="array" aca="1" ref="N115" ca="1">INDIRECT("'"&amp;$C115&amp;"'!"&amp;"$"&amp;$D115&amp;$N$1&amp;"")</f>
        <v>3.2</v>
      </c>
      <c r="O115" s="288"/>
      <c r="P115" s="288">
        <v>0.89</v>
      </c>
      <c r="Q115" s="286">
        <v>1.67</v>
      </c>
      <c r="R115" s="285" cm="1">
        <f t="array" aca="1" ref="R115" ca="1">INDIRECT("'"&amp;$C115&amp;"'!"&amp;"$"&amp;$D115&amp;$R$1&amp;"")</f>
        <v>6.5</v>
      </c>
      <c r="S115" s="288"/>
      <c r="T115" s="288">
        <v>0.92</v>
      </c>
      <c r="U115" s="286">
        <v>2.84</v>
      </c>
      <c r="V115" s="287" t="str" cm="1">
        <f t="array" aca="1" ref="V115" ca="1">INDIRECT("'"&amp;$C115&amp;"'!"&amp;"$"&amp;$D115&amp;$V$1&amp;"")</f>
        <v>CMS</v>
      </c>
      <c r="W115" s="288" t="s">
        <v>1</v>
      </c>
      <c r="X115" s="288" t="s">
        <v>1</v>
      </c>
      <c r="Y115" s="289" t="s">
        <v>1</v>
      </c>
      <c r="Z115" s="285" cm="1">
        <f t="array" aca="1" ref="Z115" ca="1">INDIRECT("'"&amp;$C115&amp;"'!"&amp;"$"&amp;$D115&amp;$Z$1&amp;"")</f>
        <v>1.5</v>
      </c>
      <c r="AA115" s="288">
        <f>3.8*3.44</f>
        <v>13.071999999999999</v>
      </c>
      <c r="AB115" s="288">
        <v>0.94</v>
      </c>
      <c r="AC115" s="286">
        <v>0.86</v>
      </c>
      <c r="AD115" s="287" cm="1">
        <f t="array" aca="1" ref="AD115" ca="1">INDIRECT("'"&amp;$C115&amp;"'!"&amp;"$"&amp;$D115&amp;$AD$1&amp;"")</f>
        <v>2.5</v>
      </c>
      <c r="AE115" s="288">
        <v>13.071999999999999</v>
      </c>
      <c r="AF115" s="288">
        <v>0.94</v>
      </c>
      <c r="AG115" s="289">
        <v>0.88</v>
      </c>
      <c r="AH115" s="285" cm="1">
        <f t="array" aca="1" ref="AH115" ca="1">INDIRECT("'"&amp;$C115&amp;"'!"&amp;"$"&amp;$D115&amp;$AH$1&amp;"")</f>
        <v>3.8</v>
      </c>
      <c r="AI115" s="288" t="s">
        <v>1</v>
      </c>
      <c r="AJ115" s="288" t="s">
        <v>1</v>
      </c>
      <c r="AK115" s="286" t="s">
        <v>1</v>
      </c>
      <c r="AL115" s="285">
        <v>11.5</v>
      </c>
      <c r="AM115" s="289">
        <v>70.5</v>
      </c>
      <c r="AN115" s="285" cm="1">
        <f t="array" aca="1" ref="AN115" ca="1">INDIRECT("'"&amp;$C115&amp;"'!"&amp;"$"&amp;$D115&amp;$AL$1&amp;"")</f>
        <v>0</v>
      </c>
      <c r="AO115" s="288" t="s">
        <v>1</v>
      </c>
      <c r="AP115" s="286" t="s">
        <v>1</v>
      </c>
      <c r="AQ115" s="287" cm="1">
        <f t="array" aca="1" ref="AQ115" ca="1">INDIRECT("'"&amp;$C115&amp;"'!"&amp;"$"&amp;$D115&amp;$AQ$1&amp;"")</f>
        <v>3.8</v>
      </c>
      <c r="AR115" s="288">
        <v>0.9</v>
      </c>
      <c r="AS115" s="286">
        <v>1.4</v>
      </c>
      <c r="AT115" s="285">
        <v>13.9</v>
      </c>
      <c r="AU115" s="289">
        <v>70.099999999999994</v>
      </c>
      <c r="AV115" s="288" cm="1">
        <f t="array" aca="1" ref="AV115" ca="1">INDIRECT("'"&amp;$C115&amp;"'!"&amp;"$"&amp;$D115&amp;$AV$1&amp;"")</f>
        <v>2.2000000000000002</v>
      </c>
      <c r="AW115" s="287" t="s">
        <v>1</v>
      </c>
      <c r="AX115" s="288">
        <v>0.92</v>
      </c>
      <c r="AY115" s="286">
        <v>0.98</v>
      </c>
      <c r="AZ115" s="288" cm="1">
        <f t="array" aca="1" ref="AZ115" ca="1">INDIRECT("'"&amp;$C115&amp;"'!"&amp;"$"&amp;$D115&amp;$AZ$1&amp;"")</f>
        <v>7</v>
      </c>
      <c r="BA115" s="287" t="s">
        <v>1</v>
      </c>
      <c r="BB115" s="288">
        <v>0.98</v>
      </c>
      <c r="BC115" s="286">
        <v>1.4</v>
      </c>
      <c r="BD115" s="290">
        <v>14.25</v>
      </c>
      <c r="BE115" s="289">
        <v>71.83</v>
      </c>
      <c r="BF115" s="290" cm="1">
        <f t="array" aca="1" ref="BF115" ca="1">INDIRECT("'"&amp;$C115&amp;"'!"&amp;"$"&amp;$D115&amp;$BF$1&amp;"")</f>
        <v>14.31</v>
      </c>
      <c r="BG115" s="288">
        <v>0.98</v>
      </c>
      <c r="BH115" s="286">
        <v>3.5</v>
      </c>
      <c r="BI115" s="525">
        <v>66.900000000000006</v>
      </c>
      <c r="BJ115" s="285" cm="1">
        <f t="array" aca="1" ref="BJ115" ca="1">INDIRECT("'"&amp;$C115&amp;"'!"&amp;"$"&amp;$D115&amp;$BI$1&amp;"")</f>
        <v>0.8</v>
      </c>
      <c r="BK115" s="287">
        <v>0.95</v>
      </c>
      <c r="BL115" s="286">
        <v>0.25</v>
      </c>
      <c r="BM115" s="290" cm="1">
        <f t="array" aca="1" ref="BM115" ca="1">INDIRECT("'"&amp;$C115&amp;"'!"&amp;"$"&amp;$D115&amp;$BM$1&amp;"")</f>
        <v>1.2</v>
      </c>
      <c r="BN115" s="288"/>
      <c r="BO115" s="288">
        <v>0.99</v>
      </c>
      <c r="BP115" s="286">
        <v>0.18</v>
      </c>
      <c r="BQ115" s="291" cm="1">
        <f t="array" aca="1" ref="BQ115" ca="1">INDIRECT("'"&amp;$C115&amp;"'!"&amp;"$"&amp;$D115&amp;$BQ$1&amp;"")</f>
        <v>0.84</v>
      </c>
      <c r="BR115" s="288"/>
      <c r="BS115" s="288">
        <v>0.96</v>
      </c>
      <c r="BT115" s="286">
        <v>0.25</v>
      </c>
      <c r="BU115" s="291" cm="1">
        <f t="array" aca="1" ref="BU115" ca="1">INDIRECT("'"&amp;$C115&amp;"'!"&amp;"$"&amp;$D115&amp;74&amp;"")</f>
        <v>0</v>
      </c>
      <c r="BV115" s="288"/>
      <c r="BW115" s="288" t="s">
        <v>1</v>
      </c>
      <c r="BX115" s="286" t="s">
        <v>1</v>
      </c>
    </row>
    <row r="116" spans="1:76">
      <c r="A116" s="459">
        <v>45843</v>
      </c>
      <c r="B116" s="345">
        <v>0.45833333333333398</v>
      </c>
      <c r="C116" s="305">
        <v>5</v>
      </c>
      <c r="D116" s="306" t="s">
        <v>153</v>
      </c>
      <c r="E116" s="278">
        <v>13.9</v>
      </c>
      <c r="F116" s="279">
        <v>68.319999999999993</v>
      </c>
      <c r="G116" s="280" t="str" cm="1">
        <f t="array" aca="1" ref="G116" ca="1">INDIRECT("'"&amp;$C116&amp;"'!"&amp;"$"&amp;$D116&amp;$E$1&amp;"")</f>
        <v>CMS</v>
      </c>
      <c r="H116" s="281" t="s">
        <v>1</v>
      </c>
      <c r="I116" s="279" t="s">
        <v>1</v>
      </c>
      <c r="J116" s="280" t="str" cm="1">
        <f t="array" aca="1" ref="J116" ca="1">INDIRECT("'"&amp;$C116&amp;"'!"&amp;"$"&amp;$D116&amp;$J$1&amp;"")</f>
        <v>CMS</v>
      </c>
      <c r="K116" s="281"/>
      <c r="L116" s="281" t="s">
        <v>1</v>
      </c>
      <c r="M116" s="282" t="s">
        <v>1</v>
      </c>
      <c r="N116" s="278" cm="1">
        <f t="array" aca="1" ref="N116" ca="1">INDIRECT("'"&amp;$C116&amp;"'!"&amp;"$"&amp;$D116&amp;$N$1&amp;"")</f>
        <v>5.4</v>
      </c>
      <c r="O116" s="281"/>
      <c r="P116" s="281">
        <v>0.92</v>
      </c>
      <c r="Q116" s="279">
        <v>2.35</v>
      </c>
      <c r="R116" s="468" cm="1">
        <f t="array" aca="1" ref="R116" ca="1">INDIRECT("'"&amp;$C116&amp;"'!"&amp;"$"&amp;$D116&amp;$R$1&amp;"")</f>
        <v>6</v>
      </c>
      <c r="S116" s="281"/>
      <c r="T116" s="281">
        <v>0.89</v>
      </c>
      <c r="U116" s="279">
        <v>2.98</v>
      </c>
      <c r="V116" s="280" t="str" cm="1">
        <f t="array" aca="1" ref="V116" ca="1">INDIRECT("'"&amp;$C116&amp;"'!"&amp;"$"&amp;$D116&amp;$V$1&amp;"")</f>
        <v>CMS</v>
      </c>
      <c r="W116" s="281" t="s">
        <v>1</v>
      </c>
      <c r="X116" s="281" t="s">
        <v>1</v>
      </c>
      <c r="Y116" s="282" t="s">
        <v>1</v>
      </c>
      <c r="Z116" s="278" cm="1">
        <f t="array" aca="1" ref="Z116" ca="1">INDIRECT("'"&amp;$C116&amp;"'!"&amp;"$"&amp;$D116&amp;$Z$1&amp;"")</f>
        <v>3</v>
      </c>
      <c r="AA116" s="281">
        <f>3.46*3.8</f>
        <v>13.148</v>
      </c>
      <c r="AB116" s="281">
        <v>0.88</v>
      </c>
      <c r="AC116" s="279">
        <v>1.62</v>
      </c>
      <c r="AD116" s="280" cm="1">
        <f t="array" aca="1" ref="AD116" ca="1">INDIRECT("'"&amp;$C116&amp;"'!"&amp;"$"&amp;$D116&amp;$AD$1&amp;"")</f>
        <v>1</v>
      </c>
      <c r="AE116" s="281">
        <f>3.46*3.8</f>
        <v>13.148</v>
      </c>
      <c r="AF116" s="281">
        <v>0.88</v>
      </c>
      <c r="AG116" s="282">
        <v>0.49</v>
      </c>
      <c r="AH116" s="278" cm="1">
        <f t="array" aca="1" ref="AH116" ca="1">INDIRECT("'"&amp;$C116&amp;"'!"&amp;"$"&amp;$D116&amp;$AH$1&amp;"")</f>
        <v>3</v>
      </c>
      <c r="AI116" s="281">
        <v>13.96</v>
      </c>
      <c r="AJ116" s="281">
        <v>0.99</v>
      </c>
      <c r="AK116" s="279">
        <v>0.42099999999999999</v>
      </c>
      <c r="AL116" s="278">
        <v>11.5</v>
      </c>
      <c r="AM116" s="282">
        <v>70.5</v>
      </c>
      <c r="AN116" s="278" cm="1">
        <f t="array" aca="1" ref="AN116" ca="1">INDIRECT("'"&amp;$C116&amp;"'!"&amp;"$"&amp;$D116&amp;$AL$1&amp;"")</f>
        <v>0</v>
      </c>
      <c r="AO116" s="281" t="s">
        <v>1</v>
      </c>
      <c r="AP116" s="279" t="s">
        <v>1</v>
      </c>
      <c r="AQ116" s="280" cm="1">
        <f t="array" aca="1" ref="AQ116" ca="1">INDIRECT("'"&amp;$C116&amp;"'!"&amp;"$"&amp;$D116&amp;$AQ$1&amp;"")</f>
        <v>3.5</v>
      </c>
      <c r="AR116" s="281">
        <v>0.96</v>
      </c>
      <c r="AS116" s="279">
        <v>1</v>
      </c>
      <c r="AT116" s="278">
        <v>13.8</v>
      </c>
      <c r="AU116" s="282">
        <v>70.099999999999994</v>
      </c>
      <c r="AV116" s="281" cm="1">
        <f t="array" aca="1" ref="AV116" ca="1">INDIRECT("'"&amp;$C116&amp;"'!"&amp;"$"&amp;$D116&amp;$AV$1&amp;"")</f>
        <v>3.2</v>
      </c>
      <c r="AW116" s="280" t="s">
        <v>1</v>
      </c>
      <c r="AX116" s="281">
        <v>0.92</v>
      </c>
      <c r="AY116" s="279">
        <v>0.98</v>
      </c>
      <c r="AZ116" s="281" cm="1">
        <f t="array" aca="1" ref="AZ116" ca="1">INDIRECT("'"&amp;$C116&amp;"'!"&amp;"$"&amp;$D116&amp;$AZ$1&amp;"")</f>
        <v>7</v>
      </c>
      <c r="BA116" s="280" t="s">
        <v>1</v>
      </c>
      <c r="BB116" s="281">
        <v>0.98</v>
      </c>
      <c r="BC116" s="279">
        <v>1.4</v>
      </c>
      <c r="BD116" s="283">
        <v>14.26</v>
      </c>
      <c r="BE116" s="282">
        <v>71.849999999999994</v>
      </c>
      <c r="BF116" s="283" cm="1">
        <f t="array" aca="1" ref="BF116" ca="1">INDIRECT("'"&amp;$C116&amp;"'!"&amp;"$"&amp;$D116&amp;$BF$1&amp;"")</f>
        <v>14.27</v>
      </c>
      <c r="BG116" s="281">
        <v>0.98</v>
      </c>
      <c r="BH116" s="279">
        <v>3.5</v>
      </c>
      <c r="BI116" s="524">
        <v>67.2</v>
      </c>
      <c r="BJ116" s="278" cm="1">
        <f t="array" aca="1" ref="BJ116" ca="1">INDIRECT("'"&amp;$C116&amp;"'!"&amp;"$"&amp;$D116&amp;$BI$1&amp;"")</f>
        <v>3.1</v>
      </c>
      <c r="BK116" s="280">
        <v>0.95</v>
      </c>
      <c r="BL116" s="279">
        <v>1</v>
      </c>
      <c r="BM116" s="283" cm="1">
        <f t="array" aca="1" ref="BM116" ca="1">INDIRECT("'"&amp;$C116&amp;"'!"&amp;"$"&amp;$D116&amp;$BM$1&amp;"")</f>
        <v>1.2</v>
      </c>
      <c r="BN116" s="281"/>
      <c r="BO116" s="281">
        <v>0.99</v>
      </c>
      <c r="BP116" s="279">
        <v>0.19</v>
      </c>
      <c r="BQ116" s="284" cm="1">
        <f t="array" aca="1" ref="BQ116" ca="1">INDIRECT("'"&amp;$C116&amp;"'!"&amp;"$"&amp;$D116&amp;$BQ$1&amp;"")</f>
        <v>0.85</v>
      </c>
      <c r="BR116" s="281"/>
      <c r="BS116" s="281">
        <v>0.96</v>
      </c>
      <c r="BT116" s="279">
        <v>0.25</v>
      </c>
      <c r="BU116" s="284" cm="1">
        <f t="array" aca="1" ref="BU116" ca="1">INDIRECT("'"&amp;$C116&amp;"'!"&amp;"$"&amp;$D116&amp;74&amp;"")</f>
        <v>0</v>
      </c>
      <c r="BV116" s="281"/>
      <c r="BW116" s="281" t="s">
        <v>1</v>
      </c>
      <c r="BX116" s="279" t="s">
        <v>1</v>
      </c>
    </row>
    <row r="117" spans="1:76">
      <c r="A117" s="459">
        <v>45843</v>
      </c>
      <c r="B117" s="345">
        <v>0.5</v>
      </c>
      <c r="C117" s="305">
        <v>5</v>
      </c>
      <c r="D117" s="306" t="s">
        <v>154</v>
      </c>
      <c r="E117" s="285">
        <v>14.1</v>
      </c>
      <c r="F117" s="286">
        <v>68.86</v>
      </c>
      <c r="G117" s="287" t="str" cm="1">
        <f t="array" aca="1" ref="G117" ca="1">INDIRECT("'"&amp;$C117&amp;"'!"&amp;"$"&amp;$D117&amp;$E$1&amp;"")</f>
        <v>CMS</v>
      </c>
      <c r="H117" s="288" t="s">
        <v>1</v>
      </c>
      <c r="I117" s="286" t="s">
        <v>1</v>
      </c>
      <c r="J117" s="287" cm="1">
        <f t="array" aca="1" ref="J117" ca="1">INDIRECT("'"&amp;$C117&amp;"'!"&amp;"$"&amp;$D117&amp;$J$1&amp;"")</f>
        <v>4</v>
      </c>
      <c r="K117" s="288"/>
      <c r="L117" s="288">
        <v>0.93</v>
      </c>
      <c r="M117" s="289">
        <v>1.61</v>
      </c>
      <c r="N117" s="285" cm="1">
        <f t="array" aca="1" ref="N117" ca="1">INDIRECT("'"&amp;$C117&amp;"'!"&amp;"$"&amp;$D117&amp;$N$1&amp;"")</f>
        <v>6.5</v>
      </c>
      <c r="O117" s="288"/>
      <c r="P117" s="288">
        <v>0.92</v>
      </c>
      <c r="Q117" s="289">
        <v>2.68</v>
      </c>
      <c r="R117" s="285" cm="1">
        <f t="array" aca="1" ref="R117" ca="1">INDIRECT("'"&amp;$C117&amp;"'!"&amp;"$"&amp;$D117&amp;$R$1&amp;"")</f>
        <v>6.4</v>
      </c>
      <c r="S117" s="288"/>
      <c r="T117" s="288">
        <v>0.94</v>
      </c>
      <c r="U117" s="286">
        <v>2.27</v>
      </c>
      <c r="V117" s="287" t="str" cm="1">
        <f t="array" aca="1" ref="V117" ca="1">INDIRECT("'"&amp;$C117&amp;"'!"&amp;"$"&amp;$D117&amp;$V$1&amp;"")</f>
        <v>CMS</v>
      </c>
      <c r="W117" s="288" t="s">
        <v>1</v>
      </c>
      <c r="X117" s="288" t="s">
        <v>1</v>
      </c>
      <c r="Y117" s="289" t="s">
        <v>1</v>
      </c>
      <c r="Z117" s="285" cm="1">
        <f t="array" aca="1" ref="Z117" ca="1">INDIRECT("'"&amp;$C117&amp;"'!"&amp;"$"&amp;$D117&amp;$Z$1&amp;"")</f>
        <v>3</v>
      </c>
      <c r="AA117" s="288">
        <f>3.8*3.48</f>
        <v>13.224</v>
      </c>
      <c r="AB117" s="288">
        <v>0.88</v>
      </c>
      <c r="AC117" s="286">
        <v>1.61</v>
      </c>
      <c r="AD117" s="287" cm="1">
        <f t="array" aca="1" ref="AD117" ca="1">INDIRECT("'"&amp;$C117&amp;"'!"&amp;"$"&amp;$D117&amp;$AD$1&amp;"")</f>
        <v>1</v>
      </c>
      <c r="AE117" s="288">
        <f>3.8*3.48</f>
        <v>13.224</v>
      </c>
      <c r="AF117" s="288">
        <v>0.88</v>
      </c>
      <c r="AG117" s="289">
        <v>0.41</v>
      </c>
      <c r="AH117" s="285" cm="1">
        <f t="array" aca="1" ref="AH117" ca="1">INDIRECT("'"&amp;$C117&amp;"'!"&amp;"$"&amp;$D117&amp;$AH$1&amp;"")</f>
        <v>3.8</v>
      </c>
      <c r="AI117" s="288">
        <v>14</v>
      </c>
      <c r="AJ117" s="288">
        <v>0.99</v>
      </c>
      <c r="AK117" s="286">
        <v>0.255</v>
      </c>
      <c r="AL117" s="285">
        <v>11.6</v>
      </c>
      <c r="AM117" s="289">
        <v>70.7</v>
      </c>
      <c r="AN117" s="285" cm="1">
        <f t="array" aca="1" ref="AN117" ca="1">INDIRECT("'"&amp;$C117&amp;"'!"&amp;"$"&amp;$D117&amp;$AL$1&amp;"")</f>
        <v>0</v>
      </c>
      <c r="AO117" s="288" t="s">
        <v>1</v>
      </c>
      <c r="AP117" s="286" t="s">
        <v>1</v>
      </c>
      <c r="AQ117" s="287" cm="1">
        <f t="array" aca="1" ref="AQ117" ca="1">INDIRECT("'"&amp;$C117&amp;"'!"&amp;"$"&amp;$D117&amp;$AQ$1&amp;"")</f>
        <v>3.8</v>
      </c>
      <c r="AR117" s="288">
        <v>0.92</v>
      </c>
      <c r="AS117" s="286">
        <v>1.1000000000000001</v>
      </c>
      <c r="AT117" s="285">
        <v>13.85</v>
      </c>
      <c r="AU117" s="289">
        <v>70.3</v>
      </c>
      <c r="AV117" s="288" cm="1">
        <f t="array" aca="1" ref="AV117" ca="1">INDIRECT("'"&amp;$C117&amp;"'!"&amp;"$"&amp;$D117&amp;$AV$1&amp;"")</f>
        <v>0</v>
      </c>
      <c r="AW117" s="287" t="s">
        <v>1</v>
      </c>
      <c r="AX117" s="288" t="s">
        <v>1</v>
      </c>
      <c r="AY117" s="286" t="s">
        <v>1</v>
      </c>
      <c r="AZ117" s="288" cm="1">
        <f t="array" aca="1" ref="AZ117" ca="1">INDIRECT("'"&amp;$C117&amp;"'!"&amp;"$"&amp;$D117&amp;$AZ$1&amp;"")</f>
        <v>7</v>
      </c>
      <c r="BA117" s="287" t="s">
        <v>1</v>
      </c>
      <c r="BB117" s="288">
        <v>0.99</v>
      </c>
      <c r="BC117" s="286">
        <v>1.1000000000000001</v>
      </c>
      <c r="BD117" s="290">
        <v>14.3</v>
      </c>
      <c r="BE117" s="289">
        <v>71.97</v>
      </c>
      <c r="BF117" s="290" cm="1">
        <f t="array" aca="1" ref="BF117" ca="1">INDIRECT("'"&amp;$C117&amp;"'!"&amp;"$"&amp;$D117&amp;$BF$1&amp;"")</f>
        <v>14.3</v>
      </c>
      <c r="BG117" s="288">
        <v>0.98</v>
      </c>
      <c r="BH117" s="286">
        <v>3.4</v>
      </c>
      <c r="BI117" s="525">
        <v>67.7</v>
      </c>
      <c r="BJ117" s="285" cm="1">
        <f t="array" aca="1" ref="BJ117" ca="1">INDIRECT("'"&amp;$C117&amp;"'!"&amp;"$"&amp;$D117&amp;$BI$1&amp;"")</f>
        <v>3.9000000000000004</v>
      </c>
      <c r="BK117" s="287">
        <v>0.95</v>
      </c>
      <c r="BL117" s="286">
        <v>1.2</v>
      </c>
      <c r="BM117" s="290" cm="1">
        <f t="array" aca="1" ref="BM117" ca="1">INDIRECT("'"&amp;$C117&amp;"'!"&amp;"$"&amp;$D117&amp;$BM$1&amp;"")</f>
        <v>1.22</v>
      </c>
      <c r="BN117" s="288"/>
      <c r="BO117" s="288">
        <v>0.99</v>
      </c>
      <c r="BP117" s="286">
        <v>0.19</v>
      </c>
      <c r="BQ117" s="291" cm="1">
        <f t="array" aca="1" ref="BQ117" ca="1">INDIRECT("'"&amp;$C117&amp;"'!"&amp;"$"&amp;$D117&amp;$BQ$1&amp;"")</f>
        <v>0.91</v>
      </c>
      <c r="BR117" s="288"/>
      <c r="BS117" s="288">
        <v>0.96</v>
      </c>
      <c r="BT117" s="286">
        <v>0.26</v>
      </c>
      <c r="BU117" s="291" cm="1">
        <f t="array" aca="1" ref="BU117" ca="1">INDIRECT("'"&amp;$C117&amp;"'!"&amp;"$"&amp;$D117&amp;74&amp;"")</f>
        <v>0</v>
      </c>
      <c r="BV117" s="288"/>
      <c r="BW117" s="288" t="s">
        <v>1</v>
      </c>
      <c r="BX117" s="286" t="s">
        <v>1</v>
      </c>
    </row>
    <row r="118" spans="1:76">
      <c r="A118" s="459">
        <v>45843</v>
      </c>
      <c r="B118" s="345">
        <v>0.54166666666666696</v>
      </c>
      <c r="C118" s="305">
        <v>5</v>
      </c>
      <c r="D118" s="306" t="s">
        <v>155</v>
      </c>
      <c r="E118" s="278">
        <v>14.2</v>
      </c>
      <c r="F118" s="279">
        <v>69.319999999999993</v>
      </c>
      <c r="G118" s="280" t="str" cm="1">
        <f t="array" aca="1" ref="G118" ca="1">INDIRECT("'"&amp;$C118&amp;"'!"&amp;"$"&amp;$D118&amp;$E$1&amp;"")</f>
        <v>CMS</v>
      </c>
      <c r="H118" s="281" t="s">
        <v>1</v>
      </c>
      <c r="I118" s="279" t="s">
        <v>1</v>
      </c>
      <c r="J118" s="280" cm="1">
        <f t="array" aca="1" ref="J118" ca="1">INDIRECT("'"&amp;$C118&amp;"'!"&amp;"$"&amp;$D118&amp;$J$1&amp;"")</f>
        <v>6.5</v>
      </c>
      <c r="K118" s="281"/>
      <c r="L118" s="281">
        <v>0.92</v>
      </c>
      <c r="M118" s="279">
        <v>2.72</v>
      </c>
      <c r="N118" s="278" cm="1">
        <f t="array" aca="1" ref="N118" ca="1">INDIRECT("'"&amp;$C118&amp;"'!"&amp;"$"&amp;$D118&amp;$N$1&amp;"")</f>
        <v>6.7</v>
      </c>
      <c r="O118" s="281"/>
      <c r="P118" s="281">
        <v>0.94</v>
      </c>
      <c r="Q118" s="279">
        <v>2.35</v>
      </c>
      <c r="R118" s="468" cm="1">
        <f t="array" aca="1" ref="R118" ca="1">INDIRECT("'"&amp;$C118&amp;"'!"&amp;"$"&amp;$D118&amp;$R$1&amp;"")</f>
        <v>6.7</v>
      </c>
      <c r="S118" s="281"/>
      <c r="T118" s="281">
        <v>0.94</v>
      </c>
      <c r="U118" s="279">
        <v>2.37</v>
      </c>
      <c r="V118" s="280" t="str" cm="1">
        <f t="array" aca="1" ref="V118" ca="1">INDIRECT("'"&amp;$C118&amp;"'!"&amp;"$"&amp;$D118&amp;$V$1&amp;"")</f>
        <v>CMS</v>
      </c>
      <c r="W118" s="281" t="s">
        <v>1</v>
      </c>
      <c r="X118" s="281" t="s">
        <v>1</v>
      </c>
      <c r="Y118" s="282" t="s">
        <v>1</v>
      </c>
      <c r="Z118" s="278" cm="1">
        <f t="array" aca="1" ref="Z118" ca="1">INDIRECT("'"&amp;$C118&amp;"'!"&amp;"$"&amp;$D118&amp;$Z$1&amp;"")</f>
        <v>3</v>
      </c>
      <c r="AA118" s="281">
        <f>3.8*3.49</f>
        <v>13.262</v>
      </c>
      <c r="AB118" s="281">
        <v>0.92</v>
      </c>
      <c r="AC118" s="279">
        <v>1.34</v>
      </c>
      <c r="AD118" s="280" cm="1">
        <f t="array" aca="1" ref="AD118" ca="1">INDIRECT("'"&amp;$C118&amp;"'!"&amp;"$"&amp;$D118&amp;$AD$1&amp;"")</f>
        <v>1</v>
      </c>
      <c r="AE118" s="281">
        <f>3.8*3.49</f>
        <v>13.262</v>
      </c>
      <c r="AF118" s="281">
        <v>0.92</v>
      </c>
      <c r="AG118" s="282">
        <v>0.31</v>
      </c>
      <c r="AH118" s="278" cm="1">
        <f t="array" aca="1" ref="AH118" ca="1">INDIRECT("'"&amp;$C118&amp;"'!"&amp;"$"&amp;$D118&amp;$AH$1&amp;"")</f>
        <v>3</v>
      </c>
      <c r="AI118" s="281">
        <v>13.96</v>
      </c>
      <c r="AJ118" s="281">
        <v>0.99</v>
      </c>
      <c r="AK118" s="279">
        <v>0.379</v>
      </c>
      <c r="AL118" s="278">
        <v>11.6</v>
      </c>
      <c r="AM118" s="282">
        <v>70.599999999999994</v>
      </c>
      <c r="AN118" s="278" cm="1">
        <f t="array" aca="1" ref="AN118" ca="1">INDIRECT("'"&amp;$C118&amp;"'!"&amp;"$"&amp;$D118&amp;$AL$1&amp;"")</f>
        <v>0</v>
      </c>
      <c r="AO118" s="281" t="s">
        <v>1</v>
      </c>
      <c r="AP118" s="279" t="s">
        <v>1</v>
      </c>
      <c r="AQ118" s="280" cm="1">
        <f t="array" aca="1" ref="AQ118" ca="1">INDIRECT("'"&amp;$C118&amp;"'!"&amp;"$"&amp;$D118&amp;$AQ$1&amp;"")</f>
        <v>3</v>
      </c>
      <c r="AR118" s="281">
        <v>0.9</v>
      </c>
      <c r="AS118" s="279">
        <v>1.3</v>
      </c>
      <c r="AT118" s="278">
        <v>14</v>
      </c>
      <c r="AU118" s="282">
        <v>70.099999999999994</v>
      </c>
      <c r="AV118" s="281" cm="1">
        <f t="array" aca="1" ref="AV118" ca="1">INDIRECT("'"&amp;$C118&amp;"'!"&amp;"$"&amp;$D118&amp;$AV$1&amp;"")</f>
        <v>0</v>
      </c>
      <c r="AW118" s="280">
        <v>13.7</v>
      </c>
      <c r="AX118" s="281" t="s">
        <v>1</v>
      </c>
      <c r="AY118" s="279" t="s">
        <v>1</v>
      </c>
      <c r="AZ118" s="281" cm="1">
        <f t="array" aca="1" ref="AZ118" ca="1">INDIRECT("'"&amp;$C118&amp;"'!"&amp;"$"&amp;$D118&amp;$AZ$1&amp;"")</f>
        <v>7</v>
      </c>
      <c r="BA118" s="280">
        <v>13.7</v>
      </c>
      <c r="BB118" s="281">
        <v>0.98</v>
      </c>
      <c r="BC118" s="279">
        <v>1.4</v>
      </c>
      <c r="BD118" s="283">
        <v>14.29</v>
      </c>
      <c r="BE118" s="282">
        <v>71.97</v>
      </c>
      <c r="BF118" s="283" cm="1">
        <f t="array" aca="1" ref="BF118" ca="1">INDIRECT("'"&amp;$C118&amp;"'!"&amp;"$"&amp;$D118&amp;$BF$1&amp;"")</f>
        <v>14.29</v>
      </c>
      <c r="BG118" s="281">
        <v>0.98</v>
      </c>
      <c r="BH118" s="279">
        <v>3.5</v>
      </c>
      <c r="BI118" s="524">
        <v>67.900000000000006</v>
      </c>
      <c r="BJ118" s="278" cm="1">
        <f t="array" aca="1" ref="BJ118" ca="1">INDIRECT("'"&amp;$C118&amp;"'!"&amp;"$"&amp;$D118&amp;$BI$1&amp;"")</f>
        <v>0</v>
      </c>
      <c r="BK118" s="280" t="s">
        <v>1</v>
      </c>
      <c r="BL118" s="279" t="s">
        <v>1</v>
      </c>
      <c r="BM118" s="283" cm="1">
        <f t="array" aca="1" ref="BM118" ca="1">INDIRECT("'"&amp;$C118&amp;"'!"&amp;"$"&amp;$D118&amp;$BM$1&amp;"")</f>
        <v>1.22</v>
      </c>
      <c r="BN118" s="281"/>
      <c r="BO118" s="281">
        <v>0.99</v>
      </c>
      <c r="BP118" s="279">
        <v>0.18</v>
      </c>
      <c r="BQ118" s="284" cm="1">
        <f t="array" aca="1" ref="BQ118" ca="1">INDIRECT("'"&amp;$C118&amp;"'!"&amp;"$"&amp;$D118&amp;$BQ$1&amp;"")</f>
        <v>0.89</v>
      </c>
      <c r="BR118" s="281"/>
      <c r="BS118" s="281">
        <v>0.96</v>
      </c>
      <c r="BT118" s="279">
        <v>0.26</v>
      </c>
      <c r="BU118" s="284" cm="1">
        <f t="array" aca="1" ref="BU118" ca="1">INDIRECT("'"&amp;$C118&amp;"'!"&amp;"$"&amp;$D118&amp;74&amp;"")</f>
        <v>0</v>
      </c>
      <c r="BV118" s="281"/>
      <c r="BW118" s="281" t="s">
        <v>1</v>
      </c>
      <c r="BX118" s="279" t="s">
        <v>1</v>
      </c>
    </row>
    <row r="119" spans="1:76">
      <c r="A119" s="459">
        <v>45843</v>
      </c>
      <c r="B119" s="345">
        <v>0.58333333333333404</v>
      </c>
      <c r="C119" s="305">
        <v>5</v>
      </c>
      <c r="D119" s="306" t="s">
        <v>156</v>
      </c>
      <c r="E119" s="285">
        <v>14.2</v>
      </c>
      <c r="F119" s="286">
        <v>69.040000000000006</v>
      </c>
      <c r="G119" s="287" t="str" cm="1">
        <f t="array" aca="1" ref="G119" ca="1">INDIRECT("'"&amp;$C119&amp;"'!"&amp;"$"&amp;$D119&amp;$E$1&amp;"")</f>
        <v>CMS</v>
      </c>
      <c r="H119" s="288" t="s">
        <v>1</v>
      </c>
      <c r="I119" s="286" t="s">
        <v>1</v>
      </c>
      <c r="J119" s="287" cm="1">
        <f t="array" aca="1" ref="J119" ca="1">INDIRECT("'"&amp;$C119&amp;"'!"&amp;"$"&amp;$D119&amp;$J$1&amp;"")</f>
        <v>6.6</v>
      </c>
      <c r="K119" s="288"/>
      <c r="L119" s="288">
        <v>0.92</v>
      </c>
      <c r="M119" s="289">
        <v>2.74</v>
      </c>
      <c r="N119" s="285" cm="1">
        <f t="array" aca="1" ref="N119" ca="1">INDIRECT("'"&amp;$C119&amp;"'!"&amp;"$"&amp;$D119&amp;$N$1&amp;"")</f>
        <v>6.7</v>
      </c>
      <c r="O119" s="288"/>
      <c r="P119" s="288">
        <v>0.93</v>
      </c>
      <c r="Q119" s="286">
        <v>2.57</v>
      </c>
      <c r="R119" s="285" cm="1">
        <f t="array" aca="1" ref="R119" ca="1">INDIRECT("'"&amp;$C119&amp;"'!"&amp;"$"&amp;$D119&amp;$R$1&amp;"")</f>
        <v>6.7</v>
      </c>
      <c r="S119" s="288"/>
      <c r="T119" s="288">
        <v>0.93</v>
      </c>
      <c r="U119" s="286">
        <v>2.58</v>
      </c>
      <c r="V119" s="287" t="str" cm="1">
        <f t="array" aca="1" ref="V119" ca="1">INDIRECT("'"&amp;$C119&amp;"'!"&amp;"$"&amp;$D119&amp;$V$1&amp;"")</f>
        <v>CMS</v>
      </c>
      <c r="W119" s="288" t="s">
        <v>1</v>
      </c>
      <c r="X119" s="288" t="s">
        <v>1</v>
      </c>
      <c r="Y119" s="289" t="s">
        <v>1</v>
      </c>
      <c r="Z119" s="285" cm="1">
        <f t="array" aca="1" ref="Z119" ca="1">INDIRECT("'"&amp;$C119&amp;"'!"&amp;"$"&amp;$D119&amp;$Z$1&amp;"")</f>
        <v>3</v>
      </c>
      <c r="AA119" s="288">
        <f>3.8*3.48</f>
        <v>13.224</v>
      </c>
      <c r="AB119" s="288">
        <v>0.94</v>
      </c>
      <c r="AC119" s="286">
        <v>1.23</v>
      </c>
      <c r="AD119" s="287" cm="1">
        <f t="array" aca="1" ref="AD119" ca="1">INDIRECT("'"&amp;$C119&amp;"'!"&amp;"$"&amp;$D119&amp;$AD$1&amp;"")</f>
        <v>1</v>
      </c>
      <c r="AE119" s="288">
        <v>13.22</v>
      </c>
      <c r="AF119" s="288">
        <v>0.92</v>
      </c>
      <c r="AG119" s="289">
        <v>0.34</v>
      </c>
      <c r="AH119" s="285" cm="1">
        <f t="array" aca="1" ref="AH119" ca="1">INDIRECT("'"&amp;$C119&amp;"'!"&amp;"$"&amp;$D119&amp;$AH$1&amp;"")</f>
        <v>3</v>
      </c>
      <c r="AI119" s="288">
        <v>13.96</v>
      </c>
      <c r="AJ119" s="288">
        <v>0.99</v>
      </c>
      <c r="AK119" s="286">
        <v>0.35599999999999998</v>
      </c>
      <c r="AL119" s="285">
        <v>11.6</v>
      </c>
      <c r="AM119" s="289">
        <v>70.599999999999994</v>
      </c>
      <c r="AN119" s="285" cm="1">
        <f t="array" aca="1" ref="AN119" ca="1">INDIRECT("'"&amp;$C119&amp;"'!"&amp;"$"&amp;$D119&amp;$AL$1&amp;"")</f>
        <v>0</v>
      </c>
      <c r="AO119" s="288" t="s">
        <v>1</v>
      </c>
      <c r="AP119" s="286" t="s">
        <v>1</v>
      </c>
      <c r="AQ119" s="287" cm="1">
        <f t="array" aca="1" ref="AQ119" ca="1">INDIRECT("'"&amp;$C119&amp;"'!"&amp;"$"&amp;$D119&amp;$AQ$1&amp;"")</f>
        <v>3.8</v>
      </c>
      <c r="AR119" s="288">
        <v>0.9</v>
      </c>
      <c r="AS119" s="286">
        <v>1.3</v>
      </c>
      <c r="AT119" s="285">
        <v>14</v>
      </c>
      <c r="AU119" s="289">
        <v>70.099999999999994</v>
      </c>
      <c r="AV119" s="288" cm="1">
        <f t="array" aca="1" ref="AV119" ca="1">INDIRECT("'"&amp;$C119&amp;"'!"&amp;"$"&amp;$D119&amp;$AV$1&amp;"")</f>
        <v>0</v>
      </c>
      <c r="AW119" s="287">
        <v>13.7</v>
      </c>
      <c r="AX119" s="288" t="s">
        <v>1</v>
      </c>
      <c r="AY119" s="286" t="s">
        <v>1</v>
      </c>
      <c r="AZ119" s="288" cm="1">
        <f t="array" aca="1" ref="AZ119" ca="1">INDIRECT("'"&amp;$C119&amp;"'!"&amp;"$"&amp;$D119&amp;$AZ$1&amp;"")</f>
        <v>7</v>
      </c>
      <c r="BA119" s="287">
        <v>13.7</v>
      </c>
      <c r="BB119" s="288">
        <v>0.98</v>
      </c>
      <c r="BC119" s="286">
        <v>1.4</v>
      </c>
      <c r="BD119" s="290">
        <v>14.3</v>
      </c>
      <c r="BE119" s="289">
        <v>71.97</v>
      </c>
      <c r="BF119" s="290" cm="1">
        <f t="array" aca="1" ref="BF119" ca="1">INDIRECT("'"&amp;$C119&amp;"'!"&amp;"$"&amp;$D119&amp;$BF$1&amp;"")</f>
        <v>14.24</v>
      </c>
      <c r="BG119" s="288">
        <v>0.98</v>
      </c>
      <c r="BH119" s="286">
        <v>3.4</v>
      </c>
      <c r="BI119" s="525">
        <v>67.7</v>
      </c>
      <c r="BJ119" s="285" cm="1">
        <f t="array" aca="1" ref="BJ119" ca="1">INDIRECT("'"&amp;$C119&amp;"'!"&amp;"$"&amp;$D119&amp;$BI$1&amp;"")</f>
        <v>0</v>
      </c>
      <c r="BK119" s="288" t="s">
        <v>1</v>
      </c>
      <c r="BL119" s="286" t="s">
        <v>1</v>
      </c>
      <c r="BM119" s="290" cm="1">
        <f t="array" aca="1" ref="BM119" ca="1">INDIRECT("'"&amp;$C119&amp;"'!"&amp;"$"&amp;$D119&amp;$BM$1&amp;"")</f>
        <v>1.21</v>
      </c>
      <c r="BN119" s="288"/>
      <c r="BO119" s="288">
        <v>0.99</v>
      </c>
      <c r="BP119" s="286">
        <v>0.17</v>
      </c>
      <c r="BQ119" s="291" cm="1">
        <f t="array" aca="1" ref="BQ119" ca="1">INDIRECT("'"&amp;$C119&amp;"'!"&amp;"$"&amp;$D119&amp;$BQ$1&amp;"")</f>
        <v>0.9</v>
      </c>
      <c r="BR119" s="288"/>
      <c r="BS119" s="288">
        <v>0.96</v>
      </c>
      <c r="BT119" s="286">
        <v>0.26</v>
      </c>
      <c r="BU119" s="291" cm="1">
        <f t="array" aca="1" ref="BU119" ca="1">INDIRECT("'"&amp;$C119&amp;"'!"&amp;"$"&amp;$D119&amp;74&amp;"")</f>
        <v>0</v>
      </c>
      <c r="BV119" s="288"/>
      <c r="BW119" s="288" t="s">
        <v>1</v>
      </c>
      <c r="BX119" s="286" t="s">
        <v>1</v>
      </c>
    </row>
    <row r="120" spans="1:76">
      <c r="A120" s="459">
        <v>45843</v>
      </c>
      <c r="B120" s="345">
        <v>0.625</v>
      </c>
      <c r="C120" s="305">
        <v>5</v>
      </c>
      <c r="D120" s="306" t="s">
        <v>157</v>
      </c>
      <c r="E120" s="278">
        <v>14.1</v>
      </c>
      <c r="F120" s="279">
        <v>68.62</v>
      </c>
      <c r="G120" s="280" t="str" cm="1">
        <f t="array" aca="1" ref="G120" ca="1">INDIRECT("'"&amp;$C120&amp;"'!"&amp;"$"&amp;$D120&amp;$E$1&amp;"")</f>
        <v>CMS</v>
      </c>
      <c r="H120" s="281" t="s">
        <v>1</v>
      </c>
      <c r="I120" s="279" t="s">
        <v>1</v>
      </c>
      <c r="J120" s="280" cm="1">
        <f t="array" aca="1" ref="J120" ca="1">INDIRECT("'"&amp;$C120&amp;"'!"&amp;"$"&amp;$D120&amp;$J$1&amp;"")</f>
        <v>6.7</v>
      </c>
      <c r="K120" s="281"/>
      <c r="L120" s="281">
        <v>0.92</v>
      </c>
      <c r="M120" s="282">
        <v>2.7</v>
      </c>
      <c r="N120" s="278" cm="1">
        <f t="array" aca="1" ref="N120" ca="1">INDIRECT("'"&amp;$C120&amp;"'!"&amp;"$"&amp;$D120&amp;$N$1&amp;"")</f>
        <v>6.7</v>
      </c>
      <c r="O120" s="281"/>
      <c r="P120" s="281">
        <v>0.92</v>
      </c>
      <c r="Q120" s="279">
        <v>2.79</v>
      </c>
      <c r="R120" s="468" cm="1">
        <f t="array" aca="1" ref="R120" ca="1">INDIRECT("'"&amp;$C120&amp;"'!"&amp;"$"&amp;$D120&amp;$R$1&amp;"")</f>
        <v>6.7</v>
      </c>
      <c r="S120" s="281"/>
      <c r="T120" s="281">
        <v>0.91</v>
      </c>
      <c r="U120" s="279">
        <v>2.95</v>
      </c>
      <c r="V120" s="280" t="str" cm="1">
        <f t="array" aca="1" ref="V120" ca="1">INDIRECT("'"&amp;$C120&amp;"'!"&amp;"$"&amp;$D120&amp;$V$1&amp;"")</f>
        <v>CMS</v>
      </c>
      <c r="W120" s="281" t="s">
        <v>1</v>
      </c>
      <c r="X120" s="281" t="s">
        <v>1</v>
      </c>
      <c r="Y120" s="282" t="s">
        <v>1</v>
      </c>
      <c r="Z120" s="278" t="str" cm="1">
        <f t="array" aca="1" ref="Z120" ca="1">INDIRECT("'"&amp;$C120&amp;"'!"&amp;"$"&amp;$D120&amp;$Z$1&amp;"")</f>
        <v>CMS</v>
      </c>
      <c r="AA120" s="281" t="s">
        <v>1</v>
      </c>
      <c r="AB120" s="281" t="s">
        <v>1</v>
      </c>
      <c r="AC120" s="279" t="s">
        <v>1</v>
      </c>
      <c r="AD120" s="280" cm="1">
        <f t="array" aca="1" ref="AD120" ca="1">INDIRECT("'"&amp;$C120&amp;"'!"&amp;"$"&amp;$D120&amp;$AD$1&amp;"")</f>
        <v>3.8</v>
      </c>
      <c r="AE120" s="281">
        <f>3.8*3.48</f>
        <v>13.224</v>
      </c>
      <c r="AF120" s="281">
        <v>0.92</v>
      </c>
      <c r="AG120" s="279">
        <v>1.55</v>
      </c>
      <c r="AH120" s="278" cm="1">
        <f t="array" aca="1" ref="AH120" ca="1">INDIRECT("'"&amp;$C120&amp;"'!"&amp;"$"&amp;$D120&amp;$AH$1&amp;"")</f>
        <v>3</v>
      </c>
      <c r="AI120" s="281">
        <v>13.96</v>
      </c>
      <c r="AJ120" s="281">
        <v>0.99</v>
      </c>
      <c r="AK120" s="279">
        <v>0.35299999999999998</v>
      </c>
      <c r="AL120" s="278">
        <v>11.6</v>
      </c>
      <c r="AM120" s="282">
        <v>70.599999999999994</v>
      </c>
      <c r="AN120" s="278" cm="1">
        <f t="array" aca="1" ref="AN120" ca="1">INDIRECT("'"&amp;$C120&amp;"'!"&amp;"$"&amp;$D120&amp;$AL$1&amp;"")</f>
        <v>0</v>
      </c>
      <c r="AO120" s="281" t="s">
        <v>1</v>
      </c>
      <c r="AP120" s="279" t="s">
        <v>1</v>
      </c>
      <c r="AQ120" s="280" cm="1">
        <f t="array" aca="1" ref="AQ120" ca="1">INDIRECT("'"&amp;$C120&amp;"'!"&amp;"$"&amp;$D120&amp;$AQ$1&amp;"")</f>
        <v>3.8</v>
      </c>
      <c r="AR120" s="281">
        <v>0.9</v>
      </c>
      <c r="AS120" s="279">
        <v>1.3</v>
      </c>
      <c r="AT120" s="278">
        <v>14</v>
      </c>
      <c r="AU120" s="282">
        <v>70.099999999999994</v>
      </c>
      <c r="AV120" s="281" cm="1">
        <f t="array" aca="1" ref="AV120" ca="1">INDIRECT("'"&amp;$C120&amp;"'!"&amp;"$"&amp;$D120&amp;$AV$1&amp;"")</f>
        <v>0</v>
      </c>
      <c r="AW120" s="280">
        <v>13.7</v>
      </c>
      <c r="AX120" s="281" t="s">
        <v>1</v>
      </c>
      <c r="AY120" s="279" t="s">
        <v>1</v>
      </c>
      <c r="AZ120" s="281" cm="1">
        <f t="array" aca="1" ref="AZ120" ca="1">INDIRECT("'"&amp;$C120&amp;"'!"&amp;"$"&amp;$D120&amp;$AZ$1&amp;"")</f>
        <v>7</v>
      </c>
      <c r="BA120" s="280">
        <v>13.7</v>
      </c>
      <c r="BB120" s="281">
        <v>0.98</v>
      </c>
      <c r="BC120" s="279">
        <v>1.4</v>
      </c>
      <c r="BD120" s="283">
        <v>14.29</v>
      </c>
      <c r="BE120" s="282">
        <v>71.94</v>
      </c>
      <c r="BF120" s="283" cm="1">
        <f t="array" aca="1" ref="BF120" ca="1">INDIRECT("'"&amp;$C120&amp;"'!"&amp;"$"&amp;$D120&amp;$BF$1&amp;"")</f>
        <v>14.28</v>
      </c>
      <c r="BG120" s="281">
        <v>0.98</v>
      </c>
      <c r="BH120" s="279">
        <v>3.4</v>
      </c>
      <c r="BI120" s="524">
        <v>67.400000000000006</v>
      </c>
      <c r="BJ120" s="278" cm="1">
        <f t="array" aca="1" ref="BJ120" ca="1">INDIRECT("'"&amp;$C120&amp;"'!"&amp;"$"&amp;$D120&amp;$BI$1&amp;"")</f>
        <v>0</v>
      </c>
      <c r="BK120" s="281" t="s">
        <v>1</v>
      </c>
      <c r="BL120" s="279" t="s">
        <v>1</v>
      </c>
      <c r="BM120" s="283" cm="1">
        <f t="array" aca="1" ref="BM120" ca="1">INDIRECT("'"&amp;$C120&amp;"'!"&amp;"$"&amp;$D120&amp;$BM$1&amp;"")</f>
        <v>1.2</v>
      </c>
      <c r="BN120" s="281"/>
      <c r="BO120" s="281">
        <v>0.99</v>
      </c>
      <c r="BP120" s="279">
        <v>0.17</v>
      </c>
      <c r="BQ120" s="284" cm="1">
        <f t="array" aca="1" ref="BQ120" ca="1">INDIRECT("'"&amp;$C120&amp;"'!"&amp;"$"&amp;$D120&amp;$BQ$1&amp;"")</f>
        <v>0.92</v>
      </c>
      <c r="BR120" s="281"/>
      <c r="BS120" s="281">
        <v>0.96</v>
      </c>
      <c r="BT120" s="279">
        <v>0.26</v>
      </c>
      <c r="BU120" s="284" cm="1">
        <f t="array" aca="1" ref="BU120" ca="1">INDIRECT("'"&amp;$C120&amp;"'!"&amp;"$"&amp;$D120&amp;74&amp;"")</f>
        <v>0</v>
      </c>
      <c r="BV120" s="281"/>
      <c r="BW120" s="281" t="s">
        <v>1</v>
      </c>
      <c r="BX120" s="279" t="s">
        <v>1</v>
      </c>
    </row>
    <row r="121" spans="1:76">
      <c r="A121" s="459">
        <v>45843</v>
      </c>
      <c r="B121" s="345">
        <v>0.66666666666666696</v>
      </c>
      <c r="C121" s="305">
        <v>5</v>
      </c>
      <c r="D121" s="306" t="s">
        <v>158</v>
      </c>
      <c r="E121" s="285">
        <v>14.1</v>
      </c>
      <c r="F121" s="286">
        <v>68.64</v>
      </c>
      <c r="G121" s="287" t="str" cm="1">
        <f t="array" aca="1" ref="G121" ca="1">INDIRECT("'"&amp;$C121&amp;"'!"&amp;"$"&amp;$D121&amp;$E$1&amp;"")</f>
        <v>CMS</v>
      </c>
      <c r="H121" s="288" t="s">
        <v>1</v>
      </c>
      <c r="I121" s="286" t="s">
        <v>1</v>
      </c>
      <c r="J121" s="287" cm="1">
        <f t="array" aca="1" ref="J121" ca="1">INDIRECT("'"&amp;$C121&amp;"'!"&amp;"$"&amp;$D121&amp;$J$1&amp;"")</f>
        <v>6.5</v>
      </c>
      <c r="K121" s="288"/>
      <c r="L121" s="288">
        <v>0.92</v>
      </c>
      <c r="M121" s="289">
        <v>2.75</v>
      </c>
      <c r="N121" s="285" cm="1">
        <f t="array" aca="1" ref="N121" ca="1">INDIRECT("'"&amp;$C121&amp;"'!"&amp;"$"&amp;$D121&amp;$N$1&amp;"")</f>
        <v>6.5</v>
      </c>
      <c r="O121" s="288"/>
      <c r="P121" s="288">
        <v>0.92</v>
      </c>
      <c r="Q121" s="286">
        <v>2.74</v>
      </c>
      <c r="R121" s="469" cm="1">
        <f t="array" aca="1" ref="R121" ca="1">INDIRECT("'"&amp;$C121&amp;"'!"&amp;"$"&amp;$D121&amp;$R$1&amp;"")</f>
        <v>6.5</v>
      </c>
      <c r="S121" s="288"/>
      <c r="T121" s="288">
        <v>0.91</v>
      </c>
      <c r="U121" s="286">
        <v>2.97</v>
      </c>
      <c r="V121" s="287" t="str" cm="1">
        <f t="array" aca="1" ref="V121" ca="1">INDIRECT("'"&amp;$C121&amp;"'!"&amp;"$"&amp;$D121&amp;$V$1&amp;"")</f>
        <v>CMS</v>
      </c>
      <c r="W121" s="288" t="s">
        <v>1</v>
      </c>
      <c r="X121" s="288" t="s">
        <v>1</v>
      </c>
      <c r="Y121" s="289" t="s">
        <v>1</v>
      </c>
      <c r="Z121" s="285" t="str" cm="1">
        <f t="array" aca="1" ref="Z121" ca="1">INDIRECT("'"&amp;$C121&amp;"'!"&amp;"$"&amp;$D121&amp;$Z$1&amp;"")</f>
        <v>CMS</v>
      </c>
      <c r="AA121" s="288" t="s">
        <v>1</v>
      </c>
      <c r="AB121" s="288" t="s">
        <v>1</v>
      </c>
      <c r="AC121" s="286" t="s">
        <v>1</v>
      </c>
      <c r="AD121" s="287" cm="1">
        <f t="array" aca="1" ref="AD121" ca="1">INDIRECT("'"&amp;$C121&amp;"'!"&amp;"$"&amp;$D121&amp;$AD$1&amp;"")</f>
        <v>3</v>
      </c>
      <c r="AE121" s="288">
        <f>3.48*3.8</f>
        <v>13.224</v>
      </c>
      <c r="AF121" s="288">
        <v>0.92</v>
      </c>
      <c r="AG121" s="289">
        <v>1.21</v>
      </c>
      <c r="AH121" s="285" cm="1">
        <f t="array" aca="1" ref="AH121" ca="1">INDIRECT("'"&amp;$C121&amp;"'!"&amp;"$"&amp;$D121&amp;$AH$1&amp;"")</f>
        <v>3</v>
      </c>
      <c r="AI121" s="288">
        <v>14</v>
      </c>
      <c r="AJ121" s="288">
        <v>0.99</v>
      </c>
      <c r="AK121" s="286">
        <v>0.183</v>
      </c>
      <c r="AL121" s="285">
        <v>11.6</v>
      </c>
      <c r="AM121" s="289">
        <v>70.5</v>
      </c>
      <c r="AN121" s="285" cm="1">
        <f t="array" aca="1" ref="AN121" ca="1">INDIRECT("'"&amp;$C121&amp;"'!"&amp;"$"&amp;$D121&amp;$AL$1&amp;"")</f>
        <v>0</v>
      </c>
      <c r="AO121" s="288" t="s">
        <v>1</v>
      </c>
      <c r="AP121" s="286" t="s">
        <v>1</v>
      </c>
      <c r="AQ121" s="287" cm="1">
        <f t="array" aca="1" ref="AQ121" ca="1">INDIRECT("'"&amp;$C121&amp;"'!"&amp;"$"&amp;$D121&amp;$AQ$1&amp;"")</f>
        <v>3.8</v>
      </c>
      <c r="AR121" s="288">
        <v>0.93</v>
      </c>
      <c r="AS121" s="286">
        <v>1.3</v>
      </c>
      <c r="AT121" s="285">
        <v>14</v>
      </c>
      <c r="AU121" s="289">
        <v>70.099999999999994</v>
      </c>
      <c r="AV121" s="288" cm="1">
        <f t="array" aca="1" ref="AV121" ca="1">INDIRECT("'"&amp;$C121&amp;"'!"&amp;"$"&amp;$D121&amp;$AV$1&amp;"")</f>
        <v>0</v>
      </c>
      <c r="AW121" s="287" t="s">
        <v>1</v>
      </c>
      <c r="AX121" s="288" t="s">
        <v>1</v>
      </c>
      <c r="AY121" s="286" t="s">
        <v>1</v>
      </c>
      <c r="AZ121" s="288" cm="1">
        <f t="array" aca="1" ref="AZ121" ca="1">INDIRECT("'"&amp;$C121&amp;"'!"&amp;"$"&amp;$D121&amp;$AZ$1&amp;"")</f>
        <v>7</v>
      </c>
      <c r="BA121" s="287" t="s">
        <v>1</v>
      </c>
      <c r="BB121" s="288">
        <v>0.97</v>
      </c>
      <c r="BC121" s="286">
        <v>1.5</v>
      </c>
      <c r="BD121" s="290">
        <v>14.32</v>
      </c>
      <c r="BE121" s="289">
        <v>72.08</v>
      </c>
      <c r="BF121" s="290" cm="1">
        <f t="array" aca="1" ref="BF121" ca="1">INDIRECT("'"&amp;$C121&amp;"'!"&amp;"$"&amp;$D121&amp;$BF$1&amp;"")</f>
        <v>14.27</v>
      </c>
      <c r="BG121" s="288">
        <v>0.98</v>
      </c>
      <c r="BH121" s="286">
        <v>3.5</v>
      </c>
      <c r="BI121" s="525">
        <v>67.400000000000006</v>
      </c>
      <c r="BJ121" s="285" cm="1">
        <f t="array" aca="1" ref="BJ121" ca="1">INDIRECT("'"&amp;$C121&amp;"'!"&amp;"$"&amp;$D121&amp;$BI$1&amp;"")</f>
        <v>0</v>
      </c>
      <c r="BK121" s="288" t="s">
        <v>1</v>
      </c>
      <c r="BL121" s="286" t="s">
        <v>1</v>
      </c>
      <c r="BM121" s="290" cm="1">
        <f t="array" aca="1" ref="BM121" ca="1">INDIRECT("'"&amp;$C121&amp;"'!"&amp;"$"&amp;$D121&amp;$BM$1&amp;"")</f>
        <v>1.1599999999999999</v>
      </c>
      <c r="BN121" s="288"/>
      <c r="BO121" s="288">
        <v>0.99</v>
      </c>
      <c r="BP121" s="286">
        <v>0.16</v>
      </c>
      <c r="BQ121" s="291" cm="1">
        <f t="array" aca="1" ref="BQ121" ca="1">INDIRECT("'"&amp;$C121&amp;"'!"&amp;"$"&amp;$D121&amp;$BQ$1&amp;"")</f>
        <v>0.93</v>
      </c>
      <c r="BR121" s="288"/>
      <c r="BS121" s="288">
        <v>0.96</v>
      </c>
      <c r="BT121" s="286">
        <v>0.27</v>
      </c>
      <c r="BU121" s="291" cm="1">
        <f t="array" aca="1" ref="BU121" ca="1">INDIRECT("'"&amp;$C121&amp;"'!"&amp;"$"&amp;$D121&amp;74&amp;"")</f>
        <v>0</v>
      </c>
      <c r="BV121" s="288"/>
      <c r="BW121" s="288" t="s">
        <v>1</v>
      </c>
      <c r="BX121" s="286" t="s">
        <v>1</v>
      </c>
    </row>
    <row r="122" spans="1:76">
      <c r="A122" s="459">
        <v>45843</v>
      </c>
      <c r="B122" s="345">
        <v>0.70833333333333404</v>
      </c>
      <c r="C122" s="305">
        <v>5</v>
      </c>
      <c r="D122" s="306" t="s">
        <v>159</v>
      </c>
      <c r="E122" s="278">
        <v>14.1</v>
      </c>
      <c r="F122" s="279">
        <v>68.98</v>
      </c>
      <c r="G122" s="280" t="str" cm="1">
        <f t="array" aca="1" ref="G122" ca="1">INDIRECT("'"&amp;$C122&amp;"'!"&amp;"$"&amp;$D122&amp;$E$1&amp;"")</f>
        <v>CMS</v>
      </c>
      <c r="H122" s="281" t="s">
        <v>1</v>
      </c>
      <c r="I122" s="279" t="s">
        <v>1</v>
      </c>
      <c r="J122" s="280" cm="1">
        <f t="array" aca="1" ref="J122" ca="1">INDIRECT("'"&amp;$C122&amp;"'!"&amp;"$"&amp;$D122&amp;$J$1&amp;"")</f>
        <v>6.4</v>
      </c>
      <c r="K122" s="281"/>
      <c r="L122" s="281">
        <v>0.92</v>
      </c>
      <c r="M122" s="282">
        <v>2.68</v>
      </c>
      <c r="N122" s="278" cm="1">
        <f t="array" aca="1" ref="N122" ca="1">INDIRECT("'"&amp;$C122&amp;"'!"&amp;"$"&amp;$D122&amp;$N$1&amp;"")</f>
        <v>6.4</v>
      </c>
      <c r="O122" s="281"/>
      <c r="P122" s="281">
        <v>0.92</v>
      </c>
      <c r="Q122" s="279">
        <v>2.69</v>
      </c>
      <c r="R122" s="468" cm="1">
        <f t="array" aca="1" ref="R122" ca="1">INDIRECT("'"&amp;$C122&amp;"'!"&amp;"$"&amp;$D122&amp;$R$1&amp;"")</f>
        <v>6.4</v>
      </c>
      <c r="S122" s="281"/>
      <c r="T122" s="281">
        <v>0.94</v>
      </c>
      <c r="U122" s="279">
        <v>2.2799999999999998</v>
      </c>
      <c r="V122" s="280" t="str" cm="1">
        <f t="array" aca="1" ref="V122" ca="1">INDIRECT("'"&amp;$C122&amp;"'!"&amp;"$"&amp;$D122&amp;$V$1&amp;"")</f>
        <v>CMS</v>
      </c>
      <c r="W122" s="281" t="s">
        <v>1</v>
      </c>
      <c r="X122" s="281" t="s">
        <v>1</v>
      </c>
      <c r="Y122" s="282" t="s">
        <v>1</v>
      </c>
      <c r="Z122" s="278" t="str" cm="1">
        <f t="array" aca="1" ref="Z122" ca="1">INDIRECT("'"&amp;$C122&amp;"'!"&amp;"$"&amp;$D122&amp;$Z$1&amp;"")</f>
        <v>CMS</v>
      </c>
      <c r="AA122" s="281" t="s">
        <v>1</v>
      </c>
      <c r="AB122" s="281" t="s">
        <v>1</v>
      </c>
      <c r="AC122" s="279" t="s">
        <v>1</v>
      </c>
      <c r="AD122" s="280" cm="1">
        <f t="array" aca="1" ref="AD122" ca="1">INDIRECT("'"&amp;$C122&amp;"'!"&amp;"$"&amp;$D122&amp;$AD$1&amp;"")</f>
        <v>3</v>
      </c>
      <c r="AE122" s="281">
        <f>3.8*3.51</f>
        <v>13.337999999999999</v>
      </c>
      <c r="AF122" s="281">
        <v>0.92</v>
      </c>
      <c r="AG122" s="282">
        <v>1.25</v>
      </c>
      <c r="AH122" s="278" cm="1">
        <f t="array" aca="1" ref="AH122" ca="1">INDIRECT("'"&amp;$C122&amp;"'!"&amp;"$"&amp;$D122&amp;$AH$1&amp;"")</f>
        <v>3</v>
      </c>
      <c r="AI122" s="281">
        <v>14</v>
      </c>
      <c r="AJ122" s="281">
        <v>0.99</v>
      </c>
      <c r="AK122" s="279">
        <v>0.14699999999999999</v>
      </c>
      <c r="AL122" s="278">
        <v>11.6</v>
      </c>
      <c r="AM122" s="282">
        <v>70.5</v>
      </c>
      <c r="AN122" s="278" cm="1">
        <f t="array" aca="1" ref="AN122" ca="1">INDIRECT("'"&amp;$C122&amp;"'!"&amp;"$"&amp;$D122&amp;$AL$1&amp;"")</f>
        <v>0</v>
      </c>
      <c r="AO122" s="281" t="s">
        <v>1</v>
      </c>
      <c r="AP122" s="279" t="s">
        <v>1</v>
      </c>
      <c r="AQ122" s="280" cm="1">
        <f t="array" aca="1" ref="AQ122" ca="1">INDIRECT("'"&amp;$C122&amp;"'!"&amp;"$"&amp;$D122&amp;$AQ$1&amp;"")</f>
        <v>2.8</v>
      </c>
      <c r="AR122" s="281">
        <v>0.93</v>
      </c>
      <c r="AS122" s="279">
        <v>1.2</v>
      </c>
      <c r="AT122" s="278">
        <v>14</v>
      </c>
      <c r="AU122" s="282">
        <v>70.099999999999994</v>
      </c>
      <c r="AV122" s="281" cm="1">
        <f t="array" aca="1" ref="AV122" ca="1">INDIRECT("'"&amp;$C122&amp;"'!"&amp;"$"&amp;$D122&amp;$AV$1&amp;"")</f>
        <v>0</v>
      </c>
      <c r="AW122" s="280" t="s">
        <v>1</v>
      </c>
      <c r="AX122" s="281" t="s">
        <v>1</v>
      </c>
      <c r="AY122" s="279" t="s">
        <v>1</v>
      </c>
      <c r="AZ122" s="281" cm="1">
        <f t="array" aca="1" ref="AZ122" ca="1">INDIRECT("'"&amp;$C122&amp;"'!"&amp;"$"&amp;$D122&amp;$AZ$1&amp;"")</f>
        <v>6.5</v>
      </c>
      <c r="BA122" s="280" t="s">
        <v>1</v>
      </c>
      <c r="BB122" s="281">
        <v>0.98</v>
      </c>
      <c r="BC122" s="279">
        <v>1.4</v>
      </c>
      <c r="BD122" s="283">
        <v>14.13</v>
      </c>
      <c r="BE122" s="282">
        <v>71.709999999999994</v>
      </c>
      <c r="BF122" s="283" cm="1">
        <f t="array" aca="1" ref="BF122" ca="1">INDIRECT("'"&amp;$C122&amp;"'!"&amp;"$"&amp;$D122&amp;$BF$1&amp;"")</f>
        <v>14.29</v>
      </c>
      <c r="BG122" s="281">
        <v>0.99</v>
      </c>
      <c r="BH122" s="279">
        <v>2.4</v>
      </c>
      <c r="BI122" s="524">
        <v>67.5</v>
      </c>
      <c r="BJ122" s="278" cm="1">
        <f t="array" aca="1" ref="BJ122" ca="1">INDIRECT("'"&amp;$C122&amp;"'!"&amp;"$"&amp;$D122&amp;$BI$1&amp;"")</f>
        <v>0</v>
      </c>
      <c r="BK122" s="281" t="s">
        <v>1</v>
      </c>
      <c r="BL122" s="279" t="s">
        <v>1</v>
      </c>
      <c r="BM122" s="283" cm="1">
        <f t="array" aca="1" ref="BM122" ca="1">INDIRECT("'"&amp;$C122&amp;"'!"&amp;"$"&amp;$D122&amp;$BM$1&amp;"")</f>
        <v>1.1299999999999999</v>
      </c>
      <c r="BN122" s="281"/>
      <c r="BO122" s="281">
        <v>0.99</v>
      </c>
      <c r="BP122" s="279">
        <v>0.15</v>
      </c>
      <c r="BQ122" s="284" cm="1">
        <f t="array" aca="1" ref="BQ122" ca="1">INDIRECT("'"&amp;$C122&amp;"'!"&amp;"$"&amp;$D122&amp;$BQ$1&amp;"")</f>
        <v>0.89</v>
      </c>
      <c r="BR122" s="281"/>
      <c r="BS122" s="281">
        <v>0.96</v>
      </c>
      <c r="BT122" s="279">
        <v>0.26</v>
      </c>
      <c r="BU122" s="284" cm="1">
        <f t="array" aca="1" ref="BU122" ca="1">INDIRECT("'"&amp;$C122&amp;"'!"&amp;"$"&amp;$D122&amp;74&amp;"")</f>
        <v>0</v>
      </c>
      <c r="BV122" s="281"/>
      <c r="BW122" s="281" t="s">
        <v>1</v>
      </c>
      <c r="BX122" s="279" t="s">
        <v>1</v>
      </c>
    </row>
    <row r="123" spans="1:76">
      <c r="A123" s="459">
        <v>45843</v>
      </c>
      <c r="B123" s="345">
        <v>0.750000000000001</v>
      </c>
      <c r="C123" s="305">
        <v>5</v>
      </c>
      <c r="D123" s="306" t="s">
        <v>160</v>
      </c>
      <c r="E123" s="285">
        <v>14.2</v>
      </c>
      <c r="F123" s="286">
        <v>69.62</v>
      </c>
      <c r="G123" s="287" t="str" cm="1">
        <f t="array" aca="1" ref="G123" ca="1">INDIRECT("'"&amp;$C123&amp;"'!"&amp;"$"&amp;$D123&amp;$E$1&amp;"")</f>
        <v>CMS</v>
      </c>
      <c r="H123" s="288" t="s">
        <v>1</v>
      </c>
      <c r="I123" s="286" t="s">
        <v>1</v>
      </c>
      <c r="J123" s="287" cm="1">
        <f t="array" aca="1" ref="J123" ca="1">INDIRECT("'"&amp;$C123&amp;"'!"&amp;"$"&amp;$D123&amp;$J$1&amp;"")</f>
        <v>6.7</v>
      </c>
      <c r="K123" s="288"/>
      <c r="L123" s="288">
        <v>0.95</v>
      </c>
      <c r="M123" s="289">
        <v>2.1</v>
      </c>
      <c r="N123" s="285" cm="1">
        <f t="array" aca="1" ref="N123" ca="1">INDIRECT("'"&amp;$C123&amp;"'!"&amp;"$"&amp;$D123&amp;$N$1&amp;"")</f>
        <v>6.7</v>
      </c>
      <c r="O123" s="288"/>
      <c r="P123" s="288">
        <v>0.95</v>
      </c>
      <c r="Q123" s="286">
        <v>2.11</v>
      </c>
      <c r="R123" s="285" cm="1">
        <f t="array" aca="1" ref="R123" ca="1">INDIRECT("'"&amp;$C123&amp;"'!"&amp;"$"&amp;$D123&amp;$R$1&amp;"")</f>
        <v>6.7</v>
      </c>
      <c r="S123" s="288"/>
      <c r="T123" s="288">
        <v>0.93</v>
      </c>
      <c r="U123" s="286">
        <v>2.6640000000000001</v>
      </c>
      <c r="V123" s="287" t="str" cm="1">
        <f t="array" aca="1" ref="V123" ca="1">INDIRECT("'"&amp;$C123&amp;"'!"&amp;"$"&amp;$D123&amp;$V$1&amp;"")</f>
        <v>CMS</v>
      </c>
      <c r="W123" s="288" t="s">
        <v>1</v>
      </c>
      <c r="X123" s="288" t="s">
        <v>1</v>
      </c>
      <c r="Y123" s="289" t="s">
        <v>1</v>
      </c>
      <c r="Z123" s="285" t="str" cm="1">
        <f t="array" aca="1" ref="Z123" ca="1">INDIRECT("'"&amp;$C123&amp;"'!"&amp;"$"&amp;$D123&amp;$Z$1&amp;"")</f>
        <v>CMS</v>
      </c>
      <c r="AA123" s="288" t="s">
        <v>1</v>
      </c>
      <c r="AB123" s="288" t="s">
        <v>1</v>
      </c>
      <c r="AC123" s="286" t="s">
        <v>1</v>
      </c>
      <c r="AD123" s="287" cm="1">
        <f t="array" aca="1" ref="AD123" ca="1">INDIRECT("'"&amp;$C123&amp;"'!"&amp;"$"&amp;$D123&amp;$AD$1&amp;"")</f>
        <v>3.8</v>
      </c>
      <c r="AE123" s="288">
        <f>3.54*3.8</f>
        <v>13.452</v>
      </c>
      <c r="AF123" s="288">
        <v>0.92</v>
      </c>
      <c r="AG123" s="289">
        <v>1.56</v>
      </c>
      <c r="AH123" s="285" cm="1">
        <f t="array" aca="1" ref="AH123" ca="1">INDIRECT("'"&amp;$C123&amp;"'!"&amp;"$"&amp;$D123&amp;$AH$1&amp;"")</f>
        <v>3.8</v>
      </c>
      <c r="AI123" s="288">
        <v>14</v>
      </c>
      <c r="AJ123" s="288">
        <v>0.99</v>
      </c>
      <c r="AK123" s="286">
        <v>0.317</v>
      </c>
      <c r="AL123" s="285">
        <v>11.6</v>
      </c>
      <c r="AM123" s="289">
        <v>70.5</v>
      </c>
      <c r="AN123" s="285" cm="1">
        <f t="array" aca="1" ref="AN123" ca="1">INDIRECT("'"&amp;$C123&amp;"'!"&amp;"$"&amp;$D123&amp;$AL$1&amp;"")</f>
        <v>0</v>
      </c>
      <c r="AO123" s="288" t="s">
        <v>1</v>
      </c>
      <c r="AP123" s="286" t="s">
        <v>1</v>
      </c>
      <c r="AQ123" s="287" cm="1">
        <f t="array" aca="1" ref="AQ123" ca="1">INDIRECT("'"&amp;$C123&amp;"'!"&amp;"$"&amp;$D123&amp;$AQ$1&amp;"")</f>
        <v>3.8</v>
      </c>
      <c r="AR123" s="288">
        <v>0.96</v>
      </c>
      <c r="AS123" s="286">
        <v>1</v>
      </c>
      <c r="AT123" s="285">
        <v>13.85</v>
      </c>
      <c r="AU123" s="289">
        <v>70.3</v>
      </c>
      <c r="AV123" s="288" cm="1">
        <f t="array" aca="1" ref="AV123" ca="1">INDIRECT("'"&amp;$C123&amp;"'!"&amp;"$"&amp;$D123&amp;$AV$1&amp;"")</f>
        <v>0</v>
      </c>
      <c r="AW123" s="287" t="s">
        <v>1</v>
      </c>
      <c r="AX123" s="288" t="s">
        <v>1</v>
      </c>
      <c r="AY123" s="286" t="s">
        <v>1</v>
      </c>
      <c r="AZ123" s="288" cm="1">
        <f t="array" aca="1" ref="AZ123" ca="1">INDIRECT("'"&amp;$C123&amp;"'!"&amp;"$"&amp;$D123&amp;$AZ$1&amp;"")</f>
        <v>2.6</v>
      </c>
      <c r="BA123" s="287" t="s">
        <v>1</v>
      </c>
      <c r="BB123" s="288">
        <v>0.99</v>
      </c>
      <c r="BC123" s="286">
        <v>1.1000000000000001</v>
      </c>
      <c r="BD123" s="290">
        <v>14.14</v>
      </c>
      <c r="BE123" s="289">
        <v>71.760000000000005</v>
      </c>
      <c r="BF123" s="290" cm="1">
        <f t="array" aca="1" ref="BF123" ca="1">INDIRECT("'"&amp;$C123&amp;"'!"&amp;"$"&amp;$D123&amp;$BF$1&amp;"")</f>
        <v>14.31</v>
      </c>
      <c r="BG123" s="288">
        <v>0.99</v>
      </c>
      <c r="BH123" s="286">
        <v>2.2999999999999998</v>
      </c>
      <c r="BI123" s="525">
        <v>68.400000000000006</v>
      </c>
      <c r="BJ123" s="285" cm="1">
        <f t="array" aca="1" ref="BJ123" ca="1">INDIRECT("'"&amp;$C123&amp;"'!"&amp;"$"&amp;$D123&amp;$BI$1&amp;"")</f>
        <v>1.5</v>
      </c>
      <c r="BK123" s="287">
        <v>0.97</v>
      </c>
      <c r="BL123" s="286">
        <v>0.38</v>
      </c>
      <c r="BM123" s="290" cm="1">
        <f t="array" aca="1" ref="BM123" ca="1">INDIRECT("'"&amp;$C123&amp;"'!"&amp;"$"&amp;$D123&amp;$BM$1&amp;"")</f>
        <v>1.1599999999999999</v>
      </c>
      <c r="BN123" s="288"/>
      <c r="BO123" s="288">
        <v>0.99</v>
      </c>
      <c r="BP123" s="286">
        <v>0.48</v>
      </c>
      <c r="BQ123" s="291" cm="1">
        <f t="array" aca="1" ref="BQ123" ca="1">INDIRECT("'"&amp;$C123&amp;"'!"&amp;"$"&amp;$D123&amp;$BQ$1&amp;"")</f>
        <v>0.88</v>
      </c>
      <c r="BR123" s="288"/>
      <c r="BS123" s="288">
        <v>0.96</v>
      </c>
      <c r="BT123" s="286">
        <v>0.26</v>
      </c>
      <c r="BU123" s="291" cm="1">
        <f t="array" aca="1" ref="BU123" ca="1">INDIRECT("'"&amp;$C123&amp;"'!"&amp;"$"&amp;$D123&amp;74&amp;"")</f>
        <v>0</v>
      </c>
      <c r="BV123" s="288"/>
      <c r="BW123" s="288" t="s">
        <v>1</v>
      </c>
      <c r="BX123" s="286" t="s">
        <v>1</v>
      </c>
    </row>
    <row r="124" spans="1:76">
      <c r="A124" s="459">
        <v>45843</v>
      </c>
      <c r="B124" s="345">
        <v>0.79166666666666696</v>
      </c>
      <c r="C124" s="305">
        <v>5</v>
      </c>
      <c r="D124" s="306" t="s">
        <v>161</v>
      </c>
      <c r="E124" s="278">
        <v>14.2</v>
      </c>
      <c r="F124" s="279">
        <v>69.260000000000005</v>
      </c>
      <c r="G124" s="280" t="str" cm="1">
        <f t="array" aca="1" ref="G124" ca="1">INDIRECT("'"&amp;$C124&amp;"'!"&amp;"$"&amp;$D124&amp;$E$1&amp;"")</f>
        <v>CMS</v>
      </c>
      <c r="H124" s="281" t="s">
        <v>1</v>
      </c>
      <c r="I124" s="279" t="s">
        <v>1</v>
      </c>
      <c r="J124" s="280" cm="1">
        <f t="array" aca="1" ref="J124" ca="1">INDIRECT("'"&amp;$C124&amp;"'!"&amp;"$"&amp;$D124&amp;$J$1&amp;"")</f>
        <v>6.8</v>
      </c>
      <c r="K124" s="292"/>
      <c r="L124" s="281">
        <v>0.95</v>
      </c>
      <c r="M124" s="282">
        <v>2.25</v>
      </c>
      <c r="N124" s="278" cm="1">
        <f t="array" aca="1" ref="N124" ca="1">INDIRECT("'"&amp;$C124&amp;"'!"&amp;"$"&amp;$D124&amp;$N$1&amp;"")</f>
        <v>6.8</v>
      </c>
      <c r="O124" s="281"/>
      <c r="P124" s="281">
        <v>0.95</v>
      </c>
      <c r="Q124" s="279">
        <v>2.27</v>
      </c>
      <c r="R124" s="468" cm="1">
        <f t="array" aca="1" ref="R124" ca="1">INDIRECT("'"&amp;$C124&amp;"'!"&amp;"$"&amp;$D124&amp;$R$1&amp;"")</f>
        <v>6.9</v>
      </c>
      <c r="S124" s="281"/>
      <c r="T124" s="281">
        <v>0.91</v>
      </c>
      <c r="U124" s="279">
        <v>3.18</v>
      </c>
      <c r="V124" s="280" t="str" cm="1">
        <f t="array" aca="1" ref="V124" ca="1">INDIRECT("'"&amp;$C124&amp;"'!"&amp;"$"&amp;$D124&amp;$V$1&amp;"")</f>
        <v>CMS</v>
      </c>
      <c r="W124" s="281" t="s">
        <v>1</v>
      </c>
      <c r="X124" s="281" t="s">
        <v>1</v>
      </c>
      <c r="Y124" s="282" t="s">
        <v>1</v>
      </c>
      <c r="Z124" s="278" t="str" cm="1">
        <f t="array" aca="1" ref="Z124" ca="1">INDIRECT("'"&amp;$C124&amp;"'!"&amp;"$"&amp;$D124&amp;$Z$1&amp;"")</f>
        <v>CMS</v>
      </c>
      <c r="AA124" s="281" t="s">
        <v>1</v>
      </c>
      <c r="AB124" s="281" t="s">
        <v>1</v>
      </c>
      <c r="AC124" s="279" t="s">
        <v>1</v>
      </c>
      <c r="AD124" s="280" cm="1">
        <f t="array" aca="1" ref="AD124" ca="1">INDIRECT("'"&amp;$C124&amp;"'!"&amp;"$"&amp;$D124&amp;$AD$1&amp;"")</f>
        <v>3.8</v>
      </c>
      <c r="AE124" s="281">
        <f>3.8*3.53</f>
        <v>13.413999999999998</v>
      </c>
      <c r="AF124" s="281">
        <v>0.94</v>
      </c>
      <c r="AG124" s="282">
        <v>1.3</v>
      </c>
      <c r="AH124" s="278" cm="1">
        <f t="array" aca="1" ref="AH124" ca="1">INDIRECT("'"&amp;$C124&amp;"'!"&amp;"$"&amp;$D124&amp;$AH$1&amp;"")</f>
        <v>3.8</v>
      </c>
      <c r="AI124" s="281">
        <v>14</v>
      </c>
      <c r="AJ124" s="281">
        <v>0.99</v>
      </c>
      <c r="AK124" s="279">
        <v>0.28699999999999998</v>
      </c>
      <c r="AL124" s="278">
        <v>11.6</v>
      </c>
      <c r="AM124" s="282">
        <v>70.5</v>
      </c>
      <c r="AN124" s="278" cm="1">
        <f t="array" aca="1" ref="AN124" ca="1">INDIRECT("'"&amp;$C124&amp;"'!"&amp;"$"&amp;$D124&amp;$AL$1&amp;"")</f>
        <v>0</v>
      </c>
      <c r="AO124" s="281" t="s">
        <v>1</v>
      </c>
      <c r="AP124" s="279" t="s">
        <v>1</v>
      </c>
      <c r="AQ124" s="280" cm="1">
        <f t="array" aca="1" ref="AQ124" ca="1">INDIRECT("'"&amp;$C124&amp;"'!"&amp;"$"&amp;$D124&amp;$AQ$1&amp;"")</f>
        <v>3</v>
      </c>
      <c r="AR124" s="281">
        <v>0.96</v>
      </c>
      <c r="AS124" s="279">
        <v>1.1299999999999999</v>
      </c>
      <c r="AT124" s="278">
        <v>14</v>
      </c>
      <c r="AU124" s="282">
        <v>70.099999999999994</v>
      </c>
      <c r="AV124" s="281" cm="1">
        <f t="array" aca="1" ref="AV124" ca="1">INDIRECT("'"&amp;$C124&amp;"'!"&amp;"$"&amp;$D124&amp;$AV$1&amp;"")</f>
        <v>3</v>
      </c>
      <c r="AW124" s="280">
        <v>13.7</v>
      </c>
      <c r="AX124" s="281">
        <v>0.98</v>
      </c>
      <c r="AY124" s="279">
        <v>0.8</v>
      </c>
      <c r="AZ124" s="281" cm="1">
        <f t="array" aca="1" ref="AZ124" ca="1">INDIRECT("'"&amp;$C124&amp;"'!"&amp;"$"&amp;$D124&amp;$AZ$1&amp;"")</f>
        <v>5</v>
      </c>
      <c r="BA124" s="280">
        <v>13.7</v>
      </c>
      <c r="BB124" s="281">
        <v>0.97</v>
      </c>
      <c r="BC124" s="279">
        <v>1.1000000000000001</v>
      </c>
      <c r="BD124" s="283">
        <v>14.17</v>
      </c>
      <c r="BE124" s="282">
        <v>71.77</v>
      </c>
      <c r="BF124" s="283" cm="1">
        <f t="array" aca="1" ref="BF124" ca="1">INDIRECT("'"&amp;$C124&amp;"'!"&amp;"$"&amp;$D124&amp;$BF$1&amp;"")</f>
        <v>14.27</v>
      </c>
      <c r="BG124" s="281">
        <v>0.99</v>
      </c>
      <c r="BH124" s="279">
        <v>2.2999999999999998</v>
      </c>
      <c r="BI124" s="524">
        <v>68</v>
      </c>
      <c r="BJ124" s="278" cm="1">
        <f t="array" aca="1" ref="BJ124" ca="1">INDIRECT("'"&amp;$C124&amp;"'!"&amp;"$"&amp;$D124&amp;$BI$1&amp;"")</f>
        <v>1.5</v>
      </c>
      <c r="BK124" s="280">
        <v>0.97</v>
      </c>
      <c r="BL124" s="279">
        <v>0.4</v>
      </c>
      <c r="BM124" s="283" cm="1">
        <f t="array" aca="1" ref="BM124" ca="1">INDIRECT("'"&amp;$C124&amp;"'!"&amp;"$"&amp;$D124&amp;$BM$1&amp;"")</f>
        <v>1.38</v>
      </c>
      <c r="BN124" s="281"/>
      <c r="BO124" s="281">
        <v>0.99</v>
      </c>
      <c r="BP124" s="279">
        <v>0.15</v>
      </c>
      <c r="BQ124" s="284" cm="1">
        <f t="array" aca="1" ref="BQ124" ca="1">INDIRECT("'"&amp;$C124&amp;"'!"&amp;"$"&amp;$D124&amp;$BQ$1&amp;"")</f>
        <v>0.93</v>
      </c>
      <c r="BR124" s="281"/>
      <c r="BS124" s="281">
        <v>0.96</v>
      </c>
      <c r="BT124" s="279">
        <v>0.27</v>
      </c>
      <c r="BU124" s="284" cm="1">
        <f t="array" aca="1" ref="BU124" ca="1">INDIRECT("'"&amp;$C124&amp;"'!"&amp;"$"&amp;$D124&amp;74&amp;"")</f>
        <v>0</v>
      </c>
      <c r="BV124" s="281"/>
      <c r="BW124" s="281" t="s">
        <v>1</v>
      </c>
      <c r="BX124" s="279" t="s">
        <v>1</v>
      </c>
    </row>
    <row r="125" spans="1:76">
      <c r="A125" s="459">
        <v>45843</v>
      </c>
      <c r="B125" s="345">
        <v>0.83333333333333337</v>
      </c>
      <c r="C125" s="305">
        <v>5</v>
      </c>
      <c r="D125" s="306" t="s">
        <v>162</v>
      </c>
      <c r="E125" s="285">
        <v>14.1</v>
      </c>
      <c r="F125" s="286">
        <v>69.5</v>
      </c>
      <c r="G125" s="287" t="str" cm="1">
        <f t="array" aca="1" ref="G125" ca="1">INDIRECT("'"&amp;$C125&amp;"'!"&amp;"$"&amp;$D125&amp;$E$1&amp;"")</f>
        <v>CMS</v>
      </c>
      <c r="H125" s="288" t="s">
        <v>1</v>
      </c>
      <c r="I125" s="286" t="s">
        <v>1</v>
      </c>
      <c r="J125" s="287" cm="1">
        <f t="array" aca="1" ref="J125" ca="1">INDIRECT("'"&amp;$C125&amp;"'!"&amp;"$"&amp;$D125&amp;$J$1&amp;"")</f>
        <v>6.8</v>
      </c>
      <c r="K125" s="288"/>
      <c r="L125" s="288">
        <v>0.92</v>
      </c>
      <c r="M125" s="289">
        <v>2.83</v>
      </c>
      <c r="N125" s="285" cm="1">
        <f t="array" aca="1" ref="N125" ca="1">INDIRECT("'"&amp;$C125&amp;"'!"&amp;"$"&amp;$D125&amp;$N$1&amp;"")</f>
        <v>6.8</v>
      </c>
      <c r="O125" s="288"/>
      <c r="P125" s="288">
        <v>0.92</v>
      </c>
      <c r="Q125" s="286">
        <v>2.87</v>
      </c>
      <c r="R125" s="285" cm="1">
        <f t="array" aca="1" ref="R125" ca="1">INDIRECT("'"&amp;$C125&amp;"'!"&amp;"$"&amp;$D125&amp;$R$1&amp;"")</f>
        <v>6.8</v>
      </c>
      <c r="S125" s="288"/>
      <c r="T125" s="288">
        <v>0.92</v>
      </c>
      <c r="U125" s="286">
        <v>2.81</v>
      </c>
      <c r="V125" s="287" t="str" cm="1">
        <f t="array" aca="1" ref="V125" ca="1">INDIRECT("'"&amp;$C125&amp;"'!"&amp;"$"&amp;$D125&amp;$V$1&amp;"")</f>
        <v>CMS</v>
      </c>
      <c r="W125" s="288" t="s">
        <v>1</v>
      </c>
      <c r="X125" s="288" t="s">
        <v>1</v>
      </c>
      <c r="Y125" s="289" t="s">
        <v>1</v>
      </c>
      <c r="Z125" s="285" t="str" cm="1">
        <f t="array" aca="1" ref="Z125" ca="1">INDIRECT("'"&amp;$C125&amp;"'!"&amp;"$"&amp;$D125&amp;$Z$1&amp;"")</f>
        <v>CMS</v>
      </c>
      <c r="AA125" s="288" t="s">
        <v>1</v>
      </c>
      <c r="AB125" s="288" t="s">
        <v>1</v>
      </c>
      <c r="AC125" s="286" t="s">
        <v>1</v>
      </c>
      <c r="AD125" s="287" cm="1">
        <f t="array" aca="1" ref="AD125" ca="1">INDIRECT("'"&amp;$C125&amp;"'!"&amp;"$"&amp;$D125&amp;$AD$1&amp;"")</f>
        <v>3.6</v>
      </c>
      <c r="AE125" s="288">
        <f>3.53*3.8</f>
        <v>13.413999999999998</v>
      </c>
      <c r="AF125" s="288">
        <v>0.94</v>
      </c>
      <c r="AG125" s="289">
        <v>1.27</v>
      </c>
      <c r="AH125" s="285" cm="1">
        <f t="array" aca="1" ref="AH125" ca="1">INDIRECT("'"&amp;$C125&amp;"'!"&amp;"$"&amp;$D125&amp;$AH$1&amp;"")</f>
        <v>3.8</v>
      </c>
      <c r="AI125" s="288">
        <v>14</v>
      </c>
      <c r="AJ125" s="288">
        <v>0.99</v>
      </c>
      <c r="AK125" s="286">
        <v>0.314</v>
      </c>
      <c r="AL125" s="285">
        <v>11.6</v>
      </c>
      <c r="AM125" s="289">
        <v>70.400000000000006</v>
      </c>
      <c r="AN125" s="285" cm="1">
        <f t="array" aca="1" ref="AN125" ca="1">INDIRECT("'"&amp;$C125&amp;"'!"&amp;"$"&amp;$D125&amp;$AL$1&amp;"")</f>
        <v>0</v>
      </c>
      <c r="AO125" s="288" t="s">
        <v>1</v>
      </c>
      <c r="AP125" s="286" t="s">
        <v>1</v>
      </c>
      <c r="AQ125" s="287" cm="1">
        <f t="array" aca="1" ref="AQ125" ca="1">INDIRECT("'"&amp;$C125&amp;"'!"&amp;"$"&amp;$D125&amp;$AQ$1&amp;"")</f>
        <v>3.8</v>
      </c>
      <c r="AR125" s="288">
        <v>0.95</v>
      </c>
      <c r="AS125" s="286">
        <v>1.22</v>
      </c>
      <c r="AT125" s="285">
        <v>14</v>
      </c>
      <c r="AU125" s="289">
        <v>70.099999999999994</v>
      </c>
      <c r="AV125" s="288" cm="1">
        <f t="array" aca="1" ref="AV125" ca="1">INDIRECT("'"&amp;$C125&amp;"'!"&amp;"$"&amp;$D125&amp;$AV$1&amp;"")</f>
        <v>0</v>
      </c>
      <c r="AW125" s="287" t="s">
        <v>1</v>
      </c>
      <c r="AX125" s="288" t="s">
        <v>1</v>
      </c>
      <c r="AY125" s="286" t="s">
        <v>1</v>
      </c>
      <c r="AZ125" s="288" cm="1">
        <f t="array" aca="1" ref="AZ125" ca="1">INDIRECT("'"&amp;$C125&amp;"'!"&amp;"$"&amp;$D125&amp;$AZ$1&amp;"")</f>
        <v>7</v>
      </c>
      <c r="BA125" s="287" t="s">
        <v>1</v>
      </c>
      <c r="BB125" s="288">
        <v>0.98</v>
      </c>
      <c r="BC125" s="286">
        <v>1</v>
      </c>
      <c r="BD125" s="290">
        <v>14.13</v>
      </c>
      <c r="BE125" s="289">
        <v>71.58</v>
      </c>
      <c r="BF125" s="290" cm="1">
        <f t="array" aca="1" ref="BF125" ca="1">INDIRECT("'"&amp;$C125&amp;"'!"&amp;"$"&amp;$D125&amp;$BF$1&amp;"")</f>
        <v>14.29</v>
      </c>
      <c r="BG125" s="288">
        <v>0.99</v>
      </c>
      <c r="BH125" s="286">
        <v>2.4</v>
      </c>
      <c r="BI125" s="525">
        <v>67.900000000000006</v>
      </c>
      <c r="BJ125" s="285" cm="1">
        <f t="array" aca="1" ref="BJ125" ca="1">INDIRECT("'"&amp;$C125&amp;"'!"&amp;"$"&amp;$D125&amp;$BI$1&amp;"")</f>
        <v>0</v>
      </c>
      <c r="BK125" s="287" t="s">
        <v>1</v>
      </c>
      <c r="BL125" s="286" t="s">
        <v>1</v>
      </c>
      <c r="BM125" s="290" cm="1">
        <f t="array" aca="1" ref="BM125" ca="1">INDIRECT("'"&amp;$C125&amp;"'!"&amp;"$"&amp;$D125&amp;$BM$1&amp;"")</f>
        <v>1.42</v>
      </c>
      <c r="BN125" s="288"/>
      <c r="BO125" s="288">
        <v>0.99</v>
      </c>
      <c r="BP125" s="286">
        <v>0.16</v>
      </c>
      <c r="BQ125" s="291" cm="1">
        <f t="array" aca="1" ref="BQ125" ca="1">INDIRECT("'"&amp;$C125&amp;"'!"&amp;"$"&amp;$D125&amp;$BQ$1&amp;"")</f>
        <v>0.99</v>
      </c>
      <c r="BR125" s="288"/>
      <c r="BS125" s="288">
        <v>0.96</v>
      </c>
      <c r="BT125" s="286">
        <v>0.26</v>
      </c>
      <c r="BU125" s="291" cm="1">
        <f t="array" aca="1" ref="BU125" ca="1">INDIRECT("'"&amp;$C125&amp;"'!"&amp;"$"&amp;$D125&amp;74&amp;"")</f>
        <v>0</v>
      </c>
      <c r="BV125" s="288"/>
      <c r="BW125" s="288" t="s">
        <v>1</v>
      </c>
      <c r="BX125" s="286" t="s">
        <v>1</v>
      </c>
    </row>
    <row r="126" spans="1:76">
      <c r="A126" s="459">
        <v>45843</v>
      </c>
      <c r="B126" s="345">
        <v>0.875000000000001</v>
      </c>
      <c r="C126" s="305">
        <v>5</v>
      </c>
      <c r="D126" s="306" t="s">
        <v>163</v>
      </c>
      <c r="E126" s="278">
        <v>14.2</v>
      </c>
      <c r="F126" s="279">
        <v>69.989999999999995</v>
      </c>
      <c r="G126" s="280" t="str" cm="1">
        <f t="array" aca="1" ref="G126" ca="1">INDIRECT("'"&amp;$C126&amp;"'!"&amp;"$"&amp;$D126&amp;$E$1&amp;"")</f>
        <v>CMS</v>
      </c>
      <c r="H126" s="281" t="s">
        <v>1</v>
      </c>
      <c r="I126" s="279" t="s">
        <v>1</v>
      </c>
      <c r="J126" s="280" cm="1">
        <f t="array" aca="1" ref="J126" ca="1">INDIRECT("'"&amp;$C126&amp;"'!"&amp;"$"&amp;$D126&amp;$J$1&amp;"")</f>
        <v>7.1</v>
      </c>
      <c r="K126" s="281"/>
      <c r="L126" s="281">
        <v>0.95</v>
      </c>
      <c r="M126" s="282">
        <v>2.4500000000000002</v>
      </c>
      <c r="N126" s="278" cm="1">
        <f t="array" aca="1" ref="N126" ca="1">INDIRECT("'"&amp;$C126&amp;"'!"&amp;"$"&amp;$D126&amp;$N$1&amp;"")</f>
        <v>7.1</v>
      </c>
      <c r="O126" s="281"/>
      <c r="P126" s="281">
        <v>0.95</v>
      </c>
      <c r="Q126" s="279">
        <v>2.4</v>
      </c>
      <c r="R126" s="468" cm="1">
        <f t="array" aca="1" ref="R126" ca="1">INDIRECT("'"&amp;$C126&amp;"'!"&amp;"$"&amp;$D126&amp;$R$1&amp;"")</f>
        <v>7.1</v>
      </c>
      <c r="S126" s="281"/>
      <c r="T126" s="281">
        <v>0.95</v>
      </c>
      <c r="U126" s="279">
        <v>2.44</v>
      </c>
      <c r="V126" s="280" t="str" cm="1">
        <f t="array" aca="1" ref="V126" ca="1">INDIRECT("'"&amp;$C126&amp;"'!"&amp;"$"&amp;$D126&amp;$V$1&amp;"")</f>
        <v>CMS</v>
      </c>
      <c r="W126" s="281" t="s">
        <v>1</v>
      </c>
      <c r="X126" s="281" t="s">
        <v>1</v>
      </c>
      <c r="Y126" s="282" t="s">
        <v>1</v>
      </c>
      <c r="Z126" s="278" t="str" cm="1">
        <f t="array" aca="1" ref="Z126" ca="1">INDIRECT("'"&amp;$C126&amp;"'!"&amp;"$"&amp;$D126&amp;$Z$1&amp;"")</f>
        <v>CMS</v>
      </c>
      <c r="AA126" s="281" t="s">
        <v>1</v>
      </c>
      <c r="AB126" s="281" t="s">
        <v>1</v>
      </c>
      <c r="AC126" s="279" t="s">
        <v>1</v>
      </c>
      <c r="AD126" s="280" cm="1">
        <f t="array" aca="1" ref="AD126" ca="1">INDIRECT("'"&amp;$C126&amp;"'!"&amp;"$"&amp;$D126&amp;$AD$1&amp;"")</f>
        <v>3.9</v>
      </c>
      <c r="AE126" s="281">
        <f>3.8*3.57</f>
        <v>13.565999999999999</v>
      </c>
      <c r="AF126" s="281">
        <v>0.95</v>
      </c>
      <c r="AG126" s="282">
        <v>1.3</v>
      </c>
      <c r="AH126" s="278" cm="1">
        <f t="array" aca="1" ref="AH126" ca="1">INDIRECT("'"&amp;$C126&amp;"'!"&amp;"$"&amp;$D126&amp;$AH$1&amp;"")</f>
        <v>0</v>
      </c>
      <c r="AI126" s="281" t="s">
        <v>1</v>
      </c>
      <c r="AJ126" s="281" t="s">
        <v>1</v>
      </c>
      <c r="AK126" s="279" t="s">
        <v>1</v>
      </c>
      <c r="AL126" s="278">
        <v>11.6</v>
      </c>
      <c r="AM126" s="282">
        <v>70.599999999999994</v>
      </c>
      <c r="AN126" s="278" cm="1">
        <f t="array" aca="1" ref="AN126" ca="1">INDIRECT("'"&amp;$C126&amp;"'!"&amp;"$"&amp;$D126&amp;$AL$1&amp;"")</f>
        <v>0</v>
      </c>
      <c r="AO126" s="281" t="s">
        <v>1</v>
      </c>
      <c r="AP126" s="279" t="s">
        <v>1</v>
      </c>
      <c r="AQ126" s="280" cm="1">
        <f t="array" aca="1" ref="AQ126" ca="1">INDIRECT("'"&amp;$C126&amp;"'!"&amp;"$"&amp;$D126&amp;$AQ$1&amp;"")</f>
        <v>3.8</v>
      </c>
      <c r="AR126" s="281">
        <v>0.98</v>
      </c>
      <c r="AS126" s="279">
        <v>0.86</v>
      </c>
      <c r="AT126" s="278">
        <v>13.88</v>
      </c>
      <c r="AU126" s="282">
        <v>70.2</v>
      </c>
      <c r="AV126" s="281" cm="1">
        <f t="array" aca="1" ref="AV126" ca="1">INDIRECT("'"&amp;$C126&amp;"'!"&amp;"$"&amp;$D126&amp;$AV$1&amp;"")</f>
        <v>0</v>
      </c>
      <c r="AW126" s="280" t="s">
        <v>1</v>
      </c>
      <c r="AX126" s="281" t="s">
        <v>1</v>
      </c>
      <c r="AY126" s="279" t="s">
        <v>1</v>
      </c>
      <c r="AZ126" s="281" cm="1">
        <f t="array" aca="1" ref="AZ126" ca="1">INDIRECT("'"&amp;$C126&amp;"'!"&amp;"$"&amp;$D126&amp;$AZ$1&amp;"")</f>
        <v>7.3</v>
      </c>
      <c r="BA126" s="280" t="s">
        <v>1</v>
      </c>
      <c r="BB126" s="281">
        <v>0.99</v>
      </c>
      <c r="BC126" s="279">
        <v>1.1000000000000001</v>
      </c>
      <c r="BD126" s="283">
        <v>14.14</v>
      </c>
      <c r="BE126" s="282">
        <v>71.61</v>
      </c>
      <c r="BF126" s="283" cm="1">
        <f t="array" aca="1" ref="BF126" ca="1">INDIRECT("'"&amp;$C126&amp;"'!"&amp;"$"&amp;$D126&amp;$BF$1&amp;"")</f>
        <v>14.3</v>
      </c>
      <c r="BG126" s="281">
        <v>0.99</v>
      </c>
      <c r="BH126" s="279">
        <v>2.2999999999999998</v>
      </c>
      <c r="BI126" s="524">
        <v>68.5</v>
      </c>
      <c r="BJ126" s="278" cm="1">
        <f t="array" aca="1" ref="BJ126" ca="1">INDIRECT("'"&amp;$C126&amp;"'!"&amp;"$"&amp;$D126&amp;$BI$1&amp;"")</f>
        <v>0</v>
      </c>
      <c r="BK126" s="280" t="s">
        <v>1</v>
      </c>
      <c r="BL126" s="279" t="s">
        <v>1</v>
      </c>
      <c r="BM126" s="283" cm="1">
        <f t="array" aca="1" ref="BM126" ca="1">INDIRECT("'"&amp;$C126&amp;"'!"&amp;"$"&amp;$D126&amp;$BM$1&amp;"")</f>
        <v>1.33</v>
      </c>
      <c r="BN126" s="281"/>
      <c r="BO126" s="281">
        <v>0.99</v>
      </c>
      <c r="BP126" s="279">
        <v>0.16</v>
      </c>
      <c r="BQ126" s="284" cm="1">
        <f t="array" aca="1" ref="BQ126" ca="1">INDIRECT("'"&amp;$C126&amp;"'!"&amp;"$"&amp;$D126&amp;$BQ$1&amp;"")</f>
        <v>0.93</v>
      </c>
      <c r="BR126" s="281"/>
      <c r="BS126" s="281">
        <v>0.97</v>
      </c>
      <c r="BT126" s="279">
        <v>0.24</v>
      </c>
      <c r="BU126" s="284" cm="1">
        <f t="array" aca="1" ref="BU126" ca="1">INDIRECT("'"&amp;$C126&amp;"'!"&amp;"$"&amp;$D126&amp;74&amp;"")</f>
        <v>0</v>
      </c>
      <c r="BV126" s="281"/>
      <c r="BW126" s="281" t="s">
        <v>1</v>
      </c>
      <c r="BX126" s="279" t="s">
        <v>1</v>
      </c>
    </row>
    <row r="127" spans="1:76">
      <c r="A127" s="459">
        <v>45843</v>
      </c>
      <c r="B127" s="345">
        <v>0.91666666666666696</v>
      </c>
      <c r="C127" s="305">
        <v>5</v>
      </c>
      <c r="D127" s="306" t="s">
        <v>164</v>
      </c>
      <c r="E127" s="285">
        <v>14.1</v>
      </c>
      <c r="F127" s="286">
        <v>70.45</v>
      </c>
      <c r="G127" s="287" t="str" cm="1">
        <f t="array" aca="1" ref="G127" ca="1">INDIRECT("'"&amp;$C127&amp;"'!"&amp;"$"&amp;$D127&amp;$E$1&amp;"")</f>
        <v>CMS</v>
      </c>
      <c r="H127" s="288" t="s">
        <v>1</v>
      </c>
      <c r="I127" s="286" t="s">
        <v>1</v>
      </c>
      <c r="J127" s="287" cm="1">
        <f t="array" aca="1" ref="J127" ca="1">INDIRECT("'"&amp;$C127&amp;"'!"&amp;"$"&amp;$D127&amp;$J$1&amp;"")</f>
        <v>6.7</v>
      </c>
      <c r="K127" s="288"/>
      <c r="L127" s="288">
        <v>0.97</v>
      </c>
      <c r="M127" s="289">
        <v>1.75</v>
      </c>
      <c r="N127" s="285" cm="1">
        <f t="array" aca="1" ref="N127" ca="1">INDIRECT("'"&amp;$C127&amp;"'!"&amp;"$"&amp;$D127&amp;$N$1&amp;"")</f>
        <v>6.7</v>
      </c>
      <c r="O127" s="288"/>
      <c r="P127" s="288">
        <v>0.97</v>
      </c>
      <c r="Q127" s="286">
        <v>1.71</v>
      </c>
      <c r="R127" s="285" cm="1">
        <f t="array" aca="1" ref="R127" ca="1">INDIRECT("'"&amp;$C127&amp;"'!"&amp;"$"&amp;$D127&amp;$R$1&amp;"")</f>
        <v>6.7</v>
      </c>
      <c r="S127" s="288"/>
      <c r="T127" s="288">
        <v>0.97</v>
      </c>
      <c r="U127" s="286">
        <v>1.76</v>
      </c>
      <c r="V127" s="287" t="str" cm="1">
        <f t="array" aca="1" ref="V127" ca="1">INDIRECT("'"&amp;$C127&amp;"'!"&amp;"$"&amp;$D127&amp;$V$1&amp;"")</f>
        <v>CMS</v>
      </c>
      <c r="W127" s="288" t="s">
        <v>1</v>
      </c>
      <c r="X127" s="288" t="s">
        <v>1</v>
      </c>
      <c r="Y127" s="289" t="s">
        <v>1</v>
      </c>
      <c r="Z127" s="285" t="str" cm="1">
        <f t="array" aca="1" ref="Z127" ca="1">INDIRECT("'"&amp;$C127&amp;"'!"&amp;"$"&amp;$D127&amp;$Z$1&amp;"")</f>
        <v>CMS</v>
      </c>
      <c r="AA127" s="288" t="s">
        <v>1</v>
      </c>
      <c r="AB127" s="288" t="s">
        <v>1</v>
      </c>
      <c r="AC127" s="286" t="s">
        <v>1</v>
      </c>
      <c r="AD127" s="287" cm="1">
        <f t="array" aca="1" ref="AD127" ca="1">INDIRECT("'"&amp;$C127&amp;"'!"&amp;"$"&amp;$D127&amp;$AD$1&amp;"")</f>
        <v>3</v>
      </c>
      <c r="AE127" s="288">
        <f>3.59*3.8</f>
        <v>13.641999999999999</v>
      </c>
      <c r="AF127" s="288">
        <v>0.95</v>
      </c>
      <c r="AG127" s="289">
        <v>1.1200000000000001</v>
      </c>
      <c r="AH127" s="285" cm="1">
        <f t="array" aca="1" ref="AH127" ca="1">INDIRECT("'"&amp;$C127&amp;"'!"&amp;"$"&amp;$D127&amp;$AH$1&amp;"")</f>
        <v>0</v>
      </c>
      <c r="AI127" s="288" t="s">
        <v>1</v>
      </c>
      <c r="AJ127" s="288" t="s">
        <v>1</v>
      </c>
      <c r="AK127" s="286" t="s">
        <v>1</v>
      </c>
      <c r="AL127" s="285">
        <v>11.6</v>
      </c>
      <c r="AM127" s="289">
        <v>71</v>
      </c>
      <c r="AN127" s="285" cm="1">
        <f t="array" aca="1" ref="AN127" ca="1">INDIRECT("'"&amp;$C127&amp;"'!"&amp;"$"&amp;$D127&amp;$AL$1&amp;"")</f>
        <v>0</v>
      </c>
      <c r="AO127" s="288" t="s">
        <v>1</v>
      </c>
      <c r="AP127" s="286" t="s">
        <v>1</v>
      </c>
      <c r="AQ127" s="287" cm="1">
        <f t="array" aca="1" ref="AQ127" ca="1">INDIRECT("'"&amp;$C127&amp;"'!"&amp;"$"&amp;$D127&amp;$AQ$1&amp;"")</f>
        <v>1.5</v>
      </c>
      <c r="AR127" s="288">
        <v>0.95</v>
      </c>
      <c r="AS127" s="286">
        <v>0.57999999999999996</v>
      </c>
      <c r="AT127" s="285">
        <v>13.94</v>
      </c>
      <c r="AU127" s="289">
        <v>70.3</v>
      </c>
      <c r="AV127" s="288" cm="1">
        <f t="array" aca="1" ref="AV127" ca="1">INDIRECT("'"&amp;$C127&amp;"'!"&amp;"$"&amp;$D127&amp;$AV$1&amp;"")</f>
        <v>0</v>
      </c>
      <c r="AW127" s="287" t="s">
        <v>1</v>
      </c>
      <c r="AX127" s="288" t="s">
        <v>1</v>
      </c>
      <c r="AY127" s="286" t="s">
        <v>1</v>
      </c>
      <c r="AZ127" s="288" cm="1">
        <f t="array" aca="1" ref="AZ127" ca="1">INDIRECT("'"&amp;$C127&amp;"'!"&amp;"$"&amp;$D127&amp;$AZ$1&amp;"")</f>
        <v>7</v>
      </c>
      <c r="BA127" s="287" t="s">
        <v>1</v>
      </c>
      <c r="BB127" s="288">
        <v>0.99</v>
      </c>
      <c r="BC127" s="286">
        <v>0.96</v>
      </c>
      <c r="BD127" s="290">
        <v>14.24</v>
      </c>
      <c r="BE127" s="289">
        <v>72.11</v>
      </c>
      <c r="BF127" s="290" cm="1">
        <f t="array" aca="1" ref="BF127" ca="1">INDIRECT("'"&amp;$C127&amp;"'!"&amp;"$"&amp;$D127&amp;$BF$1&amp;"")</f>
        <v>14.31</v>
      </c>
      <c r="BG127" s="288">
        <v>0.99</v>
      </c>
      <c r="BH127" s="286">
        <v>2.2999999999999998</v>
      </c>
      <c r="BI127" s="525">
        <v>69</v>
      </c>
      <c r="BJ127" s="285" cm="1">
        <f t="array" aca="1" ref="BJ127" ca="1">INDIRECT("'"&amp;$C127&amp;"'!"&amp;"$"&amp;$D127&amp;$BI$1&amp;"")</f>
        <v>0</v>
      </c>
      <c r="BK127" s="287" t="s">
        <v>1</v>
      </c>
      <c r="BL127" s="286" t="s">
        <v>1</v>
      </c>
      <c r="BM127" s="290" cm="1">
        <f t="array" aca="1" ref="BM127" ca="1">INDIRECT("'"&amp;$C127&amp;"'!"&amp;"$"&amp;$D127&amp;$BM$1&amp;"")</f>
        <v>1.18</v>
      </c>
      <c r="BN127" s="288"/>
      <c r="BO127" s="288">
        <v>0.99</v>
      </c>
      <c r="BP127" s="286">
        <v>0.12</v>
      </c>
      <c r="BQ127" s="291" cm="1">
        <f t="array" aca="1" ref="BQ127" ca="1">INDIRECT("'"&amp;$C127&amp;"'!"&amp;"$"&amp;$D127&amp;$BQ$1&amp;"")</f>
        <v>0.87</v>
      </c>
      <c r="BR127" s="288"/>
      <c r="BS127" s="288">
        <v>0.97</v>
      </c>
      <c r="BT127" s="286">
        <v>0.22</v>
      </c>
      <c r="BU127" s="291" cm="1">
        <f t="array" aca="1" ref="BU127" ca="1">INDIRECT("'"&amp;$C127&amp;"'!"&amp;"$"&amp;$D127&amp;74&amp;"")</f>
        <v>0</v>
      </c>
      <c r="BV127" s="288"/>
      <c r="BW127" s="288" t="s">
        <v>1</v>
      </c>
      <c r="BX127" s="286" t="s">
        <v>1</v>
      </c>
    </row>
    <row r="128" spans="1:76" ht="14.45" thickBot="1">
      <c r="A128" s="460">
        <v>45843</v>
      </c>
      <c r="B128" s="346">
        <v>0.95833333333333404</v>
      </c>
      <c r="C128" s="307">
        <v>5</v>
      </c>
      <c r="D128" s="308" t="s">
        <v>165</v>
      </c>
      <c r="E128" s="293">
        <v>14.1</v>
      </c>
      <c r="F128" s="294">
        <v>70.16</v>
      </c>
      <c r="G128" s="295" t="str" cm="1">
        <f t="array" aca="1" ref="G128" ca="1">INDIRECT("'"&amp;$C128&amp;"'!"&amp;"$"&amp;$D128&amp;$E$1&amp;"")</f>
        <v>CMS</v>
      </c>
      <c r="H128" s="296" t="s">
        <v>1</v>
      </c>
      <c r="I128" s="294" t="s">
        <v>1</v>
      </c>
      <c r="J128" s="295" cm="1">
        <f t="array" aca="1" ref="J128" ca="1">INDIRECT("'"&amp;$C128&amp;"'!"&amp;"$"&amp;$D128&amp;$J$1&amp;"")</f>
        <v>6.8</v>
      </c>
      <c r="K128" s="296"/>
      <c r="L128" s="296">
        <v>0.98</v>
      </c>
      <c r="M128" s="297">
        <v>1.21</v>
      </c>
      <c r="N128" s="293" cm="1">
        <f t="array" aca="1" ref="N128" ca="1">INDIRECT("'"&amp;$C128&amp;"'!"&amp;"$"&amp;$D128&amp;$N$1&amp;"")</f>
        <v>6.8</v>
      </c>
      <c r="O128" s="296"/>
      <c r="P128" s="296">
        <v>0.98</v>
      </c>
      <c r="Q128" s="294">
        <v>1.27</v>
      </c>
      <c r="R128" s="470" cm="1">
        <f t="array" aca="1" ref="R128" ca="1">INDIRECT("'"&amp;$C128&amp;"'!"&amp;"$"&amp;$D128&amp;$R$1&amp;"")</f>
        <v>6.8</v>
      </c>
      <c r="S128" s="296"/>
      <c r="T128" s="296">
        <v>0.95</v>
      </c>
      <c r="U128" s="294">
        <v>2.2999999999999998</v>
      </c>
      <c r="V128" s="295" t="str" cm="1">
        <f t="array" aca="1" ref="V128" ca="1">INDIRECT("'"&amp;$C128&amp;"'!"&amp;"$"&amp;$D128&amp;$V$1&amp;"")</f>
        <v>CMS</v>
      </c>
      <c r="W128" s="296" t="s">
        <v>1</v>
      </c>
      <c r="X128" s="296" t="s">
        <v>1</v>
      </c>
      <c r="Y128" s="297" t="s">
        <v>1</v>
      </c>
      <c r="Z128" s="293" t="str" cm="1">
        <f t="array" aca="1" ref="Z128" ca="1">INDIRECT("'"&amp;$C128&amp;"'!"&amp;"$"&amp;$D128&amp;$Z$1&amp;"")</f>
        <v>CMS</v>
      </c>
      <c r="AA128" s="296" t="s">
        <v>1</v>
      </c>
      <c r="AB128" s="296" t="s">
        <v>1</v>
      </c>
      <c r="AC128" s="294" t="s">
        <v>1</v>
      </c>
      <c r="AD128" s="295" cm="1">
        <f t="array" aca="1" ref="AD128" ca="1">INDIRECT("'"&amp;$C128&amp;"'!"&amp;"$"&amp;$D128&amp;$AD$1&amp;"")</f>
        <v>0</v>
      </c>
      <c r="AE128" s="296" t="s">
        <v>1</v>
      </c>
      <c r="AF128" s="296" t="s">
        <v>1</v>
      </c>
      <c r="AG128" s="297" t="s">
        <v>1</v>
      </c>
      <c r="AH128" s="293" cm="1">
        <f t="array" aca="1" ref="AH128" ca="1">INDIRECT("'"&amp;$C128&amp;"'!"&amp;"$"&amp;$D128&amp;$AH$1&amp;"")</f>
        <v>0</v>
      </c>
      <c r="AI128" s="296" t="s">
        <v>1</v>
      </c>
      <c r="AJ128" s="296" t="s">
        <v>1</v>
      </c>
      <c r="AK128" s="294" t="s">
        <v>1</v>
      </c>
      <c r="AL128" s="293">
        <v>11.6</v>
      </c>
      <c r="AM128" s="297">
        <v>71</v>
      </c>
      <c r="AN128" s="293" cm="1">
        <f t="array" aca="1" ref="AN128" ca="1">INDIRECT("'"&amp;$C128&amp;"'!"&amp;"$"&amp;$D128&amp;$AL$1&amp;"")</f>
        <v>0</v>
      </c>
      <c r="AO128" s="296" t="s">
        <v>1</v>
      </c>
      <c r="AP128" s="294" t="s">
        <v>1</v>
      </c>
      <c r="AQ128" s="295" cm="1">
        <f t="array" aca="1" ref="AQ128" ca="1">INDIRECT("'"&amp;$C128&amp;"'!"&amp;"$"&amp;$D128&amp;$AQ$1&amp;"")</f>
        <v>1.5</v>
      </c>
      <c r="AR128" s="296">
        <v>0.94</v>
      </c>
      <c r="AS128" s="294">
        <v>0.69</v>
      </c>
      <c r="AT128" s="293">
        <v>13.92</v>
      </c>
      <c r="AU128" s="297">
        <v>70.400000000000006</v>
      </c>
      <c r="AV128" s="296" cm="1">
        <f t="array" aca="1" ref="AV128" ca="1">INDIRECT("'"&amp;$C128&amp;"'!"&amp;"$"&amp;$D128&amp;$AV$1&amp;"")</f>
        <v>0</v>
      </c>
      <c r="AW128" s="295" t="s">
        <v>1</v>
      </c>
      <c r="AX128" s="296" t="s">
        <v>1</v>
      </c>
      <c r="AY128" s="294" t="s">
        <v>1</v>
      </c>
      <c r="AZ128" s="296" cm="1">
        <f t="array" aca="1" ref="AZ128" ca="1">INDIRECT("'"&amp;$C128&amp;"'!"&amp;"$"&amp;$D128&amp;$AZ$1&amp;"")</f>
        <v>6</v>
      </c>
      <c r="BA128" s="295" t="s">
        <v>1</v>
      </c>
      <c r="BB128" s="296">
        <v>0.98</v>
      </c>
      <c r="BC128" s="294">
        <v>1.1000000000000001</v>
      </c>
      <c r="BD128" s="298">
        <v>14.22</v>
      </c>
      <c r="BE128" s="297">
        <v>72.02</v>
      </c>
      <c r="BF128" s="298" cm="1">
        <f t="array" aca="1" ref="BF128" ca="1">INDIRECT("'"&amp;$C128&amp;"'!"&amp;"$"&amp;$D128&amp;$BF$1&amp;"")</f>
        <v>14.26</v>
      </c>
      <c r="BG128" s="296">
        <v>0.99</v>
      </c>
      <c r="BH128" s="294">
        <v>2.4</v>
      </c>
      <c r="BI128" s="526">
        <v>68.8</v>
      </c>
      <c r="BJ128" s="293" cm="1">
        <f t="array" aca="1" ref="BJ128" ca="1">INDIRECT("'"&amp;$C128&amp;"'!"&amp;"$"&amp;$D128&amp;$BI$1&amp;"")</f>
        <v>0</v>
      </c>
      <c r="BK128" s="295" t="s">
        <v>1</v>
      </c>
      <c r="BL128" s="294" t="s">
        <v>1</v>
      </c>
      <c r="BM128" s="298" cm="1">
        <f t="array" aca="1" ref="BM128" ca="1">INDIRECT("'"&amp;$C128&amp;"'!"&amp;"$"&amp;$D128&amp;$BM$1&amp;"")</f>
        <v>1.06</v>
      </c>
      <c r="BN128" s="296"/>
      <c r="BO128" s="296">
        <v>0.99</v>
      </c>
      <c r="BP128" s="294">
        <v>0.11</v>
      </c>
      <c r="BQ128" s="299" cm="1">
        <f t="array" aca="1" ref="BQ128" ca="1">INDIRECT("'"&amp;$C128&amp;"'!"&amp;"$"&amp;$D128&amp;$BQ$1&amp;"")</f>
        <v>0.85</v>
      </c>
      <c r="BR128" s="296"/>
      <c r="BS128" s="296">
        <v>0.97</v>
      </c>
      <c r="BT128" s="294">
        <v>0.22</v>
      </c>
      <c r="BU128" s="299" cm="1">
        <f t="array" aca="1" ref="BU128" ca="1">INDIRECT("'"&amp;$C128&amp;"'!"&amp;"$"&amp;$D128&amp;74&amp;"")</f>
        <v>0</v>
      </c>
      <c r="BV128" s="296"/>
      <c r="BW128" s="296" t="s">
        <v>1</v>
      </c>
      <c r="BX128" s="294" t="s">
        <v>1</v>
      </c>
    </row>
    <row r="129" spans="1:76" ht="14.45" thickBot="1"/>
    <row r="130" spans="1:76">
      <c r="A130" s="347">
        <v>45844</v>
      </c>
      <c r="B130" s="344">
        <v>0</v>
      </c>
      <c r="C130" s="302">
        <v>6</v>
      </c>
      <c r="D130" s="303" t="s">
        <v>142</v>
      </c>
      <c r="E130" s="272">
        <v>14.1</v>
      </c>
      <c r="F130" s="273">
        <v>71.790000000000006</v>
      </c>
      <c r="G130" s="274" t="str" cm="1">
        <f t="array" aca="1" ref="G130" ca="1">INDIRECT("'"&amp;$C130&amp;"'!"&amp;"$"&amp;$D130&amp;$E$1&amp;"")</f>
        <v>CMS</v>
      </c>
      <c r="H130" s="275" t="s">
        <v>1</v>
      </c>
      <c r="I130" s="273" t="s">
        <v>1</v>
      </c>
      <c r="J130" s="274" cm="1">
        <f t="array" aca="1" ref="J130" ca="1">INDIRECT("'"&amp;$C130&amp;"'!"&amp;"$"&amp;$D130&amp;$J$1&amp;"")</f>
        <v>6.5</v>
      </c>
      <c r="K130" s="275"/>
      <c r="L130" s="275">
        <v>0.97</v>
      </c>
      <c r="M130" s="276">
        <v>1.35</v>
      </c>
      <c r="N130" s="272" cm="1">
        <f t="array" aca="1" ref="N130" ca="1">INDIRECT("'"&amp;$C130&amp;"'!"&amp;"$"&amp;$D130&amp;$N$1&amp;"")</f>
        <v>7</v>
      </c>
      <c r="O130" s="275"/>
      <c r="P130" s="275">
        <v>0.98</v>
      </c>
      <c r="Q130" s="273">
        <v>1.26</v>
      </c>
      <c r="R130" s="467" cm="1">
        <f t="array" aca="1" ref="R130" ca="1">INDIRECT("'"&amp;$C130&amp;"'!"&amp;"$"&amp;$D130&amp;$R$1&amp;"")</f>
        <v>6.5</v>
      </c>
      <c r="S130" s="275"/>
      <c r="T130" s="275">
        <v>0.98</v>
      </c>
      <c r="U130" s="273">
        <v>1.32</v>
      </c>
      <c r="V130" s="274" t="str" cm="1">
        <f t="array" aca="1" ref="V130" ca="1">INDIRECT("'"&amp;$C130&amp;"'!"&amp;"$"&amp;$D130&amp;$V$1&amp;"")</f>
        <v>CMS</v>
      </c>
      <c r="W130" s="275" t="s">
        <v>1</v>
      </c>
      <c r="X130" s="275" t="s">
        <v>1</v>
      </c>
      <c r="Y130" s="276" t="s">
        <v>1</v>
      </c>
      <c r="Z130" s="272" t="str" cm="1">
        <f t="array" aca="1" ref="Z130" ca="1">INDIRECT("'"&amp;$C130&amp;"'!"&amp;"$"&amp;$D130&amp;$Z$1&amp;"")</f>
        <v>CMS</v>
      </c>
      <c r="AA130" s="275" t="s">
        <v>1</v>
      </c>
      <c r="AB130" s="275" t="s">
        <v>1</v>
      </c>
      <c r="AC130" s="273" t="s">
        <v>1</v>
      </c>
      <c r="AD130" s="274" cm="1">
        <f t="array" aca="1" ref="AD130" ca="1">INDIRECT("'"&amp;$C130&amp;"'!"&amp;"$"&amp;$D130&amp;$AD$1&amp;"")</f>
        <v>0</v>
      </c>
      <c r="AE130" s="275" t="s">
        <v>1</v>
      </c>
      <c r="AF130" s="275" t="s">
        <v>1</v>
      </c>
      <c r="AG130" s="273" t="s">
        <v>1</v>
      </c>
      <c r="AH130" s="272" cm="1">
        <f t="array" aca="1" ref="AH130" ca="1">INDIRECT("'"&amp;$C130&amp;"'!"&amp;"$"&amp;$D130&amp;$AH$1&amp;"")</f>
        <v>0</v>
      </c>
      <c r="AI130" s="275" t="s">
        <v>1</v>
      </c>
      <c r="AJ130" s="275" t="s">
        <v>1</v>
      </c>
      <c r="AK130" s="276" t="s">
        <v>1</v>
      </c>
      <c r="AL130" s="272">
        <v>11.6</v>
      </c>
      <c r="AM130" s="273">
        <v>71</v>
      </c>
      <c r="AN130" s="272" cm="1">
        <f t="array" aca="1" ref="AN130" ca="1">INDIRECT("'"&amp;$C130&amp;"'!"&amp;"$"&amp;$D130&amp;$AL$1&amp;"")</f>
        <v>0</v>
      </c>
      <c r="AO130" s="275" t="s">
        <v>1</v>
      </c>
      <c r="AP130" s="273" t="s">
        <v>1</v>
      </c>
      <c r="AQ130" s="274" cm="1">
        <f t="array" aca="1" ref="AQ130" ca="1">INDIRECT("'"&amp;$C130&amp;"'!"&amp;"$"&amp;$D130&amp;$AQ$1&amp;"")</f>
        <v>1.5</v>
      </c>
      <c r="AR130" s="275">
        <v>0.94</v>
      </c>
      <c r="AS130" s="273">
        <v>0.65</v>
      </c>
      <c r="AT130" s="272">
        <v>13.92</v>
      </c>
      <c r="AU130" s="276">
        <v>70.2</v>
      </c>
      <c r="AV130" s="275" cm="1">
        <f t="array" aca="1" ref="AV130" ca="1">INDIRECT("'"&amp;$C130&amp;"'!"&amp;"$"&amp;$D130&amp;$AV$1&amp;"")</f>
        <v>0</v>
      </c>
      <c r="AW130" s="274" t="s">
        <v>1</v>
      </c>
      <c r="AX130" s="275" t="s">
        <v>1</v>
      </c>
      <c r="AY130" s="273" t="s">
        <v>1</v>
      </c>
      <c r="AZ130" s="275" cm="1">
        <f t="array" aca="1" ref="AZ130" ca="1">INDIRECT("'"&amp;$C130&amp;"'!"&amp;"$"&amp;$D130&amp;$AZ$1&amp;"")</f>
        <v>2.7</v>
      </c>
      <c r="BA130" s="274" t="s">
        <v>1</v>
      </c>
      <c r="BB130" s="275">
        <v>0.94</v>
      </c>
      <c r="BC130" s="273">
        <v>1</v>
      </c>
      <c r="BD130" s="277">
        <v>14.13</v>
      </c>
      <c r="BE130" s="276">
        <v>71.97</v>
      </c>
      <c r="BF130" s="277" cm="1">
        <f t="array" aca="1" ref="BF130" ca="1">INDIRECT("'"&amp;$C130&amp;"'!"&amp;"$"&amp;$D130&amp;$BF$1&amp;"")</f>
        <v>13.78</v>
      </c>
      <c r="BG130" s="275">
        <v>1</v>
      </c>
      <c r="BH130" s="273">
        <v>1.3</v>
      </c>
      <c r="BI130" s="523">
        <v>68.900000000000006</v>
      </c>
      <c r="BJ130" s="272" cm="1">
        <f t="array" aca="1" ref="BJ130" ca="1">INDIRECT("'"&amp;$C130&amp;"'!"&amp;"$"&amp;$D130&amp;$BI$1&amp;"")</f>
        <v>0</v>
      </c>
      <c r="BK130" s="274" t="s">
        <v>1</v>
      </c>
      <c r="BL130" s="273" t="s">
        <v>1</v>
      </c>
      <c r="BM130" s="277" cm="1">
        <f t="array" aca="1" ref="BM130" ca="1">INDIRECT("'"&amp;$C130&amp;"'!"&amp;"$"&amp;$D130&amp;$BM$1&amp;"")</f>
        <v>1.03</v>
      </c>
      <c r="BN130" s="275"/>
      <c r="BO130" s="275">
        <v>0.99</v>
      </c>
      <c r="BP130" s="273">
        <v>0.14000000000000001</v>
      </c>
      <c r="BQ130" s="277" cm="1">
        <f t="array" aca="1" ref="BQ130" ca="1">INDIRECT("'"&amp;$C130&amp;"'!"&amp;"$"&amp;$D130&amp;$BQ$1&amp;"")</f>
        <v>0.82</v>
      </c>
      <c r="BR130" s="275"/>
      <c r="BS130" s="275">
        <v>0.96</v>
      </c>
      <c r="BT130" s="273">
        <v>0.22</v>
      </c>
      <c r="BU130" s="358" cm="1">
        <f t="array" aca="1" ref="BU130" ca="1">INDIRECT("'"&amp;$C130&amp;"'!"&amp;"$"&amp;$D130&amp;74&amp;"")</f>
        <v>0</v>
      </c>
      <c r="BV130" s="275"/>
      <c r="BW130" s="275" t="s">
        <v>1</v>
      </c>
      <c r="BX130" s="273" t="s">
        <v>1</v>
      </c>
    </row>
    <row r="131" spans="1:76">
      <c r="A131" s="459">
        <v>45844</v>
      </c>
      <c r="B131" s="345">
        <v>4.1666666666666699E-2</v>
      </c>
      <c r="C131" s="305">
        <v>6</v>
      </c>
      <c r="D131" s="306" t="s">
        <v>143</v>
      </c>
      <c r="E131" s="278">
        <v>14.1</v>
      </c>
      <c r="F131" s="279">
        <v>70.53</v>
      </c>
      <c r="G131" s="280" t="str" cm="1">
        <f t="array" aca="1" ref="G131" ca="1">INDIRECT("'"&amp;$C131&amp;"'!"&amp;"$"&amp;$D131&amp;$E$1&amp;"")</f>
        <v>CMS</v>
      </c>
      <c r="H131" s="281" t="s">
        <v>1</v>
      </c>
      <c r="I131" s="279" t="s">
        <v>1</v>
      </c>
      <c r="J131" s="280" cm="1">
        <f t="array" aca="1" ref="J131" ca="1">INDIRECT("'"&amp;$C131&amp;"'!"&amp;"$"&amp;$D131&amp;$J$1&amp;"")</f>
        <v>6.6</v>
      </c>
      <c r="K131" s="281"/>
      <c r="L131" s="281">
        <v>0.99</v>
      </c>
      <c r="M131" s="282">
        <v>1</v>
      </c>
      <c r="N131" s="278" cm="1">
        <f t="array" aca="1" ref="N131" ca="1">INDIRECT("'"&amp;$C131&amp;"'!"&amp;"$"&amp;$D131&amp;$N$1&amp;"")</f>
        <v>0</v>
      </c>
      <c r="O131" s="281"/>
      <c r="P131" s="281" t="s">
        <v>1</v>
      </c>
      <c r="Q131" s="279" t="s">
        <v>1</v>
      </c>
      <c r="R131" s="468" cm="1">
        <f t="array" aca="1" ref="R131" ca="1">INDIRECT("'"&amp;$C131&amp;"'!"&amp;"$"&amp;$D131&amp;$R$1&amp;"")</f>
        <v>6.6</v>
      </c>
      <c r="S131" s="281"/>
      <c r="T131" s="281">
        <v>0.94</v>
      </c>
      <c r="U131" s="279">
        <v>2.4900000000000002</v>
      </c>
      <c r="V131" s="280" t="str" cm="1">
        <f t="array" aca="1" ref="V131" ca="1">INDIRECT("'"&amp;$C131&amp;"'!"&amp;"$"&amp;$D131&amp;$V$1&amp;"")</f>
        <v>CMS</v>
      </c>
      <c r="W131" s="281" t="s">
        <v>1</v>
      </c>
      <c r="X131" s="281" t="s">
        <v>1</v>
      </c>
      <c r="Y131" s="282" t="s">
        <v>1</v>
      </c>
      <c r="Z131" s="278" t="str" cm="1">
        <f t="array" aca="1" ref="Z131" ca="1">INDIRECT("'"&amp;$C131&amp;"'!"&amp;"$"&amp;$D131&amp;$Z$1&amp;"")</f>
        <v>CMS</v>
      </c>
      <c r="AA131" s="281" t="s">
        <v>1</v>
      </c>
      <c r="AB131" s="281" t="s">
        <v>1</v>
      </c>
      <c r="AC131" s="279" t="s">
        <v>1</v>
      </c>
      <c r="AD131" s="280" cm="1">
        <f t="array" aca="1" ref="AD131" ca="1">INDIRECT("'"&amp;$C131&amp;"'!"&amp;"$"&amp;$D131&amp;$AD$1&amp;"")</f>
        <v>0</v>
      </c>
      <c r="AE131" s="281" t="s">
        <v>1</v>
      </c>
      <c r="AF131" s="281" t="s">
        <v>1</v>
      </c>
      <c r="AG131" s="282" t="s">
        <v>1</v>
      </c>
      <c r="AH131" s="278" cm="1">
        <f t="array" aca="1" ref="AH131" ca="1">INDIRECT("'"&amp;$C131&amp;"'!"&amp;"$"&amp;$D131&amp;$AH$1&amp;"")</f>
        <v>0</v>
      </c>
      <c r="AI131" s="281" t="s">
        <v>1</v>
      </c>
      <c r="AJ131" s="281" t="s">
        <v>1</v>
      </c>
      <c r="AK131" s="282" t="s">
        <v>1</v>
      </c>
      <c r="AL131" s="278">
        <v>11.6</v>
      </c>
      <c r="AM131" s="279">
        <v>71.2</v>
      </c>
      <c r="AN131" s="278" cm="1">
        <f t="array" aca="1" ref="AN131" ca="1">INDIRECT("'"&amp;$C131&amp;"'!"&amp;"$"&amp;$D131&amp;$AL$1&amp;"")</f>
        <v>0</v>
      </c>
      <c r="AO131" s="281" t="s">
        <v>1</v>
      </c>
      <c r="AP131" s="279" t="s">
        <v>1</v>
      </c>
      <c r="AQ131" s="280" cm="1">
        <f t="array" aca="1" ref="AQ131" ca="1">INDIRECT("'"&amp;$C131&amp;"'!"&amp;"$"&amp;$D131&amp;$AQ$1&amp;"")</f>
        <v>2</v>
      </c>
      <c r="AR131" s="281">
        <v>0.97</v>
      </c>
      <c r="AS131" s="279">
        <v>0.49</v>
      </c>
      <c r="AT131" s="278">
        <v>13.94</v>
      </c>
      <c r="AU131" s="282">
        <v>70.400000000000006</v>
      </c>
      <c r="AV131" s="281" cm="1">
        <f t="array" aca="1" ref="AV131" ca="1">INDIRECT("'"&amp;$C131&amp;"'!"&amp;"$"&amp;$D131&amp;$AV$1&amp;"")</f>
        <v>0</v>
      </c>
      <c r="AW131" s="280" t="s">
        <v>1</v>
      </c>
      <c r="AX131" s="281" t="s">
        <v>1</v>
      </c>
      <c r="AY131" s="279" t="s">
        <v>1</v>
      </c>
      <c r="AZ131" s="281" cm="1">
        <f t="array" aca="1" ref="AZ131" ca="1">INDIRECT("'"&amp;$C131&amp;"'!"&amp;"$"&amp;$D131&amp;$AZ$1&amp;"")</f>
        <v>7</v>
      </c>
      <c r="BA131" s="280" t="s">
        <v>1</v>
      </c>
      <c r="BB131" s="281">
        <v>0.99</v>
      </c>
      <c r="BC131" s="279">
        <v>0.79</v>
      </c>
      <c r="BD131" s="283">
        <v>14.17</v>
      </c>
      <c r="BE131" s="282">
        <v>72.209999999999994</v>
      </c>
      <c r="BF131" s="283" cm="1">
        <f t="array" aca="1" ref="BF131" ca="1">INDIRECT("'"&amp;$C131&amp;"'!"&amp;"$"&amp;$D131&amp;$BF$1&amp;"")</f>
        <v>14.31</v>
      </c>
      <c r="BG131" s="281">
        <v>1</v>
      </c>
      <c r="BH131" s="279">
        <v>1.3</v>
      </c>
      <c r="BI131" s="524">
        <v>69.2</v>
      </c>
      <c r="BJ131" s="278" cm="1">
        <f t="array" aca="1" ref="BJ131" ca="1">INDIRECT("'"&amp;$C131&amp;"'!"&amp;"$"&amp;$D131&amp;$BI$1&amp;"")</f>
        <v>0</v>
      </c>
      <c r="BK131" s="280" t="s">
        <v>1</v>
      </c>
      <c r="BL131" s="279" t="s">
        <v>1</v>
      </c>
      <c r="BM131" s="283" cm="1">
        <f t="array" aca="1" ref="BM131" ca="1">INDIRECT("'"&amp;$C131&amp;"'!"&amp;"$"&amp;$D131&amp;$BM$1&amp;"")</f>
        <v>0.95</v>
      </c>
      <c r="BN131" s="281"/>
      <c r="BO131" s="281">
        <v>0.99</v>
      </c>
      <c r="BP131" s="279">
        <v>0.13</v>
      </c>
      <c r="BQ131" s="283" cm="1">
        <f t="array" aca="1" ref="BQ131" ca="1">INDIRECT("'"&amp;$C131&amp;"'!"&amp;"$"&amp;$D131&amp;$BQ$1&amp;"")</f>
        <v>0.79</v>
      </c>
      <c r="BR131" s="281"/>
      <c r="BS131" s="281">
        <v>0.96</v>
      </c>
      <c r="BT131" s="279">
        <v>0.21</v>
      </c>
      <c r="BU131" s="284" cm="1">
        <f t="array" aca="1" ref="BU131" ca="1">INDIRECT("'"&amp;$C131&amp;"'!"&amp;"$"&amp;$D131&amp;74&amp;"")</f>
        <v>0</v>
      </c>
      <c r="BV131" s="281"/>
      <c r="BW131" s="281" t="s">
        <v>1</v>
      </c>
      <c r="BX131" s="279" t="s">
        <v>1</v>
      </c>
    </row>
    <row r="132" spans="1:76">
      <c r="A132" s="459">
        <v>45844</v>
      </c>
      <c r="B132" s="345">
        <v>8.3333333333333301E-2</v>
      </c>
      <c r="C132" s="305">
        <v>6</v>
      </c>
      <c r="D132" s="306" t="s">
        <v>144</v>
      </c>
      <c r="E132" s="285">
        <v>14.1</v>
      </c>
      <c r="F132" s="286">
        <v>70.56</v>
      </c>
      <c r="G132" s="287" t="str" cm="1">
        <f t="array" aca="1" ref="G132" ca="1">INDIRECT("'"&amp;$C132&amp;"'!"&amp;"$"&amp;$D132&amp;$E$1&amp;"")</f>
        <v>CMS</v>
      </c>
      <c r="H132" s="288" t="s">
        <v>1</v>
      </c>
      <c r="I132" s="286" t="s">
        <v>1</v>
      </c>
      <c r="J132" s="287" cm="1">
        <f t="array" aca="1" ref="J132" ca="1">INDIRECT("'"&amp;$C132&amp;"'!"&amp;"$"&amp;$D132&amp;$J$1&amp;"")</f>
        <v>6.8</v>
      </c>
      <c r="K132" s="288"/>
      <c r="L132" s="288">
        <v>0.99</v>
      </c>
      <c r="M132" s="289">
        <v>1.08</v>
      </c>
      <c r="N132" s="285" cm="1">
        <f t="array" aca="1" ref="N132" ca="1">INDIRECT("'"&amp;$C132&amp;"'!"&amp;"$"&amp;$D132&amp;$N$1&amp;"")</f>
        <v>0</v>
      </c>
      <c r="O132" s="288"/>
      <c r="P132" s="288" t="s">
        <v>1</v>
      </c>
      <c r="Q132" s="286" t="s">
        <v>1</v>
      </c>
      <c r="R132" s="285" cm="1">
        <f t="array" aca="1" ref="R132" ca="1">INDIRECT("'"&amp;$C132&amp;"'!"&amp;"$"&amp;$D132&amp;$R$1&amp;"")</f>
        <v>6.8</v>
      </c>
      <c r="S132" s="288"/>
      <c r="T132" s="288">
        <v>0.97</v>
      </c>
      <c r="U132" s="286">
        <v>1.85</v>
      </c>
      <c r="V132" s="287" t="str" cm="1">
        <f t="array" aca="1" ref="V132" ca="1">INDIRECT("'"&amp;$C132&amp;"'!"&amp;"$"&amp;$D132&amp;$V$1&amp;"")</f>
        <v>CMS</v>
      </c>
      <c r="W132" s="288" t="s">
        <v>1</v>
      </c>
      <c r="X132" s="288" t="s">
        <v>1</v>
      </c>
      <c r="Y132" s="289" t="s">
        <v>1</v>
      </c>
      <c r="Z132" s="278" t="str" cm="1">
        <f t="array" aca="1" ref="Z132" ca="1">INDIRECT("'"&amp;$C132&amp;"'!"&amp;"$"&amp;$D132&amp;$Z$1&amp;"")</f>
        <v>CMS</v>
      </c>
      <c r="AA132" s="288" t="s">
        <v>1</v>
      </c>
      <c r="AB132" s="288" t="s">
        <v>1</v>
      </c>
      <c r="AC132" s="286" t="s">
        <v>1</v>
      </c>
      <c r="AD132" s="287" cm="1">
        <f t="array" aca="1" ref="AD132" ca="1">INDIRECT("'"&amp;$C132&amp;"'!"&amp;"$"&amp;$D132&amp;$AD$1&amp;"")</f>
        <v>0</v>
      </c>
      <c r="AE132" s="288" t="s">
        <v>1</v>
      </c>
      <c r="AF132" s="288" t="s">
        <v>1</v>
      </c>
      <c r="AG132" s="289" t="s">
        <v>1</v>
      </c>
      <c r="AH132" s="285" cm="1">
        <f t="array" aca="1" ref="AH132" ca="1">INDIRECT("'"&amp;$C132&amp;"'!"&amp;"$"&amp;$D132&amp;$AH$1&amp;"")</f>
        <v>0</v>
      </c>
      <c r="AI132" s="288" t="s">
        <v>1</v>
      </c>
      <c r="AJ132" s="288" t="s">
        <v>1</v>
      </c>
      <c r="AK132" s="289" t="s">
        <v>1</v>
      </c>
      <c r="AL132" s="290" t="s">
        <v>1</v>
      </c>
      <c r="AM132" s="286">
        <v>70.3</v>
      </c>
      <c r="AN132" s="285" cm="1">
        <f t="array" aca="1" ref="AN132" ca="1">INDIRECT("'"&amp;$C132&amp;"'!"&amp;"$"&amp;$D132&amp;$AL$1&amp;"")</f>
        <v>0</v>
      </c>
      <c r="AO132" s="288" t="s">
        <v>1</v>
      </c>
      <c r="AP132" s="286" t="s">
        <v>1</v>
      </c>
      <c r="AQ132" s="287" cm="1">
        <f t="array" aca="1" ref="AQ132" ca="1">INDIRECT("'"&amp;$C132&amp;"'!"&amp;"$"&amp;$D132&amp;$AQ$1&amp;"")</f>
        <v>0</v>
      </c>
      <c r="AR132" s="288" t="s">
        <v>1</v>
      </c>
      <c r="AS132" s="286" t="s">
        <v>1</v>
      </c>
      <c r="AT132" s="285">
        <v>13.92</v>
      </c>
      <c r="AU132" s="289">
        <v>70.3</v>
      </c>
      <c r="AV132" s="288" cm="1">
        <f t="array" aca="1" ref="AV132" ca="1">INDIRECT("'"&amp;$C132&amp;"'!"&amp;"$"&amp;$D132&amp;$AV$1&amp;"")</f>
        <v>0</v>
      </c>
      <c r="AW132" s="287" t="s">
        <v>1</v>
      </c>
      <c r="AX132" s="288" t="s">
        <v>1</v>
      </c>
      <c r="AY132" s="286" t="s">
        <v>1</v>
      </c>
      <c r="AZ132" s="288" cm="1">
        <f t="array" aca="1" ref="AZ132" ca="1">INDIRECT("'"&amp;$C132&amp;"'!"&amp;"$"&amp;$D132&amp;$AZ$1&amp;"")</f>
        <v>6.5</v>
      </c>
      <c r="BA132" s="287" t="s">
        <v>1</v>
      </c>
      <c r="BB132" s="288">
        <v>0.99</v>
      </c>
      <c r="BC132" s="286">
        <v>1</v>
      </c>
      <c r="BD132" s="290">
        <v>14.16</v>
      </c>
      <c r="BE132" s="289">
        <v>72.08</v>
      </c>
      <c r="BF132" s="290" cm="1">
        <f t="array" aca="1" ref="BF132" ca="1">INDIRECT("'"&amp;$C132&amp;"'!"&amp;"$"&amp;$D132&amp;$BF$1&amp;"")</f>
        <v>14.29</v>
      </c>
      <c r="BG132" s="288">
        <v>1</v>
      </c>
      <c r="BH132" s="286">
        <v>1.3</v>
      </c>
      <c r="BI132" s="525">
        <v>69.3</v>
      </c>
      <c r="BJ132" s="285" cm="1">
        <f t="array" aca="1" ref="BJ132" ca="1">INDIRECT("'"&amp;$C132&amp;"'!"&amp;"$"&amp;$D132&amp;$BI$1&amp;"")</f>
        <v>0</v>
      </c>
      <c r="BK132" s="287" t="s">
        <v>1</v>
      </c>
      <c r="BL132" s="286" t="s">
        <v>1</v>
      </c>
      <c r="BM132" s="290" cm="1">
        <f t="array" aca="1" ref="BM132" ca="1">INDIRECT("'"&amp;$C132&amp;"'!"&amp;"$"&amp;$D132&amp;$BM$1&amp;"")</f>
        <v>0.92</v>
      </c>
      <c r="BN132" s="288"/>
      <c r="BO132" s="288">
        <v>0.99</v>
      </c>
      <c r="BP132" s="286">
        <v>0.12</v>
      </c>
      <c r="BQ132" s="290" cm="1">
        <f t="array" aca="1" ref="BQ132" ca="1">INDIRECT("'"&amp;$C132&amp;"'!"&amp;"$"&amp;$D132&amp;$BQ$1&amp;"")</f>
        <v>0.74</v>
      </c>
      <c r="BR132" s="288"/>
      <c r="BS132" s="288">
        <v>0.96</v>
      </c>
      <c r="BT132" s="286">
        <v>0.19</v>
      </c>
      <c r="BU132" s="291" cm="1">
        <f t="array" aca="1" ref="BU132" ca="1">INDIRECT("'"&amp;$C132&amp;"'!"&amp;"$"&amp;$D132&amp;74&amp;"")</f>
        <v>0</v>
      </c>
      <c r="BV132" s="288"/>
      <c r="BW132" s="288" t="s">
        <v>1</v>
      </c>
      <c r="BX132" s="286" t="s">
        <v>1</v>
      </c>
    </row>
    <row r="133" spans="1:76">
      <c r="A133" s="459">
        <v>45844</v>
      </c>
      <c r="B133" s="345">
        <v>0.125</v>
      </c>
      <c r="C133" s="305">
        <v>6</v>
      </c>
      <c r="D133" s="306" t="s">
        <v>145</v>
      </c>
      <c r="E133" s="278">
        <v>14.1</v>
      </c>
      <c r="F133" s="279">
        <v>70.739999999999995</v>
      </c>
      <c r="G133" s="280" t="str" cm="1">
        <f t="array" aca="1" ref="G133" ca="1">INDIRECT("'"&amp;$C133&amp;"'!"&amp;"$"&amp;$D133&amp;$E$1&amp;"")</f>
        <v>CMS</v>
      </c>
      <c r="H133" s="281" t="s">
        <v>1</v>
      </c>
      <c r="I133" s="279" t="s">
        <v>1</v>
      </c>
      <c r="J133" s="280" cm="1">
        <f t="array" aca="1" ref="J133" ca="1">INDIRECT("'"&amp;$C133&amp;"'!"&amp;"$"&amp;$D133&amp;$J$1&amp;"")</f>
        <v>6.8</v>
      </c>
      <c r="K133" s="281"/>
      <c r="L133" s="281">
        <v>0.98</v>
      </c>
      <c r="M133" s="282">
        <v>1.18</v>
      </c>
      <c r="N133" s="278" cm="1">
        <f t="array" aca="1" ref="N133" ca="1">INDIRECT("'"&amp;$C133&amp;"'!"&amp;"$"&amp;$D133&amp;$N$1&amp;"")</f>
        <v>0</v>
      </c>
      <c r="O133" s="281"/>
      <c r="P133" s="281" t="s">
        <v>1</v>
      </c>
      <c r="Q133" s="279" t="s">
        <v>1</v>
      </c>
      <c r="R133" s="468" cm="1">
        <f t="array" aca="1" ref="R133" ca="1">INDIRECT("'"&amp;$C133&amp;"'!"&amp;"$"&amp;$D133&amp;$R$1&amp;"")</f>
        <v>6.8</v>
      </c>
      <c r="S133" s="281"/>
      <c r="T133" s="281">
        <v>0.98</v>
      </c>
      <c r="U133" s="279">
        <v>1.1200000000000001</v>
      </c>
      <c r="V133" s="280" t="str" cm="1">
        <f t="array" aca="1" ref="V133" ca="1">INDIRECT("'"&amp;$C133&amp;"'!"&amp;"$"&amp;$D133&amp;$V$1&amp;"")</f>
        <v>CMS</v>
      </c>
      <c r="W133" s="281" t="s">
        <v>1</v>
      </c>
      <c r="X133" s="281" t="s">
        <v>1</v>
      </c>
      <c r="Y133" s="282" t="s">
        <v>1</v>
      </c>
      <c r="Z133" s="278" t="str" cm="1">
        <f t="array" aca="1" ref="Z133" ca="1">INDIRECT("'"&amp;$C133&amp;"'!"&amp;"$"&amp;$D133&amp;$Z$1&amp;"")</f>
        <v>CMS</v>
      </c>
      <c r="AA133" s="281" t="s">
        <v>1</v>
      </c>
      <c r="AB133" s="281" t="s">
        <v>1</v>
      </c>
      <c r="AC133" s="279" t="s">
        <v>1</v>
      </c>
      <c r="AD133" s="280" cm="1">
        <f t="array" aca="1" ref="AD133" ca="1">INDIRECT("'"&amp;$C133&amp;"'!"&amp;"$"&amp;$D133&amp;$AD$1&amp;"")</f>
        <v>0</v>
      </c>
      <c r="AE133" s="281" t="s">
        <v>1</v>
      </c>
      <c r="AF133" s="281" t="s">
        <v>1</v>
      </c>
      <c r="AG133" s="282" t="s">
        <v>1</v>
      </c>
      <c r="AH133" s="278" cm="1">
        <f t="array" aca="1" ref="AH133" ca="1">INDIRECT("'"&amp;$C133&amp;"'!"&amp;"$"&amp;$D133&amp;$AH$1&amp;"")</f>
        <v>0</v>
      </c>
      <c r="AI133" s="281" t="s">
        <v>1</v>
      </c>
      <c r="AJ133" s="281" t="s">
        <v>1</v>
      </c>
      <c r="AK133" s="282" t="s">
        <v>1</v>
      </c>
      <c r="AL133" s="278" t="s">
        <v>1</v>
      </c>
      <c r="AM133" s="527">
        <v>71.099999999999994</v>
      </c>
      <c r="AN133" s="278" cm="1">
        <f t="array" aca="1" ref="AN133" ca="1">INDIRECT("'"&amp;$C133&amp;"'!"&amp;"$"&amp;$D133&amp;$AL$1&amp;"")</f>
        <v>0</v>
      </c>
      <c r="AO133" s="281" t="s">
        <v>1</v>
      </c>
      <c r="AP133" s="279" t="s">
        <v>1</v>
      </c>
      <c r="AQ133" s="280" cm="1">
        <f t="array" aca="1" ref="AQ133" ca="1">INDIRECT("'"&amp;$C133&amp;"'!"&amp;"$"&amp;$D133&amp;$AQ$1&amp;"")</f>
        <v>0</v>
      </c>
      <c r="AR133" s="281" t="s">
        <v>1</v>
      </c>
      <c r="AS133" s="279" t="s">
        <v>1</v>
      </c>
      <c r="AT133" s="278">
        <v>13.93</v>
      </c>
      <c r="AU133" s="282">
        <v>70.400000000000006</v>
      </c>
      <c r="AV133" s="281" cm="1">
        <f t="array" aca="1" ref="AV133" ca="1">INDIRECT("'"&amp;$C133&amp;"'!"&amp;"$"&amp;$D133&amp;$AV$1&amp;"")</f>
        <v>0</v>
      </c>
      <c r="AW133" s="280" t="s">
        <v>1</v>
      </c>
      <c r="AX133" s="281" t="s">
        <v>1</v>
      </c>
      <c r="AY133" s="279" t="s">
        <v>1</v>
      </c>
      <c r="AZ133" s="281" cm="1">
        <f t="array" aca="1" ref="AZ133" ca="1">INDIRECT("'"&amp;$C133&amp;"'!"&amp;"$"&amp;$D133&amp;$AZ$1&amp;"")</f>
        <v>5</v>
      </c>
      <c r="BA133" s="280" t="s">
        <v>1</v>
      </c>
      <c r="BB133" s="281">
        <v>0.98</v>
      </c>
      <c r="BC133" s="279">
        <v>0.94</v>
      </c>
      <c r="BD133" s="283">
        <v>14.16</v>
      </c>
      <c r="BE133" s="282">
        <v>72.209999999999994</v>
      </c>
      <c r="BF133" s="283" cm="1">
        <f t="array" aca="1" ref="BF133" ca="1">INDIRECT("'"&amp;$C133&amp;"'!"&amp;"$"&amp;$D133&amp;$BF$1&amp;"")</f>
        <v>14.32</v>
      </c>
      <c r="BG133" s="281">
        <v>1</v>
      </c>
      <c r="BH133" s="279">
        <v>1.3</v>
      </c>
      <c r="BI133" s="524">
        <v>69.400000000000006</v>
      </c>
      <c r="BJ133" s="278" cm="1">
        <f t="array" aca="1" ref="BJ133" ca="1">INDIRECT("'"&amp;$C133&amp;"'!"&amp;"$"&amp;$D133&amp;$BI$1&amp;"")</f>
        <v>0</v>
      </c>
      <c r="BK133" s="280" t="s">
        <v>1</v>
      </c>
      <c r="BL133" s="279" t="s">
        <v>1</v>
      </c>
      <c r="BM133" s="283" cm="1">
        <f t="array" aca="1" ref="BM133" ca="1">INDIRECT("'"&amp;$C133&amp;"'!"&amp;"$"&amp;$D133&amp;$BM$1&amp;"")</f>
        <v>0.86</v>
      </c>
      <c r="BN133" s="281"/>
      <c r="BO133" s="281">
        <v>0.99</v>
      </c>
      <c r="BP133" s="279">
        <v>0.11</v>
      </c>
      <c r="BQ133" s="283" cm="1">
        <f t="array" aca="1" ref="BQ133" ca="1">INDIRECT("'"&amp;$C133&amp;"'!"&amp;"$"&amp;$D133&amp;$BQ$1&amp;"")</f>
        <v>0.71</v>
      </c>
      <c r="BR133" s="281"/>
      <c r="BS133" s="281">
        <v>0.96</v>
      </c>
      <c r="BT133" s="279">
        <v>0.18</v>
      </c>
      <c r="BU133" s="284" cm="1">
        <f t="array" aca="1" ref="BU133" ca="1">INDIRECT("'"&amp;$C133&amp;"'!"&amp;"$"&amp;$D133&amp;74&amp;"")</f>
        <v>0</v>
      </c>
      <c r="BV133" s="281"/>
      <c r="BW133" s="281" t="s">
        <v>1</v>
      </c>
      <c r="BX133" s="279" t="s">
        <v>1</v>
      </c>
    </row>
    <row r="134" spans="1:76">
      <c r="A134" s="459">
        <v>45844</v>
      </c>
      <c r="B134" s="345">
        <v>0.16666666666666699</v>
      </c>
      <c r="C134" s="305">
        <v>6</v>
      </c>
      <c r="D134" s="306" t="s">
        <v>146</v>
      </c>
      <c r="E134" s="285">
        <v>14.1</v>
      </c>
      <c r="F134" s="286">
        <v>70.72</v>
      </c>
      <c r="G134" s="287" t="str" cm="1">
        <f t="array" aca="1" ref="G134" ca="1">INDIRECT("'"&amp;$C134&amp;"'!"&amp;"$"&amp;$D134&amp;$E$1&amp;"")</f>
        <v>CMS</v>
      </c>
      <c r="H134" s="288" t="s">
        <v>1</v>
      </c>
      <c r="I134" s="286" t="s">
        <v>1</v>
      </c>
      <c r="J134" s="287" cm="1">
        <f t="array" aca="1" ref="J134" ca="1">INDIRECT("'"&amp;$C134&amp;"'!"&amp;"$"&amp;$D134&amp;$J$1&amp;"")</f>
        <v>6.9</v>
      </c>
      <c r="K134" s="288"/>
      <c r="L134" s="288">
        <v>0.99</v>
      </c>
      <c r="M134" s="286">
        <v>1.1599999999999999</v>
      </c>
      <c r="N134" s="285" cm="1">
        <f t="array" aca="1" ref="N134" ca="1">INDIRECT("'"&amp;$C134&amp;"'!"&amp;"$"&amp;$D134&amp;$N$1&amp;"")</f>
        <v>0</v>
      </c>
      <c r="O134" s="288"/>
      <c r="P134" s="288" t="s">
        <v>1</v>
      </c>
      <c r="Q134" s="286" t="s">
        <v>1</v>
      </c>
      <c r="R134" s="285" cm="1">
        <f t="array" aca="1" ref="R134" ca="1">INDIRECT("'"&amp;$C134&amp;"'!"&amp;"$"&amp;$D134&amp;$R$1&amp;"")</f>
        <v>6.9</v>
      </c>
      <c r="S134" s="288"/>
      <c r="T134" s="288">
        <v>0.97</v>
      </c>
      <c r="U134" s="286">
        <v>1.61</v>
      </c>
      <c r="V134" s="287" t="str" cm="1">
        <f t="array" aca="1" ref="V134" ca="1">INDIRECT("'"&amp;$C134&amp;"'!"&amp;"$"&amp;$D134&amp;$V$1&amp;"")</f>
        <v>CMS</v>
      </c>
      <c r="W134" s="288" t="s">
        <v>1</v>
      </c>
      <c r="X134" s="288" t="s">
        <v>1</v>
      </c>
      <c r="Y134" s="289" t="s">
        <v>1</v>
      </c>
      <c r="Z134" s="285" t="str" cm="1">
        <f t="array" aca="1" ref="Z134" ca="1">INDIRECT("'"&amp;$C134&amp;"'!"&amp;"$"&amp;$D134&amp;$Z$1&amp;"")</f>
        <v>CMS</v>
      </c>
      <c r="AA134" s="288" t="s">
        <v>1</v>
      </c>
      <c r="AB134" s="288" t="s">
        <v>1</v>
      </c>
      <c r="AC134" s="286" t="s">
        <v>1</v>
      </c>
      <c r="AD134" s="287" cm="1">
        <f t="array" aca="1" ref="AD134" ca="1">INDIRECT("'"&amp;$C134&amp;"'!"&amp;"$"&amp;$D134&amp;$AD$1&amp;"")</f>
        <v>0</v>
      </c>
      <c r="AE134" s="288" t="s">
        <v>1</v>
      </c>
      <c r="AF134" s="288" t="s">
        <v>1</v>
      </c>
      <c r="AG134" s="289" t="s">
        <v>1</v>
      </c>
      <c r="AH134" s="285" cm="1">
        <f t="array" aca="1" ref="AH134" ca="1">INDIRECT("'"&amp;$C134&amp;"'!"&amp;"$"&amp;$D134&amp;$AH$1&amp;"")</f>
        <v>0</v>
      </c>
      <c r="AI134" s="288" t="s">
        <v>1</v>
      </c>
      <c r="AJ134" s="288" t="s">
        <v>1</v>
      </c>
      <c r="AK134" s="289" t="s">
        <v>1</v>
      </c>
      <c r="AL134" s="285" t="s">
        <v>1</v>
      </c>
      <c r="AM134" s="528">
        <v>71</v>
      </c>
      <c r="AN134" s="285" cm="1">
        <f t="array" aca="1" ref="AN134" ca="1">INDIRECT("'"&amp;$C134&amp;"'!"&amp;"$"&amp;$D134&amp;$AL$1&amp;"")</f>
        <v>0</v>
      </c>
      <c r="AO134" s="288" t="s">
        <v>1</v>
      </c>
      <c r="AP134" s="286" t="s">
        <v>1</v>
      </c>
      <c r="AQ134" s="287" cm="1">
        <f t="array" aca="1" ref="AQ134" ca="1">INDIRECT("'"&amp;$C134&amp;"'!"&amp;"$"&amp;$D134&amp;$AQ$1&amp;"")</f>
        <v>0</v>
      </c>
      <c r="AR134" s="288" t="s">
        <v>1</v>
      </c>
      <c r="AS134" s="286" t="s">
        <v>1</v>
      </c>
      <c r="AT134" s="285">
        <v>13.93</v>
      </c>
      <c r="AU134" s="289">
        <v>70.3</v>
      </c>
      <c r="AV134" s="288" cm="1">
        <f t="array" aca="1" ref="AV134" ca="1">INDIRECT("'"&amp;$C134&amp;"'!"&amp;"$"&amp;$D134&amp;$AV$1&amp;"")</f>
        <v>0</v>
      </c>
      <c r="AW134" s="287" t="s">
        <v>1</v>
      </c>
      <c r="AX134" s="288" t="s">
        <v>1</v>
      </c>
      <c r="AY134" s="286" t="s">
        <v>1</v>
      </c>
      <c r="AZ134" s="288" cm="1">
        <f t="array" aca="1" ref="AZ134" ca="1">INDIRECT("'"&amp;$C134&amp;"'!"&amp;"$"&amp;$D134&amp;$AZ$1&amp;"")</f>
        <v>4.4000000000000004</v>
      </c>
      <c r="BA134" s="287" t="s">
        <v>1</v>
      </c>
      <c r="BB134" s="288">
        <v>0.97</v>
      </c>
      <c r="BC134" s="286">
        <v>1</v>
      </c>
      <c r="BD134" s="290">
        <v>14.15</v>
      </c>
      <c r="BE134" s="289">
        <v>72.17</v>
      </c>
      <c r="BF134" s="290" cm="1">
        <f t="array" aca="1" ref="BF134" ca="1">INDIRECT("'"&amp;$C134&amp;"'!"&amp;"$"&amp;$D134&amp;$BF$1&amp;"")</f>
        <v>14.26</v>
      </c>
      <c r="BG134" s="288">
        <v>1</v>
      </c>
      <c r="BH134" s="286">
        <v>1.3</v>
      </c>
      <c r="BI134" s="525">
        <v>69.3</v>
      </c>
      <c r="BJ134" s="285" cm="1">
        <f t="array" aca="1" ref="BJ134" ca="1">INDIRECT("'"&amp;$C134&amp;"'!"&amp;"$"&amp;$D134&amp;$BI$1&amp;"")</f>
        <v>0</v>
      </c>
      <c r="BK134" s="287" t="s">
        <v>1</v>
      </c>
      <c r="BL134" s="286" t="s">
        <v>1</v>
      </c>
      <c r="BM134" s="290" cm="1">
        <f t="array" aca="1" ref="BM134" ca="1">INDIRECT("'"&amp;$C134&amp;"'!"&amp;"$"&amp;$D134&amp;$BM$1&amp;"")</f>
        <v>0.83</v>
      </c>
      <c r="BN134" s="288"/>
      <c r="BO134" s="288">
        <v>0.99</v>
      </c>
      <c r="BP134" s="286">
        <v>0.1</v>
      </c>
      <c r="BQ134" s="290" cm="1">
        <f t="array" aca="1" ref="BQ134" ca="1">INDIRECT("'"&amp;$C134&amp;"'!"&amp;"$"&amp;$D134&amp;$BQ$1&amp;"")</f>
        <v>0.69</v>
      </c>
      <c r="BR134" s="288"/>
      <c r="BS134" s="288">
        <v>0.96</v>
      </c>
      <c r="BT134" s="286">
        <v>0.18</v>
      </c>
      <c r="BU134" s="291" cm="1">
        <f t="array" aca="1" ref="BU134" ca="1">INDIRECT("'"&amp;$C134&amp;"'!"&amp;"$"&amp;$D134&amp;74&amp;"")</f>
        <v>0</v>
      </c>
      <c r="BV134" s="288"/>
      <c r="BW134" s="288" t="s">
        <v>1</v>
      </c>
      <c r="BX134" s="286" t="s">
        <v>1</v>
      </c>
    </row>
    <row r="135" spans="1:76">
      <c r="A135" s="459">
        <v>45844</v>
      </c>
      <c r="B135" s="345">
        <v>0.20833333333333301</v>
      </c>
      <c r="C135" s="305">
        <v>6</v>
      </c>
      <c r="D135" s="306" t="s">
        <v>147</v>
      </c>
      <c r="E135" s="278">
        <v>14.1</v>
      </c>
      <c r="F135" s="279">
        <v>70.599999999999994</v>
      </c>
      <c r="G135" s="280" t="str" cm="1">
        <f t="array" aca="1" ref="G135" ca="1">INDIRECT("'"&amp;$C135&amp;"'!"&amp;"$"&amp;$D135&amp;$E$1&amp;"")</f>
        <v>CMS</v>
      </c>
      <c r="H135" s="281" t="s">
        <v>1</v>
      </c>
      <c r="I135" s="279" t="s">
        <v>1</v>
      </c>
      <c r="J135" s="280" cm="1">
        <f t="array" aca="1" ref="J135" ca="1">INDIRECT("'"&amp;$C135&amp;"'!"&amp;"$"&amp;$D135&amp;$J$1&amp;"")</f>
        <v>6.7</v>
      </c>
      <c r="K135" s="281"/>
      <c r="L135" s="281">
        <v>0.97</v>
      </c>
      <c r="M135" s="279">
        <v>1.67</v>
      </c>
      <c r="N135" s="278" cm="1">
        <f t="array" aca="1" ref="N135" ca="1">INDIRECT("'"&amp;$C135&amp;"'!"&amp;"$"&amp;$D135&amp;$N$1&amp;"")</f>
        <v>0</v>
      </c>
      <c r="O135" s="281"/>
      <c r="P135" s="281" t="s">
        <v>1</v>
      </c>
      <c r="Q135" s="279" t="s">
        <v>1</v>
      </c>
      <c r="R135" s="468" cm="1">
        <f t="array" aca="1" ref="R135" ca="1">INDIRECT("'"&amp;$C135&amp;"'!"&amp;"$"&amp;$D135&amp;$R$1&amp;"")</f>
        <v>6.7</v>
      </c>
      <c r="S135" s="281"/>
      <c r="T135" s="281">
        <v>0.97</v>
      </c>
      <c r="U135" s="279">
        <v>1.69</v>
      </c>
      <c r="V135" s="280" t="str" cm="1">
        <f t="array" aca="1" ref="V135" ca="1">INDIRECT("'"&amp;$C135&amp;"'!"&amp;"$"&amp;$D135&amp;$V$1&amp;"")</f>
        <v>CMS</v>
      </c>
      <c r="W135" s="281" t="s">
        <v>1</v>
      </c>
      <c r="X135" s="281" t="s">
        <v>1</v>
      </c>
      <c r="Y135" s="282" t="s">
        <v>1</v>
      </c>
      <c r="Z135" s="278" t="str" cm="1">
        <f t="array" aca="1" ref="Z135" ca="1">INDIRECT("'"&amp;$C135&amp;"'!"&amp;"$"&amp;$D135&amp;$Z$1&amp;"")</f>
        <v>CMS</v>
      </c>
      <c r="AA135" s="281" t="s">
        <v>1</v>
      </c>
      <c r="AB135" s="281" t="s">
        <v>1</v>
      </c>
      <c r="AC135" s="279" t="s">
        <v>1</v>
      </c>
      <c r="AD135" s="280" cm="1">
        <f t="array" aca="1" ref="AD135" ca="1">INDIRECT("'"&amp;$C135&amp;"'!"&amp;"$"&amp;$D135&amp;$AD$1&amp;"")</f>
        <v>0</v>
      </c>
      <c r="AE135" s="281" t="s">
        <v>1</v>
      </c>
      <c r="AF135" s="281" t="s">
        <v>1</v>
      </c>
      <c r="AG135" s="282" t="s">
        <v>1</v>
      </c>
      <c r="AH135" s="278" cm="1">
        <f t="array" aca="1" ref="AH135" ca="1">INDIRECT("'"&amp;$C135&amp;"'!"&amp;"$"&amp;$D135&amp;$AH$1&amp;"")</f>
        <v>0</v>
      </c>
      <c r="AI135" s="281" t="s">
        <v>1</v>
      </c>
      <c r="AJ135" s="281" t="s">
        <v>1</v>
      </c>
      <c r="AK135" s="282" t="s">
        <v>1</v>
      </c>
      <c r="AL135" s="278" t="s">
        <v>1</v>
      </c>
      <c r="AM135" s="527">
        <v>70.900000000000006</v>
      </c>
      <c r="AN135" s="278" cm="1">
        <f t="array" aca="1" ref="AN135" ca="1">INDIRECT("'"&amp;$C135&amp;"'!"&amp;"$"&amp;$D135&amp;$AL$1&amp;"")</f>
        <v>0</v>
      </c>
      <c r="AO135" s="281" t="s">
        <v>1</v>
      </c>
      <c r="AP135" s="279" t="s">
        <v>1</v>
      </c>
      <c r="AQ135" s="280" cm="1">
        <f t="array" aca="1" ref="AQ135" ca="1">INDIRECT("'"&amp;$C135&amp;"'!"&amp;"$"&amp;$D135&amp;$AQ$1&amp;"")</f>
        <v>0</v>
      </c>
      <c r="AR135" s="281" t="s">
        <v>1</v>
      </c>
      <c r="AS135" s="279" t="s">
        <v>1</v>
      </c>
      <c r="AT135" s="278">
        <v>13.93</v>
      </c>
      <c r="AU135" s="282">
        <v>70.2</v>
      </c>
      <c r="AV135" s="281" cm="1">
        <f t="array" aca="1" ref="AV135" ca="1">INDIRECT("'"&amp;$C135&amp;"'!"&amp;"$"&amp;$D135&amp;$AV$1&amp;"")</f>
        <v>0</v>
      </c>
      <c r="AW135" s="280" t="s">
        <v>1</v>
      </c>
      <c r="AX135" s="281" t="s">
        <v>1</v>
      </c>
      <c r="AY135" s="279" t="s">
        <v>1</v>
      </c>
      <c r="AZ135" s="281" cm="1">
        <f t="array" aca="1" ref="AZ135" ca="1">INDIRECT("'"&amp;$C135&amp;"'!"&amp;"$"&amp;$D135&amp;$AZ$1&amp;"")</f>
        <v>4.5</v>
      </c>
      <c r="BA135" s="280" t="s">
        <v>1</v>
      </c>
      <c r="BB135" s="281">
        <v>0.97</v>
      </c>
      <c r="BC135" s="279">
        <v>1.1000000000000001</v>
      </c>
      <c r="BD135" s="283">
        <v>14.14</v>
      </c>
      <c r="BE135" s="282">
        <v>72.14</v>
      </c>
      <c r="BF135" s="283" cm="1">
        <f t="array" aca="1" ref="BF135" ca="1">INDIRECT("'"&amp;$C135&amp;"'!"&amp;"$"&amp;$D135&amp;$BF$1&amp;"")</f>
        <v>14.29</v>
      </c>
      <c r="BG135" s="281">
        <v>1</v>
      </c>
      <c r="BH135" s="279">
        <v>1.2</v>
      </c>
      <c r="BI135" s="524">
        <v>69.400000000000006</v>
      </c>
      <c r="BJ135" s="278" cm="1">
        <f t="array" aca="1" ref="BJ135" ca="1">INDIRECT("'"&amp;$C135&amp;"'!"&amp;"$"&amp;$D135&amp;$BI$1&amp;"")</f>
        <v>0</v>
      </c>
      <c r="BK135" s="280" t="s">
        <v>1</v>
      </c>
      <c r="BL135" s="279" t="s">
        <v>1</v>
      </c>
      <c r="BM135" s="283" cm="1">
        <f t="array" aca="1" ref="BM135" ca="1">INDIRECT("'"&amp;$C135&amp;"'!"&amp;"$"&amp;$D135&amp;$BM$1&amp;"")</f>
        <v>0.86</v>
      </c>
      <c r="BN135" s="281"/>
      <c r="BO135" s="281">
        <v>0.99</v>
      </c>
      <c r="BP135" s="279">
        <v>0.1</v>
      </c>
      <c r="BQ135" s="283" cm="1">
        <f t="array" aca="1" ref="BQ135" ca="1">INDIRECT("'"&amp;$C135&amp;"'!"&amp;"$"&amp;$D135&amp;$BQ$1&amp;"")</f>
        <v>0.69</v>
      </c>
      <c r="BR135" s="281"/>
      <c r="BS135" s="281">
        <v>0.96</v>
      </c>
      <c r="BT135" s="279">
        <v>0.18</v>
      </c>
      <c r="BU135" s="284" cm="1">
        <f t="array" aca="1" ref="BU135" ca="1">INDIRECT("'"&amp;$C135&amp;"'!"&amp;"$"&amp;$D135&amp;74&amp;"")</f>
        <v>0</v>
      </c>
      <c r="BV135" s="281"/>
      <c r="BW135" s="281" t="s">
        <v>1</v>
      </c>
      <c r="BX135" s="279" t="s">
        <v>1</v>
      </c>
    </row>
    <row r="136" spans="1:76">
      <c r="A136" s="459">
        <v>45844</v>
      </c>
      <c r="B136" s="345">
        <v>0.25</v>
      </c>
      <c r="C136" s="305">
        <v>6</v>
      </c>
      <c r="D136" s="306" t="s">
        <v>148</v>
      </c>
      <c r="E136" s="285">
        <v>14.1</v>
      </c>
      <c r="F136" s="286">
        <v>70.540000000000006</v>
      </c>
      <c r="G136" s="287" t="str" cm="1">
        <f t="array" aca="1" ref="G136" ca="1">INDIRECT("'"&amp;$C136&amp;"'!"&amp;"$"&amp;$D136&amp;$E$1&amp;"")</f>
        <v>CMS</v>
      </c>
      <c r="H136" s="288" t="s">
        <v>1</v>
      </c>
      <c r="I136" s="286" t="s">
        <v>1</v>
      </c>
      <c r="J136" s="287" cm="1">
        <f t="array" aca="1" ref="J136" ca="1">INDIRECT("'"&amp;$C136&amp;"'!"&amp;"$"&amp;$D136&amp;$J$1&amp;"")</f>
        <v>6.9</v>
      </c>
      <c r="K136" s="288"/>
      <c r="L136" s="288">
        <v>0.98</v>
      </c>
      <c r="M136" s="286">
        <v>1.54</v>
      </c>
      <c r="N136" s="285" cm="1">
        <f t="array" aca="1" ref="N136" ca="1">INDIRECT("'"&amp;$C136&amp;"'!"&amp;"$"&amp;$D136&amp;$N$1&amp;"")</f>
        <v>6.8</v>
      </c>
      <c r="O136" s="288"/>
      <c r="P136" s="288">
        <v>0.95</v>
      </c>
      <c r="Q136" s="286">
        <v>2.8</v>
      </c>
      <c r="R136" s="285" cm="1">
        <f t="array" aca="1" ref="R136" ca="1">INDIRECT("'"&amp;$C136&amp;"'!"&amp;"$"&amp;$D136&amp;$R$1&amp;"")</f>
        <v>0</v>
      </c>
      <c r="S136" s="288"/>
      <c r="T136" s="288" t="s">
        <v>1</v>
      </c>
      <c r="U136" s="286" t="s">
        <v>1</v>
      </c>
      <c r="V136" s="287" t="str" cm="1">
        <f t="array" aca="1" ref="V136" ca="1">INDIRECT("'"&amp;$C136&amp;"'!"&amp;"$"&amp;$D136&amp;$V$1&amp;"")</f>
        <v>CMS</v>
      </c>
      <c r="W136" s="288" t="s">
        <v>1</v>
      </c>
      <c r="X136" s="288" t="s">
        <v>1</v>
      </c>
      <c r="Y136" s="289" t="s">
        <v>1</v>
      </c>
      <c r="Z136" s="285" t="str" cm="1">
        <f t="array" aca="1" ref="Z136" ca="1">INDIRECT("'"&amp;$C136&amp;"'!"&amp;"$"&amp;$D136&amp;$Z$1&amp;"")</f>
        <v>CMS</v>
      </c>
      <c r="AA136" s="288" t="s">
        <v>1</v>
      </c>
      <c r="AB136" s="288" t="s">
        <v>1</v>
      </c>
      <c r="AC136" s="286" t="s">
        <v>1</v>
      </c>
      <c r="AD136" s="287" cm="1">
        <f t="array" aca="1" ref="AD136" ca="1">INDIRECT("'"&amp;$C136&amp;"'!"&amp;"$"&amp;$D136&amp;$AD$1&amp;"")</f>
        <v>0</v>
      </c>
      <c r="AE136" s="288" t="s">
        <v>1</v>
      </c>
      <c r="AF136" s="288" t="s">
        <v>1</v>
      </c>
      <c r="AG136" s="289" t="s">
        <v>1</v>
      </c>
      <c r="AH136" s="285" cm="1">
        <f t="array" aca="1" ref="AH136" ca="1">INDIRECT("'"&amp;$C136&amp;"'!"&amp;"$"&amp;$D136&amp;$AH$1&amp;"")</f>
        <v>0</v>
      </c>
      <c r="AI136" s="288" t="s">
        <v>1</v>
      </c>
      <c r="AJ136" s="288" t="s">
        <v>1</v>
      </c>
      <c r="AK136" s="289" t="s">
        <v>1</v>
      </c>
      <c r="AL136" s="285" t="s">
        <v>1</v>
      </c>
      <c r="AM136" s="528">
        <v>70.900000000000006</v>
      </c>
      <c r="AN136" s="285" cm="1">
        <f t="array" aca="1" ref="AN136" ca="1">INDIRECT("'"&amp;$C136&amp;"'!"&amp;"$"&amp;$D136&amp;$AL$1&amp;"")</f>
        <v>0</v>
      </c>
      <c r="AO136" s="288" t="s">
        <v>1</v>
      </c>
      <c r="AP136" s="286" t="s">
        <v>1</v>
      </c>
      <c r="AQ136" s="287" cm="1">
        <f t="array" aca="1" ref="AQ136" ca="1">INDIRECT("'"&amp;$C136&amp;"'!"&amp;"$"&amp;$D136&amp;$AQ$1&amp;"")</f>
        <v>0</v>
      </c>
      <c r="AR136" s="288" t="s">
        <v>1</v>
      </c>
      <c r="AS136" s="286" t="s">
        <v>1</v>
      </c>
      <c r="AT136" s="285">
        <v>13.92</v>
      </c>
      <c r="AU136" s="289">
        <v>70.3</v>
      </c>
      <c r="AV136" s="288" cm="1">
        <f t="array" aca="1" ref="AV136" ca="1">INDIRECT("'"&amp;$C136&amp;"'!"&amp;"$"&amp;$D136&amp;$AV$1&amp;"")</f>
        <v>0</v>
      </c>
      <c r="AW136" s="287" t="s">
        <v>1</v>
      </c>
      <c r="AX136" s="288" t="s">
        <v>1</v>
      </c>
      <c r="AY136" s="286" t="s">
        <v>1</v>
      </c>
      <c r="AZ136" s="288" cm="1">
        <f t="array" aca="1" ref="AZ136" ca="1">INDIRECT("'"&amp;$C136&amp;"'!"&amp;"$"&amp;$D136&amp;$AZ$1&amp;"")</f>
        <v>6.4</v>
      </c>
      <c r="BA136" s="287" t="s">
        <v>1</v>
      </c>
      <c r="BB136" s="288">
        <v>0.98</v>
      </c>
      <c r="BC136" s="286">
        <v>1.2</v>
      </c>
      <c r="BD136" s="290">
        <v>14.12</v>
      </c>
      <c r="BE136" s="289">
        <v>71.87</v>
      </c>
      <c r="BF136" s="290" cm="1">
        <f t="array" aca="1" ref="BF136" ca="1">INDIRECT("'"&amp;$C136&amp;"'!"&amp;"$"&amp;$D136&amp;$BF$1&amp;"")</f>
        <v>14.21</v>
      </c>
      <c r="BG136" s="288">
        <v>1</v>
      </c>
      <c r="BH136" s="286">
        <v>1.2</v>
      </c>
      <c r="BI136" s="525">
        <v>69.3</v>
      </c>
      <c r="BJ136" s="285" cm="1">
        <f t="array" aca="1" ref="BJ136" ca="1">INDIRECT("'"&amp;$C136&amp;"'!"&amp;"$"&amp;$D136&amp;$BI$1&amp;"")</f>
        <v>0</v>
      </c>
      <c r="BK136" s="287" t="s">
        <v>1</v>
      </c>
      <c r="BL136" s="286" t="s">
        <v>1</v>
      </c>
      <c r="BM136" s="290" cm="1">
        <f t="array" aca="1" ref="BM136" ca="1">INDIRECT("'"&amp;$C136&amp;"'!"&amp;"$"&amp;$D136&amp;$BM$1&amp;"")</f>
        <v>0.91</v>
      </c>
      <c r="BN136" s="288"/>
      <c r="BO136" s="288">
        <v>0.99</v>
      </c>
      <c r="BP136" s="286">
        <v>0.1</v>
      </c>
      <c r="BQ136" s="290" cm="1">
        <f t="array" aca="1" ref="BQ136" ca="1">INDIRECT("'"&amp;$C136&amp;"'!"&amp;"$"&amp;$D136&amp;$BQ$1&amp;"")</f>
        <v>0.72</v>
      </c>
      <c r="BR136" s="288"/>
      <c r="BS136" s="288">
        <v>0.96</v>
      </c>
      <c r="BT136" s="286">
        <v>0.18</v>
      </c>
      <c r="BU136" s="291" cm="1">
        <f t="array" aca="1" ref="BU136" ca="1">INDIRECT("'"&amp;$C136&amp;"'!"&amp;"$"&amp;$D136&amp;74&amp;"")</f>
        <v>0</v>
      </c>
      <c r="BV136" s="288"/>
      <c r="BW136" s="288" t="s">
        <v>1</v>
      </c>
      <c r="BX136" s="286" t="s">
        <v>1</v>
      </c>
    </row>
    <row r="137" spans="1:76">
      <c r="A137" s="459">
        <v>45844</v>
      </c>
      <c r="B137" s="345">
        <v>0.29166666666666702</v>
      </c>
      <c r="C137" s="305">
        <v>6</v>
      </c>
      <c r="D137" s="306" t="s">
        <v>149</v>
      </c>
      <c r="E137" s="278">
        <v>14.1</v>
      </c>
      <c r="F137" s="279">
        <v>70.48</v>
      </c>
      <c r="G137" s="280" t="str" cm="1">
        <f t="array" aca="1" ref="G137" ca="1">INDIRECT("'"&amp;$C137&amp;"'!"&amp;"$"&amp;$D137&amp;$E$1&amp;"")</f>
        <v>CMS</v>
      </c>
      <c r="H137" s="281" t="s">
        <v>1</v>
      </c>
      <c r="I137" s="279" t="s">
        <v>1</v>
      </c>
      <c r="J137" s="280" cm="1">
        <f t="array" aca="1" ref="J137" ca="1">INDIRECT("'"&amp;$C137&amp;"'!"&amp;"$"&amp;$D137&amp;$J$1&amp;"")</f>
        <v>6.9</v>
      </c>
      <c r="K137" s="281"/>
      <c r="L137" s="281">
        <v>0.94</v>
      </c>
      <c r="M137" s="282">
        <v>2.3330000000000002</v>
      </c>
      <c r="N137" s="278" cm="1">
        <f t="array" aca="1" ref="N137" ca="1">INDIRECT("'"&amp;$C137&amp;"'!"&amp;"$"&amp;$D137&amp;$N$1&amp;"")</f>
        <v>6.9</v>
      </c>
      <c r="O137" s="281"/>
      <c r="P137" s="281">
        <v>0.94</v>
      </c>
      <c r="Q137" s="279">
        <v>2.3199999999999998</v>
      </c>
      <c r="R137" s="468" cm="1">
        <f t="array" aca="1" ref="R137" ca="1">INDIRECT("'"&amp;$C137&amp;"'!"&amp;"$"&amp;$D137&amp;$R$1&amp;"")</f>
        <v>0</v>
      </c>
      <c r="S137" s="281"/>
      <c r="T137" s="281" t="s">
        <v>1</v>
      </c>
      <c r="U137" s="279" t="s">
        <v>1</v>
      </c>
      <c r="V137" s="280" t="str" cm="1">
        <f t="array" aca="1" ref="V137" ca="1">INDIRECT("'"&amp;$C137&amp;"'!"&amp;"$"&amp;$D137&amp;$V$1&amp;"")</f>
        <v>CMS</v>
      </c>
      <c r="W137" s="281" t="s">
        <v>1</v>
      </c>
      <c r="X137" s="281" t="s">
        <v>1</v>
      </c>
      <c r="Y137" s="282" t="s">
        <v>1</v>
      </c>
      <c r="Z137" s="278" t="str" cm="1">
        <f t="array" aca="1" ref="Z137" ca="1">INDIRECT("'"&amp;$C137&amp;"'!"&amp;"$"&amp;$D137&amp;$Z$1&amp;"")</f>
        <v>CMS</v>
      </c>
      <c r="AA137" s="281" t="s">
        <v>1</v>
      </c>
      <c r="AB137" s="281" t="s">
        <v>1</v>
      </c>
      <c r="AC137" s="279" t="s">
        <v>1</v>
      </c>
      <c r="AD137" s="280" cm="1">
        <f t="array" aca="1" ref="AD137" ca="1">INDIRECT("'"&amp;$C137&amp;"'!"&amp;"$"&amp;$D137&amp;$AD$1&amp;"")</f>
        <v>0</v>
      </c>
      <c r="AE137" s="281" t="s">
        <v>1</v>
      </c>
      <c r="AF137" s="281" t="s">
        <v>1</v>
      </c>
      <c r="AG137" s="282" t="s">
        <v>1</v>
      </c>
      <c r="AH137" s="278" cm="1">
        <f t="array" aca="1" ref="AH137" ca="1">INDIRECT("'"&amp;$C137&amp;"'!"&amp;"$"&amp;$D137&amp;$AH$1&amp;"")</f>
        <v>0</v>
      </c>
      <c r="AI137" s="281" t="s">
        <v>1</v>
      </c>
      <c r="AJ137" s="281" t="s">
        <v>1</v>
      </c>
      <c r="AK137" s="282" t="s">
        <v>1</v>
      </c>
      <c r="AL137" s="278" t="s">
        <v>1</v>
      </c>
      <c r="AM137" s="527">
        <v>70.900000000000006</v>
      </c>
      <c r="AN137" s="278" cm="1">
        <f t="array" aca="1" ref="AN137" ca="1">INDIRECT("'"&amp;$C137&amp;"'!"&amp;"$"&amp;$D137&amp;$AL$1&amp;"")</f>
        <v>0</v>
      </c>
      <c r="AO137" s="281" t="s">
        <v>1</v>
      </c>
      <c r="AP137" s="279" t="s">
        <v>1</v>
      </c>
      <c r="AQ137" s="280" cm="1">
        <f t="array" aca="1" ref="AQ137" ca="1">INDIRECT("'"&amp;$C137&amp;"'!"&amp;"$"&amp;$D137&amp;$AQ$1&amp;"")</f>
        <v>0</v>
      </c>
      <c r="AR137" s="281" t="s">
        <v>1</v>
      </c>
      <c r="AS137" s="279" t="s">
        <v>1</v>
      </c>
      <c r="AT137" s="278">
        <v>13.92</v>
      </c>
      <c r="AU137" s="282">
        <v>70.3</v>
      </c>
      <c r="AV137" s="281" cm="1">
        <f t="array" aca="1" ref="AV137" ca="1">INDIRECT("'"&amp;$C137&amp;"'!"&amp;"$"&amp;$D137&amp;$AV$1&amp;"")</f>
        <v>0</v>
      </c>
      <c r="AW137" s="280" t="s">
        <v>1</v>
      </c>
      <c r="AX137" s="281" t="s">
        <v>1</v>
      </c>
      <c r="AY137" s="279" t="s">
        <v>1</v>
      </c>
      <c r="AZ137" s="281" cm="1">
        <f t="array" aca="1" ref="AZ137" ca="1">INDIRECT("'"&amp;$C137&amp;"'!"&amp;"$"&amp;$D137&amp;$AZ$1&amp;"")</f>
        <v>7.5</v>
      </c>
      <c r="BA137" s="280" t="s">
        <v>1</v>
      </c>
      <c r="BB137" s="281">
        <v>0.98</v>
      </c>
      <c r="BC137" s="279">
        <v>1.2</v>
      </c>
      <c r="BD137" s="283">
        <v>14.12</v>
      </c>
      <c r="BE137" s="282">
        <v>71.84</v>
      </c>
      <c r="BF137" s="283" cm="1">
        <f t="array" aca="1" ref="BF137" ca="1">INDIRECT("'"&amp;$C137&amp;"'!"&amp;"$"&amp;$D137&amp;$BF$1&amp;"")</f>
        <v>14.28</v>
      </c>
      <c r="BG137" s="281">
        <v>1</v>
      </c>
      <c r="BH137" s="279">
        <v>1.3</v>
      </c>
      <c r="BI137" s="524">
        <v>69.2</v>
      </c>
      <c r="BJ137" s="278" cm="1">
        <f t="array" aca="1" ref="BJ137" ca="1">INDIRECT("'"&amp;$C137&amp;"'!"&amp;"$"&amp;$D137&amp;$BI$1&amp;"")</f>
        <v>1.5</v>
      </c>
      <c r="BK137" s="280">
        <v>0.96</v>
      </c>
      <c r="BL137" s="279">
        <v>0.2</v>
      </c>
      <c r="BM137" s="283" cm="1">
        <f t="array" aca="1" ref="BM137" ca="1">INDIRECT("'"&amp;$C137&amp;"'!"&amp;"$"&amp;$D137&amp;$BM$1&amp;"")</f>
        <v>1.1000000000000001</v>
      </c>
      <c r="BN137" s="281"/>
      <c r="BO137" s="281">
        <v>0.99</v>
      </c>
      <c r="BP137" s="279">
        <v>0.12</v>
      </c>
      <c r="BQ137" s="284" cm="1">
        <f t="array" aca="1" ref="BQ137" ca="1">INDIRECT("'"&amp;$C137&amp;"'!"&amp;"$"&amp;$D137&amp;$BQ$1&amp;"")</f>
        <v>0.75</v>
      </c>
      <c r="BR137" s="281"/>
      <c r="BS137" s="281">
        <v>0.96</v>
      </c>
      <c r="BT137" s="279">
        <v>0.19</v>
      </c>
      <c r="BU137" s="284" cm="1">
        <f t="array" aca="1" ref="BU137" ca="1">INDIRECT("'"&amp;$C137&amp;"'!"&amp;"$"&amp;$D137&amp;74&amp;"")</f>
        <v>0</v>
      </c>
      <c r="BV137" s="281"/>
      <c r="BW137" s="281" t="s">
        <v>1</v>
      </c>
      <c r="BX137" s="279" t="s">
        <v>1</v>
      </c>
    </row>
    <row r="138" spans="1:76">
      <c r="A138" s="459">
        <v>45844</v>
      </c>
      <c r="B138" s="345">
        <v>0.33333333333333398</v>
      </c>
      <c r="C138" s="305">
        <v>6</v>
      </c>
      <c r="D138" s="306" t="s">
        <v>150</v>
      </c>
      <c r="E138" s="285">
        <v>14.1</v>
      </c>
      <c r="F138" s="286">
        <v>69.41</v>
      </c>
      <c r="G138" s="287" t="str" cm="1">
        <f t="array" aca="1" ref="G138" ca="1">INDIRECT("'"&amp;$C138&amp;"'!"&amp;"$"&amp;$D138&amp;$E$1&amp;"")</f>
        <v>CMS</v>
      </c>
      <c r="H138" s="288" t="s">
        <v>1</v>
      </c>
      <c r="I138" s="286" t="s">
        <v>1</v>
      </c>
      <c r="J138" s="287" cm="1">
        <f t="array" aca="1" ref="J138" ca="1">INDIRECT("'"&amp;$C138&amp;"'!"&amp;"$"&amp;$D138&amp;$J$1&amp;"")</f>
        <v>6.9</v>
      </c>
      <c r="K138" s="288"/>
      <c r="L138" s="288">
        <v>0.97</v>
      </c>
      <c r="M138" s="289">
        <v>1.67</v>
      </c>
      <c r="N138" s="285" cm="1">
        <f t="array" aca="1" ref="N138" ca="1">INDIRECT("'"&amp;$C138&amp;"'!"&amp;"$"&amp;$D138&amp;$N$1&amp;"")</f>
        <v>6.9</v>
      </c>
      <c r="O138" s="288"/>
      <c r="P138" s="288">
        <v>0.97</v>
      </c>
      <c r="Q138" s="286">
        <v>1.67</v>
      </c>
      <c r="R138" s="285" cm="1">
        <f t="array" aca="1" ref="R138" ca="1">INDIRECT("'"&amp;$C138&amp;"'!"&amp;"$"&amp;$D138&amp;$R$1&amp;"")</f>
        <v>0</v>
      </c>
      <c r="S138" s="288"/>
      <c r="T138" s="288" t="s">
        <v>1</v>
      </c>
      <c r="U138" s="286" t="s">
        <v>1</v>
      </c>
      <c r="V138" s="287" t="str" cm="1">
        <f t="array" aca="1" ref="V138" ca="1">INDIRECT("'"&amp;$C138&amp;"'!"&amp;"$"&amp;$D138&amp;$V$1&amp;"")</f>
        <v>CMS</v>
      </c>
      <c r="W138" s="288" t="s">
        <v>1</v>
      </c>
      <c r="X138" s="288" t="s">
        <v>1</v>
      </c>
      <c r="Y138" s="289" t="s">
        <v>1</v>
      </c>
      <c r="Z138" s="285" t="str" cm="1">
        <f t="array" aca="1" ref="Z138" ca="1">INDIRECT("'"&amp;$C138&amp;"'!"&amp;"$"&amp;$D138&amp;$Z$1&amp;"")</f>
        <v>CMS</v>
      </c>
      <c r="AA138" s="288" t="s">
        <v>1</v>
      </c>
      <c r="AB138" s="288" t="s">
        <v>1</v>
      </c>
      <c r="AC138" s="286" t="s">
        <v>1</v>
      </c>
      <c r="AD138" s="287" cm="1">
        <f t="array" aca="1" ref="AD138" ca="1">INDIRECT("'"&amp;$C138&amp;"'!"&amp;"$"&amp;$D138&amp;$AD$1&amp;"")</f>
        <v>0</v>
      </c>
      <c r="AE138" s="288" t="s">
        <v>1</v>
      </c>
      <c r="AF138" s="288" t="s">
        <v>1</v>
      </c>
      <c r="AG138" s="289" t="s">
        <v>1</v>
      </c>
      <c r="AH138" s="285" cm="1">
        <f t="array" aca="1" ref="AH138" ca="1">INDIRECT("'"&amp;$C138&amp;"'!"&amp;"$"&amp;$D138&amp;$AH$1&amp;"")</f>
        <v>0</v>
      </c>
      <c r="AI138" s="288" t="s">
        <v>1</v>
      </c>
      <c r="AJ138" s="288" t="s">
        <v>1</v>
      </c>
      <c r="AK138" s="289" t="s">
        <v>1</v>
      </c>
      <c r="AL138" s="285" t="s">
        <v>1</v>
      </c>
      <c r="AM138" s="286">
        <v>70.400000000000006</v>
      </c>
      <c r="AN138" s="285" cm="1">
        <f t="array" aca="1" ref="AN138" ca="1">INDIRECT("'"&amp;$C138&amp;"'!"&amp;"$"&amp;$D138&amp;$AL$1&amp;"")</f>
        <v>0</v>
      </c>
      <c r="AO138" s="288" t="s">
        <v>1</v>
      </c>
      <c r="AP138" s="286" t="s">
        <v>1</v>
      </c>
      <c r="AQ138" s="287" cm="1">
        <f t="array" aca="1" ref="AQ138" ca="1">INDIRECT("'"&amp;$C138&amp;"'!"&amp;"$"&amp;$D138&amp;$AQ$1&amp;"")</f>
        <v>0</v>
      </c>
      <c r="AR138" s="288" t="s">
        <v>1</v>
      </c>
      <c r="AS138" s="286" t="s">
        <v>1</v>
      </c>
      <c r="AT138" s="285">
        <v>13.86</v>
      </c>
      <c r="AU138" s="289">
        <v>70.099999999999994</v>
      </c>
      <c r="AV138" s="288" cm="1">
        <f t="array" aca="1" ref="AV138" ca="1">INDIRECT("'"&amp;$C138&amp;"'!"&amp;"$"&amp;$D138&amp;$AV$1&amp;"")</f>
        <v>0</v>
      </c>
      <c r="AW138" s="287" t="s">
        <v>1</v>
      </c>
      <c r="AX138" s="288" t="s">
        <v>1</v>
      </c>
      <c r="AY138" s="286" t="s">
        <v>1</v>
      </c>
      <c r="AZ138" s="288" cm="1">
        <f t="array" aca="1" ref="AZ138" ca="1">INDIRECT("'"&amp;$C138&amp;"'!"&amp;"$"&amp;$D138&amp;$AZ$1&amp;"")</f>
        <v>7.5</v>
      </c>
      <c r="BA138" s="287" t="s">
        <v>1</v>
      </c>
      <c r="BB138" s="288">
        <v>0.96</v>
      </c>
      <c r="BC138" s="286">
        <v>2.1</v>
      </c>
      <c r="BD138" s="290">
        <v>14.03</v>
      </c>
      <c r="BE138" s="289">
        <v>71.400000000000006</v>
      </c>
      <c r="BF138" s="290" cm="1">
        <f t="array" aca="1" ref="BF138" ca="1">INDIRECT("'"&amp;$C138&amp;"'!"&amp;"$"&amp;$D138&amp;$BF$1&amp;"")</f>
        <v>14.28</v>
      </c>
      <c r="BG138" s="288">
        <v>1</v>
      </c>
      <c r="BH138" s="286">
        <v>1.3</v>
      </c>
      <c r="BI138" s="525">
        <v>68.400000000000006</v>
      </c>
      <c r="BJ138" s="285" cm="1">
        <f t="array" aca="1" ref="BJ138" ca="1">INDIRECT("'"&amp;$C138&amp;"'!"&amp;"$"&amp;$D138&amp;$BI$1&amp;"")</f>
        <v>1.5</v>
      </c>
      <c r="BK138" s="287">
        <v>0.95</v>
      </c>
      <c r="BL138" s="286">
        <v>0.49</v>
      </c>
      <c r="BM138" s="290" cm="1">
        <f t="array" aca="1" ref="BM138" ca="1">INDIRECT("'"&amp;$C138&amp;"'!"&amp;"$"&amp;$D138&amp;$BM$1&amp;"")</f>
        <v>1.1000000000000001</v>
      </c>
      <c r="BN138" s="288"/>
      <c r="BO138" s="288">
        <v>0.99</v>
      </c>
      <c r="BP138" s="286">
        <v>0.16</v>
      </c>
      <c r="BQ138" s="291" cm="1">
        <f t="array" aca="1" ref="BQ138" ca="1">INDIRECT("'"&amp;$C138&amp;"'!"&amp;"$"&amp;$D138&amp;$BQ$1&amp;"")</f>
        <v>0.75</v>
      </c>
      <c r="BR138" s="288"/>
      <c r="BS138" s="288">
        <v>0.96</v>
      </c>
      <c r="BT138" s="286">
        <v>0.21</v>
      </c>
      <c r="BU138" s="291" cm="1">
        <f t="array" aca="1" ref="BU138" ca="1">INDIRECT("'"&amp;$C138&amp;"'!"&amp;"$"&amp;$D138&amp;74&amp;"")</f>
        <v>0</v>
      </c>
      <c r="BV138" s="288"/>
      <c r="BW138" s="288" t="s">
        <v>1</v>
      </c>
      <c r="BX138" s="286" t="s">
        <v>1</v>
      </c>
    </row>
    <row r="139" spans="1:76">
      <c r="A139" s="459">
        <v>45844</v>
      </c>
      <c r="B139" s="345">
        <v>0.375</v>
      </c>
      <c r="C139" s="305">
        <v>6</v>
      </c>
      <c r="D139" s="306" t="s">
        <v>151</v>
      </c>
      <c r="E139" s="278">
        <v>14</v>
      </c>
      <c r="F139" s="279">
        <v>68.739999999999995</v>
      </c>
      <c r="G139" s="280" t="str" cm="1">
        <f t="array" aca="1" ref="G139" ca="1">INDIRECT("'"&amp;$C139&amp;"'!"&amp;"$"&amp;$D139&amp;$E$1&amp;"")</f>
        <v>CMS</v>
      </c>
      <c r="H139" s="281" t="s">
        <v>1</v>
      </c>
      <c r="I139" s="279" t="s">
        <v>1</v>
      </c>
      <c r="J139" s="280" cm="1">
        <f t="array" aca="1" ref="J139" ca="1">INDIRECT("'"&amp;$C139&amp;"'!"&amp;"$"&amp;$D139&amp;$J$1&amp;"")</f>
        <v>6.6</v>
      </c>
      <c r="K139" s="281"/>
      <c r="L139" s="281">
        <v>0.91</v>
      </c>
      <c r="M139" s="282">
        <v>2.98</v>
      </c>
      <c r="N139" s="278" cm="1">
        <f t="array" aca="1" ref="N139" ca="1">INDIRECT("'"&amp;$C139&amp;"'!"&amp;"$"&amp;$D139&amp;$N$1&amp;"")</f>
        <v>6.6</v>
      </c>
      <c r="O139" s="281"/>
      <c r="P139" s="281">
        <v>0.91</v>
      </c>
      <c r="Q139" s="279">
        <v>2.98</v>
      </c>
      <c r="R139" s="468" cm="1">
        <f t="array" aca="1" ref="R139" ca="1">INDIRECT("'"&amp;$C139&amp;"'!"&amp;"$"&amp;$D139&amp;$R$1&amp;"")</f>
        <v>1.5</v>
      </c>
      <c r="S139" s="281"/>
      <c r="T139" s="281">
        <v>0.89</v>
      </c>
      <c r="U139" s="279">
        <v>0.76</v>
      </c>
      <c r="V139" s="280" t="str" cm="1">
        <f t="array" aca="1" ref="V139" ca="1">INDIRECT("'"&amp;$C139&amp;"'!"&amp;"$"&amp;$D139&amp;$V$1&amp;"")</f>
        <v>CMS</v>
      </c>
      <c r="W139" s="281" t="s">
        <v>1</v>
      </c>
      <c r="X139" s="281" t="s">
        <v>1</v>
      </c>
      <c r="Y139" s="282" t="s">
        <v>1</v>
      </c>
      <c r="Z139" s="278" t="str" cm="1">
        <f t="array" aca="1" ref="Z139" ca="1">INDIRECT("'"&amp;$C139&amp;"'!"&amp;"$"&amp;$D139&amp;$Z$1&amp;"")</f>
        <v>CMS</v>
      </c>
      <c r="AA139" s="281" t="s">
        <v>1</v>
      </c>
      <c r="AB139" s="281" t="s">
        <v>1</v>
      </c>
      <c r="AC139" s="279" t="s">
        <v>1</v>
      </c>
      <c r="AD139" s="280" cm="1">
        <f t="array" aca="1" ref="AD139" ca="1">INDIRECT("'"&amp;$C139&amp;"'!"&amp;"$"&amp;$D139&amp;$AD$1&amp;"")</f>
        <v>0</v>
      </c>
      <c r="AE139" s="281" t="s">
        <v>1</v>
      </c>
      <c r="AF139" s="281" t="s">
        <v>1</v>
      </c>
      <c r="AG139" s="282" t="s">
        <v>1</v>
      </c>
      <c r="AH139" s="278" cm="1">
        <f t="array" aca="1" ref="AH139" ca="1">INDIRECT("'"&amp;$C139&amp;"'!"&amp;"$"&amp;$D139&amp;$AH$1&amp;"")</f>
        <v>0</v>
      </c>
      <c r="AI139" s="281" t="s">
        <v>1</v>
      </c>
      <c r="AJ139" s="281" t="s">
        <v>1</v>
      </c>
      <c r="AK139" s="282" t="s">
        <v>1</v>
      </c>
      <c r="AL139" s="278">
        <v>11.5</v>
      </c>
      <c r="AM139" s="279">
        <v>70.3</v>
      </c>
      <c r="AN139" s="278" cm="1">
        <f t="array" aca="1" ref="AN139" ca="1">INDIRECT("'"&amp;$C139&amp;"'!"&amp;"$"&amp;$D139&amp;$AL$1&amp;"")</f>
        <v>4</v>
      </c>
      <c r="AO139" s="281">
        <v>0.98</v>
      </c>
      <c r="AP139" s="279">
        <v>0.86</v>
      </c>
      <c r="AQ139" s="280" cm="1">
        <f t="array" aca="1" ref="AQ139" ca="1">INDIRECT("'"&amp;$C139&amp;"'!"&amp;"$"&amp;$D139&amp;$AQ$1&amp;"")</f>
        <v>0</v>
      </c>
      <c r="AR139" s="281" t="s">
        <v>1</v>
      </c>
      <c r="AS139" s="279" t="s">
        <v>1</v>
      </c>
      <c r="AT139" s="278">
        <v>13.84</v>
      </c>
      <c r="AU139" s="282">
        <v>70.099999999999994</v>
      </c>
      <c r="AV139" s="281" cm="1">
        <f t="array" aca="1" ref="AV139" ca="1">INDIRECT("'"&amp;$C139&amp;"'!"&amp;"$"&amp;$D139&amp;$AV$1&amp;"")</f>
        <v>0</v>
      </c>
      <c r="AW139" s="280" t="s">
        <v>1</v>
      </c>
      <c r="AX139" s="281" t="s">
        <v>1</v>
      </c>
      <c r="AY139" s="279" t="s">
        <v>1</v>
      </c>
      <c r="AZ139" s="281" cm="1">
        <f t="array" aca="1" ref="AZ139" ca="1">INDIRECT("'"&amp;$C139&amp;"'!"&amp;"$"&amp;$D139&amp;$AZ$1&amp;"")</f>
        <v>7</v>
      </c>
      <c r="BA139" s="280" t="s">
        <v>1</v>
      </c>
      <c r="BB139" s="281">
        <v>0.95</v>
      </c>
      <c r="BC139" s="279">
        <v>2.42</v>
      </c>
      <c r="BD139" s="283">
        <v>13.93</v>
      </c>
      <c r="BE139" s="282">
        <v>70.989999999999995</v>
      </c>
      <c r="BF139" s="283" cm="1">
        <f t="array" aca="1" ref="BF139" ca="1">INDIRECT("'"&amp;$C139&amp;"'!"&amp;"$"&amp;$D139&amp;$BF$1&amp;"")</f>
        <v>14.29</v>
      </c>
      <c r="BG139" s="281">
        <v>1</v>
      </c>
      <c r="BH139" s="279">
        <v>1.3</v>
      </c>
      <c r="BI139" s="524">
        <v>67.7</v>
      </c>
      <c r="BJ139" s="278" cm="1">
        <f t="array" aca="1" ref="BJ139" ca="1">INDIRECT("'"&amp;$C139&amp;"'!"&amp;"$"&amp;$D139&amp;$BI$1&amp;"")</f>
        <v>2.9</v>
      </c>
      <c r="BK139" s="280">
        <v>0.96</v>
      </c>
      <c r="BL139" s="279">
        <v>0.84</v>
      </c>
      <c r="BM139" s="283" cm="1">
        <f t="array" aca="1" ref="BM139" ca="1">INDIRECT("'"&amp;$C139&amp;"'!"&amp;"$"&amp;$D139&amp;$BM$1&amp;"")</f>
        <v>1.17</v>
      </c>
      <c r="BN139" s="281"/>
      <c r="BO139" s="281">
        <v>0.99</v>
      </c>
      <c r="BP139" s="279">
        <v>0.16</v>
      </c>
      <c r="BQ139" s="284" cm="1">
        <f t="array" aca="1" ref="BQ139" ca="1">INDIRECT("'"&amp;$C139&amp;"'!"&amp;"$"&amp;$D139&amp;$BQ$1&amp;"")</f>
        <v>0.78</v>
      </c>
      <c r="BR139" s="281"/>
      <c r="BS139" s="281">
        <v>0.96</v>
      </c>
      <c r="BT139" s="279">
        <v>0.21</v>
      </c>
      <c r="BU139" s="284" cm="1">
        <f t="array" aca="1" ref="BU139" ca="1">INDIRECT("'"&amp;$C139&amp;"'!"&amp;"$"&amp;$D139&amp;74&amp;"")</f>
        <v>0</v>
      </c>
      <c r="BV139" s="281"/>
      <c r="BW139" s="281" t="s">
        <v>1</v>
      </c>
      <c r="BX139" s="279" t="s">
        <v>1</v>
      </c>
    </row>
    <row r="140" spans="1:76">
      <c r="A140" s="459">
        <v>45844</v>
      </c>
      <c r="B140" s="345">
        <v>0.41666666666666702</v>
      </c>
      <c r="C140" s="305">
        <v>6</v>
      </c>
      <c r="D140" s="306" t="s">
        <v>152</v>
      </c>
      <c r="E140" s="285">
        <v>14.2</v>
      </c>
      <c r="F140" s="286">
        <v>68.98</v>
      </c>
      <c r="G140" s="287" t="str" cm="1">
        <f t="array" aca="1" ref="G140" ca="1">INDIRECT("'"&amp;$C140&amp;"'!"&amp;"$"&amp;$D140&amp;$E$1&amp;"")</f>
        <v>CMS</v>
      </c>
      <c r="H140" s="288" t="s">
        <v>1</v>
      </c>
      <c r="I140" s="286" t="s">
        <v>1</v>
      </c>
      <c r="J140" s="287" cm="1">
        <f t="array" aca="1" ref="J140" ca="1">INDIRECT("'"&amp;$C140&amp;"'!"&amp;"$"&amp;$D140&amp;$J$1&amp;"")</f>
        <v>6.7</v>
      </c>
      <c r="K140" s="288"/>
      <c r="L140" s="288">
        <v>0.92</v>
      </c>
      <c r="M140" s="289">
        <v>2.85</v>
      </c>
      <c r="N140" s="285" cm="1">
        <f t="array" aca="1" ref="N140" ca="1">INDIRECT("'"&amp;$C140&amp;"'!"&amp;"$"&amp;$D140&amp;$N$1&amp;"")</f>
        <v>6.7</v>
      </c>
      <c r="O140" s="288"/>
      <c r="P140" s="288">
        <v>0.92</v>
      </c>
      <c r="Q140" s="286">
        <v>2.85</v>
      </c>
      <c r="R140" s="285" cm="1">
        <f t="array" aca="1" ref="R140" ca="1">INDIRECT("'"&amp;$C140&amp;"'!"&amp;"$"&amp;$D140&amp;$R$1&amp;"")</f>
        <v>6.7</v>
      </c>
      <c r="S140" s="288"/>
      <c r="T140" s="288">
        <v>0.92</v>
      </c>
      <c r="U140" s="286">
        <v>2.85</v>
      </c>
      <c r="V140" s="287" t="str" cm="1">
        <f t="array" aca="1" ref="V140" ca="1">INDIRECT("'"&amp;$C140&amp;"'!"&amp;"$"&amp;$D140&amp;$V$1&amp;"")</f>
        <v>CMS</v>
      </c>
      <c r="W140" s="288" t="s">
        <v>1</v>
      </c>
      <c r="X140" s="288" t="s">
        <v>1</v>
      </c>
      <c r="Y140" s="289" t="s">
        <v>1</v>
      </c>
      <c r="Z140" s="285" t="str" cm="1">
        <f t="array" aca="1" ref="Z140" ca="1">INDIRECT("'"&amp;$C140&amp;"'!"&amp;"$"&amp;$D140&amp;$Z$1&amp;"")</f>
        <v>CMS</v>
      </c>
      <c r="AA140" s="288" t="s">
        <v>1</v>
      </c>
      <c r="AB140" s="288" t="s">
        <v>1</v>
      </c>
      <c r="AC140" s="286" t="s">
        <v>1</v>
      </c>
      <c r="AD140" s="287" cm="1">
        <f t="array" aca="1" ref="AD140" ca="1">INDIRECT("'"&amp;$C140&amp;"'!"&amp;"$"&amp;$D140&amp;$AD$1&amp;"")</f>
        <v>0</v>
      </c>
      <c r="AE140" s="288" t="s">
        <v>1</v>
      </c>
      <c r="AF140" s="288" t="s">
        <v>1</v>
      </c>
      <c r="AG140" s="289" t="s">
        <v>1</v>
      </c>
      <c r="AH140" s="285" cm="1">
        <f t="array" aca="1" ref="AH140" ca="1">INDIRECT("'"&amp;$C140&amp;"'!"&amp;"$"&amp;$D140&amp;$AH$1&amp;"")</f>
        <v>0</v>
      </c>
      <c r="AI140" s="288" t="s">
        <v>1</v>
      </c>
      <c r="AJ140" s="288" t="s">
        <v>1</v>
      </c>
      <c r="AK140" s="289" t="s">
        <v>1</v>
      </c>
      <c r="AL140" s="285">
        <v>11.6</v>
      </c>
      <c r="AM140" s="286">
        <v>70.5</v>
      </c>
      <c r="AN140" s="285" cm="1">
        <f t="array" aca="1" ref="AN140" ca="1">INDIRECT("'"&amp;$C140&amp;"'!"&amp;"$"&amp;$D140&amp;$AL$1&amp;"")</f>
        <v>3.9</v>
      </c>
      <c r="AO140" s="288">
        <v>0.97</v>
      </c>
      <c r="AP140" s="286">
        <v>1.1000000000000001</v>
      </c>
      <c r="AQ140" s="287" cm="1">
        <f t="array" aca="1" ref="AQ140" ca="1">INDIRECT("'"&amp;$C140&amp;"'!"&amp;"$"&amp;$D140&amp;$AQ$1&amp;"")</f>
        <v>0</v>
      </c>
      <c r="AR140" s="288" t="s">
        <v>1</v>
      </c>
      <c r="AS140" s="286" t="s">
        <v>1</v>
      </c>
      <c r="AT140" s="285">
        <v>13.88</v>
      </c>
      <c r="AU140" s="289">
        <v>70.400000000000006</v>
      </c>
      <c r="AV140" s="288" cm="1">
        <f t="array" aca="1" ref="AV140" ca="1">INDIRECT("'"&amp;$C140&amp;"'!"&amp;"$"&amp;$D140&amp;$AV$1&amp;"")</f>
        <v>0</v>
      </c>
      <c r="AW140" s="287" t="s">
        <v>1</v>
      </c>
      <c r="AX140" s="288" t="s">
        <v>1</v>
      </c>
      <c r="AY140" s="286" t="s">
        <v>1</v>
      </c>
      <c r="AZ140" s="288" cm="1">
        <f t="array" aca="1" ref="AZ140" ca="1">INDIRECT("'"&amp;$C140&amp;"'!"&amp;"$"&amp;$D140&amp;$AZ$1&amp;"")</f>
        <v>7</v>
      </c>
      <c r="BA140" s="287" t="s">
        <v>1</v>
      </c>
      <c r="BB140" s="288">
        <v>0.97</v>
      </c>
      <c r="BC140" s="286">
        <v>1.99</v>
      </c>
      <c r="BD140" s="290">
        <v>14.13</v>
      </c>
      <c r="BE140" s="289">
        <v>71.55</v>
      </c>
      <c r="BF140" s="290" cm="1">
        <f t="array" aca="1" ref="BF140" ca="1">INDIRECT("'"&amp;$C140&amp;"'!"&amp;"$"&amp;$D140&amp;$BF$1&amp;"")</f>
        <v>14.28</v>
      </c>
      <c r="BG140" s="288">
        <v>0.99</v>
      </c>
      <c r="BH140" s="286">
        <v>2.2999999999999998</v>
      </c>
      <c r="BI140" s="525">
        <v>67.8</v>
      </c>
      <c r="BJ140" s="285" cm="1">
        <f t="array" aca="1" ref="BJ140" ca="1">INDIRECT("'"&amp;$C140&amp;"'!"&amp;"$"&amp;$D140&amp;$BI$1&amp;"")</f>
        <v>0.7</v>
      </c>
      <c r="BK140" s="287">
        <v>0.97</v>
      </c>
      <c r="BL140" s="286">
        <v>0.2</v>
      </c>
      <c r="BM140" s="290" cm="1">
        <f t="array" aca="1" ref="BM140" ca="1">INDIRECT("'"&amp;$C140&amp;"'!"&amp;"$"&amp;$D140&amp;$BM$1&amp;"")</f>
        <v>1.18</v>
      </c>
      <c r="BN140" s="288"/>
      <c r="BO140" s="288">
        <v>0.99</v>
      </c>
      <c r="BP140" s="286">
        <v>0.18</v>
      </c>
      <c r="BQ140" s="291" cm="1">
        <f t="array" aca="1" ref="BQ140" ca="1">INDIRECT("'"&amp;$C140&amp;"'!"&amp;"$"&amp;$D140&amp;$BQ$1&amp;"")</f>
        <v>0.82</v>
      </c>
      <c r="BR140" s="288"/>
      <c r="BS140" s="288">
        <v>0.96</v>
      </c>
      <c r="BT140" s="286">
        <v>0.24</v>
      </c>
      <c r="BU140" s="291" cm="1">
        <f t="array" aca="1" ref="BU140" ca="1">INDIRECT("'"&amp;$C140&amp;"'!"&amp;"$"&amp;$D140&amp;74&amp;"")</f>
        <v>0</v>
      </c>
      <c r="BV140" s="288"/>
      <c r="BW140" s="288" t="s">
        <v>1</v>
      </c>
      <c r="BX140" s="286" t="s">
        <v>1</v>
      </c>
    </row>
    <row r="141" spans="1:76">
      <c r="A141" s="459">
        <v>45844</v>
      </c>
      <c r="B141" s="345">
        <v>0.45833333333333398</v>
      </c>
      <c r="C141" s="305">
        <v>6</v>
      </c>
      <c r="D141" s="306" t="s">
        <v>153</v>
      </c>
      <c r="E141" s="278">
        <v>14.2</v>
      </c>
      <c r="F141" s="279">
        <v>69.28</v>
      </c>
      <c r="G141" s="280" t="str" cm="1">
        <f t="array" aca="1" ref="G141" ca="1">INDIRECT("'"&amp;$C141&amp;"'!"&amp;"$"&amp;$D141&amp;$E$1&amp;"")</f>
        <v>CMS</v>
      </c>
      <c r="H141" s="281" t="s">
        <v>1</v>
      </c>
      <c r="I141" s="279" t="s">
        <v>1</v>
      </c>
      <c r="J141" s="280" cm="1">
        <f t="array" aca="1" ref="J141" ca="1">INDIRECT("'"&amp;$C141&amp;"'!"&amp;"$"&amp;$D141&amp;$J$1&amp;"")</f>
        <v>6.5</v>
      </c>
      <c r="K141" s="281"/>
      <c r="L141" s="281">
        <v>0.92</v>
      </c>
      <c r="M141" s="282">
        <v>2.78</v>
      </c>
      <c r="N141" s="278" cm="1">
        <f t="array" aca="1" ref="N141" ca="1">INDIRECT("'"&amp;$C141&amp;"'!"&amp;"$"&amp;$D141&amp;$N$1&amp;"")</f>
        <v>6.5</v>
      </c>
      <c r="O141" s="281"/>
      <c r="P141" s="281">
        <v>0.92</v>
      </c>
      <c r="Q141" s="279">
        <v>2.78</v>
      </c>
      <c r="R141" s="468" cm="1">
        <f t="array" aca="1" ref="R141" ca="1">INDIRECT("'"&amp;$C141&amp;"'!"&amp;"$"&amp;$D141&amp;$R$1&amp;"")</f>
        <v>6.5</v>
      </c>
      <c r="S141" s="281"/>
      <c r="T141" s="281">
        <v>0.92</v>
      </c>
      <c r="U141" s="279">
        <v>2.78</v>
      </c>
      <c r="V141" s="280" t="str" cm="1">
        <f t="array" aca="1" ref="V141" ca="1">INDIRECT("'"&amp;$C141&amp;"'!"&amp;"$"&amp;$D141&amp;$V$1&amp;"")</f>
        <v>CMS</v>
      </c>
      <c r="W141" s="281" t="s">
        <v>1</v>
      </c>
      <c r="X141" s="281" t="s">
        <v>1</v>
      </c>
      <c r="Y141" s="282" t="s">
        <v>1</v>
      </c>
      <c r="Z141" s="278" t="str" cm="1">
        <f t="array" aca="1" ref="Z141" ca="1">INDIRECT("'"&amp;$C141&amp;"'!"&amp;"$"&amp;$D141&amp;$Z$1&amp;"")</f>
        <v>CMS</v>
      </c>
      <c r="AA141" s="281" t="s">
        <v>1</v>
      </c>
      <c r="AB141" s="281" t="s">
        <v>1</v>
      </c>
      <c r="AC141" s="279" t="s">
        <v>1</v>
      </c>
      <c r="AD141" s="280" cm="1">
        <f t="array" aca="1" ref="AD141" ca="1">INDIRECT("'"&amp;$C141&amp;"'!"&amp;"$"&amp;$D141&amp;$AD$1&amp;"")</f>
        <v>1.7</v>
      </c>
      <c r="AE141" s="281">
        <f>3.47*3.8</f>
        <v>13.186</v>
      </c>
      <c r="AF141" s="281">
        <v>0.96</v>
      </c>
      <c r="AG141" s="282">
        <v>0.54100000000000004</v>
      </c>
      <c r="AH141" s="278" cm="1">
        <f t="array" aca="1" ref="AH141" ca="1">INDIRECT("'"&amp;$C141&amp;"'!"&amp;"$"&amp;$D141&amp;$AH$1&amp;"")</f>
        <v>0</v>
      </c>
      <c r="AI141" s="281" t="s">
        <v>1</v>
      </c>
      <c r="AJ141" s="281" t="s">
        <v>1</v>
      </c>
      <c r="AK141" s="282" t="s">
        <v>1</v>
      </c>
      <c r="AL141" s="278">
        <v>11.6</v>
      </c>
      <c r="AM141" s="279">
        <v>70.599999999999994</v>
      </c>
      <c r="AN141" s="278" cm="1">
        <f t="array" aca="1" ref="AN141" ca="1">INDIRECT("'"&amp;$C141&amp;"'!"&amp;"$"&amp;$D141&amp;$AL$1&amp;"")</f>
        <v>3.7</v>
      </c>
      <c r="AO141" s="281">
        <v>0.96</v>
      </c>
      <c r="AP141" s="279">
        <v>1</v>
      </c>
      <c r="AQ141" s="280" cm="1">
        <f t="array" aca="1" ref="AQ141" ca="1">INDIRECT("'"&amp;$C141&amp;"'!"&amp;"$"&amp;$D141&amp;$AQ$1&amp;"")</f>
        <v>0</v>
      </c>
      <c r="AR141" s="281" t="s">
        <v>1</v>
      </c>
      <c r="AS141" s="279" t="s">
        <v>1</v>
      </c>
      <c r="AT141" s="278">
        <v>13.89</v>
      </c>
      <c r="AU141" s="282">
        <v>70.400000000000006</v>
      </c>
      <c r="AV141" s="281" cm="1">
        <f t="array" aca="1" ref="AV141" ca="1">INDIRECT("'"&amp;$C141&amp;"'!"&amp;"$"&amp;$D141&amp;$AV$1&amp;"")</f>
        <v>0</v>
      </c>
      <c r="AW141" s="280" t="s">
        <v>1</v>
      </c>
      <c r="AX141" s="281" t="s">
        <v>1</v>
      </c>
      <c r="AY141" s="279" t="s">
        <v>1</v>
      </c>
      <c r="AZ141" s="281" cm="1">
        <f t="array" aca="1" ref="AZ141" ca="1">INDIRECT("'"&amp;$C141&amp;"'!"&amp;"$"&amp;$D141&amp;$AZ$1&amp;"")</f>
        <v>7</v>
      </c>
      <c r="BA141" s="280" t="s">
        <v>1</v>
      </c>
      <c r="BB141" s="281">
        <v>0.97</v>
      </c>
      <c r="BC141" s="279">
        <v>1.86</v>
      </c>
      <c r="BD141" s="283">
        <v>14.11</v>
      </c>
      <c r="BE141" s="282">
        <v>71.45</v>
      </c>
      <c r="BF141" s="283" cm="1">
        <f t="array" aca="1" ref="BF141" ca="1">INDIRECT("'"&amp;$C141&amp;"'!"&amp;"$"&amp;$D141&amp;$BF$1&amp;"")</f>
        <v>14.31</v>
      </c>
      <c r="BG141" s="281">
        <v>0.99</v>
      </c>
      <c r="BH141" s="279">
        <v>2.4</v>
      </c>
      <c r="BI141" s="524">
        <v>68</v>
      </c>
      <c r="BJ141" s="278" cm="1">
        <f t="array" aca="1" ref="BJ141" ca="1">INDIRECT("'"&amp;$C141&amp;"'!"&amp;"$"&amp;$D141&amp;$BI$1&amp;"")</f>
        <v>0.8</v>
      </c>
      <c r="BK141" s="280">
        <v>0.96</v>
      </c>
      <c r="BL141" s="279">
        <v>0.23</v>
      </c>
      <c r="BM141" s="283" cm="1">
        <f t="array" aca="1" ref="BM141" ca="1">INDIRECT("'"&amp;$C141&amp;"'!"&amp;"$"&amp;$D141&amp;$BM$1&amp;"")</f>
        <v>1.22</v>
      </c>
      <c r="BN141" s="281"/>
      <c r="BO141" s="281">
        <v>0.99</v>
      </c>
      <c r="BP141" s="279">
        <v>0.18</v>
      </c>
      <c r="BQ141" s="284" cm="1">
        <f t="array" aca="1" ref="BQ141" ca="1">INDIRECT("'"&amp;$C141&amp;"'!"&amp;"$"&amp;$D141&amp;$BQ$1&amp;"")</f>
        <v>0.86</v>
      </c>
      <c r="BR141" s="281"/>
      <c r="BS141" s="281">
        <v>0.96</v>
      </c>
      <c r="BT141" s="279">
        <v>0.26</v>
      </c>
      <c r="BU141" s="284" cm="1">
        <f t="array" aca="1" ref="BU141" ca="1">INDIRECT("'"&amp;$C141&amp;"'!"&amp;"$"&amp;$D141&amp;74&amp;"")</f>
        <v>0</v>
      </c>
      <c r="BV141" s="281"/>
      <c r="BW141" s="281" t="s">
        <v>1</v>
      </c>
      <c r="BX141" s="279" t="s">
        <v>1</v>
      </c>
    </row>
    <row r="142" spans="1:76">
      <c r="A142" s="459">
        <v>45844</v>
      </c>
      <c r="B142" s="345">
        <v>0.5</v>
      </c>
      <c r="C142" s="305">
        <v>6</v>
      </c>
      <c r="D142" s="306" t="s">
        <v>154</v>
      </c>
      <c r="E142" s="285">
        <v>14.2</v>
      </c>
      <c r="F142" s="286">
        <v>69.42</v>
      </c>
      <c r="G142" s="287" t="str" cm="1">
        <f t="array" aca="1" ref="G142" ca="1">INDIRECT("'"&amp;$C142&amp;"'!"&amp;"$"&amp;$D142&amp;$E$1&amp;"")</f>
        <v>CMS</v>
      </c>
      <c r="H142" s="288" t="s">
        <v>1</v>
      </c>
      <c r="I142" s="286" t="s">
        <v>1</v>
      </c>
      <c r="J142" s="287" cm="1">
        <f t="array" aca="1" ref="J142" ca="1">INDIRECT("'"&amp;$C142&amp;"'!"&amp;"$"&amp;$D142&amp;$J$1&amp;"")</f>
        <v>6.4</v>
      </c>
      <c r="K142" s="288"/>
      <c r="L142" s="288">
        <v>0.92</v>
      </c>
      <c r="M142" s="289">
        <v>2.81</v>
      </c>
      <c r="N142" s="285" cm="1">
        <f t="array" aca="1" ref="N142" ca="1">INDIRECT("'"&amp;$C142&amp;"'!"&amp;"$"&amp;$D142&amp;$N$1&amp;"")</f>
        <v>6.4</v>
      </c>
      <c r="O142" s="288"/>
      <c r="P142" s="288">
        <v>0.92</v>
      </c>
      <c r="Q142" s="289">
        <v>2.81</v>
      </c>
      <c r="R142" s="285" cm="1">
        <f t="array" aca="1" ref="R142" ca="1">INDIRECT("'"&amp;$C142&amp;"'!"&amp;"$"&amp;$D142&amp;$R$1&amp;"")</f>
        <v>6.4</v>
      </c>
      <c r="S142" s="288"/>
      <c r="T142" s="288">
        <v>0.92</v>
      </c>
      <c r="U142" s="286">
        <v>2.81</v>
      </c>
      <c r="V142" s="287" cm="1">
        <f t="array" aca="1" ref="V142" ca="1">INDIRECT("'"&amp;$C142&amp;"'!"&amp;"$"&amp;$D142&amp;$V$1&amp;"")</f>
        <v>1.5</v>
      </c>
      <c r="W142" s="288">
        <f>3.8*3.51</f>
        <v>13.337999999999999</v>
      </c>
      <c r="X142" s="288">
        <v>0.96</v>
      </c>
      <c r="Y142" s="289">
        <v>0.60799999999999998</v>
      </c>
      <c r="Z142" s="285" t="str" cm="1">
        <f t="array" aca="1" ref="Z142" ca="1">INDIRECT("'"&amp;$C142&amp;"'!"&amp;"$"&amp;$D142&amp;$Z$1&amp;"")</f>
        <v>CMS</v>
      </c>
      <c r="AA142" s="288" t="s">
        <v>1</v>
      </c>
      <c r="AB142" s="288" t="s">
        <v>1</v>
      </c>
      <c r="AC142" s="286" t="s">
        <v>1</v>
      </c>
      <c r="AD142" s="287" cm="1">
        <f t="array" aca="1" ref="AD142" ca="1">INDIRECT("'"&amp;$C142&amp;"'!"&amp;"$"&amp;$D142&amp;$AD$1&amp;"")</f>
        <v>2.2000000000000002</v>
      </c>
      <c r="AE142" s="288">
        <f>3.8*3.51</f>
        <v>13.337999999999999</v>
      </c>
      <c r="AF142" s="288">
        <v>0.96</v>
      </c>
      <c r="AG142" s="289">
        <v>0.86599999999999999</v>
      </c>
      <c r="AH142" s="285" cm="1">
        <f t="array" aca="1" ref="AH142" ca="1">INDIRECT("'"&amp;$C142&amp;"'!"&amp;"$"&amp;$D142&amp;$AH$1&amp;"")</f>
        <v>0</v>
      </c>
      <c r="AI142" s="288" t="s">
        <v>1</v>
      </c>
      <c r="AJ142" s="288" t="s">
        <v>1</v>
      </c>
      <c r="AK142" s="289" t="s">
        <v>1</v>
      </c>
      <c r="AL142" s="285">
        <v>11.6</v>
      </c>
      <c r="AM142" s="286">
        <v>70.599999999999994</v>
      </c>
      <c r="AN142" s="285" cm="1">
        <f t="array" aca="1" ref="AN142" ca="1">INDIRECT("'"&amp;$C142&amp;"'!"&amp;"$"&amp;$D142&amp;$AL$1&amp;"")</f>
        <v>2.5</v>
      </c>
      <c r="AO142" s="288">
        <v>0.95</v>
      </c>
      <c r="AP142" s="286">
        <v>0.82</v>
      </c>
      <c r="AQ142" s="287" cm="1">
        <f t="array" aca="1" ref="AQ142" ca="1">INDIRECT("'"&amp;$C142&amp;"'!"&amp;"$"&amp;$D142&amp;$AQ$1&amp;"")</f>
        <v>1.2</v>
      </c>
      <c r="AR142" s="288">
        <v>0.99</v>
      </c>
      <c r="AS142" s="286">
        <v>0.18</v>
      </c>
      <c r="AT142" s="285">
        <v>13.89</v>
      </c>
      <c r="AU142" s="289">
        <v>70.400000000000006</v>
      </c>
      <c r="AV142" s="288" cm="1">
        <f t="array" aca="1" ref="AV142" ca="1">INDIRECT("'"&amp;$C142&amp;"'!"&amp;"$"&amp;$D142&amp;$AV$1&amp;"")</f>
        <v>0</v>
      </c>
      <c r="AW142" s="287" t="s">
        <v>1</v>
      </c>
      <c r="AX142" s="288" t="s">
        <v>1</v>
      </c>
      <c r="AY142" s="286" t="s">
        <v>1</v>
      </c>
      <c r="AZ142" s="288" cm="1">
        <f t="array" aca="1" ref="AZ142" ca="1">INDIRECT("'"&amp;$C142&amp;"'!"&amp;"$"&amp;$D142&amp;$AZ$1&amp;"")</f>
        <v>6.5</v>
      </c>
      <c r="BA142" s="287" t="s">
        <v>1</v>
      </c>
      <c r="BB142" s="288">
        <v>0.97</v>
      </c>
      <c r="BC142" s="286">
        <v>1.75</v>
      </c>
      <c r="BD142" s="290">
        <v>14.15</v>
      </c>
      <c r="BE142" s="289">
        <v>71.61</v>
      </c>
      <c r="BF142" s="290" cm="1">
        <f t="array" aca="1" ref="BF142" ca="1">INDIRECT("'"&amp;$C142&amp;"'!"&amp;"$"&amp;$D142&amp;$BF$1&amp;"")</f>
        <v>14.3</v>
      </c>
      <c r="BG142" s="288">
        <v>0.99</v>
      </c>
      <c r="BH142" s="286">
        <v>2.4</v>
      </c>
      <c r="BI142" s="525">
        <v>68.2</v>
      </c>
      <c r="BJ142" s="285" cm="1">
        <f t="array" aca="1" ref="BJ142" ca="1">INDIRECT("'"&amp;$C142&amp;"'!"&amp;"$"&amp;$D142&amp;$BI$1&amp;"")</f>
        <v>0</v>
      </c>
      <c r="BK142" s="287" t="s">
        <v>1</v>
      </c>
      <c r="BL142" s="286" t="s">
        <v>1</v>
      </c>
      <c r="BM142" s="290" cm="1">
        <f t="array" aca="1" ref="BM142" ca="1">INDIRECT("'"&amp;$C142&amp;"'!"&amp;"$"&amp;$D142&amp;$BM$1&amp;"")</f>
        <v>1.23</v>
      </c>
      <c r="BN142" s="288"/>
      <c r="BO142" s="288">
        <v>0.99</v>
      </c>
      <c r="BP142" s="286">
        <v>0.18</v>
      </c>
      <c r="BQ142" s="291" cm="1">
        <f t="array" aca="1" ref="BQ142" ca="1">INDIRECT("'"&amp;$C142&amp;"'!"&amp;"$"&amp;$D142&amp;$BQ$1&amp;"")</f>
        <v>0.85</v>
      </c>
      <c r="BR142" s="288"/>
      <c r="BS142" s="288">
        <v>0.96</v>
      </c>
      <c r="BT142" s="286">
        <v>0.24</v>
      </c>
      <c r="BU142" s="291" cm="1">
        <f t="array" aca="1" ref="BU142" ca="1">INDIRECT("'"&amp;$C142&amp;"'!"&amp;"$"&amp;$D142&amp;74&amp;"")</f>
        <v>0</v>
      </c>
      <c r="BV142" s="288"/>
      <c r="BW142" s="288" t="s">
        <v>1</v>
      </c>
      <c r="BX142" s="286" t="s">
        <v>1</v>
      </c>
    </row>
    <row r="143" spans="1:76">
      <c r="A143" s="459">
        <v>45844</v>
      </c>
      <c r="B143" s="345">
        <v>0.54166666666666696</v>
      </c>
      <c r="C143" s="305">
        <v>6</v>
      </c>
      <c r="D143" s="306" t="s">
        <v>155</v>
      </c>
      <c r="E143" s="278">
        <v>14.3</v>
      </c>
      <c r="F143" s="279">
        <v>69.430000000000007</v>
      </c>
      <c r="G143" s="280" t="str" cm="1">
        <f t="array" aca="1" ref="G143" ca="1">INDIRECT("'"&amp;$C143&amp;"'!"&amp;"$"&amp;$D143&amp;$E$1&amp;"")</f>
        <v>CMS</v>
      </c>
      <c r="H143" s="281" t="s">
        <v>1</v>
      </c>
      <c r="I143" s="279" t="s">
        <v>1</v>
      </c>
      <c r="J143" s="280" cm="1">
        <f t="array" aca="1" ref="J143" ca="1">INDIRECT("'"&amp;$C143&amp;"'!"&amp;"$"&amp;$D143&amp;$J$1&amp;"")</f>
        <v>6.9</v>
      </c>
      <c r="K143" s="281"/>
      <c r="L143" s="281">
        <v>0.92</v>
      </c>
      <c r="M143" s="279">
        <v>2.96</v>
      </c>
      <c r="N143" s="278" cm="1">
        <f t="array" aca="1" ref="N143" ca="1">INDIRECT("'"&amp;$C143&amp;"'!"&amp;"$"&amp;$D143&amp;$N$1&amp;"")</f>
        <v>6.9</v>
      </c>
      <c r="O143" s="281"/>
      <c r="P143" s="281">
        <v>0.92</v>
      </c>
      <c r="Q143" s="279">
        <v>2.96</v>
      </c>
      <c r="R143" s="468" cm="1">
        <f t="array" aca="1" ref="R143" ca="1">INDIRECT("'"&amp;$C143&amp;"'!"&amp;"$"&amp;$D143&amp;$R$1&amp;"")</f>
        <v>6.9</v>
      </c>
      <c r="S143" s="281"/>
      <c r="T143" s="281">
        <v>0.92</v>
      </c>
      <c r="U143" s="279">
        <v>2.96</v>
      </c>
      <c r="V143" s="280" cm="1">
        <f t="array" aca="1" ref="V143" ca="1">INDIRECT("'"&amp;$C143&amp;"'!"&amp;"$"&amp;$D143&amp;$V$1&amp;"")</f>
        <v>0</v>
      </c>
      <c r="W143" s="281" t="s">
        <v>1</v>
      </c>
      <c r="X143" s="281" t="s">
        <v>1</v>
      </c>
      <c r="Y143" s="282" t="s">
        <v>1</v>
      </c>
      <c r="Z143" s="278" t="str" cm="1">
        <f t="array" aca="1" ref="Z143" ca="1">INDIRECT("'"&amp;$C143&amp;"'!"&amp;"$"&amp;$D143&amp;$Z$1&amp;"")</f>
        <v>CMS</v>
      </c>
      <c r="AA143" s="281" t="s">
        <v>1</v>
      </c>
      <c r="AB143" s="281" t="s">
        <v>1</v>
      </c>
      <c r="AC143" s="279" t="s">
        <v>1</v>
      </c>
      <c r="AD143" s="280" cm="1">
        <f t="array" aca="1" ref="AD143" ca="1">INDIRECT("'"&amp;$C143&amp;"'!"&amp;"$"&amp;$D143&amp;$AD$1&amp;"")</f>
        <v>3.5</v>
      </c>
      <c r="AE143" s="281">
        <f>3.8*3.52</f>
        <v>13.375999999999999</v>
      </c>
      <c r="AF143" s="281">
        <v>0.95</v>
      </c>
      <c r="AG143" s="282">
        <v>1.19</v>
      </c>
      <c r="AH143" s="278" cm="1">
        <f t="array" aca="1" ref="AH143" ca="1">INDIRECT("'"&amp;$C143&amp;"'!"&amp;"$"&amp;$D143&amp;$AH$1&amp;"")</f>
        <v>0</v>
      </c>
      <c r="AI143" s="281" t="s">
        <v>1</v>
      </c>
      <c r="AJ143" s="281" t="s">
        <v>1</v>
      </c>
      <c r="AK143" s="282" t="s">
        <v>1</v>
      </c>
      <c r="AL143" s="278">
        <v>11.6</v>
      </c>
      <c r="AM143" s="279">
        <v>70.599999999999994</v>
      </c>
      <c r="AN143" s="278" cm="1">
        <f t="array" aca="1" ref="AN143" ca="1">INDIRECT("'"&amp;$C143&amp;"'!"&amp;"$"&amp;$D143&amp;$AL$1&amp;"")</f>
        <v>0</v>
      </c>
      <c r="AO143" s="281" t="s">
        <v>1</v>
      </c>
      <c r="AP143" s="279" t="s">
        <v>1</v>
      </c>
      <c r="AQ143" s="280" cm="1">
        <f t="array" aca="1" ref="AQ143" ca="1">INDIRECT("'"&amp;$C143&amp;"'!"&amp;"$"&amp;$D143&amp;$AQ$1&amp;"")</f>
        <v>3</v>
      </c>
      <c r="AR143" s="281">
        <v>0.97</v>
      </c>
      <c r="AS143" s="279">
        <v>0.62</v>
      </c>
      <c r="AT143" s="278">
        <v>13.89</v>
      </c>
      <c r="AU143" s="282">
        <v>70.400000000000006</v>
      </c>
      <c r="AV143" s="281" cm="1">
        <f t="array" aca="1" ref="AV143" ca="1">INDIRECT("'"&amp;$C143&amp;"'!"&amp;"$"&amp;$D143&amp;$AV$1&amp;"")</f>
        <v>0</v>
      </c>
      <c r="AW143" s="280">
        <v>13.7</v>
      </c>
      <c r="AX143" s="281" t="s">
        <v>1</v>
      </c>
      <c r="AY143" s="279" t="s">
        <v>1</v>
      </c>
      <c r="AZ143" s="281" cm="1">
        <f t="array" aca="1" ref="AZ143" ca="1">INDIRECT("'"&amp;$C143&amp;"'!"&amp;"$"&amp;$D143&amp;$AZ$1&amp;"")</f>
        <v>6.86</v>
      </c>
      <c r="BA143" s="280">
        <v>13.7</v>
      </c>
      <c r="BB143" s="281">
        <v>0.97</v>
      </c>
      <c r="BC143" s="279">
        <v>1.98</v>
      </c>
      <c r="BD143" s="283">
        <v>14.13</v>
      </c>
      <c r="BE143" s="282">
        <v>71.52</v>
      </c>
      <c r="BF143" s="283" cm="1">
        <f t="array" aca="1" ref="BF143" ca="1">INDIRECT("'"&amp;$C143&amp;"'!"&amp;"$"&amp;$D143&amp;$BF$1&amp;"")</f>
        <v>14.26</v>
      </c>
      <c r="BG143" s="281">
        <v>0.99</v>
      </c>
      <c r="BH143" s="279">
        <v>2.4</v>
      </c>
      <c r="BI143" s="524">
        <v>68.2</v>
      </c>
      <c r="BJ143" s="278" cm="1">
        <f t="array" aca="1" ref="BJ143" ca="1">INDIRECT("'"&amp;$C143&amp;"'!"&amp;"$"&amp;$D143&amp;$BI$1&amp;"")</f>
        <v>0</v>
      </c>
      <c r="BK143" s="280" t="s">
        <v>1</v>
      </c>
      <c r="BL143" s="279" t="s">
        <v>1</v>
      </c>
      <c r="BM143" s="283" cm="1">
        <f t="array" aca="1" ref="BM143" ca="1">INDIRECT("'"&amp;$C143&amp;"'!"&amp;"$"&amp;$D143&amp;$BM$1&amp;"")</f>
        <v>1.25</v>
      </c>
      <c r="BN143" s="281"/>
      <c r="BO143" s="281">
        <v>0.99</v>
      </c>
      <c r="BP143" s="279">
        <v>0.19</v>
      </c>
      <c r="BQ143" s="284" cm="1">
        <f t="array" aca="1" ref="BQ143" ca="1">INDIRECT("'"&amp;$C143&amp;"'!"&amp;"$"&amp;$D143&amp;$BQ$1&amp;"")</f>
        <v>0.89</v>
      </c>
      <c r="BR143" s="281"/>
      <c r="BS143" s="281">
        <v>0.96</v>
      </c>
      <c r="BT143" s="279">
        <v>0.26</v>
      </c>
      <c r="BU143" s="284" cm="1">
        <f t="array" aca="1" ref="BU143" ca="1">INDIRECT("'"&amp;$C143&amp;"'!"&amp;"$"&amp;$D143&amp;74&amp;"")</f>
        <v>0</v>
      </c>
      <c r="BV143" s="281"/>
      <c r="BW143" s="281" t="s">
        <v>1</v>
      </c>
      <c r="BX143" s="279" t="s">
        <v>1</v>
      </c>
    </row>
    <row r="144" spans="1:76">
      <c r="A144" s="459">
        <v>45844</v>
      </c>
      <c r="B144" s="345">
        <v>0.58333333333333404</v>
      </c>
      <c r="C144" s="305">
        <v>6</v>
      </c>
      <c r="D144" s="306" t="s">
        <v>156</v>
      </c>
      <c r="E144" s="285">
        <v>14.2</v>
      </c>
      <c r="F144" s="286">
        <v>69.03</v>
      </c>
      <c r="G144" s="287" t="str" cm="1">
        <f t="array" aca="1" ref="G144" ca="1">INDIRECT("'"&amp;$C144&amp;"'!"&amp;"$"&amp;$D144&amp;$E$1&amp;"")</f>
        <v>CMS</v>
      </c>
      <c r="H144" s="288" t="s">
        <v>1</v>
      </c>
      <c r="I144" s="286" t="s">
        <v>1</v>
      </c>
      <c r="J144" s="287" cm="1">
        <f t="array" aca="1" ref="J144" ca="1">INDIRECT("'"&amp;$C144&amp;"'!"&amp;"$"&amp;$D144&amp;$J$1&amp;"")</f>
        <v>6.7</v>
      </c>
      <c r="K144" s="288"/>
      <c r="L144" s="288">
        <v>0.93</v>
      </c>
      <c r="M144" s="289">
        <v>2.7</v>
      </c>
      <c r="N144" s="285" cm="1">
        <f t="array" aca="1" ref="N144" ca="1">INDIRECT("'"&amp;$C144&amp;"'!"&amp;"$"&amp;$D144&amp;$N$1&amp;"")</f>
        <v>6.7</v>
      </c>
      <c r="O144" s="288"/>
      <c r="P144" s="288">
        <v>0.93</v>
      </c>
      <c r="Q144" s="286">
        <v>2.7</v>
      </c>
      <c r="R144" s="285" cm="1">
        <f t="array" aca="1" ref="R144" ca="1">INDIRECT("'"&amp;$C144&amp;"'!"&amp;"$"&amp;$D144&amp;$R$1&amp;"")</f>
        <v>6.7</v>
      </c>
      <c r="S144" s="288"/>
      <c r="T144" s="288">
        <v>0.93</v>
      </c>
      <c r="U144" s="286">
        <v>2.7</v>
      </c>
      <c r="V144" s="287" cm="1">
        <f t="array" aca="1" ref="V144" ca="1">INDIRECT("'"&amp;$C144&amp;"'!"&amp;"$"&amp;$D144&amp;$V$1&amp;"")</f>
        <v>0</v>
      </c>
      <c r="W144" s="288" t="s">
        <v>1</v>
      </c>
      <c r="X144" s="288" t="s">
        <v>1</v>
      </c>
      <c r="Y144" s="289" t="s">
        <v>1</v>
      </c>
      <c r="Z144" s="285" t="str" cm="1">
        <f t="array" aca="1" ref="Z144" ca="1">INDIRECT("'"&amp;$C144&amp;"'!"&amp;"$"&amp;$D144&amp;$Z$1&amp;"")</f>
        <v>CMS</v>
      </c>
      <c r="AA144" s="288" t="s">
        <v>1</v>
      </c>
      <c r="AB144" s="288" t="s">
        <v>1</v>
      </c>
      <c r="AC144" s="286" t="s">
        <v>1</v>
      </c>
      <c r="AD144" s="287" cm="1">
        <f t="array" aca="1" ref="AD144" ca="1">INDIRECT("'"&amp;$C144&amp;"'!"&amp;"$"&amp;$D144&amp;$AD$1&amp;"")</f>
        <v>3.8</v>
      </c>
      <c r="AE144" s="288">
        <f>3.8*3.49</f>
        <v>13.262</v>
      </c>
      <c r="AF144" s="288">
        <v>0.95</v>
      </c>
      <c r="AG144" s="289">
        <v>1.21</v>
      </c>
      <c r="AH144" s="285" cm="1">
        <f t="array" aca="1" ref="AH144" ca="1">INDIRECT("'"&amp;$C144&amp;"'!"&amp;"$"&amp;$D144&amp;$AH$1&amp;"")</f>
        <v>0</v>
      </c>
      <c r="AI144" s="288" t="s">
        <v>1</v>
      </c>
      <c r="AJ144" s="288" t="s">
        <v>1</v>
      </c>
      <c r="AK144" s="289" t="s">
        <v>1</v>
      </c>
      <c r="AL144" s="285">
        <v>11.6</v>
      </c>
      <c r="AM144" s="286">
        <v>70.599999999999994</v>
      </c>
      <c r="AN144" s="285" cm="1">
        <f t="array" aca="1" ref="AN144" ca="1">INDIRECT("'"&amp;$C144&amp;"'!"&amp;"$"&amp;$D144&amp;$AL$1&amp;"")</f>
        <v>0</v>
      </c>
      <c r="AO144" s="288" t="s">
        <v>1</v>
      </c>
      <c r="AP144" s="286" t="s">
        <v>1</v>
      </c>
      <c r="AQ144" s="287" cm="1">
        <f t="array" aca="1" ref="AQ144" ca="1">INDIRECT("'"&amp;$C144&amp;"'!"&amp;"$"&amp;$D144&amp;$AQ$1&amp;"")</f>
        <v>3.8</v>
      </c>
      <c r="AR144" s="288">
        <v>0.96</v>
      </c>
      <c r="AS144" s="286">
        <v>0.91</v>
      </c>
      <c r="AT144" s="285">
        <v>13.87</v>
      </c>
      <c r="AU144" s="289">
        <v>70.400000000000006</v>
      </c>
      <c r="AV144" s="288" cm="1">
        <f t="array" aca="1" ref="AV144" ca="1">INDIRECT("'"&amp;$C144&amp;"'!"&amp;"$"&amp;$D144&amp;$AV$1&amp;"")</f>
        <v>0</v>
      </c>
      <c r="AW144" s="287">
        <v>13.7</v>
      </c>
      <c r="AX144" s="288" t="s">
        <v>1</v>
      </c>
      <c r="AY144" s="286" t="s">
        <v>1</v>
      </c>
      <c r="AZ144" s="288" cm="1">
        <f t="array" aca="1" ref="AZ144" ca="1">INDIRECT("'"&amp;$C144&amp;"'!"&amp;"$"&amp;$D144&amp;$AZ$1&amp;"")</f>
        <v>7</v>
      </c>
      <c r="BA144" s="287">
        <v>13.7</v>
      </c>
      <c r="BB144" s="288">
        <v>0.96</v>
      </c>
      <c r="BC144" s="286">
        <v>2.2000000000000002</v>
      </c>
      <c r="BD144" s="290">
        <v>14.08</v>
      </c>
      <c r="BE144" s="289">
        <v>71.52</v>
      </c>
      <c r="BF144" s="290" cm="1">
        <f t="array" aca="1" ref="BF144" ca="1">INDIRECT("'"&amp;$C144&amp;"'!"&amp;"$"&amp;$D144&amp;$BF$1&amp;"")</f>
        <v>14.28</v>
      </c>
      <c r="BG144" s="288">
        <v>0.99</v>
      </c>
      <c r="BH144" s="286">
        <v>2.4</v>
      </c>
      <c r="BI144" s="525">
        <v>67.900000000000006</v>
      </c>
      <c r="BJ144" s="285" cm="1">
        <f t="array" aca="1" ref="BJ144" ca="1">INDIRECT("'"&amp;$C144&amp;"'!"&amp;"$"&amp;$D144&amp;$BI$1&amp;"")</f>
        <v>2.2000000000000002</v>
      </c>
      <c r="BK144" s="287">
        <v>0.96</v>
      </c>
      <c r="BL144" s="286">
        <v>0.64</v>
      </c>
      <c r="BM144" s="290" cm="1">
        <f t="array" aca="1" ref="BM144" ca="1">INDIRECT("'"&amp;$C144&amp;"'!"&amp;"$"&amp;$D144&amp;$BM$1&amp;"")</f>
        <v>1.24</v>
      </c>
      <c r="BN144" s="288"/>
      <c r="BO144" s="288">
        <v>0.99</v>
      </c>
      <c r="BP144" s="286">
        <v>0.18</v>
      </c>
      <c r="BQ144" s="291" cm="1">
        <f t="array" aca="1" ref="BQ144" ca="1">INDIRECT("'"&amp;$C144&amp;"'!"&amp;"$"&amp;$D144&amp;$BQ$1&amp;"")</f>
        <v>0.91</v>
      </c>
      <c r="BR144" s="288"/>
      <c r="BS144" s="288">
        <v>0.96</v>
      </c>
      <c r="BT144" s="286">
        <v>0.27</v>
      </c>
      <c r="BU144" s="291" cm="1">
        <f t="array" aca="1" ref="BU144" ca="1">INDIRECT("'"&amp;$C144&amp;"'!"&amp;"$"&amp;$D144&amp;74&amp;"")</f>
        <v>0</v>
      </c>
      <c r="BV144" s="288"/>
      <c r="BW144" s="288" t="s">
        <v>1</v>
      </c>
      <c r="BX144" s="286" t="s">
        <v>1</v>
      </c>
    </row>
    <row r="145" spans="1:76">
      <c r="A145" s="459">
        <v>45844</v>
      </c>
      <c r="B145" s="345">
        <v>0.625</v>
      </c>
      <c r="C145" s="305">
        <v>6</v>
      </c>
      <c r="D145" s="306" t="s">
        <v>157</v>
      </c>
      <c r="E145" s="278">
        <v>14.2</v>
      </c>
      <c r="F145" s="279">
        <v>69.2</v>
      </c>
      <c r="G145" s="280" t="str" cm="1">
        <f t="array" aca="1" ref="G145" ca="1">INDIRECT("'"&amp;$C145&amp;"'!"&amp;"$"&amp;$D145&amp;$E$1&amp;"")</f>
        <v>CMS</v>
      </c>
      <c r="H145" s="281" t="s">
        <v>1</v>
      </c>
      <c r="I145" s="279" t="s">
        <v>1</v>
      </c>
      <c r="J145" s="280" cm="1">
        <f t="array" aca="1" ref="J145" ca="1">INDIRECT("'"&amp;$C145&amp;"'!"&amp;"$"&amp;$D145&amp;$J$1&amp;"")</f>
        <v>6.3</v>
      </c>
      <c r="K145" s="281"/>
      <c r="L145" s="281">
        <v>0.93</v>
      </c>
      <c r="M145" s="282">
        <v>2.5299999999999998</v>
      </c>
      <c r="N145" s="278" cm="1">
        <f t="array" aca="1" ref="N145" ca="1">INDIRECT("'"&amp;$C145&amp;"'!"&amp;"$"&amp;$D145&amp;$N$1&amp;"")</f>
        <v>6.3</v>
      </c>
      <c r="O145" s="281"/>
      <c r="P145" s="281">
        <v>0.93</v>
      </c>
      <c r="Q145" s="279">
        <v>2.5299999999999998</v>
      </c>
      <c r="R145" s="468" cm="1">
        <f t="array" aca="1" ref="R145" ca="1">INDIRECT("'"&amp;$C145&amp;"'!"&amp;"$"&amp;$D145&amp;$R$1&amp;"")</f>
        <v>6.3</v>
      </c>
      <c r="S145" s="281"/>
      <c r="T145" s="281">
        <v>0.93</v>
      </c>
      <c r="U145" s="279">
        <v>2.5299999999999998</v>
      </c>
      <c r="V145" s="280" cm="1">
        <f t="array" aca="1" ref="V145" ca="1">INDIRECT("'"&amp;$C145&amp;"'!"&amp;"$"&amp;$D145&amp;$V$1&amp;"")</f>
        <v>0</v>
      </c>
      <c r="W145" s="281" t="s">
        <v>1</v>
      </c>
      <c r="X145" s="281" t="s">
        <v>1</v>
      </c>
      <c r="Y145" s="282" t="s">
        <v>1</v>
      </c>
      <c r="Z145" s="278" t="str" cm="1">
        <f t="array" aca="1" ref="Z145" ca="1">INDIRECT("'"&amp;$C145&amp;"'!"&amp;"$"&amp;$D145&amp;$Z$1&amp;"")</f>
        <v>CMS</v>
      </c>
      <c r="AA145" s="281" t="s">
        <v>1</v>
      </c>
      <c r="AB145" s="281" t="s">
        <v>1</v>
      </c>
      <c r="AC145" s="279" t="s">
        <v>1</v>
      </c>
      <c r="AD145" s="280" cm="1">
        <f t="array" aca="1" ref="AD145" ca="1">INDIRECT("'"&amp;$C145&amp;"'!"&amp;"$"&amp;$D145&amp;$AD$1&amp;"")</f>
        <v>3.6</v>
      </c>
      <c r="AE145" s="281">
        <f>3.8*3.51</f>
        <v>13.337999999999999</v>
      </c>
      <c r="AF145" s="281">
        <v>0.95</v>
      </c>
      <c r="AG145" s="279">
        <v>1.2</v>
      </c>
      <c r="AH145" s="278" cm="1">
        <f t="array" aca="1" ref="AH145" ca="1">INDIRECT("'"&amp;$C145&amp;"'!"&amp;"$"&amp;$D145&amp;$AH$1&amp;"")</f>
        <v>0</v>
      </c>
      <c r="AI145" s="281" t="s">
        <v>1</v>
      </c>
      <c r="AJ145" s="281" t="s">
        <v>1</v>
      </c>
      <c r="AK145" s="282" t="s">
        <v>1</v>
      </c>
      <c r="AL145" s="278">
        <v>11.6</v>
      </c>
      <c r="AM145" s="279">
        <v>70.599999999999994</v>
      </c>
      <c r="AN145" s="278" cm="1">
        <f t="array" aca="1" ref="AN145" ca="1">INDIRECT("'"&amp;$C145&amp;"'!"&amp;"$"&amp;$D145&amp;$AL$1&amp;"")</f>
        <v>0</v>
      </c>
      <c r="AO145" s="281" t="s">
        <v>1</v>
      </c>
      <c r="AP145" s="279" t="s">
        <v>1</v>
      </c>
      <c r="AQ145" s="280" cm="1">
        <f t="array" aca="1" ref="AQ145" ca="1">INDIRECT("'"&amp;$C145&amp;"'!"&amp;"$"&amp;$D145&amp;$AQ$1&amp;"")</f>
        <v>3.7</v>
      </c>
      <c r="AR145" s="281">
        <v>0.97</v>
      </c>
      <c r="AS145" s="279">
        <v>0.87</v>
      </c>
      <c r="AT145" s="278">
        <v>13.89</v>
      </c>
      <c r="AU145" s="282">
        <v>70.5</v>
      </c>
      <c r="AV145" s="281" cm="1">
        <f t="array" aca="1" ref="AV145" ca="1">INDIRECT("'"&amp;$C145&amp;"'!"&amp;"$"&amp;$D145&amp;$AV$1&amp;"")</f>
        <v>0</v>
      </c>
      <c r="AW145" s="280">
        <v>13.7</v>
      </c>
      <c r="AX145" s="281" t="s">
        <v>1</v>
      </c>
      <c r="AY145" s="279" t="s">
        <v>1</v>
      </c>
      <c r="AZ145" s="281" cm="1">
        <f t="array" aca="1" ref="AZ145" ca="1">INDIRECT("'"&amp;$C145&amp;"'!"&amp;"$"&amp;$D145&amp;$AZ$1&amp;"")</f>
        <v>6.51</v>
      </c>
      <c r="BA145" s="280">
        <v>13.7</v>
      </c>
      <c r="BB145" s="281">
        <v>0.96</v>
      </c>
      <c r="BC145" s="279">
        <v>0.19</v>
      </c>
      <c r="BD145" s="283">
        <v>14.1</v>
      </c>
      <c r="BE145" s="282">
        <v>71.47</v>
      </c>
      <c r="BF145" s="283" cm="1">
        <f t="array" aca="1" ref="BF145" ca="1">INDIRECT("'"&amp;$C145&amp;"'!"&amp;"$"&amp;$D145&amp;$BF$1&amp;"")</f>
        <v>14.26</v>
      </c>
      <c r="BG145" s="281">
        <v>0.99</v>
      </c>
      <c r="BH145" s="279">
        <v>2.4</v>
      </c>
      <c r="BI145" s="524">
        <v>68</v>
      </c>
      <c r="BJ145" s="278" cm="1">
        <f t="array" aca="1" ref="BJ145" ca="1">INDIRECT("'"&amp;$C145&amp;"'!"&amp;"$"&amp;$D145&amp;$BI$1&amp;"")</f>
        <v>3.3</v>
      </c>
      <c r="BK145" s="280">
        <v>0.96</v>
      </c>
      <c r="BL145" s="279">
        <v>0.96</v>
      </c>
      <c r="BM145" s="283" cm="1">
        <f t="array" aca="1" ref="BM145" ca="1">INDIRECT("'"&amp;$C145&amp;"'!"&amp;"$"&amp;$D145&amp;$BM$1&amp;"")</f>
        <v>1.25</v>
      </c>
      <c r="BN145" s="281"/>
      <c r="BO145" s="281">
        <v>0.99</v>
      </c>
      <c r="BP145" s="279">
        <v>0.19</v>
      </c>
      <c r="BQ145" s="284" cm="1">
        <f t="array" aca="1" ref="BQ145" ca="1">INDIRECT("'"&amp;$C145&amp;"'!"&amp;"$"&amp;$D145&amp;$BQ$1&amp;"")</f>
        <v>0</v>
      </c>
      <c r="BR145" s="281"/>
      <c r="BS145" s="281" t="s">
        <v>1</v>
      </c>
      <c r="BT145" s="279" t="s">
        <v>1</v>
      </c>
      <c r="BU145" s="284" cm="1">
        <f t="array" aca="1" ref="BU145" ca="1">INDIRECT("'"&amp;$C145&amp;"'!"&amp;"$"&amp;$D145&amp;74&amp;"")</f>
        <v>0</v>
      </c>
      <c r="BV145" s="281"/>
      <c r="BW145" s="281" t="s">
        <v>1</v>
      </c>
      <c r="BX145" s="279" t="s">
        <v>1</v>
      </c>
    </row>
    <row r="146" spans="1:76">
      <c r="A146" s="459">
        <v>45844</v>
      </c>
      <c r="B146" s="345">
        <v>0.66666666666666696</v>
      </c>
      <c r="C146" s="305">
        <v>6</v>
      </c>
      <c r="D146" s="306" t="s">
        <v>158</v>
      </c>
      <c r="E146" s="285">
        <v>14.2</v>
      </c>
      <c r="F146" s="286">
        <v>69.03</v>
      </c>
      <c r="G146" s="287" t="str" cm="1">
        <f t="array" aca="1" ref="G146" ca="1">INDIRECT("'"&amp;$C146&amp;"'!"&amp;"$"&amp;$D146&amp;$E$1&amp;"")</f>
        <v>CMS</v>
      </c>
      <c r="H146" s="288" t="s">
        <v>1</v>
      </c>
      <c r="I146" s="286" t="s">
        <v>1</v>
      </c>
      <c r="J146" s="287" cm="1">
        <f t="array" aca="1" ref="J146" ca="1">INDIRECT("'"&amp;$C146&amp;"'!"&amp;"$"&amp;$D146&amp;$J$1&amp;"")</f>
        <v>6.4</v>
      </c>
      <c r="K146" s="288"/>
      <c r="L146" s="288">
        <v>0.93</v>
      </c>
      <c r="M146" s="289">
        <v>2.58</v>
      </c>
      <c r="N146" s="285" cm="1">
        <f t="array" aca="1" ref="N146" ca="1">INDIRECT("'"&amp;$C146&amp;"'!"&amp;"$"&amp;$D146&amp;$N$1&amp;"")</f>
        <v>6.4</v>
      </c>
      <c r="O146" s="288"/>
      <c r="P146" s="288">
        <v>0.93</v>
      </c>
      <c r="Q146" s="289">
        <v>2.58</v>
      </c>
      <c r="R146" s="469" cm="1">
        <f t="array" aca="1" ref="R146" ca="1">INDIRECT("'"&amp;$C146&amp;"'!"&amp;"$"&amp;$D146&amp;$R$1&amp;"")</f>
        <v>6.4</v>
      </c>
      <c r="S146" s="288"/>
      <c r="T146" s="288">
        <v>0.93</v>
      </c>
      <c r="U146" s="289">
        <v>2.58</v>
      </c>
      <c r="V146" s="287" cm="1">
        <f t="array" aca="1" ref="V146" ca="1">INDIRECT("'"&amp;$C146&amp;"'!"&amp;"$"&amp;$D146&amp;$V$1&amp;"")</f>
        <v>0</v>
      </c>
      <c r="W146" s="288" t="s">
        <v>1</v>
      </c>
      <c r="X146" s="288" t="s">
        <v>1</v>
      </c>
      <c r="Y146" s="289" t="s">
        <v>1</v>
      </c>
      <c r="Z146" s="285" t="str" cm="1">
        <f t="array" aca="1" ref="Z146" ca="1">INDIRECT("'"&amp;$C146&amp;"'!"&amp;"$"&amp;$D146&amp;$Z$1&amp;"")</f>
        <v>CMS</v>
      </c>
      <c r="AA146" s="288" t="s">
        <v>1</v>
      </c>
      <c r="AB146" s="288" t="s">
        <v>1</v>
      </c>
      <c r="AC146" s="286" t="s">
        <v>1</v>
      </c>
      <c r="AD146" s="287" cm="1">
        <f t="array" aca="1" ref="AD146" ca="1">INDIRECT("'"&amp;$C146&amp;"'!"&amp;"$"&amp;$D146&amp;$AD$1&amp;"")</f>
        <v>3.8</v>
      </c>
      <c r="AE146" s="288">
        <f>3.8*3.51</f>
        <v>13.337999999999999</v>
      </c>
      <c r="AF146" s="288">
        <v>0.95</v>
      </c>
      <c r="AG146" s="289">
        <v>1.21</v>
      </c>
      <c r="AH146" s="285" cm="1">
        <f t="array" aca="1" ref="AH146" ca="1">INDIRECT("'"&amp;$C146&amp;"'!"&amp;"$"&amp;$D146&amp;$AH$1&amp;"")</f>
        <v>0</v>
      </c>
      <c r="AI146" s="288" t="s">
        <v>1</v>
      </c>
      <c r="AJ146" s="288" t="s">
        <v>1</v>
      </c>
      <c r="AK146" s="289" t="s">
        <v>1</v>
      </c>
      <c r="AL146" s="285">
        <v>11.6</v>
      </c>
      <c r="AM146" s="286">
        <v>70.8</v>
      </c>
      <c r="AN146" s="285" cm="1">
        <f t="array" aca="1" ref="AN146" ca="1">INDIRECT("'"&amp;$C146&amp;"'!"&amp;"$"&amp;$D146&amp;$AL$1&amp;"")</f>
        <v>0</v>
      </c>
      <c r="AO146" s="288" t="s">
        <v>1</v>
      </c>
      <c r="AP146" s="286" t="s">
        <v>1</v>
      </c>
      <c r="AQ146" s="287" cm="1">
        <f t="array" aca="1" ref="AQ146" ca="1">INDIRECT("'"&amp;$C146&amp;"'!"&amp;"$"&amp;$D146&amp;$AQ$1&amp;"")</f>
        <v>3.5</v>
      </c>
      <c r="AR146" s="288">
        <v>0.97</v>
      </c>
      <c r="AS146" s="286">
        <v>0.85</v>
      </c>
      <c r="AT146" s="285">
        <v>13.91</v>
      </c>
      <c r="AU146" s="289">
        <v>70.5</v>
      </c>
      <c r="AV146" s="288" cm="1">
        <f t="array" aca="1" ref="AV146" ca="1">INDIRECT("'"&amp;$C146&amp;"'!"&amp;"$"&amp;$D146&amp;$AV$1&amp;"")</f>
        <v>0</v>
      </c>
      <c r="AW146" s="287" t="s">
        <v>1</v>
      </c>
      <c r="AX146" s="288" t="s">
        <v>1</v>
      </c>
      <c r="AY146" s="286" t="s">
        <v>1</v>
      </c>
      <c r="AZ146" s="288" cm="1">
        <f t="array" aca="1" ref="AZ146" ca="1">INDIRECT("'"&amp;$C146&amp;"'!"&amp;"$"&amp;$D146&amp;$AZ$1&amp;"")</f>
        <v>6.32</v>
      </c>
      <c r="BA146" s="287" t="s">
        <v>1</v>
      </c>
      <c r="BB146" s="288">
        <v>0.97</v>
      </c>
      <c r="BC146" s="286">
        <v>1.54</v>
      </c>
      <c r="BD146" s="290">
        <v>14.1</v>
      </c>
      <c r="BE146" s="289">
        <v>71.56</v>
      </c>
      <c r="BF146" s="290" cm="1">
        <f t="array" aca="1" ref="BF146" ca="1">INDIRECT("'"&amp;$C146&amp;"'!"&amp;"$"&amp;$D146&amp;$BF$1&amp;"")</f>
        <v>14.27</v>
      </c>
      <c r="BG146" s="288">
        <v>0.99</v>
      </c>
      <c r="BH146" s="286">
        <v>2.4</v>
      </c>
      <c r="BI146" s="525">
        <v>67.900000000000006</v>
      </c>
      <c r="BJ146" s="285" cm="1">
        <f t="array" aca="1" ref="BJ146" ca="1">INDIRECT("'"&amp;$C146&amp;"'!"&amp;"$"&amp;$D146&amp;$BI$1&amp;"")</f>
        <v>1.5</v>
      </c>
      <c r="BK146" s="287">
        <v>0.96</v>
      </c>
      <c r="BL146" s="286">
        <v>0.43</v>
      </c>
      <c r="BM146" s="290" cm="1">
        <f t="array" aca="1" ref="BM146" ca="1">INDIRECT("'"&amp;$C146&amp;"'!"&amp;"$"&amp;$D146&amp;$BM$1&amp;"")</f>
        <v>1.22</v>
      </c>
      <c r="BN146" s="288"/>
      <c r="BO146" s="288">
        <v>0.99</v>
      </c>
      <c r="BP146" s="286">
        <v>0.19</v>
      </c>
      <c r="BQ146" s="291" cm="1">
        <f t="array" aca="1" ref="BQ146" ca="1">INDIRECT("'"&amp;$C146&amp;"'!"&amp;"$"&amp;$D146&amp;$BQ$1&amp;"")</f>
        <v>0</v>
      </c>
      <c r="BR146" s="288"/>
      <c r="BS146" s="288" t="s">
        <v>1</v>
      </c>
      <c r="BT146" s="286" t="s">
        <v>1</v>
      </c>
      <c r="BU146" s="291" cm="1">
        <f t="array" aca="1" ref="BU146" ca="1">INDIRECT("'"&amp;$C146&amp;"'!"&amp;"$"&amp;$D146&amp;74&amp;"")</f>
        <v>0</v>
      </c>
      <c r="BV146" s="288"/>
      <c r="BW146" s="288" t="s">
        <v>1</v>
      </c>
      <c r="BX146" s="286" t="s">
        <v>1</v>
      </c>
    </row>
    <row r="147" spans="1:76">
      <c r="A147" s="459">
        <v>45844</v>
      </c>
      <c r="B147" s="345">
        <v>0.70833333333333404</v>
      </c>
      <c r="C147" s="305">
        <v>6</v>
      </c>
      <c r="D147" s="306" t="s">
        <v>159</v>
      </c>
      <c r="E147" s="278">
        <v>14.2</v>
      </c>
      <c r="F147" s="279">
        <v>69.06</v>
      </c>
      <c r="G147" s="280" t="str" cm="1">
        <f t="array" aca="1" ref="G147" ca="1">INDIRECT("'"&amp;$C147&amp;"'!"&amp;"$"&amp;$D147&amp;$E$1&amp;"")</f>
        <v>CMS</v>
      </c>
      <c r="H147" s="281" t="s">
        <v>1</v>
      </c>
      <c r="I147" s="279" t="s">
        <v>1</v>
      </c>
      <c r="J147" s="280" cm="1">
        <f t="array" aca="1" ref="J147" ca="1">INDIRECT("'"&amp;$C147&amp;"'!"&amp;"$"&amp;$D147&amp;$J$1&amp;"")</f>
        <v>6.7</v>
      </c>
      <c r="K147" s="281"/>
      <c r="L147" s="281">
        <v>0.93</v>
      </c>
      <c r="M147" s="282">
        <v>2.71</v>
      </c>
      <c r="N147" s="278" cm="1">
        <f t="array" aca="1" ref="N147" ca="1">INDIRECT("'"&amp;$C147&amp;"'!"&amp;"$"&amp;$D147&amp;$N$1&amp;"")</f>
        <v>6.7</v>
      </c>
      <c r="O147" s="281"/>
      <c r="P147" s="281">
        <v>0.93</v>
      </c>
      <c r="Q147" s="282">
        <v>2.71</v>
      </c>
      <c r="R147" s="468" cm="1">
        <f t="array" aca="1" ref="R147" ca="1">INDIRECT("'"&amp;$C147&amp;"'!"&amp;"$"&amp;$D147&amp;$R$1&amp;"")</f>
        <v>6.7</v>
      </c>
      <c r="S147" s="281"/>
      <c r="T147" s="281">
        <v>0.93</v>
      </c>
      <c r="U147" s="282">
        <v>2.71</v>
      </c>
      <c r="V147" s="280" cm="1">
        <f t="array" aca="1" ref="V147" ca="1">INDIRECT("'"&amp;$C147&amp;"'!"&amp;"$"&amp;$D147&amp;$V$1&amp;"")</f>
        <v>0</v>
      </c>
      <c r="W147" s="281" t="s">
        <v>1</v>
      </c>
      <c r="X147" s="281" t="s">
        <v>1</v>
      </c>
      <c r="Y147" s="282" t="s">
        <v>1</v>
      </c>
      <c r="Z147" s="278" t="str" cm="1">
        <f t="array" aca="1" ref="Z147" ca="1">INDIRECT("'"&amp;$C147&amp;"'!"&amp;"$"&amp;$D147&amp;$Z$1&amp;"")</f>
        <v>CMS</v>
      </c>
      <c r="AA147" s="281" t="s">
        <v>1</v>
      </c>
      <c r="AB147" s="281" t="s">
        <v>1</v>
      </c>
      <c r="AC147" s="279" t="s">
        <v>1</v>
      </c>
      <c r="AD147" s="280" cm="1">
        <f t="array" aca="1" ref="AD147" ca="1">INDIRECT("'"&amp;$C147&amp;"'!"&amp;"$"&amp;$D147&amp;$AD$1&amp;"")</f>
        <v>3.8</v>
      </c>
      <c r="AE147" s="281">
        <f>3.8*3.51</f>
        <v>13.337999999999999</v>
      </c>
      <c r="AF147" s="281">
        <v>0.95</v>
      </c>
      <c r="AG147" s="282">
        <v>1.2</v>
      </c>
      <c r="AH147" s="278" cm="1">
        <f t="array" aca="1" ref="AH147" ca="1">INDIRECT("'"&amp;$C147&amp;"'!"&amp;"$"&amp;$D147&amp;$AH$1&amp;"")</f>
        <v>0</v>
      </c>
      <c r="AI147" s="281" t="s">
        <v>1</v>
      </c>
      <c r="AJ147" s="281" t="s">
        <v>1</v>
      </c>
      <c r="AK147" s="282" t="s">
        <v>1</v>
      </c>
      <c r="AL147" s="278">
        <v>11.6</v>
      </c>
      <c r="AM147" s="279">
        <v>70.5</v>
      </c>
      <c r="AN147" s="278" cm="1">
        <f t="array" aca="1" ref="AN147" ca="1">INDIRECT("'"&amp;$C147&amp;"'!"&amp;"$"&amp;$D147&amp;$AL$1&amp;"")</f>
        <v>0</v>
      </c>
      <c r="AO147" s="281" t="s">
        <v>1</v>
      </c>
      <c r="AP147" s="279" t="s">
        <v>1</v>
      </c>
      <c r="AQ147" s="280" cm="1">
        <f t="array" aca="1" ref="AQ147" ca="1">INDIRECT("'"&amp;$C147&amp;"'!"&amp;"$"&amp;$D147&amp;$AQ$1&amp;"")</f>
        <v>3.8</v>
      </c>
      <c r="AR147" s="281">
        <v>0.98</v>
      </c>
      <c r="AS147" s="279">
        <v>0.83</v>
      </c>
      <c r="AT147" s="278">
        <v>13.88</v>
      </c>
      <c r="AU147" s="282">
        <v>70.5</v>
      </c>
      <c r="AV147" s="281" cm="1">
        <f t="array" aca="1" ref="AV147" ca="1">INDIRECT("'"&amp;$C147&amp;"'!"&amp;"$"&amp;$D147&amp;$AV$1&amp;"")</f>
        <v>0</v>
      </c>
      <c r="AW147" s="280" t="s">
        <v>1</v>
      </c>
      <c r="AX147" s="281" t="s">
        <v>1</v>
      </c>
      <c r="AY147" s="279" t="s">
        <v>1</v>
      </c>
      <c r="AZ147" s="281" cm="1">
        <f t="array" aca="1" ref="AZ147" ca="1">INDIRECT("'"&amp;$C147&amp;"'!"&amp;"$"&amp;$D147&amp;$AZ$1&amp;"")</f>
        <v>6.98</v>
      </c>
      <c r="BA147" s="280" t="s">
        <v>1</v>
      </c>
      <c r="BB147" s="281">
        <v>0.97</v>
      </c>
      <c r="BC147" s="279">
        <v>1.96</v>
      </c>
      <c r="BD147" s="283">
        <v>14.13</v>
      </c>
      <c r="BE147" s="282">
        <v>71.59</v>
      </c>
      <c r="BF147" s="283" cm="1">
        <f t="array" aca="1" ref="BF147" ca="1">INDIRECT("'"&amp;$C147&amp;"'!"&amp;"$"&amp;$D147&amp;$BF$1&amp;"")</f>
        <v>14.26</v>
      </c>
      <c r="BG147" s="281">
        <v>0.99</v>
      </c>
      <c r="BH147" s="279">
        <v>2.2999999999999998</v>
      </c>
      <c r="BI147" s="524">
        <v>67.900000000000006</v>
      </c>
      <c r="BJ147" s="278" cm="1">
        <f t="array" aca="1" ref="BJ147" ca="1">INDIRECT("'"&amp;$C147&amp;"'!"&amp;"$"&amp;$D147&amp;$BI$1&amp;"")</f>
        <v>0</v>
      </c>
      <c r="BK147" s="280" t="s">
        <v>1</v>
      </c>
      <c r="BL147" s="279" t="s">
        <v>1</v>
      </c>
      <c r="BM147" s="283" cm="1">
        <f t="array" aca="1" ref="BM147" ca="1">INDIRECT("'"&amp;$C147&amp;"'!"&amp;"$"&amp;$D147&amp;$BM$1&amp;"")</f>
        <v>1.2</v>
      </c>
      <c r="BN147" s="281"/>
      <c r="BO147" s="281">
        <v>0.99</v>
      </c>
      <c r="BP147" s="279">
        <v>0.19</v>
      </c>
      <c r="BQ147" s="284" cm="1">
        <f t="array" aca="1" ref="BQ147" ca="1">INDIRECT("'"&amp;$C147&amp;"'!"&amp;"$"&amp;$D147&amp;$BQ$1&amp;"")</f>
        <v>0.71</v>
      </c>
      <c r="BR147" s="281"/>
      <c r="BS147" s="281">
        <v>0.96</v>
      </c>
      <c r="BT147" s="279">
        <v>0.21</v>
      </c>
      <c r="BU147" s="284" cm="1">
        <f t="array" aca="1" ref="BU147" ca="1">INDIRECT("'"&amp;$C147&amp;"'!"&amp;"$"&amp;$D147&amp;74&amp;"")</f>
        <v>0</v>
      </c>
      <c r="BV147" s="281"/>
      <c r="BW147" s="281" t="s">
        <v>1</v>
      </c>
      <c r="BX147" s="279" t="s">
        <v>1</v>
      </c>
    </row>
    <row r="148" spans="1:76">
      <c r="A148" s="459">
        <v>45844</v>
      </c>
      <c r="B148" s="345">
        <v>0.750000000000001</v>
      </c>
      <c r="C148" s="305">
        <v>6</v>
      </c>
      <c r="D148" s="306" t="s">
        <v>160</v>
      </c>
      <c r="E148" s="285">
        <v>14.2</v>
      </c>
      <c r="F148" s="286">
        <v>69.16</v>
      </c>
      <c r="G148" s="287" t="str" cm="1">
        <f t="array" aca="1" ref="G148" ca="1">INDIRECT("'"&amp;$C148&amp;"'!"&amp;"$"&amp;$D148&amp;$E$1&amp;"")</f>
        <v>CMS</v>
      </c>
      <c r="H148" s="288" t="s">
        <v>1</v>
      </c>
      <c r="I148" s="286" t="s">
        <v>1</v>
      </c>
      <c r="J148" s="287" cm="1">
        <f t="array" aca="1" ref="J148" ca="1">INDIRECT("'"&amp;$C148&amp;"'!"&amp;"$"&amp;$D148&amp;$J$1&amp;"")</f>
        <v>6.8</v>
      </c>
      <c r="K148" s="288"/>
      <c r="L148" s="288">
        <v>0.93</v>
      </c>
      <c r="M148" s="289">
        <v>2.76</v>
      </c>
      <c r="N148" s="285" cm="1">
        <f t="array" aca="1" ref="N148" ca="1">INDIRECT("'"&amp;$C148&amp;"'!"&amp;"$"&amp;$D148&amp;$N$1&amp;"")</f>
        <v>6.8</v>
      </c>
      <c r="O148" s="288"/>
      <c r="P148" s="288">
        <v>0.93</v>
      </c>
      <c r="Q148" s="286">
        <v>2.76</v>
      </c>
      <c r="R148" s="285" cm="1">
        <f t="array" aca="1" ref="R148" ca="1">INDIRECT("'"&amp;$C148&amp;"'!"&amp;"$"&amp;$D148&amp;$R$1&amp;"")</f>
        <v>6.8</v>
      </c>
      <c r="S148" s="288"/>
      <c r="T148" s="288">
        <v>0.93</v>
      </c>
      <c r="U148" s="286">
        <v>2.76</v>
      </c>
      <c r="V148" s="287" cm="1">
        <f t="array" aca="1" ref="V148" ca="1">INDIRECT("'"&amp;$C148&amp;"'!"&amp;"$"&amp;$D148&amp;$V$1&amp;"")</f>
        <v>0</v>
      </c>
      <c r="W148" s="288" t="s">
        <v>1</v>
      </c>
      <c r="X148" s="288" t="s">
        <v>1</v>
      </c>
      <c r="Y148" s="289" t="s">
        <v>1</v>
      </c>
      <c r="Z148" s="285" t="str" cm="1">
        <f t="array" aca="1" ref="Z148" ca="1">INDIRECT("'"&amp;$C148&amp;"'!"&amp;"$"&amp;$D148&amp;$Z$1&amp;"")</f>
        <v>CMS</v>
      </c>
      <c r="AA148" s="288" t="s">
        <v>1</v>
      </c>
      <c r="AB148" s="288" t="s">
        <v>1</v>
      </c>
      <c r="AC148" s="286" t="s">
        <v>1</v>
      </c>
      <c r="AD148" s="287" cm="1">
        <f t="array" aca="1" ref="AD148" ca="1">INDIRECT("'"&amp;$C148&amp;"'!"&amp;"$"&amp;$D148&amp;$AD$1&amp;"")</f>
        <v>3.8</v>
      </c>
      <c r="AE148" s="288">
        <f>3.8*3.51</f>
        <v>13.337999999999999</v>
      </c>
      <c r="AF148" s="288">
        <v>0.95</v>
      </c>
      <c r="AG148" s="289">
        <v>1.18</v>
      </c>
      <c r="AH148" s="285" cm="1">
        <f t="array" aca="1" ref="AH148" ca="1">INDIRECT("'"&amp;$C148&amp;"'!"&amp;"$"&amp;$D148&amp;$AH$1&amp;"")</f>
        <v>0</v>
      </c>
      <c r="AI148" s="288" t="s">
        <v>1</v>
      </c>
      <c r="AJ148" s="288" t="s">
        <v>1</v>
      </c>
      <c r="AK148" s="289" t="s">
        <v>1</v>
      </c>
      <c r="AL148" s="285">
        <v>11.6</v>
      </c>
      <c r="AM148" s="286">
        <v>70.5</v>
      </c>
      <c r="AN148" s="285" cm="1">
        <f t="array" aca="1" ref="AN148" ca="1">INDIRECT("'"&amp;$C148&amp;"'!"&amp;"$"&amp;$D148&amp;$AL$1&amp;"")</f>
        <v>0</v>
      </c>
      <c r="AO148" s="288" t="s">
        <v>1</v>
      </c>
      <c r="AP148" s="286" t="s">
        <v>1</v>
      </c>
      <c r="AQ148" s="287" cm="1">
        <f t="array" aca="1" ref="AQ148" ca="1">INDIRECT("'"&amp;$C148&amp;"'!"&amp;"$"&amp;$D148&amp;$AQ$1&amp;"")</f>
        <v>3.8</v>
      </c>
      <c r="AR148" s="288">
        <v>0.97</v>
      </c>
      <c r="AS148" s="286">
        <v>0.84</v>
      </c>
      <c r="AT148" s="285">
        <v>13.89</v>
      </c>
      <c r="AU148" s="289">
        <v>70.5</v>
      </c>
      <c r="AV148" s="288" cm="1">
        <f t="array" aca="1" ref="AV148" ca="1">INDIRECT("'"&amp;$C148&amp;"'!"&amp;"$"&amp;$D148&amp;$AV$1&amp;"")</f>
        <v>0</v>
      </c>
      <c r="AW148" s="287" t="s">
        <v>1</v>
      </c>
      <c r="AX148" s="288" t="s">
        <v>1</v>
      </c>
      <c r="AY148" s="286" t="s">
        <v>1</v>
      </c>
      <c r="AZ148" s="288" cm="1">
        <f t="array" aca="1" ref="AZ148" ca="1">INDIRECT("'"&amp;$C148&amp;"'!"&amp;"$"&amp;$D148&amp;$AZ$1&amp;"")</f>
        <v>7</v>
      </c>
      <c r="BA148" s="287" t="s">
        <v>1</v>
      </c>
      <c r="BB148" s="288">
        <v>0.97</v>
      </c>
      <c r="BC148" s="286">
        <v>1.88</v>
      </c>
      <c r="BD148" s="290">
        <v>14.12</v>
      </c>
      <c r="BE148" s="289">
        <v>71.599999999999994</v>
      </c>
      <c r="BF148" s="290" cm="1">
        <f t="array" aca="1" ref="BF148" ca="1">INDIRECT("'"&amp;$C148&amp;"'!"&amp;"$"&amp;$D148&amp;$BF$1&amp;"")</f>
        <v>14.3</v>
      </c>
      <c r="BG148" s="288">
        <v>0.99</v>
      </c>
      <c r="BH148" s="286">
        <v>2.2999999999999998</v>
      </c>
      <c r="BI148" s="525">
        <v>68</v>
      </c>
      <c r="BJ148" s="285" cm="1">
        <f t="array" aca="1" ref="BJ148" ca="1">INDIRECT("'"&amp;$C148&amp;"'!"&amp;"$"&amp;$D148&amp;$BI$1&amp;"")</f>
        <v>0</v>
      </c>
      <c r="BK148" s="287" t="s">
        <v>1</v>
      </c>
      <c r="BL148" s="286" t="s">
        <v>1</v>
      </c>
      <c r="BM148" s="290" cm="1">
        <f t="array" aca="1" ref="BM148" ca="1">INDIRECT("'"&amp;$C148&amp;"'!"&amp;"$"&amp;$D148&amp;$BM$1&amp;"")</f>
        <v>1.19</v>
      </c>
      <c r="BN148" s="288"/>
      <c r="BO148" s="288">
        <v>0.99</v>
      </c>
      <c r="BP148" s="286">
        <v>0.18</v>
      </c>
      <c r="BQ148" s="291" cm="1">
        <f t="array" aca="1" ref="BQ148" ca="1">INDIRECT("'"&amp;$C148&amp;"'!"&amp;"$"&amp;$D148&amp;$BQ$1&amp;"")</f>
        <v>1.01</v>
      </c>
      <c r="BR148" s="288"/>
      <c r="BS148" s="288">
        <v>0.96</v>
      </c>
      <c r="BT148" s="286">
        <v>0.28999999999999998</v>
      </c>
      <c r="BU148" s="291" cm="1">
        <f t="array" aca="1" ref="BU148" ca="1">INDIRECT("'"&amp;$C148&amp;"'!"&amp;"$"&amp;$D148&amp;74&amp;"")</f>
        <v>0</v>
      </c>
      <c r="BV148" s="288"/>
      <c r="BW148" s="288" t="s">
        <v>1</v>
      </c>
      <c r="BX148" s="286" t="s">
        <v>1</v>
      </c>
    </row>
    <row r="149" spans="1:76">
      <c r="A149" s="459">
        <v>45844</v>
      </c>
      <c r="B149" s="345">
        <v>0.79166666666666696</v>
      </c>
      <c r="C149" s="305">
        <v>6</v>
      </c>
      <c r="D149" s="306" t="s">
        <v>161</v>
      </c>
      <c r="E149" s="278">
        <v>14.2</v>
      </c>
      <c r="F149" s="279">
        <v>69.81</v>
      </c>
      <c r="G149" s="280" t="str" cm="1">
        <f t="array" aca="1" ref="G149" ca="1">INDIRECT("'"&amp;$C149&amp;"'!"&amp;"$"&amp;$D149&amp;$E$1&amp;"")</f>
        <v>CMS</v>
      </c>
      <c r="H149" s="281" t="s">
        <v>1</v>
      </c>
      <c r="I149" s="279" t="s">
        <v>1</v>
      </c>
      <c r="J149" s="280" cm="1">
        <f t="array" aca="1" ref="J149" ca="1">INDIRECT("'"&amp;$C149&amp;"'!"&amp;"$"&amp;$D149&amp;$J$1&amp;"")</f>
        <v>6.7</v>
      </c>
      <c r="K149" s="292"/>
      <c r="L149" s="281">
        <v>0.96</v>
      </c>
      <c r="M149" s="282">
        <v>1.87</v>
      </c>
      <c r="N149" s="278" cm="1">
        <f t="array" aca="1" ref="N149" ca="1">INDIRECT("'"&amp;$C149&amp;"'!"&amp;"$"&amp;$D149&amp;$N$1&amp;"")</f>
        <v>6.7</v>
      </c>
      <c r="O149" s="281"/>
      <c r="P149" s="281">
        <v>0.96</v>
      </c>
      <c r="Q149" s="279">
        <v>1.87</v>
      </c>
      <c r="R149" s="468" cm="1">
        <f t="array" aca="1" ref="R149" ca="1">INDIRECT("'"&amp;$C149&amp;"'!"&amp;"$"&amp;$D149&amp;$R$1&amp;"")</f>
        <v>6.7</v>
      </c>
      <c r="S149" s="281"/>
      <c r="T149" s="281">
        <v>0.96</v>
      </c>
      <c r="U149" s="279">
        <v>1.87</v>
      </c>
      <c r="V149" s="280" cm="1">
        <f t="array" aca="1" ref="V149" ca="1">INDIRECT("'"&amp;$C149&amp;"'!"&amp;"$"&amp;$D149&amp;$V$1&amp;"")</f>
        <v>2.2000000000000002</v>
      </c>
      <c r="W149" s="281">
        <f>3.8*3.56</f>
        <v>13.527999999999999</v>
      </c>
      <c r="X149" s="281">
        <v>0.94</v>
      </c>
      <c r="Y149" s="282">
        <v>0.75</v>
      </c>
      <c r="Z149" s="278" t="str" cm="1">
        <f t="array" aca="1" ref="Z149" ca="1">INDIRECT("'"&amp;$C149&amp;"'!"&amp;"$"&amp;$D149&amp;$Z$1&amp;"")</f>
        <v>CMS</v>
      </c>
      <c r="AA149" s="281" t="s">
        <v>1</v>
      </c>
      <c r="AB149" s="281" t="s">
        <v>1</v>
      </c>
      <c r="AC149" s="279" t="s">
        <v>1</v>
      </c>
      <c r="AD149" s="280" cm="1">
        <f t="array" aca="1" ref="AD149" ca="1">INDIRECT("'"&amp;$C149&amp;"'!"&amp;"$"&amp;$D149&amp;$AD$1&amp;"")</f>
        <v>3.9</v>
      </c>
      <c r="AE149" s="281">
        <v>13.53</v>
      </c>
      <c r="AF149" s="281">
        <v>0.95</v>
      </c>
      <c r="AG149" s="282">
        <v>1.3</v>
      </c>
      <c r="AH149" s="278" cm="1">
        <f t="array" aca="1" ref="AH149" ca="1">INDIRECT("'"&amp;$C149&amp;"'!"&amp;"$"&amp;$D149&amp;$AH$1&amp;"")</f>
        <v>0</v>
      </c>
      <c r="AI149" s="281" t="s">
        <v>1</v>
      </c>
      <c r="AJ149" s="281" t="s">
        <v>1</v>
      </c>
      <c r="AK149" s="282" t="s">
        <v>1</v>
      </c>
      <c r="AL149" s="278">
        <v>11.6</v>
      </c>
      <c r="AM149" s="279">
        <v>70.8</v>
      </c>
      <c r="AN149" s="278" cm="1">
        <f t="array" aca="1" ref="AN149" ca="1">INDIRECT("'"&amp;$C149&amp;"'!"&amp;"$"&amp;$D149&amp;$AL$1&amp;"")</f>
        <v>0</v>
      </c>
      <c r="AO149" s="281" t="s">
        <v>1</v>
      </c>
      <c r="AP149" s="279" t="s">
        <v>1</v>
      </c>
      <c r="AQ149" s="280" cm="1">
        <f t="array" aca="1" ref="AQ149" ca="1">INDIRECT("'"&amp;$C149&amp;"'!"&amp;"$"&amp;$D149&amp;$AQ$1&amp;"")</f>
        <v>3.8</v>
      </c>
      <c r="AR149" s="281">
        <v>0.98</v>
      </c>
      <c r="AS149" s="279">
        <v>0.62</v>
      </c>
      <c r="AT149" s="278">
        <v>13.91</v>
      </c>
      <c r="AU149" s="282">
        <v>70.599999999999994</v>
      </c>
      <c r="AV149" s="281" cm="1">
        <f t="array" aca="1" ref="AV149" ca="1">INDIRECT("'"&amp;$C149&amp;"'!"&amp;"$"&amp;$D149&amp;$AV$1&amp;"")</f>
        <v>0</v>
      </c>
      <c r="AW149" s="280">
        <v>13.7</v>
      </c>
      <c r="AX149" s="281" t="s">
        <v>1</v>
      </c>
      <c r="AY149" s="279" t="s">
        <v>1</v>
      </c>
      <c r="AZ149" s="281" cm="1">
        <f t="array" aca="1" ref="AZ149" ca="1">INDIRECT("'"&amp;$C149&amp;"'!"&amp;"$"&amp;$D149&amp;$AZ$1&amp;"")</f>
        <v>7</v>
      </c>
      <c r="BA149" s="280">
        <v>13.7</v>
      </c>
      <c r="BB149" s="281">
        <v>0.98</v>
      </c>
      <c r="BC149" s="279">
        <v>1.56</v>
      </c>
      <c r="BD149" s="283">
        <v>14.08</v>
      </c>
      <c r="BE149" s="282">
        <v>71.349999999999994</v>
      </c>
      <c r="BF149" s="283" cm="1">
        <f t="array" aca="1" ref="BF149" ca="1">INDIRECT("'"&amp;$C149&amp;"'!"&amp;"$"&amp;$D149&amp;$BF$1&amp;"")</f>
        <v>14.32</v>
      </c>
      <c r="BG149" s="281">
        <v>0.99</v>
      </c>
      <c r="BH149" s="279">
        <v>2.2999999999999998</v>
      </c>
      <c r="BI149" s="524">
        <v>68.8</v>
      </c>
      <c r="BJ149" s="278" cm="1">
        <f t="array" aca="1" ref="BJ149" ca="1">INDIRECT("'"&amp;$C149&amp;"'!"&amp;"$"&amp;$D149&amp;$BI$1&amp;"")</f>
        <v>4.4999999999999991</v>
      </c>
      <c r="BK149" s="280">
        <v>0.98</v>
      </c>
      <c r="BL149" s="279">
        <v>0.91</v>
      </c>
      <c r="BM149" s="283" cm="1">
        <f t="array" aca="1" ref="BM149" ca="1">INDIRECT("'"&amp;$C149&amp;"'!"&amp;"$"&amp;$D149&amp;$BM$1&amp;"")</f>
        <v>1.48</v>
      </c>
      <c r="BN149" s="281"/>
      <c r="BO149" s="281">
        <v>0.99</v>
      </c>
      <c r="BP149" s="279">
        <v>0.19</v>
      </c>
      <c r="BQ149" s="284" cm="1">
        <f t="array" aca="1" ref="BQ149" ca="1">INDIRECT("'"&amp;$C149&amp;"'!"&amp;"$"&amp;$D149&amp;$BQ$1&amp;"")</f>
        <v>1.05</v>
      </c>
      <c r="BR149" s="281"/>
      <c r="BS149" s="281">
        <v>0.96</v>
      </c>
      <c r="BT149" s="279">
        <v>0.28000000000000003</v>
      </c>
      <c r="BU149" s="284" cm="1">
        <f t="array" aca="1" ref="BU149" ca="1">INDIRECT("'"&amp;$C149&amp;"'!"&amp;"$"&amp;$D149&amp;74&amp;"")</f>
        <v>0</v>
      </c>
      <c r="BV149" s="281"/>
      <c r="BW149" s="281" t="s">
        <v>1</v>
      </c>
      <c r="BX149" s="279" t="s">
        <v>1</v>
      </c>
    </row>
    <row r="150" spans="1:76">
      <c r="A150" s="459">
        <v>45844</v>
      </c>
      <c r="B150" s="345">
        <v>0.83333333333333337</v>
      </c>
      <c r="C150" s="305">
        <v>6</v>
      </c>
      <c r="D150" s="306" t="s">
        <v>162</v>
      </c>
      <c r="E150" s="285">
        <v>14.2</v>
      </c>
      <c r="F150" s="286">
        <v>69.92</v>
      </c>
      <c r="G150" s="287" t="str" cm="1">
        <f t="array" aca="1" ref="G150" ca="1">INDIRECT("'"&amp;$C150&amp;"'!"&amp;"$"&amp;$D150&amp;$E$1&amp;"")</f>
        <v>CMS</v>
      </c>
      <c r="H150" s="288" t="s">
        <v>1</v>
      </c>
      <c r="I150" s="286" t="s">
        <v>1</v>
      </c>
      <c r="J150" s="287" cm="1">
        <f t="array" aca="1" ref="J150" ca="1">INDIRECT("'"&amp;$C150&amp;"'!"&amp;"$"&amp;$D150&amp;$J$1&amp;"")</f>
        <v>6.6</v>
      </c>
      <c r="K150" s="288"/>
      <c r="L150" s="288">
        <v>0.96</v>
      </c>
      <c r="M150" s="289">
        <v>1.84</v>
      </c>
      <c r="N150" s="285" cm="1">
        <f t="array" aca="1" ref="N150" ca="1">INDIRECT("'"&amp;$C150&amp;"'!"&amp;"$"&amp;$D150&amp;$N$1&amp;"")</f>
        <v>6.7</v>
      </c>
      <c r="O150" s="288"/>
      <c r="P150" s="288">
        <v>0.99</v>
      </c>
      <c r="Q150" s="286">
        <v>0.89</v>
      </c>
      <c r="R150" s="285" cm="1">
        <f t="array" aca="1" ref="R150" ca="1">INDIRECT("'"&amp;$C150&amp;"'!"&amp;"$"&amp;$D150&amp;$R$1&amp;"")</f>
        <v>6.6</v>
      </c>
      <c r="S150" s="288"/>
      <c r="T150" s="288">
        <v>0.96</v>
      </c>
      <c r="U150" s="286">
        <v>0.98</v>
      </c>
      <c r="V150" s="287" cm="1">
        <f t="array" aca="1" ref="V150" ca="1">INDIRECT("'"&amp;$C150&amp;"'!"&amp;"$"&amp;$D150&amp;$V$1&amp;"")</f>
        <v>2.8</v>
      </c>
      <c r="W150" s="288">
        <f>3.8*3.58</f>
        <v>13.603999999999999</v>
      </c>
      <c r="X150" s="288">
        <v>0.96</v>
      </c>
      <c r="Y150" s="289">
        <v>0.78</v>
      </c>
      <c r="Z150" s="285" t="str" cm="1">
        <f t="array" aca="1" ref="Z150" ca="1">INDIRECT("'"&amp;$C150&amp;"'!"&amp;"$"&amp;$D150&amp;$Z$1&amp;"")</f>
        <v>CMS</v>
      </c>
      <c r="AA150" s="288" t="s">
        <v>1</v>
      </c>
      <c r="AB150" s="288" t="s">
        <v>1</v>
      </c>
      <c r="AC150" s="286" t="s">
        <v>1</v>
      </c>
      <c r="AD150" s="287" cm="1">
        <f t="array" aca="1" ref="AD150" ca="1">INDIRECT("'"&amp;$C150&amp;"'!"&amp;"$"&amp;$D150&amp;$AD$1&amp;"")</f>
        <v>3.8</v>
      </c>
      <c r="AE150" s="288">
        <v>13.6</v>
      </c>
      <c r="AF150" s="288">
        <v>0.96</v>
      </c>
      <c r="AG150" s="289">
        <v>1.06</v>
      </c>
      <c r="AH150" s="285" cm="1">
        <f t="array" aca="1" ref="AH150" ca="1">INDIRECT("'"&amp;$C150&amp;"'!"&amp;"$"&amp;$D150&amp;$AH$1&amp;"")</f>
        <v>0</v>
      </c>
      <c r="AI150" s="288" t="s">
        <v>1</v>
      </c>
      <c r="AJ150" s="288" t="s">
        <v>1</v>
      </c>
      <c r="AK150" s="289" t="s">
        <v>1</v>
      </c>
      <c r="AL150" s="285">
        <v>11.6</v>
      </c>
      <c r="AM150" s="286">
        <v>70.900000000000006</v>
      </c>
      <c r="AN150" s="285" cm="1">
        <f t="array" aca="1" ref="AN150" ca="1">INDIRECT("'"&amp;$C150&amp;"'!"&amp;"$"&amp;$D150&amp;$AL$1&amp;"")</f>
        <v>0</v>
      </c>
      <c r="AO150" s="288" t="s">
        <v>1</v>
      </c>
      <c r="AP150" s="286" t="s">
        <v>1</v>
      </c>
      <c r="AQ150" s="287" cm="1">
        <f t="array" aca="1" ref="AQ150" ca="1">INDIRECT("'"&amp;$C150&amp;"'!"&amp;"$"&amp;$D150&amp;$AQ$1&amp;"")</f>
        <v>3.7</v>
      </c>
      <c r="AR150" s="288">
        <v>0.99</v>
      </c>
      <c r="AS150" s="286">
        <v>1.32</v>
      </c>
      <c r="AT150" s="285">
        <v>13.92</v>
      </c>
      <c r="AU150" s="289">
        <v>70.599999999999994</v>
      </c>
      <c r="AV150" s="288" cm="1">
        <f t="array" aca="1" ref="AV150" ca="1">INDIRECT("'"&amp;$C150&amp;"'!"&amp;"$"&amp;$D150&amp;$AV$1&amp;"")</f>
        <v>0</v>
      </c>
      <c r="AW150" s="287" t="s">
        <v>1</v>
      </c>
      <c r="AX150" s="288" t="s">
        <v>1</v>
      </c>
      <c r="AY150" s="286" t="s">
        <v>1</v>
      </c>
      <c r="AZ150" s="288" cm="1">
        <f t="array" aca="1" ref="AZ150" ca="1">INDIRECT("'"&amp;$C150&amp;"'!"&amp;"$"&amp;$D150&amp;$AZ$1&amp;"")</f>
        <v>6.8</v>
      </c>
      <c r="BA150" s="287" t="s">
        <v>1</v>
      </c>
      <c r="BB150" s="288">
        <v>0.98</v>
      </c>
      <c r="BC150" s="286">
        <v>1.32</v>
      </c>
      <c r="BD150" s="290">
        <v>14.14</v>
      </c>
      <c r="BE150" s="289">
        <v>71.569999999999993</v>
      </c>
      <c r="BF150" s="290" cm="1">
        <f t="array" aca="1" ref="BF150" ca="1">INDIRECT("'"&amp;$C150&amp;"'!"&amp;"$"&amp;$D150&amp;$BF$1&amp;"")</f>
        <v>14.3</v>
      </c>
      <c r="BG150" s="288">
        <v>0.99</v>
      </c>
      <c r="BH150" s="286">
        <v>2.2999999999999998</v>
      </c>
      <c r="BI150" s="525">
        <v>68.900000000000006</v>
      </c>
      <c r="BJ150" s="285" cm="1">
        <f t="array" aca="1" ref="BJ150" ca="1">INDIRECT("'"&amp;$C150&amp;"'!"&amp;"$"&amp;$D150&amp;$BI$1&amp;"")</f>
        <v>2.2999999999999998</v>
      </c>
      <c r="BK150" s="287">
        <v>0.98</v>
      </c>
      <c r="BL150" s="286">
        <v>0.46</v>
      </c>
      <c r="BM150" s="290" cm="1">
        <f t="array" aca="1" ref="BM150" ca="1">INDIRECT("'"&amp;$C150&amp;"'!"&amp;"$"&amp;$D150&amp;$BM$1&amp;"")</f>
        <v>1.58</v>
      </c>
      <c r="BN150" s="288"/>
      <c r="BO150" s="288">
        <v>0.99</v>
      </c>
      <c r="BP150" s="286">
        <v>0.21</v>
      </c>
      <c r="BQ150" s="291" cm="1">
        <f t="array" aca="1" ref="BQ150" ca="1">INDIRECT("'"&amp;$C150&amp;"'!"&amp;"$"&amp;$D150&amp;$BQ$1&amp;"")</f>
        <v>1.07</v>
      </c>
      <c r="BR150" s="288"/>
      <c r="BS150" s="288">
        <v>0.97</v>
      </c>
      <c r="BT150" s="286">
        <v>0.28000000000000003</v>
      </c>
      <c r="BU150" s="291" cm="1">
        <f t="array" aca="1" ref="BU150" ca="1">INDIRECT("'"&amp;$C150&amp;"'!"&amp;"$"&amp;$D150&amp;74&amp;"")</f>
        <v>0</v>
      </c>
      <c r="BV150" s="288"/>
      <c r="BW150" s="288" t="s">
        <v>1</v>
      </c>
      <c r="BX150" s="286" t="s">
        <v>1</v>
      </c>
    </row>
    <row r="151" spans="1:76">
      <c r="A151" s="459">
        <v>45844</v>
      </c>
      <c r="B151" s="345">
        <v>0.875000000000001</v>
      </c>
      <c r="C151" s="305">
        <v>6</v>
      </c>
      <c r="D151" s="306" t="s">
        <v>163</v>
      </c>
      <c r="E151" s="278">
        <v>14.1</v>
      </c>
      <c r="F151" s="279">
        <v>69.75</v>
      </c>
      <c r="G151" s="280" t="str" cm="1">
        <f t="array" aca="1" ref="G151" ca="1">INDIRECT("'"&amp;$C151&amp;"'!"&amp;"$"&amp;$D151&amp;$E$1&amp;"")</f>
        <v>CMS</v>
      </c>
      <c r="H151" s="281" t="s">
        <v>1</v>
      </c>
      <c r="I151" s="279" t="s">
        <v>1</v>
      </c>
      <c r="J151" s="280" cm="1">
        <f t="array" aca="1" ref="J151" ca="1">INDIRECT("'"&amp;$C151&amp;"'!"&amp;"$"&amp;$D151&amp;$J$1&amp;"")</f>
        <v>6.5</v>
      </c>
      <c r="K151" s="281"/>
      <c r="L151" s="281">
        <v>0.97</v>
      </c>
      <c r="M151" s="282">
        <v>1.52</v>
      </c>
      <c r="N151" s="278" cm="1">
        <f t="array" aca="1" ref="N151" ca="1">INDIRECT("'"&amp;$C151&amp;"'!"&amp;"$"&amp;$D151&amp;$N$1&amp;"")</f>
        <v>6.5</v>
      </c>
      <c r="O151" s="281"/>
      <c r="P151" s="281">
        <v>0.97</v>
      </c>
      <c r="Q151" s="279">
        <v>1.5</v>
      </c>
      <c r="R151" s="468" cm="1">
        <f t="array" aca="1" ref="R151" ca="1">INDIRECT("'"&amp;$C151&amp;"'!"&amp;"$"&amp;$D151&amp;$R$1&amp;"")</f>
        <v>6.5</v>
      </c>
      <c r="S151" s="281"/>
      <c r="T151" s="281">
        <v>0.98</v>
      </c>
      <c r="U151" s="279">
        <v>1.37</v>
      </c>
      <c r="V151" s="280" cm="1">
        <f t="array" aca="1" ref="V151" ca="1">INDIRECT("'"&amp;$C151&amp;"'!"&amp;"$"&amp;$D151&amp;$V$1&amp;"")</f>
        <v>2.6</v>
      </c>
      <c r="W151" s="281">
        <f>3.8*3.58</f>
        <v>13.603999999999999</v>
      </c>
      <c r="X151" s="281">
        <v>0.96</v>
      </c>
      <c r="Y151" s="282">
        <v>0.75</v>
      </c>
      <c r="Z151" s="278" t="str" cm="1">
        <f t="array" aca="1" ref="Z151" ca="1">INDIRECT("'"&amp;$C151&amp;"'!"&amp;"$"&amp;$D151&amp;$Z$1&amp;"")</f>
        <v>CMS</v>
      </c>
      <c r="AA151" s="281" t="s">
        <v>1</v>
      </c>
      <c r="AB151" s="281" t="s">
        <v>1</v>
      </c>
      <c r="AC151" s="279" t="s">
        <v>1</v>
      </c>
      <c r="AD151" s="280" cm="1">
        <f t="array" aca="1" ref="AD151" ca="1">INDIRECT("'"&amp;$C151&amp;"'!"&amp;"$"&amp;$D151&amp;$AD$1&amp;"")</f>
        <v>3.6</v>
      </c>
      <c r="AE151" s="281">
        <v>13.6</v>
      </c>
      <c r="AF151" s="281">
        <v>0.96</v>
      </c>
      <c r="AG151" s="282">
        <v>1.04</v>
      </c>
      <c r="AH151" s="278" cm="1">
        <f t="array" aca="1" ref="AH151" ca="1">INDIRECT("'"&amp;$C151&amp;"'!"&amp;"$"&amp;$D151&amp;$AH$1&amp;"")</f>
        <v>0</v>
      </c>
      <c r="AI151" s="281" t="s">
        <v>1</v>
      </c>
      <c r="AJ151" s="281" t="s">
        <v>1</v>
      </c>
      <c r="AK151" s="282" t="s">
        <v>1</v>
      </c>
      <c r="AL151" s="278">
        <v>11.6</v>
      </c>
      <c r="AM151" s="279">
        <v>70.900000000000006</v>
      </c>
      <c r="AN151" s="278" cm="1">
        <f t="array" aca="1" ref="AN151" ca="1">INDIRECT("'"&amp;$C151&amp;"'!"&amp;"$"&amp;$D151&amp;$AL$1&amp;"")</f>
        <v>0</v>
      </c>
      <c r="AO151" s="281" t="s">
        <v>1</v>
      </c>
      <c r="AP151" s="279" t="s">
        <v>1</v>
      </c>
      <c r="AQ151" s="280" cm="1">
        <f t="array" aca="1" ref="AQ151" ca="1">INDIRECT("'"&amp;$C151&amp;"'!"&amp;"$"&amp;$D151&amp;$AQ$1&amp;"")</f>
        <v>3.5</v>
      </c>
      <c r="AR151" s="281">
        <v>0.99</v>
      </c>
      <c r="AS151" s="279">
        <v>0.52</v>
      </c>
      <c r="AT151" s="278">
        <v>138</v>
      </c>
      <c r="AU151" s="282">
        <v>70.8</v>
      </c>
      <c r="AV151" s="281" cm="1">
        <f t="array" aca="1" ref="AV151" ca="1">INDIRECT("'"&amp;$C151&amp;"'!"&amp;"$"&amp;$D151&amp;$AV$1&amp;"")</f>
        <v>0</v>
      </c>
      <c r="AW151" s="280" t="s">
        <v>1</v>
      </c>
      <c r="AX151" s="281" t="s">
        <v>1</v>
      </c>
      <c r="AY151" s="279" t="s">
        <v>1</v>
      </c>
      <c r="AZ151" s="281" cm="1">
        <f t="array" aca="1" ref="AZ151" ca="1">INDIRECT("'"&amp;$C151&amp;"'!"&amp;"$"&amp;$D151&amp;$AZ$1&amp;"")</f>
        <v>6.9</v>
      </c>
      <c r="BA151" s="280" t="s">
        <v>1</v>
      </c>
      <c r="BB151" s="281">
        <v>0.98</v>
      </c>
      <c r="BC151" s="279">
        <v>1.31</v>
      </c>
      <c r="BD151" s="283">
        <v>14.15</v>
      </c>
      <c r="BE151" s="282">
        <v>71.72</v>
      </c>
      <c r="BF151" s="283" cm="1">
        <f t="array" aca="1" ref="BF151" ca="1">INDIRECT("'"&amp;$C151&amp;"'!"&amp;"$"&amp;$D151&amp;$BF$1&amp;"")</f>
        <v>14.27</v>
      </c>
      <c r="BG151" s="281">
        <v>0.99</v>
      </c>
      <c r="BH151" s="279">
        <v>2.4</v>
      </c>
      <c r="BI151" s="524">
        <v>68.599999999999994</v>
      </c>
      <c r="BJ151" s="278" cm="1">
        <f t="array" aca="1" ref="BJ151" ca="1">INDIRECT("'"&amp;$C151&amp;"'!"&amp;"$"&amp;$D151&amp;$BI$1&amp;"")</f>
        <v>1.5</v>
      </c>
      <c r="BK151" s="280">
        <v>0.98</v>
      </c>
      <c r="BL151" s="279">
        <v>0.31</v>
      </c>
      <c r="BM151" s="283" cm="1">
        <f t="array" aca="1" ref="BM151" ca="1">INDIRECT("'"&amp;$C151&amp;"'!"&amp;"$"&amp;$D151&amp;$BM$1&amp;"")</f>
        <v>1.49</v>
      </c>
      <c r="BN151" s="281"/>
      <c r="BO151" s="281">
        <v>0.99</v>
      </c>
      <c r="BP151" s="279">
        <v>0.18</v>
      </c>
      <c r="BQ151" s="284" cm="1">
        <f t="array" aca="1" ref="BQ151" ca="1">INDIRECT("'"&amp;$C151&amp;"'!"&amp;"$"&amp;$D151&amp;$BQ$1&amp;"")</f>
        <v>1.03</v>
      </c>
      <c r="BR151" s="281"/>
      <c r="BS151" s="281">
        <v>0.97</v>
      </c>
      <c r="BT151" s="279">
        <v>0.26</v>
      </c>
      <c r="BU151" s="284" cm="1">
        <f t="array" aca="1" ref="BU151" ca="1">INDIRECT("'"&amp;$C151&amp;"'!"&amp;"$"&amp;$D151&amp;74&amp;"")</f>
        <v>0</v>
      </c>
      <c r="BV151" s="281"/>
      <c r="BW151" s="281" t="s">
        <v>1</v>
      </c>
      <c r="BX151" s="279" t="s">
        <v>1</v>
      </c>
    </row>
    <row r="152" spans="1:76">
      <c r="A152" s="459">
        <v>45844</v>
      </c>
      <c r="B152" s="345">
        <v>0.91666666666666696</v>
      </c>
      <c r="C152" s="305">
        <v>6</v>
      </c>
      <c r="D152" s="306" t="s">
        <v>164</v>
      </c>
      <c r="E152" s="285">
        <v>14.1</v>
      </c>
      <c r="F152" s="286">
        <v>69.900000000000006</v>
      </c>
      <c r="G152" s="287" t="str" cm="1">
        <f t="array" aca="1" ref="G152" ca="1">INDIRECT("'"&amp;$C152&amp;"'!"&amp;"$"&amp;$D152&amp;$E$1&amp;"")</f>
        <v>CMS</v>
      </c>
      <c r="H152" s="288" t="s">
        <v>1</v>
      </c>
      <c r="I152" s="286" t="s">
        <v>1</v>
      </c>
      <c r="J152" s="287" cm="1">
        <f t="array" aca="1" ref="J152" ca="1">INDIRECT("'"&amp;$C152&amp;"'!"&amp;"$"&amp;$D152&amp;$J$1&amp;"")</f>
        <v>6.5</v>
      </c>
      <c r="K152" s="288"/>
      <c r="L152" s="288">
        <v>0.98</v>
      </c>
      <c r="M152" s="289">
        <v>1.35</v>
      </c>
      <c r="N152" s="285" cm="1">
        <f t="array" aca="1" ref="N152" ca="1">INDIRECT("'"&amp;$C152&amp;"'!"&amp;"$"&amp;$D152&amp;$N$1&amp;"")</f>
        <v>6.5</v>
      </c>
      <c r="O152" s="288"/>
      <c r="P152" s="288">
        <v>0.98</v>
      </c>
      <c r="Q152" s="286">
        <v>1.31</v>
      </c>
      <c r="R152" s="285" cm="1">
        <f t="array" aca="1" ref="R152" ca="1">INDIRECT("'"&amp;$C152&amp;"'!"&amp;"$"&amp;$D152&amp;$R$1&amp;"")</f>
        <v>6.6</v>
      </c>
      <c r="S152" s="288"/>
      <c r="T152" s="288">
        <v>0.98</v>
      </c>
      <c r="U152" s="286">
        <v>1.43</v>
      </c>
      <c r="V152" s="287" cm="1">
        <f t="array" aca="1" ref="V152" ca="1">INDIRECT("'"&amp;$C152&amp;"'!"&amp;"$"&amp;$D152&amp;$V$1&amp;"")</f>
        <v>2.7</v>
      </c>
      <c r="W152" s="288">
        <f>3.51*3.8</f>
        <v>13.337999999999999</v>
      </c>
      <c r="X152" s="288">
        <v>0.96</v>
      </c>
      <c r="Y152" s="289">
        <v>0.7</v>
      </c>
      <c r="Z152" s="285" t="str" cm="1">
        <f t="array" aca="1" ref="Z152" ca="1">INDIRECT("'"&amp;$C152&amp;"'!"&amp;"$"&amp;$D152&amp;$Z$1&amp;"")</f>
        <v>CMS</v>
      </c>
      <c r="AA152" s="288" t="s">
        <v>1</v>
      </c>
      <c r="AB152" s="288" t="s">
        <v>1</v>
      </c>
      <c r="AC152" s="286" t="s">
        <v>1</v>
      </c>
      <c r="AD152" s="287" cm="1">
        <f t="array" aca="1" ref="AD152" ca="1">INDIRECT("'"&amp;$C152&amp;"'!"&amp;"$"&amp;$D152&amp;$AD$1&amp;"")</f>
        <v>2</v>
      </c>
      <c r="AE152" s="288">
        <f>3.51*3.8</f>
        <v>13.337999999999999</v>
      </c>
      <c r="AF152" s="288">
        <v>0.97</v>
      </c>
      <c r="AG152" s="289">
        <v>0.6</v>
      </c>
      <c r="AH152" s="285" cm="1">
        <f t="array" aca="1" ref="AH152" ca="1">INDIRECT("'"&amp;$C152&amp;"'!"&amp;"$"&amp;$D152&amp;$AH$1&amp;"")</f>
        <v>0</v>
      </c>
      <c r="AI152" s="288" t="s">
        <v>1</v>
      </c>
      <c r="AJ152" s="288" t="s">
        <v>1</v>
      </c>
      <c r="AK152" s="289" t="s">
        <v>1</v>
      </c>
      <c r="AL152" s="285">
        <v>11.6</v>
      </c>
      <c r="AM152" s="286">
        <v>70.900000000000006</v>
      </c>
      <c r="AN152" s="285" cm="1">
        <f t="array" aca="1" ref="AN152" ca="1">INDIRECT("'"&amp;$C152&amp;"'!"&amp;"$"&amp;$D152&amp;$AL$1&amp;"")</f>
        <v>0</v>
      </c>
      <c r="AO152" s="288" t="s">
        <v>1</v>
      </c>
      <c r="AP152" s="286" t="s">
        <v>1</v>
      </c>
      <c r="AQ152" s="287" cm="1">
        <f t="array" aca="1" ref="AQ152" ca="1">INDIRECT("'"&amp;$C152&amp;"'!"&amp;"$"&amp;$D152&amp;$AQ$1&amp;"")</f>
        <v>3.2</v>
      </c>
      <c r="AR152" s="288">
        <v>0.99</v>
      </c>
      <c r="AS152" s="286">
        <v>0.6</v>
      </c>
      <c r="AT152" s="285">
        <v>13.8</v>
      </c>
      <c r="AU152" s="289">
        <v>70.8</v>
      </c>
      <c r="AV152" s="288" cm="1">
        <f t="array" aca="1" ref="AV152" ca="1">INDIRECT("'"&amp;$C152&amp;"'!"&amp;"$"&amp;$D152&amp;$AV$1&amp;"")</f>
        <v>0</v>
      </c>
      <c r="AW152" s="287" t="s">
        <v>1</v>
      </c>
      <c r="AX152" s="288" t="s">
        <v>1</v>
      </c>
      <c r="AY152" s="286" t="s">
        <v>1</v>
      </c>
      <c r="AZ152" s="288" cm="1">
        <f t="array" aca="1" ref="AZ152" ca="1">INDIRECT("'"&amp;$C152&amp;"'!"&amp;"$"&amp;$D152&amp;$AZ$1&amp;"")</f>
        <v>7</v>
      </c>
      <c r="BA152" s="287" t="s">
        <v>1</v>
      </c>
      <c r="BB152" s="288">
        <v>0.98</v>
      </c>
      <c r="BC152" s="286">
        <v>1.19</v>
      </c>
      <c r="BD152" s="290">
        <v>14.23</v>
      </c>
      <c r="BE152" s="289">
        <v>72.13</v>
      </c>
      <c r="BF152" s="290" cm="1">
        <f t="array" aca="1" ref="BF152" ca="1">INDIRECT("'"&amp;$C152&amp;"'!"&amp;"$"&amp;$D152&amp;$BF$1&amp;"")</f>
        <v>14.25</v>
      </c>
      <c r="BG152" s="288">
        <v>0.99</v>
      </c>
      <c r="BH152" s="286">
        <v>2.4</v>
      </c>
      <c r="BI152" s="525">
        <v>68.900000000000006</v>
      </c>
      <c r="BJ152" s="285" cm="1">
        <f t="array" aca="1" ref="BJ152" ca="1">INDIRECT("'"&amp;$C152&amp;"'!"&amp;"$"&amp;$D152&amp;$BI$1&amp;"")</f>
        <v>0</v>
      </c>
      <c r="BK152" s="287" t="s">
        <v>1</v>
      </c>
      <c r="BL152" s="286" t="s">
        <v>1</v>
      </c>
      <c r="BM152" s="290" cm="1">
        <f t="array" aca="1" ref="BM152" ca="1">INDIRECT("'"&amp;$C152&amp;"'!"&amp;"$"&amp;$D152&amp;$BM$1&amp;"")</f>
        <v>1.33</v>
      </c>
      <c r="BN152" s="288"/>
      <c r="BO152" s="288">
        <v>0.99</v>
      </c>
      <c r="BP152" s="286">
        <v>0.17</v>
      </c>
      <c r="BQ152" s="291" cm="1">
        <f t="array" aca="1" ref="BQ152" ca="1">INDIRECT("'"&amp;$C152&amp;"'!"&amp;"$"&amp;$D152&amp;$BQ$1&amp;"")</f>
        <v>0.99</v>
      </c>
      <c r="BR152" s="288"/>
      <c r="BS152" s="288">
        <v>0.97</v>
      </c>
      <c r="BT152" s="286">
        <v>0.25</v>
      </c>
      <c r="BU152" s="291" cm="1">
        <f t="array" aca="1" ref="BU152" ca="1">INDIRECT("'"&amp;$C152&amp;"'!"&amp;"$"&amp;$D152&amp;74&amp;"")</f>
        <v>0</v>
      </c>
      <c r="BV152" s="288"/>
      <c r="BW152" s="288" t="s">
        <v>1</v>
      </c>
      <c r="BX152" s="286" t="s">
        <v>1</v>
      </c>
    </row>
    <row r="153" spans="1:76" ht="14.45" thickBot="1">
      <c r="A153" s="460">
        <v>45844</v>
      </c>
      <c r="B153" s="346">
        <v>0.95833333333333404</v>
      </c>
      <c r="C153" s="307">
        <v>6</v>
      </c>
      <c r="D153" s="308" t="s">
        <v>165</v>
      </c>
      <c r="E153" s="293">
        <v>14.1</v>
      </c>
      <c r="F153" s="294">
        <v>69.540000000000006</v>
      </c>
      <c r="G153" s="295" t="str" cm="1">
        <f t="array" aca="1" ref="G153" ca="1">INDIRECT("'"&amp;$C153&amp;"'!"&amp;"$"&amp;$D153&amp;$E$1&amp;"")</f>
        <v>CMS</v>
      </c>
      <c r="H153" s="296" t="s">
        <v>1</v>
      </c>
      <c r="I153" s="294" t="s">
        <v>1</v>
      </c>
      <c r="J153" s="295" cm="1">
        <f t="array" aca="1" ref="J153" ca="1">INDIRECT("'"&amp;$C153&amp;"'!"&amp;"$"&amp;$D153&amp;$J$1&amp;"")</f>
        <v>6.5</v>
      </c>
      <c r="K153" s="296"/>
      <c r="L153" s="296">
        <v>0.98</v>
      </c>
      <c r="M153" s="297">
        <v>1.26</v>
      </c>
      <c r="N153" s="293" cm="1">
        <f t="array" aca="1" ref="N153" ca="1">INDIRECT("'"&amp;$C153&amp;"'!"&amp;"$"&amp;$D153&amp;$N$1&amp;"")</f>
        <v>6.5</v>
      </c>
      <c r="O153" s="296"/>
      <c r="P153" s="296">
        <v>0.98</v>
      </c>
      <c r="Q153" s="294">
        <v>1.26</v>
      </c>
      <c r="R153" s="470" cm="1">
        <f t="array" aca="1" ref="R153" ca="1">INDIRECT("'"&amp;$C153&amp;"'!"&amp;"$"&amp;$D153&amp;$R$1&amp;"")</f>
        <v>6.6</v>
      </c>
      <c r="S153" s="296"/>
      <c r="T153" s="296">
        <v>0.98</v>
      </c>
      <c r="U153" s="294">
        <v>1.43</v>
      </c>
      <c r="V153" s="295" cm="1">
        <f t="array" aca="1" ref="V153" ca="1">INDIRECT("'"&amp;$C153&amp;"'!"&amp;"$"&amp;$D153&amp;$V$1&amp;"")</f>
        <v>0</v>
      </c>
      <c r="W153" s="296" t="s">
        <v>1</v>
      </c>
      <c r="X153" s="296" t="s">
        <v>1</v>
      </c>
      <c r="Y153" s="297" t="s">
        <v>1</v>
      </c>
      <c r="Z153" s="293" t="str" cm="1">
        <f t="array" aca="1" ref="Z153" ca="1">INDIRECT("'"&amp;$C153&amp;"'!"&amp;"$"&amp;$D153&amp;$Z$1&amp;"")</f>
        <v>CMS</v>
      </c>
      <c r="AA153" s="296" t="s">
        <v>1</v>
      </c>
      <c r="AB153" s="296" t="s">
        <v>1</v>
      </c>
      <c r="AC153" s="294" t="s">
        <v>1</v>
      </c>
      <c r="AD153" s="295" cm="1">
        <f t="array" aca="1" ref="AD153" ca="1">INDIRECT("'"&amp;$C153&amp;"'!"&amp;"$"&amp;$D153&amp;$AD$1&amp;"")</f>
        <v>0</v>
      </c>
      <c r="AE153" s="296" t="s">
        <v>1</v>
      </c>
      <c r="AF153" s="296" t="s">
        <v>1</v>
      </c>
      <c r="AG153" s="297" t="s">
        <v>1</v>
      </c>
      <c r="AH153" s="293" cm="1">
        <f t="array" aca="1" ref="AH153" ca="1">INDIRECT("'"&amp;$C153&amp;"'!"&amp;"$"&amp;$D153&amp;$AH$1&amp;"")</f>
        <v>0</v>
      </c>
      <c r="AI153" s="296" t="s">
        <v>1</v>
      </c>
      <c r="AJ153" s="296" t="s">
        <v>1</v>
      </c>
      <c r="AK153" s="297" t="s">
        <v>1</v>
      </c>
      <c r="AL153" s="293">
        <v>11.6</v>
      </c>
      <c r="AM153" s="294">
        <v>70.7</v>
      </c>
      <c r="AN153" s="293" cm="1">
        <f t="array" aca="1" ref="AN153" ca="1">INDIRECT("'"&amp;$C153&amp;"'!"&amp;"$"&amp;$D153&amp;$AL$1&amp;"")</f>
        <v>0</v>
      </c>
      <c r="AO153" s="296" t="s">
        <v>1</v>
      </c>
      <c r="AP153" s="294" t="s">
        <v>1</v>
      </c>
      <c r="AQ153" s="295" cm="1">
        <f t="array" aca="1" ref="AQ153" ca="1">INDIRECT("'"&amp;$C153&amp;"'!"&amp;"$"&amp;$D153&amp;$AQ$1&amp;"")</f>
        <v>2</v>
      </c>
      <c r="AR153" s="296">
        <v>0.99</v>
      </c>
      <c r="AS153" s="294">
        <v>0.81</v>
      </c>
      <c r="AT153" s="293">
        <v>13.8</v>
      </c>
      <c r="AU153" s="297">
        <v>70.8</v>
      </c>
      <c r="AV153" s="296" cm="1">
        <f t="array" aca="1" ref="AV153" ca="1">INDIRECT("'"&amp;$C153&amp;"'!"&amp;"$"&amp;$D153&amp;$AV$1&amp;"")</f>
        <v>0</v>
      </c>
      <c r="AW153" s="295" t="s">
        <v>1</v>
      </c>
      <c r="AX153" s="296" t="s">
        <v>1</v>
      </c>
      <c r="AY153" s="294" t="s">
        <v>1</v>
      </c>
      <c r="AZ153" s="296" cm="1">
        <f t="array" aca="1" ref="AZ153" ca="1">INDIRECT("'"&amp;$C153&amp;"'!"&amp;"$"&amp;$D153&amp;$AZ$1&amp;"")</f>
        <v>6.9</v>
      </c>
      <c r="BA153" s="295" t="s">
        <v>1</v>
      </c>
      <c r="BB153" s="296">
        <v>0.97</v>
      </c>
      <c r="BC153" s="294">
        <v>1.74</v>
      </c>
      <c r="BD153" s="298">
        <v>14.04</v>
      </c>
      <c r="BE153" s="297">
        <v>71.47</v>
      </c>
      <c r="BF153" s="298" cm="1">
        <f t="array" aca="1" ref="BF153" ca="1">INDIRECT("'"&amp;$C153&amp;"'!"&amp;"$"&amp;$D153&amp;$BF$1&amp;"")</f>
        <v>14.3</v>
      </c>
      <c r="BG153" s="296">
        <v>1</v>
      </c>
      <c r="BH153" s="294">
        <v>1.3</v>
      </c>
      <c r="BI153" s="526">
        <v>68.400000000000006</v>
      </c>
      <c r="BJ153" s="293" cm="1">
        <f t="array" aca="1" ref="BJ153" ca="1">INDIRECT("'"&amp;$C153&amp;"'!"&amp;"$"&amp;$D153&amp;$BI$1&amp;"")</f>
        <v>0</v>
      </c>
      <c r="BK153" s="295" t="s">
        <v>1</v>
      </c>
      <c r="BL153" s="294" t="s">
        <v>1</v>
      </c>
      <c r="BM153" s="298" cm="1">
        <f t="array" aca="1" ref="BM153" ca="1">INDIRECT("'"&amp;$C153&amp;"'!"&amp;"$"&amp;$D153&amp;$BM$1&amp;"")</f>
        <v>1.18</v>
      </c>
      <c r="BN153" s="296"/>
      <c r="BO153" s="296">
        <v>0.99</v>
      </c>
      <c r="BP153" s="294">
        <v>0.16</v>
      </c>
      <c r="BQ153" s="299" cm="1">
        <f t="array" aca="1" ref="BQ153" ca="1">INDIRECT("'"&amp;$C153&amp;"'!"&amp;"$"&amp;$D153&amp;$BQ$1&amp;"")</f>
        <v>0.85</v>
      </c>
      <c r="BR153" s="296"/>
      <c r="BS153" s="296">
        <v>0.97</v>
      </c>
      <c r="BT153" s="294">
        <v>0.21</v>
      </c>
      <c r="BU153" s="299" cm="1">
        <f t="array" aca="1" ref="BU153" ca="1">INDIRECT("'"&amp;$C153&amp;"'!"&amp;"$"&amp;$D153&amp;74&amp;"")</f>
        <v>0</v>
      </c>
      <c r="BV153" s="296"/>
      <c r="BW153" s="296" t="s">
        <v>1</v>
      </c>
      <c r="BX153" s="294" t="s">
        <v>1</v>
      </c>
    </row>
    <row r="154" spans="1:76" ht="14.45" thickBot="1"/>
    <row r="155" spans="1:76">
      <c r="A155" s="347">
        <v>45845</v>
      </c>
      <c r="B155" s="344">
        <v>0</v>
      </c>
      <c r="C155" s="302">
        <v>7</v>
      </c>
      <c r="D155" s="303" t="s">
        <v>142</v>
      </c>
      <c r="E155" s="272">
        <v>14.2</v>
      </c>
      <c r="F155" s="273">
        <v>70.23</v>
      </c>
      <c r="G155" s="274" t="str" cm="1">
        <f t="array" aca="1" ref="G155" ca="1">INDIRECT("'"&amp;$C155&amp;"'!"&amp;"$"&amp;$D155&amp;$E$1&amp;"")</f>
        <v>CMS</v>
      </c>
      <c r="H155" s="275" t="s">
        <v>1</v>
      </c>
      <c r="I155" s="273" t="s">
        <v>1</v>
      </c>
      <c r="J155" s="274" cm="1">
        <f t="array" aca="1" ref="J155" ca="1">INDIRECT("'"&amp;$C155&amp;"'!"&amp;"$"&amp;$D155&amp;$J$1&amp;"")</f>
        <v>6.6</v>
      </c>
      <c r="K155" s="275"/>
      <c r="L155" s="275">
        <v>0.98</v>
      </c>
      <c r="M155" s="276">
        <v>1.26</v>
      </c>
      <c r="N155" s="272" cm="1">
        <f t="array" aca="1" ref="N155" ca="1">INDIRECT("'"&amp;$C155&amp;"'!"&amp;"$"&amp;$D155&amp;$N$1&amp;"")</f>
        <v>6.7</v>
      </c>
      <c r="O155" s="275"/>
      <c r="P155" s="275">
        <v>0.98</v>
      </c>
      <c r="Q155" s="273">
        <v>1.35</v>
      </c>
      <c r="R155" s="467" cm="1">
        <f t="array" aca="1" ref="R155" ca="1">INDIRECT("'"&amp;$C155&amp;"'!"&amp;"$"&amp;$D155&amp;$R$1&amp;"")</f>
        <v>6.6</v>
      </c>
      <c r="S155" s="275"/>
      <c r="T155" s="275">
        <v>0.99</v>
      </c>
      <c r="U155" s="273">
        <v>0.73</v>
      </c>
      <c r="V155" s="274" cm="1">
        <f t="array" aca="1" ref="V155" ca="1">INDIRECT("'"&amp;$C155&amp;"'!"&amp;"$"&amp;$D155&amp;$V$1&amp;"")</f>
        <v>0</v>
      </c>
      <c r="W155" s="275" t="s">
        <v>1</v>
      </c>
      <c r="X155" s="275" t="s">
        <v>1</v>
      </c>
      <c r="Y155" s="276" t="s">
        <v>1</v>
      </c>
      <c r="Z155" s="272" t="str" cm="1">
        <f t="array" aca="1" ref="Z155" ca="1">INDIRECT("'"&amp;$C155&amp;"'!"&amp;"$"&amp;$D155&amp;$Z$1&amp;"")</f>
        <v>CMS</v>
      </c>
      <c r="AA155" s="275" t="s">
        <v>1</v>
      </c>
      <c r="AB155" s="275" t="s">
        <v>1</v>
      </c>
      <c r="AC155" s="273" t="s">
        <v>1</v>
      </c>
      <c r="AD155" s="274" cm="1">
        <f t="array" aca="1" ref="AD155" ca="1">INDIRECT("'"&amp;$C155&amp;"'!"&amp;"$"&amp;$D155&amp;$AD$1&amp;"")</f>
        <v>0</v>
      </c>
      <c r="AE155" s="275" t="s">
        <v>1</v>
      </c>
      <c r="AF155" s="275" t="s">
        <v>1</v>
      </c>
      <c r="AG155" s="273" t="s">
        <v>1</v>
      </c>
      <c r="AH155" s="272" cm="1">
        <f t="array" aca="1" ref="AH155" ca="1">INDIRECT("'"&amp;$C155&amp;"'!"&amp;"$"&amp;$D155&amp;$AH$1&amp;"")</f>
        <v>0</v>
      </c>
      <c r="AI155" s="275" t="s">
        <v>1</v>
      </c>
      <c r="AJ155" s="275" t="s">
        <v>1</v>
      </c>
      <c r="AK155" s="273" t="s">
        <v>1</v>
      </c>
      <c r="AL155" s="272">
        <v>11.6</v>
      </c>
      <c r="AM155" s="276">
        <v>70.8</v>
      </c>
      <c r="AN155" s="272" cm="1">
        <f t="array" aca="1" ref="AN155" ca="1">INDIRECT("'"&amp;$C155&amp;"'!"&amp;"$"&amp;$D155&amp;$AL$1&amp;"")</f>
        <v>0</v>
      </c>
      <c r="AO155" s="275" t="s">
        <v>1</v>
      </c>
      <c r="AP155" s="273" t="s">
        <v>1</v>
      </c>
      <c r="AQ155" s="274" cm="1">
        <f t="array" aca="1" ref="AQ155" ca="1">INDIRECT("'"&amp;$C155&amp;"'!"&amp;"$"&amp;$D155&amp;$AQ$1&amp;"")</f>
        <v>1.5</v>
      </c>
      <c r="AR155" s="275">
        <v>0.97</v>
      </c>
      <c r="AS155" s="273">
        <v>0.38</v>
      </c>
      <c r="AT155" s="272">
        <v>13.8</v>
      </c>
      <c r="AU155" s="276">
        <v>71</v>
      </c>
      <c r="AV155" s="275" cm="1">
        <f t="array" aca="1" ref="AV155" ca="1">INDIRECT("'"&amp;$C155&amp;"'!"&amp;"$"&amp;$D155&amp;$AV$1&amp;"")</f>
        <v>0</v>
      </c>
      <c r="AW155" s="274" t="s">
        <v>1</v>
      </c>
      <c r="AX155" s="275" t="s">
        <v>1</v>
      </c>
      <c r="AY155" s="273" t="s">
        <v>1</v>
      </c>
      <c r="AZ155" s="275" cm="1">
        <f t="array" aca="1" ref="AZ155" ca="1">INDIRECT("'"&amp;$C155&amp;"'!"&amp;"$"&amp;$D155&amp;$AZ$1&amp;"")</f>
        <v>3.5</v>
      </c>
      <c r="BA155" s="274" t="s">
        <v>1</v>
      </c>
      <c r="BB155" s="275">
        <v>0.92</v>
      </c>
      <c r="BC155" s="273">
        <v>1.46</v>
      </c>
      <c r="BD155" s="277">
        <v>14.07</v>
      </c>
      <c r="BE155" s="276">
        <v>71.8</v>
      </c>
      <c r="BF155" s="277" cm="1">
        <f t="array" aca="1" ref="BF155" ca="1">INDIRECT("'"&amp;$C155&amp;"'!"&amp;"$"&amp;$D155&amp;$BF$1&amp;"")</f>
        <v>14.22</v>
      </c>
      <c r="BG155" s="275">
        <v>1</v>
      </c>
      <c r="BH155" s="273">
        <v>1.3</v>
      </c>
      <c r="BI155" s="523">
        <v>69</v>
      </c>
      <c r="BJ155" s="272" cm="1">
        <f t="array" aca="1" ref="BJ155" ca="1">INDIRECT("'"&amp;$C155&amp;"'!"&amp;"$"&amp;$D155&amp;$BI$1&amp;"")</f>
        <v>0</v>
      </c>
      <c r="BK155" s="274" t="s">
        <v>1</v>
      </c>
      <c r="BL155" s="273" t="s">
        <v>1</v>
      </c>
      <c r="BM155" s="277" cm="1">
        <f t="array" aca="1" ref="BM155" ca="1">INDIRECT("'"&amp;$C155&amp;"'!"&amp;"$"&amp;$D155&amp;$BM$1&amp;"")</f>
        <v>1.08</v>
      </c>
      <c r="BN155" s="275"/>
      <c r="BO155" s="275">
        <v>0.99</v>
      </c>
      <c r="BP155" s="273">
        <v>0.15</v>
      </c>
      <c r="BQ155" s="277" cm="1">
        <f t="array" aca="1" ref="BQ155" ca="1">INDIRECT("'"&amp;$C155&amp;"'!"&amp;"$"&amp;$D155&amp;$BQ$1&amp;"")</f>
        <v>0.8</v>
      </c>
      <c r="BR155" s="275"/>
      <c r="BS155" s="275">
        <v>0.97</v>
      </c>
      <c r="BT155" s="273">
        <v>0.2</v>
      </c>
      <c r="BU155" s="358" cm="1">
        <f t="array" aca="1" ref="BU155" ca="1">INDIRECT("'"&amp;$C155&amp;"'!"&amp;"$"&amp;$D155&amp;74&amp;"")</f>
        <v>0</v>
      </c>
      <c r="BV155" s="275"/>
      <c r="BW155" s="275" t="s">
        <v>1</v>
      </c>
      <c r="BX155" s="273" t="s">
        <v>1</v>
      </c>
    </row>
    <row r="156" spans="1:76">
      <c r="A156" s="459">
        <v>45845</v>
      </c>
      <c r="B156" s="345">
        <v>4.1666666666666699E-2</v>
      </c>
      <c r="C156" s="305">
        <v>7</v>
      </c>
      <c r="D156" s="306" t="s">
        <v>143</v>
      </c>
      <c r="E156" s="278">
        <v>14.1</v>
      </c>
      <c r="F156" s="279">
        <v>69.89</v>
      </c>
      <c r="G156" s="280" t="str" cm="1">
        <f t="array" aca="1" ref="G156" ca="1">INDIRECT("'"&amp;$C156&amp;"'!"&amp;"$"&amp;$D156&amp;$E$1&amp;"")</f>
        <v>CMS</v>
      </c>
      <c r="H156" s="281" t="s">
        <v>1</v>
      </c>
      <c r="I156" s="279" t="s">
        <v>1</v>
      </c>
      <c r="J156" s="280" cm="1">
        <f t="array" aca="1" ref="J156" ca="1">INDIRECT("'"&amp;$C156&amp;"'!"&amp;"$"&amp;$D156&amp;$J$1&amp;"")</f>
        <v>6.8</v>
      </c>
      <c r="K156" s="281"/>
      <c r="L156" s="281">
        <v>0.99</v>
      </c>
      <c r="M156" s="282">
        <v>1.1200000000000001</v>
      </c>
      <c r="N156" s="278" cm="1">
        <f t="array" aca="1" ref="N156" ca="1">INDIRECT("'"&amp;$C156&amp;"'!"&amp;"$"&amp;$D156&amp;$N$1&amp;"")</f>
        <v>0</v>
      </c>
      <c r="O156" s="281"/>
      <c r="P156" s="281" t="s">
        <v>1</v>
      </c>
      <c r="Q156" s="279" t="s">
        <v>1</v>
      </c>
      <c r="R156" s="468" cm="1">
        <f t="array" aca="1" ref="R156" ca="1">INDIRECT("'"&amp;$C156&amp;"'!"&amp;"$"&amp;$D156&amp;$R$1&amp;"")</f>
        <v>6.7</v>
      </c>
      <c r="S156" s="281"/>
      <c r="T156" s="281">
        <v>0.97</v>
      </c>
      <c r="U156" s="279">
        <v>1.73</v>
      </c>
      <c r="V156" s="280" cm="1">
        <f t="array" aca="1" ref="V156" ca="1">INDIRECT("'"&amp;$C156&amp;"'!"&amp;"$"&amp;$D156&amp;$V$1&amp;"")</f>
        <v>0</v>
      </c>
      <c r="W156" s="281" t="s">
        <v>1</v>
      </c>
      <c r="X156" s="281" t="s">
        <v>1</v>
      </c>
      <c r="Y156" s="282" t="s">
        <v>1</v>
      </c>
      <c r="Z156" s="278" t="str" cm="1">
        <f t="array" aca="1" ref="Z156" ca="1">INDIRECT("'"&amp;$C156&amp;"'!"&amp;"$"&amp;$D156&amp;$Z$1&amp;"")</f>
        <v>CMS</v>
      </c>
      <c r="AA156" s="281" t="s">
        <v>1</v>
      </c>
      <c r="AB156" s="281" t="s">
        <v>1</v>
      </c>
      <c r="AC156" s="279" t="s">
        <v>1</v>
      </c>
      <c r="AD156" s="280" cm="1">
        <f t="array" aca="1" ref="AD156" ca="1">INDIRECT("'"&amp;$C156&amp;"'!"&amp;"$"&amp;$D156&amp;$AD$1&amp;"")</f>
        <v>0</v>
      </c>
      <c r="AE156" s="281" t="s">
        <v>1</v>
      </c>
      <c r="AF156" s="281" t="s">
        <v>1</v>
      </c>
      <c r="AG156" s="282" t="s">
        <v>1</v>
      </c>
      <c r="AH156" s="278" cm="1">
        <f t="array" aca="1" ref="AH156" ca="1">INDIRECT("'"&amp;$C156&amp;"'!"&amp;"$"&amp;$D156&amp;$AH$1&amp;"")</f>
        <v>0</v>
      </c>
      <c r="AI156" s="281" t="s">
        <v>1</v>
      </c>
      <c r="AJ156" s="281" t="s">
        <v>1</v>
      </c>
      <c r="AK156" s="279" t="s">
        <v>1</v>
      </c>
      <c r="AL156" s="278">
        <v>11.6</v>
      </c>
      <c r="AM156" s="282">
        <v>70.900000000000006</v>
      </c>
      <c r="AN156" s="278" cm="1">
        <f t="array" aca="1" ref="AN156" ca="1">INDIRECT("'"&amp;$C156&amp;"'!"&amp;"$"&amp;$D156&amp;$AL$1&amp;"")</f>
        <v>0</v>
      </c>
      <c r="AO156" s="281" t="s">
        <v>1</v>
      </c>
      <c r="AP156" s="279" t="s">
        <v>1</v>
      </c>
      <c r="AQ156" s="280" cm="1">
        <f t="array" aca="1" ref="AQ156" ca="1">INDIRECT("'"&amp;$C156&amp;"'!"&amp;"$"&amp;$D156&amp;$AQ$1&amp;"")</f>
        <v>1.5</v>
      </c>
      <c r="AR156" s="281">
        <v>0.98</v>
      </c>
      <c r="AS156" s="279">
        <v>0.28000000000000003</v>
      </c>
      <c r="AT156" s="278">
        <v>13.8</v>
      </c>
      <c r="AU156" s="282">
        <v>71</v>
      </c>
      <c r="AV156" s="281" cm="1">
        <f t="array" aca="1" ref="AV156" ca="1">INDIRECT("'"&amp;$C156&amp;"'!"&amp;"$"&amp;$D156&amp;$AV$1&amp;"")</f>
        <v>0</v>
      </c>
      <c r="AW156" s="280" t="s">
        <v>1</v>
      </c>
      <c r="AX156" s="281" t="s">
        <v>1</v>
      </c>
      <c r="AY156" s="279" t="s">
        <v>1</v>
      </c>
      <c r="AZ156" s="281" cm="1">
        <f t="array" aca="1" ref="AZ156" ca="1">INDIRECT("'"&amp;$C156&amp;"'!"&amp;"$"&amp;$D156&amp;$AZ$1&amp;"")</f>
        <v>6.5</v>
      </c>
      <c r="BA156" s="280" t="s">
        <v>1</v>
      </c>
      <c r="BB156" s="281">
        <v>0.98</v>
      </c>
      <c r="BC156" s="279">
        <v>1.36</v>
      </c>
      <c r="BD156" s="283">
        <v>14.11</v>
      </c>
      <c r="BE156" s="282">
        <v>71.94</v>
      </c>
      <c r="BF156" s="283" cm="1">
        <f t="array" aca="1" ref="BF156" ca="1">INDIRECT("'"&amp;$C156&amp;"'!"&amp;"$"&amp;$D156&amp;$BF$1&amp;"")</f>
        <v>14.25</v>
      </c>
      <c r="BG156" s="281">
        <v>1</v>
      </c>
      <c r="BH156" s="279">
        <v>1.3</v>
      </c>
      <c r="BI156" s="524">
        <v>68.8</v>
      </c>
      <c r="BJ156" s="278" cm="1">
        <f t="array" aca="1" ref="BJ156" ca="1">INDIRECT("'"&amp;$C156&amp;"'!"&amp;"$"&amp;$D156&amp;$BI$1&amp;"")</f>
        <v>0</v>
      </c>
      <c r="BK156" s="280" t="s">
        <v>1</v>
      </c>
      <c r="BL156" s="279" t="s">
        <v>1</v>
      </c>
      <c r="BM156" s="283" cm="1">
        <f t="array" aca="1" ref="BM156" ca="1">INDIRECT("'"&amp;$C156&amp;"'!"&amp;"$"&amp;$D156&amp;$BM$1&amp;"")</f>
        <v>1.01</v>
      </c>
      <c r="BN156" s="281"/>
      <c r="BO156" s="281">
        <v>0.99</v>
      </c>
      <c r="BP156" s="279">
        <v>0.14000000000000001</v>
      </c>
      <c r="BQ156" s="283" cm="1">
        <f t="array" aca="1" ref="BQ156" ca="1">INDIRECT("'"&amp;$C156&amp;"'!"&amp;"$"&amp;$D156&amp;$BQ$1&amp;"")</f>
        <v>0.75</v>
      </c>
      <c r="BR156" s="281"/>
      <c r="BS156" s="281">
        <v>0.97</v>
      </c>
      <c r="BT156" s="279">
        <v>0.14000000000000001</v>
      </c>
      <c r="BU156" s="284" cm="1">
        <f t="array" aca="1" ref="BU156" ca="1">INDIRECT("'"&amp;$C156&amp;"'!"&amp;"$"&amp;$D156&amp;74&amp;"")</f>
        <v>0</v>
      </c>
      <c r="BV156" s="281"/>
      <c r="BW156" s="281" t="s">
        <v>1</v>
      </c>
      <c r="BX156" s="279" t="s">
        <v>1</v>
      </c>
    </row>
    <row r="157" spans="1:76">
      <c r="A157" s="459">
        <v>45845</v>
      </c>
      <c r="B157" s="345">
        <v>8.3333333333333301E-2</v>
      </c>
      <c r="C157" s="305">
        <v>7</v>
      </c>
      <c r="D157" s="306" t="s">
        <v>144</v>
      </c>
      <c r="E157" s="285">
        <v>14.1</v>
      </c>
      <c r="F157" s="286">
        <v>69.989999999999995</v>
      </c>
      <c r="G157" s="287" t="str" cm="1">
        <f t="array" aca="1" ref="G157" ca="1">INDIRECT("'"&amp;$C157&amp;"'!"&amp;"$"&amp;$D157&amp;$E$1&amp;"")</f>
        <v>CMS</v>
      </c>
      <c r="H157" s="288" t="s">
        <v>1</v>
      </c>
      <c r="I157" s="286" t="s">
        <v>1</v>
      </c>
      <c r="J157" s="287" cm="1">
        <f t="array" aca="1" ref="J157" ca="1">INDIRECT("'"&amp;$C157&amp;"'!"&amp;"$"&amp;$D157&amp;$J$1&amp;"")</f>
        <v>6.6</v>
      </c>
      <c r="K157" s="288"/>
      <c r="L157" s="288">
        <v>0.99</v>
      </c>
      <c r="M157" s="289">
        <v>1.1299999999999999</v>
      </c>
      <c r="N157" s="285" cm="1">
        <f t="array" aca="1" ref="N157" ca="1">INDIRECT("'"&amp;$C157&amp;"'!"&amp;"$"&amp;$D157&amp;$N$1&amp;"")</f>
        <v>0</v>
      </c>
      <c r="O157" s="288"/>
      <c r="P157" s="288" t="s">
        <v>1</v>
      </c>
      <c r="Q157" s="286" t="s">
        <v>1</v>
      </c>
      <c r="R157" s="285" cm="1">
        <f t="array" aca="1" ref="R157" ca="1">INDIRECT("'"&amp;$C157&amp;"'!"&amp;"$"&amp;$D157&amp;$R$1&amp;"")</f>
        <v>6.6</v>
      </c>
      <c r="S157" s="288"/>
      <c r="T157" s="288">
        <v>0.98</v>
      </c>
      <c r="U157" s="286">
        <v>1.36</v>
      </c>
      <c r="V157" s="287" cm="1">
        <f t="array" aca="1" ref="V157" ca="1">INDIRECT("'"&amp;$C157&amp;"'!"&amp;"$"&amp;$D157&amp;$V$1&amp;"")</f>
        <v>0</v>
      </c>
      <c r="W157" s="288" t="s">
        <v>1</v>
      </c>
      <c r="X157" s="288" t="s">
        <v>1</v>
      </c>
      <c r="Y157" s="289" t="s">
        <v>1</v>
      </c>
      <c r="Z157" s="278" t="str" cm="1">
        <f t="array" aca="1" ref="Z157" ca="1">INDIRECT("'"&amp;$C157&amp;"'!"&amp;"$"&amp;$D157&amp;$Z$1&amp;"")</f>
        <v>CMS</v>
      </c>
      <c r="AA157" s="288" t="s">
        <v>1</v>
      </c>
      <c r="AB157" s="288" t="s">
        <v>1</v>
      </c>
      <c r="AC157" s="286" t="s">
        <v>1</v>
      </c>
      <c r="AD157" s="287" cm="1">
        <f t="array" aca="1" ref="AD157" ca="1">INDIRECT("'"&amp;$C157&amp;"'!"&amp;"$"&amp;$D157&amp;$AD$1&amp;"")</f>
        <v>0</v>
      </c>
      <c r="AE157" s="288" t="s">
        <v>1</v>
      </c>
      <c r="AF157" s="288" t="s">
        <v>1</v>
      </c>
      <c r="AG157" s="289" t="s">
        <v>1</v>
      </c>
      <c r="AH157" s="285" cm="1">
        <f t="array" aca="1" ref="AH157" ca="1">INDIRECT("'"&amp;$C157&amp;"'!"&amp;"$"&amp;$D157&amp;$AH$1&amp;"")</f>
        <v>0</v>
      </c>
      <c r="AI157" s="288" t="s">
        <v>1</v>
      </c>
      <c r="AJ157" s="288" t="s">
        <v>1</v>
      </c>
      <c r="AK157" s="289" t="s">
        <v>1</v>
      </c>
      <c r="AL157" s="285" t="s">
        <v>1</v>
      </c>
      <c r="AM157" s="289">
        <v>70.8</v>
      </c>
      <c r="AN157" s="285" cm="1">
        <f t="array" aca="1" ref="AN157" ca="1">INDIRECT("'"&amp;$C157&amp;"'!"&amp;"$"&amp;$D157&amp;$AL$1&amp;"")</f>
        <v>0</v>
      </c>
      <c r="AO157" s="288" t="s">
        <v>1</v>
      </c>
      <c r="AP157" s="286" t="s">
        <v>1</v>
      </c>
      <c r="AQ157" s="287" cm="1">
        <f t="array" aca="1" ref="AQ157" ca="1">INDIRECT("'"&amp;$C157&amp;"'!"&amp;"$"&amp;$D157&amp;$AQ$1&amp;"")</f>
        <v>0</v>
      </c>
      <c r="AR157" s="288" t="s">
        <v>1</v>
      </c>
      <c r="AS157" s="286" t="s">
        <v>1</v>
      </c>
      <c r="AT157" s="285">
        <v>13.8</v>
      </c>
      <c r="AU157" s="289">
        <v>71</v>
      </c>
      <c r="AV157" s="288" cm="1">
        <f t="array" aca="1" ref="AV157" ca="1">INDIRECT("'"&amp;$C157&amp;"'!"&amp;"$"&amp;$D157&amp;$AV$1&amp;"")</f>
        <v>0</v>
      </c>
      <c r="AW157" s="287" t="s">
        <v>1</v>
      </c>
      <c r="AX157" s="288" t="s">
        <v>1</v>
      </c>
      <c r="AY157" s="286" t="s">
        <v>1</v>
      </c>
      <c r="AZ157" s="288" cm="1">
        <f t="array" aca="1" ref="AZ157" ca="1">INDIRECT("'"&amp;$C157&amp;"'!"&amp;"$"&amp;$D157&amp;$AZ$1&amp;"")</f>
        <v>6.5</v>
      </c>
      <c r="BA157" s="287" t="s">
        <v>1</v>
      </c>
      <c r="BB157" s="288">
        <v>0.98</v>
      </c>
      <c r="BC157" s="286">
        <v>1.1299999999999999</v>
      </c>
      <c r="BD157" s="290">
        <v>14.12</v>
      </c>
      <c r="BE157" s="289">
        <v>71.91</v>
      </c>
      <c r="BF157" s="290" cm="1">
        <f t="array" aca="1" ref="BF157" ca="1">INDIRECT("'"&amp;$C157&amp;"'!"&amp;"$"&amp;$D157&amp;$BF$1&amp;"")</f>
        <v>14.27</v>
      </c>
      <c r="BG157" s="288">
        <v>1</v>
      </c>
      <c r="BH157" s="286">
        <v>1.3</v>
      </c>
      <c r="BI157" s="525">
        <v>69.099999999999994</v>
      </c>
      <c r="BJ157" s="285" cm="1">
        <f t="array" aca="1" ref="BJ157" ca="1">INDIRECT("'"&amp;$C157&amp;"'!"&amp;"$"&amp;$D157&amp;$BI$1&amp;"")</f>
        <v>0</v>
      </c>
      <c r="BK157" s="287" t="s">
        <v>1</v>
      </c>
      <c r="BL157" s="286" t="s">
        <v>1</v>
      </c>
      <c r="BM157" s="290" cm="1">
        <f t="array" aca="1" ref="BM157" ca="1">INDIRECT("'"&amp;$C157&amp;"'!"&amp;"$"&amp;$D157&amp;$BM$1&amp;"")</f>
        <v>0.98</v>
      </c>
      <c r="BN157" s="288"/>
      <c r="BO157" s="288">
        <v>0.99</v>
      </c>
      <c r="BP157" s="286">
        <v>0.13</v>
      </c>
      <c r="BQ157" s="290" cm="1">
        <f t="array" aca="1" ref="BQ157" ca="1">INDIRECT("'"&amp;$C157&amp;"'!"&amp;"$"&amp;$D157&amp;$BQ$1&amp;"")</f>
        <v>0.72</v>
      </c>
      <c r="BR157" s="288"/>
      <c r="BS157" s="288">
        <v>0.96</v>
      </c>
      <c r="BT157" s="286">
        <v>0.19</v>
      </c>
      <c r="BU157" s="291" cm="1">
        <f t="array" aca="1" ref="BU157" ca="1">INDIRECT("'"&amp;$C157&amp;"'!"&amp;"$"&amp;$D157&amp;74&amp;"")</f>
        <v>0</v>
      </c>
      <c r="BV157" s="288"/>
      <c r="BW157" s="288" t="s">
        <v>1</v>
      </c>
      <c r="BX157" s="286" t="s">
        <v>1</v>
      </c>
    </row>
    <row r="158" spans="1:76">
      <c r="A158" s="459">
        <v>45845</v>
      </c>
      <c r="B158" s="345">
        <v>0.125</v>
      </c>
      <c r="C158" s="305">
        <v>7</v>
      </c>
      <c r="D158" s="306" t="s">
        <v>145</v>
      </c>
      <c r="E158" s="278">
        <v>14.1</v>
      </c>
      <c r="F158" s="279">
        <v>70.14</v>
      </c>
      <c r="G158" s="280" t="str" cm="1">
        <f t="array" aca="1" ref="G158" ca="1">INDIRECT("'"&amp;$C158&amp;"'!"&amp;"$"&amp;$D158&amp;$E$1&amp;"")</f>
        <v>CMS</v>
      </c>
      <c r="H158" s="281" t="s">
        <v>1</v>
      </c>
      <c r="I158" s="279" t="s">
        <v>1</v>
      </c>
      <c r="J158" s="280" cm="1">
        <f t="array" aca="1" ref="J158" ca="1">INDIRECT("'"&amp;$C158&amp;"'!"&amp;"$"&amp;$D158&amp;$J$1&amp;"")</f>
        <v>6.6</v>
      </c>
      <c r="K158" s="281"/>
      <c r="L158" s="281">
        <v>0.99</v>
      </c>
      <c r="M158" s="282">
        <v>1.1299999999999999</v>
      </c>
      <c r="N158" s="278" cm="1">
        <f t="array" aca="1" ref="N158" ca="1">INDIRECT("'"&amp;$C158&amp;"'!"&amp;"$"&amp;$D158&amp;$N$1&amp;"")</f>
        <v>0</v>
      </c>
      <c r="O158" s="281"/>
      <c r="P158" s="281" t="s">
        <v>1</v>
      </c>
      <c r="Q158" s="279" t="s">
        <v>1</v>
      </c>
      <c r="R158" s="468" cm="1">
        <f t="array" aca="1" ref="R158" ca="1">INDIRECT("'"&amp;$C158&amp;"'!"&amp;"$"&amp;$D158&amp;$R$1&amp;"")</f>
        <v>6.6</v>
      </c>
      <c r="S158" s="281"/>
      <c r="T158" s="281">
        <v>0.99</v>
      </c>
      <c r="U158" s="279">
        <v>1.1399999999999999</v>
      </c>
      <c r="V158" s="280" cm="1">
        <f t="array" aca="1" ref="V158" ca="1">INDIRECT("'"&amp;$C158&amp;"'!"&amp;"$"&amp;$D158&amp;$V$1&amp;"")</f>
        <v>0</v>
      </c>
      <c r="W158" s="281" t="s">
        <v>1</v>
      </c>
      <c r="X158" s="281" t="s">
        <v>1</v>
      </c>
      <c r="Y158" s="282" t="s">
        <v>1</v>
      </c>
      <c r="Z158" s="278" t="str" cm="1">
        <f t="array" aca="1" ref="Z158" ca="1">INDIRECT("'"&amp;$C158&amp;"'!"&amp;"$"&amp;$D158&amp;$Z$1&amp;"")</f>
        <v>CMS</v>
      </c>
      <c r="AA158" s="281" t="s">
        <v>1</v>
      </c>
      <c r="AB158" s="281" t="s">
        <v>1</v>
      </c>
      <c r="AC158" s="279" t="s">
        <v>1</v>
      </c>
      <c r="AD158" s="280" cm="1">
        <f t="array" aca="1" ref="AD158" ca="1">INDIRECT("'"&amp;$C158&amp;"'!"&amp;"$"&amp;$D158&amp;$AD$1&amp;"")</f>
        <v>0</v>
      </c>
      <c r="AE158" s="281" t="s">
        <v>1</v>
      </c>
      <c r="AF158" s="281" t="s">
        <v>1</v>
      </c>
      <c r="AG158" s="282" t="s">
        <v>1</v>
      </c>
      <c r="AH158" s="278" cm="1">
        <f t="array" aca="1" ref="AH158" ca="1">INDIRECT("'"&amp;$C158&amp;"'!"&amp;"$"&amp;$D158&amp;$AH$1&amp;"")</f>
        <v>0</v>
      </c>
      <c r="AI158" s="281" t="s">
        <v>1</v>
      </c>
      <c r="AJ158" s="281" t="s">
        <v>1</v>
      </c>
      <c r="AK158" s="279" t="s">
        <v>1</v>
      </c>
      <c r="AL158" s="278" t="s">
        <v>1</v>
      </c>
      <c r="AM158" s="282">
        <v>70.8</v>
      </c>
      <c r="AN158" s="278" cm="1">
        <f t="array" aca="1" ref="AN158" ca="1">INDIRECT("'"&amp;$C158&amp;"'!"&amp;"$"&amp;$D158&amp;$AL$1&amp;"")</f>
        <v>0</v>
      </c>
      <c r="AO158" s="281" t="s">
        <v>1</v>
      </c>
      <c r="AP158" s="279" t="s">
        <v>1</v>
      </c>
      <c r="AQ158" s="280" cm="1">
        <f t="array" aca="1" ref="AQ158" ca="1">INDIRECT("'"&amp;$C158&amp;"'!"&amp;"$"&amp;$D158&amp;$AQ$1&amp;"")</f>
        <v>0</v>
      </c>
      <c r="AR158" s="281" t="s">
        <v>1</v>
      </c>
      <c r="AS158" s="279" t="s">
        <v>1</v>
      </c>
      <c r="AT158" s="278">
        <v>13.8</v>
      </c>
      <c r="AU158" s="282">
        <v>71</v>
      </c>
      <c r="AV158" s="281" cm="1">
        <f t="array" aca="1" ref="AV158" ca="1">INDIRECT("'"&amp;$C158&amp;"'!"&amp;"$"&amp;$D158&amp;$AV$1&amp;"")</f>
        <v>0</v>
      </c>
      <c r="AW158" s="280" t="s">
        <v>1</v>
      </c>
      <c r="AX158" s="281" t="s">
        <v>1</v>
      </c>
      <c r="AY158" s="279" t="s">
        <v>1</v>
      </c>
      <c r="AZ158" s="281" cm="1">
        <f t="array" aca="1" ref="AZ158" ca="1">INDIRECT("'"&amp;$C158&amp;"'!"&amp;"$"&amp;$D158&amp;$AZ$1&amp;"")</f>
        <v>5.7</v>
      </c>
      <c r="BA158" s="280" t="s">
        <v>1</v>
      </c>
      <c r="BB158" s="281">
        <v>0.98</v>
      </c>
      <c r="BC158" s="279">
        <v>1.02</v>
      </c>
      <c r="BD158" s="283">
        <v>14.13</v>
      </c>
      <c r="BE158" s="282">
        <v>71.989999999999995</v>
      </c>
      <c r="BF158" s="283" cm="1">
        <f t="array" aca="1" ref="BF158" ca="1">INDIRECT("'"&amp;$C158&amp;"'!"&amp;"$"&amp;$D158&amp;$BF$1&amp;"")</f>
        <v>14.27</v>
      </c>
      <c r="BG158" s="281">
        <v>1</v>
      </c>
      <c r="BH158" s="279">
        <v>1.3</v>
      </c>
      <c r="BI158" s="524">
        <v>69.099999999999994</v>
      </c>
      <c r="BJ158" s="278" cm="1">
        <f t="array" aca="1" ref="BJ158" ca="1">INDIRECT("'"&amp;$C158&amp;"'!"&amp;"$"&amp;$D158&amp;$BI$1&amp;"")</f>
        <v>0</v>
      </c>
      <c r="BK158" s="280" t="s">
        <v>1</v>
      </c>
      <c r="BL158" s="279" t="s">
        <v>1</v>
      </c>
      <c r="BM158" s="283" cm="1">
        <f t="array" aca="1" ref="BM158" ca="1">INDIRECT("'"&amp;$C158&amp;"'!"&amp;"$"&amp;$D158&amp;$BM$1&amp;"")</f>
        <v>0.96699999999999997</v>
      </c>
      <c r="BN158" s="281"/>
      <c r="BO158" s="281">
        <v>0.99</v>
      </c>
      <c r="BP158" s="279">
        <v>0.12</v>
      </c>
      <c r="BQ158" s="283" cm="1">
        <f t="array" aca="1" ref="BQ158" ca="1">INDIRECT("'"&amp;$C158&amp;"'!"&amp;"$"&amp;$D158&amp;$BQ$1&amp;"")</f>
        <v>0.72</v>
      </c>
      <c r="BR158" s="281"/>
      <c r="BS158" s="281">
        <v>0.97</v>
      </c>
      <c r="BT158" s="279">
        <v>0.18</v>
      </c>
      <c r="BU158" s="284" cm="1">
        <f t="array" aca="1" ref="BU158" ca="1">INDIRECT("'"&amp;$C158&amp;"'!"&amp;"$"&amp;$D158&amp;74&amp;"")</f>
        <v>0</v>
      </c>
      <c r="BV158" s="281"/>
      <c r="BW158" s="281" t="s">
        <v>1</v>
      </c>
      <c r="BX158" s="279" t="s">
        <v>1</v>
      </c>
    </row>
    <row r="159" spans="1:76">
      <c r="A159" s="459">
        <v>45845</v>
      </c>
      <c r="B159" s="345">
        <v>0.16666666666666699</v>
      </c>
      <c r="C159" s="305">
        <v>7</v>
      </c>
      <c r="D159" s="306" t="s">
        <v>146</v>
      </c>
      <c r="E159" s="285">
        <v>14.1</v>
      </c>
      <c r="F159" s="286">
        <v>69.89</v>
      </c>
      <c r="G159" s="287" t="str" cm="1">
        <f t="array" aca="1" ref="G159" ca="1">INDIRECT("'"&amp;$C159&amp;"'!"&amp;"$"&amp;$D159&amp;$E$1&amp;"")</f>
        <v>CMS</v>
      </c>
      <c r="H159" s="288" t="s">
        <v>1</v>
      </c>
      <c r="I159" s="286" t="s">
        <v>1</v>
      </c>
      <c r="J159" s="287" cm="1">
        <f t="array" aca="1" ref="J159" ca="1">INDIRECT("'"&amp;$C159&amp;"'!"&amp;"$"&amp;$D159&amp;$J$1&amp;"")</f>
        <v>6.9</v>
      </c>
      <c r="K159" s="288"/>
      <c r="L159" s="288">
        <v>0.99</v>
      </c>
      <c r="M159" s="286">
        <v>1.19</v>
      </c>
      <c r="N159" s="285" cm="1">
        <f t="array" aca="1" ref="N159" ca="1">INDIRECT("'"&amp;$C159&amp;"'!"&amp;"$"&amp;$D159&amp;$N$1&amp;"")</f>
        <v>6.9</v>
      </c>
      <c r="O159" s="288"/>
      <c r="P159" s="288">
        <v>0.99</v>
      </c>
      <c r="Q159" s="286">
        <v>1.17</v>
      </c>
      <c r="R159" s="285" cm="1">
        <f t="array" aca="1" ref="R159" ca="1">INDIRECT("'"&amp;$C159&amp;"'!"&amp;"$"&amp;$D159&amp;$R$1&amp;"")</f>
        <v>0</v>
      </c>
      <c r="S159" s="288"/>
      <c r="T159" s="288" t="s">
        <v>1</v>
      </c>
      <c r="U159" s="286" t="s">
        <v>1</v>
      </c>
      <c r="V159" s="287" cm="1">
        <f t="array" aca="1" ref="V159" ca="1">INDIRECT("'"&amp;$C159&amp;"'!"&amp;"$"&amp;$D159&amp;$V$1&amp;"")</f>
        <v>0</v>
      </c>
      <c r="W159" s="288" t="s">
        <v>1</v>
      </c>
      <c r="X159" s="288" t="s">
        <v>1</v>
      </c>
      <c r="Y159" s="289" t="s">
        <v>1</v>
      </c>
      <c r="Z159" s="285" t="str" cm="1">
        <f t="array" aca="1" ref="Z159" ca="1">INDIRECT("'"&amp;$C159&amp;"'!"&amp;"$"&amp;$D159&amp;$Z$1&amp;"")</f>
        <v>CMS</v>
      </c>
      <c r="AA159" s="288" t="s">
        <v>1</v>
      </c>
      <c r="AB159" s="288" t="s">
        <v>1</v>
      </c>
      <c r="AC159" s="286" t="s">
        <v>1</v>
      </c>
      <c r="AD159" s="287" cm="1">
        <f t="array" aca="1" ref="AD159" ca="1">INDIRECT("'"&amp;$C159&amp;"'!"&amp;"$"&amp;$D159&amp;$AD$1&amp;"")</f>
        <v>0</v>
      </c>
      <c r="AE159" s="288" t="s">
        <v>1</v>
      </c>
      <c r="AF159" s="288" t="s">
        <v>1</v>
      </c>
      <c r="AG159" s="289" t="s">
        <v>1</v>
      </c>
      <c r="AH159" s="285" cm="1">
        <f t="array" aca="1" ref="AH159" ca="1">INDIRECT("'"&amp;$C159&amp;"'!"&amp;"$"&amp;$D159&amp;$AH$1&amp;"")</f>
        <v>0</v>
      </c>
      <c r="AI159" s="288" t="s">
        <v>1</v>
      </c>
      <c r="AJ159" s="288" t="s">
        <v>1</v>
      </c>
      <c r="AK159" s="286" t="s">
        <v>1</v>
      </c>
      <c r="AL159" s="285" t="s">
        <v>1</v>
      </c>
      <c r="AM159" s="289">
        <v>70.599999999999994</v>
      </c>
      <c r="AN159" s="285" cm="1">
        <f t="array" aca="1" ref="AN159" ca="1">INDIRECT("'"&amp;$C159&amp;"'!"&amp;"$"&amp;$D159&amp;$AL$1&amp;"")</f>
        <v>0</v>
      </c>
      <c r="AO159" s="288" t="s">
        <v>1</v>
      </c>
      <c r="AP159" s="286" t="s">
        <v>1</v>
      </c>
      <c r="AQ159" s="287" cm="1">
        <f t="array" aca="1" ref="AQ159" ca="1">INDIRECT("'"&amp;$C159&amp;"'!"&amp;"$"&amp;$D159&amp;$AQ$1&amp;"")</f>
        <v>0</v>
      </c>
      <c r="AR159" s="288" t="s">
        <v>1</v>
      </c>
      <c r="AS159" s="286" t="s">
        <v>1</v>
      </c>
      <c r="AT159" s="285">
        <v>13.8</v>
      </c>
      <c r="AU159" s="289">
        <v>71</v>
      </c>
      <c r="AV159" s="288" cm="1">
        <f t="array" aca="1" ref="AV159" ca="1">INDIRECT("'"&amp;$C159&amp;"'!"&amp;"$"&amp;$D159&amp;$AV$1&amp;"")</f>
        <v>0</v>
      </c>
      <c r="AW159" s="287" t="s">
        <v>1</v>
      </c>
      <c r="AX159" s="288" t="s">
        <v>1</v>
      </c>
      <c r="AY159" s="286" t="s">
        <v>1</v>
      </c>
      <c r="AZ159" s="288" cm="1">
        <f t="array" aca="1" ref="AZ159" ca="1">INDIRECT("'"&amp;$C159&amp;"'!"&amp;"$"&amp;$D159&amp;$AZ$1&amp;"")</f>
        <v>5.4</v>
      </c>
      <c r="BA159" s="287" t="s">
        <v>1</v>
      </c>
      <c r="BB159" s="288">
        <v>0.97</v>
      </c>
      <c r="BC159" s="286">
        <v>1.28</v>
      </c>
      <c r="BD159" s="290">
        <v>14.1</v>
      </c>
      <c r="BE159" s="289">
        <v>71.8</v>
      </c>
      <c r="BF159" s="290" cm="1">
        <f t="array" aca="1" ref="BF159" ca="1">INDIRECT("'"&amp;$C159&amp;"'!"&amp;"$"&amp;$D159&amp;$BF$1&amp;"")</f>
        <v>14.25</v>
      </c>
      <c r="BG159" s="288">
        <v>1</v>
      </c>
      <c r="BH159" s="286">
        <v>1.3</v>
      </c>
      <c r="BI159" s="525">
        <v>68.900000000000006</v>
      </c>
      <c r="BJ159" s="285" cm="1">
        <f t="array" aca="1" ref="BJ159" ca="1">INDIRECT("'"&amp;$C159&amp;"'!"&amp;"$"&amp;$D159&amp;$BI$1&amp;"")</f>
        <v>0</v>
      </c>
      <c r="BK159" s="287" t="s">
        <v>1</v>
      </c>
      <c r="BL159" s="286" t="s">
        <v>1</v>
      </c>
      <c r="BM159" s="290" cm="1">
        <f t="array" aca="1" ref="BM159" ca="1">INDIRECT("'"&amp;$C159&amp;"'!"&amp;"$"&amp;$D159&amp;$BM$1&amp;"")</f>
        <v>0.98</v>
      </c>
      <c r="BN159" s="288"/>
      <c r="BO159" s="288">
        <v>0.99</v>
      </c>
      <c r="BP159" s="286">
        <v>0.12</v>
      </c>
      <c r="BQ159" s="290" cm="1">
        <f t="array" aca="1" ref="BQ159" ca="1">INDIRECT("'"&amp;$C159&amp;"'!"&amp;"$"&amp;$D159&amp;$BQ$1&amp;"")</f>
        <v>0.7</v>
      </c>
      <c r="BR159" s="288"/>
      <c r="BS159" s="288">
        <v>0.97</v>
      </c>
      <c r="BT159" s="286">
        <v>0.18</v>
      </c>
      <c r="BU159" s="291" cm="1">
        <f t="array" aca="1" ref="BU159" ca="1">INDIRECT("'"&amp;$C159&amp;"'!"&amp;"$"&amp;$D159&amp;74&amp;"")</f>
        <v>0</v>
      </c>
      <c r="BV159" s="288"/>
      <c r="BW159" s="288" t="s">
        <v>1</v>
      </c>
      <c r="BX159" s="286" t="s">
        <v>1</v>
      </c>
    </row>
    <row r="160" spans="1:76">
      <c r="A160" s="459">
        <v>45845</v>
      </c>
      <c r="B160" s="345">
        <v>0.20833333333333301</v>
      </c>
      <c r="C160" s="305">
        <v>7</v>
      </c>
      <c r="D160" s="306" t="s">
        <v>147</v>
      </c>
      <c r="E160" s="278">
        <v>14.1</v>
      </c>
      <c r="F160" s="279">
        <v>69.25</v>
      </c>
      <c r="G160" s="280" t="str" cm="1">
        <f t="array" aca="1" ref="G160" ca="1">INDIRECT("'"&amp;$C160&amp;"'!"&amp;"$"&amp;$D160&amp;$E$1&amp;"")</f>
        <v>CMS</v>
      </c>
      <c r="H160" s="281" t="s">
        <v>1</v>
      </c>
      <c r="I160" s="279" t="s">
        <v>1</v>
      </c>
      <c r="J160" s="280" cm="1">
        <f t="array" aca="1" ref="J160" ca="1">INDIRECT("'"&amp;$C160&amp;"'!"&amp;"$"&amp;$D160&amp;$J$1&amp;"")</f>
        <v>6.8</v>
      </c>
      <c r="K160" s="281"/>
      <c r="L160" s="281">
        <v>0.99</v>
      </c>
      <c r="M160" s="279">
        <v>1.8</v>
      </c>
      <c r="N160" s="278" cm="1">
        <f t="array" aca="1" ref="N160" ca="1">INDIRECT("'"&amp;$C160&amp;"'!"&amp;"$"&amp;$D160&amp;$N$1&amp;"")</f>
        <v>6.8</v>
      </c>
      <c r="O160" s="281"/>
      <c r="P160" s="281">
        <v>0.96</v>
      </c>
      <c r="Q160" s="279">
        <v>1.85</v>
      </c>
      <c r="R160" s="468" cm="1">
        <f t="array" aca="1" ref="R160" ca="1">INDIRECT("'"&amp;$C160&amp;"'!"&amp;"$"&amp;$D160&amp;$R$1&amp;"")</f>
        <v>0</v>
      </c>
      <c r="S160" s="281"/>
      <c r="T160" s="281" t="s">
        <v>1</v>
      </c>
      <c r="U160" s="279" t="s">
        <v>1</v>
      </c>
      <c r="V160" s="280" cm="1">
        <f t="array" aca="1" ref="V160" ca="1">INDIRECT("'"&amp;$C160&amp;"'!"&amp;"$"&amp;$D160&amp;$V$1&amp;"")</f>
        <v>0</v>
      </c>
      <c r="W160" s="281" t="s">
        <v>1</v>
      </c>
      <c r="X160" s="281" t="s">
        <v>1</v>
      </c>
      <c r="Y160" s="282" t="s">
        <v>1</v>
      </c>
      <c r="Z160" s="278" t="str" cm="1">
        <f t="array" aca="1" ref="Z160" ca="1">INDIRECT("'"&amp;$C160&amp;"'!"&amp;"$"&amp;$D160&amp;$Z$1&amp;"")</f>
        <v>CMS</v>
      </c>
      <c r="AA160" s="281" t="s">
        <v>1</v>
      </c>
      <c r="AB160" s="281" t="s">
        <v>1</v>
      </c>
      <c r="AC160" s="279" t="s">
        <v>1</v>
      </c>
      <c r="AD160" s="280" cm="1">
        <f t="array" aca="1" ref="AD160" ca="1">INDIRECT("'"&amp;$C160&amp;"'!"&amp;"$"&amp;$D160&amp;$AD$1&amp;"")</f>
        <v>0</v>
      </c>
      <c r="AE160" s="281" t="s">
        <v>1</v>
      </c>
      <c r="AF160" s="281" t="s">
        <v>1</v>
      </c>
      <c r="AG160" s="282" t="s">
        <v>1</v>
      </c>
      <c r="AH160" s="278" cm="1">
        <f t="array" aca="1" ref="AH160" ca="1">INDIRECT("'"&amp;$C160&amp;"'!"&amp;"$"&amp;$D160&amp;$AH$1&amp;"")</f>
        <v>0</v>
      </c>
      <c r="AI160" s="281" t="s">
        <v>1</v>
      </c>
      <c r="AJ160" s="281" t="s">
        <v>1</v>
      </c>
      <c r="AK160" s="279" t="s">
        <v>1</v>
      </c>
      <c r="AL160" s="278">
        <v>11.5</v>
      </c>
      <c r="AM160" s="282">
        <v>70.7</v>
      </c>
      <c r="AN160" s="278" cm="1">
        <f t="array" aca="1" ref="AN160" ca="1">INDIRECT("'"&amp;$C160&amp;"'!"&amp;"$"&amp;$D160&amp;$AL$1&amp;"")</f>
        <v>0.9</v>
      </c>
      <c r="AO160" s="281">
        <v>0.97</v>
      </c>
      <c r="AP160" s="279">
        <v>0.25</v>
      </c>
      <c r="AQ160" s="280" cm="1">
        <f t="array" aca="1" ref="AQ160" ca="1">INDIRECT("'"&amp;$C160&amp;"'!"&amp;"$"&amp;$D160&amp;$AQ$1&amp;"")</f>
        <v>0</v>
      </c>
      <c r="AR160" s="281" t="s">
        <v>1</v>
      </c>
      <c r="AS160" s="279" t="s">
        <v>1</v>
      </c>
      <c r="AT160" s="278">
        <v>13.8</v>
      </c>
      <c r="AU160" s="282">
        <v>70.900000000000006</v>
      </c>
      <c r="AV160" s="281" cm="1">
        <f t="array" aca="1" ref="AV160" ca="1">INDIRECT("'"&amp;$C160&amp;"'!"&amp;"$"&amp;$D160&amp;$AV$1&amp;"")</f>
        <v>0</v>
      </c>
      <c r="AW160" s="280" t="s">
        <v>1</v>
      </c>
      <c r="AX160" s="281" t="s">
        <v>1</v>
      </c>
      <c r="AY160" s="279" t="s">
        <v>1</v>
      </c>
      <c r="AZ160" s="281" cm="1">
        <f t="array" aca="1" ref="AZ160" ca="1">INDIRECT("'"&amp;$C160&amp;"'!"&amp;"$"&amp;$D160&amp;$AZ$1&amp;"")</f>
        <v>7.2</v>
      </c>
      <c r="BA160" s="280" t="s">
        <v>1</v>
      </c>
      <c r="BB160" s="281">
        <v>0.98</v>
      </c>
      <c r="BC160" s="279">
        <v>1.26</v>
      </c>
      <c r="BD160" s="283">
        <v>14.07</v>
      </c>
      <c r="BE160" s="282">
        <v>71.61</v>
      </c>
      <c r="BF160" s="283" cm="1">
        <f t="array" aca="1" ref="BF160" ca="1">INDIRECT("'"&amp;$C160&amp;"'!"&amp;"$"&amp;$D160&amp;$BF$1&amp;"")</f>
        <v>14.25</v>
      </c>
      <c r="BG160" s="281">
        <v>1</v>
      </c>
      <c r="BH160" s="279">
        <v>1.3</v>
      </c>
      <c r="BI160" s="524">
        <v>68.7</v>
      </c>
      <c r="BJ160" s="278" cm="1">
        <f t="array" aca="1" ref="BJ160" ca="1">INDIRECT("'"&amp;$C160&amp;"'!"&amp;"$"&amp;$D160&amp;$BI$1&amp;"")</f>
        <v>0</v>
      </c>
      <c r="BK160" s="280" t="s">
        <v>1</v>
      </c>
      <c r="BL160" s="279" t="s">
        <v>1</v>
      </c>
      <c r="BM160" s="283" cm="1">
        <f t="array" aca="1" ref="BM160" ca="1">INDIRECT("'"&amp;$C160&amp;"'!"&amp;"$"&amp;$D160&amp;$BM$1&amp;"")</f>
        <v>0.98</v>
      </c>
      <c r="BN160" s="281"/>
      <c r="BO160" s="281">
        <v>0.99</v>
      </c>
      <c r="BP160" s="279">
        <v>0.11</v>
      </c>
      <c r="BQ160" s="283" cm="1">
        <f t="array" aca="1" ref="BQ160" ca="1">INDIRECT("'"&amp;$C160&amp;"'!"&amp;"$"&amp;$D160&amp;$BQ$1&amp;"")</f>
        <v>0.73</v>
      </c>
      <c r="BR160" s="281"/>
      <c r="BS160" s="281">
        <v>0.97</v>
      </c>
      <c r="BT160" s="279">
        <v>0.18</v>
      </c>
      <c r="BU160" s="284" cm="1">
        <f t="array" aca="1" ref="BU160" ca="1">INDIRECT("'"&amp;$C160&amp;"'!"&amp;"$"&amp;$D160&amp;74&amp;"")</f>
        <v>0</v>
      </c>
      <c r="BV160" s="281"/>
      <c r="BW160" s="281" t="s">
        <v>1</v>
      </c>
      <c r="BX160" s="279" t="s">
        <v>1</v>
      </c>
    </row>
    <row r="161" spans="1:76">
      <c r="A161" s="459">
        <v>45845</v>
      </c>
      <c r="B161" s="345">
        <v>0.25</v>
      </c>
      <c r="C161" s="305">
        <v>7</v>
      </c>
      <c r="D161" s="306" t="s">
        <v>148</v>
      </c>
      <c r="E161" s="285">
        <v>14</v>
      </c>
      <c r="F161" s="286">
        <v>69.47</v>
      </c>
      <c r="G161" s="287" t="str" cm="1">
        <f t="array" aca="1" ref="G161" ca="1">INDIRECT("'"&amp;$C161&amp;"'!"&amp;"$"&amp;$D161&amp;$E$1&amp;"")</f>
        <v>CMS</v>
      </c>
      <c r="H161" s="288" t="s">
        <v>1</v>
      </c>
      <c r="I161" s="286" t="s">
        <v>1</v>
      </c>
      <c r="J161" s="287" cm="1">
        <f t="array" aca="1" ref="J161" ca="1">INDIRECT("'"&amp;$C161&amp;"'!"&amp;"$"&amp;$D161&amp;$J$1&amp;"")</f>
        <v>6.8</v>
      </c>
      <c r="K161" s="288"/>
      <c r="L161" s="288">
        <v>0.97</v>
      </c>
      <c r="M161" s="286">
        <v>1.79</v>
      </c>
      <c r="N161" s="285" cm="1">
        <f t="array" aca="1" ref="N161" ca="1">INDIRECT("'"&amp;$C161&amp;"'!"&amp;"$"&amp;$D161&amp;$N$1&amp;"")</f>
        <v>6.8</v>
      </c>
      <c r="O161" s="288"/>
      <c r="P161" s="288">
        <v>0.97</v>
      </c>
      <c r="Q161" s="286">
        <v>1.78</v>
      </c>
      <c r="R161" s="285" cm="1">
        <f t="array" aca="1" ref="R161" ca="1">INDIRECT("'"&amp;$C161&amp;"'!"&amp;"$"&amp;$D161&amp;$R$1&amp;"")</f>
        <v>0</v>
      </c>
      <c r="S161" s="288"/>
      <c r="T161" s="288" t="s">
        <v>1</v>
      </c>
      <c r="U161" s="286" t="s">
        <v>1</v>
      </c>
      <c r="V161" s="287" cm="1">
        <f t="array" aca="1" ref="V161" ca="1">INDIRECT("'"&amp;$C161&amp;"'!"&amp;"$"&amp;$D161&amp;$V$1&amp;"")</f>
        <v>0</v>
      </c>
      <c r="W161" s="288" t="s">
        <v>1</v>
      </c>
      <c r="X161" s="288" t="s">
        <v>1</v>
      </c>
      <c r="Y161" s="289" t="s">
        <v>1</v>
      </c>
      <c r="Z161" s="285" t="str" cm="1">
        <f t="array" aca="1" ref="Z161" ca="1">INDIRECT("'"&amp;$C161&amp;"'!"&amp;"$"&amp;$D161&amp;$Z$1&amp;"")</f>
        <v>CMS</v>
      </c>
      <c r="AA161" s="288" t="s">
        <v>1</v>
      </c>
      <c r="AB161" s="288" t="s">
        <v>1</v>
      </c>
      <c r="AC161" s="286" t="s">
        <v>1</v>
      </c>
      <c r="AD161" s="287" cm="1">
        <f t="array" aca="1" ref="AD161" ca="1">INDIRECT("'"&amp;$C161&amp;"'!"&amp;"$"&amp;$D161&amp;$AD$1&amp;"")</f>
        <v>0</v>
      </c>
      <c r="AE161" s="288" t="s">
        <v>1</v>
      </c>
      <c r="AF161" s="288" t="s">
        <v>1</v>
      </c>
      <c r="AG161" s="289" t="s">
        <v>1</v>
      </c>
      <c r="AH161" s="285" cm="1">
        <f t="array" aca="1" ref="AH161" ca="1">INDIRECT("'"&amp;$C161&amp;"'!"&amp;"$"&amp;$D161&amp;$AH$1&amp;"")</f>
        <v>0</v>
      </c>
      <c r="AI161" s="288" t="s">
        <v>1</v>
      </c>
      <c r="AJ161" s="288" t="s">
        <v>1</v>
      </c>
      <c r="AK161" s="286" t="s">
        <v>1</v>
      </c>
      <c r="AL161" s="285">
        <v>11.6</v>
      </c>
      <c r="AM161" s="289">
        <v>70.7</v>
      </c>
      <c r="AN161" s="285" cm="1">
        <f t="array" aca="1" ref="AN161" ca="1">INDIRECT("'"&amp;$C161&amp;"'!"&amp;"$"&amp;$D161&amp;$AL$1&amp;"")</f>
        <v>3.8</v>
      </c>
      <c r="AO161" s="288">
        <v>0.98</v>
      </c>
      <c r="AP161" s="286">
        <v>0.67</v>
      </c>
      <c r="AQ161" s="287" cm="1">
        <f t="array" aca="1" ref="AQ161" ca="1">INDIRECT("'"&amp;$C161&amp;"'!"&amp;"$"&amp;$D161&amp;$AQ$1&amp;"")</f>
        <v>0</v>
      </c>
      <c r="AR161" s="288" t="s">
        <v>1</v>
      </c>
      <c r="AS161" s="286" t="s">
        <v>1</v>
      </c>
      <c r="AT161" s="285">
        <v>13.8</v>
      </c>
      <c r="AU161" s="289">
        <v>70.900000000000006</v>
      </c>
      <c r="AV161" s="288" cm="1">
        <f t="array" aca="1" ref="AV161" ca="1">INDIRECT("'"&amp;$C161&amp;"'!"&amp;"$"&amp;$D161&amp;$AV$1&amp;"")</f>
        <v>0</v>
      </c>
      <c r="AW161" s="287" t="s">
        <v>1</v>
      </c>
      <c r="AX161" s="288" t="s">
        <v>1</v>
      </c>
      <c r="AY161" s="286" t="s">
        <v>1</v>
      </c>
      <c r="AZ161" s="288" cm="1">
        <f t="array" aca="1" ref="AZ161" ca="1">INDIRECT("'"&amp;$C161&amp;"'!"&amp;"$"&amp;$D161&amp;$AZ$1&amp;"")</f>
        <v>7</v>
      </c>
      <c r="BA161" s="287" t="s">
        <v>1</v>
      </c>
      <c r="BB161" s="288">
        <v>0.98</v>
      </c>
      <c r="BC161" s="286">
        <v>1.29</v>
      </c>
      <c r="BD161" s="290">
        <v>14</v>
      </c>
      <c r="BE161" s="289">
        <v>71.33</v>
      </c>
      <c r="BF161" s="290" cm="1">
        <f t="array" aca="1" ref="BF161" ca="1">INDIRECT("'"&amp;$C161&amp;"'!"&amp;"$"&amp;$D161&amp;$BF$1&amp;"")</f>
        <v>14.26</v>
      </c>
      <c r="BG161" s="288">
        <v>1</v>
      </c>
      <c r="BH161" s="286">
        <v>1.2</v>
      </c>
      <c r="BI161" s="525">
        <v>68.599999999999994</v>
      </c>
      <c r="BJ161" s="285" cm="1">
        <f t="array" aca="1" ref="BJ161" ca="1">INDIRECT("'"&amp;$C161&amp;"'!"&amp;"$"&amp;$D161&amp;$BI$1&amp;"")</f>
        <v>1.4</v>
      </c>
      <c r="BK161" s="287">
        <v>0.97</v>
      </c>
      <c r="BL161" s="286">
        <v>0.35</v>
      </c>
      <c r="BM161" s="290" cm="1">
        <f t="array" aca="1" ref="BM161" ca="1">INDIRECT("'"&amp;$C161&amp;"'!"&amp;"$"&amp;$D161&amp;$BM$1&amp;"")</f>
        <v>1.22</v>
      </c>
      <c r="BN161" s="288"/>
      <c r="BO161" s="288">
        <v>0.9</v>
      </c>
      <c r="BP161" s="286">
        <v>0.14000000000000001</v>
      </c>
      <c r="BQ161" s="290" cm="1">
        <f t="array" aca="1" ref="BQ161" ca="1">INDIRECT("'"&amp;$C161&amp;"'!"&amp;"$"&amp;$D161&amp;$BQ$1&amp;"")</f>
        <v>0.81</v>
      </c>
      <c r="BR161" s="288"/>
      <c r="BS161" s="288">
        <v>0.97</v>
      </c>
      <c r="BT161" s="286">
        <v>0.19</v>
      </c>
      <c r="BU161" s="291" cm="1">
        <f t="array" aca="1" ref="BU161" ca="1">INDIRECT("'"&amp;$C161&amp;"'!"&amp;"$"&amp;$D161&amp;74&amp;"")</f>
        <v>0</v>
      </c>
      <c r="BV161" s="288"/>
      <c r="BW161" s="288" t="s">
        <v>1</v>
      </c>
      <c r="BX161" s="286" t="s">
        <v>1</v>
      </c>
    </row>
    <row r="162" spans="1:76">
      <c r="A162" s="459">
        <v>45845</v>
      </c>
      <c r="B162" s="345">
        <v>0.29166666666666702</v>
      </c>
      <c r="C162" s="305">
        <v>7</v>
      </c>
      <c r="D162" s="306" t="s">
        <v>149</v>
      </c>
      <c r="E162" s="278">
        <v>14.1</v>
      </c>
      <c r="F162" s="279">
        <v>69.61</v>
      </c>
      <c r="G162" s="280" t="str" cm="1">
        <f t="array" aca="1" ref="G162" ca="1">INDIRECT("'"&amp;$C162&amp;"'!"&amp;"$"&amp;$D162&amp;$E$1&amp;"")</f>
        <v>CMS</v>
      </c>
      <c r="H162" s="281" t="s">
        <v>1</v>
      </c>
      <c r="I162" s="279" t="s">
        <v>1</v>
      </c>
      <c r="J162" s="280" cm="1">
        <f t="array" aca="1" ref="J162" ca="1">INDIRECT("'"&amp;$C162&amp;"'!"&amp;"$"&amp;$D162&amp;$J$1&amp;"")</f>
        <v>6.6</v>
      </c>
      <c r="K162" s="281"/>
      <c r="L162" s="281">
        <v>0.97</v>
      </c>
      <c r="M162" s="282">
        <v>1.75</v>
      </c>
      <c r="N162" s="278" cm="1">
        <f t="array" aca="1" ref="N162" ca="1">INDIRECT("'"&amp;$C162&amp;"'!"&amp;"$"&amp;$D162&amp;$N$1&amp;"")</f>
        <v>6.6</v>
      </c>
      <c r="O162" s="281"/>
      <c r="P162" s="281">
        <v>0.94</v>
      </c>
      <c r="Q162" s="279">
        <v>2.4900000000000002</v>
      </c>
      <c r="R162" s="468" cm="1">
        <f t="array" aca="1" ref="R162" ca="1">INDIRECT("'"&amp;$C162&amp;"'!"&amp;"$"&amp;$D162&amp;$R$1&amp;"")</f>
        <v>0</v>
      </c>
      <c r="S162" s="281"/>
      <c r="T162" s="281" t="s">
        <v>1</v>
      </c>
      <c r="U162" s="279" t="s">
        <v>1</v>
      </c>
      <c r="V162" s="280" cm="1">
        <f t="array" aca="1" ref="V162" ca="1">INDIRECT("'"&amp;$C162&amp;"'!"&amp;"$"&amp;$D162&amp;$V$1&amp;"")</f>
        <v>0</v>
      </c>
      <c r="W162" s="281" t="s">
        <v>1</v>
      </c>
      <c r="X162" s="281" t="s">
        <v>1</v>
      </c>
      <c r="Y162" s="282" t="s">
        <v>1</v>
      </c>
      <c r="Z162" s="278" t="str" cm="1">
        <f t="array" aca="1" ref="Z162" ca="1">INDIRECT("'"&amp;$C162&amp;"'!"&amp;"$"&amp;$D162&amp;$Z$1&amp;"")</f>
        <v>CMS</v>
      </c>
      <c r="AA162" s="281" t="s">
        <v>1</v>
      </c>
      <c r="AB162" s="281" t="s">
        <v>1</v>
      </c>
      <c r="AC162" s="279" t="s">
        <v>1</v>
      </c>
      <c r="AD162" s="280" cm="1">
        <f t="array" aca="1" ref="AD162" ca="1">INDIRECT("'"&amp;$C162&amp;"'!"&amp;"$"&amp;$D162&amp;$AD$1&amp;"")</f>
        <v>0</v>
      </c>
      <c r="AE162" s="281"/>
      <c r="AF162" s="281"/>
      <c r="AG162" s="282"/>
      <c r="AH162" s="278" cm="1">
        <f t="array" aca="1" ref="AH162" ca="1">INDIRECT("'"&amp;$C162&amp;"'!"&amp;"$"&amp;$D162&amp;$AH$1&amp;"")</f>
        <v>0</v>
      </c>
      <c r="AI162" s="281" t="s">
        <v>1</v>
      </c>
      <c r="AJ162" s="281" t="s">
        <v>1</v>
      </c>
      <c r="AK162" s="279" t="s">
        <v>1</v>
      </c>
      <c r="AL162" s="278">
        <v>11.6</v>
      </c>
      <c r="AM162" s="282">
        <v>70.2</v>
      </c>
      <c r="AN162" s="278" cm="1">
        <f t="array" aca="1" ref="AN162" ca="1">INDIRECT("'"&amp;$C162&amp;"'!"&amp;"$"&amp;$D162&amp;$AL$1&amp;"")</f>
        <v>2.4</v>
      </c>
      <c r="AO162" s="281">
        <v>0.96</v>
      </c>
      <c r="AP162" s="279">
        <v>0.22</v>
      </c>
      <c r="AQ162" s="280" cm="1">
        <f t="array" aca="1" ref="AQ162" ca="1">INDIRECT("'"&amp;$C162&amp;"'!"&amp;"$"&amp;$D162&amp;$AQ$1&amp;"")</f>
        <v>0</v>
      </c>
      <c r="AR162" s="281" t="s">
        <v>1</v>
      </c>
      <c r="AS162" s="279" t="s">
        <v>1</v>
      </c>
      <c r="AT162" s="278">
        <v>13.8</v>
      </c>
      <c r="AU162" s="282">
        <v>70.8</v>
      </c>
      <c r="AV162" s="281" cm="1">
        <f t="array" aca="1" ref="AV162" ca="1">INDIRECT("'"&amp;$C162&amp;"'!"&amp;"$"&amp;$D162&amp;$AV$1&amp;"")</f>
        <v>0</v>
      </c>
      <c r="AW162" s="280" t="s">
        <v>1</v>
      </c>
      <c r="AX162" s="281" t="s">
        <v>1</v>
      </c>
      <c r="AY162" s="279" t="s">
        <v>1</v>
      </c>
      <c r="AZ162" s="281" cm="1">
        <f t="array" aca="1" ref="AZ162" ca="1">INDIRECT("'"&amp;$C162&amp;"'!"&amp;"$"&amp;$D162&amp;$AZ$1&amp;"")</f>
        <v>7</v>
      </c>
      <c r="BA162" s="280" t="s">
        <v>1</v>
      </c>
      <c r="BB162" s="281">
        <v>0.98</v>
      </c>
      <c r="BC162" s="279">
        <v>1.23</v>
      </c>
      <c r="BD162" s="283">
        <v>14.09</v>
      </c>
      <c r="BE162" s="282">
        <v>71.62</v>
      </c>
      <c r="BF162" s="283" cm="1">
        <f t="array" aca="1" ref="BF162" ca="1">INDIRECT("'"&amp;$C162&amp;"'!"&amp;"$"&amp;$D162&amp;$BF$1&amp;"")</f>
        <v>14.28</v>
      </c>
      <c r="BG162" s="281">
        <v>1</v>
      </c>
      <c r="BH162" s="279">
        <v>1.3</v>
      </c>
      <c r="BI162" s="524">
        <v>68.599999999999994</v>
      </c>
      <c r="BJ162" s="278" cm="1">
        <f t="array" aca="1" ref="BJ162" ca="1">INDIRECT("'"&amp;$C162&amp;"'!"&amp;"$"&amp;$D162&amp;$BI$1&amp;"")</f>
        <v>0</v>
      </c>
      <c r="BK162" s="280"/>
      <c r="BL162" s="279"/>
      <c r="BM162" s="283" cm="1">
        <f t="array" aca="1" ref="BM162" ca="1">INDIRECT("'"&amp;$C162&amp;"'!"&amp;"$"&amp;$D162&amp;$BM$1&amp;"")</f>
        <v>0.99</v>
      </c>
      <c r="BN162" s="281"/>
      <c r="BO162" s="281">
        <v>0.99</v>
      </c>
      <c r="BP162" s="279">
        <v>0.14000000000000001</v>
      </c>
      <c r="BQ162" s="284" cm="1">
        <f t="array" aca="1" ref="BQ162" ca="1">INDIRECT("'"&amp;$C162&amp;"'!"&amp;"$"&amp;$D162&amp;$BQ$1&amp;"")</f>
        <v>0.71</v>
      </c>
      <c r="BR162" s="281"/>
      <c r="BS162" s="281">
        <v>0.96</v>
      </c>
      <c r="BT162" s="279">
        <v>0.19</v>
      </c>
      <c r="BU162" s="284" cm="1">
        <f t="array" aca="1" ref="BU162" ca="1">INDIRECT("'"&amp;$C162&amp;"'!"&amp;"$"&amp;$D162&amp;74&amp;"")</f>
        <v>0</v>
      </c>
      <c r="BV162" s="281"/>
      <c r="BW162" s="281" t="s">
        <v>1</v>
      </c>
      <c r="BX162" s="279" t="s">
        <v>1</v>
      </c>
    </row>
    <row r="163" spans="1:76">
      <c r="A163" s="459">
        <v>45845</v>
      </c>
      <c r="B163" s="345">
        <v>0.33333333333333398</v>
      </c>
      <c r="C163" s="305">
        <v>7</v>
      </c>
      <c r="D163" s="306" t="s">
        <v>150</v>
      </c>
      <c r="E163" s="285">
        <v>14</v>
      </c>
      <c r="F163" s="286">
        <v>69.400000000000006</v>
      </c>
      <c r="G163" s="287" t="str" cm="1">
        <f t="array" aca="1" ref="G163" ca="1">INDIRECT("'"&amp;$C163&amp;"'!"&amp;"$"&amp;$D163&amp;$E$1&amp;"")</f>
        <v>CMS</v>
      </c>
      <c r="H163" s="288" t="s">
        <v>1</v>
      </c>
      <c r="I163" s="286" t="s">
        <v>1</v>
      </c>
      <c r="J163" s="287" cm="1">
        <f t="array" aca="1" ref="J163" ca="1">INDIRECT("'"&amp;$C163&amp;"'!"&amp;"$"&amp;$D163&amp;$J$1&amp;"")</f>
        <v>6.7</v>
      </c>
      <c r="K163" s="288"/>
      <c r="L163" s="288">
        <v>0.94</v>
      </c>
      <c r="M163" s="289">
        <v>2.4900000000000002</v>
      </c>
      <c r="N163" s="285" cm="1">
        <f t="array" aca="1" ref="N163" ca="1">INDIRECT("'"&amp;$C163&amp;"'!"&amp;"$"&amp;$D163&amp;$N$1&amp;"")</f>
        <v>6.7</v>
      </c>
      <c r="O163" s="288"/>
      <c r="P163" s="288">
        <v>0.94</v>
      </c>
      <c r="Q163" s="286">
        <v>2.4900000000000002</v>
      </c>
      <c r="R163" s="285" cm="1">
        <f t="array" aca="1" ref="R163" ca="1">INDIRECT("'"&amp;$C163&amp;"'!"&amp;"$"&amp;$D163&amp;$R$1&amp;"")</f>
        <v>0</v>
      </c>
      <c r="S163" s="288"/>
      <c r="T163" s="288" t="s">
        <v>1</v>
      </c>
      <c r="U163" s="286" t="s">
        <v>1</v>
      </c>
      <c r="V163" s="287" cm="1">
        <f t="array" aca="1" ref="V163" ca="1">INDIRECT("'"&amp;$C163&amp;"'!"&amp;"$"&amp;$D163&amp;$V$1&amp;"")</f>
        <v>0</v>
      </c>
      <c r="W163" s="288" t="s">
        <v>1</v>
      </c>
      <c r="X163" s="288" t="s">
        <v>1</v>
      </c>
      <c r="Y163" s="289" t="s">
        <v>1</v>
      </c>
      <c r="Z163" s="285" t="str" cm="1">
        <f t="array" aca="1" ref="Z163" ca="1">INDIRECT("'"&amp;$C163&amp;"'!"&amp;"$"&amp;$D163&amp;$Z$1&amp;"")</f>
        <v>CMS</v>
      </c>
      <c r="AA163" s="288" t="s">
        <v>1</v>
      </c>
      <c r="AB163" s="288" t="s">
        <v>1</v>
      </c>
      <c r="AC163" s="286" t="s">
        <v>1</v>
      </c>
      <c r="AD163" s="287" cm="1">
        <f t="array" aca="1" ref="AD163" ca="1">INDIRECT("'"&amp;$C163&amp;"'!"&amp;"$"&amp;$D163&amp;$AD$1&amp;"")</f>
        <v>3</v>
      </c>
      <c r="AE163" s="288">
        <f>3.8*3.55</f>
        <v>13.489999999999998</v>
      </c>
      <c r="AF163" s="288">
        <v>0.96</v>
      </c>
      <c r="AG163" s="289">
        <v>1.06</v>
      </c>
      <c r="AH163" s="285" cm="1">
        <f t="array" aca="1" ref="AH163" ca="1">INDIRECT("'"&amp;$C163&amp;"'!"&amp;"$"&amp;$D163&amp;$AH$1&amp;"")</f>
        <v>0</v>
      </c>
      <c r="AI163" s="288" t="s">
        <v>1</v>
      </c>
      <c r="AJ163" s="288" t="s">
        <v>1</v>
      </c>
      <c r="AK163" s="286" t="s">
        <v>1</v>
      </c>
      <c r="AL163" s="285">
        <v>11.6</v>
      </c>
      <c r="AM163" s="289">
        <v>70.7</v>
      </c>
      <c r="AN163" s="285" cm="1">
        <f t="array" aca="1" ref="AN163" ca="1">INDIRECT("'"&amp;$C163&amp;"'!"&amp;"$"&amp;$D163&amp;$AL$1&amp;"")</f>
        <v>3.8</v>
      </c>
      <c r="AO163" s="288">
        <v>0.98</v>
      </c>
      <c r="AP163" s="286">
        <v>0.6</v>
      </c>
      <c r="AQ163" s="287" cm="1">
        <f t="array" aca="1" ref="AQ163" ca="1">INDIRECT("'"&amp;$C163&amp;"'!"&amp;"$"&amp;$D163&amp;$AQ$1&amp;"")</f>
        <v>0</v>
      </c>
      <c r="AR163" s="288" t="s">
        <v>1</v>
      </c>
      <c r="AS163" s="286" t="s">
        <v>1</v>
      </c>
      <c r="AT163" s="285">
        <v>13.8</v>
      </c>
      <c r="AU163" s="289">
        <v>70.7</v>
      </c>
      <c r="AV163" s="288" cm="1">
        <f t="array" aca="1" ref="AV163" ca="1">INDIRECT("'"&amp;$C163&amp;"'!"&amp;"$"&amp;$D163&amp;$AV$1&amp;"")</f>
        <v>0</v>
      </c>
      <c r="AW163" s="287" t="s">
        <v>1</v>
      </c>
      <c r="AX163" s="288" t="s">
        <v>1</v>
      </c>
      <c r="AY163" s="286" t="s">
        <v>1</v>
      </c>
      <c r="AZ163" s="288" cm="1">
        <f t="array" aca="1" ref="AZ163" ca="1">INDIRECT("'"&amp;$C163&amp;"'!"&amp;"$"&amp;$D163&amp;$AZ$1&amp;"")</f>
        <v>7</v>
      </c>
      <c r="BA163" s="287" t="s">
        <v>1</v>
      </c>
      <c r="BB163" s="288">
        <v>0.98</v>
      </c>
      <c r="BC163" s="286">
        <v>1.5</v>
      </c>
      <c r="BD163" s="290">
        <v>14.19</v>
      </c>
      <c r="BE163" s="289">
        <v>71.87</v>
      </c>
      <c r="BF163" s="290" cm="1">
        <f t="array" aca="1" ref="BF163" ca="1">INDIRECT("'"&amp;$C163&amp;"'!"&amp;"$"&amp;$D163&amp;$BF$1&amp;"")</f>
        <v>14.28</v>
      </c>
      <c r="BG163" s="288">
        <v>0.99</v>
      </c>
      <c r="BH163" s="286">
        <v>2.2999999999999998</v>
      </c>
      <c r="BI163" s="525">
        <v>68.400000000000006</v>
      </c>
      <c r="BJ163" s="285" cm="1">
        <f t="array" aca="1" ref="BJ163" ca="1">INDIRECT("'"&amp;$C163&amp;"'!"&amp;"$"&amp;$D163&amp;$BI$1&amp;"")</f>
        <v>1.5</v>
      </c>
      <c r="BK163" s="287">
        <v>0.95</v>
      </c>
      <c r="BL163" s="286">
        <v>0.49</v>
      </c>
      <c r="BM163" s="290" cm="1">
        <f t="array" aca="1" ref="BM163" ca="1">INDIRECT("'"&amp;$C163&amp;"'!"&amp;"$"&amp;$D163&amp;$BM$1&amp;"")</f>
        <v>0.99</v>
      </c>
      <c r="BN163" s="288"/>
      <c r="BO163" s="288">
        <v>0.99</v>
      </c>
      <c r="BP163" s="286">
        <v>0.13</v>
      </c>
      <c r="BQ163" s="291" cm="1">
        <f t="array" aca="1" ref="BQ163" ca="1">INDIRECT("'"&amp;$C163&amp;"'!"&amp;"$"&amp;$D163&amp;$BQ$1&amp;"")</f>
        <v>0.72</v>
      </c>
      <c r="BR163" s="288"/>
      <c r="BS163" s="288">
        <v>0.96</v>
      </c>
      <c r="BT163" s="286">
        <v>0.2</v>
      </c>
      <c r="BU163" s="291" cm="1">
        <f t="array" aca="1" ref="BU163" ca="1">INDIRECT("'"&amp;$C163&amp;"'!"&amp;"$"&amp;$D163&amp;74&amp;"")</f>
        <v>0</v>
      </c>
      <c r="BV163" s="288"/>
      <c r="BW163" s="288" t="s">
        <v>1</v>
      </c>
      <c r="BX163" s="286" t="s">
        <v>1</v>
      </c>
    </row>
    <row r="164" spans="1:76">
      <c r="A164" s="459">
        <v>45845</v>
      </c>
      <c r="B164" s="345">
        <v>0.375</v>
      </c>
      <c r="C164" s="305">
        <v>7</v>
      </c>
      <c r="D164" s="306" t="s">
        <v>151</v>
      </c>
      <c r="E164" s="278">
        <v>14</v>
      </c>
      <c r="F164" s="279">
        <v>69.38</v>
      </c>
      <c r="G164" s="280" t="str" cm="1">
        <f t="array" aca="1" ref="G164" ca="1">INDIRECT("'"&amp;$C164&amp;"'!"&amp;"$"&amp;$D164&amp;$E$1&amp;"")</f>
        <v>CMS</v>
      </c>
      <c r="H164" s="281" t="s">
        <v>1</v>
      </c>
      <c r="I164" s="279" t="s">
        <v>1</v>
      </c>
      <c r="J164" s="280" cm="1">
        <f t="array" aca="1" ref="J164" ca="1">INDIRECT("'"&amp;$C164&amp;"'!"&amp;"$"&amp;$D164&amp;$J$1&amp;"")</f>
        <v>6.4</v>
      </c>
      <c r="K164" s="281"/>
      <c r="L164" s="281">
        <v>0.94</v>
      </c>
      <c r="M164" s="282">
        <v>2.29</v>
      </c>
      <c r="N164" s="278" cm="1">
        <f t="array" aca="1" ref="N164" ca="1">INDIRECT("'"&amp;$C164&amp;"'!"&amp;"$"&amp;$D164&amp;$N$1&amp;"")</f>
        <v>6.4</v>
      </c>
      <c r="O164" s="281"/>
      <c r="P164" s="281">
        <v>0.98</v>
      </c>
      <c r="Q164" s="279">
        <v>1.32</v>
      </c>
      <c r="R164" s="468" cm="1">
        <f t="array" aca="1" ref="R164" ca="1">INDIRECT("'"&amp;$C164&amp;"'!"&amp;"$"&amp;$D164&amp;$R$1&amp;"")</f>
        <v>4.4000000000000004</v>
      </c>
      <c r="S164" s="281"/>
      <c r="T164" s="281">
        <v>0.94</v>
      </c>
      <c r="U164" s="279">
        <v>1.57</v>
      </c>
      <c r="V164" s="280" cm="1">
        <f t="array" aca="1" ref="V164" ca="1">INDIRECT("'"&amp;$C164&amp;"'!"&amp;"$"&amp;$D164&amp;$V$1&amp;"")</f>
        <v>2.8</v>
      </c>
      <c r="W164" s="281">
        <v>13.489999999999998</v>
      </c>
      <c r="X164" s="281">
        <v>0.95</v>
      </c>
      <c r="Y164" s="282">
        <v>0.89500000000000002</v>
      </c>
      <c r="Z164" s="278" t="str" cm="1">
        <f t="array" aca="1" ref="Z164" ca="1">INDIRECT("'"&amp;$C164&amp;"'!"&amp;"$"&amp;$D164&amp;$Z$1&amp;"")</f>
        <v>CMS</v>
      </c>
      <c r="AA164" s="281" t="s">
        <v>1</v>
      </c>
      <c r="AB164" s="281" t="s">
        <v>1</v>
      </c>
      <c r="AC164" s="279" t="s">
        <v>1</v>
      </c>
      <c r="AD164" s="280" cm="1">
        <f t="array" aca="1" ref="AD164" ca="1">INDIRECT("'"&amp;$C164&amp;"'!"&amp;"$"&amp;$D164&amp;$AD$1&amp;"")</f>
        <v>3.8</v>
      </c>
      <c r="AE164" s="281">
        <v>13.49</v>
      </c>
      <c r="AF164" s="281">
        <v>0.95</v>
      </c>
      <c r="AG164" s="282">
        <v>1.18</v>
      </c>
      <c r="AH164" s="278" cm="1">
        <f t="array" aca="1" ref="AH164" ca="1">INDIRECT("'"&amp;$C164&amp;"'!"&amp;"$"&amp;$D164&amp;$AH$1&amp;"")</f>
        <v>0</v>
      </c>
      <c r="AI164" s="281" t="s">
        <v>1</v>
      </c>
      <c r="AJ164" s="281" t="s">
        <v>1</v>
      </c>
      <c r="AK164" s="279" t="s">
        <v>1</v>
      </c>
      <c r="AL164" s="278">
        <v>11.6</v>
      </c>
      <c r="AM164" s="282">
        <v>70.5</v>
      </c>
      <c r="AN164" s="278" cm="1">
        <f t="array" aca="1" ref="AN164" ca="1">INDIRECT("'"&amp;$C164&amp;"'!"&amp;"$"&amp;$D164&amp;$AL$1&amp;"")</f>
        <v>3.8</v>
      </c>
      <c r="AO164" s="281">
        <v>0.97</v>
      </c>
      <c r="AP164" s="279">
        <v>0.92</v>
      </c>
      <c r="AQ164" s="280" cm="1">
        <f t="array" aca="1" ref="AQ164" ca="1">INDIRECT("'"&amp;$C164&amp;"'!"&amp;"$"&amp;$D164&amp;$AQ$1&amp;"")</f>
        <v>0</v>
      </c>
      <c r="AR164" s="281" t="s">
        <v>1</v>
      </c>
      <c r="AS164" s="279" t="s">
        <v>1</v>
      </c>
      <c r="AT164" s="278">
        <v>13.87</v>
      </c>
      <c r="AU164" s="282">
        <v>70.5</v>
      </c>
      <c r="AV164" s="281" cm="1">
        <f t="array" aca="1" ref="AV164" ca="1">INDIRECT("'"&amp;$C164&amp;"'!"&amp;"$"&amp;$D164&amp;$AV$1&amp;"")</f>
        <v>0</v>
      </c>
      <c r="AW164" s="280" t="s">
        <v>1</v>
      </c>
      <c r="AX164" s="281" t="s">
        <v>1</v>
      </c>
      <c r="AY164" s="279" t="s">
        <v>1</v>
      </c>
      <c r="AZ164" s="281" cm="1">
        <f t="array" aca="1" ref="AZ164" ca="1">INDIRECT("'"&amp;$C164&amp;"'!"&amp;"$"&amp;$D164&amp;$AZ$1&amp;"")</f>
        <v>6.95</v>
      </c>
      <c r="BA164" s="280" t="s">
        <v>1</v>
      </c>
      <c r="BB164" s="281">
        <v>0.98</v>
      </c>
      <c r="BC164" s="279">
        <v>1.43</v>
      </c>
      <c r="BD164" s="283">
        <v>14.13</v>
      </c>
      <c r="BE164" s="282">
        <v>71.290000000000006</v>
      </c>
      <c r="BF164" s="283" cm="1">
        <f t="array" aca="1" ref="BF164" ca="1">INDIRECT("'"&amp;$C164&amp;"'!"&amp;"$"&amp;$D164&amp;$BF$1&amp;"")</f>
        <v>14.3</v>
      </c>
      <c r="BG164" s="281">
        <v>0.99</v>
      </c>
      <c r="BH164" s="279">
        <v>2.4</v>
      </c>
      <c r="BI164" s="524">
        <v>68.400000000000006</v>
      </c>
      <c r="BJ164" s="278" cm="1">
        <f t="array" aca="1" ref="BJ164" ca="1">INDIRECT("'"&amp;$C164&amp;"'!"&amp;"$"&amp;$D164&amp;$BI$1&amp;"")</f>
        <v>2.82</v>
      </c>
      <c r="BK164" s="280">
        <v>0.95</v>
      </c>
      <c r="BL164" s="279">
        <v>0.82</v>
      </c>
      <c r="BM164" s="283" cm="1">
        <f t="array" aca="1" ref="BM164" ca="1">INDIRECT("'"&amp;$C164&amp;"'!"&amp;"$"&amp;$D164&amp;$BM$1&amp;"")</f>
        <v>1.25</v>
      </c>
      <c r="BN164" s="281"/>
      <c r="BO164" s="281">
        <v>0.95</v>
      </c>
      <c r="BP164" s="279">
        <v>0.16</v>
      </c>
      <c r="BQ164" s="284" cm="1">
        <f t="array" aca="1" ref="BQ164" ca="1">INDIRECT("'"&amp;$C164&amp;"'!"&amp;"$"&amp;$D164&amp;$BQ$1&amp;"")</f>
        <v>0.78</v>
      </c>
      <c r="BR164" s="281"/>
      <c r="BS164" s="281">
        <v>0.96</v>
      </c>
      <c r="BT164" s="279">
        <v>0.21</v>
      </c>
      <c r="BU164" s="284" cm="1">
        <f t="array" aca="1" ref="BU164" ca="1">INDIRECT("'"&amp;$C164&amp;"'!"&amp;"$"&amp;$D164&amp;74&amp;"")</f>
        <v>0</v>
      </c>
      <c r="BV164" s="281"/>
      <c r="BW164" s="281" t="s">
        <v>1</v>
      </c>
      <c r="BX164" s="279" t="s">
        <v>1</v>
      </c>
    </row>
    <row r="165" spans="1:76">
      <c r="A165" s="459">
        <v>45845</v>
      </c>
      <c r="B165" s="345">
        <v>0.41666666666666702</v>
      </c>
      <c r="C165" s="305">
        <v>7</v>
      </c>
      <c r="D165" s="306" t="s">
        <v>152</v>
      </c>
      <c r="E165" s="285">
        <v>14.1</v>
      </c>
      <c r="F165" s="286">
        <v>69.36</v>
      </c>
      <c r="G165" s="287" t="str" cm="1">
        <f t="array" aca="1" ref="G165" ca="1">INDIRECT("'"&amp;$C165&amp;"'!"&amp;"$"&amp;$D165&amp;$E$1&amp;"")</f>
        <v>CMS</v>
      </c>
      <c r="H165" s="288" t="s">
        <v>1</v>
      </c>
      <c r="I165" s="286" t="s">
        <v>1</v>
      </c>
      <c r="J165" s="287" cm="1">
        <f t="array" aca="1" ref="J165" ca="1">INDIRECT("'"&amp;$C165&amp;"'!"&amp;"$"&amp;$D165&amp;$J$1&amp;"")</f>
        <v>6.7</v>
      </c>
      <c r="K165" s="288"/>
      <c r="L165" s="288">
        <v>0.93</v>
      </c>
      <c r="M165" s="289">
        <v>2.68</v>
      </c>
      <c r="N165" s="285" cm="1">
        <f t="array" aca="1" ref="N165" ca="1">INDIRECT("'"&amp;$C165&amp;"'!"&amp;"$"&amp;$D165&amp;$N$1&amp;"")</f>
        <v>6.7</v>
      </c>
      <c r="O165" s="288"/>
      <c r="P165" s="288">
        <v>0.93</v>
      </c>
      <c r="Q165" s="286">
        <v>2.68</v>
      </c>
      <c r="R165" s="285" cm="1">
        <f t="array" aca="1" ref="R165" ca="1">INDIRECT("'"&amp;$C165&amp;"'!"&amp;"$"&amp;$D165&amp;$R$1&amp;"")</f>
        <v>6.7</v>
      </c>
      <c r="S165" s="288"/>
      <c r="T165" s="288">
        <v>0.93</v>
      </c>
      <c r="U165" s="286">
        <v>2.68</v>
      </c>
      <c r="V165" s="287" cm="1">
        <f t="array" aca="1" ref="V165" ca="1">INDIRECT("'"&amp;$C165&amp;"'!"&amp;"$"&amp;$D165&amp;$V$1&amp;"")</f>
        <v>2.8</v>
      </c>
      <c r="W165" s="288">
        <v>13.375999999999999</v>
      </c>
      <c r="X165" s="288">
        <v>0.94</v>
      </c>
      <c r="Y165" s="289">
        <v>0.94099999999999995</v>
      </c>
      <c r="Z165" s="285" t="str" cm="1">
        <f t="array" aca="1" ref="Z165" ca="1">INDIRECT("'"&amp;$C165&amp;"'!"&amp;"$"&amp;$D165&amp;$Z$1&amp;"")</f>
        <v>CMS</v>
      </c>
      <c r="AA165" s="288" t="s">
        <v>1</v>
      </c>
      <c r="AB165" s="288" t="s">
        <v>1</v>
      </c>
      <c r="AC165" s="286" t="s">
        <v>1</v>
      </c>
      <c r="AD165" s="287" cm="1">
        <f t="array" aca="1" ref="AD165" ca="1">INDIRECT("'"&amp;$C165&amp;"'!"&amp;"$"&amp;$D165&amp;$AD$1&amp;"")</f>
        <v>3.8</v>
      </c>
      <c r="AE165" s="288">
        <v>13.375999999999999</v>
      </c>
      <c r="AF165" s="288">
        <v>0.94</v>
      </c>
      <c r="AG165" s="289">
        <v>1.26</v>
      </c>
      <c r="AH165" s="285" cm="1">
        <f t="array" aca="1" ref="AH165" ca="1">INDIRECT("'"&amp;$C165&amp;"'!"&amp;"$"&amp;$D165&amp;$AH$1&amp;"")</f>
        <v>2.8</v>
      </c>
      <c r="AI165" s="288">
        <v>13.84</v>
      </c>
      <c r="AJ165" s="288">
        <v>0.99</v>
      </c>
      <c r="AK165" s="286">
        <v>0.187</v>
      </c>
      <c r="AL165" s="285">
        <v>11.6</v>
      </c>
      <c r="AM165" s="289">
        <v>70.5</v>
      </c>
      <c r="AN165" s="285" cm="1">
        <f t="array" aca="1" ref="AN165" ca="1">INDIRECT("'"&amp;$C165&amp;"'!"&amp;"$"&amp;$D165&amp;$AL$1&amp;"")</f>
        <v>3.8</v>
      </c>
      <c r="AO165" s="288">
        <v>0.97</v>
      </c>
      <c r="AP165" s="286">
        <v>0.84</v>
      </c>
      <c r="AQ165" s="287" cm="1">
        <f t="array" aca="1" ref="AQ165" ca="1">INDIRECT("'"&amp;$C165&amp;"'!"&amp;"$"&amp;$D165&amp;$AQ$1&amp;"")</f>
        <v>0</v>
      </c>
      <c r="AR165" s="288" t="s">
        <v>1</v>
      </c>
      <c r="AS165" s="286" t="s">
        <v>1</v>
      </c>
      <c r="AT165" s="285">
        <v>13.82</v>
      </c>
      <c r="AU165" s="289">
        <v>70.5</v>
      </c>
      <c r="AV165" s="288" cm="1">
        <f t="array" aca="1" ref="AV165" ca="1">INDIRECT("'"&amp;$C165&amp;"'!"&amp;"$"&amp;$D165&amp;$AV$1&amp;"")</f>
        <v>0</v>
      </c>
      <c r="AW165" s="287" t="s">
        <v>1</v>
      </c>
      <c r="AX165" s="288" t="s">
        <v>1</v>
      </c>
      <c r="AY165" s="286" t="s">
        <v>1</v>
      </c>
      <c r="AZ165" s="288" cm="1">
        <f t="array" aca="1" ref="AZ165" ca="1">INDIRECT("'"&amp;$C165&amp;"'!"&amp;"$"&amp;$D165&amp;$AZ$1&amp;"")</f>
        <v>7</v>
      </c>
      <c r="BA165" s="287" t="s">
        <v>1</v>
      </c>
      <c r="BB165" s="288">
        <v>0.98</v>
      </c>
      <c r="BC165" s="286">
        <v>1.36</v>
      </c>
      <c r="BD165" s="290">
        <v>14.05</v>
      </c>
      <c r="BE165" s="289">
        <v>71.180000000000007</v>
      </c>
      <c r="BF165" s="290" cm="1">
        <f t="array" aca="1" ref="BF165" ca="1">INDIRECT("'"&amp;$C165&amp;"'!"&amp;"$"&amp;$D165&amp;$BF$1&amp;"")</f>
        <v>14.29</v>
      </c>
      <c r="BG165" s="288">
        <v>0.99</v>
      </c>
      <c r="BH165" s="286">
        <v>2.2999999999999998</v>
      </c>
      <c r="BI165" s="525">
        <v>68.3</v>
      </c>
      <c r="BJ165" s="285" cm="1">
        <f t="array" aca="1" ref="BJ165" ca="1">INDIRECT("'"&amp;$C165&amp;"'!"&amp;"$"&amp;$D165&amp;$BI$1&amp;"")</f>
        <v>2.09</v>
      </c>
      <c r="BK165" s="287">
        <v>0.95</v>
      </c>
      <c r="BL165" s="286">
        <v>0.68</v>
      </c>
      <c r="BM165" s="290" cm="1">
        <f t="array" aca="1" ref="BM165" ca="1">INDIRECT("'"&amp;$C165&amp;"'!"&amp;"$"&amp;$D165&amp;$BM$1&amp;"")</f>
        <v>1.34</v>
      </c>
      <c r="BN165" s="288"/>
      <c r="BO165" s="288">
        <v>0.99</v>
      </c>
      <c r="BP165" s="286">
        <v>0.18</v>
      </c>
      <c r="BQ165" s="291" cm="1">
        <f t="array" aca="1" ref="BQ165" ca="1">INDIRECT("'"&amp;$C165&amp;"'!"&amp;"$"&amp;$D165&amp;$BQ$1&amp;"")</f>
        <v>0.77</v>
      </c>
      <c r="BR165" s="288"/>
      <c r="BS165" s="288">
        <v>0.96</v>
      </c>
      <c r="BT165" s="286">
        <v>0.2</v>
      </c>
      <c r="BU165" s="291" cm="1">
        <f t="array" aca="1" ref="BU165" ca="1">INDIRECT("'"&amp;$C165&amp;"'!"&amp;"$"&amp;$D165&amp;74&amp;"")</f>
        <v>0</v>
      </c>
      <c r="BV165" s="288"/>
      <c r="BW165" s="288" t="s">
        <v>1</v>
      </c>
      <c r="BX165" s="286" t="s">
        <v>1</v>
      </c>
    </row>
    <row r="166" spans="1:76">
      <c r="A166" s="459">
        <v>45845</v>
      </c>
      <c r="B166" s="345">
        <v>0.45833333333333398</v>
      </c>
      <c r="C166" s="305">
        <v>7</v>
      </c>
      <c r="D166" s="306" t="s">
        <v>153</v>
      </c>
      <c r="E166" s="278">
        <v>14.3</v>
      </c>
      <c r="F166" s="279">
        <v>69.38</v>
      </c>
      <c r="G166" s="280" t="str" cm="1">
        <f t="array" aca="1" ref="G166" ca="1">INDIRECT("'"&amp;$C166&amp;"'!"&amp;"$"&amp;$D166&amp;$E$1&amp;"")</f>
        <v>CMS</v>
      </c>
      <c r="H166" s="281" t="s">
        <v>1</v>
      </c>
      <c r="I166" s="279" t="s">
        <v>1</v>
      </c>
      <c r="J166" s="280" cm="1">
        <f t="array" aca="1" ref="J166" ca="1">INDIRECT("'"&amp;$C166&amp;"'!"&amp;"$"&amp;$D166&amp;$J$1&amp;"")</f>
        <v>6.8</v>
      </c>
      <c r="K166" s="281"/>
      <c r="L166" s="281">
        <v>0.92</v>
      </c>
      <c r="M166" s="282">
        <v>2.86</v>
      </c>
      <c r="N166" s="278" cm="1">
        <f t="array" aca="1" ref="N166" ca="1">INDIRECT("'"&amp;$C166&amp;"'!"&amp;"$"&amp;$D166&amp;$N$1&amp;"")</f>
        <v>6.8</v>
      </c>
      <c r="O166" s="281"/>
      <c r="P166" s="281">
        <v>0.92</v>
      </c>
      <c r="Q166" s="279">
        <v>2.86</v>
      </c>
      <c r="R166" s="468" cm="1">
        <f t="array" aca="1" ref="R166" ca="1">INDIRECT("'"&amp;$C166&amp;"'!"&amp;"$"&amp;$D166&amp;$R$1&amp;"")</f>
        <v>6.8</v>
      </c>
      <c r="S166" s="281"/>
      <c r="T166" s="281">
        <v>0.92</v>
      </c>
      <c r="U166" s="279">
        <v>2.86</v>
      </c>
      <c r="V166" s="280" cm="1">
        <f t="array" aca="1" ref="V166" ca="1">INDIRECT("'"&amp;$C166&amp;"'!"&amp;"$"&amp;$D166&amp;$V$1&amp;"")</f>
        <v>1.6</v>
      </c>
      <c r="W166" s="281">
        <f>3.8*3.5</f>
        <v>13.299999999999999</v>
      </c>
      <c r="X166" s="281">
        <v>0.94</v>
      </c>
      <c r="Y166" s="282">
        <v>0.80100000000000005</v>
      </c>
      <c r="Z166" s="278" cm="1">
        <f t="array" aca="1" ref="Z166" ca="1">INDIRECT("'"&amp;$C166&amp;"'!"&amp;"$"&amp;$D166&amp;$Z$1&amp;"")</f>
        <v>3</v>
      </c>
      <c r="AA166" s="281">
        <f>3.8*3.5</f>
        <v>13.299999999999999</v>
      </c>
      <c r="AB166" s="281">
        <v>0.94</v>
      </c>
      <c r="AC166" s="279">
        <v>1.2</v>
      </c>
      <c r="AD166" s="280" cm="1">
        <f t="array" aca="1" ref="AD166" ca="1">INDIRECT("'"&amp;$C166&amp;"'!"&amp;"$"&amp;$D166&amp;$AD$1&amp;"")</f>
        <v>2</v>
      </c>
      <c r="AE166" s="281">
        <f>3.8*3.5</f>
        <v>13.299999999999999</v>
      </c>
      <c r="AF166" s="281">
        <v>0.94</v>
      </c>
      <c r="AG166" s="282">
        <v>1.0900000000000001</v>
      </c>
      <c r="AH166" s="278" cm="1">
        <f t="array" aca="1" ref="AH166" ca="1">INDIRECT("'"&amp;$C166&amp;"'!"&amp;"$"&amp;$D166&amp;$AH$1&amp;"")</f>
        <v>3.8</v>
      </c>
      <c r="AI166" s="281">
        <v>13.88</v>
      </c>
      <c r="AJ166" s="281">
        <v>0.99</v>
      </c>
      <c r="AK166" s="279">
        <v>0.214</v>
      </c>
      <c r="AL166" s="278">
        <v>11.6</v>
      </c>
      <c r="AM166" s="282">
        <v>70.5</v>
      </c>
      <c r="AN166" s="278" cm="1">
        <f t="array" aca="1" ref="AN166" ca="1">INDIRECT("'"&amp;$C166&amp;"'!"&amp;"$"&amp;$D166&amp;$AL$1&amp;"")</f>
        <v>3.8</v>
      </c>
      <c r="AO166" s="281">
        <v>0.97</v>
      </c>
      <c r="AP166" s="279">
        <v>0.84</v>
      </c>
      <c r="AQ166" s="280" cm="1">
        <f t="array" aca="1" ref="AQ166" ca="1">INDIRECT("'"&amp;$C166&amp;"'!"&amp;"$"&amp;$D166&amp;$AQ$1&amp;"")</f>
        <v>0</v>
      </c>
      <c r="AR166" s="281" t="s">
        <v>1</v>
      </c>
      <c r="AS166" s="279" t="s">
        <v>1</v>
      </c>
      <c r="AT166" s="278">
        <v>13.92</v>
      </c>
      <c r="AU166" s="282">
        <v>70.8</v>
      </c>
      <c r="AV166" s="281" cm="1">
        <f t="array" aca="1" ref="AV166" ca="1">INDIRECT("'"&amp;$C166&amp;"'!"&amp;"$"&amp;$D166&amp;$AV$1&amp;"")</f>
        <v>0</v>
      </c>
      <c r="AW166" s="280" t="s">
        <v>1</v>
      </c>
      <c r="AX166" s="281" t="s">
        <v>1</v>
      </c>
      <c r="AY166" s="279" t="s">
        <v>1</v>
      </c>
      <c r="AZ166" s="281" cm="1">
        <f t="array" aca="1" ref="AZ166" ca="1">INDIRECT("'"&amp;$C166&amp;"'!"&amp;"$"&amp;$D166&amp;$AZ$1&amp;"")</f>
        <v>7</v>
      </c>
      <c r="BA166" s="280" t="s">
        <v>1</v>
      </c>
      <c r="BB166" s="281">
        <v>0.95</v>
      </c>
      <c r="BC166" s="279">
        <v>2.42</v>
      </c>
      <c r="BD166" s="283">
        <v>14.05</v>
      </c>
      <c r="BE166" s="282">
        <v>71.13</v>
      </c>
      <c r="BF166" s="283" cm="1">
        <f t="array" aca="1" ref="BF166" ca="1">INDIRECT("'"&amp;$C166&amp;"'!"&amp;"$"&amp;$D166&amp;$BF$1&amp;"")</f>
        <v>14.31</v>
      </c>
      <c r="BG166" s="281">
        <v>0.99</v>
      </c>
      <c r="BH166" s="279">
        <v>2.4</v>
      </c>
      <c r="BI166" s="524">
        <v>68.2</v>
      </c>
      <c r="BJ166" s="278" cm="1">
        <f t="array" aca="1" ref="BJ166" ca="1">INDIRECT("'"&amp;$C166&amp;"'!"&amp;"$"&amp;$D166&amp;$BI$1&amp;"")</f>
        <v>1.5</v>
      </c>
      <c r="BK166" s="280">
        <v>0.95</v>
      </c>
      <c r="BL166" s="279">
        <v>0.49</v>
      </c>
      <c r="BM166" s="283" cm="1">
        <f t="array" aca="1" ref="BM166" ca="1">INDIRECT("'"&amp;$C166&amp;"'!"&amp;"$"&amp;$D166&amp;$BM$1&amp;"")</f>
        <v>1.41</v>
      </c>
      <c r="BN166" s="281"/>
      <c r="BO166" s="281">
        <v>0.99</v>
      </c>
      <c r="BP166" s="279">
        <v>0.17</v>
      </c>
      <c r="BQ166" s="284" cm="1">
        <f t="array" aca="1" ref="BQ166" ca="1">INDIRECT("'"&amp;$C166&amp;"'!"&amp;"$"&amp;$D166&amp;$BQ$1&amp;"")</f>
        <v>0.75</v>
      </c>
      <c r="BR166" s="281"/>
      <c r="BS166" s="281">
        <v>0.96</v>
      </c>
      <c r="BT166" s="279">
        <v>0.2</v>
      </c>
      <c r="BU166" s="284" cm="1">
        <f t="array" aca="1" ref="BU166" ca="1">INDIRECT("'"&amp;$C166&amp;"'!"&amp;"$"&amp;$D166&amp;74&amp;"")</f>
        <v>0</v>
      </c>
      <c r="BV166" s="281"/>
      <c r="BW166" s="281" t="s">
        <v>1</v>
      </c>
      <c r="BX166" s="279" t="s">
        <v>1</v>
      </c>
    </row>
    <row r="167" spans="1:76">
      <c r="A167" s="459">
        <v>45845</v>
      </c>
      <c r="B167" s="345">
        <v>0.5</v>
      </c>
      <c r="C167" s="305">
        <v>7</v>
      </c>
      <c r="D167" s="306" t="s">
        <v>154</v>
      </c>
      <c r="E167" s="285">
        <v>14.2</v>
      </c>
      <c r="F167" s="286">
        <v>69.180000000000007</v>
      </c>
      <c r="G167" s="287" t="str" cm="1">
        <f t="array" aca="1" ref="G167" ca="1">INDIRECT("'"&amp;$C167&amp;"'!"&amp;"$"&amp;$D167&amp;$E$1&amp;"")</f>
        <v>CMS</v>
      </c>
      <c r="H167" s="288" t="s">
        <v>1</v>
      </c>
      <c r="I167" s="286" t="s">
        <v>1</v>
      </c>
      <c r="J167" s="287" cm="1">
        <f t="array" aca="1" ref="J167" ca="1">INDIRECT("'"&amp;$C167&amp;"'!"&amp;"$"&amp;$D167&amp;$J$1&amp;"")</f>
        <v>6.7</v>
      </c>
      <c r="K167" s="288"/>
      <c r="L167" s="288">
        <v>0.92</v>
      </c>
      <c r="M167" s="289">
        <v>2.73</v>
      </c>
      <c r="N167" s="285" cm="1">
        <f t="array" aca="1" ref="N167" ca="1">INDIRECT("'"&amp;$C167&amp;"'!"&amp;"$"&amp;$D167&amp;$N$1&amp;"")</f>
        <v>6.7</v>
      </c>
      <c r="O167" s="288"/>
      <c r="P167" s="288">
        <v>0.92</v>
      </c>
      <c r="Q167" s="289">
        <v>2.73</v>
      </c>
      <c r="R167" s="285" cm="1">
        <f t="array" aca="1" ref="R167" ca="1">INDIRECT("'"&amp;$C167&amp;"'!"&amp;"$"&amp;$D167&amp;$R$1&amp;"")</f>
        <v>6.7</v>
      </c>
      <c r="S167" s="288"/>
      <c r="T167" s="288">
        <v>0.92</v>
      </c>
      <c r="U167" s="286">
        <v>2.73</v>
      </c>
      <c r="V167" s="287" cm="1">
        <f t="array" aca="1" ref="V167" ca="1">INDIRECT("'"&amp;$C167&amp;"'!"&amp;"$"&amp;$D167&amp;$V$1&amp;"")</f>
        <v>1.6</v>
      </c>
      <c r="W167" s="288">
        <f>3.8*3.49</f>
        <v>13.262</v>
      </c>
      <c r="X167" s="288">
        <v>0.94</v>
      </c>
      <c r="Y167" s="289">
        <v>0.78900000000000003</v>
      </c>
      <c r="Z167" s="285" cm="1">
        <f t="array" aca="1" ref="Z167" ca="1">INDIRECT("'"&amp;$C167&amp;"'!"&amp;"$"&amp;$D167&amp;$Z$1&amp;"")</f>
        <v>3</v>
      </c>
      <c r="AA167" s="288">
        <f>3.8*3.49</f>
        <v>13.262</v>
      </c>
      <c r="AB167" s="288">
        <v>0.93</v>
      </c>
      <c r="AC167" s="286">
        <v>1.18</v>
      </c>
      <c r="AD167" s="287" cm="1">
        <f t="array" aca="1" ref="AD167" ca="1">INDIRECT("'"&amp;$C167&amp;"'!"&amp;"$"&amp;$D167&amp;$AD$1&amp;"")</f>
        <v>2</v>
      </c>
      <c r="AE167" s="288">
        <f>3.8*3.49</f>
        <v>13.262</v>
      </c>
      <c r="AF167" s="288">
        <v>0.94</v>
      </c>
      <c r="AG167" s="289">
        <v>1.1599999999999999</v>
      </c>
      <c r="AH167" s="285" cm="1">
        <f t="array" aca="1" ref="AH167" ca="1">INDIRECT("'"&amp;$C167&amp;"'!"&amp;"$"&amp;$D167&amp;$AH$1&amp;"")</f>
        <v>3.8</v>
      </c>
      <c r="AI167" s="288">
        <v>13.96</v>
      </c>
      <c r="AJ167" s="288">
        <v>0.95</v>
      </c>
      <c r="AK167" s="286">
        <v>0.50600000000000001</v>
      </c>
      <c r="AL167" s="285">
        <v>11.5</v>
      </c>
      <c r="AM167" s="289">
        <v>70.5</v>
      </c>
      <c r="AN167" s="285" cm="1">
        <f t="array" aca="1" ref="AN167" ca="1">INDIRECT("'"&amp;$C167&amp;"'!"&amp;"$"&amp;$D167&amp;$AL$1&amp;"")</f>
        <v>0</v>
      </c>
      <c r="AO167" s="288" t="s">
        <v>1</v>
      </c>
      <c r="AP167" s="286" t="s">
        <v>1</v>
      </c>
      <c r="AQ167" s="287" cm="1">
        <f t="array" aca="1" ref="AQ167" ca="1">INDIRECT("'"&amp;$C167&amp;"'!"&amp;"$"&amp;$D167&amp;$AQ$1&amp;"")</f>
        <v>3.8</v>
      </c>
      <c r="AR167" s="288">
        <v>0.98</v>
      </c>
      <c r="AS167" s="286">
        <v>0.59</v>
      </c>
      <c r="AT167" s="285">
        <v>13.92</v>
      </c>
      <c r="AU167" s="289">
        <v>70.8</v>
      </c>
      <c r="AV167" s="288" cm="1">
        <f t="array" aca="1" ref="AV167" ca="1">INDIRECT("'"&amp;$C167&amp;"'!"&amp;"$"&amp;$D167&amp;$AV$1&amp;"")</f>
        <v>0</v>
      </c>
      <c r="AW167" s="287" t="s">
        <v>1</v>
      </c>
      <c r="AX167" s="288" t="s">
        <v>1</v>
      </c>
      <c r="AY167" s="286" t="s">
        <v>1</v>
      </c>
      <c r="AZ167" s="288" cm="1">
        <f t="array" aca="1" ref="AZ167" ca="1">INDIRECT("'"&amp;$C167&amp;"'!"&amp;"$"&amp;$D167&amp;$AZ$1&amp;"")</f>
        <v>7</v>
      </c>
      <c r="BA167" s="287" t="s">
        <v>1</v>
      </c>
      <c r="BB167" s="288">
        <v>0.95</v>
      </c>
      <c r="BC167" s="286">
        <v>2.31</v>
      </c>
      <c r="BD167" s="290">
        <v>14.11</v>
      </c>
      <c r="BE167" s="289">
        <v>71.27</v>
      </c>
      <c r="BF167" s="290" cm="1">
        <f t="array" aca="1" ref="BF167" ca="1">INDIRECT("'"&amp;$C167&amp;"'!"&amp;"$"&amp;$D167&amp;$BF$1&amp;"")</f>
        <v>14.31</v>
      </c>
      <c r="BG167" s="288">
        <v>0.99</v>
      </c>
      <c r="BH167" s="286">
        <v>2.4</v>
      </c>
      <c r="BI167" s="525">
        <v>68.099999999999994</v>
      </c>
      <c r="BJ167" s="285" cm="1">
        <f t="array" aca="1" ref="BJ167" ca="1">INDIRECT("'"&amp;$C167&amp;"'!"&amp;"$"&amp;$D167&amp;$BI$1&amp;"")</f>
        <v>2.94</v>
      </c>
      <c r="BK167" s="287">
        <v>0.95</v>
      </c>
      <c r="BL167" s="286">
        <v>0.96</v>
      </c>
      <c r="BM167" s="290" cm="1">
        <f t="array" aca="1" ref="BM167" ca="1">INDIRECT("'"&amp;$C167&amp;"'!"&amp;"$"&amp;$D167&amp;$BM$1&amp;"")</f>
        <v>1.4</v>
      </c>
      <c r="BN167" s="288"/>
      <c r="BO167" s="288">
        <v>0.99</v>
      </c>
      <c r="BP167" s="286">
        <v>0.17</v>
      </c>
      <c r="BQ167" s="291" cm="1">
        <f t="array" aca="1" ref="BQ167" ca="1">INDIRECT("'"&amp;$C167&amp;"'!"&amp;"$"&amp;$D167&amp;$BQ$1&amp;"")</f>
        <v>0.74</v>
      </c>
      <c r="BR167" s="288"/>
      <c r="BS167" s="288">
        <v>0.96</v>
      </c>
      <c r="BT167" s="286">
        <v>0.2</v>
      </c>
      <c r="BU167" s="291" cm="1">
        <f t="array" aca="1" ref="BU167" ca="1">INDIRECT("'"&amp;$C167&amp;"'!"&amp;"$"&amp;$D167&amp;74&amp;"")</f>
        <v>0</v>
      </c>
      <c r="BV167" s="288"/>
      <c r="BW167" s="288" t="s">
        <v>1</v>
      </c>
      <c r="BX167" s="286" t="s">
        <v>1</v>
      </c>
    </row>
    <row r="168" spans="1:76">
      <c r="A168" s="459">
        <v>45845</v>
      </c>
      <c r="B168" s="345">
        <v>0.54166666666666696</v>
      </c>
      <c r="C168" s="305">
        <v>7</v>
      </c>
      <c r="D168" s="306" t="s">
        <v>155</v>
      </c>
      <c r="E168" s="278">
        <v>14.2</v>
      </c>
      <c r="F168" s="279">
        <v>68.739999999999995</v>
      </c>
      <c r="G168" s="280" t="str" cm="1">
        <f t="array" aca="1" ref="G168" ca="1">INDIRECT("'"&amp;$C168&amp;"'!"&amp;"$"&amp;$D168&amp;$E$1&amp;"")</f>
        <v>CMS</v>
      </c>
      <c r="H168" s="281" t="s">
        <v>1</v>
      </c>
      <c r="I168" s="279" t="s">
        <v>1</v>
      </c>
      <c r="J168" s="280" cm="1">
        <f t="array" aca="1" ref="J168" ca="1">INDIRECT("'"&amp;$C168&amp;"'!"&amp;"$"&amp;$D168&amp;$J$1&amp;"")</f>
        <v>6.6</v>
      </c>
      <c r="K168" s="281"/>
      <c r="L168" s="281">
        <v>0.92</v>
      </c>
      <c r="M168" s="279">
        <v>2.97</v>
      </c>
      <c r="N168" s="278" cm="1">
        <f t="array" aca="1" ref="N168" ca="1">INDIRECT("'"&amp;$C168&amp;"'!"&amp;"$"&amp;$D168&amp;$N$1&amp;"")</f>
        <v>6.7</v>
      </c>
      <c r="O168" s="281"/>
      <c r="P168" s="281">
        <v>0.92</v>
      </c>
      <c r="Q168" s="279">
        <v>2.97</v>
      </c>
      <c r="R168" s="468" cm="1">
        <f t="array" aca="1" ref="R168" ca="1">INDIRECT("'"&amp;$C168&amp;"'!"&amp;"$"&amp;$D168&amp;$R$1&amp;"")</f>
        <v>6.7</v>
      </c>
      <c r="S168" s="281"/>
      <c r="T168" s="281">
        <v>0.92</v>
      </c>
      <c r="U168" s="279">
        <v>2.97</v>
      </c>
      <c r="V168" s="280" cm="1">
        <f t="array" aca="1" ref="V168" ca="1">INDIRECT("'"&amp;$C168&amp;"'!"&amp;"$"&amp;$D168&amp;$V$1&amp;"")</f>
        <v>2.8</v>
      </c>
      <c r="W168" s="281">
        <f>3.8*3.49</f>
        <v>13.262</v>
      </c>
      <c r="X168" s="281">
        <v>0.92</v>
      </c>
      <c r="Y168" s="282">
        <v>1.1200000000000001</v>
      </c>
      <c r="Z168" s="278" t="str" cm="1">
        <f t="array" aca="1" ref="Z168" ca="1">INDIRECT("'"&amp;$C168&amp;"'!"&amp;"$"&amp;$D168&amp;$Z$1&amp;"")</f>
        <v>CMS</v>
      </c>
      <c r="AA168" s="281" t="s">
        <v>1</v>
      </c>
      <c r="AB168" s="281" t="s">
        <v>1</v>
      </c>
      <c r="AC168" s="279" t="s">
        <v>1</v>
      </c>
      <c r="AD168" s="280" cm="1">
        <f t="array" aca="1" ref="AD168" ca="1">INDIRECT("'"&amp;$C168&amp;"'!"&amp;"$"&amp;$D168&amp;$AD$1&amp;"")</f>
        <v>3.8</v>
      </c>
      <c r="AE168" s="281">
        <f>3.49*3.8</f>
        <v>13.262</v>
      </c>
      <c r="AF168" s="281">
        <v>0.92</v>
      </c>
      <c r="AG168" s="282">
        <v>1.44</v>
      </c>
      <c r="AH168" s="278" cm="1">
        <f t="array" aca="1" ref="AH168" ca="1">INDIRECT("'"&amp;$C168&amp;"'!"&amp;"$"&amp;$D168&amp;$AH$1&amp;"")</f>
        <v>3.8</v>
      </c>
      <c r="AI168" s="281">
        <v>13.96</v>
      </c>
      <c r="AJ168" s="281">
        <v>0.98</v>
      </c>
      <c r="AK168" s="279">
        <v>0.48899999999999999</v>
      </c>
      <c r="AL168" s="278">
        <v>11.6</v>
      </c>
      <c r="AM168" s="282">
        <v>70.400000000000006</v>
      </c>
      <c r="AN168" s="278" cm="1">
        <f t="array" aca="1" ref="AN168" ca="1">INDIRECT("'"&amp;$C168&amp;"'!"&amp;"$"&amp;$D168&amp;$AL$1&amp;"")</f>
        <v>3.5</v>
      </c>
      <c r="AO168" s="281">
        <v>0.98</v>
      </c>
      <c r="AP168" s="279">
        <v>0.74</v>
      </c>
      <c r="AQ168" s="280" cm="1">
        <f t="array" aca="1" ref="AQ168" ca="1">INDIRECT("'"&amp;$C168&amp;"'!"&amp;"$"&amp;$D168&amp;$AQ$1&amp;"")</f>
        <v>3.5</v>
      </c>
      <c r="AR168" s="281">
        <v>0.98</v>
      </c>
      <c r="AS168" s="279">
        <v>0.55000000000000004</v>
      </c>
      <c r="AT168" s="278">
        <v>13.91</v>
      </c>
      <c r="AU168" s="282">
        <v>70.8</v>
      </c>
      <c r="AV168" s="281" cm="1">
        <f t="array" aca="1" ref="AV168" ca="1">INDIRECT("'"&amp;$C168&amp;"'!"&amp;"$"&amp;$D168&amp;$AV$1&amp;"")</f>
        <v>3.2</v>
      </c>
      <c r="AW168" s="280">
        <v>13.7</v>
      </c>
      <c r="AX168" s="281">
        <v>0.98</v>
      </c>
      <c r="AY168" s="279">
        <v>0.63</v>
      </c>
      <c r="AZ168" s="281" cm="1">
        <f t="array" aca="1" ref="AZ168" ca="1">INDIRECT("'"&amp;$C168&amp;"'!"&amp;"$"&amp;$D168&amp;$AZ$1&amp;"")</f>
        <v>7</v>
      </c>
      <c r="BA168" s="280">
        <v>13.7</v>
      </c>
      <c r="BB168" s="281">
        <v>0.97</v>
      </c>
      <c r="BC168" s="279">
        <v>1.91</v>
      </c>
      <c r="BD168" s="283">
        <v>14.06</v>
      </c>
      <c r="BE168" s="282">
        <v>71.150000000000006</v>
      </c>
      <c r="BF168" s="283" cm="1">
        <f t="array" aca="1" ref="BF168" ca="1">INDIRECT("'"&amp;$C168&amp;"'!"&amp;"$"&amp;$D168&amp;$BF$1&amp;"")</f>
        <v>12.3</v>
      </c>
      <c r="BG168" s="281">
        <v>0.99</v>
      </c>
      <c r="BH168" s="279">
        <v>2.1</v>
      </c>
      <c r="BI168" s="524">
        <v>67.7</v>
      </c>
      <c r="BJ168" s="278" cm="1">
        <f t="array" aca="1" ref="BJ168" ca="1">INDIRECT("'"&amp;$C168&amp;"'!"&amp;"$"&amp;$D168&amp;$BI$1&amp;"")</f>
        <v>0.8</v>
      </c>
      <c r="BK168" s="280">
        <v>0.95</v>
      </c>
      <c r="BL168" s="279">
        <v>0.26</v>
      </c>
      <c r="BM168" s="283" cm="1">
        <f t="array" aca="1" ref="BM168" ca="1">INDIRECT("'"&amp;$C168&amp;"'!"&amp;"$"&amp;$D168&amp;$BM$1&amp;"")</f>
        <v>1.41</v>
      </c>
      <c r="BN168" s="281"/>
      <c r="BO168" s="281">
        <v>0.99</v>
      </c>
      <c r="BP168" s="279">
        <v>0.18</v>
      </c>
      <c r="BQ168" s="284" cm="1">
        <f t="array" aca="1" ref="BQ168" ca="1">INDIRECT("'"&amp;$C168&amp;"'!"&amp;"$"&amp;$D168&amp;$BQ$1&amp;"")</f>
        <v>0.75</v>
      </c>
      <c r="BR168" s="281"/>
      <c r="BS168" s="281">
        <v>0.96</v>
      </c>
      <c r="BT168" s="279">
        <v>0.2</v>
      </c>
      <c r="BU168" s="284" cm="1">
        <f t="array" aca="1" ref="BU168" ca="1">INDIRECT("'"&amp;$C168&amp;"'!"&amp;"$"&amp;$D168&amp;74&amp;"")</f>
        <v>0</v>
      </c>
      <c r="BV168" s="281"/>
      <c r="BW168" s="281" t="s">
        <v>1</v>
      </c>
      <c r="BX168" s="279" t="s">
        <v>1</v>
      </c>
    </row>
    <row r="169" spans="1:76">
      <c r="A169" s="459">
        <v>45845</v>
      </c>
      <c r="B169" s="345">
        <v>0.58333333333333404</v>
      </c>
      <c r="C169" s="305">
        <v>7</v>
      </c>
      <c r="D169" s="306" t="s">
        <v>156</v>
      </c>
      <c r="E169" s="285">
        <v>14.2</v>
      </c>
      <c r="F169" s="286">
        <v>69.010000000000005</v>
      </c>
      <c r="G169" s="287" t="str" cm="1">
        <f t="array" aca="1" ref="G169" ca="1">INDIRECT("'"&amp;$C169&amp;"'!"&amp;"$"&amp;$D169&amp;$E$1&amp;"")</f>
        <v>CMS</v>
      </c>
      <c r="H169" s="288" t="s">
        <v>1</v>
      </c>
      <c r="I169" s="286" t="s">
        <v>1</v>
      </c>
      <c r="J169" s="287" cm="1">
        <f t="array" aca="1" ref="J169" ca="1">INDIRECT("'"&amp;$C169&amp;"'!"&amp;"$"&amp;$D169&amp;$J$1&amp;"")</f>
        <v>6.4</v>
      </c>
      <c r="K169" s="288"/>
      <c r="L169" s="288">
        <v>0.92</v>
      </c>
      <c r="M169" s="289">
        <v>2.77</v>
      </c>
      <c r="N169" s="285" cm="1">
        <f t="array" aca="1" ref="N169" ca="1">INDIRECT("'"&amp;$C169&amp;"'!"&amp;"$"&amp;$D169&amp;$N$1&amp;"")</f>
        <v>6.4</v>
      </c>
      <c r="O169" s="288"/>
      <c r="P169" s="288">
        <v>0.92</v>
      </c>
      <c r="Q169" s="286">
        <v>2.77</v>
      </c>
      <c r="R169" s="285" cm="1">
        <f t="array" aca="1" ref="R169" ca="1">INDIRECT("'"&amp;$C169&amp;"'!"&amp;"$"&amp;$D169&amp;$R$1&amp;"")</f>
        <v>6.4</v>
      </c>
      <c r="S169" s="288"/>
      <c r="T169" s="288">
        <v>0.92</v>
      </c>
      <c r="U169" s="286">
        <v>2.77</v>
      </c>
      <c r="V169" s="287" cm="1">
        <f t="array" aca="1" ref="V169" ca="1">INDIRECT("'"&amp;$C169&amp;"'!"&amp;"$"&amp;$D169&amp;$V$1&amp;"")</f>
        <v>2.8</v>
      </c>
      <c r="W169" s="288">
        <f>3.8*3.51</f>
        <v>13.337999999999999</v>
      </c>
      <c r="X169" s="288">
        <v>0.92</v>
      </c>
      <c r="Y169" s="289">
        <v>1.1000000000000001</v>
      </c>
      <c r="Z169" s="285" t="str" cm="1">
        <f t="array" aca="1" ref="Z169" ca="1">INDIRECT("'"&amp;$C169&amp;"'!"&amp;"$"&amp;$D169&amp;$Z$1&amp;"")</f>
        <v>CMS</v>
      </c>
      <c r="AA169" s="288" t="s">
        <v>1</v>
      </c>
      <c r="AB169" s="288" t="s">
        <v>1</v>
      </c>
      <c r="AC169" s="286" t="s">
        <v>1</v>
      </c>
      <c r="AD169" s="287" cm="1">
        <f t="array" aca="1" ref="AD169" ca="1">INDIRECT("'"&amp;$C169&amp;"'!"&amp;"$"&amp;$D169&amp;$AD$1&amp;"")</f>
        <v>3.8</v>
      </c>
      <c r="AE169" s="288">
        <v>13.34</v>
      </c>
      <c r="AF169" s="288">
        <v>0.92</v>
      </c>
      <c r="AG169" s="289">
        <v>1.35</v>
      </c>
      <c r="AH169" s="285" cm="1">
        <f t="array" aca="1" ref="AH169" ca="1">INDIRECT("'"&amp;$C169&amp;"'!"&amp;"$"&amp;$D169&amp;$AH$1&amp;"")</f>
        <v>3.8</v>
      </c>
      <c r="AI169" s="288">
        <v>14</v>
      </c>
      <c r="AJ169" s="288">
        <v>0.97</v>
      </c>
      <c r="AK169" s="286">
        <v>0.61199999999999999</v>
      </c>
      <c r="AL169" s="285">
        <v>11.7</v>
      </c>
      <c r="AM169" s="289">
        <v>70.900000000000006</v>
      </c>
      <c r="AN169" s="285" cm="1">
        <f t="array" aca="1" ref="AN169" ca="1">INDIRECT("'"&amp;$C169&amp;"'!"&amp;"$"&amp;$D169&amp;$AL$1&amp;"")</f>
        <v>3.6</v>
      </c>
      <c r="AO169" s="288">
        <v>0.97</v>
      </c>
      <c r="AP169" s="286">
        <v>0.72</v>
      </c>
      <c r="AQ169" s="287" cm="1">
        <f t="array" aca="1" ref="AQ169" ca="1">INDIRECT("'"&amp;$C169&amp;"'!"&amp;"$"&amp;$D169&amp;$AQ$1&amp;"")</f>
        <v>3.6</v>
      </c>
      <c r="AR169" s="288">
        <v>0.97</v>
      </c>
      <c r="AS169" s="286">
        <v>0.68</v>
      </c>
      <c r="AT169" s="285">
        <v>13.96</v>
      </c>
      <c r="AU169" s="289">
        <v>70.8</v>
      </c>
      <c r="AV169" s="288" cm="1">
        <f t="array" aca="1" ref="AV169" ca="1">INDIRECT("'"&amp;$C169&amp;"'!"&amp;"$"&amp;$D169&amp;$AV$1&amp;"")</f>
        <v>3.5</v>
      </c>
      <c r="AW169" s="287">
        <v>13.7</v>
      </c>
      <c r="AX169" s="288">
        <v>0.98</v>
      </c>
      <c r="AY169" s="286">
        <v>1.3</v>
      </c>
      <c r="AZ169" s="288" cm="1">
        <f t="array" aca="1" ref="AZ169" ca="1">INDIRECT("'"&amp;$C169&amp;"'!"&amp;"$"&amp;$D169&amp;$AZ$1&amp;"")</f>
        <v>7</v>
      </c>
      <c r="BA169" s="287">
        <v>13.7</v>
      </c>
      <c r="BB169" s="288">
        <v>0.98</v>
      </c>
      <c r="BC169" s="286">
        <v>1.43</v>
      </c>
      <c r="BD169" s="290">
        <v>14.11</v>
      </c>
      <c r="BE169" s="289">
        <v>71.37</v>
      </c>
      <c r="BF169" s="290" cm="1">
        <f t="array" aca="1" ref="BF169" ca="1">INDIRECT("'"&amp;$C169&amp;"'!"&amp;"$"&amp;$D169&amp;$BF$1&amp;"")</f>
        <v>10.8</v>
      </c>
      <c r="BG169" s="288">
        <v>0.98</v>
      </c>
      <c r="BH169" s="286">
        <v>2.6</v>
      </c>
      <c r="BI169" s="525">
        <v>67.8</v>
      </c>
      <c r="BJ169" s="285" cm="1">
        <f t="array" aca="1" ref="BJ169" ca="1">INDIRECT("'"&amp;$C169&amp;"'!"&amp;"$"&amp;$D169&amp;$BI$1&amp;"")</f>
        <v>0.8</v>
      </c>
      <c r="BK169" s="287">
        <v>0.95</v>
      </c>
      <c r="BL169" s="286">
        <v>0.27</v>
      </c>
      <c r="BM169" s="290" cm="1">
        <f t="array" aca="1" ref="BM169" ca="1">INDIRECT("'"&amp;$C169&amp;"'!"&amp;"$"&amp;$D169&amp;$BM$1&amp;"")</f>
        <v>1.39</v>
      </c>
      <c r="BN169" s="288"/>
      <c r="BO169" s="288">
        <v>0.99</v>
      </c>
      <c r="BP169" s="286">
        <v>0.17</v>
      </c>
      <c r="BQ169" s="291" cm="1">
        <f t="array" aca="1" ref="BQ169" ca="1">INDIRECT("'"&amp;$C169&amp;"'!"&amp;"$"&amp;$D169&amp;$BQ$1&amp;"")</f>
        <v>0.78</v>
      </c>
      <c r="BR169" s="288"/>
      <c r="BS169" s="288">
        <v>0.96</v>
      </c>
      <c r="BT169" s="286">
        <v>0.22</v>
      </c>
      <c r="BU169" s="291" cm="1">
        <f t="array" aca="1" ref="BU169" ca="1">INDIRECT("'"&amp;$C169&amp;"'!"&amp;"$"&amp;$D169&amp;74&amp;"")</f>
        <v>0</v>
      </c>
      <c r="BV169" s="288"/>
      <c r="BW169" s="288" t="s">
        <v>1</v>
      </c>
      <c r="BX169" s="286" t="s">
        <v>1</v>
      </c>
    </row>
    <row r="170" spans="1:76">
      <c r="A170" s="459">
        <v>45845</v>
      </c>
      <c r="B170" s="345">
        <v>0.625</v>
      </c>
      <c r="C170" s="305">
        <v>7</v>
      </c>
      <c r="D170" s="306" t="s">
        <v>157</v>
      </c>
      <c r="E170" s="278">
        <v>14.1</v>
      </c>
      <c r="F170" s="279">
        <v>68.849999999999994</v>
      </c>
      <c r="G170" s="280" t="str" cm="1">
        <f t="array" aca="1" ref="G170" ca="1">INDIRECT("'"&amp;$C170&amp;"'!"&amp;"$"&amp;$D170&amp;$E$1&amp;"")</f>
        <v>CMS</v>
      </c>
      <c r="H170" s="281" t="s">
        <v>1</v>
      </c>
      <c r="I170" s="279" t="s">
        <v>1</v>
      </c>
      <c r="J170" s="280" cm="1">
        <f t="array" aca="1" ref="J170" ca="1">INDIRECT("'"&amp;$C170&amp;"'!"&amp;"$"&amp;$D170&amp;$J$1&amp;"")</f>
        <v>6.5</v>
      </c>
      <c r="K170" s="281"/>
      <c r="L170" s="281">
        <v>0.92</v>
      </c>
      <c r="M170" s="282">
        <v>2.7</v>
      </c>
      <c r="N170" s="278" cm="1">
        <f t="array" aca="1" ref="N170" ca="1">INDIRECT("'"&amp;$C170&amp;"'!"&amp;"$"&amp;$D170&amp;$N$1&amp;"")</f>
        <v>6.5</v>
      </c>
      <c r="O170" s="281"/>
      <c r="P170" s="281">
        <v>0.92</v>
      </c>
      <c r="Q170" s="279">
        <v>2.7</v>
      </c>
      <c r="R170" s="468" cm="1">
        <f t="array" aca="1" ref="R170" ca="1">INDIRECT("'"&amp;$C170&amp;"'!"&amp;"$"&amp;$D170&amp;$R$1&amp;"")</f>
        <v>6.5</v>
      </c>
      <c r="S170" s="281"/>
      <c r="T170" s="281">
        <v>0.92</v>
      </c>
      <c r="U170" s="279">
        <v>2.7</v>
      </c>
      <c r="V170" s="280" cm="1">
        <f t="array" aca="1" ref="V170" ca="1">INDIRECT("'"&amp;$C170&amp;"'!"&amp;"$"&amp;$D170&amp;$V$1&amp;"")</f>
        <v>2</v>
      </c>
      <c r="W170" s="281">
        <f>3.8*3.49</f>
        <v>13.262</v>
      </c>
      <c r="X170" s="281">
        <v>0.92</v>
      </c>
      <c r="Y170" s="282">
        <v>1.04</v>
      </c>
      <c r="Z170" s="278" t="str" cm="1">
        <f t="array" aca="1" ref="Z170" ca="1">INDIRECT("'"&amp;$C170&amp;"'!"&amp;"$"&amp;$D170&amp;$Z$1&amp;"")</f>
        <v>CMS</v>
      </c>
      <c r="AA170" s="281" t="s">
        <v>1</v>
      </c>
      <c r="AB170" s="281" t="s">
        <v>1</v>
      </c>
      <c r="AC170" s="279" t="s">
        <v>1</v>
      </c>
      <c r="AD170" s="280" cm="1">
        <f t="array" aca="1" ref="AD170" ca="1">INDIRECT("'"&amp;$C170&amp;"'!"&amp;"$"&amp;$D170&amp;$AD$1&amp;"")</f>
        <v>3</v>
      </c>
      <c r="AE170" s="281">
        <v>13.26</v>
      </c>
      <c r="AF170" s="281">
        <v>0.92</v>
      </c>
      <c r="AG170" s="279">
        <v>1.38</v>
      </c>
      <c r="AH170" s="278" cm="1">
        <f t="array" aca="1" ref="AH170" ca="1">INDIRECT("'"&amp;$C170&amp;"'!"&amp;"$"&amp;$D170&amp;$AH$1&amp;"")</f>
        <v>3</v>
      </c>
      <c r="AI170" s="281">
        <v>14</v>
      </c>
      <c r="AJ170" s="281">
        <v>0.98</v>
      </c>
      <c r="AK170" s="279">
        <v>0.42599999999999999</v>
      </c>
      <c r="AL170" s="278">
        <v>11.7</v>
      </c>
      <c r="AM170" s="282">
        <v>70.7</v>
      </c>
      <c r="AN170" s="278" cm="1">
        <f t="array" aca="1" ref="AN170" ca="1">INDIRECT("'"&amp;$C170&amp;"'!"&amp;"$"&amp;$D170&amp;$AL$1&amp;"")</f>
        <v>0</v>
      </c>
      <c r="AO170" s="281" t="s">
        <v>1</v>
      </c>
      <c r="AP170" s="279" t="s">
        <v>1</v>
      </c>
      <c r="AQ170" s="280" cm="1">
        <f t="array" aca="1" ref="AQ170" ca="1">INDIRECT("'"&amp;$C170&amp;"'!"&amp;"$"&amp;$D170&amp;$AQ$1&amp;"")</f>
        <v>4</v>
      </c>
      <c r="AR170" s="281">
        <v>0.95</v>
      </c>
      <c r="AS170" s="279">
        <v>1.1000000000000001</v>
      </c>
      <c r="AT170" s="278">
        <v>13.95</v>
      </c>
      <c r="AU170" s="282">
        <v>70.8</v>
      </c>
      <c r="AV170" s="281" cm="1">
        <f t="array" aca="1" ref="AV170" ca="1">INDIRECT("'"&amp;$C170&amp;"'!"&amp;"$"&amp;$D170&amp;$AV$1&amp;"")</f>
        <v>3.1</v>
      </c>
      <c r="AW170" s="280">
        <v>13.7</v>
      </c>
      <c r="AX170" s="281">
        <v>0.97</v>
      </c>
      <c r="AY170" s="279">
        <v>0.66</v>
      </c>
      <c r="AZ170" s="281" cm="1">
        <f t="array" aca="1" ref="AZ170" ca="1">INDIRECT("'"&amp;$C170&amp;"'!"&amp;"$"&amp;$D170&amp;$AZ$1&amp;"")</f>
        <v>7</v>
      </c>
      <c r="BA170" s="280">
        <v>13.7</v>
      </c>
      <c r="BB170" s="281">
        <v>0.98</v>
      </c>
      <c r="BC170" s="279">
        <v>1.5</v>
      </c>
      <c r="BD170" s="283">
        <v>14.28</v>
      </c>
      <c r="BE170" s="282">
        <v>71.84</v>
      </c>
      <c r="BF170" s="283" cm="1">
        <f t="array" aca="1" ref="BF170" ca="1">INDIRECT("'"&amp;$C170&amp;"'!"&amp;"$"&amp;$D170&amp;$BF$1&amp;"")</f>
        <v>13.23</v>
      </c>
      <c r="BG170" s="281">
        <v>0.98</v>
      </c>
      <c r="BH170" s="279">
        <v>3.3</v>
      </c>
      <c r="BI170" s="524">
        <v>67.7</v>
      </c>
      <c r="BJ170" s="278" cm="1">
        <f t="array" aca="1" ref="BJ170" ca="1">INDIRECT("'"&amp;$C170&amp;"'!"&amp;"$"&amp;$D170&amp;$BI$1&amp;"")</f>
        <v>0</v>
      </c>
      <c r="BK170" s="280" t="s">
        <v>1</v>
      </c>
      <c r="BL170" s="279" t="s">
        <v>1</v>
      </c>
      <c r="BM170" s="283" cm="1">
        <f t="array" aca="1" ref="BM170" ca="1">INDIRECT("'"&amp;$C170&amp;"'!"&amp;"$"&amp;$D170&amp;$BM$1&amp;"")</f>
        <v>1.38</v>
      </c>
      <c r="BN170" s="281"/>
      <c r="BO170" s="281">
        <v>0.99</v>
      </c>
      <c r="BP170" s="279">
        <v>0.17</v>
      </c>
      <c r="BQ170" s="284" cm="1">
        <f t="array" aca="1" ref="BQ170" ca="1">INDIRECT("'"&amp;$C170&amp;"'!"&amp;"$"&amp;$D170&amp;$BQ$1&amp;"")</f>
        <v>0.82</v>
      </c>
      <c r="BR170" s="281"/>
      <c r="BS170" s="281">
        <v>0.96</v>
      </c>
      <c r="BT170" s="279">
        <v>0.23</v>
      </c>
      <c r="BU170" s="284" cm="1">
        <f t="array" aca="1" ref="BU170" ca="1">INDIRECT("'"&amp;$C170&amp;"'!"&amp;"$"&amp;$D170&amp;74&amp;"")</f>
        <v>0</v>
      </c>
      <c r="BV170" s="281"/>
      <c r="BW170" s="281" t="s">
        <v>1</v>
      </c>
      <c r="BX170" s="279" t="s">
        <v>1</v>
      </c>
    </row>
    <row r="171" spans="1:76">
      <c r="A171" s="459">
        <v>45845</v>
      </c>
      <c r="B171" s="345">
        <v>0.66666666666666696</v>
      </c>
      <c r="C171" s="305">
        <v>7</v>
      </c>
      <c r="D171" s="306" t="s">
        <v>158</v>
      </c>
      <c r="E171" s="285">
        <v>14.2</v>
      </c>
      <c r="F171" s="286">
        <v>69.56</v>
      </c>
      <c r="G171" s="287" t="str" cm="1">
        <f t="array" aca="1" ref="G171" ca="1">INDIRECT("'"&amp;$C171&amp;"'!"&amp;"$"&amp;$D171&amp;$E$1&amp;"")</f>
        <v>CMS</v>
      </c>
      <c r="H171" s="288" t="s">
        <v>1</v>
      </c>
      <c r="I171" s="286" t="s">
        <v>1</v>
      </c>
      <c r="J171" s="287" cm="1">
        <f t="array" aca="1" ref="J171" ca="1">INDIRECT("'"&amp;$C171&amp;"'!"&amp;"$"&amp;$D171&amp;$J$1&amp;"")</f>
        <v>6.9</v>
      </c>
      <c r="K171" s="288"/>
      <c r="L171" s="288">
        <v>0.91</v>
      </c>
      <c r="M171" s="289">
        <v>3.11</v>
      </c>
      <c r="N171" s="285" cm="1">
        <f t="array" aca="1" ref="N171" ca="1">INDIRECT("'"&amp;$C171&amp;"'!"&amp;"$"&amp;$D171&amp;$N$1&amp;"")</f>
        <v>6.9</v>
      </c>
      <c r="O171" s="288"/>
      <c r="P171" s="288">
        <v>0.91</v>
      </c>
      <c r="Q171" s="286">
        <v>3.11</v>
      </c>
      <c r="R171" s="469" cm="1">
        <f t="array" aca="1" ref="R171" ca="1">INDIRECT("'"&amp;$C171&amp;"'!"&amp;"$"&amp;$D171&amp;$R$1&amp;"")</f>
        <v>6.9</v>
      </c>
      <c r="S171" s="288"/>
      <c r="T171" s="288">
        <v>0.91</v>
      </c>
      <c r="U171" s="286">
        <v>3.11</v>
      </c>
      <c r="V171" s="287" cm="1">
        <f t="array" aca="1" ref="V171" ca="1">INDIRECT("'"&amp;$C171&amp;"'!"&amp;"$"&amp;$D171&amp;$V$1&amp;"")</f>
        <v>2.5</v>
      </c>
      <c r="W171" s="288">
        <f>3.8*3.53</f>
        <v>13.413999999999998</v>
      </c>
      <c r="X171" s="288">
        <v>0.92</v>
      </c>
      <c r="Y171" s="289">
        <v>1.1000000000000001</v>
      </c>
      <c r="Z171" s="285" t="str" cm="1">
        <f t="array" aca="1" ref="Z171" ca="1">INDIRECT("'"&amp;$C171&amp;"'!"&amp;"$"&amp;$D171&amp;$Z$1&amp;"")</f>
        <v>CMS</v>
      </c>
      <c r="AA171" s="288" t="s">
        <v>1</v>
      </c>
      <c r="AB171" s="288" t="s">
        <v>1</v>
      </c>
      <c r="AC171" s="286" t="s">
        <v>1</v>
      </c>
      <c r="AD171" s="287" cm="1">
        <f t="array" aca="1" ref="AD171" ca="1">INDIRECT("'"&amp;$C171&amp;"'!"&amp;"$"&amp;$D171&amp;$AD$1&amp;"")</f>
        <v>3.5</v>
      </c>
      <c r="AE171" s="288">
        <v>13.41</v>
      </c>
      <c r="AF171" s="288">
        <v>0.92</v>
      </c>
      <c r="AG171" s="289">
        <v>1.4</v>
      </c>
      <c r="AH171" s="285" cm="1">
        <f t="array" aca="1" ref="AH171" ca="1">INDIRECT("'"&amp;$C171&amp;"'!"&amp;"$"&amp;$D171&amp;$AH$1&amp;"")</f>
        <v>3</v>
      </c>
      <c r="AI171" s="288">
        <v>14</v>
      </c>
      <c r="AJ171" s="288">
        <v>0.98</v>
      </c>
      <c r="AK171" s="286">
        <v>0.42099999999999999</v>
      </c>
      <c r="AL171" s="285">
        <v>11.6</v>
      </c>
      <c r="AM171" s="289">
        <v>70.7</v>
      </c>
      <c r="AN171" s="285" cm="1">
        <f t="array" aca="1" ref="AN171" ca="1">INDIRECT("'"&amp;$C171&amp;"'!"&amp;"$"&amp;$D171&amp;$AL$1&amp;"")</f>
        <v>0</v>
      </c>
      <c r="AO171" s="288" t="s">
        <v>1</v>
      </c>
      <c r="AP171" s="286" t="s">
        <v>1</v>
      </c>
      <c r="AQ171" s="287" cm="1">
        <f t="array" aca="1" ref="AQ171" ca="1">INDIRECT("'"&amp;$C171&amp;"'!"&amp;"$"&amp;$D171&amp;$AQ$1&amp;"")</f>
        <v>1.5</v>
      </c>
      <c r="AR171" s="288">
        <v>0.95</v>
      </c>
      <c r="AS171" s="286">
        <v>0.51</v>
      </c>
      <c r="AT171" s="285">
        <v>13.95</v>
      </c>
      <c r="AU171" s="289">
        <v>70.8</v>
      </c>
      <c r="AV171" s="288" cm="1">
        <f t="array" aca="1" ref="AV171" ca="1">INDIRECT("'"&amp;$C171&amp;"'!"&amp;"$"&amp;$D171&amp;$AV$1&amp;"")</f>
        <v>2.67</v>
      </c>
      <c r="AW171" s="287" t="s">
        <v>1</v>
      </c>
      <c r="AX171" s="288">
        <v>0.97</v>
      </c>
      <c r="AY171" s="286">
        <v>0.66</v>
      </c>
      <c r="AZ171" s="288" cm="1">
        <f t="array" aca="1" ref="AZ171" ca="1">INDIRECT("'"&amp;$C171&amp;"'!"&amp;"$"&amp;$D171&amp;$AZ$1&amp;"")</f>
        <v>7</v>
      </c>
      <c r="BA171" s="287" t="s">
        <v>1</v>
      </c>
      <c r="BB171" s="288">
        <v>0.98</v>
      </c>
      <c r="BC171" s="286">
        <v>1.5</v>
      </c>
      <c r="BD171" s="290">
        <v>14.19</v>
      </c>
      <c r="BE171" s="289">
        <v>71.75</v>
      </c>
      <c r="BF171" s="290" cm="1">
        <f t="array" aca="1" ref="BF171" ca="1">INDIRECT("'"&amp;$C171&amp;"'!"&amp;"$"&amp;$D171&amp;$BF$1&amp;"")</f>
        <v>14.3</v>
      </c>
      <c r="BG171" s="288">
        <v>0.99</v>
      </c>
      <c r="BH171" s="286">
        <v>2.4</v>
      </c>
      <c r="BI171" s="525">
        <v>68.3</v>
      </c>
      <c r="BJ171" s="285" cm="1">
        <f t="array" aca="1" ref="BJ171" ca="1">INDIRECT("'"&amp;$C171&amp;"'!"&amp;"$"&amp;$D171&amp;$BI$1&amp;"")</f>
        <v>0</v>
      </c>
      <c r="BK171" s="287" t="s">
        <v>1</v>
      </c>
      <c r="BL171" s="286" t="s">
        <v>1</v>
      </c>
      <c r="BM171" s="290" cm="1">
        <f t="array" aca="1" ref="BM171" ca="1">INDIRECT("'"&amp;$C171&amp;"'!"&amp;"$"&amp;$D171&amp;$BM$1&amp;"")</f>
        <v>1.36</v>
      </c>
      <c r="BN171" s="288"/>
      <c r="BO171" s="288">
        <v>0.99</v>
      </c>
      <c r="BP171" s="286">
        <v>0.17</v>
      </c>
      <c r="BQ171" s="291" cm="1">
        <f t="array" aca="1" ref="BQ171" ca="1">INDIRECT("'"&amp;$C171&amp;"'!"&amp;"$"&amp;$D171&amp;$BQ$1&amp;"")</f>
        <v>0.87</v>
      </c>
      <c r="BR171" s="288"/>
      <c r="BS171" s="288">
        <v>0.97</v>
      </c>
      <c r="BT171" s="286">
        <v>0.25</v>
      </c>
      <c r="BU171" s="291" cm="1">
        <f t="array" aca="1" ref="BU171" ca="1">INDIRECT("'"&amp;$C171&amp;"'!"&amp;"$"&amp;$D171&amp;74&amp;"")</f>
        <v>0</v>
      </c>
      <c r="BV171" s="288"/>
      <c r="BW171" s="288" t="s">
        <v>1</v>
      </c>
      <c r="BX171" s="286" t="s">
        <v>1</v>
      </c>
    </row>
    <row r="172" spans="1:76">
      <c r="A172" s="459">
        <v>45845</v>
      </c>
      <c r="B172" s="345">
        <v>0.70833333333333404</v>
      </c>
      <c r="C172" s="305">
        <v>7</v>
      </c>
      <c r="D172" s="306" t="s">
        <v>159</v>
      </c>
      <c r="E172" s="278">
        <v>14.1</v>
      </c>
      <c r="F172" s="279">
        <v>69.61</v>
      </c>
      <c r="G172" s="280" t="str" cm="1">
        <f t="array" aca="1" ref="G172" ca="1">INDIRECT("'"&amp;$C172&amp;"'!"&amp;"$"&amp;$D172&amp;$E$1&amp;"")</f>
        <v>CMS</v>
      </c>
      <c r="H172" s="281" t="s">
        <v>1</v>
      </c>
      <c r="I172" s="279" t="s">
        <v>1</v>
      </c>
      <c r="J172" s="280" cm="1">
        <f t="array" aca="1" ref="J172" ca="1">INDIRECT("'"&amp;$C172&amp;"'!"&amp;"$"&amp;$D172&amp;$J$1&amp;"")</f>
        <v>6.5</v>
      </c>
      <c r="K172" s="281"/>
      <c r="L172" s="281">
        <v>0.91</v>
      </c>
      <c r="M172" s="282">
        <v>2.89</v>
      </c>
      <c r="N172" s="278" cm="1">
        <f t="array" aca="1" ref="N172" ca="1">INDIRECT("'"&amp;$C172&amp;"'!"&amp;"$"&amp;$D172&amp;$N$1&amp;"")</f>
        <v>6.5</v>
      </c>
      <c r="O172" s="281"/>
      <c r="P172" s="281">
        <v>0.91</v>
      </c>
      <c r="Q172" s="279">
        <v>2.89</v>
      </c>
      <c r="R172" s="468" cm="1">
        <f t="array" aca="1" ref="R172" ca="1">INDIRECT("'"&amp;$C172&amp;"'!"&amp;"$"&amp;$D172&amp;$R$1&amp;"")</f>
        <v>6.5</v>
      </c>
      <c r="S172" s="281"/>
      <c r="T172" s="281">
        <v>0.91</v>
      </c>
      <c r="U172" s="279">
        <v>2.89</v>
      </c>
      <c r="V172" s="280" cm="1">
        <f t="array" aca="1" ref="V172" ca="1">INDIRECT("'"&amp;$C172&amp;"'!"&amp;"$"&amp;$D172&amp;$V$1&amp;"")</f>
        <v>2</v>
      </c>
      <c r="W172" s="281">
        <f>3.8*3.53</f>
        <v>13.413999999999998</v>
      </c>
      <c r="X172" s="281">
        <v>0.92</v>
      </c>
      <c r="Y172" s="282">
        <v>1.05</v>
      </c>
      <c r="Z172" s="278" t="str" cm="1">
        <f t="array" aca="1" ref="Z172" ca="1">INDIRECT("'"&amp;$C172&amp;"'!"&amp;"$"&amp;$D172&amp;$Z$1&amp;"")</f>
        <v>CMS</v>
      </c>
      <c r="AA172" s="281" t="s">
        <v>1</v>
      </c>
      <c r="AB172" s="281" t="s">
        <v>1</v>
      </c>
      <c r="AC172" s="279" t="s">
        <v>1</v>
      </c>
      <c r="AD172" s="280" cm="1">
        <f t="array" aca="1" ref="AD172" ca="1">INDIRECT("'"&amp;$C172&amp;"'!"&amp;"$"&amp;$D172&amp;$AD$1&amp;"")</f>
        <v>3</v>
      </c>
      <c r="AE172" s="281">
        <v>13.41</v>
      </c>
      <c r="AF172" s="281">
        <v>0.92</v>
      </c>
      <c r="AG172" s="282">
        <v>1.37</v>
      </c>
      <c r="AH172" s="278" cm="1">
        <f t="array" aca="1" ref="AH172" ca="1">INDIRECT("'"&amp;$C172&amp;"'!"&amp;"$"&amp;$D172&amp;$AH$1&amp;"")</f>
        <v>3</v>
      </c>
      <c r="AI172" s="281">
        <v>14</v>
      </c>
      <c r="AJ172" s="281">
        <v>1</v>
      </c>
      <c r="AK172" s="279">
        <v>0.10100000000000001</v>
      </c>
      <c r="AL172" s="278">
        <v>11.6</v>
      </c>
      <c r="AM172" s="282">
        <v>70.8</v>
      </c>
      <c r="AN172" s="278" cm="1">
        <f t="array" aca="1" ref="AN172" ca="1">INDIRECT("'"&amp;$C172&amp;"'!"&amp;"$"&amp;$D172&amp;$AL$1&amp;"")</f>
        <v>0</v>
      </c>
      <c r="AO172" s="281" t="s">
        <v>1</v>
      </c>
      <c r="AP172" s="279" t="s">
        <v>1</v>
      </c>
      <c r="AQ172" s="280" cm="1">
        <f t="array" aca="1" ref="AQ172" ca="1">INDIRECT("'"&amp;$C172&amp;"'!"&amp;"$"&amp;$D172&amp;$AQ$1&amp;"")</f>
        <v>3.5</v>
      </c>
      <c r="AR172" s="281">
        <v>0.99</v>
      </c>
      <c r="AS172" s="279">
        <v>0.5</v>
      </c>
      <c r="AT172" s="278">
        <v>13.93</v>
      </c>
      <c r="AU172" s="282">
        <v>70.7</v>
      </c>
      <c r="AV172" s="281" cm="1">
        <f t="array" aca="1" ref="AV172" ca="1">INDIRECT("'"&amp;$C172&amp;"'!"&amp;"$"&amp;$D172&amp;$AV$1&amp;"")</f>
        <v>0</v>
      </c>
      <c r="AW172" s="280" t="s">
        <v>1</v>
      </c>
      <c r="AX172" s="281" t="s">
        <v>1</v>
      </c>
      <c r="AY172" s="279" t="s">
        <v>1</v>
      </c>
      <c r="AZ172" s="281" cm="1">
        <f t="array" aca="1" ref="AZ172" ca="1">INDIRECT("'"&amp;$C172&amp;"'!"&amp;"$"&amp;$D172&amp;$AZ$1&amp;"")</f>
        <v>7</v>
      </c>
      <c r="BA172" s="280" t="s">
        <v>1</v>
      </c>
      <c r="BB172" s="281">
        <v>0.98</v>
      </c>
      <c r="BC172" s="279">
        <v>1.6</v>
      </c>
      <c r="BD172" s="283">
        <v>14.22</v>
      </c>
      <c r="BE172" s="282">
        <v>71.959999999999994</v>
      </c>
      <c r="BF172" s="283" cm="1">
        <f t="array" aca="1" ref="BF172" ca="1">INDIRECT("'"&amp;$C172&amp;"'!"&amp;"$"&amp;$D172&amp;$BF$1&amp;"")</f>
        <v>14.32</v>
      </c>
      <c r="BG172" s="281">
        <v>0.99</v>
      </c>
      <c r="BH172" s="279">
        <v>2.4</v>
      </c>
      <c r="BI172" s="524">
        <v>68.3</v>
      </c>
      <c r="BJ172" s="278" cm="1">
        <f t="array" aca="1" ref="BJ172" ca="1">INDIRECT("'"&amp;$C172&amp;"'!"&amp;"$"&amp;$D172&amp;$BI$1&amp;"")</f>
        <v>0</v>
      </c>
      <c r="BK172" s="280" t="s">
        <v>1</v>
      </c>
      <c r="BL172" s="279" t="s">
        <v>1</v>
      </c>
      <c r="BM172" s="283" cm="1">
        <f t="array" aca="1" ref="BM172" ca="1">INDIRECT("'"&amp;$C172&amp;"'!"&amp;"$"&amp;$D172&amp;$BM$1&amp;"")</f>
        <v>1.34</v>
      </c>
      <c r="BN172" s="281"/>
      <c r="BO172" s="281">
        <v>0.99</v>
      </c>
      <c r="BP172" s="279">
        <v>0.16</v>
      </c>
      <c r="BQ172" s="284" cm="1">
        <f t="array" aca="1" ref="BQ172" ca="1">INDIRECT("'"&amp;$C172&amp;"'!"&amp;"$"&amp;$D172&amp;$BQ$1&amp;"")</f>
        <v>0.89</v>
      </c>
      <c r="BR172" s="281"/>
      <c r="BS172" s="281">
        <v>0.96</v>
      </c>
      <c r="BT172" s="279">
        <v>0.26</v>
      </c>
      <c r="BU172" s="284" cm="1">
        <f t="array" aca="1" ref="BU172" ca="1">INDIRECT("'"&amp;$C172&amp;"'!"&amp;"$"&amp;$D172&amp;74&amp;"")</f>
        <v>0</v>
      </c>
      <c r="BV172" s="281"/>
      <c r="BW172" s="281" t="s">
        <v>1</v>
      </c>
      <c r="BX172" s="279" t="s">
        <v>1</v>
      </c>
    </row>
    <row r="173" spans="1:76">
      <c r="A173" s="459">
        <v>45845</v>
      </c>
      <c r="B173" s="345">
        <v>0.750000000000001</v>
      </c>
      <c r="C173" s="305">
        <v>7</v>
      </c>
      <c r="D173" s="306" t="s">
        <v>160</v>
      </c>
      <c r="E173" s="285">
        <v>14.3</v>
      </c>
      <c r="F173" s="286">
        <v>69.84</v>
      </c>
      <c r="G173" s="287" t="str" cm="1">
        <f t="array" aca="1" ref="G173" ca="1">INDIRECT("'"&amp;$C173&amp;"'!"&amp;"$"&amp;$D173&amp;$E$1&amp;"")</f>
        <v>CMS</v>
      </c>
      <c r="H173" s="288" t="s">
        <v>1</v>
      </c>
      <c r="I173" s="286" t="s">
        <v>1</v>
      </c>
      <c r="J173" s="287" cm="1">
        <f t="array" aca="1" ref="J173" ca="1">INDIRECT("'"&amp;$C173&amp;"'!"&amp;"$"&amp;$D173&amp;$J$1&amp;"")</f>
        <v>6.6</v>
      </c>
      <c r="K173" s="288"/>
      <c r="L173" s="288">
        <v>0.92</v>
      </c>
      <c r="M173" s="289">
        <v>2.91</v>
      </c>
      <c r="N173" s="285" cm="1">
        <f t="array" aca="1" ref="N173" ca="1">INDIRECT("'"&amp;$C173&amp;"'!"&amp;"$"&amp;$D173&amp;$N$1&amp;"")</f>
        <v>6.6</v>
      </c>
      <c r="O173" s="288"/>
      <c r="P173" s="288">
        <v>0.92</v>
      </c>
      <c r="Q173" s="286">
        <v>2.91</v>
      </c>
      <c r="R173" s="285" cm="1">
        <f t="array" aca="1" ref="R173" ca="1">INDIRECT("'"&amp;$C173&amp;"'!"&amp;"$"&amp;$D173&amp;$R$1&amp;"")</f>
        <v>6.6</v>
      </c>
      <c r="S173" s="288"/>
      <c r="T173" s="288">
        <v>0.92</v>
      </c>
      <c r="U173" s="286">
        <v>2.91</v>
      </c>
      <c r="V173" s="287" cm="1">
        <f t="array" aca="1" ref="V173" ca="1">INDIRECT("'"&amp;$C173&amp;"'!"&amp;"$"&amp;$D173&amp;$V$1&amp;"")</f>
        <v>2.2000000000000002</v>
      </c>
      <c r="W173" s="288">
        <f>3.8*3.56</f>
        <v>13.527999999999999</v>
      </c>
      <c r="X173" s="288">
        <v>0.92</v>
      </c>
      <c r="Y173" s="289">
        <v>1.04</v>
      </c>
      <c r="Z173" s="285" t="str" cm="1">
        <f t="array" aca="1" ref="Z173" ca="1">INDIRECT("'"&amp;$C173&amp;"'!"&amp;"$"&amp;$D173&amp;$Z$1&amp;"")</f>
        <v>CMS</v>
      </c>
      <c r="AA173" s="288" t="s">
        <v>1</v>
      </c>
      <c r="AB173" s="288" t="s">
        <v>1</v>
      </c>
      <c r="AC173" s="286" t="s">
        <v>1</v>
      </c>
      <c r="AD173" s="287" cm="1">
        <f t="array" aca="1" ref="AD173" ca="1">INDIRECT("'"&amp;$C173&amp;"'!"&amp;"$"&amp;$D173&amp;$AD$1&amp;"")</f>
        <v>3.2</v>
      </c>
      <c r="AE173" s="288">
        <v>13.53</v>
      </c>
      <c r="AF173" s="288">
        <v>0.92</v>
      </c>
      <c r="AG173" s="289">
        <v>1.37</v>
      </c>
      <c r="AH173" s="285" cm="1">
        <f t="array" aca="1" ref="AH173" ca="1">INDIRECT("'"&amp;$C173&amp;"'!"&amp;"$"&amp;$D173&amp;$AH$1&amp;"")</f>
        <v>3</v>
      </c>
      <c r="AI173" s="288">
        <v>14.08</v>
      </c>
      <c r="AJ173" s="288">
        <v>1</v>
      </c>
      <c r="AK173" s="286">
        <v>2.5999999999999999E-2</v>
      </c>
      <c r="AL173" s="285">
        <v>11.6</v>
      </c>
      <c r="AM173" s="289">
        <v>70.7</v>
      </c>
      <c r="AN173" s="285" cm="1">
        <f t="array" aca="1" ref="AN173" ca="1">INDIRECT("'"&amp;$C173&amp;"'!"&amp;"$"&amp;$D173&amp;$AL$1&amp;"")</f>
        <v>0</v>
      </c>
      <c r="AO173" s="288" t="s">
        <v>1</v>
      </c>
      <c r="AP173" s="286" t="s">
        <v>1</v>
      </c>
      <c r="AQ173" s="287" cm="1">
        <f t="array" aca="1" ref="AQ173" ca="1">INDIRECT("'"&amp;$C173&amp;"'!"&amp;"$"&amp;$D173&amp;$AQ$1&amp;"")</f>
        <v>1.5</v>
      </c>
      <c r="AR173" s="288">
        <v>0.94</v>
      </c>
      <c r="AS173" s="286">
        <v>0.64</v>
      </c>
      <c r="AT173" s="285">
        <v>13.92</v>
      </c>
      <c r="AU173" s="289">
        <v>70.7</v>
      </c>
      <c r="AV173" s="288" cm="1">
        <f t="array" aca="1" ref="AV173" ca="1">INDIRECT("'"&amp;$C173&amp;"'!"&amp;"$"&amp;$D173&amp;$AV$1&amp;"")</f>
        <v>0</v>
      </c>
      <c r="AW173" s="287" t="s">
        <v>1</v>
      </c>
      <c r="AX173" s="288" t="s">
        <v>1</v>
      </c>
      <c r="AY173" s="286" t="s">
        <v>1</v>
      </c>
      <c r="AZ173" s="288" cm="1">
        <f t="array" aca="1" ref="AZ173" ca="1">INDIRECT("'"&amp;$C173&amp;"'!"&amp;"$"&amp;$D173&amp;$AZ$1&amp;"")</f>
        <v>7</v>
      </c>
      <c r="BA173" s="287" t="s">
        <v>1</v>
      </c>
      <c r="BB173" s="288">
        <v>0.97</v>
      </c>
      <c r="BC173" s="286">
        <v>1.74</v>
      </c>
      <c r="BD173" s="290">
        <v>14.09</v>
      </c>
      <c r="BE173" s="289">
        <v>71.75</v>
      </c>
      <c r="BF173" s="290" cm="1">
        <f t="array" aca="1" ref="BF173" ca="1">INDIRECT("'"&amp;$C173&amp;"'!"&amp;"$"&amp;$D173&amp;$BF$1&amp;"")</f>
        <v>14.33</v>
      </c>
      <c r="BG173" s="288">
        <v>1</v>
      </c>
      <c r="BH173" s="286">
        <v>1.3</v>
      </c>
      <c r="BI173" s="525">
        <v>68.599999999999994</v>
      </c>
      <c r="BJ173" s="285" cm="1">
        <f t="array" aca="1" ref="BJ173" ca="1">INDIRECT("'"&amp;$C173&amp;"'!"&amp;"$"&amp;$D173&amp;$BI$1&amp;"")</f>
        <v>0</v>
      </c>
      <c r="BK173" s="287" t="s">
        <v>1</v>
      </c>
      <c r="BL173" s="286" t="s">
        <v>1</v>
      </c>
      <c r="BM173" s="290" cm="1">
        <f t="array" aca="1" ref="BM173" ca="1">INDIRECT("'"&amp;$C173&amp;"'!"&amp;"$"&amp;$D173&amp;$BM$1&amp;"")</f>
        <v>1.18</v>
      </c>
      <c r="BN173" s="288"/>
      <c r="BO173" s="288">
        <v>0.99</v>
      </c>
      <c r="BP173" s="286">
        <v>0.15</v>
      </c>
      <c r="BQ173" s="291" cm="1">
        <f t="array" aca="1" ref="BQ173" ca="1">INDIRECT("'"&amp;$C173&amp;"'!"&amp;"$"&amp;$D173&amp;$BQ$1&amp;"")</f>
        <v>0.87</v>
      </c>
      <c r="BR173" s="288"/>
      <c r="BS173" s="288">
        <v>0.96</v>
      </c>
      <c r="BT173" s="286">
        <v>0.24</v>
      </c>
      <c r="BU173" s="291" cm="1">
        <f t="array" aca="1" ref="BU173" ca="1">INDIRECT("'"&amp;$C173&amp;"'!"&amp;"$"&amp;$D173&amp;74&amp;"")</f>
        <v>0</v>
      </c>
      <c r="BV173" s="288"/>
      <c r="BW173" s="288" t="s">
        <v>1</v>
      </c>
      <c r="BX173" s="286" t="s">
        <v>1</v>
      </c>
    </row>
    <row r="174" spans="1:76">
      <c r="A174" s="459">
        <v>45845</v>
      </c>
      <c r="B174" s="345">
        <v>0.79166666666666696</v>
      </c>
      <c r="C174" s="305">
        <v>7</v>
      </c>
      <c r="D174" s="306" t="s">
        <v>161</v>
      </c>
      <c r="E174" s="278">
        <v>14.2</v>
      </c>
      <c r="F174" s="279">
        <v>69.45</v>
      </c>
      <c r="G174" s="280" t="str" cm="1">
        <f t="array" aca="1" ref="G174" ca="1">INDIRECT("'"&amp;$C174&amp;"'!"&amp;"$"&amp;$D174&amp;$E$1&amp;"")</f>
        <v>CMS</v>
      </c>
      <c r="H174" s="281" t="s">
        <v>1</v>
      </c>
      <c r="I174" s="279" t="s">
        <v>1</v>
      </c>
      <c r="J174" s="280" cm="1">
        <f t="array" aca="1" ref="J174" ca="1">INDIRECT("'"&amp;$C174&amp;"'!"&amp;"$"&amp;$D174&amp;$J$1&amp;"")</f>
        <v>6.8</v>
      </c>
      <c r="K174" s="292"/>
      <c r="L174" s="281">
        <v>0.94</v>
      </c>
      <c r="M174" s="282">
        <v>2.48</v>
      </c>
      <c r="N174" s="278" cm="1">
        <f t="array" aca="1" ref="N174" ca="1">INDIRECT("'"&amp;$C174&amp;"'!"&amp;"$"&amp;$D174&amp;$N$1&amp;"")</f>
        <v>6.8</v>
      </c>
      <c r="O174" s="281"/>
      <c r="P174" s="281">
        <v>0.94</v>
      </c>
      <c r="Q174" s="282">
        <v>2.48</v>
      </c>
      <c r="R174" s="468" cm="1">
        <f t="array" aca="1" ref="R174" ca="1">INDIRECT("'"&amp;$C174&amp;"'!"&amp;"$"&amp;$D174&amp;$R$1&amp;"")</f>
        <v>6.8</v>
      </c>
      <c r="S174" s="281"/>
      <c r="T174" s="281">
        <v>0.94</v>
      </c>
      <c r="U174" s="282">
        <v>2.48</v>
      </c>
      <c r="V174" s="280" cm="1">
        <f t="array" aca="1" ref="V174" ca="1">INDIRECT("'"&amp;$C174&amp;"'!"&amp;"$"&amp;$D174&amp;$V$1&amp;"")</f>
        <v>2.8</v>
      </c>
      <c r="W174" s="281">
        <f>3.8*3.56</f>
        <v>13.527999999999999</v>
      </c>
      <c r="X174" s="281">
        <v>0.92</v>
      </c>
      <c r="Y174" s="282">
        <v>1.1000000000000001</v>
      </c>
      <c r="Z174" s="278" t="str" cm="1">
        <f t="array" aca="1" ref="Z174" ca="1">INDIRECT("'"&amp;$C174&amp;"'!"&amp;"$"&amp;$D174&amp;$Z$1&amp;"")</f>
        <v>CMS</v>
      </c>
      <c r="AA174" s="281" t="s">
        <v>1</v>
      </c>
      <c r="AB174" s="281" t="s">
        <v>1</v>
      </c>
      <c r="AC174" s="279" t="s">
        <v>1</v>
      </c>
      <c r="AD174" s="280" cm="1">
        <f t="array" aca="1" ref="AD174" ca="1">INDIRECT("'"&amp;$C174&amp;"'!"&amp;"$"&amp;$D174&amp;$AD$1&amp;"")</f>
        <v>3.8</v>
      </c>
      <c r="AE174" s="281">
        <v>13.53</v>
      </c>
      <c r="AF174" s="281">
        <v>0.92</v>
      </c>
      <c r="AG174" s="282">
        <v>1.41</v>
      </c>
      <c r="AH174" s="278" cm="1">
        <f t="array" aca="1" ref="AH174" ca="1">INDIRECT("'"&amp;$C174&amp;"'!"&amp;"$"&amp;$D174&amp;$AH$1&amp;"")</f>
        <v>3.8</v>
      </c>
      <c r="AI174" s="281">
        <v>14</v>
      </c>
      <c r="AJ174" s="281">
        <v>0.97</v>
      </c>
      <c r="AK174" s="279">
        <v>0.63400000000000001</v>
      </c>
      <c r="AL174" s="278">
        <v>11.6</v>
      </c>
      <c r="AM174" s="282">
        <v>70.5</v>
      </c>
      <c r="AN174" s="278" cm="1">
        <f t="array" aca="1" ref="AN174" ca="1">INDIRECT("'"&amp;$C174&amp;"'!"&amp;"$"&amp;$D174&amp;$AL$1&amp;"")</f>
        <v>0</v>
      </c>
      <c r="AO174" s="281" t="s">
        <v>1</v>
      </c>
      <c r="AP174" s="279" t="s">
        <v>1</v>
      </c>
      <c r="AQ174" s="280" cm="1">
        <f t="array" aca="1" ref="AQ174" ca="1">INDIRECT("'"&amp;$C174&amp;"'!"&amp;"$"&amp;$D174&amp;$AQ$1&amp;"")</f>
        <v>3.8</v>
      </c>
      <c r="AR174" s="281">
        <v>0.98</v>
      </c>
      <c r="AS174" s="279">
        <v>0.68</v>
      </c>
      <c r="AT174" s="278">
        <v>13.92</v>
      </c>
      <c r="AU174" s="282">
        <v>70.7</v>
      </c>
      <c r="AV174" s="281" cm="1">
        <f t="array" aca="1" ref="AV174" ca="1">INDIRECT("'"&amp;$C174&amp;"'!"&amp;"$"&amp;$D174&amp;$AV$1&amp;"")</f>
        <v>0</v>
      </c>
      <c r="AW174" s="280">
        <v>13.7</v>
      </c>
      <c r="AX174" s="281" t="s">
        <v>1</v>
      </c>
      <c r="AY174" s="279" t="s">
        <v>1</v>
      </c>
      <c r="AZ174" s="281" cm="1">
        <f t="array" aca="1" ref="AZ174" ca="1">INDIRECT("'"&amp;$C174&amp;"'!"&amp;"$"&amp;$D174&amp;$AZ$1&amp;"")</f>
        <v>7</v>
      </c>
      <c r="BA174" s="280">
        <v>13.7</v>
      </c>
      <c r="BB174" s="281">
        <v>0.96</v>
      </c>
      <c r="BC174" s="279">
        <v>2.0099999999999998</v>
      </c>
      <c r="BD174" s="283">
        <v>13.99</v>
      </c>
      <c r="BE174" s="282">
        <v>71.260000000000005</v>
      </c>
      <c r="BF174" s="283" cm="1">
        <f t="array" aca="1" ref="BF174" ca="1">INDIRECT("'"&amp;$C174&amp;"'!"&amp;"$"&amp;$D174&amp;$BF$1&amp;"")</f>
        <v>14.31</v>
      </c>
      <c r="BG174" s="281">
        <v>1</v>
      </c>
      <c r="BH174" s="279">
        <v>1.2</v>
      </c>
      <c r="BI174" s="524">
        <v>68.3</v>
      </c>
      <c r="BJ174" s="278" cm="1">
        <f t="array" aca="1" ref="BJ174" ca="1">INDIRECT("'"&amp;$C174&amp;"'!"&amp;"$"&amp;$D174&amp;$BI$1&amp;"")</f>
        <v>1.4</v>
      </c>
      <c r="BK174" s="280">
        <v>0.97</v>
      </c>
      <c r="BL174" s="279">
        <v>0.35</v>
      </c>
      <c r="BM174" s="283" cm="1">
        <f t="array" aca="1" ref="BM174" ca="1">INDIRECT("'"&amp;$C174&amp;"'!"&amp;"$"&amp;$D174&amp;$BM$1&amp;"")</f>
        <v>1.42</v>
      </c>
      <c r="BN174" s="281"/>
      <c r="BO174" s="281">
        <v>0.99</v>
      </c>
      <c r="BP174" s="279">
        <v>0.16</v>
      </c>
      <c r="BQ174" s="284" cm="1">
        <f t="array" aca="1" ref="BQ174" ca="1">INDIRECT("'"&amp;$C174&amp;"'!"&amp;"$"&amp;$D174&amp;$BQ$1&amp;"")</f>
        <v>0.98</v>
      </c>
      <c r="BR174" s="281"/>
      <c r="BS174" s="281">
        <v>0.97</v>
      </c>
      <c r="BT174" s="279">
        <v>0.25</v>
      </c>
      <c r="BU174" s="284" cm="1">
        <f t="array" aca="1" ref="BU174" ca="1">INDIRECT("'"&amp;$C174&amp;"'!"&amp;"$"&amp;$D174&amp;74&amp;"")</f>
        <v>0</v>
      </c>
      <c r="BV174" s="281"/>
      <c r="BW174" s="281" t="s">
        <v>1</v>
      </c>
      <c r="BX174" s="279" t="s">
        <v>1</v>
      </c>
    </row>
    <row r="175" spans="1:76">
      <c r="A175" s="459">
        <v>45845</v>
      </c>
      <c r="B175" s="345">
        <v>0.83333333333333337</v>
      </c>
      <c r="C175" s="305">
        <v>7</v>
      </c>
      <c r="D175" s="306" t="s">
        <v>162</v>
      </c>
      <c r="E175" s="285">
        <v>14.2</v>
      </c>
      <c r="F175" s="286">
        <v>69.760000000000005</v>
      </c>
      <c r="G175" s="287" t="str" cm="1">
        <f t="array" aca="1" ref="G175" ca="1">INDIRECT("'"&amp;$C175&amp;"'!"&amp;"$"&amp;$D175&amp;$E$1&amp;"")</f>
        <v>CMS</v>
      </c>
      <c r="H175" s="288" t="s">
        <v>1</v>
      </c>
      <c r="I175" s="286" t="s">
        <v>1</v>
      </c>
      <c r="J175" s="287" cm="1">
        <f t="array" aca="1" ref="J175" ca="1">INDIRECT("'"&amp;$C175&amp;"'!"&amp;"$"&amp;$D175&amp;$J$1&amp;"")</f>
        <v>6.6</v>
      </c>
      <c r="K175" s="288"/>
      <c r="L175" s="288">
        <v>0.96</v>
      </c>
      <c r="M175" s="289">
        <v>1.88</v>
      </c>
      <c r="N175" s="285" cm="1">
        <f t="array" aca="1" ref="N175" ca="1">INDIRECT("'"&amp;$C175&amp;"'!"&amp;"$"&amp;$D175&amp;$N$1&amp;"")</f>
        <v>6.6</v>
      </c>
      <c r="O175" s="288"/>
      <c r="P175" s="288">
        <v>0.95</v>
      </c>
      <c r="Q175" s="286">
        <v>2.09</v>
      </c>
      <c r="R175" s="285" cm="1">
        <f t="array" aca="1" ref="R175" ca="1">INDIRECT("'"&amp;$C175&amp;"'!"&amp;"$"&amp;$D175&amp;$R$1&amp;"")</f>
        <v>6.6</v>
      </c>
      <c r="S175" s="288"/>
      <c r="T175" s="288">
        <v>0.94</v>
      </c>
      <c r="U175" s="286">
        <v>2.38</v>
      </c>
      <c r="V175" s="287" cm="1">
        <f t="array" aca="1" ref="V175" ca="1">INDIRECT("'"&amp;$C175&amp;"'!"&amp;"$"&amp;$D175&amp;$V$1&amp;"")</f>
        <v>2</v>
      </c>
      <c r="W175" s="288">
        <f>3.8*3.59</f>
        <v>13.641999999999999</v>
      </c>
      <c r="X175" s="288">
        <v>0.93</v>
      </c>
      <c r="Y175" s="289">
        <v>0.91</v>
      </c>
      <c r="Z175" s="285" t="str" cm="1">
        <f t="array" aca="1" ref="Z175" ca="1">INDIRECT("'"&amp;$C175&amp;"'!"&amp;"$"&amp;$D175&amp;$Z$1&amp;"")</f>
        <v>CMS</v>
      </c>
      <c r="AA175" s="288" t="s">
        <v>1</v>
      </c>
      <c r="AB175" s="288" t="s">
        <v>1</v>
      </c>
      <c r="AC175" s="286" t="s">
        <v>1</v>
      </c>
      <c r="AD175" s="287" cm="1">
        <f t="array" aca="1" ref="AD175" ca="1">INDIRECT("'"&amp;$C175&amp;"'!"&amp;"$"&amp;$D175&amp;$AD$1&amp;"")</f>
        <v>3</v>
      </c>
      <c r="AE175" s="288">
        <v>13.64</v>
      </c>
      <c r="AF175" s="288">
        <v>0.93</v>
      </c>
      <c r="AG175" s="289">
        <v>1.38</v>
      </c>
      <c r="AH175" s="285" cm="1">
        <f t="array" aca="1" ref="AH175" ca="1">INDIRECT("'"&amp;$C175&amp;"'!"&amp;"$"&amp;$D175&amp;$AH$1&amp;"")</f>
        <v>3.8</v>
      </c>
      <c r="AI175" s="288">
        <v>14</v>
      </c>
      <c r="AJ175" s="288">
        <v>0.99</v>
      </c>
      <c r="AK175" s="286">
        <v>0.48299999999999998</v>
      </c>
      <c r="AL175" s="285">
        <v>11.6</v>
      </c>
      <c r="AM175" s="289">
        <v>70.7</v>
      </c>
      <c r="AN175" s="285" cm="1">
        <f t="array" aca="1" ref="AN175" ca="1">INDIRECT("'"&amp;$C175&amp;"'!"&amp;"$"&amp;$D175&amp;$AL$1&amp;"")</f>
        <v>0</v>
      </c>
      <c r="AO175" s="288" t="s">
        <v>1</v>
      </c>
      <c r="AP175" s="286" t="s">
        <v>1</v>
      </c>
      <c r="AQ175" s="287" cm="1">
        <f t="array" aca="1" ref="AQ175" ca="1">INDIRECT("'"&amp;$C175&amp;"'!"&amp;"$"&amp;$D175&amp;$AQ$1&amp;"")</f>
        <v>3</v>
      </c>
      <c r="AR175" s="288">
        <v>0.98</v>
      </c>
      <c r="AS175" s="286">
        <v>0.63</v>
      </c>
      <c r="AT175" s="285">
        <v>13.92</v>
      </c>
      <c r="AU175" s="289">
        <v>70.7</v>
      </c>
      <c r="AV175" s="288" cm="1">
        <f t="array" aca="1" ref="AV175" ca="1">INDIRECT("'"&amp;$C175&amp;"'!"&amp;"$"&amp;$D175&amp;$AV$1&amp;"")</f>
        <v>0</v>
      </c>
      <c r="AW175" s="287" t="s">
        <v>1</v>
      </c>
      <c r="AX175" s="288" t="s">
        <v>1</v>
      </c>
      <c r="AY175" s="286" t="s">
        <v>1</v>
      </c>
      <c r="AZ175" s="288" cm="1">
        <f t="array" aca="1" ref="AZ175" ca="1">INDIRECT("'"&amp;$C175&amp;"'!"&amp;"$"&amp;$D175&amp;$AZ$1&amp;"")</f>
        <v>7</v>
      </c>
      <c r="BA175" s="287" t="s">
        <v>1</v>
      </c>
      <c r="BB175" s="288">
        <v>0.97</v>
      </c>
      <c r="BC175" s="286">
        <v>1.9</v>
      </c>
      <c r="BD175" s="290">
        <v>14.02</v>
      </c>
      <c r="BE175" s="289">
        <v>71.37</v>
      </c>
      <c r="BF175" s="290" cm="1">
        <f t="array" aca="1" ref="BF175" ca="1">INDIRECT("'"&amp;$C175&amp;"'!"&amp;"$"&amp;$D175&amp;$BF$1&amp;"")</f>
        <v>14.3</v>
      </c>
      <c r="BG175" s="288">
        <v>1</v>
      </c>
      <c r="BH175" s="286">
        <v>1.3</v>
      </c>
      <c r="BI175" s="525">
        <v>68.599999999999994</v>
      </c>
      <c r="BJ175" s="285" cm="1">
        <f t="array" aca="1" ref="BJ175" ca="1">INDIRECT("'"&amp;$C175&amp;"'!"&amp;"$"&amp;$D175&amp;$BI$1&amp;"")</f>
        <v>0</v>
      </c>
      <c r="BK175" s="287" t="s">
        <v>1</v>
      </c>
      <c r="BL175" s="286" t="s">
        <v>1</v>
      </c>
      <c r="BM175" s="290" cm="1">
        <f t="array" aca="1" ref="BM175" ca="1">INDIRECT("'"&amp;$C175&amp;"'!"&amp;"$"&amp;$D175&amp;$BM$1&amp;"")</f>
        <v>1.5</v>
      </c>
      <c r="BN175" s="288"/>
      <c r="BO175" s="288">
        <v>0.99</v>
      </c>
      <c r="BP175" s="286">
        <v>0.17</v>
      </c>
      <c r="BQ175" s="291" cm="1">
        <f t="array" aca="1" ref="BQ175" ca="1">INDIRECT("'"&amp;$C175&amp;"'!"&amp;"$"&amp;$D175&amp;$BQ$1&amp;"")</f>
        <v>1.02</v>
      </c>
      <c r="BR175" s="288"/>
      <c r="BS175" s="288">
        <v>0.97</v>
      </c>
      <c r="BT175" s="286">
        <v>0.26</v>
      </c>
      <c r="BU175" s="291" cm="1">
        <f t="array" aca="1" ref="BU175" ca="1">INDIRECT("'"&amp;$C175&amp;"'!"&amp;"$"&amp;$D175&amp;74&amp;"")</f>
        <v>0</v>
      </c>
      <c r="BV175" s="288"/>
      <c r="BW175" s="288" t="s">
        <v>1</v>
      </c>
      <c r="BX175" s="286" t="s">
        <v>1</v>
      </c>
    </row>
    <row r="176" spans="1:76">
      <c r="A176" s="459">
        <v>45845</v>
      </c>
      <c r="B176" s="345">
        <v>0.875000000000001</v>
      </c>
      <c r="C176" s="305">
        <v>7</v>
      </c>
      <c r="D176" s="306" t="s">
        <v>163</v>
      </c>
      <c r="E176" s="278">
        <v>14.2</v>
      </c>
      <c r="F176" s="279">
        <v>69.819999999999993</v>
      </c>
      <c r="G176" s="280" t="str" cm="1">
        <f t="array" aca="1" ref="G176" ca="1">INDIRECT("'"&amp;$C176&amp;"'!"&amp;"$"&amp;$D176&amp;$E$1&amp;"")</f>
        <v>CMS</v>
      </c>
      <c r="H176" s="281" t="s">
        <v>1</v>
      </c>
      <c r="I176" s="279" t="s">
        <v>1</v>
      </c>
      <c r="J176" s="280" cm="1">
        <f t="array" aca="1" ref="J176" ca="1">INDIRECT("'"&amp;$C176&amp;"'!"&amp;"$"&amp;$D176&amp;$J$1&amp;"")</f>
        <v>6.6</v>
      </c>
      <c r="K176" s="281"/>
      <c r="L176" s="281">
        <v>0.96</v>
      </c>
      <c r="M176" s="282">
        <v>1.94</v>
      </c>
      <c r="N176" s="278" cm="1">
        <f t="array" aca="1" ref="N176" ca="1">INDIRECT("'"&amp;$C176&amp;"'!"&amp;"$"&amp;$D176&amp;$N$1&amp;"")</f>
        <v>6.6</v>
      </c>
      <c r="O176" s="281"/>
      <c r="P176" s="281">
        <v>0.96</v>
      </c>
      <c r="Q176" s="279">
        <v>1.99</v>
      </c>
      <c r="R176" s="468" cm="1">
        <f t="array" aca="1" ref="R176" ca="1">INDIRECT("'"&amp;$C176&amp;"'!"&amp;"$"&amp;$D176&amp;$R$1&amp;"")</f>
        <v>6.6</v>
      </c>
      <c r="S176" s="281"/>
      <c r="T176" s="281">
        <v>0.97</v>
      </c>
      <c r="U176" s="279">
        <v>1.57</v>
      </c>
      <c r="V176" s="280" cm="1">
        <f t="array" aca="1" ref="V176" ca="1">INDIRECT("'"&amp;$C176&amp;"'!"&amp;"$"&amp;$D176&amp;$V$1&amp;"")</f>
        <v>0</v>
      </c>
      <c r="W176" s="281" t="s">
        <v>1</v>
      </c>
      <c r="X176" s="281" t="s">
        <v>1</v>
      </c>
      <c r="Y176" s="279" t="s">
        <v>1</v>
      </c>
      <c r="Z176" s="278" t="str" cm="1">
        <f t="array" aca="1" ref="Z176" ca="1">INDIRECT("'"&amp;$C176&amp;"'!"&amp;"$"&amp;$D176&amp;$Z$1&amp;"")</f>
        <v>CMS</v>
      </c>
      <c r="AA176" s="281" t="s">
        <v>1</v>
      </c>
      <c r="AB176" s="281" t="s">
        <v>1</v>
      </c>
      <c r="AC176" s="279" t="s">
        <v>1</v>
      </c>
      <c r="AD176" s="280" cm="1">
        <f t="array" aca="1" ref="AD176" ca="1">INDIRECT("'"&amp;$C176&amp;"'!"&amp;"$"&amp;$D176&amp;$AD$1&amp;"")</f>
        <v>3</v>
      </c>
      <c r="AE176" s="281">
        <f>3.8*3.59</f>
        <v>13.641999999999999</v>
      </c>
      <c r="AF176" s="281">
        <v>0.94</v>
      </c>
      <c r="AG176" s="282">
        <v>1.27</v>
      </c>
      <c r="AH176" s="278" cm="1">
        <f t="array" aca="1" ref="AH176" ca="1">INDIRECT("'"&amp;$C176&amp;"'!"&amp;"$"&amp;$D176&amp;$AH$1&amp;"")</f>
        <v>3</v>
      </c>
      <c r="AI176" s="281">
        <v>13.96</v>
      </c>
      <c r="AJ176" s="281">
        <v>0.99</v>
      </c>
      <c r="AK176" s="279">
        <v>0.47699999999999998</v>
      </c>
      <c r="AL176" s="278">
        <v>11.6</v>
      </c>
      <c r="AM176" s="282">
        <v>70.8</v>
      </c>
      <c r="AN176" s="278" cm="1">
        <f t="array" aca="1" ref="AN176" ca="1">INDIRECT("'"&amp;$C176&amp;"'!"&amp;"$"&amp;$D176&amp;$AL$1&amp;"")</f>
        <v>0</v>
      </c>
      <c r="AO176" s="281" t="s">
        <v>1</v>
      </c>
      <c r="AP176" s="279" t="s">
        <v>1</v>
      </c>
      <c r="AQ176" s="280" cm="1">
        <f t="array" aca="1" ref="AQ176" ca="1">INDIRECT("'"&amp;$C176&amp;"'!"&amp;"$"&amp;$D176&amp;$AQ$1&amp;"")</f>
        <v>2.5</v>
      </c>
      <c r="AR176" s="281">
        <v>0.96</v>
      </c>
      <c r="AS176" s="279">
        <v>0.7</v>
      </c>
      <c r="AT176" s="278">
        <v>13.9</v>
      </c>
      <c r="AU176" s="282">
        <v>70.900000000000006</v>
      </c>
      <c r="AV176" s="281" cm="1">
        <f t="array" aca="1" ref="AV176" ca="1">INDIRECT("'"&amp;$C176&amp;"'!"&amp;"$"&amp;$D176&amp;$AV$1&amp;"")</f>
        <v>0</v>
      </c>
      <c r="AW176" s="280" t="s">
        <v>1</v>
      </c>
      <c r="AX176" s="281" t="s">
        <v>1</v>
      </c>
      <c r="AY176" s="279" t="s">
        <v>1</v>
      </c>
      <c r="AZ176" s="281" cm="1">
        <f t="array" aca="1" ref="AZ176" ca="1">INDIRECT("'"&amp;$C176&amp;"'!"&amp;"$"&amp;$D176&amp;$AZ$1&amp;"")</f>
        <v>7</v>
      </c>
      <c r="BA176" s="280" t="s">
        <v>1</v>
      </c>
      <c r="BB176" s="281">
        <v>0.97</v>
      </c>
      <c r="BC176" s="279">
        <v>1.78</v>
      </c>
      <c r="BD176" s="283">
        <v>14.07</v>
      </c>
      <c r="BE176" s="282">
        <v>71.61</v>
      </c>
      <c r="BF176" s="283" cm="1">
        <f t="array" aca="1" ref="BF176" ca="1">INDIRECT("'"&amp;$C176&amp;"'!"&amp;"$"&amp;$D176&amp;$BF$1&amp;"")</f>
        <v>14.28</v>
      </c>
      <c r="BG176" s="281">
        <v>1</v>
      </c>
      <c r="BH176" s="279">
        <v>1.3</v>
      </c>
      <c r="BI176" s="524">
        <v>68.5</v>
      </c>
      <c r="BJ176" s="278" cm="1">
        <f t="array" aca="1" ref="BJ176" ca="1">INDIRECT("'"&amp;$C176&amp;"'!"&amp;"$"&amp;$D176&amp;$BI$1&amp;"")</f>
        <v>0</v>
      </c>
      <c r="BK176" s="280" t="s">
        <v>1</v>
      </c>
      <c r="BL176" s="279" t="s">
        <v>1</v>
      </c>
      <c r="BM176" s="283" cm="1">
        <f t="array" aca="1" ref="BM176" ca="1">INDIRECT("'"&amp;$C176&amp;"'!"&amp;"$"&amp;$D176&amp;$BM$1&amp;"")</f>
        <v>1.4</v>
      </c>
      <c r="BN176" s="281"/>
      <c r="BO176" s="281">
        <v>0.99</v>
      </c>
      <c r="BP176" s="279">
        <v>0.15</v>
      </c>
      <c r="BQ176" s="284" cm="1">
        <f t="array" aca="1" ref="BQ176" ca="1">INDIRECT("'"&amp;$C176&amp;"'!"&amp;"$"&amp;$D176&amp;$BQ$1&amp;"")</f>
        <v>0.97</v>
      </c>
      <c r="BR176" s="281"/>
      <c r="BS176" s="281">
        <v>0.97</v>
      </c>
      <c r="BT176" s="279">
        <v>0.25</v>
      </c>
      <c r="BU176" s="284" cm="1">
        <f t="array" aca="1" ref="BU176" ca="1">INDIRECT("'"&amp;$C176&amp;"'!"&amp;"$"&amp;$D176&amp;74&amp;"")</f>
        <v>0</v>
      </c>
      <c r="BV176" s="281"/>
      <c r="BW176" s="281" t="s">
        <v>1</v>
      </c>
      <c r="BX176" s="279" t="s">
        <v>1</v>
      </c>
    </row>
    <row r="177" spans="1:76">
      <c r="A177" s="459">
        <v>45845</v>
      </c>
      <c r="B177" s="345">
        <v>0.91666666666666696</v>
      </c>
      <c r="C177" s="305">
        <v>7</v>
      </c>
      <c r="D177" s="306" t="s">
        <v>164</v>
      </c>
      <c r="E177" s="285">
        <v>14.3</v>
      </c>
      <c r="F177" s="286">
        <v>70.36</v>
      </c>
      <c r="G177" s="287" t="str" cm="1">
        <f t="array" aca="1" ref="G177" ca="1">INDIRECT("'"&amp;$C177&amp;"'!"&amp;"$"&amp;$D177&amp;$E$1&amp;"")</f>
        <v>CMS</v>
      </c>
      <c r="H177" s="288" t="s">
        <v>1</v>
      </c>
      <c r="I177" s="286" t="s">
        <v>1</v>
      </c>
      <c r="J177" s="287" cm="1">
        <f t="array" aca="1" ref="J177" ca="1">INDIRECT("'"&amp;$C177&amp;"'!"&amp;"$"&amp;$D177&amp;$J$1&amp;"")</f>
        <v>6.7</v>
      </c>
      <c r="K177" s="288"/>
      <c r="L177" s="288">
        <v>0.96</v>
      </c>
      <c r="M177" s="289">
        <v>1.97</v>
      </c>
      <c r="N177" s="285" cm="1">
        <f t="array" aca="1" ref="N177" ca="1">INDIRECT("'"&amp;$C177&amp;"'!"&amp;"$"&amp;$D177&amp;$N$1&amp;"")</f>
        <v>6.7</v>
      </c>
      <c r="O177" s="288"/>
      <c r="P177" s="288">
        <v>0.96</v>
      </c>
      <c r="Q177" s="286">
        <v>2.04</v>
      </c>
      <c r="R177" s="285" cm="1">
        <f t="array" aca="1" ref="R177" ca="1">INDIRECT("'"&amp;$C177&amp;"'!"&amp;"$"&amp;$D177&amp;$R$1&amp;"")</f>
        <v>6.7</v>
      </c>
      <c r="S177" s="288"/>
      <c r="T177" s="288">
        <v>0.99</v>
      </c>
      <c r="U177" s="286">
        <v>0.69</v>
      </c>
      <c r="V177" s="287" cm="1">
        <f t="array" aca="1" ref="V177" ca="1">INDIRECT("'"&amp;$C177&amp;"'!"&amp;"$"&amp;$D177&amp;$V$1&amp;"")</f>
        <v>0</v>
      </c>
      <c r="W177" s="288" t="s">
        <v>1</v>
      </c>
      <c r="X177" s="288" t="s">
        <v>1</v>
      </c>
      <c r="Y177" s="289" t="s">
        <v>1</v>
      </c>
      <c r="Z177" s="285" t="str" cm="1">
        <f t="array" aca="1" ref="Z177" ca="1">INDIRECT("'"&amp;$C177&amp;"'!"&amp;"$"&amp;$D177&amp;$Z$1&amp;"")</f>
        <v>CMS</v>
      </c>
      <c r="AA177" s="288" t="s">
        <v>1</v>
      </c>
      <c r="AB177" s="288" t="s">
        <v>1</v>
      </c>
      <c r="AC177" s="286" t="s">
        <v>1</v>
      </c>
      <c r="AD177" s="287" cm="1">
        <f t="array" aca="1" ref="AD177" ca="1">INDIRECT("'"&amp;$C177&amp;"'!"&amp;"$"&amp;$D177&amp;$AD$1&amp;"")</f>
        <v>3</v>
      </c>
      <c r="AE177" s="288">
        <f>3.62*3.8</f>
        <v>13.756</v>
      </c>
      <c r="AF177" s="288">
        <v>0.95</v>
      </c>
      <c r="AG177" s="289">
        <v>1.1499999999999999</v>
      </c>
      <c r="AH177" s="285" cm="1">
        <f t="array" aca="1" ref="AH177" ca="1">INDIRECT("'"&amp;$C177&amp;"'!"&amp;"$"&amp;$D177&amp;$AH$1&amp;"")</f>
        <v>0</v>
      </c>
      <c r="AI177" s="288" t="s">
        <v>1</v>
      </c>
      <c r="AJ177" s="288" t="s">
        <v>1</v>
      </c>
      <c r="AK177" s="286" t="s">
        <v>1</v>
      </c>
      <c r="AL177" s="285">
        <v>11.6</v>
      </c>
      <c r="AM177" s="289">
        <v>71</v>
      </c>
      <c r="AN177" s="285" cm="1">
        <f t="array" aca="1" ref="AN177" ca="1">INDIRECT("'"&amp;$C177&amp;"'!"&amp;"$"&amp;$D177&amp;$AL$1&amp;"")</f>
        <v>0</v>
      </c>
      <c r="AO177" s="288" t="s">
        <v>1</v>
      </c>
      <c r="AP177" s="286" t="s">
        <v>1</v>
      </c>
      <c r="AQ177" s="287" cm="1">
        <f t="array" aca="1" ref="AQ177" ca="1">INDIRECT("'"&amp;$C177&amp;"'!"&amp;"$"&amp;$D177&amp;$AQ$1&amp;"")</f>
        <v>1.5</v>
      </c>
      <c r="AR177" s="288">
        <v>0.96</v>
      </c>
      <c r="AS177" s="286">
        <v>0.55000000000000004</v>
      </c>
      <c r="AT177" s="285">
        <v>13.8</v>
      </c>
      <c r="AU177" s="289">
        <v>70.900000000000006</v>
      </c>
      <c r="AV177" s="288" cm="1">
        <f t="array" aca="1" ref="AV177" ca="1">INDIRECT("'"&amp;$C177&amp;"'!"&amp;"$"&amp;$D177&amp;$AV$1&amp;"")</f>
        <v>0</v>
      </c>
      <c r="AW177" s="287" t="s">
        <v>1</v>
      </c>
      <c r="AX177" s="288" t="s">
        <v>1</v>
      </c>
      <c r="AY177" s="286" t="s">
        <v>1</v>
      </c>
      <c r="AZ177" s="288" cm="1">
        <f t="array" aca="1" ref="AZ177" ca="1">INDIRECT("'"&amp;$C177&amp;"'!"&amp;"$"&amp;$D177&amp;$AZ$1&amp;"")</f>
        <v>7</v>
      </c>
      <c r="BA177" s="287" t="s">
        <v>1</v>
      </c>
      <c r="BB177" s="288">
        <v>0.98</v>
      </c>
      <c r="BC177" s="286">
        <v>1.46</v>
      </c>
      <c r="BD177" s="290">
        <v>14.06</v>
      </c>
      <c r="BE177" s="289">
        <v>71.61</v>
      </c>
      <c r="BF177" s="290" cm="1">
        <f t="array" aca="1" ref="BF177" ca="1">INDIRECT("'"&amp;$C177&amp;"'!"&amp;"$"&amp;$D177&amp;$BF$1&amp;"")</f>
        <v>14.28</v>
      </c>
      <c r="BG177" s="288">
        <v>1</v>
      </c>
      <c r="BH177" s="286">
        <v>1.3</v>
      </c>
      <c r="BI177" s="525">
        <v>69.099999999999994</v>
      </c>
      <c r="BJ177" s="285" cm="1">
        <f t="array" aca="1" ref="BJ177" ca="1">INDIRECT("'"&amp;$C177&amp;"'!"&amp;"$"&amp;$D177&amp;$BI$1&amp;"")</f>
        <v>0</v>
      </c>
      <c r="BK177" s="287" t="s">
        <v>1</v>
      </c>
      <c r="BL177" s="286" t="s">
        <v>1</v>
      </c>
      <c r="BM177" s="290" cm="1">
        <f t="array" aca="1" ref="BM177" ca="1">INDIRECT("'"&amp;$C177&amp;"'!"&amp;"$"&amp;$D177&amp;$BM$1&amp;"")</f>
        <v>1.24</v>
      </c>
      <c r="BN177" s="288"/>
      <c r="BO177" s="288">
        <v>0.99</v>
      </c>
      <c r="BP177" s="286">
        <v>0.13</v>
      </c>
      <c r="BQ177" s="291" cm="1">
        <f t="array" aca="1" ref="BQ177" ca="1">INDIRECT("'"&amp;$C177&amp;"'!"&amp;"$"&amp;$D177&amp;$BQ$1&amp;"")</f>
        <v>0.92</v>
      </c>
      <c r="BR177" s="288"/>
      <c r="BS177" s="288">
        <v>0.97</v>
      </c>
      <c r="BT177" s="286">
        <v>0.24</v>
      </c>
      <c r="BU177" s="291" cm="1">
        <f t="array" aca="1" ref="BU177" ca="1">INDIRECT("'"&amp;$C177&amp;"'!"&amp;"$"&amp;$D177&amp;74&amp;"")</f>
        <v>0</v>
      </c>
      <c r="BV177" s="288"/>
      <c r="BW177" s="288" t="s">
        <v>1</v>
      </c>
      <c r="BX177" s="286" t="s">
        <v>1</v>
      </c>
    </row>
    <row r="178" spans="1:76" ht="14.45" thickBot="1">
      <c r="A178" s="460">
        <v>45845</v>
      </c>
      <c r="B178" s="346">
        <v>0.95833333333333404</v>
      </c>
      <c r="C178" s="307">
        <v>7</v>
      </c>
      <c r="D178" s="308" t="s">
        <v>165</v>
      </c>
      <c r="E178" s="293">
        <v>14.2</v>
      </c>
      <c r="F178" s="294">
        <v>69.64</v>
      </c>
      <c r="G178" s="295" t="str" cm="1">
        <f t="array" aca="1" ref="G178" ca="1">INDIRECT("'"&amp;$C178&amp;"'!"&amp;"$"&amp;$D178&amp;$E$1&amp;"")</f>
        <v>CMS</v>
      </c>
      <c r="H178" s="296" t="s">
        <v>1</v>
      </c>
      <c r="I178" s="294" t="s">
        <v>1</v>
      </c>
      <c r="J178" s="295" cm="1">
        <f t="array" aca="1" ref="J178" ca="1">INDIRECT("'"&amp;$C178&amp;"'!"&amp;"$"&amp;$D178&amp;$J$1&amp;"")</f>
        <v>6.7</v>
      </c>
      <c r="K178" s="296"/>
      <c r="L178" s="296">
        <v>0.97</v>
      </c>
      <c r="M178" s="297">
        <v>1.58</v>
      </c>
      <c r="N178" s="293" cm="1">
        <f t="array" aca="1" ref="N178" ca="1">INDIRECT("'"&amp;$C178&amp;"'!"&amp;"$"&amp;$D178&amp;$N$1&amp;"")</f>
        <v>6.7</v>
      </c>
      <c r="O178" s="296"/>
      <c r="P178" s="296">
        <v>0.97</v>
      </c>
      <c r="Q178" s="294">
        <v>1.64</v>
      </c>
      <c r="R178" s="470" cm="1">
        <f t="array" aca="1" ref="R178" ca="1">INDIRECT("'"&amp;$C178&amp;"'!"&amp;"$"&amp;$D178&amp;$R$1&amp;"")</f>
        <v>6.7</v>
      </c>
      <c r="S178" s="296"/>
      <c r="T178" s="296">
        <v>0.95</v>
      </c>
      <c r="U178" s="294">
        <v>2.0499999999999998</v>
      </c>
      <c r="V178" s="295" cm="1">
        <f t="array" aca="1" ref="V178" ca="1">INDIRECT("'"&amp;$C178&amp;"'!"&amp;"$"&amp;$D178&amp;$V$1&amp;"")</f>
        <v>0</v>
      </c>
      <c r="W178" s="296" t="s">
        <v>1</v>
      </c>
      <c r="X178" s="296" t="s">
        <v>1</v>
      </c>
      <c r="Y178" s="297" t="s">
        <v>1</v>
      </c>
      <c r="Z178" s="293" t="str" cm="1">
        <f t="array" aca="1" ref="Z178" ca="1">INDIRECT("'"&amp;$C178&amp;"'!"&amp;"$"&amp;$D178&amp;$Z$1&amp;"")</f>
        <v>CMS</v>
      </c>
      <c r="AA178" s="296" t="s">
        <v>1</v>
      </c>
      <c r="AB178" s="296" t="s">
        <v>1</v>
      </c>
      <c r="AC178" s="294" t="s">
        <v>1</v>
      </c>
      <c r="AD178" s="295" cm="1">
        <f t="array" aca="1" ref="AD178" ca="1">INDIRECT("'"&amp;$C178&amp;"'!"&amp;"$"&amp;$D178&amp;$AD$1&amp;"")</f>
        <v>0</v>
      </c>
      <c r="AE178" s="296" t="s">
        <v>1</v>
      </c>
      <c r="AF178" s="296" t="s">
        <v>1</v>
      </c>
      <c r="AG178" s="297" t="s">
        <v>1</v>
      </c>
      <c r="AH178" s="293" cm="1">
        <f t="array" aca="1" ref="AH178" ca="1">INDIRECT("'"&amp;$C178&amp;"'!"&amp;"$"&amp;$D178&amp;$AH$1&amp;"")</f>
        <v>0</v>
      </c>
      <c r="AI178" s="296" t="s">
        <v>1</v>
      </c>
      <c r="AJ178" s="296" t="s">
        <v>1</v>
      </c>
      <c r="AK178" s="294" t="s">
        <v>1</v>
      </c>
      <c r="AL178" s="293">
        <v>11.5</v>
      </c>
      <c r="AM178" s="297">
        <v>70.599999999999994</v>
      </c>
      <c r="AN178" s="293" cm="1">
        <f t="array" aca="1" ref="AN178" ca="1">INDIRECT("'"&amp;$C178&amp;"'!"&amp;"$"&amp;$D178&amp;$AL$1&amp;"")</f>
        <v>0</v>
      </c>
      <c r="AO178" s="296" t="s">
        <v>1</v>
      </c>
      <c r="AP178" s="294" t="s">
        <v>1</v>
      </c>
      <c r="AQ178" s="295" cm="1">
        <f t="array" aca="1" ref="AQ178" ca="1">INDIRECT("'"&amp;$C178&amp;"'!"&amp;"$"&amp;$D178&amp;$AQ$1&amp;"")</f>
        <v>1.5</v>
      </c>
      <c r="AR178" s="296">
        <v>0.96</v>
      </c>
      <c r="AS178" s="294">
        <v>0.45</v>
      </c>
      <c r="AT178" s="293">
        <v>13.8</v>
      </c>
      <c r="AU178" s="297">
        <v>71</v>
      </c>
      <c r="AV178" s="296" cm="1">
        <f t="array" aca="1" ref="AV178" ca="1">INDIRECT("'"&amp;$C178&amp;"'!"&amp;"$"&amp;$D178&amp;$AV$1&amp;"")</f>
        <v>0</v>
      </c>
      <c r="AW178" s="295" t="s">
        <v>1</v>
      </c>
      <c r="AX178" s="296" t="s">
        <v>1</v>
      </c>
      <c r="AY178" s="294" t="s">
        <v>1</v>
      </c>
      <c r="AZ178" s="296" cm="1">
        <f t="array" aca="1" ref="AZ178" ca="1">INDIRECT("'"&amp;$C178&amp;"'!"&amp;"$"&amp;$D178&amp;$AZ$1&amp;"")</f>
        <v>7</v>
      </c>
      <c r="BA178" s="295" t="s">
        <v>1</v>
      </c>
      <c r="BB178" s="296">
        <v>0.97</v>
      </c>
      <c r="BC178" s="294">
        <v>0.21</v>
      </c>
      <c r="BD178" s="298">
        <v>14.06</v>
      </c>
      <c r="BE178" s="297">
        <v>71.62</v>
      </c>
      <c r="BF178" s="298" cm="1">
        <f t="array" aca="1" ref="BF178" ca="1">INDIRECT("'"&amp;$C178&amp;"'!"&amp;"$"&amp;$D178&amp;$BF$1&amp;"")</f>
        <v>14.24</v>
      </c>
      <c r="BG178" s="296">
        <v>1</v>
      </c>
      <c r="BH178" s="294">
        <v>1.2</v>
      </c>
      <c r="BI178" s="526">
        <v>68.7</v>
      </c>
      <c r="BJ178" s="293" cm="1">
        <f t="array" aca="1" ref="BJ178" ca="1">INDIRECT("'"&amp;$C178&amp;"'!"&amp;"$"&amp;$D178&amp;$BI$1&amp;"")</f>
        <v>0</v>
      </c>
      <c r="BK178" s="295" t="s">
        <v>1</v>
      </c>
      <c r="BL178" s="294" t="s">
        <v>1</v>
      </c>
      <c r="BM178" s="298" cm="1">
        <f t="array" aca="1" ref="BM178" ca="1">INDIRECT("'"&amp;$C178&amp;"'!"&amp;"$"&amp;$D178&amp;$BM$1&amp;"")</f>
        <v>1.05</v>
      </c>
      <c r="BN178" s="296"/>
      <c r="BO178" s="296">
        <v>0.99</v>
      </c>
      <c r="BP178" s="294">
        <v>0.11</v>
      </c>
      <c r="BQ178" s="299" cm="1">
        <f t="array" aca="1" ref="BQ178" ca="1">INDIRECT("'"&amp;$C178&amp;"'!"&amp;"$"&amp;$D178&amp;$BQ$1&amp;"")</f>
        <v>0.84</v>
      </c>
      <c r="BR178" s="296"/>
      <c r="BS178" s="296">
        <v>0.97</v>
      </c>
      <c r="BT178" s="294">
        <v>0.21</v>
      </c>
      <c r="BU178" s="299" cm="1">
        <f t="array" aca="1" ref="BU178" ca="1">INDIRECT("'"&amp;$C178&amp;"'!"&amp;"$"&amp;$D178&amp;74&amp;"")</f>
        <v>0</v>
      </c>
      <c r="BV178" s="296"/>
      <c r="BW178" s="296" t="s">
        <v>1</v>
      </c>
      <c r="BX178" s="294" t="s">
        <v>1</v>
      </c>
    </row>
    <row r="179" spans="1:76" ht="14.45" thickBot="1"/>
    <row r="180" spans="1:76">
      <c r="A180" s="347">
        <v>45846</v>
      </c>
      <c r="B180" s="344">
        <v>0</v>
      </c>
      <c r="C180" s="302">
        <v>8</v>
      </c>
      <c r="D180" s="303" t="s">
        <v>142</v>
      </c>
      <c r="E180" s="272">
        <v>14.2</v>
      </c>
      <c r="F180" s="273">
        <v>70.38</v>
      </c>
      <c r="G180" s="274" t="str" cm="1">
        <f t="array" aca="1" ref="G180" ca="1">INDIRECT("'"&amp;$C180&amp;"'!"&amp;"$"&amp;$D180&amp;$E$1&amp;"")</f>
        <v>CMS</v>
      </c>
      <c r="H180" s="275" t="s">
        <v>1</v>
      </c>
      <c r="I180" s="273" t="s">
        <v>1</v>
      </c>
      <c r="J180" s="274" cm="1">
        <f t="array" aca="1" ref="J180" ca="1">INDIRECT("'"&amp;$C180&amp;"'!"&amp;"$"&amp;$D180&amp;$J$1&amp;"")</f>
        <v>6.6</v>
      </c>
      <c r="K180" s="275"/>
      <c r="L180" s="275">
        <v>0.97</v>
      </c>
      <c r="M180" s="276">
        <v>1.64</v>
      </c>
      <c r="N180" s="272" cm="1">
        <f t="array" aca="1" ref="N180" ca="1">INDIRECT("'"&amp;$C180&amp;"'!"&amp;"$"&amp;$D180&amp;$N$1&amp;"")</f>
        <v>6.6</v>
      </c>
      <c r="O180" s="275"/>
      <c r="P180" s="275">
        <v>0.97</v>
      </c>
      <c r="Q180" s="273">
        <v>1.63</v>
      </c>
      <c r="R180" s="467" cm="1">
        <f t="array" aca="1" ref="R180" ca="1">INDIRECT("'"&amp;$C180&amp;"'!"&amp;"$"&amp;$D180&amp;$R$1&amp;"")</f>
        <v>6.6</v>
      </c>
      <c r="S180" s="275"/>
      <c r="T180" s="275">
        <v>0.99</v>
      </c>
      <c r="U180" s="273">
        <v>1.07</v>
      </c>
      <c r="V180" s="274" cm="1">
        <f t="array" aca="1" ref="V180" ca="1">INDIRECT("'"&amp;$C180&amp;"'!"&amp;"$"&amp;$D180&amp;$V$1&amp;"")</f>
        <v>0</v>
      </c>
      <c r="W180" s="275" t="s">
        <v>1</v>
      </c>
      <c r="X180" s="275" t="s">
        <v>1</v>
      </c>
      <c r="Y180" s="276" t="s">
        <v>1</v>
      </c>
      <c r="Z180" s="272" t="str" cm="1">
        <f t="array" aca="1" ref="Z180" ca="1">INDIRECT("'"&amp;$C180&amp;"'!"&amp;"$"&amp;$D180&amp;$Z$1&amp;"")</f>
        <v>CMS</v>
      </c>
      <c r="AA180" s="275" t="s">
        <v>1</v>
      </c>
      <c r="AB180" s="275" t="s">
        <v>1</v>
      </c>
      <c r="AC180" s="273" t="s">
        <v>1</v>
      </c>
      <c r="AD180" s="274" cm="1">
        <f t="array" aca="1" ref="AD180" ca="1">INDIRECT("'"&amp;$C180&amp;"'!"&amp;"$"&amp;$D180&amp;$AD$1&amp;"")</f>
        <v>0</v>
      </c>
      <c r="AE180" s="275" t="s">
        <v>1</v>
      </c>
      <c r="AF180" s="275" t="s">
        <v>1</v>
      </c>
      <c r="AG180" s="273" t="s">
        <v>1</v>
      </c>
      <c r="AH180" s="272" cm="1">
        <f t="array" aca="1" ref="AH180" ca="1">INDIRECT("'"&amp;$C180&amp;"'!"&amp;"$"&amp;$D180&amp;$AH$1&amp;"")</f>
        <v>0</v>
      </c>
      <c r="AI180" s="275" t="s">
        <v>1</v>
      </c>
      <c r="AJ180" s="275" t="s">
        <v>1</v>
      </c>
      <c r="AK180" s="273" t="s">
        <v>1</v>
      </c>
      <c r="AL180" s="272">
        <v>11.6</v>
      </c>
      <c r="AM180" s="276">
        <v>70.900000000000006</v>
      </c>
      <c r="AN180" s="272" cm="1">
        <f t="array" aca="1" ref="AN180" ca="1">INDIRECT("'"&amp;$C180&amp;"'!"&amp;"$"&amp;$D180&amp;$AL$1&amp;"")</f>
        <v>0</v>
      </c>
      <c r="AO180" s="275" t="s">
        <v>1</v>
      </c>
      <c r="AP180" s="273" t="s">
        <v>1</v>
      </c>
      <c r="AQ180" s="274" cm="1">
        <f t="array" aca="1" ref="AQ180" ca="1">INDIRECT("'"&amp;$C180&amp;"'!"&amp;"$"&amp;$D180&amp;$AQ$1&amp;"")</f>
        <v>1.5</v>
      </c>
      <c r="AR180" s="275">
        <v>0.99</v>
      </c>
      <c r="AS180" s="273">
        <v>0.1</v>
      </c>
      <c r="AT180" s="272">
        <v>13.8</v>
      </c>
      <c r="AU180" s="276">
        <v>71</v>
      </c>
      <c r="AV180" s="275" cm="1">
        <f t="array" aca="1" ref="AV180" ca="1">INDIRECT("'"&amp;$C180&amp;"'!"&amp;"$"&amp;$D180&amp;$AV$1&amp;"")</f>
        <v>0</v>
      </c>
      <c r="AW180" s="274" t="s">
        <v>1</v>
      </c>
      <c r="AX180" s="275" t="s">
        <v>1</v>
      </c>
      <c r="AY180" s="273" t="s">
        <v>1</v>
      </c>
      <c r="AZ180" s="275" cm="1">
        <f t="array" aca="1" ref="AZ180" ca="1">INDIRECT("'"&amp;$C180&amp;"'!"&amp;"$"&amp;$D180&amp;$AZ$1&amp;"")</f>
        <v>3.5</v>
      </c>
      <c r="BA180" s="274" t="s">
        <v>1</v>
      </c>
      <c r="BB180" s="275">
        <v>0.95</v>
      </c>
      <c r="BC180" s="273">
        <v>1.28</v>
      </c>
      <c r="BD180" s="277">
        <v>14.07</v>
      </c>
      <c r="BE180" s="276">
        <v>71.790000000000006</v>
      </c>
      <c r="BF180" s="277" cm="1">
        <f t="array" aca="1" ref="BF180" ca="1">INDIRECT("'"&amp;$C180&amp;"'!"&amp;"$"&amp;$D180&amp;$BF$1&amp;"")</f>
        <v>14.27</v>
      </c>
      <c r="BG180" s="275">
        <v>1</v>
      </c>
      <c r="BH180" s="273">
        <v>1.3</v>
      </c>
      <c r="BI180" s="523">
        <v>69.2</v>
      </c>
      <c r="BJ180" s="272" cm="1">
        <f t="array" aca="1" ref="BJ180" ca="1">INDIRECT("'"&amp;$C180&amp;"'!"&amp;"$"&amp;$D180&amp;$BI$1&amp;"")</f>
        <v>0</v>
      </c>
      <c r="BK180" s="274" t="s">
        <v>1</v>
      </c>
      <c r="BL180" s="273" t="s">
        <v>1</v>
      </c>
      <c r="BM180" s="277" cm="1">
        <f t="array" aca="1" ref="BM180" ca="1">INDIRECT("'"&amp;$C180&amp;"'!"&amp;"$"&amp;$D180&amp;$BM$1&amp;"")</f>
        <v>0.95</v>
      </c>
      <c r="BN180" s="275"/>
      <c r="BO180" s="275">
        <v>0.99</v>
      </c>
      <c r="BP180" s="273">
        <v>0.1</v>
      </c>
      <c r="BQ180" s="277" cm="1">
        <f t="array" aca="1" ref="BQ180" ca="1">INDIRECT("'"&amp;$C180&amp;"'!"&amp;"$"&amp;$D180&amp;$BQ$1&amp;"")</f>
        <v>0.8</v>
      </c>
      <c r="BR180" s="275"/>
      <c r="BS180" s="275">
        <v>0.97</v>
      </c>
      <c r="BT180" s="273">
        <v>0.2</v>
      </c>
      <c r="BU180" s="358" cm="1">
        <f t="array" aca="1" ref="BU180" ca="1">INDIRECT("'"&amp;$C180&amp;"'!"&amp;"$"&amp;$D180&amp;74&amp;"")</f>
        <v>0</v>
      </c>
      <c r="BV180" s="275"/>
      <c r="BW180" s="275" t="s">
        <v>1</v>
      </c>
      <c r="BX180" s="273" t="s">
        <v>1</v>
      </c>
    </row>
    <row r="181" spans="1:76">
      <c r="A181" s="459">
        <v>45846</v>
      </c>
      <c r="B181" s="345">
        <v>4.1666666666666699E-2</v>
      </c>
      <c r="C181" s="305">
        <v>8</v>
      </c>
      <c r="D181" s="306" t="s">
        <v>143</v>
      </c>
      <c r="E181" s="278">
        <v>14.1</v>
      </c>
      <c r="F181" s="279">
        <v>69.97</v>
      </c>
      <c r="G181" s="280" t="str" cm="1">
        <f t="array" aca="1" ref="G181" ca="1">INDIRECT("'"&amp;$C181&amp;"'!"&amp;"$"&amp;$D181&amp;$E$1&amp;"")</f>
        <v>CMS</v>
      </c>
      <c r="H181" s="281" t="s">
        <v>1</v>
      </c>
      <c r="I181" s="279" t="s">
        <v>1</v>
      </c>
      <c r="J181" s="280" cm="1">
        <f t="array" aca="1" ref="J181" ca="1">INDIRECT("'"&amp;$C181&amp;"'!"&amp;"$"&amp;$D181&amp;$J$1&amp;"")</f>
        <v>6.7</v>
      </c>
      <c r="K181" s="281"/>
      <c r="L181" s="281">
        <v>0.98</v>
      </c>
      <c r="M181" s="282">
        <v>1.45</v>
      </c>
      <c r="N181" s="278" cm="1">
        <f t="array" aca="1" ref="N181" ca="1">INDIRECT("'"&amp;$C181&amp;"'!"&amp;"$"&amp;$D181&amp;$N$1&amp;"")</f>
        <v>0</v>
      </c>
      <c r="O181" s="281"/>
      <c r="P181" s="281" t="s">
        <v>1</v>
      </c>
      <c r="Q181" s="279" t="s">
        <v>1</v>
      </c>
      <c r="R181" s="468" cm="1">
        <f t="array" aca="1" ref="R181" ca="1">INDIRECT("'"&amp;$C181&amp;"'!"&amp;"$"&amp;$D181&amp;$R$1&amp;"")</f>
        <v>6.7</v>
      </c>
      <c r="S181" s="281"/>
      <c r="T181" s="281">
        <v>0.95</v>
      </c>
      <c r="U181" s="279">
        <v>2.19</v>
      </c>
      <c r="V181" s="280" cm="1">
        <f t="array" aca="1" ref="V181" ca="1">INDIRECT("'"&amp;$C181&amp;"'!"&amp;"$"&amp;$D181&amp;$V$1&amp;"")</f>
        <v>0</v>
      </c>
      <c r="W181" s="281" t="s">
        <v>1</v>
      </c>
      <c r="X181" s="281" t="s">
        <v>1</v>
      </c>
      <c r="Y181" s="282" t="s">
        <v>1</v>
      </c>
      <c r="Z181" s="278" t="str" cm="1">
        <f t="array" aca="1" ref="Z181" ca="1">INDIRECT("'"&amp;$C181&amp;"'!"&amp;"$"&amp;$D181&amp;$Z$1&amp;"")</f>
        <v>CMS</v>
      </c>
      <c r="AA181" s="281" t="s">
        <v>1</v>
      </c>
      <c r="AB181" s="281" t="s">
        <v>1</v>
      </c>
      <c r="AC181" s="279" t="s">
        <v>1</v>
      </c>
      <c r="AD181" s="280" cm="1">
        <f t="array" aca="1" ref="AD181" ca="1">INDIRECT("'"&amp;$C181&amp;"'!"&amp;"$"&amp;$D181&amp;$AD$1&amp;"")</f>
        <v>0</v>
      </c>
      <c r="AE181" s="281" t="s">
        <v>1</v>
      </c>
      <c r="AF181" s="281" t="s">
        <v>1</v>
      </c>
      <c r="AG181" s="282" t="s">
        <v>1</v>
      </c>
      <c r="AH181" s="278" cm="1">
        <f t="array" aca="1" ref="AH181" ca="1">INDIRECT("'"&amp;$C181&amp;"'!"&amp;"$"&amp;$D181&amp;$AH$1&amp;"")</f>
        <v>0</v>
      </c>
      <c r="AI181" s="281" t="s">
        <v>1</v>
      </c>
      <c r="AJ181" s="281" t="s">
        <v>1</v>
      </c>
      <c r="AK181" s="279" t="s">
        <v>1</v>
      </c>
      <c r="AL181" s="278">
        <v>11.6</v>
      </c>
      <c r="AM181" s="282">
        <v>70.8</v>
      </c>
      <c r="AN181" s="278" cm="1">
        <f t="array" aca="1" ref="AN181" ca="1">INDIRECT("'"&amp;$C181&amp;"'!"&amp;"$"&amp;$D181&amp;$AL$1&amp;"")</f>
        <v>0</v>
      </c>
      <c r="AO181" s="281" t="s">
        <v>1</v>
      </c>
      <c r="AP181" s="279" t="s">
        <v>1</v>
      </c>
      <c r="AQ181" s="280" cm="1">
        <f t="array" aca="1" ref="AQ181" ca="1">INDIRECT("'"&amp;$C181&amp;"'!"&amp;"$"&amp;$D181&amp;$AQ$1&amp;"")</f>
        <v>2.5</v>
      </c>
      <c r="AR181" s="281">
        <v>0.99</v>
      </c>
      <c r="AS181" s="279">
        <v>0.2</v>
      </c>
      <c r="AT181" s="278">
        <v>13.8</v>
      </c>
      <c r="AU181" s="282">
        <v>71</v>
      </c>
      <c r="AV181" s="281" cm="1">
        <f t="array" aca="1" ref="AV181" ca="1">INDIRECT("'"&amp;$C181&amp;"'!"&amp;"$"&amp;$D181&amp;$AV$1&amp;"")</f>
        <v>0</v>
      </c>
      <c r="AW181" s="280" t="s">
        <v>1</v>
      </c>
      <c r="AX181" s="281" t="s">
        <v>1</v>
      </c>
      <c r="AY181" s="279" t="s">
        <v>1</v>
      </c>
      <c r="AZ181" s="281" cm="1">
        <f t="array" aca="1" ref="AZ181" ca="1">INDIRECT("'"&amp;$C181&amp;"'!"&amp;"$"&amp;$D181&amp;$AZ$1&amp;"")</f>
        <v>7</v>
      </c>
      <c r="BA181" s="280" t="s">
        <v>1</v>
      </c>
      <c r="BB181" s="281">
        <v>0.95</v>
      </c>
      <c r="BC181" s="279">
        <v>1.31</v>
      </c>
      <c r="BD181" s="283">
        <v>14.04</v>
      </c>
      <c r="BE181" s="282">
        <v>71.59</v>
      </c>
      <c r="BF181" s="283" cm="1">
        <f t="array" aca="1" ref="BF181" ca="1">INDIRECT("'"&amp;$C181&amp;"'!"&amp;"$"&amp;$D181&amp;$BF$1&amp;"")</f>
        <v>14.3</v>
      </c>
      <c r="BG181" s="281">
        <v>1</v>
      </c>
      <c r="BH181" s="279">
        <v>1.3</v>
      </c>
      <c r="BI181" s="524">
        <v>68.900000000000006</v>
      </c>
      <c r="BJ181" s="278" cm="1">
        <f t="array" aca="1" ref="BJ181" ca="1">INDIRECT("'"&amp;$C181&amp;"'!"&amp;"$"&amp;$D181&amp;$BI$1&amp;"")</f>
        <v>0</v>
      </c>
      <c r="BK181" s="280" t="s">
        <v>1</v>
      </c>
      <c r="BL181" s="279" t="s">
        <v>1</v>
      </c>
      <c r="BM181" s="283" cm="1">
        <f t="array" aca="1" ref="BM181" ca="1">INDIRECT("'"&amp;$C181&amp;"'!"&amp;"$"&amp;$D181&amp;$BM$1&amp;"")</f>
        <v>0.9</v>
      </c>
      <c r="BN181" s="281"/>
      <c r="BO181" s="281">
        <v>0.99</v>
      </c>
      <c r="BP181" s="279">
        <v>0.1</v>
      </c>
      <c r="BQ181" s="283" cm="1">
        <f t="array" aca="1" ref="BQ181" ca="1">INDIRECT("'"&amp;$C181&amp;"'!"&amp;"$"&amp;$D181&amp;$BQ$1&amp;"")</f>
        <v>0.76</v>
      </c>
      <c r="BR181" s="281"/>
      <c r="BS181" s="281">
        <v>0.97</v>
      </c>
      <c r="BT181" s="279">
        <v>0.2</v>
      </c>
      <c r="BU181" s="284" cm="1">
        <f t="array" aca="1" ref="BU181" ca="1">INDIRECT("'"&amp;$C181&amp;"'!"&amp;"$"&amp;$D181&amp;74&amp;"")</f>
        <v>0</v>
      </c>
      <c r="BV181" s="281"/>
      <c r="BW181" s="281" t="s">
        <v>1</v>
      </c>
      <c r="BX181" s="279" t="s">
        <v>1</v>
      </c>
    </row>
    <row r="182" spans="1:76">
      <c r="A182" s="459">
        <v>45846</v>
      </c>
      <c r="B182" s="345">
        <v>8.3333333333333301E-2</v>
      </c>
      <c r="C182" s="305">
        <v>8</v>
      </c>
      <c r="D182" s="306" t="s">
        <v>144</v>
      </c>
      <c r="E182" s="285">
        <v>14.1</v>
      </c>
      <c r="F182" s="286">
        <v>70.03</v>
      </c>
      <c r="G182" s="287" t="str" cm="1">
        <f t="array" aca="1" ref="G182" ca="1">INDIRECT("'"&amp;$C182&amp;"'!"&amp;"$"&amp;$D182&amp;$E$1&amp;"")</f>
        <v>CMS</v>
      </c>
      <c r="H182" s="288" t="s">
        <v>1</v>
      </c>
      <c r="I182" s="286" t="s">
        <v>1</v>
      </c>
      <c r="J182" s="287" cm="1">
        <f t="array" aca="1" ref="J182" ca="1">INDIRECT("'"&amp;$C182&amp;"'!"&amp;"$"&amp;$D182&amp;$J$1&amp;"")</f>
        <v>6.8</v>
      </c>
      <c r="K182" s="288"/>
      <c r="L182" s="288">
        <v>0.98</v>
      </c>
      <c r="M182" s="289">
        <v>1.52</v>
      </c>
      <c r="N182" s="285" cm="1">
        <f t="array" aca="1" ref="N182" ca="1">INDIRECT("'"&amp;$C182&amp;"'!"&amp;"$"&amp;$D182&amp;$N$1&amp;"")</f>
        <v>0</v>
      </c>
      <c r="O182" s="288"/>
      <c r="P182" s="288" t="s">
        <v>1</v>
      </c>
      <c r="Q182" s="286" t="s">
        <v>1</v>
      </c>
      <c r="R182" s="285" cm="1">
        <f t="array" aca="1" ref="R182" ca="1">INDIRECT("'"&amp;$C182&amp;"'!"&amp;"$"&amp;$D182&amp;$R$1&amp;"")</f>
        <v>6.8</v>
      </c>
      <c r="S182" s="288"/>
      <c r="T182" s="288">
        <v>0.97</v>
      </c>
      <c r="U182" s="286">
        <v>1.79</v>
      </c>
      <c r="V182" s="287" cm="1">
        <f t="array" aca="1" ref="V182" ca="1">INDIRECT("'"&amp;$C182&amp;"'!"&amp;"$"&amp;$D182&amp;$V$1&amp;"")</f>
        <v>0</v>
      </c>
      <c r="W182" s="288" t="s">
        <v>1</v>
      </c>
      <c r="X182" s="288" t="s">
        <v>1</v>
      </c>
      <c r="Y182" s="289" t="s">
        <v>1</v>
      </c>
      <c r="Z182" s="278" t="str" cm="1">
        <f t="array" aca="1" ref="Z182" ca="1">INDIRECT("'"&amp;$C182&amp;"'!"&amp;"$"&amp;$D182&amp;$Z$1&amp;"")</f>
        <v>CMS</v>
      </c>
      <c r="AA182" s="288" t="s">
        <v>1</v>
      </c>
      <c r="AB182" s="288" t="s">
        <v>1</v>
      </c>
      <c r="AC182" s="286" t="s">
        <v>1</v>
      </c>
      <c r="AD182" s="287" cm="1">
        <f t="array" aca="1" ref="AD182" ca="1">INDIRECT("'"&amp;$C182&amp;"'!"&amp;"$"&amp;$D182&amp;$AD$1&amp;"")</f>
        <v>0</v>
      </c>
      <c r="AE182" s="288" t="s">
        <v>1</v>
      </c>
      <c r="AF182" s="288" t="s">
        <v>1</v>
      </c>
      <c r="AG182" s="289" t="s">
        <v>1</v>
      </c>
      <c r="AH182" s="285" cm="1">
        <f t="array" aca="1" ref="AH182" ca="1">INDIRECT("'"&amp;$C182&amp;"'!"&amp;"$"&amp;$D182&amp;$AH$1&amp;"")</f>
        <v>0</v>
      </c>
      <c r="AI182" s="288" t="s">
        <v>1</v>
      </c>
      <c r="AJ182" s="288" t="s">
        <v>1</v>
      </c>
      <c r="AK182" s="289" t="s">
        <v>1</v>
      </c>
      <c r="AL182" s="285">
        <v>11.6</v>
      </c>
      <c r="AM182" s="289">
        <v>70.900000000000006</v>
      </c>
      <c r="AN182" s="285" cm="1">
        <f t="array" aca="1" ref="AN182" ca="1">INDIRECT("'"&amp;$C182&amp;"'!"&amp;"$"&amp;$D182&amp;$AL$1&amp;"")</f>
        <v>0</v>
      </c>
      <c r="AO182" s="288" t="s">
        <v>1</v>
      </c>
      <c r="AP182" s="286" t="s">
        <v>1</v>
      </c>
      <c r="AQ182" s="287" cm="1">
        <f t="array" aca="1" ref="AQ182" ca="1">INDIRECT("'"&amp;$C182&amp;"'!"&amp;"$"&amp;$D182&amp;$AQ$1&amp;"")</f>
        <v>1.5</v>
      </c>
      <c r="AR182" s="288">
        <v>0.99</v>
      </c>
      <c r="AS182" s="286">
        <v>0.2</v>
      </c>
      <c r="AT182" s="285">
        <v>13.8</v>
      </c>
      <c r="AU182" s="289">
        <v>71</v>
      </c>
      <c r="AV182" s="288" cm="1">
        <f t="array" aca="1" ref="AV182" ca="1">INDIRECT("'"&amp;$C182&amp;"'!"&amp;"$"&amp;$D182&amp;$AV$1&amp;"")</f>
        <v>0</v>
      </c>
      <c r="AW182" s="287" t="s">
        <v>1</v>
      </c>
      <c r="AX182" s="288" t="s">
        <v>1</v>
      </c>
      <c r="AY182" s="286" t="s">
        <v>1</v>
      </c>
      <c r="AZ182" s="288" cm="1">
        <f t="array" aca="1" ref="AZ182" ca="1">INDIRECT("'"&amp;$C182&amp;"'!"&amp;"$"&amp;$D182&amp;$AZ$1&amp;"")</f>
        <v>6.5</v>
      </c>
      <c r="BA182" s="287" t="s">
        <v>1</v>
      </c>
      <c r="BB182" s="288">
        <v>0.98</v>
      </c>
      <c r="BC182" s="286">
        <v>1.2</v>
      </c>
      <c r="BD182" s="290">
        <v>14.07</v>
      </c>
      <c r="BE182" s="289">
        <v>71.67</v>
      </c>
      <c r="BF182" s="290" cm="1">
        <f t="array" aca="1" ref="BF182" ca="1">INDIRECT("'"&amp;$C182&amp;"'!"&amp;"$"&amp;$D182&amp;$BF$1&amp;"")</f>
        <v>14.27</v>
      </c>
      <c r="BG182" s="288">
        <v>1</v>
      </c>
      <c r="BH182" s="286">
        <v>1.3</v>
      </c>
      <c r="BI182" s="525">
        <v>69.099999999999994</v>
      </c>
      <c r="BJ182" s="285" cm="1">
        <f t="array" aca="1" ref="BJ182" ca="1">INDIRECT("'"&amp;$C182&amp;"'!"&amp;"$"&amp;$D182&amp;$BI$1&amp;"")</f>
        <v>0</v>
      </c>
      <c r="BK182" s="287" t="s">
        <v>1</v>
      </c>
      <c r="BL182" s="286" t="s">
        <v>1</v>
      </c>
      <c r="BM182" s="290" cm="1">
        <f t="array" aca="1" ref="BM182" ca="1">INDIRECT("'"&amp;$C182&amp;"'!"&amp;"$"&amp;$D182&amp;$BM$1&amp;"")</f>
        <v>0.85</v>
      </c>
      <c r="BN182" s="288"/>
      <c r="BO182" s="288">
        <v>0.99</v>
      </c>
      <c r="BP182" s="286">
        <v>0.09</v>
      </c>
      <c r="BQ182" s="290" cm="1">
        <f t="array" aca="1" ref="BQ182" ca="1">INDIRECT("'"&amp;$C182&amp;"'!"&amp;"$"&amp;$D182&amp;$BQ$1&amp;"")</f>
        <v>0.73</v>
      </c>
      <c r="BR182" s="288"/>
      <c r="BS182" s="288">
        <v>0.97</v>
      </c>
      <c r="BT182" s="286">
        <v>0.2</v>
      </c>
      <c r="BU182" s="291" cm="1">
        <f t="array" aca="1" ref="BU182" ca="1">INDIRECT("'"&amp;$C182&amp;"'!"&amp;"$"&amp;$D182&amp;74&amp;"")</f>
        <v>0</v>
      </c>
      <c r="BV182" s="288"/>
      <c r="BW182" s="288" t="s">
        <v>1</v>
      </c>
      <c r="BX182" s="286" t="s">
        <v>1</v>
      </c>
    </row>
    <row r="183" spans="1:76">
      <c r="A183" s="459">
        <v>45846</v>
      </c>
      <c r="B183" s="345">
        <v>0.125</v>
      </c>
      <c r="C183" s="305">
        <v>8</v>
      </c>
      <c r="D183" s="306" t="s">
        <v>145</v>
      </c>
      <c r="E183" s="278">
        <v>14.1</v>
      </c>
      <c r="F183" s="279">
        <v>70.11</v>
      </c>
      <c r="G183" s="280" t="str" cm="1">
        <f t="array" aca="1" ref="G183" ca="1">INDIRECT("'"&amp;$C183&amp;"'!"&amp;"$"&amp;$D183&amp;$E$1&amp;"")</f>
        <v>CMS</v>
      </c>
      <c r="H183" s="281" t="s">
        <v>1</v>
      </c>
      <c r="I183" s="279" t="s">
        <v>1</v>
      </c>
      <c r="J183" s="280" cm="1">
        <f t="array" aca="1" ref="J183" ca="1">INDIRECT("'"&amp;$C183&amp;"'!"&amp;"$"&amp;$D183&amp;$J$1&amp;"")</f>
        <v>6.7</v>
      </c>
      <c r="K183" s="281"/>
      <c r="L183" s="281">
        <v>0.98</v>
      </c>
      <c r="M183" s="282">
        <v>1.49</v>
      </c>
      <c r="N183" s="278" cm="1">
        <f t="array" aca="1" ref="N183" ca="1">INDIRECT("'"&amp;$C183&amp;"'!"&amp;"$"&amp;$D183&amp;$N$1&amp;"")</f>
        <v>0</v>
      </c>
      <c r="O183" s="281"/>
      <c r="P183" s="281" t="s">
        <v>1</v>
      </c>
      <c r="Q183" s="279" t="s">
        <v>1</v>
      </c>
      <c r="R183" s="468" cm="1">
        <f t="array" aca="1" ref="R183" ca="1">INDIRECT("'"&amp;$C183&amp;"'!"&amp;"$"&amp;$D183&amp;$R$1&amp;"")</f>
        <v>6.7</v>
      </c>
      <c r="S183" s="281"/>
      <c r="T183" s="281">
        <v>0.98</v>
      </c>
      <c r="U183" s="279">
        <v>1.44</v>
      </c>
      <c r="V183" s="280" cm="1">
        <f t="array" aca="1" ref="V183" ca="1">INDIRECT("'"&amp;$C183&amp;"'!"&amp;"$"&amp;$D183&amp;$V$1&amp;"")</f>
        <v>0</v>
      </c>
      <c r="W183" s="281" t="s">
        <v>1</v>
      </c>
      <c r="X183" s="281" t="s">
        <v>1</v>
      </c>
      <c r="Y183" s="282" t="s">
        <v>1</v>
      </c>
      <c r="Z183" s="278" t="str" cm="1">
        <f t="array" aca="1" ref="Z183" ca="1">INDIRECT("'"&amp;$C183&amp;"'!"&amp;"$"&amp;$D183&amp;$Z$1&amp;"")</f>
        <v>CMS</v>
      </c>
      <c r="AA183" s="281" t="s">
        <v>1</v>
      </c>
      <c r="AB183" s="281" t="s">
        <v>1</v>
      </c>
      <c r="AC183" s="279" t="s">
        <v>1</v>
      </c>
      <c r="AD183" s="280" cm="1">
        <f t="array" aca="1" ref="AD183" ca="1">INDIRECT("'"&amp;$C183&amp;"'!"&amp;"$"&amp;$D183&amp;$AD$1&amp;"")</f>
        <v>0</v>
      </c>
      <c r="AE183" s="281" t="s">
        <v>1</v>
      </c>
      <c r="AF183" s="281" t="s">
        <v>1</v>
      </c>
      <c r="AG183" s="282" t="s">
        <v>1</v>
      </c>
      <c r="AH183" s="278" cm="1">
        <f t="array" aca="1" ref="AH183" ca="1">INDIRECT("'"&amp;$C183&amp;"'!"&amp;"$"&amp;$D183&amp;$AH$1&amp;"")</f>
        <v>0</v>
      </c>
      <c r="AI183" s="281" t="s">
        <v>1</v>
      </c>
      <c r="AJ183" s="281" t="s">
        <v>1</v>
      </c>
      <c r="AK183" s="279" t="s">
        <v>1</v>
      </c>
      <c r="AL183" s="278">
        <v>11.6</v>
      </c>
      <c r="AM183" s="282">
        <v>70.8</v>
      </c>
      <c r="AN183" s="278" cm="1">
        <f t="array" aca="1" ref="AN183" ca="1">INDIRECT("'"&amp;$C183&amp;"'!"&amp;"$"&amp;$D183&amp;$AL$1&amp;"")</f>
        <v>0</v>
      </c>
      <c r="AO183" s="281" t="s">
        <v>1</v>
      </c>
      <c r="AP183" s="279" t="s">
        <v>1</v>
      </c>
      <c r="AQ183" s="280" cm="1">
        <f t="array" aca="1" ref="AQ183" ca="1">INDIRECT("'"&amp;$C183&amp;"'!"&amp;"$"&amp;$D183&amp;$AQ$1&amp;"")</f>
        <v>1.5</v>
      </c>
      <c r="AR183" s="281">
        <v>0.99</v>
      </c>
      <c r="AS183" s="279">
        <v>0.2</v>
      </c>
      <c r="AT183" s="278">
        <v>13.8</v>
      </c>
      <c r="AU183" s="282">
        <v>71</v>
      </c>
      <c r="AV183" s="281" cm="1">
        <f t="array" aca="1" ref="AV183" ca="1">INDIRECT("'"&amp;$C183&amp;"'!"&amp;"$"&amp;$D183&amp;$AV$1&amp;"")</f>
        <v>0</v>
      </c>
      <c r="AW183" s="280" t="s">
        <v>1</v>
      </c>
      <c r="AX183" s="281" t="s">
        <v>1</v>
      </c>
      <c r="AY183" s="279" t="s">
        <v>1</v>
      </c>
      <c r="AZ183" s="281" cm="1">
        <f t="array" aca="1" ref="AZ183" ca="1">INDIRECT("'"&amp;$C183&amp;"'!"&amp;"$"&amp;$D183&amp;$AZ$1&amp;"")</f>
        <v>5.6</v>
      </c>
      <c r="BA183" s="280" t="s">
        <v>1</v>
      </c>
      <c r="BB183" s="281">
        <v>0.97</v>
      </c>
      <c r="BC183" s="279">
        <v>1.27</v>
      </c>
      <c r="BD183" s="283">
        <v>14.08</v>
      </c>
      <c r="BE183" s="282">
        <v>71.73</v>
      </c>
      <c r="BF183" s="283" cm="1">
        <f t="array" aca="1" ref="BF183" ca="1">INDIRECT("'"&amp;$C183&amp;"'!"&amp;"$"&amp;$D183&amp;$BF$1&amp;"")</f>
        <v>14.29</v>
      </c>
      <c r="BG183" s="281">
        <v>1</v>
      </c>
      <c r="BH183" s="279">
        <v>1.3</v>
      </c>
      <c r="BI183" s="524">
        <v>69.2</v>
      </c>
      <c r="BJ183" s="278" cm="1">
        <f t="array" aca="1" ref="BJ183" ca="1">INDIRECT("'"&amp;$C183&amp;"'!"&amp;"$"&amp;$D183&amp;$BI$1&amp;"")</f>
        <v>0</v>
      </c>
      <c r="BK183" s="280" t="s">
        <v>1</v>
      </c>
      <c r="BL183" s="279" t="s">
        <v>1</v>
      </c>
      <c r="BM183" s="283" cm="1">
        <f t="array" aca="1" ref="BM183" ca="1">INDIRECT("'"&amp;$C183&amp;"'!"&amp;"$"&amp;$D183&amp;$BM$1&amp;"")</f>
        <v>0.8</v>
      </c>
      <c r="BN183" s="281"/>
      <c r="BO183" s="281">
        <v>0.99</v>
      </c>
      <c r="BP183" s="279">
        <v>0.09</v>
      </c>
      <c r="BQ183" s="283" cm="1">
        <f t="array" aca="1" ref="BQ183" ca="1">INDIRECT("'"&amp;$C183&amp;"'!"&amp;"$"&amp;$D183&amp;$BQ$1&amp;"")</f>
        <v>0.71</v>
      </c>
      <c r="BR183" s="281"/>
      <c r="BS183" s="281">
        <v>0.97</v>
      </c>
      <c r="BT183" s="279">
        <v>0.19</v>
      </c>
      <c r="BU183" s="284" cm="1">
        <f t="array" aca="1" ref="BU183" ca="1">INDIRECT("'"&amp;$C183&amp;"'!"&amp;"$"&amp;$D183&amp;74&amp;"")</f>
        <v>0</v>
      </c>
      <c r="BV183" s="281"/>
      <c r="BW183" s="281" t="s">
        <v>1</v>
      </c>
      <c r="BX183" s="279" t="s">
        <v>1</v>
      </c>
    </row>
    <row r="184" spans="1:76">
      <c r="A184" s="459">
        <v>45846</v>
      </c>
      <c r="B184" s="345">
        <v>0.16666666666666699</v>
      </c>
      <c r="C184" s="305">
        <v>8</v>
      </c>
      <c r="D184" s="306" t="s">
        <v>146</v>
      </c>
      <c r="E184" s="285">
        <v>14.2</v>
      </c>
      <c r="F184" s="286">
        <v>70.09</v>
      </c>
      <c r="G184" s="287" t="str" cm="1">
        <f t="array" aca="1" ref="G184" ca="1">INDIRECT("'"&amp;$C184&amp;"'!"&amp;"$"&amp;$D184&amp;$E$1&amp;"")</f>
        <v>CMS</v>
      </c>
      <c r="H184" s="288" t="s">
        <v>1</v>
      </c>
      <c r="I184" s="286" t="s">
        <v>1</v>
      </c>
      <c r="J184" s="287" cm="1">
        <f t="array" aca="1" ref="J184" ca="1">INDIRECT("'"&amp;$C184&amp;"'!"&amp;"$"&amp;$D184&amp;$J$1&amp;"")</f>
        <v>6.6</v>
      </c>
      <c r="K184" s="288"/>
      <c r="L184" s="288">
        <v>0.98</v>
      </c>
      <c r="M184" s="286">
        <v>1.51</v>
      </c>
      <c r="N184" s="285" cm="1">
        <f t="array" aca="1" ref="N184" ca="1">INDIRECT("'"&amp;$C184&amp;"'!"&amp;"$"&amp;$D184&amp;$N$1&amp;"")</f>
        <v>6.5</v>
      </c>
      <c r="O184" s="288"/>
      <c r="P184" s="288">
        <v>0.97</v>
      </c>
      <c r="Q184" s="286">
        <v>1.66</v>
      </c>
      <c r="R184" s="285" cm="1">
        <f t="array" aca="1" ref="R184" ca="1">INDIRECT("'"&amp;$C184&amp;"'!"&amp;"$"&amp;$D184&amp;$R$1&amp;"")</f>
        <v>0</v>
      </c>
      <c r="S184" s="288"/>
      <c r="T184" s="288" t="s">
        <v>1</v>
      </c>
      <c r="U184" s="286" t="s">
        <v>1</v>
      </c>
      <c r="V184" s="287" cm="1">
        <f t="array" aca="1" ref="V184" ca="1">INDIRECT("'"&amp;$C184&amp;"'!"&amp;"$"&amp;$D184&amp;$V$1&amp;"")</f>
        <v>0</v>
      </c>
      <c r="W184" s="288" t="s">
        <v>1</v>
      </c>
      <c r="X184" s="288" t="s">
        <v>1</v>
      </c>
      <c r="Y184" s="289" t="s">
        <v>1</v>
      </c>
      <c r="Z184" s="285" t="str" cm="1">
        <f t="array" aca="1" ref="Z184" ca="1">INDIRECT("'"&amp;$C184&amp;"'!"&amp;"$"&amp;$D184&amp;$Z$1&amp;"")</f>
        <v>CMS</v>
      </c>
      <c r="AA184" s="288" t="s">
        <v>1</v>
      </c>
      <c r="AB184" s="288" t="s">
        <v>1</v>
      </c>
      <c r="AC184" s="286" t="s">
        <v>1</v>
      </c>
      <c r="AD184" s="287" cm="1">
        <f t="array" aca="1" ref="AD184" ca="1">INDIRECT("'"&amp;$C184&amp;"'!"&amp;"$"&amp;$D184&amp;$AD$1&amp;"")</f>
        <v>0</v>
      </c>
      <c r="AE184" s="288" t="s">
        <v>1</v>
      </c>
      <c r="AF184" s="288" t="s">
        <v>1</v>
      </c>
      <c r="AG184" s="289" t="s">
        <v>1</v>
      </c>
      <c r="AH184" s="285" cm="1">
        <f t="array" aca="1" ref="AH184" ca="1">INDIRECT("'"&amp;$C184&amp;"'!"&amp;"$"&amp;$D184&amp;$AH$1&amp;"")</f>
        <v>0</v>
      </c>
      <c r="AI184" s="288" t="s">
        <v>1</v>
      </c>
      <c r="AJ184" s="288" t="s">
        <v>1</v>
      </c>
      <c r="AK184" s="286" t="s">
        <v>1</v>
      </c>
      <c r="AL184" s="285">
        <v>11.6</v>
      </c>
      <c r="AM184" s="289">
        <v>70.8</v>
      </c>
      <c r="AN184" s="285" cm="1">
        <f t="array" aca="1" ref="AN184" ca="1">INDIRECT("'"&amp;$C184&amp;"'!"&amp;"$"&amp;$D184&amp;$AL$1&amp;"")</f>
        <v>0</v>
      </c>
      <c r="AO184" s="288" t="s">
        <v>1</v>
      </c>
      <c r="AP184" s="286" t="s">
        <v>1</v>
      </c>
      <c r="AQ184" s="287" cm="1">
        <f t="array" aca="1" ref="AQ184" ca="1">INDIRECT("'"&amp;$C184&amp;"'!"&amp;"$"&amp;$D184&amp;$AQ$1&amp;"")</f>
        <v>1.7</v>
      </c>
      <c r="AR184" s="288">
        <v>0.99</v>
      </c>
      <c r="AS184" s="286">
        <v>0.2</v>
      </c>
      <c r="AT184" s="285">
        <v>13.8</v>
      </c>
      <c r="AU184" s="289">
        <v>71</v>
      </c>
      <c r="AV184" s="288" cm="1">
        <f t="array" aca="1" ref="AV184" ca="1">INDIRECT("'"&amp;$C184&amp;"'!"&amp;"$"&amp;$D184&amp;$AV$1&amp;"")</f>
        <v>0</v>
      </c>
      <c r="AW184" s="287" t="s">
        <v>1</v>
      </c>
      <c r="AX184" s="288" t="s">
        <v>1</v>
      </c>
      <c r="AY184" s="286" t="s">
        <v>1</v>
      </c>
      <c r="AZ184" s="288" cm="1">
        <f t="array" aca="1" ref="AZ184" ca="1">INDIRECT("'"&amp;$C184&amp;"'!"&amp;"$"&amp;$D184&amp;$AZ$1&amp;"")</f>
        <v>5.5</v>
      </c>
      <c r="BA184" s="287" t="s">
        <v>1</v>
      </c>
      <c r="BB184" s="288">
        <v>0.97</v>
      </c>
      <c r="BC184" s="286">
        <v>1.26</v>
      </c>
      <c r="BD184" s="290">
        <v>14.08</v>
      </c>
      <c r="BE184" s="289">
        <v>71.709999999999994</v>
      </c>
      <c r="BF184" s="290" cm="1">
        <f t="array" aca="1" ref="BF184" ca="1">INDIRECT("'"&amp;$C184&amp;"'!"&amp;"$"&amp;$D184&amp;$BF$1&amp;"")</f>
        <v>14.28</v>
      </c>
      <c r="BG184" s="288">
        <v>1</v>
      </c>
      <c r="BH184" s="286">
        <v>1.2</v>
      </c>
      <c r="BI184" s="525">
        <v>69.099999999999994</v>
      </c>
      <c r="BJ184" s="285" cm="1">
        <f t="array" aca="1" ref="BJ184" ca="1">INDIRECT("'"&amp;$C184&amp;"'!"&amp;"$"&amp;$D184&amp;$BI$1&amp;"")</f>
        <v>0</v>
      </c>
      <c r="BK184" s="287" t="s">
        <v>1</v>
      </c>
      <c r="BL184" s="286" t="s">
        <v>1</v>
      </c>
      <c r="BM184" s="290" cm="1">
        <f t="array" aca="1" ref="BM184" ca="1">INDIRECT("'"&amp;$C184&amp;"'!"&amp;"$"&amp;$D184&amp;$BM$1&amp;"")</f>
        <v>0.78</v>
      </c>
      <c r="BN184" s="288"/>
      <c r="BO184" s="288">
        <v>0.99</v>
      </c>
      <c r="BP184" s="286">
        <v>0.09</v>
      </c>
      <c r="BQ184" s="290" cm="1">
        <f t="array" aca="1" ref="BQ184" ca="1">INDIRECT("'"&amp;$C184&amp;"'!"&amp;"$"&amp;$D184&amp;$BQ$1&amp;"")</f>
        <v>0.71</v>
      </c>
      <c r="BR184" s="288"/>
      <c r="BS184" s="288">
        <v>0.97</v>
      </c>
      <c r="BT184" s="286">
        <v>0.19</v>
      </c>
      <c r="BU184" s="291" cm="1">
        <f t="array" aca="1" ref="BU184" ca="1">INDIRECT("'"&amp;$C184&amp;"'!"&amp;"$"&amp;$D184&amp;74&amp;"")</f>
        <v>0</v>
      </c>
      <c r="BV184" s="288"/>
      <c r="BW184" s="288" t="s">
        <v>1</v>
      </c>
      <c r="BX184" s="286" t="s">
        <v>1</v>
      </c>
    </row>
    <row r="185" spans="1:76">
      <c r="A185" s="459">
        <v>45846</v>
      </c>
      <c r="B185" s="345">
        <v>0.20833333333333301</v>
      </c>
      <c r="C185" s="305">
        <v>8</v>
      </c>
      <c r="D185" s="306" t="s">
        <v>147</v>
      </c>
      <c r="E185" s="278">
        <v>14.2</v>
      </c>
      <c r="F185" s="279">
        <v>70.040000000000006</v>
      </c>
      <c r="G185" s="280" t="str" cm="1">
        <f t="array" aca="1" ref="G185" ca="1">INDIRECT("'"&amp;$C185&amp;"'!"&amp;"$"&amp;$D185&amp;$E$1&amp;"")</f>
        <v>CMS</v>
      </c>
      <c r="H185" s="281" t="s">
        <v>1</v>
      </c>
      <c r="I185" s="279" t="s">
        <v>1</v>
      </c>
      <c r="J185" s="280" cm="1">
        <f t="array" aca="1" ref="J185" ca="1">INDIRECT("'"&amp;$C185&amp;"'!"&amp;"$"&amp;$D185&amp;$J$1&amp;"")</f>
        <v>6.9</v>
      </c>
      <c r="K185" s="281"/>
      <c r="L185" s="281">
        <v>0.97</v>
      </c>
      <c r="M185" s="279">
        <v>1.61</v>
      </c>
      <c r="N185" s="278" cm="1">
        <f t="array" aca="1" ref="N185" ca="1">INDIRECT("'"&amp;$C185&amp;"'!"&amp;"$"&amp;$D185&amp;$N$1&amp;"")</f>
        <v>6.8</v>
      </c>
      <c r="O185" s="281"/>
      <c r="P185" s="281">
        <v>0.95</v>
      </c>
      <c r="Q185" s="279">
        <v>2.19</v>
      </c>
      <c r="R185" s="468" cm="1">
        <f t="array" aca="1" ref="R185" ca="1">INDIRECT("'"&amp;$C185&amp;"'!"&amp;"$"&amp;$D185&amp;$R$1&amp;"")</f>
        <v>0</v>
      </c>
      <c r="S185" s="281"/>
      <c r="T185" s="281" t="s">
        <v>1</v>
      </c>
      <c r="U185" s="279" t="s">
        <v>1</v>
      </c>
      <c r="V185" s="280" cm="1">
        <f t="array" aca="1" ref="V185" ca="1">INDIRECT("'"&amp;$C185&amp;"'!"&amp;"$"&amp;$D185&amp;$V$1&amp;"")</f>
        <v>0</v>
      </c>
      <c r="W185" s="281" t="s">
        <v>1</v>
      </c>
      <c r="X185" s="281" t="s">
        <v>1</v>
      </c>
      <c r="Y185" s="282" t="s">
        <v>1</v>
      </c>
      <c r="Z185" s="278" t="str" cm="1">
        <f t="array" aca="1" ref="Z185" ca="1">INDIRECT("'"&amp;$C185&amp;"'!"&amp;"$"&amp;$D185&amp;$Z$1&amp;"")</f>
        <v>CMS</v>
      </c>
      <c r="AA185" s="281" t="s">
        <v>1</v>
      </c>
      <c r="AB185" s="281" t="s">
        <v>1</v>
      </c>
      <c r="AC185" s="279" t="s">
        <v>1</v>
      </c>
      <c r="AD185" s="280" cm="1">
        <f t="array" aca="1" ref="AD185" ca="1">INDIRECT("'"&amp;$C185&amp;"'!"&amp;"$"&amp;$D185&amp;$AD$1&amp;"")</f>
        <v>0</v>
      </c>
      <c r="AE185" s="281" t="s">
        <v>1</v>
      </c>
      <c r="AF185" s="281" t="s">
        <v>1</v>
      </c>
      <c r="AG185" s="282" t="s">
        <v>1</v>
      </c>
      <c r="AH185" s="278" cm="1">
        <f t="array" aca="1" ref="AH185" ca="1">INDIRECT("'"&amp;$C185&amp;"'!"&amp;"$"&amp;$D185&amp;$AH$1&amp;"")</f>
        <v>0</v>
      </c>
      <c r="AI185" s="281" t="s">
        <v>1</v>
      </c>
      <c r="AJ185" s="281" t="s">
        <v>1</v>
      </c>
      <c r="AK185" s="279" t="s">
        <v>1</v>
      </c>
      <c r="AL185" s="278">
        <v>11.6</v>
      </c>
      <c r="AM185" s="282">
        <v>70.8</v>
      </c>
      <c r="AN185" s="278" cm="1">
        <f t="array" aca="1" ref="AN185" ca="1">INDIRECT("'"&amp;$C185&amp;"'!"&amp;"$"&amp;$D185&amp;$AL$1&amp;"")</f>
        <v>0</v>
      </c>
      <c r="AO185" s="281" t="s">
        <v>1</v>
      </c>
      <c r="AP185" s="279" t="s">
        <v>1</v>
      </c>
      <c r="AQ185" s="280" cm="1">
        <f t="array" aca="1" ref="AQ185" ca="1">INDIRECT("'"&amp;$C185&amp;"'!"&amp;"$"&amp;$D185&amp;$AQ$1&amp;"")</f>
        <v>2.8</v>
      </c>
      <c r="AR185" s="281">
        <v>0.99</v>
      </c>
      <c r="AS185" s="279">
        <v>0.2</v>
      </c>
      <c r="AT185" s="278">
        <v>13.8</v>
      </c>
      <c r="AU185" s="282">
        <v>71</v>
      </c>
      <c r="AV185" s="281" cm="1">
        <f t="array" aca="1" ref="AV185" ca="1">INDIRECT("'"&amp;$C185&amp;"'!"&amp;"$"&amp;$D185&amp;$AV$1&amp;"")</f>
        <v>0</v>
      </c>
      <c r="AW185" s="280" t="s">
        <v>1</v>
      </c>
      <c r="AX185" s="281" t="s">
        <v>1</v>
      </c>
      <c r="AY185" s="279" t="s">
        <v>1</v>
      </c>
      <c r="AZ185" s="281" cm="1">
        <f t="array" aca="1" ref="AZ185" ca="1">INDIRECT("'"&amp;$C185&amp;"'!"&amp;"$"&amp;$D185&amp;$AZ$1&amp;"")</f>
        <v>5.9</v>
      </c>
      <c r="BA185" s="280" t="s">
        <v>1</v>
      </c>
      <c r="BB185" s="281">
        <v>0.98</v>
      </c>
      <c r="BC185" s="279">
        <v>1.35</v>
      </c>
      <c r="BD185" s="283">
        <v>14.04</v>
      </c>
      <c r="BE185" s="282">
        <v>71.540000000000006</v>
      </c>
      <c r="BF185" s="283" cm="1">
        <f t="array" aca="1" ref="BF185" ca="1">INDIRECT("'"&amp;$C185&amp;"'!"&amp;"$"&amp;$D185&amp;$BF$1&amp;"")</f>
        <v>14.24</v>
      </c>
      <c r="BG185" s="281">
        <v>1</v>
      </c>
      <c r="BH185" s="279">
        <v>1.2</v>
      </c>
      <c r="BI185" s="524">
        <v>69</v>
      </c>
      <c r="BJ185" s="278" cm="1">
        <f t="array" aca="1" ref="BJ185" ca="1">INDIRECT("'"&amp;$C185&amp;"'!"&amp;"$"&amp;$D185&amp;$BI$1&amp;"")</f>
        <v>0</v>
      </c>
      <c r="BK185" s="280" t="s">
        <v>1</v>
      </c>
      <c r="BL185" s="279" t="s">
        <v>1</v>
      </c>
      <c r="BM185" s="283" cm="1">
        <f t="array" aca="1" ref="BM185" ca="1">INDIRECT("'"&amp;$C185&amp;"'!"&amp;"$"&amp;$D185&amp;$BM$1&amp;"")</f>
        <v>0.89</v>
      </c>
      <c r="BN185" s="281"/>
      <c r="BO185" s="281">
        <v>0.99</v>
      </c>
      <c r="BP185" s="279">
        <v>0.1</v>
      </c>
      <c r="BQ185" s="283" cm="1">
        <f t="array" aca="1" ref="BQ185" ca="1">INDIRECT("'"&amp;$C185&amp;"'!"&amp;"$"&amp;$D185&amp;$BQ$1&amp;"")</f>
        <v>0.74</v>
      </c>
      <c r="BR185" s="281"/>
      <c r="BS185" s="281">
        <v>0.96</v>
      </c>
      <c r="BT185" s="279">
        <v>0.19</v>
      </c>
      <c r="BU185" s="284" cm="1">
        <f t="array" aca="1" ref="BU185" ca="1">INDIRECT("'"&amp;$C185&amp;"'!"&amp;"$"&amp;$D185&amp;74&amp;"")</f>
        <v>0</v>
      </c>
      <c r="BV185" s="281"/>
      <c r="BW185" s="281" t="s">
        <v>1</v>
      </c>
      <c r="BX185" s="279" t="s">
        <v>1</v>
      </c>
    </row>
    <row r="186" spans="1:76">
      <c r="A186" s="459">
        <v>45846</v>
      </c>
      <c r="B186" s="345">
        <v>0.25</v>
      </c>
      <c r="C186" s="305">
        <v>8</v>
      </c>
      <c r="D186" s="306" t="s">
        <v>148</v>
      </c>
      <c r="E186" s="285">
        <v>14.1</v>
      </c>
      <c r="F186" s="286">
        <v>69.75</v>
      </c>
      <c r="G186" s="287" t="str" cm="1">
        <f t="array" aca="1" ref="G186" ca="1">INDIRECT("'"&amp;$C186&amp;"'!"&amp;"$"&amp;$D186&amp;$E$1&amp;"")</f>
        <v>CMS</v>
      </c>
      <c r="H186" s="288" t="s">
        <v>1</v>
      </c>
      <c r="I186" s="286" t="s">
        <v>1</v>
      </c>
      <c r="J186" s="287" cm="1">
        <f t="array" aca="1" ref="J186" ca="1">INDIRECT("'"&amp;$C186&amp;"'!"&amp;"$"&amp;$D186&amp;$J$1&amp;"")</f>
        <v>0</v>
      </c>
      <c r="K186" s="288"/>
      <c r="L186" s="288"/>
      <c r="M186" s="286"/>
      <c r="N186" s="285" cm="1">
        <f t="array" aca="1" ref="N186" ca="1">INDIRECT("'"&amp;$C186&amp;"'!"&amp;"$"&amp;$D186&amp;$N$1&amp;"")</f>
        <v>6.7</v>
      </c>
      <c r="O186" s="288"/>
      <c r="P186" s="288">
        <v>0.97</v>
      </c>
      <c r="Q186" s="286">
        <v>1.59</v>
      </c>
      <c r="R186" s="285" cm="1">
        <f t="array" aca="1" ref="R186" ca="1">INDIRECT("'"&amp;$C186&amp;"'!"&amp;"$"&amp;$D186&amp;$R$1&amp;"")</f>
        <v>6.7</v>
      </c>
      <c r="S186" s="288"/>
      <c r="T186" s="288">
        <v>0.97</v>
      </c>
      <c r="U186" s="286">
        <v>1.73</v>
      </c>
      <c r="V186" s="287" cm="1">
        <f t="array" aca="1" ref="V186" ca="1">INDIRECT("'"&amp;$C186&amp;"'!"&amp;"$"&amp;$D186&amp;$V$1&amp;"")</f>
        <v>2.8</v>
      </c>
      <c r="W186" s="288">
        <f>3.54*3.8</f>
        <v>13.452</v>
      </c>
      <c r="X186" s="288">
        <v>0.94</v>
      </c>
      <c r="Y186" s="289">
        <v>0.93</v>
      </c>
      <c r="Z186" s="285" t="str" cm="1">
        <f t="array" aca="1" ref="Z186" ca="1">INDIRECT("'"&amp;$C186&amp;"'!"&amp;"$"&amp;$D186&amp;$Z$1&amp;"")</f>
        <v>CMS</v>
      </c>
      <c r="AA186" s="288" t="s">
        <v>1</v>
      </c>
      <c r="AB186" s="288" t="s">
        <v>1</v>
      </c>
      <c r="AC186" s="286" t="s">
        <v>1</v>
      </c>
      <c r="AD186" s="287" cm="1">
        <f t="array" aca="1" ref="AD186" ca="1">INDIRECT("'"&amp;$C186&amp;"'!"&amp;"$"&amp;$D186&amp;$AD$1&amp;"")</f>
        <v>0</v>
      </c>
      <c r="AE186" s="288" t="s">
        <v>1</v>
      </c>
      <c r="AF186" s="288" t="s">
        <v>1</v>
      </c>
      <c r="AG186" s="289" t="s">
        <v>1</v>
      </c>
      <c r="AH186" s="285" cm="1">
        <f t="array" aca="1" ref="AH186" ca="1">INDIRECT("'"&amp;$C186&amp;"'!"&amp;"$"&amp;$D186&amp;$AH$1&amp;"")</f>
        <v>0</v>
      </c>
      <c r="AI186" s="288" t="s">
        <v>1</v>
      </c>
      <c r="AJ186" s="288" t="s">
        <v>1</v>
      </c>
      <c r="AK186" s="286" t="s">
        <v>1</v>
      </c>
      <c r="AL186" s="285">
        <v>11.6</v>
      </c>
      <c r="AM186" s="289">
        <v>70.8</v>
      </c>
      <c r="AN186" s="285" cm="1">
        <f t="array" aca="1" ref="AN186" ca="1">INDIRECT("'"&amp;$C186&amp;"'!"&amp;"$"&amp;$D186&amp;$AL$1&amp;"")</f>
        <v>0</v>
      </c>
      <c r="AO186" s="288" t="s">
        <v>1</v>
      </c>
      <c r="AP186" s="286" t="s">
        <v>1</v>
      </c>
      <c r="AQ186" s="287" cm="1">
        <f t="array" aca="1" ref="AQ186" ca="1">INDIRECT("'"&amp;$C186&amp;"'!"&amp;"$"&amp;$D186&amp;$AQ$1&amp;"")</f>
        <v>3.8</v>
      </c>
      <c r="AR186" s="288">
        <v>1</v>
      </c>
      <c r="AS186" s="286">
        <v>0.15</v>
      </c>
      <c r="AT186" s="285">
        <v>13.8</v>
      </c>
      <c r="AU186" s="289">
        <v>70.8</v>
      </c>
      <c r="AV186" s="288" cm="1">
        <f t="array" aca="1" ref="AV186" ca="1">INDIRECT("'"&amp;$C186&amp;"'!"&amp;"$"&amp;$D186&amp;$AV$1&amp;"")</f>
        <v>0</v>
      </c>
      <c r="AW186" s="287" t="s">
        <v>1</v>
      </c>
      <c r="AX186" s="288" t="s">
        <v>1</v>
      </c>
      <c r="AY186" s="286" t="s">
        <v>1</v>
      </c>
      <c r="AZ186" s="288" cm="1">
        <f t="array" aca="1" ref="AZ186" ca="1">INDIRECT("'"&amp;$C186&amp;"'!"&amp;"$"&amp;$D186&amp;$AZ$1&amp;"")</f>
        <v>7</v>
      </c>
      <c r="BA186" s="287" t="s">
        <v>1</v>
      </c>
      <c r="BB186" s="288">
        <v>0.99</v>
      </c>
      <c r="BC186" s="286">
        <v>1.08</v>
      </c>
      <c r="BD186" s="290">
        <v>14.13</v>
      </c>
      <c r="BE186" s="289">
        <v>71.569999999999993</v>
      </c>
      <c r="BF186" s="290" cm="1">
        <f t="array" aca="1" ref="BF186" ca="1">INDIRECT("'"&amp;$C186&amp;"'!"&amp;"$"&amp;$D186&amp;$BF$1&amp;"")</f>
        <v>14.25</v>
      </c>
      <c r="BG186" s="288">
        <v>0.99</v>
      </c>
      <c r="BH186" s="286">
        <v>2.2999999999999998</v>
      </c>
      <c r="BI186" s="525">
        <v>68.599999999999994</v>
      </c>
      <c r="BJ186" s="285" cm="1">
        <f t="array" aca="1" ref="BJ186" ca="1">INDIRECT("'"&amp;$C186&amp;"'!"&amp;"$"&amp;$D186&amp;$BI$1&amp;"")</f>
        <v>0</v>
      </c>
      <c r="BK186" s="287" t="s">
        <v>1</v>
      </c>
      <c r="BL186" s="286" t="s">
        <v>1</v>
      </c>
      <c r="BM186" s="290" cm="1">
        <f t="array" aca="1" ref="BM186" ca="1">INDIRECT("'"&amp;$C186&amp;"'!"&amp;"$"&amp;$D186&amp;$BM$1&amp;"")</f>
        <v>1.1599999999999999</v>
      </c>
      <c r="BN186" s="288"/>
      <c r="BO186" s="288">
        <v>0.99</v>
      </c>
      <c r="BP186" s="286">
        <v>0.12</v>
      </c>
      <c r="BQ186" s="290" cm="1">
        <f t="array" aca="1" ref="BQ186" ca="1">INDIRECT("'"&amp;$C186&amp;"'!"&amp;"$"&amp;$D186&amp;$BQ$1&amp;"")</f>
        <v>0.85</v>
      </c>
      <c r="BR186" s="288"/>
      <c r="BS186" s="288">
        <v>0.97</v>
      </c>
      <c r="BT186" s="286">
        <v>0.18</v>
      </c>
      <c r="BU186" s="291" cm="1">
        <f t="array" aca="1" ref="BU186" ca="1">INDIRECT("'"&amp;$C186&amp;"'!"&amp;"$"&amp;$D186&amp;74&amp;"")</f>
        <v>0</v>
      </c>
      <c r="BV186" s="288"/>
      <c r="BW186" s="288" t="s">
        <v>1</v>
      </c>
      <c r="BX186" s="286" t="s">
        <v>1</v>
      </c>
    </row>
    <row r="187" spans="1:76">
      <c r="A187" s="459">
        <v>45846</v>
      </c>
      <c r="B187" s="345">
        <v>0.29166666666666702</v>
      </c>
      <c r="C187" s="305">
        <v>8</v>
      </c>
      <c r="D187" s="306" t="s">
        <v>149</v>
      </c>
      <c r="E187" s="278">
        <v>14.1</v>
      </c>
      <c r="F187" s="279">
        <v>69.680000000000007</v>
      </c>
      <c r="G187" s="280" t="str" cm="1">
        <f t="array" aca="1" ref="G187" ca="1">INDIRECT("'"&amp;$C187&amp;"'!"&amp;"$"&amp;$D187&amp;$E$1&amp;"")</f>
        <v>CMS</v>
      </c>
      <c r="H187" s="281" t="s">
        <v>1</v>
      </c>
      <c r="I187" s="279" t="s">
        <v>1</v>
      </c>
      <c r="J187" s="280" cm="1">
        <f t="array" aca="1" ref="J187" ca="1">INDIRECT("'"&amp;$C187&amp;"'!"&amp;"$"&amp;$D187&amp;$J$1&amp;"")</f>
        <v>0</v>
      </c>
      <c r="K187" s="281"/>
      <c r="L187" s="281"/>
      <c r="M187" s="282"/>
      <c r="N187" s="278" cm="1">
        <f t="array" aca="1" ref="N187" ca="1">INDIRECT("'"&amp;$C187&amp;"'!"&amp;"$"&amp;$D187&amp;$N$1&amp;"")</f>
        <v>6.6</v>
      </c>
      <c r="O187" s="281"/>
      <c r="P187" s="281">
        <v>0.96</v>
      </c>
      <c r="Q187" s="279">
        <v>2.0499999999999998</v>
      </c>
      <c r="R187" s="468" cm="1">
        <f t="array" aca="1" ref="R187" ca="1">INDIRECT("'"&amp;$C187&amp;"'!"&amp;"$"&amp;$D187&amp;$R$1&amp;"")</f>
        <v>6.6</v>
      </c>
      <c r="S187" s="281"/>
      <c r="T187" s="281">
        <v>0.96</v>
      </c>
      <c r="U187" s="279">
        <v>2.4</v>
      </c>
      <c r="V187" s="280" cm="1">
        <f t="array" aca="1" ref="V187" ca="1">INDIRECT("'"&amp;$C187&amp;"'!"&amp;"$"&amp;$D187&amp;$V$1&amp;"")</f>
        <v>2</v>
      </c>
      <c r="W187" s="281">
        <f>3.8*3.53</f>
        <v>13.413999999999998</v>
      </c>
      <c r="X187" s="281">
        <v>0.96</v>
      </c>
      <c r="Y187" s="282">
        <v>0.65</v>
      </c>
      <c r="Z187" s="278" t="str" cm="1">
        <f t="array" aca="1" ref="Z187" ca="1">INDIRECT("'"&amp;$C187&amp;"'!"&amp;"$"&amp;$D187&amp;$Z$1&amp;"")</f>
        <v>CMS</v>
      </c>
      <c r="AA187" s="281" t="s">
        <v>1</v>
      </c>
      <c r="AB187" s="281" t="s">
        <v>1</v>
      </c>
      <c r="AC187" s="279" t="s">
        <v>1</v>
      </c>
      <c r="AD187" s="280" cm="1">
        <f t="array" aca="1" ref="AD187" ca="1">INDIRECT("'"&amp;$C187&amp;"'!"&amp;"$"&amp;$D187&amp;$AD$1&amp;"")</f>
        <v>0</v>
      </c>
      <c r="AE187" s="281" t="s">
        <v>1</v>
      </c>
      <c r="AF187" s="281" t="s">
        <v>1</v>
      </c>
      <c r="AG187" s="282" t="s">
        <v>1</v>
      </c>
      <c r="AH187" s="278" cm="1">
        <f t="array" aca="1" ref="AH187" ca="1">INDIRECT("'"&amp;$C187&amp;"'!"&amp;"$"&amp;$D187&amp;$AH$1&amp;"")</f>
        <v>0</v>
      </c>
      <c r="AI187" s="281" t="s">
        <v>1</v>
      </c>
      <c r="AJ187" s="281" t="s">
        <v>1</v>
      </c>
      <c r="AK187" s="279" t="s">
        <v>1</v>
      </c>
      <c r="AL187" s="278">
        <v>11.6</v>
      </c>
      <c r="AM187" s="282">
        <v>70.8</v>
      </c>
      <c r="AN187" s="278" cm="1">
        <f t="array" aca="1" ref="AN187" ca="1">INDIRECT("'"&amp;$C187&amp;"'!"&amp;"$"&amp;$D187&amp;$AL$1&amp;"")</f>
        <v>1.5</v>
      </c>
      <c r="AO187" s="281">
        <v>0.95</v>
      </c>
      <c r="AP187" s="279">
        <v>0.55000000000000004</v>
      </c>
      <c r="AQ187" s="280" cm="1">
        <f t="array" aca="1" ref="AQ187" ca="1">INDIRECT("'"&amp;$C187&amp;"'!"&amp;"$"&amp;$D187&amp;$AQ$1&amp;"")</f>
        <v>0</v>
      </c>
      <c r="AR187" s="281" t="s">
        <v>1</v>
      </c>
      <c r="AS187" s="279" t="s">
        <v>1</v>
      </c>
      <c r="AT187" s="278">
        <v>13.8</v>
      </c>
      <c r="AU187" s="282">
        <v>70.8</v>
      </c>
      <c r="AV187" s="281" cm="1">
        <f t="array" aca="1" ref="AV187" ca="1">INDIRECT("'"&amp;$C187&amp;"'!"&amp;"$"&amp;$D187&amp;$AV$1&amp;"")</f>
        <v>0</v>
      </c>
      <c r="AW187" s="280" t="s">
        <v>1</v>
      </c>
      <c r="AX187" s="281" t="s">
        <v>1</v>
      </c>
      <c r="AY187" s="279" t="s">
        <v>1</v>
      </c>
      <c r="AZ187" s="281" cm="1">
        <f t="array" aca="1" ref="AZ187" ca="1">INDIRECT("'"&amp;$C187&amp;"'!"&amp;"$"&amp;$D187&amp;$AZ$1&amp;"")</f>
        <v>7</v>
      </c>
      <c r="BA187" s="280" t="s">
        <v>1</v>
      </c>
      <c r="BB187" s="281">
        <v>0.98</v>
      </c>
      <c r="BC187" s="279">
        <v>1.29</v>
      </c>
      <c r="BD187" s="283">
        <v>14.18</v>
      </c>
      <c r="BE187" s="282">
        <v>71.8</v>
      </c>
      <c r="BF187" s="283" cm="1">
        <f t="array" aca="1" ref="BF187" ca="1">INDIRECT("'"&amp;$C187&amp;"'!"&amp;"$"&amp;$D187&amp;$BF$1&amp;"")</f>
        <v>14.27</v>
      </c>
      <c r="BG187" s="281">
        <v>0.99</v>
      </c>
      <c r="BH187" s="279">
        <v>2.4</v>
      </c>
      <c r="BI187" s="524">
        <v>68.8</v>
      </c>
      <c r="BJ187" s="278" cm="1">
        <f t="array" aca="1" ref="BJ187" ca="1">INDIRECT("'"&amp;$C187&amp;"'!"&amp;"$"&amp;$D187&amp;$BI$1&amp;"")</f>
        <v>0</v>
      </c>
      <c r="BK187" s="280"/>
      <c r="BL187" s="279"/>
      <c r="BM187" s="283" cm="1">
        <f t="array" aca="1" ref="BM187" ca="1">INDIRECT("'"&amp;$C187&amp;"'!"&amp;"$"&amp;$D187&amp;$BM$1&amp;"")</f>
        <v>1.04</v>
      </c>
      <c r="BN187" s="281"/>
      <c r="BO187" s="281">
        <v>0.9</v>
      </c>
      <c r="BP187" s="279">
        <v>0.13</v>
      </c>
      <c r="BQ187" s="284" cm="1">
        <f t="array" aca="1" ref="BQ187" ca="1">INDIRECT("'"&amp;$C187&amp;"'!"&amp;"$"&amp;$D187&amp;$BQ$1&amp;"")</f>
        <v>0.71</v>
      </c>
      <c r="BR187" s="281"/>
      <c r="BS187" s="281">
        <v>0.96</v>
      </c>
      <c r="BT187" s="279">
        <v>0.2</v>
      </c>
      <c r="BU187" s="284" cm="1">
        <f t="array" aca="1" ref="BU187" ca="1">INDIRECT("'"&amp;$C187&amp;"'!"&amp;"$"&amp;$D187&amp;74&amp;"")</f>
        <v>0</v>
      </c>
      <c r="BV187" s="281"/>
      <c r="BW187" s="281" t="s">
        <v>1</v>
      </c>
      <c r="BX187" s="279" t="s">
        <v>1</v>
      </c>
    </row>
    <row r="188" spans="1:76">
      <c r="A188" s="459">
        <v>45846</v>
      </c>
      <c r="B188" s="345">
        <v>0.33333333333333398</v>
      </c>
      <c r="C188" s="305">
        <v>8</v>
      </c>
      <c r="D188" s="306" t="s">
        <v>150</v>
      </c>
      <c r="E188" s="285">
        <v>14.1</v>
      </c>
      <c r="F188" s="286">
        <v>69.89</v>
      </c>
      <c r="G188" s="287" t="str" cm="1">
        <f t="array" aca="1" ref="G188" ca="1">INDIRECT("'"&amp;$C188&amp;"'!"&amp;"$"&amp;$D188&amp;$E$1&amp;"")</f>
        <v>CMS</v>
      </c>
      <c r="H188" s="288" t="s">
        <v>1</v>
      </c>
      <c r="I188" s="286" t="s">
        <v>1</v>
      </c>
      <c r="J188" s="287" cm="1">
        <f t="array" aca="1" ref="J188" ca="1">INDIRECT("'"&amp;$C188&amp;"'!"&amp;"$"&amp;$D188&amp;$J$1&amp;"")</f>
        <v>1.5</v>
      </c>
      <c r="K188" s="288"/>
      <c r="L188" s="288">
        <v>0.95</v>
      </c>
      <c r="M188" s="289">
        <v>0.5</v>
      </c>
      <c r="N188" s="285" cm="1">
        <f t="array" aca="1" ref="N188" ca="1">INDIRECT("'"&amp;$C188&amp;"'!"&amp;"$"&amp;$D188&amp;$N$1&amp;"")</f>
        <v>6.7</v>
      </c>
      <c r="O188" s="288"/>
      <c r="P188" s="288">
        <v>0.93</v>
      </c>
      <c r="Q188" s="286">
        <v>2.59</v>
      </c>
      <c r="R188" s="285" cm="1">
        <f t="array" aca="1" ref="R188" ca="1">INDIRECT("'"&amp;$C188&amp;"'!"&amp;"$"&amp;$D188&amp;$R$1&amp;"")</f>
        <v>6.7</v>
      </c>
      <c r="S188" s="288"/>
      <c r="T188" s="288">
        <v>0.93</v>
      </c>
      <c r="U188" s="286">
        <v>2.61</v>
      </c>
      <c r="V188" s="287" cm="1">
        <f t="array" aca="1" ref="V188" ca="1">INDIRECT("'"&amp;$C188&amp;"'!"&amp;"$"&amp;$D188&amp;$V$1&amp;"")</f>
        <v>2.8</v>
      </c>
      <c r="W188" s="288">
        <f>3.8*3.51</f>
        <v>13.337999999999999</v>
      </c>
      <c r="X188" s="288">
        <v>0.94</v>
      </c>
      <c r="Y188" s="289">
        <v>0.89800000000000002</v>
      </c>
      <c r="Z188" s="285" t="str" cm="1">
        <f t="array" aca="1" ref="Z188" ca="1">INDIRECT("'"&amp;$C188&amp;"'!"&amp;"$"&amp;$D188&amp;$Z$1&amp;"")</f>
        <v>CMS</v>
      </c>
      <c r="AA188" s="288" t="s">
        <v>1</v>
      </c>
      <c r="AB188" s="288" t="s">
        <v>1</v>
      </c>
      <c r="AC188" s="286" t="s">
        <v>1</v>
      </c>
      <c r="AD188" s="287" cm="1">
        <f t="array" aca="1" ref="AD188" ca="1">INDIRECT("'"&amp;$C188&amp;"'!"&amp;"$"&amp;$D188&amp;$AD$1&amp;"")</f>
        <v>0</v>
      </c>
      <c r="AE188" s="288" t="s">
        <v>1</v>
      </c>
      <c r="AF188" s="288" t="s">
        <v>1</v>
      </c>
      <c r="AG188" s="289" t="s">
        <v>1</v>
      </c>
      <c r="AH188" s="285" cm="1">
        <f t="array" aca="1" ref="AH188" ca="1">INDIRECT("'"&amp;$C188&amp;"'!"&amp;"$"&amp;$D188&amp;$AH$1&amp;"")</f>
        <v>0</v>
      </c>
      <c r="AI188" s="288" t="s">
        <v>1</v>
      </c>
      <c r="AJ188" s="288" t="s">
        <v>1</v>
      </c>
      <c r="AK188" s="286" t="s">
        <v>1</v>
      </c>
      <c r="AL188" s="285">
        <v>11.6</v>
      </c>
      <c r="AM188" s="289">
        <v>70.599999999999994</v>
      </c>
      <c r="AN188" s="285" cm="1">
        <f t="array" aca="1" ref="AN188" ca="1">INDIRECT("'"&amp;$C188&amp;"'!"&amp;"$"&amp;$D188&amp;$AL$1&amp;"")</f>
        <v>3.5</v>
      </c>
      <c r="AO188" s="288">
        <v>0.98</v>
      </c>
      <c r="AP188" s="286">
        <v>0.57999999999999996</v>
      </c>
      <c r="AQ188" s="287" cm="1">
        <f t="array" aca="1" ref="AQ188" ca="1">INDIRECT("'"&amp;$C188&amp;"'!"&amp;"$"&amp;$D188&amp;$AQ$1&amp;"")</f>
        <v>0</v>
      </c>
      <c r="AR188" s="288" t="s">
        <v>1</v>
      </c>
      <c r="AS188" s="286" t="s">
        <v>1</v>
      </c>
      <c r="AT188" s="285">
        <v>13.9</v>
      </c>
      <c r="AU188" s="289">
        <v>70.7</v>
      </c>
      <c r="AV188" s="288" cm="1">
        <f t="array" aca="1" ref="AV188" ca="1">INDIRECT("'"&amp;$C188&amp;"'!"&amp;"$"&amp;$D188&amp;$AV$1&amp;"")</f>
        <v>0</v>
      </c>
      <c r="AW188" s="287" t="s">
        <v>1</v>
      </c>
      <c r="AX188" s="288" t="s">
        <v>1</v>
      </c>
      <c r="AY188" s="286" t="s">
        <v>1</v>
      </c>
      <c r="AZ188" s="288" cm="1">
        <f t="array" aca="1" ref="AZ188" ca="1">INDIRECT("'"&amp;$C188&amp;"'!"&amp;"$"&amp;$D188&amp;$AZ$1&amp;"")</f>
        <v>7</v>
      </c>
      <c r="BA188" s="287" t="s">
        <v>1</v>
      </c>
      <c r="BB188" s="288">
        <v>0.98</v>
      </c>
      <c r="BC188" s="286">
        <v>1.43</v>
      </c>
      <c r="BD188" s="290">
        <v>14.2</v>
      </c>
      <c r="BE188" s="289">
        <v>71.72</v>
      </c>
      <c r="BF188" s="290" cm="1">
        <f t="array" aca="1" ref="BF188" ca="1">INDIRECT("'"&amp;$C188&amp;"'!"&amp;"$"&amp;$D188&amp;$BF$1&amp;"")</f>
        <v>14.26</v>
      </c>
      <c r="BG188" s="288">
        <v>0.99</v>
      </c>
      <c r="BH188" s="286">
        <v>2.2999999999999998</v>
      </c>
      <c r="BI188" s="525">
        <v>68.3</v>
      </c>
      <c r="BJ188" s="285" cm="1">
        <f t="array" aca="1" ref="BJ188" ca="1">INDIRECT("'"&amp;$C188&amp;"'!"&amp;"$"&amp;$D188&amp;$BI$1&amp;"")</f>
        <v>1.5</v>
      </c>
      <c r="BK188" s="287">
        <v>0.96</v>
      </c>
      <c r="BL188" s="286">
        <v>0.43</v>
      </c>
      <c r="BM188" s="290" cm="1">
        <f t="array" aca="1" ref="BM188" ca="1">INDIRECT("'"&amp;$C188&amp;"'!"&amp;"$"&amp;$D188&amp;$BM$1&amp;"")</f>
        <v>1.0900000000000001</v>
      </c>
      <c r="BN188" s="288"/>
      <c r="BO188" s="288">
        <v>0.99</v>
      </c>
      <c r="BP188" s="286">
        <v>0.14000000000000001</v>
      </c>
      <c r="BQ188" s="291" cm="1">
        <f t="array" aca="1" ref="BQ188" ca="1">INDIRECT("'"&amp;$C188&amp;"'!"&amp;"$"&amp;$D188&amp;$BQ$1&amp;"")</f>
        <v>0.73</v>
      </c>
      <c r="BR188" s="288"/>
      <c r="BS188" s="288">
        <v>0.96</v>
      </c>
      <c r="BT188" s="286">
        <v>0.21</v>
      </c>
      <c r="BU188" s="291" cm="1">
        <f t="array" aca="1" ref="BU188" ca="1">INDIRECT("'"&amp;$C188&amp;"'!"&amp;"$"&amp;$D188&amp;74&amp;"")</f>
        <v>0</v>
      </c>
      <c r="BV188" s="288"/>
      <c r="BW188" s="288" t="s">
        <v>1</v>
      </c>
      <c r="BX188" s="286" t="s">
        <v>1</v>
      </c>
    </row>
    <row r="189" spans="1:76">
      <c r="A189" s="459">
        <v>45846</v>
      </c>
      <c r="B189" s="345">
        <v>0.375</v>
      </c>
      <c r="C189" s="305">
        <v>8</v>
      </c>
      <c r="D189" s="306" t="s">
        <v>151</v>
      </c>
      <c r="E189" s="278">
        <v>14</v>
      </c>
      <c r="F189" s="279">
        <v>69.09</v>
      </c>
      <c r="G189" s="280" t="str" cm="1">
        <f t="array" aca="1" ref="G189" ca="1">INDIRECT("'"&amp;$C189&amp;"'!"&amp;"$"&amp;$D189&amp;$E$1&amp;"")</f>
        <v>CMS</v>
      </c>
      <c r="H189" s="281" t="s">
        <v>1</v>
      </c>
      <c r="I189" s="279" t="s">
        <v>1</v>
      </c>
      <c r="J189" s="280" cm="1">
        <f t="array" aca="1" ref="J189" ca="1">INDIRECT("'"&amp;$C189&amp;"'!"&amp;"$"&amp;$D189&amp;$J$1&amp;"")</f>
        <v>6.8</v>
      </c>
      <c r="K189" s="281"/>
      <c r="L189" s="281">
        <v>0.93</v>
      </c>
      <c r="M189" s="282">
        <v>2.98</v>
      </c>
      <c r="N189" s="278" cm="1">
        <f t="array" aca="1" ref="N189" ca="1">INDIRECT("'"&amp;$C189&amp;"'!"&amp;"$"&amp;$D189&amp;$N$1&amp;"")</f>
        <v>6.8</v>
      </c>
      <c r="O189" s="281"/>
      <c r="P189" s="281">
        <v>0.93</v>
      </c>
      <c r="Q189" s="279">
        <v>2.94</v>
      </c>
      <c r="R189" s="468" cm="1">
        <f t="array" aca="1" ref="R189" ca="1">INDIRECT("'"&amp;$C189&amp;"'!"&amp;"$"&amp;$D189&amp;$R$1&amp;"")</f>
        <v>6.8</v>
      </c>
      <c r="S189" s="281"/>
      <c r="T189" s="281">
        <v>0.93</v>
      </c>
      <c r="U189" s="279">
        <v>2.99</v>
      </c>
      <c r="V189" s="280" t="str" cm="1">
        <f t="array" aca="1" ref="V189" ca="1">INDIRECT("'"&amp;$C189&amp;"'!"&amp;"$"&amp;$D189&amp;$V$1&amp;"")</f>
        <v>CMS</v>
      </c>
      <c r="W189" s="281" t="s">
        <v>1</v>
      </c>
      <c r="X189" s="281" t="s">
        <v>1</v>
      </c>
      <c r="Y189" s="282" t="s">
        <v>1</v>
      </c>
      <c r="Z189" s="278" t="str" cm="1">
        <f t="array" aca="1" ref="Z189" ca="1">INDIRECT("'"&amp;$C189&amp;"'!"&amp;"$"&amp;$D189&amp;$Z$1&amp;"")</f>
        <v>CMS</v>
      </c>
      <c r="AA189" s="281" t="s">
        <v>1</v>
      </c>
      <c r="AB189" s="281" t="s">
        <v>1</v>
      </c>
      <c r="AC189" s="279" t="s">
        <v>1</v>
      </c>
      <c r="AD189" s="280" cm="1">
        <f t="array" aca="1" ref="AD189" ca="1">INDIRECT("'"&amp;$C189&amp;"'!"&amp;"$"&amp;$D189&amp;$AD$1&amp;"")</f>
        <v>3.8</v>
      </c>
      <c r="AE189" s="281">
        <f>3.8*3.49</f>
        <v>13.262</v>
      </c>
      <c r="AF189" s="281">
        <v>0.93</v>
      </c>
      <c r="AG189" s="282">
        <v>1.46</v>
      </c>
      <c r="AH189" s="278" cm="1">
        <f t="array" aca="1" ref="AH189" ca="1">INDIRECT("'"&amp;$C189&amp;"'!"&amp;"$"&amp;$D189&amp;$AH$1&amp;"")</f>
        <v>3.2</v>
      </c>
      <c r="AI189" s="281">
        <v>13.92</v>
      </c>
      <c r="AJ189" s="281">
        <v>0.98</v>
      </c>
      <c r="AK189" s="279">
        <v>0.42499999999999999</v>
      </c>
      <c r="AL189" s="278">
        <v>11.6</v>
      </c>
      <c r="AM189" s="282">
        <v>70.3</v>
      </c>
      <c r="AN189" s="278" cm="1">
        <f t="array" aca="1" ref="AN189" ca="1">INDIRECT("'"&amp;$C189&amp;"'!"&amp;"$"&amp;$D189&amp;$AL$1&amp;"")</f>
        <v>3.9</v>
      </c>
      <c r="AO189" s="281">
        <v>0.95</v>
      </c>
      <c r="AP189" s="279">
        <v>1.24</v>
      </c>
      <c r="AQ189" s="280" cm="1">
        <f t="array" aca="1" ref="AQ189" ca="1">INDIRECT("'"&amp;$C189&amp;"'!"&amp;"$"&amp;$D189&amp;$AQ$1&amp;"")</f>
        <v>0</v>
      </c>
      <c r="AR189" s="281" t="s">
        <v>1</v>
      </c>
      <c r="AS189" s="279" t="s">
        <v>1</v>
      </c>
      <c r="AT189" s="278">
        <v>13.88</v>
      </c>
      <c r="AU189" s="282">
        <v>70.8</v>
      </c>
      <c r="AV189" s="281" cm="1">
        <f t="array" aca="1" ref="AV189" ca="1">INDIRECT("'"&amp;$C189&amp;"'!"&amp;"$"&amp;$D189&amp;$AV$1&amp;"")</f>
        <v>0</v>
      </c>
      <c r="AW189" s="280" t="s">
        <v>1</v>
      </c>
      <c r="AX189" s="281" t="s">
        <v>1</v>
      </c>
      <c r="AY189" s="279" t="s">
        <v>1</v>
      </c>
      <c r="AZ189" s="281" cm="1">
        <f t="array" aca="1" ref="AZ189" ca="1">INDIRECT("'"&amp;$C189&amp;"'!"&amp;"$"&amp;$D189&amp;$AZ$1&amp;"")</f>
        <v>7</v>
      </c>
      <c r="BA189" s="280" t="s">
        <v>1</v>
      </c>
      <c r="BB189" s="281">
        <v>0.94</v>
      </c>
      <c r="BC189" s="279">
        <v>2.69</v>
      </c>
      <c r="BD189" s="283">
        <v>14.07</v>
      </c>
      <c r="BE189" s="282">
        <v>71.099999999999994</v>
      </c>
      <c r="BF189" s="283" cm="1">
        <f t="array" aca="1" ref="BF189" ca="1">INDIRECT("'"&amp;$C189&amp;"'!"&amp;"$"&amp;$D189&amp;$BF$1&amp;"")</f>
        <v>14.28</v>
      </c>
      <c r="BG189" s="281">
        <v>0.99</v>
      </c>
      <c r="BH189" s="279">
        <v>2.2999999999999998</v>
      </c>
      <c r="BI189" s="524">
        <v>67.5</v>
      </c>
      <c r="BJ189" s="278" cm="1">
        <f t="array" aca="1" ref="BJ189" ca="1">INDIRECT("'"&amp;$C189&amp;"'!"&amp;"$"&amp;$D189&amp;$BI$1&amp;"")</f>
        <v>0</v>
      </c>
      <c r="BK189" s="280" t="s">
        <v>1</v>
      </c>
      <c r="BL189" s="279" t="s">
        <v>1</v>
      </c>
      <c r="BM189" s="283" cm="1">
        <f t="array" aca="1" ref="BM189" ca="1">INDIRECT("'"&amp;$C189&amp;"'!"&amp;"$"&amp;$D189&amp;$BM$1&amp;"")</f>
        <v>1.1200000000000001</v>
      </c>
      <c r="BN189" s="281"/>
      <c r="BO189" s="281">
        <v>0.99</v>
      </c>
      <c r="BP189" s="279">
        <v>0.15</v>
      </c>
      <c r="BQ189" s="284" cm="1">
        <f t="array" aca="1" ref="BQ189" ca="1">INDIRECT("'"&amp;$C189&amp;"'!"&amp;"$"&amp;$D189&amp;$BQ$1&amp;"")</f>
        <v>0.77</v>
      </c>
      <c r="BR189" s="281"/>
      <c r="BS189" s="281">
        <v>0.96</v>
      </c>
      <c r="BT189" s="279">
        <v>0.22</v>
      </c>
      <c r="BU189" s="284" cm="1">
        <f t="array" aca="1" ref="BU189" ca="1">INDIRECT("'"&amp;$C189&amp;"'!"&amp;"$"&amp;$D189&amp;74&amp;"")</f>
        <v>0</v>
      </c>
      <c r="BV189" s="281"/>
      <c r="BW189" s="281" t="s">
        <v>1</v>
      </c>
      <c r="BX189" s="279" t="s">
        <v>1</v>
      </c>
    </row>
    <row r="190" spans="1:76">
      <c r="A190" s="459">
        <v>45846</v>
      </c>
      <c r="B190" s="345">
        <v>0.41666666666666702</v>
      </c>
      <c r="C190" s="305">
        <v>8</v>
      </c>
      <c r="D190" s="306" t="s">
        <v>152</v>
      </c>
      <c r="E190" s="285">
        <v>14</v>
      </c>
      <c r="F190" s="286">
        <v>69.260000000000005</v>
      </c>
      <c r="G190" s="287" t="str" cm="1">
        <f t="array" aca="1" ref="G190" ca="1">INDIRECT("'"&amp;$C190&amp;"'!"&amp;"$"&amp;$D190&amp;$E$1&amp;"")</f>
        <v>CMS</v>
      </c>
      <c r="H190" s="288" t="s">
        <v>1</v>
      </c>
      <c r="I190" s="286" t="s">
        <v>1</v>
      </c>
      <c r="J190" s="287" cm="1">
        <f t="array" aca="1" ref="J190" ca="1">INDIRECT("'"&amp;$C190&amp;"'!"&amp;"$"&amp;$D190&amp;$J$1&amp;"")</f>
        <v>6.9</v>
      </c>
      <c r="K190" s="288"/>
      <c r="L190" s="288">
        <v>0.93</v>
      </c>
      <c r="M190" s="289">
        <v>2.75</v>
      </c>
      <c r="N190" s="285" cm="1">
        <f t="array" aca="1" ref="N190" ca="1">INDIRECT("'"&amp;$C190&amp;"'!"&amp;"$"&amp;$D190&amp;$N$1&amp;"")</f>
        <v>6.9</v>
      </c>
      <c r="O190" s="288"/>
      <c r="P190" s="288">
        <v>0.9</v>
      </c>
      <c r="Q190" s="286">
        <v>2.8</v>
      </c>
      <c r="R190" s="285" cm="1">
        <f t="array" aca="1" ref="R190" ca="1">INDIRECT("'"&amp;$C190&amp;"'!"&amp;"$"&amp;$D190&amp;$R$1&amp;"")</f>
        <v>6.9</v>
      </c>
      <c r="S190" s="288"/>
      <c r="T190" s="288">
        <v>0.93</v>
      </c>
      <c r="U190" s="286">
        <v>2.78</v>
      </c>
      <c r="V190" s="287" t="str" cm="1">
        <f t="array" aca="1" ref="V190" ca="1">INDIRECT("'"&amp;$C190&amp;"'!"&amp;"$"&amp;$D190&amp;$V$1&amp;"")</f>
        <v>CMS</v>
      </c>
      <c r="W190" s="288" t="s">
        <v>1</v>
      </c>
      <c r="X190" s="288" t="s">
        <v>1</v>
      </c>
      <c r="Y190" s="289" t="s">
        <v>1</v>
      </c>
      <c r="Z190" s="285" t="str" cm="1">
        <f t="array" aca="1" ref="Z190" ca="1">INDIRECT("'"&amp;$C190&amp;"'!"&amp;"$"&amp;$D190&amp;$Z$1&amp;"")</f>
        <v>CMS</v>
      </c>
      <c r="AA190" s="288" t="s">
        <v>1</v>
      </c>
      <c r="AB190" s="288" t="s">
        <v>1</v>
      </c>
      <c r="AC190" s="286" t="s">
        <v>1</v>
      </c>
      <c r="AD190" s="287" cm="1">
        <f t="array" aca="1" ref="AD190" ca="1">INDIRECT("'"&amp;$C190&amp;"'!"&amp;"$"&amp;$D190&amp;$AD$1&amp;"")</f>
        <v>3.8</v>
      </c>
      <c r="AE190" s="288">
        <f>3.8*3.49</f>
        <v>13.262</v>
      </c>
      <c r="AF190" s="288">
        <v>0.9</v>
      </c>
      <c r="AG190" s="289">
        <v>1.58</v>
      </c>
      <c r="AH190" s="285" cm="1">
        <f t="array" aca="1" ref="AH190" ca="1">INDIRECT("'"&amp;$C190&amp;"'!"&amp;"$"&amp;$D190&amp;$AH$1&amp;"")</f>
        <v>3.8</v>
      </c>
      <c r="AI190" s="288">
        <v>14</v>
      </c>
      <c r="AJ190" s="288">
        <v>0.98</v>
      </c>
      <c r="AK190" s="286">
        <v>0.441</v>
      </c>
      <c r="AL190" s="285">
        <v>11.6</v>
      </c>
      <c r="AM190" s="289">
        <v>70.599999999999994</v>
      </c>
      <c r="AN190" s="285" cm="1">
        <f t="array" aca="1" ref="AN190" ca="1">INDIRECT("'"&amp;$C190&amp;"'!"&amp;"$"&amp;$D190&amp;$AL$1&amp;"")</f>
        <v>4</v>
      </c>
      <c r="AO190" s="288">
        <v>0.96</v>
      </c>
      <c r="AP190" s="286">
        <v>1.1000000000000001</v>
      </c>
      <c r="AQ190" s="287" cm="1">
        <f t="array" aca="1" ref="AQ190" ca="1">INDIRECT("'"&amp;$C190&amp;"'!"&amp;"$"&amp;$D190&amp;$AQ$1&amp;"")</f>
        <v>0</v>
      </c>
      <c r="AR190" s="288" t="s">
        <v>1</v>
      </c>
      <c r="AS190" s="286" t="s">
        <v>1</v>
      </c>
      <c r="AT190" s="285">
        <v>13.92</v>
      </c>
      <c r="AU190" s="289">
        <v>70.8</v>
      </c>
      <c r="AV190" s="288" cm="1">
        <f t="array" aca="1" ref="AV190" ca="1">INDIRECT("'"&amp;$C190&amp;"'!"&amp;"$"&amp;$D190&amp;$AV$1&amp;"")</f>
        <v>0</v>
      </c>
      <c r="AW190" s="287" t="s">
        <v>1</v>
      </c>
      <c r="AX190" s="288" t="s">
        <v>1</v>
      </c>
      <c r="AY190" s="286" t="s">
        <v>1</v>
      </c>
      <c r="AZ190" s="288" cm="1">
        <f t="array" aca="1" ref="AZ190" ca="1">INDIRECT("'"&amp;$C190&amp;"'!"&amp;"$"&amp;$D190&amp;$AZ$1&amp;"")</f>
        <v>7</v>
      </c>
      <c r="BA190" s="287" t="s">
        <v>1</v>
      </c>
      <c r="BB190" s="288">
        <v>0.94</v>
      </c>
      <c r="BC190" s="286">
        <v>2.62</v>
      </c>
      <c r="BD190" s="290">
        <v>14.23</v>
      </c>
      <c r="BE190" s="289">
        <v>71.53</v>
      </c>
      <c r="BF190" s="290" cm="1">
        <f t="array" aca="1" ref="BF190" ca="1">INDIRECT("'"&amp;$C190&amp;"'!"&amp;"$"&amp;$D190&amp;$BF$1&amp;"")</f>
        <v>14.26</v>
      </c>
      <c r="BG190" s="288">
        <v>0.98</v>
      </c>
      <c r="BH190" s="286">
        <v>3.4</v>
      </c>
      <c r="BI190" s="525">
        <v>67.7</v>
      </c>
      <c r="BJ190" s="285" cm="1">
        <f t="array" aca="1" ref="BJ190" ca="1">INDIRECT("'"&amp;$C190&amp;"'!"&amp;"$"&amp;$D190&amp;$BI$1&amp;"")</f>
        <v>3.8</v>
      </c>
      <c r="BK190" s="287">
        <v>0.96</v>
      </c>
      <c r="BL190" s="286">
        <v>1.1000000000000001</v>
      </c>
      <c r="BM190" s="290" cm="1">
        <f t="array" aca="1" ref="BM190" ca="1">INDIRECT("'"&amp;$C190&amp;"'!"&amp;"$"&amp;$D190&amp;$BM$1&amp;"")</f>
        <v>1.33</v>
      </c>
      <c r="BN190" s="288"/>
      <c r="BO190" s="288">
        <v>0.99</v>
      </c>
      <c r="BP190" s="286">
        <v>0.15</v>
      </c>
      <c r="BQ190" s="291" cm="1">
        <f t="array" aca="1" ref="BQ190" ca="1">INDIRECT("'"&amp;$C190&amp;"'!"&amp;"$"&amp;$D190&amp;$BQ$1&amp;"")</f>
        <v>0.83</v>
      </c>
      <c r="BR190" s="288"/>
      <c r="BS190" s="288">
        <v>0.96</v>
      </c>
      <c r="BT190" s="286">
        <v>0.23</v>
      </c>
      <c r="BU190" s="291" cm="1">
        <f t="array" aca="1" ref="BU190" ca="1">INDIRECT("'"&amp;$C190&amp;"'!"&amp;"$"&amp;$D190&amp;74&amp;"")</f>
        <v>0</v>
      </c>
      <c r="BV190" s="288"/>
      <c r="BW190" s="288" t="s">
        <v>1</v>
      </c>
      <c r="BX190" s="286" t="s">
        <v>1</v>
      </c>
    </row>
    <row r="191" spans="1:76">
      <c r="A191" s="459">
        <v>45846</v>
      </c>
      <c r="B191" s="345">
        <v>0.45833333333333398</v>
      </c>
      <c r="C191" s="305">
        <v>8</v>
      </c>
      <c r="D191" s="306" t="s">
        <v>153</v>
      </c>
      <c r="E191" s="278">
        <v>14.1</v>
      </c>
      <c r="F191" s="279">
        <v>68.3</v>
      </c>
      <c r="G191" s="280" t="str" cm="1">
        <f t="array" aca="1" ref="G191" ca="1">INDIRECT("'"&amp;$C191&amp;"'!"&amp;"$"&amp;$D191&amp;$E$1&amp;"")</f>
        <v>CMS</v>
      </c>
      <c r="H191" s="281" t="s">
        <v>1</v>
      </c>
      <c r="I191" s="279" t="s">
        <v>1</v>
      </c>
      <c r="J191" s="280" cm="1">
        <f t="array" aca="1" ref="J191" ca="1">INDIRECT("'"&amp;$C191&amp;"'!"&amp;"$"&amp;$D191&amp;$J$1&amp;"")</f>
        <v>6.7</v>
      </c>
      <c r="K191" s="281"/>
      <c r="L191" s="281">
        <v>0.92</v>
      </c>
      <c r="M191" s="282">
        <v>2.92</v>
      </c>
      <c r="N191" s="278" cm="1">
        <f t="array" aca="1" ref="N191" ca="1">INDIRECT("'"&amp;$C191&amp;"'!"&amp;"$"&amp;$D191&amp;$N$1&amp;"")</f>
        <v>6.7</v>
      </c>
      <c r="O191" s="281"/>
      <c r="P191" s="281">
        <v>0.92</v>
      </c>
      <c r="Q191" s="279">
        <v>2.91</v>
      </c>
      <c r="R191" s="468" cm="1">
        <f t="array" aca="1" ref="R191" ca="1">INDIRECT("'"&amp;$C191&amp;"'!"&amp;"$"&amp;$D191&amp;$R$1&amp;"")</f>
        <v>6.7</v>
      </c>
      <c r="S191" s="281"/>
      <c r="T191" s="281">
        <v>0.92</v>
      </c>
      <c r="U191" s="279">
        <v>2.91</v>
      </c>
      <c r="V191" s="280" t="str" cm="1">
        <f t="array" aca="1" ref="V191" ca="1">INDIRECT("'"&amp;$C191&amp;"'!"&amp;"$"&amp;$D191&amp;$V$1&amp;"")</f>
        <v>CMS</v>
      </c>
      <c r="W191" s="281" t="s">
        <v>1</v>
      </c>
      <c r="X191" s="281" t="s">
        <v>1</v>
      </c>
      <c r="Y191" s="282" t="s">
        <v>1</v>
      </c>
      <c r="Z191" s="278" t="str" cm="1">
        <f t="array" aca="1" ref="Z191" ca="1">INDIRECT("'"&amp;$C191&amp;"'!"&amp;"$"&amp;$D191&amp;$Z$1&amp;"")</f>
        <v>CMS</v>
      </c>
      <c r="AA191" s="281" t="s">
        <v>1</v>
      </c>
      <c r="AB191" s="281" t="s">
        <v>1</v>
      </c>
      <c r="AC191" s="279" t="s">
        <v>1</v>
      </c>
      <c r="AD191" s="280" cm="1">
        <f t="array" aca="1" ref="AD191" ca="1">INDIRECT("'"&amp;$C191&amp;"'!"&amp;"$"&amp;$D191&amp;$AD$1&amp;"")</f>
        <v>3.8</v>
      </c>
      <c r="AE191" s="281">
        <f>3.8*3.49</f>
        <v>13.262</v>
      </c>
      <c r="AF191" s="281">
        <v>0.9</v>
      </c>
      <c r="AG191" s="282">
        <v>1.6</v>
      </c>
      <c r="AH191" s="278" cm="1">
        <f t="array" aca="1" ref="AH191" ca="1">INDIRECT("'"&amp;$C191&amp;"'!"&amp;"$"&amp;$D191&amp;$AH$1&amp;"")</f>
        <v>3.8</v>
      </c>
      <c r="AI191" s="281">
        <v>14</v>
      </c>
      <c r="AJ191" s="281">
        <v>0.98</v>
      </c>
      <c r="AK191" s="279">
        <v>0.432</v>
      </c>
      <c r="AL191" s="278">
        <v>11.6</v>
      </c>
      <c r="AM191" s="282">
        <v>70.599999999999994</v>
      </c>
      <c r="AN191" s="278" cm="1">
        <f t="array" aca="1" ref="AN191" ca="1">INDIRECT("'"&amp;$C191&amp;"'!"&amp;"$"&amp;$D191&amp;$AL$1&amp;"")</f>
        <v>3.8</v>
      </c>
      <c r="AO191" s="281">
        <v>0.93</v>
      </c>
      <c r="AP191" s="279">
        <v>1.48</v>
      </c>
      <c r="AQ191" s="280" cm="1">
        <f t="array" aca="1" ref="AQ191" ca="1">INDIRECT("'"&amp;$C191&amp;"'!"&amp;"$"&amp;$D191&amp;$AQ$1&amp;"")</f>
        <v>0</v>
      </c>
      <c r="AR191" s="281" t="s">
        <v>1</v>
      </c>
      <c r="AS191" s="279" t="s">
        <v>1</v>
      </c>
      <c r="AT191" s="278">
        <v>13.96</v>
      </c>
      <c r="AU191" s="282">
        <v>70.8</v>
      </c>
      <c r="AV191" s="281" cm="1">
        <f t="array" aca="1" ref="AV191" ca="1">INDIRECT("'"&amp;$C191&amp;"'!"&amp;"$"&amp;$D191&amp;$AV$1&amp;"")</f>
        <v>3.05</v>
      </c>
      <c r="AW191" s="280" t="s">
        <v>1</v>
      </c>
      <c r="AX191" s="281">
        <v>0.94</v>
      </c>
      <c r="AY191" s="279">
        <v>1.1000000000000001</v>
      </c>
      <c r="AZ191" s="281" cm="1">
        <f t="array" aca="1" ref="AZ191" ca="1">INDIRECT("'"&amp;$C191&amp;"'!"&amp;"$"&amp;$D191&amp;$AZ$1&amp;"")</f>
        <v>7</v>
      </c>
      <c r="BA191" s="280" t="s">
        <v>1</v>
      </c>
      <c r="BB191" s="281">
        <v>0.95</v>
      </c>
      <c r="BC191" s="279">
        <v>1.99</v>
      </c>
      <c r="BD191" s="283">
        <v>14.21</v>
      </c>
      <c r="BE191" s="282">
        <v>71.459999999999994</v>
      </c>
      <c r="BF191" s="283" cm="1">
        <f t="array" aca="1" ref="BF191" ca="1">INDIRECT("'"&amp;$C191&amp;"'!"&amp;"$"&amp;$D191&amp;$BF$1&amp;"")</f>
        <v>14.24</v>
      </c>
      <c r="BG191" s="281">
        <v>0.98</v>
      </c>
      <c r="BH191" s="279">
        <v>3.4</v>
      </c>
      <c r="BI191" s="524">
        <v>67.7</v>
      </c>
      <c r="BJ191" s="278" cm="1">
        <f t="array" aca="1" ref="BJ191" ca="1">INDIRECT("'"&amp;$C191&amp;"'!"&amp;"$"&amp;$D191&amp;$BI$1&amp;"")</f>
        <v>3.8</v>
      </c>
      <c r="BK191" s="280">
        <v>0.96</v>
      </c>
      <c r="BL191" s="279">
        <v>1</v>
      </c>
      <c r="BM191" s="283" cm="1">
        <f t="array" aca="1" ref="BM191" ca="1">INDIRECT("'"&amp;$C191&amp;"'!"&amp;"$"&amp;$D191&amp;$BM$1&amp;"")</f>
        <v>1.37</v>
      </c>
      <c r="BN191" s="281"/>
      <c r="BO191" s="281">
        <v>0.99</v>
      </c>
      <c r="BP191" s="279">
        <v>0.17</v>
      </c>
      <c r="BQ191" s="284" cm="1">
        <f t="array" aca="1" ref="BQ191" ca="1">INDIRECT("'"&amp;$C191&amp;"'!"&amp;"$"&amp;$D191&amp;$BQ$1&amp;"")</f>
        <v>0.85</v>
      </c>
      <c r="BR191" s="281"/>
      <c r="BS191" s="281">
        <v>0.96</v>
      </c>
      <c r="BT191" s="279">
        <v>0.24</v>
      </c>
      <c r="BU191" s="284" cm="1">
        <f t="array" aca="1" ref="BU191" ca="1">INDIRECT("'"&amp;$C191&amp;"'!"&amp;"$"&amp;$D191&amp;74&amp;"")</f>
        <v>0</v>
      </c>
      <c r="BV191" s="281"/>
      <c r="BW191" s="281" t="s">
        <v>1</v>
      </c>
      <c r="BX191" s="279" t="s">
        <v>1</v>
      </c>
    </row>
    <row r="192" spans="1:76">
      <c r="A192" s="459">
        <v>45846</v>
      </c>
      <c r="B192" s="345">
        <v>0.5</v>
      </c>
      <c r="C192" s="305">
        <v>8</v>
      </c>
      <c r="D192" s="306" t="s">
        <v>154</v>
      </c>
      <c r="E192" s="285">
        <v>14.1</v>
      </c>
      <c r="F192" s="286">
        <v>68.400000000000006</v>
      </c>
      <c r="G192" s="287" t="str" cm="1">
        <f t="array" aca="1" ref="G192" ca="1">INDIRECT("'"&amp;$C192&amp;"'!"&amp;"$"&amp;$D192&amp;$E$1&amp;"")</f>
        <v>CMS</v>
      </c>
      <c r="H192" s="288" t="s">
        <v>1</v>
      </c>
      <c r="I192" s="286" t="s">
        <v>1</v>
      </c>
      <c r="J192" s="287" cm="1">
        <f t="array" aca="1" ref="J192" ca="1">INDIRECT("'"&amp;$C192&amp;"'!"&amp;"$"&amp;$D192&amp;$J$1&amp;"")</f>
        <v>6.6</v>
      </c>
      <c r="K192" s="288"/>
      <c r="L192" s="288">
        <v>0.92</v>
      </c>
      <c r="M192" s="289">
        <v>2.9</v>
      </c>
      <c r="N192" s="285" cm="1">
        <f t="array" aca="1" ref="N192" ca="1">INDIRECT("'"&amp;$C192&amp;"'!"&amp;"$"&amp;$D192&amp;$N$1&amp;"")</f>
        <v>6.6</v>
      </c>
      <c r="O192" s="288"/>
      <c r="P192" s="288">
        <v>0.92</v>
      </c>
      <c r="Q192" s="289">
        <v>2.9</v>
      </c>
      <c r="R192" s="285" cm="1">
        <f t="array" aca="1" ref="R192" ca="1">INDIRECT("'"&amp;$C192&amp;"'!"&amp;"$"&amp;$D192&amp;$R$1&amp;"")</f>
        <v>6.6</v>
      </c>
      <c r="S192" s="288"/>
      <c r="T192" s="288">
        <v>0.92</v>
      </c>
      <c r="U192" s="286">
        <v>2.9</v>
      </c>
      <c r="V192" s="287" cm="1">
        <f t="array" aca="1" ref="V192" ca="1">INDIRECT("'"&amp;$C192&amp;"'!"&amp;"$"&amp;$D192&amp;$V$1&amp;"")</f>
        <v>2.8</v>
      </c>
      <c r="W192" s="288">
        <f>3.8*3.5</f>
        <v>13.299999999999999</v>
      </c>
      <c r="X192" s="288">
        <v>0.91</v>
      </c>
      <c r="Y192" s="289">
        <v>1.19</v>
      </c>
      <c r="Z192" s="285" t="str" cm="1">
        <f t="array" aca="1" ref="Z192" ca="1">INDIRECT("'"&amp;$C192&amp;"'!"&amp;"$"&amp;$D192&amp;$Z$1&amp;"")</f>
        <v>CMS</v>
      </c>
      <c r="AA192" s="288" t="s">
        <v>1</v>
      </c>
      <c r="AB192" s="288" t="s">
        <v>1</v>
      </c>
      <c r="AC192" s="286" t="s">
        <v>1</v>
      </c>
      <c r="AD192" s="287" cm="1">
        <f t="array" aca="1" ref="AD192" ca="1">INDIRECT("'"&amp;$C192&amp;"'!"&amp;"$"&amp;$D192&amp;$AD$1&amp;"")</f>
        <v>3.8</v>
      </c>
      <c r="AE192" s="288">
        <f>3.8*3.5</f>
        <v>13.299999999999999</v>
      </c>
      <c r="AF192" s="288">
        <v>0.9</v>
      </c>
      <c r="AG192" s="289">
        <v>1.58</v>
      </c>
      <c r="AH192" s="285" cm="1">
        <f t="array" aca="1" ref="AH192" ca="1">INDIRECT("'"&amp;$C192&amp;"'!"&amp;"$"&amp;$D192&amp;$AH$1&amp;"")</f>
        <v>3.8</v>
      </c>
      <c r="AI192" s="288">
        <v>14</v>
      </c>
      <c r="AJ192" s="288">
        <v>0.98</v>
      </c>
      <c r="AK192" s="286">
        <v>0.44700000000000001</v>
      </c>
      <c r="AL192" s="285">
        <v>11.6</v>
      </c>
      <c r="AM192" s="289">
        <v>70.7</v>
      </c>
      <c r="AN192" s="285" cm="1">
        <f t="array" aca="1" ref="AN192" ca="1">INDIRECT("'"&amp;$C192&amp;"'!"&amp;"$"&amp;$D192&amp;$AL$1&amp;"")</f>
        <v>3.8</v>
      </c>
      <c r="AO192" s="288">
        <v>0.94</v>
      </c>
      <c r="AP192" s="286">
        <v>1.54</v>
      </c>
      <c r="AQ192" s="287" cm="1">
        <f t="array" aca="1" ref="AQ192" ca="1">INDIRECT("'"&amp;$C192&amp;"'!"&amp;"$"&amp;$D192&amp;$AQ$1&amp;"")</f>
        <v>0</v>
      </c>
      <c r="AR192" s="288" t="s">
        <v>1</v>
      </c>
      <c r="AS192" s="286" t="s">
        <v>1</v>
      </c>
      <c r="AT192" s="285">
        <v>13.96</v>
      </c>
      <c r="AU192" s="289">
        <v>70.8</v>
      </c>
      <c r="AV192" s="288" cm="1">
        <f t="array" aca="1" ref="AV192" ca="1">INDIRECT("'"&amp;$C192&amp;"'!"&amp;"$"&amp;$D192&amp;$AV$1&amp;"")</f>
        <v>3.55</v>
      </c>
      <c r="AW192" s="287" t="s">
        <v>1</v>
      </c>
      <c r="AX192" s="288">
        <v>0.94</v>
      </c>
      <c r="AY192" s="286">
        <v>1.1200000000000001</v>
      </c>
      <c r="AZ192" s="288" cm="1">
        <f t="array" aca="1" ref="AZ192" ca="1">INDIRECT("'"&amp;$C192&amp;"'!"&amp;"$"&amp;$D192&amp;$AZ$1&amp;"")</f>
        <v>7</v>
      </c>
      <c r="BA192" s="287" t="s">
        <v>1</v>
      </c>
      <c r="BB192" s="288">
        <v>0.95</v>
      </c>
      <c r="BC192" s="286">
        <v>1.93</v>
      </c>
      <c r="BD192" s="290">
        <v>14.2</v>
      </c>
      <c r="BE192" s="289">
        <v>71.45</v>
      </c>
      <c r="BF192" s="290" cm="1">
        <f t="array" aca="1" ref="BF192" ca="1">INDIRECT("'"&amp;$C192&amp;"'!"&amp;"$"&amp;$D192&amp;$BF$1&amp;"")</f>
        <v>14.21</v>
      </c>
      <c r="BG192" s="288">
        <v>0.98</v>
      </c>
      <c r="BH192" s="286">
        <v>3.4</v>
      </c>
      <c r="BI192" s="525">
        <v>67.7</v>
      </c>
      <c r="BJ192" s="285" cm="1">
        <f t="array" aca="1" ref="BJ192" ca="1">INDIRECT("'"&amp;$C192&amp;"'!"&amp;"$"&amp;$D192&amp;$BI$1&amp;"")</f>
        <v>0</v>
      </c>
      <c r="BK192" s="287" t="s">
        <v>1</v>
      </c>
      <c r="BL192" s="286" t="s">
        <v>1</v>
      </c>
      <c r="BM192" s="290" cm="1">
        <f t="array" aca="1" ref="BM192" ca="1">INDIRECT("'"&amp;$C192&amp;"'!"&amp;"$"&amp;$D192&amp;$BM$1&amp;"")</f>
        <v>1.38</v>
      </c>
      <c r="BN192" s="288"/>
      <c r="BO192" s="288">
        <v>0.99</v>
      </c>
      <c r="BP192" s="286">
        <v>0.17</v>
      </c>
      <c r="BQ192" s="291" cm="1">
        <f t="array" aca="1" ref="BQ192" ca="1">INDIRECT("'"&amp;$C192&amp;"'!"&amp;"$"&amp;$D192&amp;$BQ$1&amp;"")</f>
        <v>0.86</v>
      </c>
      <c r="BR192" s="288"/>
      <c r="BS192" s="288">
        <v>0.96</v>
      </c>
      <c r="BT192" s="286">
        <v>0.24</v>
      </c>
      <c r="BU192" s="291" cm="1">
        <f t="array" aca="1" ref="BU192" ca="1">INDIRECT("'"&amp;$C192&amp;"'!"&amp;"$"&amp;$D192&amp;74&amp;"")</f>
        <v>0</v>
      </c>
      <c r="BV192" s="288"/>
      <c r="BW192" s="288" t="s">
        <v>1</v>
      </c>
      <c r="BX192" s="286" t="s">
        <v>1</v>
      </c>
    </row>
    <row r="193" spans="1:76">
      <c r="A193" s="459">
        <v>45846</v>
      </c>
      <c r="B193" s="345">
        <v>0.54166666666666696</v>
      </c>
      <c r="C193" s="305">
        <v>8</v>
      </c>
      <c r="D193" s="306" t="s">
        <v>155</v>
      </c>
      <c r="E193" s="278">
        <v>14.1</v>
      </c>
      <c r="F193" s="279">
        <v>68.98</v>
      </c>
      <c r="G193" s="280" t="str" cm="1">
        <f t="array" aca="1" ref="G193" ca="1">INDIRECT("'"&amp;$C193&amp;"'!"&amp;"$"&amp;$D193&amp;$E$1&amp;"")</f>
        <v>CMS</v>
      </c>
      <c r="H193" s="281" t="s">
        <v>1</v>
      </c>
      <c r="I193" s="279" t="s">
        <v>1</v>
      </c>
      <c r="J193" s="280" cm="1">
        <f t="array" aca="1" ref="J193" ca="1">INDIRECT("'"&amp;$C193&amp;"'!"&amp;"$"&amp;$D193&amp;$J$1&amp;"")</f>
        <v>6.9</v>
      </c>
      <c r="K193" s="281"/>
      <c r="L193" s="281">
        <v>0.9</v>
      </c>
      <c r="M193" s="279">
        <v>3.4</v>
      </c>
      <c r="N193" s="278" cm="1">
        <f t="array" aca="1" ref="N193" ca="1">INDIRECT("'"&amp;$C193&amp;"'!"&amp;"$"&amp;$D193&amp;$N$1&amp;"")</f>
        <v>6.9</v>
      </c>
      <c r="O193" s="281"/>
      <c r="P193" s="281">
        <v>0.9</v>
      </c>
      <c r="Q193" s="279">
        <v>3.36</v>
      </c>
      <c r="R193" s="468" cm="1">
        <f t="array" aca="1" ref="R193" ca="1">INDIRECT("'"&amp;$C193&amp;"'!"&amp;"$"&amp;$D193&amp;$R$1&amp;"")</f>
        <v>6.9</v>
      </c>
      <c r="S193" s="281"/>
      <c r="T193" s="281">
        <v>0.9</v>
      </c>
      <c r="U193" s="279">
        <v>3.37</v>
      </c>
      <c r="V193" s="280" cm="1">
        <f t="array" aca="1" ref="V193" ca="1">INDIRECT("'"&amp;$C193&amp;"'!"&amp;"$"&amp;$D193&amp;$V$1&amp;"")</f>
        <v>2.8</v>
      </c>
      <c r="W193" s="281">
        <f>3.8*3.48</f>
        <v>13.224</v>
      </c>
      <c r="X193" s="281">
        <v>0.91</v>
      </c>
      <c r="Y193" s="282">
        <v>1.17</v>
      </c>
      <c r="Z193" s="278" t="str" cm="1">
        <f t="array" aca="1" ref="Z193" ca="1">INDIRECT("'"&amp;$C193&amp;"'!"&amp;"$"&amp;$D193&amp;$Z$1&amp;"")</f>
        <v>CMS</v>
      </c>
      <c r="AA193" s="281" t="s">
        <v>1</v>
      </c>
      <c r="AB193" s="281" t="s">
        <v>1</v>
      </c>
      <c r="AC193" s="279" t="s">
        <v>1</v>
      </c>
      <c r="AD193" s="280" cm="1">
        <f t="array" aca="1" ref="AD193" ca="1">INDIRECT("'"&amp;$C193&amp;"'!"&amp;"$"&amp;$D193&amp;$AD$1&amp;"")</f>
        <v>3.8</v>
      </c>
      <c r="AE193" s="281">
        <f>3.8*3.48</f>
        <v>13.224</v>
      </c>
      <c r="AF193" s="281">
        <v>0.9</v>
      </c>
      <c r="AG193" s="282">
        <v>1.58</v>
      </c>
      <c r="AH193" s="278" cm="1">
        <f t="array" aca="1" ref="AH193" ca="1">INDIRECT("'"&amp;$C193&amp;"'!"&amp;"$"&amp;$D193&amp;$AH$1&amp;"")</f>
        <v>3.8</v>
      </c>
      <c r="AI193" s="281">
        <v>14</v>
      </c>
      <c r="AJ193" s="281">
        <v>0.98</v>
      </c>
      <c r="AK193" s="279">
        <v>0.45200000000000001</v>
      </c>
      <c r="AL193" s="278">
        <v>11.6</v>
      </c>
      <c r="AM193" s="282">
        <v>70.599999999999994</v>
      </c>
      <c r="AN193" s="278" cm="1">
        <f t="array" aca="1" ref="AN193" ca="1">INDIRECT("'"&amp;$C193&amp;"'!"&amp;"$"&amp;$D193&amp;$AL$1&amp;"")</f>
        <v>0</v>
      </c>
      <c r="AO193" s="281" t="s">
        <v>1</v>
      </c>
      <c r="AP193" s="279" t="s">
        <v>1</v>
      </c>
      <c r="AQ193" s="280" cm="1">
        <f t="array" aca="1" ref="AQ193" ca="1">INDIRECT("'"&amp;$C193&amp;"'!"&amp;"$"&amp;$D193&amp;$AQ$1&amp;"")</f>
        <v>3.8</v>
      </c>
      <c r="AR193" s="281">
        <v>0.95</v>
      </c>
      <c r="AS193" s="279">
        <v>1.05</v>
      </c>
      <c r="AT193" s="278">
        <v>13.96</v>
      </c>
      <c r="AU193" s="282">
        <v>70.8</v>
      </c>
      <c r="AV193" s="281" cm="1">
        <f t="array" aca="1" ref="AV193" ca="1">INDIRECT("'"&amp;$C193&amp;"'!"&amp;"$"&amp;$D193&amp;$AV$1&amp;"")</f>
        <v>4.3899999999999997</v>
      </c>
      <c r="AW193" s="280">
        <v>13.7</v>
      </c>
      <c r="AX193" s="281">
        <v>0.94</v>
      </c>
      <c r="AY193" s="279">
        <v>1.22</v>
      </c>
      <c r="AZ193" s="281" cm="1">
        <f t="array" aca="1" ref="AZ193" ca="1">INDIRECT("'"&amp;$C193&amp;"'!"&amp;"$"&amp;$D193&amp;$AZ$1&amp;"")</f>
        <v>7</v>
      </c>
      <c r="BA193" s="280">
        <v>13.7</v>
      </c>
      <c r="BB193" s="281">
        <v>0.95</v>
      </c>
      <c r="BC193" s="279">
        <v>1.94</v>
      </c>
      <c r="BD193" s="283">
        <v>14.22</v>
      </c>
      <c r="BE193" s="282">
        <v>71.510000000000005</v>
      </c>
      <c r="BF193" s="283" cm="1">
        <f t="array" aca="1" ref="BF193" ca="1">INDIRECT("'"&amp;$C193&amp;"'!"&amp;"$"&amp;$D193&amp;$BF$1&amp;"")</f>
        <v>14.31</v>
      </c>
      <c r="BG193" s="281">
        <v>0.98</v>
      </c>
      <c r="BH193" s="279">
        <v>3.4</v>
      </c>
      <c r="BI193" s="524">
        <v>67.099999999999994</v>
      </c>
      <c r="BJ193" s="278" cm="1">
        <f t="array" aca="1" ref="BJ193" ca="1">INDIRECT("'"&amp;$C193&amp;"'!"&amp;"$"&amp;$D193&amp;$BI$1&amp;"")</f>
        <v>0</v>
      </c>
      <c r="BK193" s="280" t="s">
        <v>1</v>
      </c>
      <c r="BL193" s="279" t="s">
        <v>1</v>
      </c>
      <c r="BM193" s="283" cm="1">
        <f t="array" aca="1" ref="BM193" ca="1">INDIRECT("'"&amp;$C193&amp;"'!"&amp;"$"&amp;$D193&amp;$BM$1&amp;"")</f>
        <v>1.37</v>
      </c>
      <c r="BN193" s="281"/>
      <c r="BO193" s="281">
        <v>0.99</v>
      </c>
      <c r="BP193" s="279">
        <v>0.16</v>
      </c>
      <c r="BQ193" s="284" cm="1">
        <f t="array" aca="1" ref="BQ193" ca="1">INDIRECT("'"&amp;$C193&amp;"'!"&amp;"$"&amp;$D193&amp;$BQ$1&amp;"")</f>
        <v>0.85</v>
      </c>
      <c r="BR193" s="281"/>
      <c r="BS193" s="281">
        <v>0.96</v>
      </c>
      <c r="BT193" s="279">
        <v>0.24</v>
      </c>
      <c r="BU193" s="284" cm="1">
        <f t="array" aca="1" ref="BU193" ca="1">INDIRECT("'"&amp;$C193&amp;"'!"&amp;"$"&amp;$D193&amp;74&amp;"")</f>
        <v>0</v>
      </c>
      <c r="BV193" s="281"/>
      <c r="BW193" s="281" t="s">
        <v>1</v>
      </c>
      <c r="BX193" s="279" t="s">
        <v>1</v>
      </c>
    </row>
    <row r="194" spans="1:76">
      <c r="A194" s="459">
        <v>45846</v>
      </c>
      <c r="B194" s="345">
        <v>0.58333333333333404</v>
      </c>
      <c r="C194" s="305">
        <v>8</v>
      </c>
      <c r="D194" s="306" t="s">
        <v>156</v>
      </c>
      <c r="E194" s="285">
        <v>14</v>
      </c>
      <c r="F194" s="286">
        <v>68.72</v>
      </c>
      <c r="G194" s="287" t="str" cm="1">
        <f t="array" aca="1" ref="G194" ca="1">INDIRECT("'"&amp;$C194&amp;"'!"&amp;"$"&amp;$D194&amp;$E$1&amp;"")</f>
        <v>CMS</v>
      </c>
      <c r="H194" s="288" t="s">
        <v>1</v>
      </c>
      <c r="I194" s="286" t="s">
        <v>1</v>
      </c>
      <c r="J194" s="287" cm="1">
        <f t="array" aca="1" ref="J194" ca="1">INDIRECT("'"&amp;$C194&amp;"'!"&amp;"$"&amp;$D194&amp;$J$1&amp;"")</f>
        <v>6.5</v>
      </c>
      <c r="K194" s="288"/>
      <c r="L194" s="288">
        <v>0.9</v>
      </c>
      <c r="M194" s="289">
        <v>3.11</v>
      </c>
      <c r="N194" s="285" cm="1">
        <f t="array" aca="1" ref="N194" ca="1">INDIRECT("'"&amp;$C194&amp;"'!"&amp;"$"&amp;$D194&amp;$N$1&amp;"")</f>
        <v>6.5</v>
      </c>
      <c r="O194" s="288"/>
      <c r="P194" s="288">
        <v>0.9</v>
      </c>
      <c r="Q194" s="286">
        <v>3.13</v>
      </c>
      <c r="R194" s="285" cm="1">
        <f t="array" aca="1" ref="R194" ca="1">INDIRECT("'"&amp;$C194&amp;"'!"&amp;"$"&amp;$D194&amp;$R$1&amp;"")</f>
        <v>6.5</v>
      </c>
      <c r="S194" s="288"/>
      <c r="T194" s="288">
        <v>0.9</v>
      </c>
      <c r="U194" s="286">
        <v>3.14</v>
      </c>
      <c r="V194" s="287" cm="1">
        <f t="array" aca="1" ref="V194" ca="1">INDIRECT("'"&amp;$C194&amp;"'!"&amp;"$"&amp;$D194&amp;$V$1&amp;"")</f>
        <v>2.8</v>
      </c>
      <c r="W194" s="288">
        <f>3.8*3.46</f>
        <v>13.148</v>
      </c>
      <c r="X194" s="288">
        <v>0.9</v>
      </c>
      <c r="Y194" s="289">
        <v>1.22</v>
      </c>
      <c r="Z194" s="285" t="str" cm="1">
        <f t="array" aca="1" ref="Z194" ca="1">INDIRECT("'"&amp;$C194&amp;"'!"&amp;"$"&amp;$D194&amp;$Z$1&amp;"")</f>
        <v>CMS</v>
      </c>
      <c r="AA194" s="288" t="s">
        <v>1</v>
      </c>
      <c r="AB194" s="288" t="s">
        <v>1</v>
      </c>
      <c r="AC194" s="286" t="s">
        <v>1</v>
      </c>
      <c r="AD194" s="287" cm="1">
        <f t="array" aca="1" ref="AD194" ca="1">INDIRECT("'"&amp;$C194&amp;"'!"&amp;"$"&amp;$D194&amp;$AD$1&amp;"")</f>
        <v>3.8</v>
      </c>
      <c r="AE194" s="288">
        <v>13.15</v>
      </c>
      <c r="AF194" s="288">
        <v>0.9</v>
      </c>
      <c r="AG194" s="289">
        <v>1.5</v>
      </c>
      <c r="AH194" s="285" cm="1">
        <f t="array" aca="1" ref="AH194" ca="1">INDIRECT("'"&amp;$C194&amp;"'!"&amp;"$"&amp;$D194&amp;$AH$1&amp;"")</f>
        <v>3.8</v>
      </c>
      <c r="AI194" s="288">
        <v>14.04</v>
      </c>
      <c r="AJ194" s="288">
        <v>0.95</v>
      </c>
      <c r="AK194" s="286">
        <v>0.87</v>
      </c>
      <c r="AL194" s="285">
        <v>11.6</v>
      </c>
      <c r="AM194" s="289">
        <v>70.7</v>
      </c>
      <c r="AN194" s="285" cm="1">
        <f t="array" aca="1" ref="AN194" ca="1">INDIRECT("'"&amp;$C194&amp;"'!"&amp;"$"&amp;$D194&amp;$AL$1&amp;"")</f>
        <v>0</v>
      </c>
      <c r="AO194" s="288" t="s">
        <v>1</v>
      </c>
      <c r="AP194" s="286" t="s">
        <v>1</v>
      </c>
      <c r="AQ194" s="287" cm="1">
        <f t="array" aca="1" ref="AQ194" ca="1">INDIRECT("'"&amp;$C194&amp;"'!"&amp;"$"&amp;$D194&amp;$AQ$1&amp;"")</f>
        <v>3.7</v>
      </c>
      <c r="AR194" s="288">
        <v>0.94</v>
      </c>
      <c r="AS194" s="286">
        <v>1.556</v>
      </c>
      <c r="AT194" s="285">
        <v>13.95</v>
      </c>
      <c r="AU194" s="289">
        <v>70.7</v>
      </c>
      <c r="AV194" s="288" cm="1">
        <f t="array" aca="1" ref="AV194" ca="1">INDIRECT("'"&amp;$C194&amp;"'!"&amp;"$"&amp;$D194&amp;$AV$1&amp;"")</f>
        <v>6.44</v>
      </c>
      <c r="AW194" s="287">
        <v>13.7</v>
      </c>
      <c r="AX194" s="288">
        <v>0.95</v>
      </c>
      <c r="AY194" s="286">
        <v>1.56</v>
      </c>
      <c r="AZ194" s="288" cm="1">
        <f t="array" aca="1" ref="AZ194" ca="1">INDIRECT("'"&amp;$C194&amp;"'!"&amp;"$"&amp;$D194&amp;$AZ$1&amp;"")</f>
        <v>7</v>
      </c>
      <c r="BA194" s="287">
        <v>13.7</v>
      </c>
      <c r="BB194" s="288">
        <v>0.95</v>
      </c>
      <c r="BC194" s="286">
        <v>1.89</v>
      </c>
      <c r="BD194" s="290">
        <v>14.19</v>
      </c>
      <c r="BE194" s="289">
        <v>71.2</v>
      </c>
      <c r="BF194" s="290" cm="1">
        <f t="array" aca="1" ref="BF194" ca="1">INDIRECT("'"&amp;$C194&amp;"'!"&amp;"$"&amp;$D194&amp;$BF$1&amp;"")</f>
        <v>14.32</v>
      </c>
      <c r="BG194" s="288">
        <v>0.98</v>
      </c>
      <c r="BH194" s="286">
        <v>3.4</v>
      </c>
      <c r="BI194" s="525">
        <v>67.099999999999994</v>
      </c>
      <c r="BJ194" s="285" cm="1">
        <f t="array" aca="1" ref="BJ194" ca="1">INDIRECT("'"&amp;$C194&amp;"'!"&amp;"$"&amp;$D194&amp;$BI$1&amp;"")</f>
        <v>2.2000000000000002</v>
      </c>
      <c r="BK194" s="287">
        <v>0.96</v>
      </c>
      <c r="BL194" s="286">
        <v>0.64</v>
      </c>
      <c r="BM194" s="290" cm="1">
        <f t="array" aca="1" ref="BM194" ca="1">INDIRECT("'"&amp;$C194&amp;"'!"&amp;"$"&amp;$D194&amp;$BM$1&amp;"")</f>
        <v>1.41</v>
      </c>
      <c r="BN194" s="288"/>
      <c r="BO194" s="288">
        <v>0.99</v>
      </c>
      <c r="BP194" s="286">
        <v>0.17</v>
      </c>
      <c r="BQ194" s="291" cm="1">
        <f t="array" aca="1" ref="BQ194" ca="1">INDIRECT("'"&amp;$C194&amp;"'!"&amp;"$"&amp;$D194&amp;$BQ$1&amp;"")</f>
        <v>0.85</v>
      </c>
      <c r="BR194" s="288"/>
      <c r="BS194" s="288">
        <v>0.96</v>
      </c>
      <c r="BT194" s="286">
        <v>0.24</v>
      </c>
      <c r="BU194" s="291" cm="1">
        <f t="array" aca="1" ref="BU194" ca="1">INDIRECT("'"&amp;$C194&amp;"'!"&amp;"$"&amp;$D194&amp;74&amp;"")</f>
        <v>0</v>
      </c>
      <c r="BV194" s="288"/>
      <c r="BW194" s="288" t="s">
        <v>1</v>
      </c>
      <c r="BX194" s="286" t="s">
        <v>1</v>
      </c>
    </row>
    <row r="195" spans="1:76">
      <c r="A195" s="459">
        <v>45846</v>
      </c>
      <c r="B195" s="345">
        <v>0.625</v>
      </c>
      <c r="C195" s="305">
        <v>8</v>
      </c>
      <c r="D195" s="306" t="s">
        <v>157</v>
      </c>
      <c r="E195" s="278">
        <v>14</v>
      </c>
      <c r="F195" s="279">
        <v>68.3</v>
      </c>
      <c r="G195" s="280" t="str" cm="1">
        <f t="array" aca="1" ref="G195" ca="1">INDIRECT("'"&amp;$C195&amp;"'!"&amp;"$"&amp;$D195&amp;$E$1&amp;"")</f>
        <v>CMS</v>
      </c>
      <c r="H195" s="281" t="s">
        <v>1</v>
      </c>
      <c r="I195" s="279" t="s">
        <v>1</v>
      </c>
      <c r="J195" s="280" cm="1">
        <f t="array" aca="1" ref="J195" ca="1">INDIRECT("'"&amp;$C195&amp;"'!"&amp;"$"&amp;$D195&amp;$J$1&amp;"")</f>
        <v>6.6</v>
      </c>
      <c r="K195" s="281"/>
      <c r="L195" s="281">
        <v>0.93</v>
      </c>
      <c r="M195" s="282">
        <v>2.56</v>
      </c>
      <c r="N195" s="278" cm="1">
        <f t="array" aca="1" ref="N195" ca="1">INDIRECT("'"&amp;$C195&amp;"'!"&amp;"$"&amp;$D195&amp;$N$1&amp;"")</f>
        <v>6.6</v>
      </c>
      <c r="O195" s="281"/>
      <c r="P195" s="281">
        <v>0.93</v>
      </c>
      <c r="Q195" s="282">
        <v>2.56</v>
      </c>
      <c r="R195" s="468" cm="1">
        <f t="array" aca="1" ref="R195" ca="1">INDIRECT("'"&amp;$C195&amp;"'!"&amp;"$"&amp;$D195&amp;$R$1&amp;"")</f>
        <v>6.6</v>
      </c>
      <c r="S195" s="281"/>
      <c r="T195" s="281">
        <v>0.93</v>
      </c>
      <c r="U195" s="282">
        <v>2.56</v>
      </c>
      <c r="V195" s="280" cm="1">
        <f t="array" aca="1" ref="V195" ca="1">INDIRECT("'"&amp;$C195&amp;"'!"&amp;"$"&amp;$D195&amp;$V$1&amp;"")</f>
        <v>2.8</v>
      </c>
      <c r="W195" s="281">
        <f>3.8*3.48</f>
        <v>13.224</v>
      </c>
      <c r="X195" s="281">
        <v>0.9</v>
      </c>
      <c r="Y195" s="282">
        <v>1.21</v>
      </c>
      <c r="Z195" s="278" t="str" cm="1">
        <f t="array" aca="1" ref="Z195" ca="1">INDIRECT("'"&amp;$C195&amp;"'!"&amp;"$"&amp;$D195&amp;$Z$1&amp;"")</f>
        <v>CMS</v>
      </c>
      <c r="AA195" s="281" t="s">
        <v>1</v>
      </c>
      <c r="AB195" s="281" t="s">
        <v>1</v>
      </c>
      <c r="AC195" s="279" t="s">
        <v>1</v>
      </c>
      <c r="AD195" s="280" cm="1">
        <f t="array" aca="1" ref="AD195" ca="1">INDIRECT("'"&amp;$C195&amp;"'!"&amp;"$"&amp;$D195&amp;$AD$1&amp;"")</f>
        <v>3.8</v>
      </c>
      <c r="AE195" s="281">
        <v>13.22</v>
      </c>
      <c r="AF195" s="281">
        <v>0.9</v>
      </c>
      <c r="AG195" s="279">
        <v>1.1599999999999999</v>
      </c>
      <c r="AH195" s="278" cm="1">
        <f t="array" aca="1" ref="AH195" ca="1">INDIRECT("'"&amp;$C195&amp;"'!"&amp;"$"&amp;$D195&amp;$AH$1&amp;"")</f>
        <v>3.8</v>
      </c>
      <c r="AI195" s="281">
        <v>14</v>
      </c>
      <c r="AJ195" s="281">
        <v>0.98</v>
      </c>
      <c r="AK195" s="279">
        <v>0.51300000000000001</v>
      </c>
      <c r="AL195" s="278">
        <v>11.6</v>
      </c>
      <c r="AM195" s="282">
        <v>70.7</v>
      </c>
      <c r="AN195" s="278" cm="1">
        <f t="array" aca="1" ref="AN195" ca="1">INDIRECT("'"&amp;$C195&amp;"'!"&amp;"$"&amp;$D195&amp;$AL$1&amp;"")</f>
        <v>0</v>
      </c>
      <c r="AO195" s="281" t="s">
        <v>1</v>
      </c>
      <c r="AP195" s="279" t="s">
        <v>1</v>
      </c>
      <c r="AQ195" s="280" cm="1">
        <f t="array" aca="1" ref="AQ195" ca="1">INDIRECT("'"&amp;$C195&amp;"'!"&amp;"$"&amp;$D195&amp;$AQ$1&amp;"")</f>
        <v>3.8</v>
      </c>
      <c r="AR195" s="281">
        <v>0.95</v>
      </c>
      <c r="AS195" s="279">
        <v>1.06</v>
      </c>
      <c r="AT195" s="278">
        <v>13.95</v>
      </c>
      <c r="AU195" s="282">
        <v>70.7</v>
      </c>
      <c r="AV195" s="281" cm="1">
        <f t="array" aca="1" ref="AV195" ca="1">INDIRECT("'"&amp;$C195&amp;"'!"&amp;"$"&amp;$D195&amp;$AV$1&amp;"")</f>
        <v>3.3</v>
      </c>
      <c r="AW195" s="280">
        <v>13.7</v>
      </c>
      <c r="AX195" s="281">
        <v>0.96</v>
      </c>
      <c r="AY195" s="279">
        <v>0.9</v>
      </c>
      <c r="AZ195" s="281" cm="1">
        <f t="array" aca="1" ref="AZ195" ca="1">INDIRECT("'"&amp;$C195&amp;"'!"&amp;"$"&amp;$D195&amp;$AZ$1&amp;"")</f>
        <v>7</v>
      </c>
      <c r="BA195" s="280">
        <v>13.7</v>
      </c>
      <c r="BB195" s="281">
        <v>0.95</v>
      </c>
      <c r="BC195" s="279">
        <v>1.87</v>
      </c>
      <c r="BD195" s="283">
        <v>14.31</v>
      </c>
      <c r="BE195" s="282">
        <v>71.900000000000006</v>
      </c>
      <c r="BF195" s="283" cm="1">
        <f t="array" aca="1" ref="BF195" ca="1">INDIRECT("'"&amp;$C195&amp;"'!"&amp;"$"&amp;$D195&amp;$BF$1&amp;"")</f>
        <v>14.31</v>
      </c>
      <c r="BG195" s="281">
        <v>0.98</v>
      </c>
      <c r="BH195" s="279">
        <v>3.4</v>
      </c>
      <c r="BI195" s="524">
        <v>67.3</v>
      </c>
      <c r="BJ195" s="278" cm="1">
        <f t="array" aca="1" ref="BJ195" ca="1">INDIRECT("'"&amp;$C195&amp;"'!"&amp;"$"&amp;$D195&amp;$BI$1&amp;"")</f>
        <v>3.1</v>
      </c>
      <c r="BK195" s="280">
        <v>0.96</v>
      </c>
      <c r="BL195" s="279">
        <v>0.9</v>
      </c>
      <c r="BM195" s="283" cm="1">
        <f t="array" aca="1" ref="BM195" ca="1">INDIRECT("'"&amp;$C195&amp;"'!"&amp;"$"&amp;$D195&amp;$BM$1&amp;"")</f>
        <v>1.41</v>
      </c>
      <c r="BN195" s="281"/>
      <c r="BO195" s="281">
        <v>0.99</v>
      </c>
      <c r="BP195" s="279">
        <v>0.17</v>
      </c>
      <c r="BQ195" s="284" cm="1">
        <f t="array" aca="1" ref="BQ195" ca="1">INDIRECT("'"&amp;$C195&amp;"'!"&amp;"$"&amp;$D195&amp;$BQ$1&amp;"")</f>
        <v>0.87</v>
      </c>
      <c r="BR195" s="281"/>
      <c r="BS195" s="281">
        <v>0.96</v>
      </c>
      <c r="BT195" s="279">
        <v>0.24</v>
      </c>
      <c r="BU195" s="284" cm="1">
        <f t="array" aca="1" ref="BU195" ca="1">INDIRECT("'"&amp;$C195&amp;"'!"&amp;"$"&amp;$D195&amp;74&amp;"")</f>
        <v>0</v>
      </c>
      <c r="BV195" s="281"/>
      <c r="BW195" s="281" t="s">
        <v>1</v>
      </c>
      <c r="BX195" s="279" t="s">
        <v>1</v>
      </c>
    </row>
    <row r="196" spans="1:76">
      <c r="A196" s="459">
        <v>45846</v>
      </c>
      <c r="B196" s="345">
        <v>0.66666666666666696</v>
      </c>
      <c r="C196" s="305">
        <v>8</v>
      </c>
      <c r="D196" s="306" t="s">
        <v>158</v>
      </c>
      <c r="E196" s="285">
        <v>14</v>
      </c>
      <c r="F196" s="286">
        <v>69.06</v>
      </c>
      <c r="G196" s="287" t="str" cm="1">
        <f t="array" aca="1" ref="G196" ca="1">INDIRECT("'"&amp;$C196&amp;"'!"&amp;"$"&amp;$D196&amp;$E$1&amp;"")</f>
        <v>CMS</v>
      </c>
      <c r="H196" s="288" t="s">
        <v>1</v>
      </c>
      <c r="I196" s="286" t="s">
        <v>1</v>
      </c>
      <c r="J196" s="287" cm="1">
        <f t="array" aca="1" ref="J196" ca="1">INDIRECT("'"&amp;$C196&amp;"'!"&amp;"$"&amp;$D196&amp;$J$1&amp;"")</f>
        <v>6.6</v>
      </c>
      <c r="K196" s="288"/>
      <c r="L196" s="288">
        <v>0.92</v>
      </c>
      <c r="M196" s="289">
        <v>2.84</v>
      </c>
      <c r="N196" s="285" cm="1">
        <f t="array" aca="1" ref="N196" ca="1">INDIRECT("'"&amp;$C196&amp;"'!"&amp;"$"&amp;$D196&amp;$N$1&amp;"")</f>
        <v>6.6</v>
      </c>
      <c r="O196" s="288"/>
      <c r="P196" s="288">
        <v>0.92</v>
      </c>
      <c r="Q196" s="286">
        <v>2.88</v>
      </c>
      <c r="R196" s="469" cm="1">
        <f t="array" aca="1" ref="R196" ca="1">INDIRECT("'"&amp;$C196&amp;"'!"&amp;"$"&amp;$D196&amp;$R$1&amp;"")</f>
        <v>6.6</v>
      </c>
      <c r="S196" s="288"/>
      <c r="T196" s="288">
        <v>0.92</v>
      </c>
      <c r="U196" s="286">
        <v>2.82</v>
      </c>
      <c r="V196" s="287" cm="1">
        <f t="array" aca="1" ref="V196" ca="1">INDIRECT("'"&amp;$C196&amp;"'!"&amp;"$"&amp;$D196&amp;$V$1&amp;"")</f>
        <v>2.8</v>
      </c>
      <c r="W196" s="288">
        <f>3.8*3.48</f>
        <v>13.224</v>
      </c>
      <c r="X196" s="288">
        <v>0.9</v>
      </c>
      <c r="Y196" s="289">
        <v>1.2</v>
      </c>
      <c r="Z196" s="285" t="str" cm="1">
        <f t="array" aca="1" ref="Z196" ca="1">INDIRECT("'"&amp;$C196&amp;"'!"&amp;"$"&amp;$D196&amp;$Z$1&amp;"")</f>
        <v>CMS</v>
      </c>
      <c r="AA196" s="288" t="s">
        <v>1</v>
      </c>
      <c r="AB196" s="288" t="s">
        <v>1</v>
      </c>
      <c r="AC196" s="286" t="s">
        <v>1</v>
      </c>
      <c r="AD196" s="287" cm="1">
        <f t="array" aca="1" ref="AD196" ca="1">INDIRECT("'"&amp;$C196&amp;"'!"&amp;"$"&amp;$D196&amp;$AD$1&amp;"")</f>
        <v>3.8</v>
      </c>
      <c r="AE196" s="288">
        <v>13.22</v>
      </c>
      <c r="AF196" s="288">
        <v>0.9</v>
      </c>
      <c r="AG196" s="289">
        <v>1.58</v>
      </c>
      <c r="AH196" s="285" cm="1">
        <f t="array" aca="1" ref="AH196" ca="1">INDIRECT("'"&amp;$C196&amp;"'!"&amp;"$"&amp;$D196&amp;$AH$1&amp;"")</f>
        <v>3.8</v>
      </c>
      <c r="AI196" s="288">
        <v>14.04</v>
      </c>
      <c r="AJ196" s="288">
        <v>0.97</v>
      </c>
      <c r="AK196" s="286">
        <v>0.63700000000000001</v>
      </c>
      <c r="AL196" s="285">
        <v>11.6</v>
      </c>
      <c r="AM196" s="289">
        <v>70.7</v>
      </c>
      <c r="AN196" s="285" cm="1">
        <f t="array" aca="1" ref="AN196" ca="1">INDIRECT("'"&amp;$C196&amp;"'!"&amp;"$"&amp;$D196&amp;$AL$1&amp;"")</f>
        <v>0</v>
      </c>
      <c r="AO196" s="288" t="s">
        <v>1</v>
      </c>
      <c r="AP196" s="286" t="s">
        <v>1</v>
      </c>
      <c r="AQ196" s="287" cm="1">
        <f t="array" aca="1" ref="AQ196" ca="1">INDIRECT("'"&amp;$C196&amp;"'!"&amp;"$"&amp;$D196&amp;$AQ$1&amp;"")</f>
        <v>3.8</v>
      </c>
      <c r="AR196" s="288">
        <v>0.96</v>
      </c>
      <c r="AS196" s="286">
        <v>1</v>
      </c>
      <c r="AT196" s="285">
        <v>13.95</v>
      </c>
      <c r="AU196" s="289">
        <v>70.7</v>
      </c>
      <c r="AV196" s="288" cm="1">
        <f t="array" aca="1" ref="AV196" ca="1">INDIRECT("'"&amp;$C196&amp;"'!"&amp;"$"&amp;$D196&amp;$AV$1&amp;"")</f>
        <v>3.68</v>
      </c>
      <c r="AW196" s="287" t="s">
        <v>1</v>
      </c>
      <c r="AX196" s="288">
        <v>0.96</v>
      </c>
      <c r="AY196" s="286">
        <v>1.08</v>
      </c>
      <c r="AZ196" s="288" cm="1">
        <f t="array" aca="1" ref="AZ196" ca="1">INDIRECT("'"&amp;$C196&amp;"'!"&amp;"$"&amp;$D196&amp;$AZ$1&amp;"")</f>
        <v>7</v>
      </c>
      <c r="BA196" s="287" t="s">
        <v>1</v>
      </c>
      <c r="BB196" s="288">
        <v>0.96</v>
      </c>
      <c r="BC196" s="286">
        <v>1.82</v>
      </c>
      <c r="BD196" s="290">
        <v>14.28</v>
      </c>
      <c r="BE196" s="289">
        <v>71.62</v>
      </c>
      <c r="BF196" s="290" cm="1">
        <f t="array" aca="1" ref="BF196" ca="1">INDIRECT("'"&amp;$C196&amp;"'!"&amp;"$"&amp;$D196&amp;$BF$1&amp;"")</f>
        <v>14.21</v>
      </c>
      <c r="BG196" s="288">
        <v>0.98</v>
      </c>
      <c r="BH196" s="286">
        <v>3.4</v>
      </c>
      <c r="BI196" s="525">
        <v>67.599999999999994</v>
      </c>
      <c r="BJ196" s="285" cm="1">
        <f t="array" aca="1" ref="BJ196" ca="1">INDIRECT("'"&amp;$C196&amp;"'!"&amp;"$"&amp;$D196&amp;$BI$1&amp;"")</f>
        <v>3.1</v>
      </c>
      <c r="BK196" s="287">
        <v>0.96</v>
      </c>
      <c r="BL196" s="286">
        <v>0.91</v>
      </c>
      <c r="BM196" s="290" cm="1">
        <f t="array" aca="1" ref="BM196" ca="1">INDIRECT("'"&amp;$C196&amp;"'!"&amp;"$"&amp;$D196&amp;$BM$1&amp;"")</f>
        <v>1.42</v>
      </c>
      <c r="BN196" s="288"/>
      <c r="BO196" s="288">
        <v>0.99</v>
      </c>
      <c r="BP196" s="286">
        <v>0.18</v>
      </c>
      <c r="BQ196" s="291" cm="1">
        <f t="array" aca="1" ref="BQ196" ca="1">INDIRECT("'"&amp;$C196&amp;"'!"&amp;"$"&amp;$D196&amp;$BQ$1&amp;"")</f>
        <v>0.89</v>
      </c>
      <c r="BR196" s="288"/>
      <c r="BS196" s="288">
        <v>0.96</v>
      </c>
      <c r="BT196" s="286">
        <v>0.24</v>
      </c>
      <c r="BU196" s="291" cm="1">
        <f t="array" aca="1" ref="BU196" ca="1">INDIRECT("'"&amp;$C196&amp;"'!"&amp;"$"&amp;$D196&amp;74&amp;"")</f>
        <v>0</v>
      </c>
      <c r="BV196" s="288"/>
      <c r="BW196" s="288" t="s">
        <v>1</v>
      </c>
      <c r="BX196" s="286" t="s">
        <v>1</v>
      </c>
    </row>
    <row r="197" spans="1:76">
      <c r="A197" s="459">
        <v>45846</v>
      </c>
      <c r="B197" s="345">
        <v>0.70833333333333404</v>
      </c>
      <c r="C197" s="305">
        <v>8</v>
      </c>
      <c r="D197" s="306" t="s">
        <v>159</v>
      </c>
      <c r="E197" s="278">
        <v>14</v>
      </c>
      <c r="F197" s="279">
        <v>68.83</v>
      </c>
      <c r="G197" s="280" t="str" cm="1">
        <f t="array" aca="1" ref="G197" ca="1">INDIRECT("'"&amp;$C197&amp;"'!"&amp;"$"&amp;$D197&amp;$E$1&amp;"")</f>
        <v>CMS</v>
      </c>
      <c r="H197" s="281" t="s">
        <v>1</v>
      </c>
      <c r="I197" s="279" t="s">
        <v>1</v>
      </c>
      <c r="J197" s="280" cm="1">
        <f t="array" aca="1" ref="J197" ca="1">INDIRECT("'"&amp;$C197&amp;"'!"&amp;"$"&amp;$D197&amp;$J$1&amp;"")</f>
        <v>6.7</v>
      </c>
      <c r="K197" s="281"/>
      <c r="L197" s="281">
        <v>0.9</v>
      </c>
      <c r="M197" s="282">
        <v>3.19</v>
      </c>
      <c r="N197" s="278" cm="1">
        <f t="array" aca="1" ref="N197" ca="1">INDIRECT("'"&amp;$C197&amp;"'!"&amp;"$"&amp;$D197&amp;$N$1&amp;"")</f>
        <v>6.7</v>
      </c>
      <c r="O197" s="281"/>
      <c r="P197" s="281">
        <v>0.9</v>
      </c>
      <c r="Q197" s="279">
        <v>3.13</v>
      </c>
      <c r="R197" s="468" cm="1">
        <f t="array" aca="1" ref="R197" ca="1">INDIRECT("'"&amp;$C197&amp;"'!"&amp;"$"&amp;$D197&amp;$R$1&amp;"")</f>
        <v>6.7</v>
      </c>
      <c r="S197" s="281"/>
      <c r="T197" s="281">
        <v>0.9</v>
      </c>
      <c r="U197" s="279">
        <v>3.17</v>
      </c>
      <c r="V197" s="280" cm="1">
        <f t="array" aca="1" ref="V197" ca="1">INDIRECT("'"&amp;$C197&amp;"'!"&amp;"$"&amp;$D197&amp;$V$1&amp;"")</f>
        <v>2.8</v>
      </c>
      <c r="W197" s="281">
        <f>3.8*3.49</f>
        <v>13.262</v>
      </c>
      <c r="X197" s="281">
        <v>0.9</v>
      </c>
      <c r="Y197" s="282">
        <v>1.21</v>
      </c>
      <c r="Z197" s="278" t="str" cm="1">
        <f t="array" aca="1" ref="Z197" ca="1">INDIRECT("'"&amp;$C197&amp;"'!"&amp;"$"&amp;$D197&amp;$Z$1&amp;"")</f>
        <v>CMS</v>
      </c>
      <c r="AA197" s="281" t="s">
        <v>1</v>
      </c>
      <c r="AB197" s="281" t="s">
        <v>1</v>
      </c>
      <c r="AC197" s="279" t="s">
        <v>1</v>
      </c>
      <c r="AD197" s="280" cm="1">
        <f t="array" aca="1" ref="AD197" ca="1">INDIRECT("'"&amp;$C197&amp;"'!"&amp;"$"&amp;$D197&amp;$AD$1&amp;"")</f>
        <v>3.8</v>
      </c>
      <c r="AE197" s="281">
        <v>13.26</v>
      </c>
      <c r="AF197" s="281">
        <v>0.9</v>
      </c>
      <c r="AG197" s="282">
        <v>1.58</v>
      </c>
      <c r="AH197" s="278" cm="1">
        <f t="array" aca="1" ref="AH197" ca="1">INDIRECT("'"&amp;$C197&amp;"'!"&amp;"$"&amp;$D197&amp;$AH$1&amp;"")</f>
        <v>3.8</v>
      </c>
      <c r="AI197" s="281">
        <v>14.04</v>
      </c>
      <c r="AJ197" s="281">
        <v>0.98</v>
      </c>
      <c r="AK197" s="279">
        <v>0.52100000000000002</v>
      </c>
      <c r="AL197" s="278">
        <v>11.6</v>
      </c>
      <c r="AM197" s="282">
        <v>70.8</v>
      </c>
      <c r="AN197" s="278" cm="1">
        <f t="array" aca="1" ref="AN197" ca="1">INDIRECT("'"&amp;$C197&amp;"'!"&amp;"$"&amp;$D197&amp;$AL$1&amp;"")</f>
        <v>0</v>
      </c>
      <c r="AO197" s="281" t="s">
        <v>1</v>
      </c>
      <c r="AP197" s="279" t="s">
        <v>1</v>
      </c>
      <c r="AQ197" s="280" cm="1">
        <f t="array" aca="1" ref="AQ197" ca="1">INDIRECT("'"&amp;$C197&amp;"'!"&amp;"$"&amp;$D197&amp;$AQ$1&amp;"")</f>
        <v>3.8</v>
      </c>
      <c r="AR197" s="281">
        <v>0.96</v>
      </c>
      <c r="AS197" s="279">
        <v>1</v>
      </c>
      <c r="AT197" s="278">
        <v>13.96</v>
      </c>
      <c r="AU197" s="282">
        <v>70.7</v>
      </c>
      <c r="AV197" s="281" cm="1">
        <f t="array" aca="1" ref="AV197" ca="1">INDIRECT("'"&amp;$C197&amp;"'!"&amp;"$"&amp;$D197&amp;$AV$1&amp;"")</f>
        <v>2.76</v>
      </c>
      <c r="AW197" s="280" t="s">
        <v>1</v>
      </c>
      <c r="AX197" s="281">
        <v>0.96</v>
      </c>
      <c r="AY197" s="279">
        <v>1.82</v>
      </c>
      <c r="AZ197" s="281" cm="1">
        <f t="array" aca="1" ref="AZ197" ca="1">INDIRECT("'"&amp;$C197&amp;"'!"&amp;"$"&amp;$D197&amp;$AZ$1&amp;"")</f>
        <v>7</v>
      </c>
      <c r="BA197" s="280" t="s">
        <v>1</v>
      </c>
      <c r="BB197" s="281">
        <v>0.96</v>
      </c>
      <c r="BC197" s="279">
        <v>1.82</v>
      </c>
      <c r="BD197" s="283">
        <v>14.3</v>
      </c>
      <c r="BE197" s="282">
        <v>71.989999999999995</v>
      </c>
      <c r="BF197" s="283" cm="1">
        <f t="array" aca="1" ref="BF197" ca="1">INDIRECT("'"&amp;$C197&amp;"'!"&amp;"$"&amp;$D197&amp;$BF$1&amp;"")</f>
        <v>14.3</v>
      </c>
      <c r="BG197" s="281">
        <v>0.98</v>
      </c>
      <c r="BH197" s="279">
        <v>3.4</v>
      </c>
      <c r="BI197" s="524">
        <v>67.3</v>
      </c>
      <c r="BJ197" s="278" cm="1">
        <f t="array" aca="1" ref="BJ197" ca="1">INDIRECT("'"&amp;$C197&amp;"'!"&amp;"$"&amp;$D197&amp;$BI$1&amp;"")</f>
        <v>0.7</v>
      </c>
      <c r="BK197" s="280">
        <v>0.96599999999999997</v>
      </c>
      <c r="BL197" s="279">
        <v>0.2</v>
      </c>
      <c r="BM197" s="283" cm="1">
        <f t="array" aca="1" ref="BM197" ca="1">INDIRECT("'"&amp;$C197&amp;"'!"&amp;"$"&amp;$D197&amp;$BM$1&amp;"")</f>
        <v>1.33</v>
      </c>
      <c r="BN197" s="281"/>
      <c r="BO197" s="281">
        <v>0.99</v>
      </c>
      <c r="BP197" s="279">
        <v>0.17</v>
      </c>
      <c r="BQ197" s="284" cm="1">
        <f t="array" aca="1" ref="BQ197" ca="1">INDIRECT("'"&amp;$C197&amp;"'!"&amp;"$"&amp;$D197&amp;$BQ$1&amp;"")</f>
        <v>0.86</v>
      </c>
      <c r="BR197" s="281"/>
      <c r="BS197" s="281">
        <v>0.96</v>
      </c>
      <c r="BT197" s="279">
        <v>0.24</v>
      </c>
      <c r="BU197" s="284" cm="1">
        <f t="array" aca="1" ref="BU197" ca="1">INDIRECT("'"&amp;$C197&amp;"'!"&amp;"$"&amp;$D197&amp;74&amp;"")</f>
        <v>0</v>
      </c>
      <c r="BV197" s="281"/>
      <c r="BW197" s="281" t="s">
        <v>1</v>
      </c>
      <c r="BX197" s="279" t="s">
        <v>1</v>
      </c>
    </row>
    <row r="198" spans="1:76">
      <c r="A198" s="459">
        <v>45846</v>
      </c>
      <c r="B198" s="345">
        <v>0.750000000000001</v>
      </c>
      <c r="C198" s="305">
        <v>8</v>
      </c>
      <c r="D198" s="306" t="s">
        <v>160</v>
      </c>
      <c r="E198" s="285">
        <v>14.1</v>
      </c>
      <c r="F198" s="286">
        <v>69.900000000000006</v>
      </c>
      <c r="G198" s="287" t="str" cm="1">
        <f t="array" aca="1" ref="G198" ca="1">INDIRECT("'"&amp;$C198&amp;"'!"&amp;"$"&amp;$D198&amp;$E$1&amp;"")</f>
        <v>CMS</v>
      </c>
      <c r="H198" s="288" t="s">
        <v>1</v>
      </c>
      <c r="I198" s="286" t="s">
        <v>1</v>
      </c>
      <c r="J198" s="287" cm="1">
        <f t="array" aca="1" ref="J198" ca="1">INDIRECT("'"&amp;$C198&amp;"'!"&amp;"$"&amp;$D198&amp;$J$1&amp;"")</f>
        <v>6.4</v>
      </c>
      <c r="K198" s="288"/>
      <c r="L198" s="288">
        <v>0.94</v>
      </c>
      <c r="M198" s="289">
        <v>2.25</v>
      </c>
      <c r="N198" s="285" cm="1">
        <f t="array" aca="1" ref="N198" ca="1">INDIRECT("'"&amp;$C198&amp;"'!"&amp;"$"&amp;$D198&amp;$N$1&amp;"")</f>
        <v>6.4</v>
      </c>
      <c r="O198" s="288"/>
      <c r="P198" s="288">
        <v>0.94</v>
      </c>
      <c r="Q198" s="286">
        <v>2.21</v>
      </c>
      <c r="R198" s="285" cm="1">
        <f t="array" aca="1" ref="R198" ca="1">INDIRECT("'"&amp;$C198&amp;"'!"&amp;"$"&amp;$D198&amp;$R$1&amp;"")</f>
        <v>6.4</v>
      </c>
      <c r="S198" s="288"/>
      <c r="T198" s="288">
        <v>0.94</v>
      </c>
      <c r="U198" s="286">
        <v>2.25</v>
      </c>
      <c r="V198" s="287" cm="1">
        <f t="array" aca="1" ref="V198" ca="1">INDIRECT("'"&amp;$C198&amp;"'!"&amp;"$"&amp;$D198&amp;$V$1&amp;"")</f>
        <v>1.5</v>
      </c>
      <c r="W198" s="288">
        <f>3.8*3.49</f>
        <v>13.262</v>
      </c>
      <c r="X198" s="288">
        <v>0.94</v>
      </c>
      <c r="Y198" s="289">
        <v>0.54100000000000004</v>
      </c>
      <c r="Z198" s="285" cm="1">
        <f t="array" aca="1" ref="Z198" ca="1">INDIRECT("'"&amp;$C198&amp;"'!"&amp;"$"&amp;$D198&amp;$Z$1&amp;"")</f>
        <v>1.5</v>
      </c>
      <c r="AA198" s="288">
        <v>13.26</v>
      </c>
      <c r="AB198" s="288">
        <v>0.94</v>
      </c>
      <c r="AC198" s="286">
        <v>0.59299999999999997</v>
      </c>
      <c r="AD198" s="287" cm="1">
        <f t="array" aca="1" ref="AD198" ca="1">INDIRECT("'"&amp;$C198&amp;"'!"&amp;"$"&amp;$D198&amp;$AD$1&amp;"")</f>
        <v>2</v>
      </c>
      <c r="AE198" s="288">
        <v>13.26</v>
      </c>
      <c r="AF198" s="288">
        <v>0.93</v>
      </c>
      <c r="AG198" s="289">
        <v>0.98299999999999998</v>
      </c>
      <c r="AH198" s="285" cm="1">
        <f t="array" aca="1" ref="AH198" ca="1">INDIRECT("'"&amp;$C198&amp;"'!"&amp;"$"&amp;$D198&amp;$AH$1&amp;"")</f>
        <v>3</v>
      </c>
      <c r="AI198" s="288">
        <v>14</v>
      </c>
      <c r="AJ198" s="288">
        <v>0.97</v>
      </c>
      <c r="AK198" s="286">
        <v>0.63100000000000001</v>
      </c>
      <c r="AL198" s="285">
        <v>11.5</v>
      </c>
      <c r="AM198" s="289">
        <v>70.7</v>
      </c>
      <c r="AN198" s="285" cm="1">
        <f t="array" aca="1" ref="AN198" ca="1">INDIRECT("'"&amp;$C198&amp;"'!"&amp;"$"&amp;$D198&amp;$AL$1&amp;"")</f>
        <v>0</v>
      </c>
      <c r="AO198" s="288" t="s">
        <v>1</v>
      </c>
      <c r="AP198" s="286" t="s">
        <v>1</v>
      </c>
      <c r="AQ198" s="287" cm="1">
        <f t="array" aca="1" ref="AQ198" ca="1">INDIRECT("'"&amp;$C198&amp;"'!"&amp;"$"&amp;$D198&amp;$AQ$1&amp;"")</f>
        <v>1.5</v>
      </c>
      <c r="AR198" s="288">
        <v>0.92</v>
      </c>
      <c r="AS198" s="286">
        <v>0.62</v>
      </c>
      <c r="AT198" s="285">
        <v>13.96</v>
      </c>
      <c r="AU198" s="289">
        <v>7.7</v>
      </c>
      <c r="AV198" s="288" cm="1">
        <f t="array" aca="1" ref="AV198" ca="1">INDIRECT("'"&amp;$C198&amp;"'!"&amp;"$"&amp;$D198&amp;$AV$1&amp;"")</f>
        <v>2.65</v>
      </c>
      <c r="AW198" s="287" t="s">
        <v>1</v>
      </c>
      <c r="AX198" s="288">
        <v>0.93</v>
      </c>
      <c r="AY198" s="286">
        <v>0.99</v>
      </c>
      <c r="AZ198" s="288" cm="1">
        <f t="array" aca="1" ref="AZ198" ca="1">INDIRECT("'"&amp;$C198&amp;"'!"&amp;"$"&amp;$D198&amp;$AZ$1&amp;"")</f>
        <v>6.84</v>
      </c>
      <c r="BA198" s="287" t="s">
        <v>1</v>
      </c>
      <c r="BB198" s="288">
        <v>0.96</v>
      </c>
      <c r="BC198" s="286">
        <v>1.99</v>
      </c>
      <c r="BD198" s="290">
        <v>14.15</v>
      </c>
      <c r="BE198" s="289">
        <v>71.72</v>
      </c>
      <c r="BF198" s="290" cm="1">
        <f t="array" aca="1" ref="BF198" ca="1">INDIRECT("'"&amp;$C198&amp;"'!"&amp;"$"&amp;$D198&amp;$BF$1&amp;"")</f>
        <v>14.32</v>
      </c>
      <c r="BG198" s="288">
        <v>0.99</v>
      </c>
      <c r="BH198" s="286">
        <v>2.4</v>
      </c>
      <c r="BI198" s="525">
        <v>67.7</v>
      </c>
      <c r="BJ198" s="285" cm="1">
        <f t="array" aca="1" ref="BJ198" ca="1">INDIRECT("'"&amp;$C198&amp;"'!"&amp;"$"&amp;$D198&amp;$BI$1&amp;"")</f>
        <v>0</v>
      </c>
      <c r="BK198" s="287" t="s">
        <v>1</v>
      </c>
      <c r="BL198" s="286" t="s">
        <v>1</v>
      </c>
      <c r="BM198" s="290" cm="1">
        <f t="array" aca="1" ref="BM198" ca="1">INDIRECT("'"&amp;$C198&amp;"'!"&amp;"$"&amp;$D198&amp;$BM$1&amp;"")</f>
        <v>1.19</v>
      </c>
      <c r="BN198" s="288"/>
      <c r="BO198" s="288">
        <v>0.99</v>
      </c>
      <c r="BP198" s="286">
        <v>0.15</v>
      </c>
      <c r="BQ198" s="291" cm="1">
        <f t="array" aca="1" ref="BQ198" ca="1">INDIRECT("'"&amp;$C198&amp;"'!"&amp;"$"&amp;$D198&amp;$BQ$1&amp;"")</f>
        <v>0.85</v>
      </c>
      <c r="BR198" s="288"/>
      <c r="BS198" s="288">
        <v>0.96</v>
      </c>
      <c r="BT198" s="286">
        <v>0.24</v>
      </c>
      <c r="BU198" s="291" cm="1">
        <f t="array" aca="1" ref="BU198" ca="1">INDIRECT("'"&amp;$C198&amp;"'!"&amp;"$"&amp;$D198&amp;74&amp;"")</f>
        <v>0</v>
      </c>
      <c r="BV198" s="288"/>
      <c r="BW198" s="288" t="s">
        <v>1</v>
      </c>
      <c r="BX198" s="286" t="s">
        <v>1</v>
      </c>
    </row>
    <row r="199" spans="1:76">
      <c r="A199" s="459">
        <v>45846</v>
      </c>
      <c r="B199" s="345">
        <v>0.79166666666666696</v>
      </c>
      <c r="C199" s="305">
        <v>8</v>
      </c>
      <c r="D199" s="306" t="s">
        <v>161</v>
      </c>
      <c r="E199" s="278">
        <v>14.1</v>
      </c>
      <c r="F199" s="279">
        <v>69.7</v>
      </c>
      <c r="G199" s="280" t="str" cm="1">
        <f t="array" aca="1" ref="G199" ca="1">INDIRECT("'"&amp;$C199&amp;"'!"&amp;"$"&amp;$D199&amp;$E$1&amp;"")</f>
        <v>CMS</v>
      </c>
      <c r="H199" s="281" t="s">
        <v>1</v>
      </c>
      <c r="I199" s="279" t="s">
        <v>1</v>
      </c>
      <c r="J199" s="280" cm="1">
        <f t="array" aca="1" ref="J199" ca="1">INDIRECT("'"&amp;$C199&amp;"'!"&amp;"$"&amp;$D199&amp;$J$1&amp;"")</f>
        <v>6.4</v>
      </c>
      <c r="K199" s="292"/>
      <c r="L199" s="281">
        <v>0.94</v>
      </c>
      <c r="M199" s="282">
        <v>2.23</v>
      </c>
      <c r="N199" s="278" cm="1">
        <f t="array" aca="1" ref="N199" ca="1">INDIRECT("'"&amp;$C199&amp;"'!"&amp;"$"&amp;$D199&amp;$N$1&amp;"")</f>
        <v>6.4</v>
      </c>
      <c r="O199" s="281"/>
      <c r="P199" s="281">
        <v>0.94</v>
      </c>
      <c r="Q199" s="279">
        <v>2.2000000000000002</v>
      </c>
      <c r="R199" s="468" cm="1">
        <f t="array" aca="1" ref="R199" ca="1">INDIRECT("'"&amp;$C199&amp;"'!"&amp;"$"&amp;$D199&amp;$R$1&amp;"")</f>
        <v>6.4</v>
      </c>
      <c r="S199" s="281"/>
      <c r="T199" s="281">
        <v>0.94</v>
      </c>
      <c r="U199" s="279">
        <v>2.21</v>
      </c>
      <c r="V199" s="280" cm="1">
        <f t="array" aca="1" ref="V199" ca="1">INDIRECT("'"&amp;$C199&amp;"'!"&amp;"$"&amp;$D199&amp;$V$1&amp;"")</f>
        <v>1.5</v>
      </c>
      <c r="W199" s="281">
        <f>3.8*3.49</f>
        <v>13.262</v>
      </c>
      <c r="X199" s="281">
        <v>0.94</v>
      </c>
      <c r="Y199" s="282">
        <v>0.5</v>
      </c>
      <c r="Z199" s="278" cm="1">
        <f t="array" aca="1" ref="Z199" ca="1">INDIRECT("'"&amp;$C199&amp;"'!"&amp;"$"&amp;$D199&amp;$Z$1&amp;"")</f>
        <v>2.5</v>
      </c>
      <c r="AA199" s="281">
        <v>13.26</v>
      </c>
      <c r="AB199" s="281">
        <v>0.94</v>
      </c>
      <c r="AC199" s="279">
        <v>1.06</v>
      </c>
      <c r="AD199" s="280" cm="1">
        <f t="array" aca="1" ref="AD199" ca="1">INDIRECT("'"&amp;$C199&amp;"'!"&amp;"$"&amp;$D199&amp;$AD$1&amp;"")</f>
        <v>2</v>
      </c>
      <c r="AE199" s="281">
        <v>13.26</v>
      </c>
      <c r="AF199" s="281">
        <v>0.93</v>
      </c>
      <c r="AG199" s="282">
        <v>0.99</v>
      </c>
      <c r="AH199" s="278" cm="1">
        <f t="array" aca="1" ref="AH199" ca="1">INDIRECT("'"&amp;$C199&amp;"'!"&amp;"$"&amp;$D199&amp;$AH$1&amp;"")</f>
        <v>2</v>
      </c>
      <c r="AI199" s="281">
        <v>13.96</v>
      </c>
      <c r="AJ199" s="281">
        <v>0.97</v>
      </c>
      <c r="AK199" s="279">
        <v>0.63700000000000001</v>
      </c>
      <c r="AL199" s="278">
        <v>11.6</v>
      </c>
      <c r="AM199" s="282">
        <v>70.5</v>
      </c>
      <c r="AN199" s="278" cm="1">
        <f t="array" aca="1" ref="AN199" ca="1">INDIRECT("'"&amp;$C199&amp;"'!"&amp;"$"&amp;$D199&amp;$AL$1&amp;"")</f>
        <v>0</v>
      </c>
      <c r="AO199" s="281" t="s">
        <v>1</v>
      </c>
      <c r="AP199" s="279" t="s">
        <v>1</v>
      </c>
      <c r="AQ199" s="280" cm="1">
        <f t="array" aca="1" ref="AQ199" ca="1">INDIRECT("'"&amp;$C199&amp;"'!"&amp;"$"&amp;$D199&amp;$AQ$1&amp;"")</f>
        <v>3.8</v>
      </c>
      <c r="AR199" s="281">
        <v>0.98</v>
      </c>
      <c r="AS199" s="279">
        <v>0.73</v>
      </c>
      <c r="AT199" s="278">
        <v>13.94</v>
      </c>
      <c r="AU199" s="282">
        <v>70.7</v>
      </c>
      <c r="AV199" s="281" cm="1">
        <f t="array" aca="1" ref="AV199" ca="1">INDIRECT("'"&amp;$C199&amp;"'!"&amp;"$"&amp;$D199&amp;$AV$1&amp;"")</f>
        <v>2.7</v>
      </c>
      <c r="AW199" s="280">
        <v>13.7</v>
      </c>
      <c r="AX199" s="281">
        <v>0.96</v>
      </c>
      <c r="AY199" s="279">
        <v>0.76</v>
      </c>
      <c r="AZ199" s="281" cm="1">
        <f t="array" aca="1" ref="AZ199" ca="1">INDIRECT("'"&amp;$C199&amp;"'!"&amp;"$"&amp;$D199&amp;$AZ$1&amp;"")</f>
        <v>7</v>
      </c>
      <c r="BA199" s="280">
        <v>13.7</v>
      </c>
      <c r="BB199" s="281">
        <v>0.96</v>
      </c>
      <c r="BC199" s="279">
        <v>2.0699999999999998</v>
      </c>
      <c r="BD199" s="283">
        <v>14.07</v>
      </c>
      <c r="BE199" s="282">
        <v>71.39</v>
      </c>
      <c r="BF199" s="283" cm="1">
        <f t="array" aca="1" ref="BF199" ca="1">INDIRECT("'"&amp;$C199&amp;"'!"&amp;"$"&amp;$D199&amp;$BF$1&amp;"")</f>
        <v>14.31</v>
      </c>
      <c r="BG199" s="281">
        <v>0.99</v>
      </c>
      <c r="BH199" s="279">
        <v>2.4</v>
      </c>
      <c r="BI199" s="524">
        <v>67.8</v>
      </c>
      <c r="BJ199" s="278" cm="1">
        <f t="array" aca="1" ref="BJ199" ca="1">INDIRECT("'"&amp;$C199&amp;"'!"&amp;"$"&amp;$D199&amp;$BI$1&amp;"")</f>
        <v>0</v>
      </c>
      <c r="BK199" s="280" t="s">
        <v>1</v>
      </c>
      <c r="BL199" s="279" t="s">
        <v>1</v>
      </c>
      <c r="BM199" s="283" cm="1">
        <f t="array" aca="1" ref="BM199" ca="1">INDIRECT("'"&amp;$C199&amp;"'!"&amp;"$"&amp;$D199&amp;$BM$1&amp;"")</f>
        <v>1.46</v>
      </c>
      <c r="BN199" s="281"/>
      <c r="BO199" s="281">
        <v>0.99</v>
      </c>
      <c r="BP199" s="279">
        <v>0.17</v>
      </c>
      <c r="BQ199" s="284" cm="1">
        <f t="array" aca="1" ref="BQ199" ca="1">INDIRECT("'"&amp;$C199&amp;"'!"&amp;"$"&amp;$D199&amp;$BQ$1&amp;"")</f>
        <v>0.96</v>
      </c>
      <c r="BR199" s="281"/>
      <c r="BS199" s="281">
        <v>0.97</v>
      </c>
      <c r="BT199" s="279">
        <v>0.25</v>
      </c>
      <c r="BU199" s="284" cm="1">
        <f t="array" aca="1" ref="BU199" ca="1">INDIRECT("'"&amp;$C199&amp;"'!"&amp;"$"&amp;$D199&amp;74&amp;"")</f>
        <v>0</v>
      </c>
      <c r="BV199" s="281"/>
      <c r="BW199" s="281" t="s">
        <v>1</v>
      </c>
      <c r="BX199" s="279" t="s">
        <v>1</v>
      </c>
    </row>
    <row r="200" spans="1:76">
      <c r="A200" s="459">
        <v>45846</v>
      </c>
      <c r="B200" s="345">
        <v>0.83333333333333337</v>
      </c>
      <c r="C200" s="305">
        <v>8</v>
      </c>
      <c r="D200" s="306" t="s">
        <v>162</v>
      </c>
      <c r="E200" s="285">
        <v>14.1</v>
      </c>
      <c r="F200" s="286">
        <v>69.62</v>
      </c>
      <c r="G200" s="287" t="str" cm="1">
        <f t="array" aca="1" ref="G200" ca="1">INDIRECT("'"&amp;$C200&amp;"'!"&amp;"$"&amp;$D200&amp;$E$1&amp;"")</f>
        <v>CMS</v>
      </c>
      <c r="H200" s="288" t="s">
        <v>1</v>
      </c>
      <c r="I200" s="286" t="s">
        <v>1</v>
      </c>
      <c r="J200" s="287" cm="1">
        <f t="array" aca="1" ref="J200" ca="1">INDIRECT("'"&amp;$C200&amp;"'!"&amp;"$"&amp;$D200&amp;$J$1&amp;"")</f>
        <v>6.8</v>
      </c>
      <c r="K200" s="288"/>
      <c r="L200" s="288">
        <v>0.94</v>
      </c>
      <c r="M200" s="289">
        <v>2.9</v>
      </c>
      <c r="N200" s="285" cm="1">
        <f t="array" aca="1" ref="N200" ca="1">INDIRECT("'"&amp;$C200&amp;"'!"&amp;"$"&amp;$D200&amp;$N$1&amp;"")</f>
        <v>6.8</v>
      </c>
      <c r="O200" s="288"/>
      <c r="P200" s="288">
        <v>0.94</v>
      </c>
      <c r="Q200" s="286">
        <v>2.3199999999999998</v>
      </c>
      <c r="R200" s="285" cm="1">
        <f t="array" aca="1" ref="R200" ca="1">INDIRECT("'"&amp;$C200&amp;"'!"&amp;"$"&amp;$D200&amp;$R$1&amp;"")</f>
        <v>6.8</v>
      </c>
      <c r="S200" s="288"/>
      <c r="T200" s="288">
        <v>0.94</v>
      </c>
      <c r="U200" s="286">
        <v>2.37</v>
      </c>
      <c r="V200" s="287" cm="1">
        <f t="array" aca="1" ref="V200" ca="1">INDIRECT("'"&amp;$C200&amp;"'!"&amp;"$"&amp;$D200&amp;$V$1&amp;"")</f>
        <v>1.5</v>
      </c>
      <c r="W200" s="288">
        <f>3.8*3.53</f>
        <v>13.413999999999998</v>
      </c>
      <c r="X200" s="288">
        <v>0.95</v>
      </c>
      <c r="Y200" s="289">
        <v>0.51</v>
      </c>
      <c r="Z200" s="285" cm="1">
        <f t="array" aca="1" ref="Z200" ca="1">INDIRECT("'"&amp;$C200&amp;"'!"&amp;"$"&amp;$D200&amp;$Z$1&amp;"")</f>
        <v>2.8</v>
      </c>
      <c r="AA200" s="288">
        <v>13.41</v>
      </c>
      <c r="AB200" s="288">
        <v>0.94</v>
      </c>
      <c r="AC200" s="286">
        <v>0.99</v>
      </c>
      <c r="AD200" s="287" cm="1">
        <f t="array" aca="1" ref="AD200" ca="1">INDIRECT("'"&amp;$C200&amp;"'!"&amp;"$"&amp;$D200&amp;$AD$1&amp;"")</f>
        <v>2</v>
      </c>
      <c r="AE200" s="288">
        <v>13.41</v>
      </c>
      <c r="AF200" s="288">
        <v>0.94</v>
      </c>
      <c r="AG200" s="289">
        <v>0.88</v>
      </c>
      <c r="AH200" s="285" cm="1">
        <f t="array" aca="1" ref="AH200" ca="1">INDIRECT("'"&amp;$C200&amp;"'!"&amp;"$"&amp;$D200&amp;$AH$1&amp;"")</f>
        <v>2</v>
      </c>
      <c r="AI200" s="288">
        <v>13.96</v>
      </c>
      <c r="AJ200" s="288">
        <v>0.99</v>
      </c>
      <c r="AK200" s="286">
        <v>0.53600000000000003</v>
      </c>
      <c r="AL200" s="285">
        <v>11.6</v>
      </c>
      <c r="AM200" s="289">
        <v>70.599999999999994</v>
      </c>
      <c r="AN200" s="285" cm="1">
        <f t="array" aca="1" ref="AN200" ca="1">INDIRECT("'"&amp;$C200&amp;"'!"&amp;"$"&amp;$D200&amp;$AL$1&amp;"")</f>
        <v>0</v>
      </c>
      <c r="AO200" s="288" t="s">
        <v>1</v>
      </c>
      <c r="AP200" s="286" t="s">
        <v>1</v>
      </c>
      <c r="AQ200" s="287" cm="1">
        <f t="array" aca="1" ref="AQ200" ca="1">INDIRECT("'"&amp;$C200&amp;"'!"&amp;"$"&amp;$D200&amp;$AQ$1&amp;"")</f>
        <v>2.5</v>
      </c>
      <c r="AR200" s="288">
        <v>0.98</v>
      </c>
      <c r="AS200" s="286">
        <v>0.54</v>
      </c>
      <c r="AT200" s="285">
        <v>13.92</v>
      </c>
      <c r="AU200" s="289">
        <v>70.7</v>
      </c>
      <c r="AV200" s="288" cm="1">
        <f t="array" aca="1" ref="AV200" ca="1">INDIRECT("'"&amp;$C200&amp;"'!"&amp;"$"&amp;$D200&amp;$AV$1&amp;"")</f>
        <v>0</v>
      </c>
      <c r="AW200" s="287" t="s">
        <v>1</v>
      </c>
      <c r="AX200" s="288" t="s">
        <v>1</v>
      </c>
      <c r="AY200" s="286" t="s">
        <v>1</v>
      </c>
      <c r="AZ200" s="288" cm="1">
        <f t="array" aca="1" ref="AZ200" ca="1">INDIRECT("'"&amp;$C200&amp;"'!"&amp;"$"&amp;$D200&amp;$AZ$1&amp;"")</f>
        <v>7</v>
      </c>
      <c r="BA200" s="287" t="s">
        <v>1</v>
      </c>
      <c r="BB200" s="288">
        <v>0.96</v>
      </c>
      <c r="BC200" s="286">
        <v>2.31</v>
      </c>
      <c r="BD200" s="290">
        <v>14.08</v>
      </c>
      <c r="BE200" s="289">
        <v>71.34</v>
      </c>
      <c r="BF200" s="290" cm="1">
        <f t="array" aca="1" ref="BF200" ca="1">INDIRECT("'"&amp;$C200&amp;"'!"&amp;"$"&amp;$D200&amp;$BF$1&amp;"")</f>
        <v>14.31</v>
      </c>
      <c r="BG200" s="288">
        <v>0.99</v>
      </c>
      <c r="BH200" s="286">
        <v>2.4</v>
      </c>
      <c r="BI200" s="525">
        <v>68.3</v>
      </c>
      <c r="BJ200" s="285" cm="1">
        <f t="array" aca="1" ref="BJ200" ca="1">INDIRECT("'"&amp;$C200&amp;"'!"&amp;"$"&amp;$D200&amp;$BI$1&amp;"")</f>
        <v>0</v>
      </c>
      <c r="BK200" s="287" t="s">
        <v>1</v>
      </c>
      <c r="BL200" s="286" t="s">
        <v>1</v>
      </c>
      <c r="BM200" s="290" cm="1">
        <f t="array" aca="1" ref="BM200" ca="1">INDIRECT("'"&amp;$C200&amp;"'!"&amp;"$"&amp;$D200&amp;$BM$1&amp;"")</f>
        <v>1.53</v>
      </c>
      <c r="BN200" s="288"/>
      <c r="BO200" s="288">
        <v>0.99</v>
      </c>
      <c r="BP200" s="286">
        <v>0.18</v>
      </c>
      <c r="BQ200" s="291" cm="1">
        <f t="array" aca="1" ref="BQ200" ca="1">INDIRECT("'"&amp;$C200&amp;"'!"&amp;"$"&amp;$D200&amp;$BQ$1&amp;"")</f>
        <v>0.98</v>
      </c>
      <c r="BR200" s="288"/>
      <c r="BS200" s="288">
        <v>0.97</v>
      </c>
      <c r="BT200" s="286">
        <v>0.24</v>
      </c>
      <c r="BU200" s="291" cm="1">
        <f t="array" aca="1" ref="BU200" ca="1">INDIRECT("'"&amp;$C200&amp;"'!"&amp;"$"&amp;$D200&amp;74&amp;"")</f>
        <v>0</v>
      </c>
      <c r="BV200" s="288"/>
      <c r="BW200" s="288" t="s">
        <v>1</v>
      </c>
      <c r="BX200" s="286" t="s">
        <v>1</v>
      </c>
    </row>
    <row r="201" spans="1:76">
      <c r="A201" s="459">
        <v>45846</v>
      </c>
      <c r="B201" s="345">
        <v>0.875000000000001</v>
      </c>
      <c r="C201" s="305">
        <v>8</v>
      </c>
      <c r="D201" s="306" t="s">
        <v>163</v>
      </c>
      <c r="E201" s="278">
        <v>14.1</v>
      </c>
      <c r="F201" s="279">
        <v>69.75</v>
      </c>
      <c r="G201" s="280" t="str" cm="1">
        <f t="array" aca="1" ref="G201" ca="1">INDIRECT("'"&amp;$C201&amp;"'!"&amp;"$"&amp;$D201&amp;$E$1&amp;"")</f>
        <v>CMS</v>
      </c>
      <c r="H201" s="281" t="s">
        <v>1</v>
      </c>
      <c r="I201" s="279" t="s">
        <v>1</v>
      </c>
      <c r="J201" s="280" cm="1">
        <f t="array" aca="1" ref="J201" ca="1">INDIRECT("'"&amp;$C201&amp;"'!"&amp;"$"&amp;$D201&amp;$J$1&amp;"")</f>
        <v>6.5</v>
      </c>
      <c r="K201" s="281"/>
      <c r="L201" s="281">
        <v>0.95</v>
      </c>
      <c r="M201" s="282">
        <v>2.04</v>
      </c>
      <c r="N201" s="278" cm="1">
        <f t="array" aca="1" ref="N201" ca="1">INDIRECT("'"&amp;$C201&amp;"'!"&amp;"$"&amp;$D201&amp;$N$1&amp;"")</f>
        <v>6.5</v>
      </c>
      <c r="O201" s="281"/>
      <c r="P201" s="281">
        <v>0.95</v>
      </c>
      <c r="Q201" s="279">
        <v>2.0099999999999998</v>
      </c>
      <c r="R201" s="468" cm="1">
        <f t="array" aca="1" ref="R201" ca="1">INDIRECT("'"&amp;$C201&amp;"'!"&amp;"$"&amp;$D201&amp;$R$1&amp;"")</f>
        <v>6.5</v>
      </c>
      <c r="S201" s="281"/>
      <c r="T201" s="281">
        <v>0.95</v>
      </c>
      <c r="U201" s="279">
        <v>2.08</v>
      </c>
      <c r="V201" s="280" cm="1">
        <f t="array" aca="1" ref="V201" ca="1">INDIRECT("'"&amp;$C201&amp;"'!"&amp;"$"&amp;$D201&amp;$V$1&amp;"")</f>
        <v>2</v>
      </c>
      <c r="W201" s="281">
        <f>3.8*3.58</f>
        <v>13.603999999999999</v>
      </c>
      <c r="X201" s="281">
        <v>0.94</v>
      </c>
      <c r="Y201" s="282">
        <v>0.73</v>
      </c>
      <c r="Z201" s="278" cm="1">
        <f t="array" aca="1" ref="Z201" ca="1">INDIRECT("'"&amp;$C201&amp;"'!"&amp;"$"&amp;$D201&amp;$Z$1&amp;"")</f>
        <v>0</v>
      </c>
      <c r="AA201" s="281" t="s">
        <v>1</v>
      </c>
      <c r="AB201" s="281" t="s">
        <v>1</v>
      </c>
      <c r="AC201" s="279" t="s">
        <v>1</v>
      </c>
      <c r="AD201" s="280" cm="1">
        <f t="array" aca="1" ref="AD201" ca="1">INDIRECT("'"&amp;$C201&amp;"'!"&amp;"$"&amp;$D201&amp;$AD$1&amp;"")</f>
        <v>3</v>
      </c>
      <c r="AE201" s="281">
        <v>13.6</v>
      </c>
      <c r="AF201" s="281">
        <v>0.94</v>
      </c>
      <c r="AG201" s="282">
        <v>0.95</v>
      </c>
      <c r="AH201" s="278" cm="1">
        <f t="array" aca="1" ref="AH201" ca="1">INDIRECT("'"&amp;$C201&amp;"'!"&amp;"$"&amp;$D201&amp;$AH$1&amp;"")</f>
        <v>3</v>
      </c>
      <c r="AI201" s="281">
        <v>14</v>
      </c>
      <c r="AJ201" s="281">
        <v>0.99</v>
      </c>
      <c r="AK201" s="279">
        <v>0.34899999999999998</v>
      </c>
      <c r="AL201" s="278">
        <v>11.6</v>
      </c>
      <c r="AM201" s="282">
        <v>70.8</v>
      </c>
      <c r="AN201" s="278" cm="1">
        <f t="array" aca="1" ref="AN201" ca="1">INDIRECT("'"&amp;$C201&amp;"'!"&amp;"$"&amp;$D201&amp;$AL$1&amp;"")</f>
        <v>0</v>
      </c>
      <c r="AO201" s="281" t="s">
        <v>1</v>
      </c>
      <c r="AP201" s="279" t="s">
        <v>1</v>
      </c>
      <c r="AQ201" s="280" cm="1">
        <f t="array" aca="1" ref="AQ201" ca="1">INDIRECT("'"&amp;$C201&amp;"'!"&amp;"$"&amp;$D201&amp;$AQ$1&amp;"")</f>
        <v>2.7</v>
      </c>
      <c r="AR201" s="281">
        <v>0.98</v>
      </c>
      <c r="AS201" s="279">
        <v>0.4</v>
      </c>
      <c r="AT201" s="278">
        <v>13.92</v>
      </c>
      <c r="AU201" s="282">
        <v>70.8</v>
      </c>
      <c r="AV201" s="281" cm="1">
        <f t="array" aca="1" ref="AV201" ca="1">INDIRECT("'"&amp;$C201&amp;"'!"&amp;"$"&amp;$D201&amp;$AV$1&amp;"")</f>
        <v>0</v>
      </c>
      <c r="AW201" s="280" t="s">
        <v>1</v>
      </c>
      <c r="AX201" s="281" t="s">
        <v>1</v>
      </c>
      <c r="AY201" s="279" t="s">
        <v>1</v>
      </c>
      <c r="AZ201" s="281" cm="1">
        <f t="array" aca="1" ref="AZ201" ca="1">INDIRECT("'"&amp;$C201&amp;"'!"&amp;"$"&amp;$D201&amp;$AZ$1&amp;"")</f>
        <v>7</v>
      </c>
      <c r="BA201" s="280" t="s">
        <v>1</v>
      </c>
      <c r="BB201" s="281">
        <v>0.96</v>
      </c>
      <c r="BC201" s="279">
        <v>2.0299999999999998</v>
      </c>
      <c r="BD201" s="283">
        <v>14.14</v>
      </c>
      <c r="BE201" s="282">
        <v>71.67</v>
      </c>
      <c r="BF201" s="283" cm="1">
        <f t="array" aca="1" ref="BF201" ca="1">INDIRECT("'"&amp;$C201&amp;"'!"&amp;"$"&amp;$D201&amp;$BF$1&amp;"")</f>
        <v>14.31</v>
      </c>
      <c r="BG201" s="281">
        <v>0.99</v>
      </c>
      <c r="BH201" s="279">
        <v>2.4</v>
      </c>
      <c r="BI201" s="524">
        <v>68.400000000000006</v>
      </c>
      <c r="BJ201" s="278" cm="1">
        <f t="array" aca="1" ref="BJ201" ca="1">INDIRECT("'"&amp;$C201&amp;"'!"&amp;"$"&amp;$D201&amp;$BI$1&amp;"")</f>
        <v>0</v>
      </c>
      <c r="BK201" s="280" t="s">
        <v>1</v>
      </c>
      <c r="BL201" s="279" t="s">
        <v>1</v>
      </c>
      <c r="BM201" s="283" cm="1">
        <f t="array" aca="1" ref="BM201" ca="1">INDIRECT("'"&amp;$C201&amp;"'!"&amp;"$"&amp;$D201&amp;$BM$1&amp;"")</f>
        <v>1.42</v>
      </c>
      <c r="BN201" s="281"/>
      <c r="BO201" s="281">
        <v>0.99</v>
      </c>
      <c r="BP201" s="279">
        <v>0.16</v>
      </c>
      <c r="BQ201" s="284" cm="1">
        <f t="array" aca="1" ref="BQ201" ca="1">INDIRECT("'"&amp;$C201&amp;"'!"&amp;"$"&amp;$D201&amp;$BQ$1&amp;"")</f>
        <v>0.96</v>
      </c>
      <c r="BR201" s="281"/>
      <c r="BS201" s="281">
        <v>0.97</v>
      </c>
      <c r="BT201" s="279">
        <v>0.24</v>
      </c>
      <c r="BU201" s="284" cm="1">
        <f t="array" aca="1" ref="BU201" ca="1">INDIRECT("'"&amp;$C201&amp;"'!"&amp;"$"&amp;$D201&amp;74&amp;"")</f>
        <v>0</v>
      </c>
      <c r="BV201" s="281"/>
      <c r="BW201" s="281" t="s">
        <v>1</v>
      </c>
      <c r="BX201" s="279" t="s">
        <v>1</v>
      </c>
    </row>
    <row r="202" spans="1:76">
      <c r="A202" s="459">
        <v>45846</v>
      </c>
      <c r="B202" s="345">
        <v>0.91666666666666696</v>
      </c>
      <c r="C202" s="305">
        <v>8</v>
      </c>
      <c r="D202" s="306" t="s">
        <v>164</v>
      </c>
      <c r="E202" s="285">
        <v>14.1</v>
      </c>
      <c r="F202" s="286">
        <v>69.739999999999995</v>
      </c>
      <c r="G202" s="287" t="str" cm="1">
        <f t="array" aca="1" ref="G202" ca="1">INDIRECT("'"&amp;$C202&amp;"'!"&amp;"$"&amp;$D202&amp;$E$1&amp;"")</f>
        <v>CMS</v>
      </c>
      <c r="H202" s="288" t="s">
        <v>1</v>
      </c>
      <c r="I202" s="286" t="s">
        <v>1</v>
      </c>
      <c r="J202" s="287" cm="1">
        <f t="array" aca="1" ref="J202" ca="1">INDIRECT("'"&amp;$C202&amp;"'!"&amp;"$"&amp;$D202&amp;$J$1&amp;"")</f>
        <v>6.4</v>
      </c>
      <c r="K202" s="288"/>
      <c r="L202" s="288">
        <v>0.99</v>
      </c>
      <c r="M202" s="289">
        <v>1.02</v>
      </c>
      <c r="N202" s="285" cm="1">
        <f t="array" aca="1" ref="N202" ca="1">INDIRECT("'"&amp;$C202&amp;"'!"&amp;"$"&amp;$D202&amp;$N$1&amp;"")</f>
        <v>7</v>
      </c>
      <c r="O202" s="288"/>
      <c r="P202" s="288">
        <v>0.99</v>
      </c>
      <c r="Q202" s="286">
        <v>1.1599999999999999</v>
      </c>
      <c r="R202" s="285" cm="1">
        <f t="array" aca="1" ref="R202" ca="1">INDIRECT("'"&amp;$C202&amp;"'!"&amp;"$"&amp;$D202&amp;$R$1&amp;"")</f>
        <v>6.3</v>
      </c>
      <c r="S202" s="288"/>
      <c r="T202" s="288">
        <v>0.99</v>
      </c>
      <c r="U202" s="286">
        <v>0.89</v>
      </c>
      <c r="V202" s="287" cm="1">
        <f t="array" aca="1" ref="V202" ca="1">INDIRECT("'"&amp;$C202&amp;"'!"&amp;"$"&amp;$D202&amp;$V$1&amp;"")</f>
        <v>2</v>
      </c>
      <c r="W202" s="288">
        <f>3.5*3.8</f>
        <v>13.299999999999999</v>
      </c>
      <c r="X202" s="288">
        <v>0.95</v>
      </c>
      <c r="Y202" s="289">
        <v>0.86</v>
      </c>
      <c r="Z202" s="285" cm="1">
        <f t="array" aca="1" ref="Z202" ca="1">INDIRECT("'"&amp;$C202&amp;"'!"&amp;"$"&amp;$D202&amp;$Z$1&amp;"")</f>
        <v>0</v>
      </c>
      <c r="AA202" s="288" t="s">
        <v>1</v>
      </c>
      <c r="AB202" s="288" t="s">
        <v>1</v>
      </c>
      <c r="AC202" s="286" t="s">
        <v>1</v>
      </c>
      <c r="AD202" s="287" cm="1">
        <f t="array" aca="1" ref="AD202" ca="1">INDIRECT("'"&amp;$C202&amp;"'!"&amp;"$"&amp;$D202&amp;$AD$1&amp;"")</f>
        <v>3</v>
      </c>
      <c r="AE202" s="288">
        <f>3.5*3.8</f>
        <v>13.299999999999999</v>
      </c>
      <c r="AF202" s="288">
        <v>0.95</v>
      </c>
      <c r="AG202" s="289">
        <v>0.89</v>
      </c>
      <c r="AH202" s="285" cm="1">
        <f t="array" aca="1" ref="AH202" ca="1">INDIRECT("'"&amp;$C202&amp;"'!"&amp;"$"&amp;$D202&amp;$AH$1&amp;"")</f>
        <v>3</v>
      </c>
      <c r="AI202" s="288">
        <v>14.08</v>
      </c>
      <c r="AJ202" s="288">
        <v>0.99</v>
      </c>
      <c r="AK202" s="286">
        <v>0.34300000000000003</v>
      </c>
      <c r="AL202" s="285">
        <v>11.6</v>
      </c>
      <c r="AM202" s="289">
        <v>71</v>
      </c>
      <c r="AN202" s="285" cm="1">
        <f t="array" aca="1" ref="AN202" ca="1">INDIRECT("'"&amp;$C202&amp;"'!"&amp;"$"&amp;$D202&amp;$AL$1&amp;"")</f>
        <v>0</v>
      </c>
      <c r="AO202" s="288" t="s">
        <v>1</v>
      </c>
      <c r="AP202" s="286" t="s">
        <v>1</v>
      </c>
      <c r="AQ202" s="287" cm="1">
        <f t="array" aca="1" ref="AQ202" ca="1">INDIRECT("'"&amp;$C202&amp;"'!"&amp;"$"&amp;$D202&amp;$AQ$1&amp;"")</f>
        <v>2</v>
      </c>
      <c r="AR202" s="288">
        <v>0.99</v>
      </c>
      <c r="AS202" s="286">
        <v>0.2</v>
      </c>
      <c r="AT202" s="285">
        <v>13.8</v>
      </c>
      <c r="AU202" s="289">
        <v>70.7</v>
      </c>
      <c r="AV202" s="288" cm="1">
        <f t="array" aca="1" ref="AV202" ca="1">INDIRECT("'"&amp;$C202&amp;"'!"&amp;"$"&amp;$D202&amp;$AV$1&amp;"")</f>
        <v>0</v>
      </c>
      <c r="AW202" s="287" t="s">
        <v>1</v>
      </c>
      <c r="AX202" s="288" t="s">
        <v>1</v>
      </c>
      <c r="AY202" s="286" t="s">
        <v>1</v>
      </c>
      <c r="AZ202" s="288" cm="1">
        <f t="array" aca="1" ref="AZ202" ca="1">INDIRECT("'"&amp;$C202&amp;"'!"&amp;"$"&amp;$D202&amp;$AZ$1&amp;"")</f>
        <v>4.5</v>
      </c>
      <c r="BA202" s="287" t="s">
        <v>1</v>
      </c>
      <c r="BB202" s="288">
        <v>0.93</v>
      </c>
      <c r="BC202" s="286">
        <v>1.79</v>
      </c>
      <c r="BD202" s="290">
        <v>14.24</v>
      </c>
      <c r="BE202" s="289">
        <v>72</v>
      </c>
      <c r="BF202" s="290" cm="1">
        <f t="array" aca="1" ref="BF202" ca="1">INDIRECT("'"&amp;$C202&amp;"'!"&amp;"$"&amp;$D202&amp;$BF$1&amp;"")</f>
        <v>14.26</v>
      </c>
      <c r="BG202" s="288">
        <v>0.99</v>
      </c>
      <c r="BH202" s="286">
        <v>2.4</v>
      </c>
      <c r="BI202" s="525">
        <v>69.099999999999994</v>
      </c>
      <c r="BJ202" s="285" cm="1">
        <f t="array" aca="1" ref="BJ202" ca="1">INDIRECT("'"&amp;$C202&amp;"'!"&amp;"$"&amp;$D202&amp;$BI$1&amp;"")</f>
        <v>0</v>
      </c>
      <c r="BK202" s="287" t="s">
        <v>1</v>
      </c>
      <c r="BL202" s="286" t="s">
        <v>1</v>
      </c>
      <c r="BM202" s="290" cm="1">
        <f t="array" aca="1" ref="BM202" ca="1">INDIRECT("'"&amp;$C202&amp;"'!"&amp;"$"&amp;$D202&amp;$BM$1&amp;"")</f>
        <v>1.24</v>
      </c>
      <c r="BN202" s="288"/>
      <c r="BO202" s="288">
        <v>0.99</v>
      </c>
      <c r="BP202" s="286">
        <v>0.15</v>
      </c>
      <c r="BQ202" s="291" cm="1">
        <f t="array" aca="1" ref="BQ202" ca="1">INDIRECT("'"&amp;$C202&amp;"'!"&amp;"$"&amp;$D202&amp;$BQ$1&amp;"")</f>
        <v>0.9</v>
      </c>
      <c r="BR202" s="288"/>
      <c r="BS202" s="288">
        <v>0.97</v>
      </c>
      <c r="BT202" s="286">
        <v>0.23</v>
      </c>
      <c r="BU202" s="291" cm="1">
        <f t="array" aca="1" ref="BU202" ca="1">INDIRECT("'"&amp;$C202&amp;"'!"&amp;"$"&amp;$D202&amp;74&amp;"")</f>
        <v>0</v>
      </c>
      <c r="BV202" s="288"/>
      <c r="BW202" s="288" t="s">
        <v>1</v>
      </c>
      <c r="BX202" s="286" t="s">
        <v>1</v>
      </c>
    </row>
    <row r="203" spans="1:76" ht="14.45" thickBot="1">
      <c r="A203" s="460">
        <v>45846</v>
      </c>
      <c r="B203" s="346">
        <v>0.95833333333333404</v>
      </c>
      <c r="C203" s="307">
        <v>8</v>
      </c>
      <c r="D203" s="308" t="s">
        <v>165</v>
      </c>
      <c r="E203" s="293">
        <v>14.1</v>
      </c>
      <c r="F203" s="294">
        <v>69.739999999999995</v>
      </c>
      <c r="G203" s="295" t="str" cm="1">
        <f t="array" aca="1" ref="G203" ca="1">INDIRECT("'"&amp;$C203&amp;"'!"&amp;"$"&amp;$D203&amp;$E$1&amp;"")</f>
        <v>CMS</v>
      </c>
      <c r="H203" s="296" t="s">
        <v>1</v>
      </c>
      <c r="I203" s="294" t="s">
        <v>1</v>
      </c>
      <c r="J203" s="295" cm="1">
        <f t="array" aca="1" ref="J203" ca="1">INDIRECT("'"&amp;$C203&amp;"'!"&amp;"$"&amp;$D203&amp;$J$1&amp;"")</f>
        <v>6.6</v>
      </c>
      <c r="K203" s="296"/>
      <c r="L203" s="296">
        <v>0.97</v>
      </c>
      <c r="M203" s="297">
        <v>1.61</v>
      </c>
      <c r="N203" s="293" cm="1">
        <f t="array" aca="1" ref="N203" ca="1">INDIRECT("'"&amp;$C203&amp;"'!"&amp;"$"&amp;$D203&amp;$N$1&amp;"")</f>
        <v>0</v>
      </c>
      <c r="O203" s="296"/>
      <c r="P203" s="296" t="s">
        <v>1</v>
      </c>
      <c r="Q203" s="294" t="s">
        <v>1</v>
      </c>
      <c r="R203" s="470" cm="1">
        <f t="array" aca="1" ref="R203" ca="1">INDIRECT("'"&amp;$C203&amp;"'!"&amp;"$"&amp;$D203&amp;$R$1&amp;"")</f>
        <v>6.6</v>
      </c>
      <c r="S203" s="296"/>
      <c r="T203" s="296">
        <v>0.97</v>
      </c>
      <c r="U203" s="294">
        <v>1.61</v>
      </c>
      <c r="V203" s="295" cm="1">
        <f t="array" aca="1" ref="V203" ca="1">INDIRECT("'"&amp;$C203&amp;"'!"&amp;"$"&amp;$D203&amp;$V$1&amp;"")</f>
        <v>2.2999999999999998</v>
      </c>
      <c r="W203" s="296">
        <f>3.61*3.8</f>
        <v>13.717999999999998</v>
      </c>
      <c r="X203" s="296">
        <v>0.95</v>
      </c>
      <c r="Y203" s="297">
        <v>0.88</v>
      </c>
      <c r="Z203" s="293" cm="1">
        <f t="array" aca="1" ref="Z203" ca="1">INDIRECT("'"&amp;$C203&amp;"'!"&amp;"$"&amp;$D203&amp;$Z$1&amp;"")</f>
        <v>0</v>
      </c>
      <c r="AA203" s="296" t="s">
        <v>1</v>
      </c>
      <c r="AB203" s="296" t="s">
        <v>1</v>
      </c>
      <c r="AC203" s="294" t="s">
        <v>1</v>
      </c>
      <c r="AD203" s="295" cm="1">
        <f t="array" aca="1" ref="AD203" ca="1">INDIRECT("'"&amp;$C203&amp;"'!"&amp;"$"&amp;$D203&amp;$AD$1&amp;"")</f>
        <v>3.4</v>
      </c>
      <c r="AE203" s="296">
        <f>3.61*3.8</f>
        <v>13.717999999999998</v>
      </c>
      <c r="AF203" s="296">
        <v>0.95</v>
      </c>
      <c r="AG203" s="297">
        <v>0.92</v>
      </c>
      <c r="AH203" s="293" cm="1">
        <f t="array" aca="1" ref="AH203" ca="1">INDIRECT("'"&amp;$C203&amp;"'!"&amp;"$"&amp;$D203&amp;$AH$1&amp;"")</f>
        <v>3.8</v>
      </c>
      <c r="AI203" s="296">
        <v>14.08</v>
      </c>
      <c r="AJ203" s="296">
        <v>0.99</v>
      </c>
      <c r="AK203" s="294">
        <v>0.55900000000000005</v>
      </c>
      <c r="AL203" s="293">
        <v>11.6</v>
      </c>
      <c r="AM203" s="297">
        <v>70.5</v>
      </c>
      <c r="AN203" s="293" cm="1">
        <f t="array" aca="1" ref="AN203" ca="1">INDIRECT("'"&amp;$C203&amp;"'!"&amp;"$"&amp;$D203&amp;$AL$1&amp;"")</f>
        <v>4</v>
      </c>
      <c r="AO203" s="296">
        <v>0.99</v>
      </c>
      <c r="AP203" s="294">
        <v>0.68</v>
      </c>
      <c r="AQ203" s="295" cm="1">
        <f t="array" aca="1" ref="AQ203" ca="1">INDIRECT("'"&amp;$C203&amp;"'!"&amp;"$"&amp;$D203&amp;$AQ$1&amp;"")</f>
        <v>4</v>
      </c>
      <c r="AR203" s="296">
        <v>0.99</v>
      </c>
      <c r="AS203" s="294">
        <v>0.35</v>
      </c>
      <c r="AT203" s="293" t="s">
        <v>1</v>
      </c>
      <c r="AU203" s="297" t="s">
        <v>1</v>
      </c>
      <c r="AV203" s="296" cm="1">
        <f t="array" aca="1" ref="AV203" ca="1">INDIRECT("'"&amp;$C203&amp;"'!"&amp;"$"&amp;$D203&amp;$AV$1&amp;"")</f>
        <v>0</v>
      </c>
      <c r="AW203" s="295" t="s">
        <v>1</v>
      </c>
      <c r="AX203" s="296" t="s">
        <v>1</v>
      </c>
      <c r="AY203" s="294" t="s">
        <v>1</v>
      </c>
      <c r="AZ203" s="296" t="str" cm="1">
        <f t="array" aca="1" ref="AZ203" ca="1">INDIRECT("'"&amp;$C203&amp;"'!"&amp;"$"&amp;$D203&amp;$AZ$1&amp;"")</f>
        <v>CMS</v>
      </c>
      <c r="BA203" s="295" t="s">
        <v>1</v>
      </c>
      <c r="BB203" s="296" t="s">
        <v>1</v>
      </c>
      <c r="BC203" s="294" t="s">
        <v>1</v>
      </c>
      <c r="BD203" s="298">
        <v>14</v>
      </c>
      <c r="BE203" s="297">
        <v>71.31</v>
      </c>
      <c r="BF203" s="298" cm="1">
        <f t="array" aca="1" ref="BF203" ca="1">INDIRECT("'"&amp;$C203&amp;"'!"&amp;"$"&amp;$D203&amp;$BF$1&amp;"")</f>
        <v>14.25</v>
      </c>
      <c r="BG203" s="296">
        <v>1</v>
      </c>
      <c r="BH203" s="294">
        <v>1.3</v>
      </c>
      <c r="BI203" s="526">
        <v>68.8</v>
      </c>
      <c r="BJ203" s="293" cm="1">
        <f t="array" aca="1" ref="BJ203" ca="1">INDIRECT("'"&amp;$C203&amp;"'!"&amp;"$"&amp;$D203&amp;$BI$1&amp;"")</f>
        <v>0</v>
      </c>
      <c r="BK203" s="295" t="s">
        <v>1</v>
      </c>
      <c r="BL203" s="294" t="s">
        <v>1</v>
      </c>
      <c r="BM203" s="298" cm="1">
        <f t="array" aca="1" ref="BM203" ca="1">INDIRECT("'"&amp;$C203&amp;"'!"&amp;"$"&amp;$D203&amp;$BM$1&amp;"")</f>
        <v>1.1399999999999999</v>
      </c>
      <c r="BN203" s="296"/>
      <c r="BO203" s="296">
        <v>0.99</v>
      </c>
      <c r="BP203" s="294">
        <v>0.13</v>
      </c>
      <c r="BQ203" s="299" cm="1">
        <f t="array" aca="1" ref="BQ203" ca="1">INDIRECT("'"&amp;$C203&amp;"'!"&amp;"$"&amp;$D203&amp;$BQ$1&amp;"")</f>
        <v>0.85</v>
      </c>
      <c r="BR203" s="296"/>
      <c r="BS203" s="296">
        <v>0.97</v>
      </c>
      <c r="BT203" s="294">
        <v>0.22</v>
      </c>
      <c r="BU203" s="299" cm="1">
        <f t="array" aca="1" ref="BU203" ca="1">INDIRECT("'"&amp;$C203&amp;"'!"&amp;"$"&amp;$D203&amp;74&amp;"")</f>
        <v>0</v>
      </c>
      <c r="BV203" s="296"/>
      <c r="BW203" s="296" t="s">
        <v>1</v>
      </c>
      <c r="BX203" s="294" t="s">
        <v>1</v>
      </c>
    </row>
    <row r="204" spans="1:76" ht="14.45" thickBot="1"/>
    <row r="205" spans="1:76">
      <c r="A205" s="347">
        <v>45847</v>
      </c>
      <c r="B205" s="344">
        <v>0</v>
      </c>
      <c r="C205" s="302">
        <v>9</v>
      </c>
      <c r="D205" s="303" t="s">
        <v>142</v>
      </c>
      <c r="E205" s="272">
        <v>14.2</v>
      </c>
      <c r="F205" s="273">
        <v>70.33</v>
      </c>
      <c r="G205" s="274" t="str" cm="1">
        <f t="array" aca="1" ref="G205" ca="1">INDIRECT("'"&amp;$C205&amp;"'!"&amp;"$"&amp;$D205&amp;$E$1&amp;"")</f>
        <v>CMS</v>
      </c>
      <c r="H205" s="275" t="s">
        <v>1</v>
      </c>
      <c r="I205" s="273" t="s">
        <v>1</v>
      </c>
      <c r="J205" s="274" cm="1">
        <f t="array" aca="1" ref="J205" ca="1">INDIRECT("'"&amp;$C205&amp;"'!"&amp;"$"&amp;$D205&amp;$J$1&amp;"")</f>
        <v>6.7</v>
      </c>
      <c r="K205" s="275"/>
      <c r="L205" s="275">
        <v>0.97</v>
      </c>
      <c r="M205" s="276">
        <v>1.66</v>
      </c>
      <c r="N205" s="272" cm="1">
        <f t="array" aca="1" ref="N205" ca="1">INDIRECT("'"&amp;$C205&amp;"'!"&amp;"$"&amp;$D205&amp;$N$1&amp;"")</f>
        <v>0</v>
      </c>
      <c r="O205" s="275"/>
      <c r="P205" s="275" t="s">
        <v>1</v>
      </c>
      <c r="Q205" s="273" t="s">
        <v>1</v>
      </c>
      <c r="R205" s="467" cm="1">
        <f t="array" aca="1" ref="R205" ca="1">INDIRECT("'"&amp;$C205&amp;"'!"&amp;"$"&amp;$D205&amp;$R$1&amp;"")</f>
        <v>6.7</v>
      </c>
      <c r="S205" s="275"/>
      <c r="T205" s="275">
        <v>0.97</v>
      </c>
      <c r="U205" s="273">
        <v>1.66</v>
      </c>
      <c r="V205" s="274" cm="1">
        <f t="array" aca="1" ref="V205" ca="1">INDIRECT("'"&amp;$C205&amp;"'!"&amp;"$"&amp;$D205&amp;$V$1&amp;"")</f>
        <v>2.6</v>
      </c>
      <c r="W205" s="275">
        <f>3.63*3.8</f>
        <v>13.793999999999999</v>
      </c>
      <c r="X205" s="275">
        <v>0.95</v>
      </c>
      <c r="Y205" s="276">
        <v>0.87</v>
      </c>
      <c r="Z205" s="272" cm="1">
        <f t="array" aca="1" ref="Z205" ca="1">INDIRECT("'"&amp;$C205&amp;"'!"&amp;"$"&amp;$D205&amp;$Z$1&amp;"")</f>
        <v>0</v>
      </c>
      <c r="AA205" s="275" t="s">
        <v>1</v>
      </c>
      <c r="AB205" s="275" t="s">
        <v>1</v>
      </c>
      <c r="AC205" s="273" t="s">
        <v>1</v>
      </c>
      <c r="AD205" s="274" cm="1">
        <f t="array" aca="1" ref="AD205" ca="1">INDIRECT("'"&amp;$C205&amp;"'!"&amp;"$"&amp;$D205&amp;$AD$1&amp;"")</f>
        <v>3.6</v>
      </c>
      <c r="AE205" s="275">
        <f>3.63*3.8</f>
        <v>13.793999999999999</v>
      </c>
      <c r="AF205" s="275">
        <v>0.95</v>
      </c>
      <c r="AG205" s="273">
        <v>0.99</v>
      </c>
      <c r="AH205" s="272" cm="1">
        <f t="array" aca="1" ref="AH205" ca="1">INDIRECT("'"&amp;$C205&amp;"'!"&amp;"$"&amp;$D205&amp;$AH$1&amp;"")</f>
        <v>0</v>
      </c>
      <c r="AI205" s="275" t="s">
        <v>1</v>
      </c>
      <c r="AJ205" s="275" t="s">
        <v>1</v>
      </c>
      <c r="AK205" s="273" t="s">
        <v>1</v>
      </c>
      <c r="AL205" s="272">
        <v>11.6</v>
      </c>
      <c r="AM205" s="276">
        <v>70.7</v>
      </c>
      <c r="AN205" s="272" cm="1">
        <f t="array" aca="1" ref="AN205" ca="1">INDIRECT("'"&amp;$C205&amp;"'!"&amp;"$"&amp;$D205&amp;$AL$1&amp;"")</f>
        <v>3.9</v>
      </c>
      <c r="AO205" s="275">
        <v>0.99</v>
      </c>
      <c r="AP205" s="273">
        <v>0.42</v>
      </c>
      <c r="AQ205" s="274" cm="1">
        <f t="array" aca="1" ref="AQ205" ca="1">INDIRECT("'"&amp;$C205&amp;"'!"&amp;"$"&amp;$D205&amp;$AQ$1&amp;"")</f>
        <v>3.9</v>
      </c>
      <c r="AR205" s="275">
        <v>0.99</v>
      </c>
      <c r="AS205" s="273">
        <v>0.65</v>
      </c>
      <c r="AT205" s="272" t="s">
        <v>1</v>
      </c>
      <c r="AU205" s="276" t="s">
        <v>1</v>
      </c>
      <c r="AV205" s="275" cm="1">
        <f t="array" aca="1" ref="AV205" ca="1">INDIRECT("'"&amp;$C205&amp;"'!"&amp;"$"&amp;$D205&amp;$AV$1&amp;"")</f>
        <v>0</v>
      </c>
      <c r="AW205" s="274" t="s">
        <v>1</v>
      </c>
      <c r="AX205" s="275" t="s">
        <v>1</v>
      </c>
      <c r="AY205" s="273" t="s">
        <v>1</v>
      </c>
      <c r="AZ205" s="275" t="str" cm="1">
        <f t="array" aca="1" ref="AZ205" ca="1">INDIRECT("'"&amp;$C205&amp;"'!"&amp;"$"&amp;$D205&amp;$AZ$1&amp;"")</f>
        <v>CMS</v>
      </c>
      <c r="BA205" s="274" t="s">
        <v>1</v>
      </c>
      <c r="BB205" s="275" t="s">
        <v>1</v>
      </c>
      <c r="BC205" s="273" t="s">
        <v>1</v>
      </c>
      <c r="BD205" s="277">
        <v>13.94</v>
      </c>
      <c r="BE205" s="276">
        <v>71.010000000000005</v>
      </c>
      <c r="BF205" s="277" cm="1">
        <f t="array" aca="1" ref="BF205" ca="1">INDIRECT("'"&amp;$C205&amp;"'!"&amp;"$"&amp;$D205&amp;$BF$1&amp;"")</f>
        <v>14.22</v>
      </c>
      <c r="BG205" s="275">
        <v>1</v>
      </c>
      <c r="BH205" s="273">
        <v>1.2</v>
      </c>
      <c r="BI205" s="523">
        <v>69.400000000000006</v>
      </c>
      <c r="BJ205" s="272" cm="1">
        <f t="array" aca="1" ref="BJ205" ca="1">INDIRECT("'"&amp;$C205&amp;"'!"&amp;"$"&amp;$D205&amp;$BI$1&amp;"")</f>
        <v>0.8</v>
      </c>
      <c r="BK205" s="274">
        <v>0.98</v>
      </c>
      <c r="BL205" s="273">
        <v>0.16</v>
      </c>
      <c r="BM205" s="277" cm="1">
        <f t="array" aca="1" ref="BM205" ca="1">INDIRECT("'"&amp;$C205&amp;"'!"&amp;"$"&amp;$D205&amp;$BM$1&amp;"")</f>
        <v>1</v>
      </c>
      <c r="BN205" s="275"/>
      <c r="BO205" s="275">
        <v>0.99</v>
      </c>
      <c r="BP205" s="273">
        <v>0.12</v>
      </c>
      <c r="BQ205" s="277" cm="1">
        <f t="array" aca="1" ref="BQ205" ca="1">INDIRECT("'"&amp;$C205&amp;"'!"&amp;"$"&amp;$D205&amp;$BQ$1&amp;"")</f>
        <v>0.81</v>
      </c>
      <c r="BR205" s="275"/>
      <c r="BS205" s="275">
        <v>0.97</v>
      </c>
      <c r="BT205" s="273">
        <v>0.2</v>
      </c>
      <c r="BU205" s="358" cm="1">
        <f t="array" aca="1" ref="BU205" ca="1">INDIRECT("'"&amp;$C205&amp;"'!"&amp;"$"&amp;$D205&amp;74&amp;"")</f>
        <v>0</v>
      </c>
      <c r="BV205" s="275"/>
      <c r="BW205" s="275" t="s">
        <v>1</v>
      </c>
      <c r="BX205" s="273" t="s">
        <v>1</v>
      </c>
    </row>
    <row r="206" spans="1:76">
      <c r="A206" s="459">
        <v>45847</v>
      </c>
      <c r="B206" s="345">
        <v>4.1666666666666699E-2</v>
      </c>
      <c r="C206" s="305">
        <v>9</v>
      </c>
      <c r="D206" s="306" t="s">
        <v>143</v>
      </c>
      <c r="E206" s="278">
        <v>14.1</v>
      </c>
      <c r="F206" s="279">
        <v>69.849999999999994</v>
      </c>
      <c r="G206" s="280" t="str" cm="1">
        <f t="array" aca="1" ref="G206" ca="1">INDIRECT("'"&amp;$C206&amp;"'!"&amp;"$"&amp;$D206&amp;$E$1&amp;"")</f>
        <v>CMS</v>
      </c>
      <c r="H206" s="281" t="s">
        <v>1</v>
      </c>
      <c r="I206" s="279" t="s">
        <v>1</v>
      </c>
      <c r="J206" s="280" cm="1">
        <f t="array" aca="1" ref="J206" ca="1">INDIRECT("'"&amp;$C206&amp;"'!"&amp;"$"&amp;$D206&amp;$J$1&amp;"")</f>
        <v>6.6</v>
      </c>
      <c r="K206" s="281"/>
      <c r="L206" s="281">
        <v>0.97</v>
      </c>
      <c r="M206" s="282">
        <v>1.62</v>
      </c>
      <c r="N206" s="278" cm="1">
        <f t="array" aca="1" ref="N206" ca="1">INDIRECT("'"&amp;$C206&amp;"'!"&amp;"$"&amp;$D206&amp;$N$1&amp;"")</f>
        <v>0</v>
      </c>
      <c r="O206" s="281"/>
      <c r="P206" s="281" t="s">
        <v>1</v>
      </c>
      <c r="Q206" s="279" t="s">
        <v>1</v>
      </c>
      <c r="R206" s="468" cm="1">
        <f t="array" aca="1" ref="R206" ca="1">INDIRECT("'"&amp;$C206&amp;"'!"&amp;"$"&amp;$D206&amp;$R$1&amp;"")</f>
        <v>6.6</v>
      </c>
      <c r="S206" s="281"/>
      <c r="T206" s="281">
        <v>0.97</v>
      </c>
      <c r="U206" s="279">
        <v>1.62</v>
      </c>
      <c r="V206" s="280" cm="1">
        <f t="array" aca="1" ref="V206" ca="1">INDIRECT("'"&amp;$C206&amp;"'!"&amp;"$"&amp;$D206&amp;$V$1&amp;"")</f>
        <v>1.6</v>
      </c>
      <c r="W206" s="281">
        <f>3.55*3.8</f>
        <v>13.489999999999998</v>
      </c>
      <c r="X206" s="281">
        <v>0.97</v>
      </c>
      <c r="Y206" s="282">
        <v>0.42</v>
      </c>
      <c r="Z206" s="278" cm="1">
        <f t="array" aca="1" ref="Z206" ca="1">INDIRECT("'"&amp;$C206&amp;"'!"&amp;"$"&amp;$D206&amp;$Z$1&amp;"")</f>
        <v>0</v>
      </c>
      <c r="AA206" s="281" t="s">
        <v>1</v>
      </c>
      <c r="AB206" s="281" t="s">
        <v>1</v>
      </c>
      <c r="AC206" s="279" t="s">
        <v>1</v>
      </c>
      <c r="AD206" s="280" t="str" cm="1">
        <f t="array" aca="1" ref="AD206" ca="1">INDIRECT("'"&amp;$C206&amp;"'!"&amp;"$"&amp;$D206&amp;$AD$1&amp;"")</f>
        <v>CMS</v>
      </c>
      <c r="AE206" s="281" t="s">
        <v>1</v>
      </c>
      <c r="AF206" s="281" t="s">
        <v>1</v>
      </c>
      <c r="AG206" s="282" t="s">
        <v>1</v>
      </c>
      <c r="AH206" s="278" cm="1">
        <f t="array" aca="1" ref="AH206" ca="1">INDIRECT("'"&amp;$C206&amp;"'!"&amp;"$"&amp;$D206&amp;$AH$1&amp;"")</f>
        <v>0</v>
      </c>
      <c r="AI206" s="281" t="s">
        <v>1</v>
      </c>
      <c r="AJ206" s="281" t="s">
        <v>1</v>
      </c>
      <c r="AK206" s="279" t="s">
        <v>1</v>
      </c>
      <c r="AL206" s="278">
        <v>11.6</v>
      </c>
      <c r="AM206" s="282">
        <v>70.7</v>
      </c>
      <c r="AN206" s="278" cm="1">
        <f t="array" aca="1" ref="AN206" ca="1">INDIRECT("'"&amp;$C206&amp;"'!"&amp;"$"&amp;$D206&amp;$AL$1&amp;"")</f>
        <v>0</v>
      </c>
      <c r="AO206" s="281" t="s">
        <v>1</v>
      </c>
      <c r="AP206" s="279" t="s">
        <v>1</v>
      </c>
      <c r="AQ206" s="280" cm="1">
        <f t="array" aca="1" ref="AQ206" ca="1">INDIRECT("'"&amp;$C206&amp;"'!"&amp;"$"&amp;$D206&amp;$AQ$1&amp;"")</f>
        <v>3.9</v>
      </c>
      <c r="AR206" s="281">
        <v>0.99</v>
      </c>
      <c r="AS206" s="279">
        <v>0.65</v>
      </c>
      <c r="AT206" s="278">
        <v>13.8</v>
      </c>
      <c r="AU206" s="282">
        <v>71</v>
      </c>
      <c r="AV206" s="281" cm="1">
        <f t="array" aca="1" ref="AV206" ca="1">INDIRECT("'"&amp;$C206&amp;"'!"&amp;"$"&amp;$D206&amp;$AV$1&amp;"")</f>
        <v>0</v>
      </c>
      <c r="AW206" s="280" t="s">
        <v>1</v>
      </c>
      <c r="AX206" s="281" t="s">
        <v>1</v>
      </c>
      <c r="AY206" s="279" t="s">
        <v>1</v>
      </c>
      <c r="AZ206" s="281" cm="1">
        <f t="array" aca="1" ref="AZ206" ca="1">INDIRECT("'"&amp;$C206&amp;"'!"&amp;"$"&amp;$D206&amp;$AZ$1&amp;"")</f>
        <v>6.4</v>
      </c>
      <c r="BA206" s="280" t="s">
        <v>1</v>
      </c>
      <c r="BB206" s="281">
        <v>0.99</v>
      </c>
      <c r="BC206" s="279">
        <v>0.84</v>
      </c>
      <c r="BD206" s="283">
        <v>13.96</v>
      </c>
      <c r="BE206" s="282">
        <v>70.97</v>
      </c>
      <c r="BF206" s="283" cm="1">
        <f t="array" aca="1" ref="BF206" ca="1">INDIRECT("'"&amp;$C206&amp;"'!"&amp;"$"&amp;$D206&amp;$BF$1&amp;"")</f>
        <v>14.24</v>
      </c>
      <c r="BG206" s="281">
        <v>1</v>
      </c>
      <c r="BH206" s="279">
        <v>1.3</v>
      </c>
      <c r="BI206" s="524">
        <v>68.7</v>
      </c>
      <c r="BJ206" s="278" cm="1">
        <f t="array" aca="1" ref="BJ206" ca="1">INDIRECT("'"&amp;$C206&amp;"'!"&amp;"$"&amp;$D206&amp;$BI$1&amp;"")</f>
        <v>0</v>
      </c>
      <c r="BK206" s="280" t="s">
        <v>1</v>
      </c>
      <c r="BL206" s="279" t="s">
        <v>1</v>
      </c>
      <c r="BM206" s="283" cm="1">
        <f t="array" aca="1" ref="BM206" ca="1">INDIRECT("'"&amp;$C206&amp;"'!"&amp;"$"&amp;$D206&amp;$BM$1&amp;"")</f>
        <v>0.97</v>
      </c>
      <c r="BN206" s="281"/>
      <c r="BO206" s="281">
        <v>0.99</v>
      </c>
      <c r="BP206" s="279">
        <v>0.11</v>
      </c>
      <c r="BQ206" s="283" cm="1">
        <f t="array" aca="1" ref="BQ206" ca="1">INDIRECT("'"&amp;$C206&amp;"'!"&amp;"$"&amp;$D206&amp;$BQ$1&amp;"")</f>
        <v>0.78</v>
      </c>
      <c r="BR206" s="281"/>
      <c r="BS206" s="281">
        <v>0.97</v>
      </c>
      <c r="BT206" s="279">
        <v>0.2</v>
      </c>
      <c r="BU206" s="284" cm="1">
        <f t="array" aca="1" ref="BU206" ca="1">INDIRECT("'"&amp;$C206&amp;"'!"&amp;"$"&amp;$D206&amp;74&amp;"")</f>
        <v>0</v>
      </c>
      <c r="BV206" s="281"/>
      <c r="BW206" s="281" t="s">
        <v>1</v>
      </c>
      <c r="BX206" s="279" t="s">
        <v>1</v>
      </c>
    </row>
    <row r="207" spans="1:76">
      <c r="A207" s="459">
        <v>45847</v>
      </c>
      <c r="B207" s="345">
        <v>8.3333333333333301E-2</v>
      </c>
      <c r="C207" s="305">
        <v>9</v>
      </c>
      <c r="D207" s="306" t="s">
        <v>144</v>
      </c>
      <c r="E207" s="285">
        <v>14.1</v>
      </c>
      <c r="F207" s="286">
        <v>69.83</v>
      </c>
      <c r="G207" s="287" t="str" cm="1">
        <f t="array" aca="1" ref="G207" ca="1">INDIRECT("'"&amp;$C207&amp;"'!"&amp;"$"&amp;$D207&amp;$E$1&amp;"")</f>
        <v>CMS</v>
      </c>
      <c r="H207" s="288" t="s">
        <v>1</v>
      </c>
      <c r="I207" s="286" t="s">
        <v>1</v>
      </c>
      <c r="J207" s="287" cm="1">
        <f t="array" aca="1" ref="J207" ca="1">INDIRECT("'"&amp;$C207&amp;"'!"&amp;"$"&amp;$D207&amp;$J$1&amp;"")</f>
        <v>6.7</v>
      </c>
      <c r="K207" s="288"/>
      <c r="L207" s="288">
        <v>0.97</v>
      </c>
      <c r="M207" s="289">
        <v>1.64</v>
      </c>
      <c r="N207" s="285" cm="1">
        <f t="array" aca="1" ref="N207" ca="1">INDIRECT("'"&amp;$C207&amp;"'!"&amp;"$"&amp;$D207&amp;$N$1&amp;"")</f>
        <v>0</v>
      </c>
      <c r="O207" s="288"/>
      <c r="P207" s="288" t="s">
        <v>1</v>
      </c>
      <c r="Q207" s="286" t="s">
        <v>1</v>
      </c>
      <c r="R207" s="285" cm="1">
        <f t="array" aca="1" ref="R207" ca="1">INDIRECT("'"&amp;$C207&amp;"'!"&amp;"$"&amp;$D207&amp;$R$1&amp;"")</f>
        <v>6.7</v>
      </c>
      <c r="S207" s="288"/>
      <c r="T207" s="288">
        <v>0.97</v>
      </c>
      <c r="U207" s="286">
        <v>1.64</v>
      </c>
      <c r="V207" s="287" cm="1">
        <f t="array" aca="1" ref="V207" ca="1">INDIRECT("'"&amp;$C207&amp;"'!"&amp;"$"&amp;$D207&amp;$V$1&amp;"")</f>
        <v>0</v>
      </c>
      <c r="W207" s="288" t="s">
        <v>1</v>
      </c>
      <c r="X207" s="288" t="s">
        <v>1</v>
      </c>
      <c r="Y207" s="289" t="s">
        <v>1</v>
      </c>
      <c r="Z207" s="285" cm="1">
        <f t="array" aca="1" ref="Z207" ca="1">INDIRECT("'"&amp;$C207&amp;"'!"&amp;"$"&amp;$D207&amp;$Z$1&amp;"")</f>
        <v>0</v>
      </c>
      <c r="AA207" s="288" t="s">
        <v>1</v>
      </c>
      <c r="AB207" s="288" t="s">
        <v>1</v>
      </c>
      <c r="AC207" s="286" t="s">
        <v>1</v>
      </c>
      <c r="AD207" s="287" t="str" cm="1">
        <f t="array" aca="1" ref="AD207" ca="1">INDIRECT("'"&amp;$C207&amp;"'!"&amp;"$"&amp;$D207&amp;$AD$1&amp;"")</f>
        <v>CMS</v>
      </c>
      <c r="AE207" s="288" t="s">
        <v>1</v>
      </c>
      <c r="AF207" s="288" t="s">
        <v>1</v>
      </c>
      <c r="AG207" s="289" t="s">
        <v>1</v>
      </c>
      <c r="AH207" s="285" cm="1">
        <f t="array" aca="1" ref="AH207" ca="1">INDIRECT("'"&amp;$C207&amp;"'!"&amp;"$"&amp;$D207&amp;$AH$1&amp;"")</f>
        <v>0</v>
      </c>
      <c r="AI207" s="288" t="s">
        <v>1</v>
      </c>
      <c r="AJ207" s="288" t="s">
        <v>1</v>
      </c>
      <c r="AK207" s="289" t="s">
        <v>1</v>
      </c>
      <c r="AL207" s="285">
        <v>11.5</v>
      </c>
      <c r="AM207" s="289">
        <v>70.5</v>
      </c>
      <c r="AN207" s="285" cm="1">
        <f t="array" aca="1" ref="AN207" ca="1">INDIRECT("'"&amp;$C207&amp;"'!"&amp;"$"&amp;$D207&amp;$AL$1&amp;"")</f>
        <v>0</v>
      </c>
      <c r="AO207" s="288" t="s">
        <v>1</v>
      </c>
      <c r="AP207" s="286" t="s">
        <v>1</v>
      </c>
      <c r="AQ207" s="287" cm="1">
        <f t="array" aca="1" ref="AQ207" ca="1">INDIRECT("'"&amp;$C207&amp;"'!"&amp;"$"&amp;$D207&amp;$AQ$1&amp;"")</f>
        <v>2</v>
      </c>
      <c r="AR207" s="288">
        <v>0.94</v>
      </c>
      <c r="AS207" s="286">
        <v>0.7</v>
      </c>
      <c r="AT207" s="285">
        <v>13.8</v>
      </c>
      <c r="AU207" s="289">
        <v>71</v>
      </c>
      <c r="AV207" s="288" cm="1">
        <f t="array" aca="1" ref="AV207" ca="1">INDIRECT("'"&amp;$C207&amp;"'!"&amp;"$"&amp;$D207&amp;$AV$1&amp;"")</f>
        <v>0</v>
      </c>
      <c r="AW207" s="287" t="s">
        <v>1</v>
      </c>
      <c r="AX207" s="288" t="s">
        <v>1</v>
      </c>
      <c r="AY207" s="286" t="s">
        <v>1</v>
      </c>
      <c r="AZ207" s="288" cm="1">
        <f t="array" aca="1" ref="AZ207" ca="1">INDIRECT("'"&amp;$C207&amp;"'!"&amp;"$"&amp;$D207&amp;$AZ$1&amp;"")</f>
        <v>7</v>
      </c>
      <c r="BA207" s="287" t="s">
        <v>1</v>
      </c>
      <c r="BB207" s="288">
        <v>0.99</v>
      </c>
      <c r="BC207" s="286">
        <v>0.78</v>
      </c>
      <c r="BD207" s="290">
        <v>13.98</v>
      </c>
      <c r="BE207" s="289">
        <v>71.260000000000005</v>
      </c>
      <c r="BF207" s="290" cm="1">
        <f t="array" aca="1" ref="BF207" ca="1">INDIRECT("'"&amp;$C207&amp;"'!"&amp;"$"&amp;$D207&amp;$BF$1&amp;"")</f>
        <v>14.28</v>
      </c>
      <c r="BG207" s="288">
        <v>1</v>
      </c>
      <c r="BH207" s="286">
        <v>1.3</v>
      </c>
      <c r="BI207" s="525">
        <v>68.8</v>
      </c>
      <c r="BJ207" s="285" cm="1">
        <f t="array" aca="1" ref="BJ207" ca="1">INDIRECT("'"&amp;$C207&amp;"'!"&amp;"$"&amp;$D207&amp;$BI$1&amp;"")</f>
        <v>0</v>
      </c>
      <c r="BK207" s="287" t="s">
        <v>1</v>
      </c>
      <c r="BL207" s="286" t="s">
        <v>1</v>
      </c>
      <c r="BM207" s="290" cm="1">
        <f t="array" aca="1" ref="BM207" ca="1">INDIRECT("'"&amp;$C207&amp;"'!"&amp;"$"&amp;$D207&amp;$BM$1&amp;"")</f>
        <v>0.96</v>
      </c>
      <c r="BN207" s="288"/>
      <c r="BO207" s="288">
        <v>0.99</v>
      </c>
      <c r="BP207" s="286">
        <v>0.12</v>
      </c>
      <c r="BQ207" s="290" cm="1">
        <f t="array" aca="1" ref="BQ207" ca="1">INDIRECT("'"&amp;$C207&amp;"'!"&amp;"$"&amp;$D207&amp;$BQ$1&amp;"")</f>
        <v>0.74</v>
      </c>
      <c r="BR207" s="288"/>
      <c r="BS207" s="288">
        <v>0.99</v>
      </c>
      <c r="BT207" s="286">
        <v>0.11</v>
      </c>
      <c r="BU207" s="291" cm="1">
        <f t="array" aca="1" ref="BU207" ca="1">INDIRECT("'"&amp;$C207&amp;"'!"&amp;"$"&amp;$D207&amp;74&amp;"")</f>
        <v>0</v>
      </c>
      <c r="BV207" s="288"/>
      <c r="BW207" s="288" t="s">
        <v>1</v>
      </c>
      <c r="BX207" s="286" t="s">
        <v>1</v>
      </c>
    </row>
    <row r="208" spans="1:76">
      <c r="A208" s="459">
        <v>45847</v>
      </c>
      <c r="B208" s="345">
        <v>0.125</v>
      </c>
      <c r="C208" s="305">
        <v>9</v>
      </c>
      <c r="D208" s="306" t="s">
        <v>145</v>
      </c>
      <c r="E208" s="278">
        <v>14.1</v>
      </c>
      <c r="F208" s="279">
        <v>69.959999999999994</v>
      </c>
      <c r="G208" s="280" t="str" cm="1">
        <f t="array" aca="1" ref="G208" ca="1">INDIRECT("'"&amp;$C208&amp;"'!"&amp;"$"&amp;$D208&amp;$E$1&amp;"")</f>
        <v>CMS</v>
      </c>
      <c r="H208" s="281" t="s">
        <v>1</v>
      </c>
      <c r="I208" s="279" t="s">
        <v>1</v>
      </c>
      <c r="J208" s="280" cm="1">
        <f t="array" aca="1" ref="J208" ca="1">INDIRECT("'"&amp;$C208&amp;"'!"&amp;"$"&amp;$D208&amp;$J$1&amp;"")</f>
        <v>6.5</v>
      </c>
      <c r="K208" s="281"/>
      <c r="L208" s="281">
        <v>0.97</v>
      </c>
      <c r="M208" s="282">
        <v>1.61</v>
      </c>
      <c r="N208" s="278" cm="1">
        <f t="array" aca="1" ref="N208" ca="1">INDIRECT("'"&amp;$C208&amp;"'!"&amp;"$"&amp;$D208&amp;$N$1&amp;"")</f>
        <v>2</v>
      </c>
      <c r="O208" s="281"/>
      <c r="P208" s="281">
        <v>0.94</v>
      </c>
      <c r="Q208" s="279">
        <v>0.74</v>
      </c>
      <c r="R208" s="468" cm="1">
        <f t="array" aca="1" ref="R208" ca="1">INDIRECT("'"&amp;$C208&amp;"'!"&amp;"$"&amp;$D208&amp;$R$1&amp;"")</f>
        <v>4.8</v>
      </c>
      <c r="S208" s="281"/>
      <c r="T208" s="281">
        <v>0.97</v>
      </c>
      <c r="U208" s="279">
        <v>1.2</v>
      </c>
      <c r="V208" s="280" cm="1">
        <f t="array" aca="1" ref="V208" ca="1">INDIRECT("'"&amp;$C208&amp;"'!"&amp;"$"&amp;$D208&amp;$V$1&amp;"")</f>
        <v>0</v>
      </c>
      <c r="W208" s="281" t="s">
        <v>1</v>
      </c>
      <c r="X208" s="281" t="s">
        <v>1</v>
      </c>
      <c r="Y208" s="282" t="s">
        <v>1</v>
      </c>
      <c r="Z208" s="278" cm="1">
        <f t="array" aca="1" ref="Z208" ca="1">INDIRECT("'"&amp;$C208&amp;"'!"&amp;"$"&amp;$D208&amp;$Z$1&amp;"")</f>
        <v>0</v>
      </c>
      <c r="AA208" s="281" t="s">
        <v>1</v>
      </c>
      <c r="AB208" s="281" t="s">
        <v>1</v>
      </c>
      <c r="AC208" s="279" t="s">
        <v>1</v>
      </c>
      <c r="AD208" s="280" t="str" cm="1">
        <f t="array" aca="1" ref="AD208" ca="1">INDIRECT("'"&amp;$C208&amp;"'!"&amp;"$"&amp;$D208&amp;$AD$1&amp;"")</f>
        <v>CMS</v>
      </c>
      <c r="AE208" s="281" t="s">
        <v>1</v>
      </c>
      <c r="AF208" s="281" t="s">
        <v>1</v>
      </c>
      <c r="AG208" s="282" t="s">
        <v>1</v>
      </c>
      <c r="AH208" s="278" cm="1">
        <f t="array" aca="1" ref="AH208" ca="1">INDIRECT("'"&amp;$C208&amp;"'!"&amp;"$"&amp;$D208&amp;$AH$1&amp;"")</f>
        <v>0</v>
      </c>
      <c r="AI208" s="281" t="s">
        <v>1</v>
      </c>
      <c r="AJ208" s="281" t="s">
        <v>1</v>
      </c>
      <c r="AK208" s="279" t="s">
        <v>1</v>
      </c>
      <c r="AL208" s="278">
        <v>11.5</v>
      </c>
      <c r="AM208" s="282">
        <v>70.599999999999994</v>
      </c>
      <c r="AN208" s="278" cm="1">
        <f t="array" aca="1" ref="AN208" ca="1">INDIRECT("'"&amp;$C208&amp;"'!"&amp;"$"&amp;$D208&amp;$AL$1&amp;"")</f>
        <v>0</v>
      </c>
      <c r="AO208" s="281" t="s">
        <v>1</v>
      </c>
      <c r="AP208" s="279" t="s">
        <v>1</v>
      </c>
      <c r="AQ208" s="280" cm="1">
        <f t="array" aca="1" ref="AQ208" ca="1">INDIRECT("'"&amp;$C208&amp;"'!"&amp;"$"&amp;$D208&amp;$AQ$1&amp;"")</f>
        <v>1.5</v>
      </c>
      <c r="AR208" s="281">
        <v>0.95</v>
      </c>
      <c r="AS208" s="279">
        <v>0.6</v>
      </c>
      <c r="AT208" s="278">
        <v>13.8</v>
      </c>
      <c r="AU208" s="282">
        <v>71</v>
      </c>
      <c r="AV208" s="281" cm="1">
        <f t="array" aca="1" ref="AV208" ca="1">INDIRECT("'"&amp;$C208&amp;"'!"&amp;"$"&amp;$D208&amp;$AV$1&amp;"")</f>
        <v>0</v>
      </c>
      <c r="AW208" s="280" t="s">
        <v>1</v>
      </c>
      <c r="AX208" s="281" t="s">
        <v>1</v>
      </c>
      <c r="AY208" s="279" t="s">
        <v>1</v>
      </c>
      <c r="AZ208" s="281" cm="1">
        <f t="array" aca="1" ref="AZ208" ca="1">INDIRECT("'"&amp;$C208&amp;"'!"&amp;"$"&amp;$D208&amp;$AZ$1&amp;"")</f>
        <v>6.9</v>
      </c>
      <c r="BA208" s="280" t="s">
        <v>1</v>
      </c>
      <c r="BB208" s="281">
        <v>0.99</v>
      </c>
      <c r="BC208" s="279">
        <v>0.85</v>
      </c>
      <c r="BD208" s="283">
        <v>13.98</v>
      </c>
      <c r="BE208" s="282">
        <v>71.22</v>
      </c>
      <c r="BF208" s="283" cm="1">
        <f t="array" aca="1" ref="BF208" ca="1">INDIRECT("'"&amp;$C208&amp;"'!"&amp;"$"&amp;$D208&amp;$BF$1&amp;"")</f>
        <v>14.26</v>
      </c>
      <c r="BG208" s="281">
        <v>1</v>
      </c>
      <c r="BH208" s="279">
        <v>1.3</v>
      </c>
      <c r="BI208" s="524">
        <v>68.900000000000006</v>
      </c>
      <c r="BJ208" s="278" cm="1">
        <f t="array" aca="1" ref="BJ208" ca="1">INDIRECT("'"&amp;$C208&amp;"'!"&amp;"$"&amp;$D208&amp;$BI$1&amp;"")</f>
        <v>0</v>
      </c>
      <c r="BK208" s="280" t="s">
        <v>1</v>
      </c>
      <c r="BL208" s="279" t="s">
        <v>1</v>
      </c>
      <c r="BM208" s="283" cm="1">
        <f t="array" aca="1" ref="BM208" ca="1">INDIRECT("'"&amp;$C208&amp;"'!"&amp;"$"&amp;$D208&amp;$BM$1&amp;"")</f>
        <v>0.94</v>
      </c>
      <c r="BN208" s="281"/>
      <c r="BO208" s="281">
        <v>0.99</v>
      </c>
      <c r="BP208" s="279">
        <v>0.11</v>
      </c>
      <c r="BQ208" s="283" cm="1">
        <f t="array" aca="1" ref="BQ208" ca="1">INDIRECT("'"&amp;$C208&amp;"'!"&amp;"$"&amp;$D208&amp;$BQ$1&amp;"")</f>
        <v>0.72</v>
      </c>
      <c r="BR208" s="281"/>
      <c r="BS208" s="281">
        <v>0.97</v>
      </c>
      <c r="BT208" s="279">
        <v>0.19</v>
      </c>
      <c r="BU208" s="284" cm="1">
        <f t="array" aca="1" ref="BU208" ca="1">INDIRECT("'"&amp;$C208&amp;"'!"&amp;"$"&amp;$D208&amp;74&amp;"")</f>
        <v>0</v>
      </c>
      <c r="BV208" s="281"/>
      <c r="BW208" s="281" t="s">
        <v>1</v>
      </c>
      <c r="BX208" s="279" t="s">
        <v>1</v>
      </c>
    </row>
    <row r="209" spans="1:76">
      <c r="A209" s="459">
        <v>45847</v>
      </c>
      <c r="B209" s="345">
        <v>0.16666666666666699</v>
      </c>
      <c r="C209" s="305">
        <v>9</v>
      </c>
      <c r="D209" s="306" t="s">
        <v>146</v>
      </c>
      <c r="E209" s="285">
        <v>14.2</v>
      </c>
      <c r="F209" s="286">
        <v>70.2</v>
      </c>
      <c r="G209" s="287" t="str" cm="1">
        <f t="array" aca="1" ref="G209" ca="1">INDIRECT("'"&amp;$C209&amp;"'!"&amp;"$"&amp;$D209&amp;$E$1&amp;"")</f>
        <v>CMS</v>
      </c>
      <c r="H209" s="288" t="s">
        <v>1</v>
      </c>
      <c r="I209" s="286" t="s">
        <v>1</v>
      </c>
      <c r="J209" s="287" cm="1">
        <f t="array" aca="1" ref="J209" ca="1">INDIRECT("'"&amp;$C209&amp;"'!"&amp;"$"&amp;$D209&amp;$J$1&amp;"")</f>
        <v>6.9</v>
      </c>
      <c r="K209" s="288"/>
      <c r="L209" s="288">
        <v>0.97</v>
      </c>
      <c r="M209" s="286">
        <v>1.73</v>
      </c>
      <c r="N209" s="285" cm="1">
        <f t="array" aca="1" ref="N209" ca="1">INDIRECT("'"&amp;$C209&amp;"'!"&amp;"$"&amp;$D209&amp;$N$1&amp;"")</f>
        <v>6.9</v>
      </c>
      <c r="O209" s="288"/>
      <c r="P209" s="288">
        <v>0.97</v>
      </c>
      <c r="Q209" s="286">
        <v>1.73</v>
      </c>
      <c r="R209" s="285" cm="1">
        <f t="array" aca="1" ref="R209" ca="1">INDIRECT("'"&amp;$C209&amp;"'!"&amp;"$"&amp;$D209&amp;$R$1&amp;"")</f>
        <v>0</v>
      </c>
      <c r="S209" s="288"/>
      <c r="T209" s="288" t="s">
        <v>1</v>
      </c>
      <c r="U209" s="286" t="s">
        <v>1</v>
      </c>
      <c r="V209" s="287" cm="1">
        <f t="array" aca="1" ref="V209" ca="1">INDIRECT("'"&amp;$C209&amp;"'!"&amp;"$"&amp;$D209&amp;$V$1&amp;"")</f>
        <v>0</v>
      </c>
      <c r="W209" s="288" t="s">
        <v>1</v>
      </c>
      <c r="X209" s="288" t="s">
        <v>1</v>
      </c>
      <c r="Y209" s="289" t="s">
        <v>1</v>
      </c>
      <c r="Z209" s="285" cm="1">
        <f t="array" aca="1" ref="Z209" ca="1">INDIRECT("'"&amp;$C209&amp;"'!"&amp;"$"&amp;$D209&amp;$Z$1&amp;"")</f>
        <v>0</v>
      </c>
      <c r="AA209" s="288" t="s">
        <v>1</v>
      </c>
      <c r="AB209" s="288" t="s">
        <v>1</v>
      </c>
      <c r="AC209" s="286" t="s">
        <v>1</v>
      </c>
      <c r="AD209" s="287" t="str" cm="1">
        <f t="array" aca="1" ref="AD209" ca="1">INDIRECT("'"&amp;$C209&amp;"'!"&amp;"$"&amp;$D209&amp;$AD$1&amp;"")</f>
        <v>CMS</v>
      </c>
      <c r="AE209" s="288" t="s">
        <v>1</v>
      </c>
      <c r="AF209" s="288" t="s">
        <v>1</v>
      </c>
      <c r="AG209" s="289" t="s">
        <v>1</v>
      </c>
      <c r="AH209" s="285" cm="1">
        <f t="array" aca="1" ref="AH209" ca="1">INDIRECT("'"&amp;$C209&amp;"'!"&amp;"$"&amp;$D209&amp;$AH$1&amp;"")</f>
        <v>0</v>
      </c>
      <c r="AI209" s="288" t="s">
        <v>1</v>
      </c>
      <c r="AJ209" s="288" t="s">
        <v>1</v>
      </c>
      <c r="AK209" s="286" t="s">
        <v>1</v>
      </c>
      <c r="AL209" s="285">
        <v>11.5</v>
      </c>
      <c r="AM209" s="289">
        <v>70.7</v>
      </c>
      <c r="AN209" s="285" cm="1">
        <f t="array" aca="1" ref="AN209" ca="1">INDIRECT("'"&amp;$C209&amp;"'!"&amp;"$"&amp;$D209&amp;$AL$1&amp;"")</f>
        <v>0</v>
      </c>
      <c r="AO209" s="288" t="s">
        <v>1</v>
      </c>
      <c r="AP209" s="286" t="s">
        <v>1</v>
      </c>
      <c r="AQ209" s="287" cm="1">
        <f t="array" aca="1" ref="AQ209" ca="1">INDIRECT("'"&amp;$C209&amp;"'!"&amp;"$"&amp;$D209&amp;$AQ$1&amp;"")</f>
        <v>1.7</v>
      </c>
      <c r="AR209" s="288">
        <v>0.97</v>
      </c>
      <c r="AS209" s="286">
        <v>0.5</v>
      </c>
      <c r="AT209" s="285">
        <v>13.8</v>
      </c>
      <c r="AU209" s="289">
        <v>71</v>
      </c>
      <c r="AV209" s="288" cm="1">
        <f t="array" aca="1" ref="AV209" ca="1">INDIRECT("'"&amp;$C209&amp;"'!"&amp;"$"&amp;$D209&amp;$AV$1&amp;"")</f>
        <v>0</v>
      </c>
      <c r="AW209" s="287" t="s">
        <v>1</v>
      </c>
      <c r="AX209" s="288" t="s">
        <v>1</v>
      </c>
      <c r="AY209" s="286" t="s">
        <v>1</v>
      </c>
      <c r="AZ209" s="288" cm="1">
        <f t="array" aca="1" ref="AZ209" ca="1">INDIRECT("'"&amp;$C209&amp;"'!"&amp;"$"&amp;$D209&amp;$AZ$1&amp;"")</f>
        <v>6</v>
      </c>
      <c r="BA209" s="287" t="s">
        <v>1</v>
      </c>
      <c r="BB209" s="288">
        <v>0.99</v>
      </c>
      <c r="BC209" s="286">
        <v>0.7</v>
      </c>
      <c r="BD209" s="290">
        <v>14.01</v>
      </c>
      <c r="BE209" s="289">
        <v>71.42</v>
      </c>
      <c r="BF209" s="290" cm="1">
        <f t="array" aca="1" ref="BF209" ca="1">INDIRECT("'"&amp;$C209&amp;"'!"&amp;"$"&amp;$D209&amp;$BF$1&amp;"")</f>
        <v>14.28</v>
      </c>
      <c r="BG209" s="288">
        <v>1</v>
      </c>
      <c r="BH209" s="286">
        <v>1.3</v>
      </c>
      <c r="BI209" s="525">
        <v>69.099999999999994</v>
      </c>
      <c r="BJ209" s="285" cm="1">
        <f t="array" aca="1" ref="BJ209" ca="1">INDIRECT("'"&amp;$C209&amp;"'!"&amp;"$"&amp;$D209&amp;$BI$1&amp;"")</f>
        <v>0</v>
      </c>
      <c r="BK209" s="287" t="s">
        <v>1</v>
      </c>
      <c r="BL209" s="286" t="s">
        <v>1</v>
      </c>
      <c r="BM209" s="290" cm="1">
        <f t="array" aca="1" ref="BM209" ca="1">INDIRECT("'"&amp;$C209&amp;"'!"&amp;"$"&amp;$D209&amp;$BM$1&amp;"")</f>
        <v>0.9</v>
      </c>
      <c r="BN209" s="288"/>
      <c r="BO209" s="288">
        <v>0.99</v>
      </c>
      <c r="BP209" s="286">
        <v>0.1</v>
      </c>
      <c r="BQ209" s="290" cm="1">
        <f t="array" aca="1" ref="BQ209" ca="1">INDIRECT("'"&amp;$C209&amp;"'!"&amp;"$"&amp;$D209&amp;$BQ$1&amp;"")</f>
        <v>0.7</v>
      </c>
      <c r="BR209" s="288"/>
      <c r="BS209" s="288">
        <v>0.97</v>
      </c>
      <c r="BT209" s="286">
        <v>0.19</v>
      </c>
      <c r="BU209" s="291" cm="1">
        <f t="array" aca="1" ref="BU209" ca="1">INDIRECT("'"&amp;$C209&amp;"'!"&amp;"$"&amp;$D209&amp;74&amp;"")</f>
        <v>0</v>
      </c>
      <c r="BV209" s="288"/>
      <c r="BW209" s="288" t="s">
        <v>1</v>
      </c>
      <c r="BX209" s="286" t="s">
        <v>1</v>
      </c>
    </row>
    <row r="210" spans="1:76">
      <c r="A210" s="459">
        <v>45847</v>
      </c>
      <c r="B210" s="345">
        <v>0.20833333333333301</v>
      </c>
      <c r="C210" s="305">
        <v>9</v>
      </c>
      <c r="D210" s="306" t="s">
        <v>147</v>
      </c>
      <c r="E210" s="278">
        <v>14.2</v>
      </c>
      <c r="F210" s="279">
        <v>69.760000000000005</v>
      </c>
      <c r="G210" s="280" t="str" cm="1">
        <f t="array" aca="1" ref="G210" ca="1">INDIRECT("'"&amp;$C210&amp;"'!"&amp;"$"&amp;$D210&amp;$E$1&amp;"")</f>
        <v>CMS</v>
      </c>
      <c r="H210" s="281" t="s">
        <v>1</v>
      </c>
      <c r="I210" s="279" t="s">
        <v>1</v>
      </c>
      <c r="J210" s="280" cm="1">
        <f t="array" aca="1" ref="J210" ca="1">INDIRECT("'"&amp;$C210&amp;"'!"&amp;"$"&amp;$D210&amp;$J$1&amp;"")</f>
        <v>6.8</v>
      </c>
      <c r="K210" s="281"/>
      <c r="L210" s="281">
        <v>0.97</v>
      </c>
      <c r="M210" s="279">
        <v>1.69</v>
      </c>
      <c r="N210" s="278" cm="1">
        <f t="array" aca="1" ref="N210" ca="1">INDIRECT("'"&amp;$C210&amp;"'!"&amp;"$"&amp;$D210&amp;$N$1&amp;"")</f>
        <v>6.8</v>
      </c>
      <c r="O210" s="281"/>
      <c r="P210" s="281">
        <v>0.97</v>
      </c>
      <c r="Q210" s="279">
        <v>1.69</v>
      </c>
      <c r="R210" s="468" cm="1">
        <f t="array" aca="1" ref="R210" ca="1">INDIRECT("'"&amp;$C210&amp;"'!"&amp;"$"&amp;$D210&amp;$R$1&amp;"")</f>
        <v>0</v>
      </c>
      <c r="S210" s="281"/>
      <c r="T210" s="281" t="s">
        <v>1</v>
      </c>
      <c r="U210" s="279" t="s">
        <v>1</v>
      </c>
      <c r="V210" s="280" cm="1">
        <f t="array" aca="1" ref="V210" ca="1">INDIRECT("'"&amp;$C210&amp;"'!"&amp;"$"&amp;$D210&amp;$V$1&amp;"")</f>
        <v>0</v>
      </c>
      <c r="W210" s="281" t="s">
        <v>1</v>
      </c>
      <c r="X210" s="281" t="s">
        <v>1</v>
      </c>
      <c r="Y210" s="282" t="s">
        <v>1</v>
      </c>
      <c r="Z210" s="278" cm="1">
        <f t="array" aca="1" ref="Z210" ca="1">INDIRECT("'"&amp;$C210&amp;"'!"&amp;"$"&amp;$D210&amp;$Z$1&amp;"")</f>
        <v>0</v>
      </c>
      <c r="AA210" s="281" t="s">
        <v>1</v>
      </c>
      <c r="AB210" s="281" t="s">
        <v>1</v>
      </c>
      <c r="AC210" s="279" t="s">
        <v>1</v>
      </c>
      <c r="AD210" s="280" cm="1">
        <f t="array" aca="1" ref="AD210" ca="1">INDIRECT("'"&amp;$C210&amp;"'!"&amp;"$"&amp;$D210&amp;$AD$1&amp;"")</f>
        <v>0</v>
      </c>
      <c r="AE210" s="281" t="s">
        <v>1</v>
      </c>
      <c r="AF210" s="281" t="s">
        <v>1</v>
      </c>
      <c r="AG210" s="282" t="s">
        <v>1</v>
      </c>
      <c r="AH210" s="278" cm="1">
        <f t="array" aca="1" ref="AH210" ca="1">INDIRECT("'"&amp;$C210&amp;"'!"&amp;"$"&amp;$D210&amp;$AH$1&amp;"")</f>
        <v>0</v>
      </c>
      <c r="AI210" s="281" t="s">
        <v>1</v>
      </c>
      <c r="AJ210" s="281" t="s">
        <v>1</v>
      </c>
      <c r="AK210" s="279" t="s">
        <v>1</v>
      </c>
      <c r="AL210" s="278">
        <v>11.5</v>
      </c>
      <c r="AM210" s="282">
        <v>70.599999999999994</v>
      </c>
      <c r="AN210" s="278" cm="1">
        <f t="array" aca="1" ref="AN210" ca="1">INDIRECT("'"&amp;$C210&amp;"'!"&amp;"$"&amp;$D210&amp;$AL$1&amp;"")</f>
        <v>0</v>
      </c>
      <c r="AO210" s="281" t="s">
        <v>1</v>
      </c>
      <c r="AP210" s="279" t="s">
        <v>1</v>
      </c>
      <c r="AQ210" s="280" cm="1">
        <f t="array" aca="1" ref="AQ210" ca="1">INDIRECT("'"&amp;$C210&amp;"'!"&amp;"$"&amp;$D210&amp;$AQ$1&amp;"")</f>
        <v>3</v>
      </c>
      <c r="AR210" s="281">
        <v>0.98</v>
      </c>
      <c r="AS210" s="279">
        <v>0.6</v>
      </c>
      <c r="AT210" s="278">
        <v>13.8</v>
      </c>
      <c r="AU210" s="282">
        <v>71</v>
      </c>
      <c r="AV210" s="281" cm="1">
        <f t="array" aca="1" ref="AV210" ca="1">INDIRECT("'"&amp;$C210&amp;"'!"&amp;"$"&amp;$D210&amp;$AV$1&amp;"")</f>
        <v>0</v>
      </c>
      <c r="AW210" s="280" t="s">
        <v>1</v>
      </c>
      <c r="AX210" s="281" t="s">
        <v>1</v>
      </c>
      <c r="AY210" s="279" t="s">
        <v>1</v>
      </c>
      <c r="AZ210" s="281" cm="1">
        <f t="array" aca="1" ref="AZ210" ca="1">INDIRECT("'"&amp;$C210&amp;"'!"&amp;"$"&amp;$D210&amp;$AZ$1&amp;"")</f>
        <v>7</v>
      </c>
      <c r="BA210" s="280" t="s">
        <v>1</v>
      </c>
      <c r="BB210" s="281">
        <v>0.99</v>
      </c>
      <c r="BC210" s="279">
        <v>0.96</v>
      </c>
      <c r="BD210" s="283">
        <v>13.97</v>
      </c>
      <c r="BE210" s="282">
        <v>71.2</v>
      </c>
      <c r="BF210" s="283" cm="1">
        <f t="array" aca="1" ref="BF210" ca="1">INDIRECT("'"&amp;$C210&amp;"'!"&amp;"$"&amp;$D210&amp;$BF$1&amp;"")</f>
        <v>14.27</v>
      </c>
      <c r="BG210" s="281">
        <v>1</v>
      </c>
      <c r="BH210" s="279">
        <v>1.2</v>
      </c>
      <c r="BI210" s="524">
        <v>68.7</v>
      </c>
      <c r="BJ210" s="278" cm="1">
        <f t="array" aca="1" ref="BJ210" ca="1">INDIRECT("'"&amp;$C210&amp;"'!"&amp;"$"&amp;$D210&amp;$BI$1&amp;"")</f>
        <v>0</v>
      </c>
      <c r="BK210" s="280" t="s">
        <v>1</v>
      </c>
      <c r="BL210" s="279" t="s">
        <v>1</v>
      </c>
      <c r="BM210" s="283" cm="1">
        <f t="array" aca="1" ref="BM210" ca="1">INDIRECT("'"&amp;$C210&amp;"'!"&amp;"$"&amp;$D210&amp;$BM$1&amp;"")</f>
        <v>0.96</v>
      </c>
      <c r="BN210" s="281"/>
      <c r="BO210" s="281">
        <v>0.99</v>
      </c>
      <c r="BP210" s="279">
        <v>0.11</v>
      </c>
      <c r="BQ210" s="283" cm="1">
        <f t="array" aca="1" ref="BQ210" ca="1">INDIRECT("'"&amp;$C210&amp;"'!"&amp;"$"&amp;$D210&amp;$BQ$1&amp;"")</f>
        <v>0.77</v>
      </c>
      <c r="BR210" s="281"/>
      <c r="BS210" s="281">
        <v>0.97</v>
      </c>
      <c r="BT210" s="279">
        <v>0.19</v>
      </c>
      <c r="BU210" s="284" cm="1">
        <f t="array" aca="1" ref="BU210" ca="1">INDIRECT("'"&amp;$C210&amp;"'!"&amp;"$"&amp;$D210&amp;74&amp;"")</f>
        <v>0</v>
      </c>
      <c r="BV210" s="281"/>
      <c r="BW210" s="281" t="s">
        <v>1</v>
      </c>
      <c r="BX210" s="279" t="s">
        <v>1</v>
      </c>
    </row>
    <row r="211" spans="1:76">
      <c r="A211" s="459">
        <v>45847</v>
      </c>
      <c r="B211" s="345">
        <v>0.25</v>
      </c>
      <c r="C211" s="305">
        <v>9</v>
      </c>
      <c r="D211" s="306" t="s">
        <v>148</v>
      </c>
      <c r="E211" s="285">
        <v>14.1</v>
      </c>
      <c r="F211" s="286">
        <v>69.27</v>
      </c>
      <c r="G211" s="287" t="str" cm="1">
        <f t="array" aca="1" ref="G211" ca="1">INDIRECT("'"&amp;$C211&amp;"'!"&amp;"$"&amp;$D211&amp;$E$1&amp;"")</f>
        <v>CMS</v>
      </c>
      <c r="H211" s="288" t="s">
        <v>1</v>
      </c>
      <c r="I211" s="286" t="s">
        <v>1</v>
      </c>
      <c r="J211" s="287" cm="1">
        <f t="array" aca="1" ref="J211" ca="1">INDIRECT("'"&amp;$C211&amp;"'!"&amp;"$"&amp;$D211&amp;$J$1&amp;"")</f>
        <v>6.5</v>
      </c>
      <c r="K211" s="288"/>
      <c r="L211" s="288">
        <v>0.97</v>
      </c>
      <c r="M211" s="286">
        <v>1.66</v>
      </c>
      <c r="N211" s="285" cm="1">
        <f t="array" aca="1" ref="N211" ca="1">INDIRECT("'"&amp;$C211&amp;"'!"&amp;"$"&amp;$D211&amp;$N$1&amp;"")</f>
        <v>5.4</v>
      </c>
      <c r="O211" s="288"/>
      <c r="P211" s="288">
        <v>0.99</v>
      </c>
      <c r="Q211" s="286">
        <v>0.96</v>
      </c>
      <c r="R211" s="285" cm="1">
        <f t="array" aca="1" ref="R211" ca="1">INDIRECT("'"&amp;$C211&amp;"'!"&amp;"$"&amp;$D211&amp;$R$1&amp;"")</f>
        <v>2</v>
      </c>
      <c r="S211" s="288"/>
      <c r="T211" s="288">
        <v>0.94</v>
      </c>
      <c r="U211" s="286">
        <v>0.71</v>
      </c>
      <c r="V211" s="287" t="str" cm="1">
        <f t="array" aca="1" ref="V211" ca="1">INDIRECT("'"&amp;$C211&amp;"'!"&amp;"$"&amp;$D211&amp;$V$1&amp;"")</f>
        <v>CMS</v>
      </c>
      <c r="W211" s="288" t="s">
        <v>1</v>
      </c>
      <c r="X211" s="288" t="s">
        <v>1</v>
      </c>
      <c r="Y211" s="289" t="s">
        <v>1</v>
      </c>
      <c r="Z211" s="285" cm="1">
        <f t="array" aca="1" ref="Z211" ca="1">INDIRECT("'"&amp;$C211&amp;"'!"&amp;"$"&amp;$D211&amp;$Z$1&amp;"")</f>
        <v>0</v>
      </c>
      <c r="AA211" s="288" t="s">
        <v>1</v>
      </c>
      <c r="AB211" s="288" t="s">
        <v>1</v>
      </c>
      <c r="AC211" s="286" t="s">
        <v>1</v>
      </c>
      <c r="AD211" s="287" cm="1">
        <f t="array" aca="1" ref="AD211" ca="1">INDIRECT("'"&amp;$C211&amp;"'!"&amp;"$"&amp;$D211&amp;$AD$1&amp;"")</f>
        <v>3.8</v>
      </c>
      <c r="AE211" s="288">
        <f>3.61*3.8</f>
        <v>13.717999999999998</v>
      </c>
      <c r="AF211" s="288">
        <v>0.98</v>
      </c>
      <c r="AG211" s="289">
        <v>0.71</v>
      </c>
      <c r="AH211" s="285" cm="1">
        <f t="array" aca="1" ref="AH211" ca="1">INDIRECT("'"&amp;$C211&amp;"'!"&amp;"$"&amp;$D211&amp;$AH$1&amp;"")</f>
        <v>0</v>
      </c>
      <c r="AI211" s="288" t="s">
        <v>1</v>
      </c>
      <c r="AJ211" s="288" t="s">
        <v>1</v>
      </c>
      <c r="AK211" s="286" t="s">
        <v>1</v>
      </c>
      <c r="AL211" s="285">
        <v>11.5</v>
      </c>
      <c r="AM211" s="289">
        <v>70.599999999999994</v>
      </c>
      <c r="AN211" s="285" cm="1">
        <f t="array" aca="1" ref="AN211" ca="1">INDIRECT("'"&amp;$C211&amp;"'!"&amp;"$"&amp;$D211&amp;$AL$1&amp;"")</f>
        <v>0</v>
      </c>
      <c r="AO211" s="288" t="s">
        <v>1</v>
      </c>
      <c r="AP211" s="286" t="s">
        <v>1</v>
      </c>
      <c r="AQ211" s="287" cm="1">
        <f t="array" aca="1" ref="AQ211" ca="1">INDIRECT("'"&amp;$C211&amp;"'!"&amp;"$"&amp;$D211&amp;$AQ$1&amp;"")</f>
        <v>3.9</v>
      </c>
      <c r="AR211" s="288">
        <v>0.99</v>
      </c>
      <c r="AS211" s="286">
        <v>0.55000000000000004</v>
      </c>
      <c r="AT211" s="285">
        <v>13.8</v>
      </c>
      <c r="AU211" s="289">
        <v>71</v>
      </c>
      <c r="AV211" s="288" cm="1">
        <f t="array" aca="1" ref="AV211" ca="1">INDIRECT("'"&amp;$C211&amp;"'!"&amp;"$"&amp;$D211&amp;$AV$1&amp;"")</f>
        <v>0</v>
      </c>
      <c r="AW211" s="287" t="s">
        <v>1</v>
      </c>
      <c r="AX211" s="288" t="s">
        <v>1</v>
      </c>
      <c r="AY211" s="286" t="s">
        <v>1</v>
      </c>
      <c r="AZ211" s="288" cm="1">
        <f t="array" aca="1" ref="AZ211" ca="1">INDIRECT("'"&amp;$C211&amp;"'!"&amp;"$"&amp;$D211&amp;$AZ$1&amp;"")</f>
        <v>6.7</v>
      </c>
      <c r="BA211" s="287" t="s">
        <v>1</v>
      </c>
      <c r="BB211" s="288">
        <v>0.99</v>
      </c>
      <c r="BC211" s="286">
        <v>1.07</v>
      </c>
      <c r="BD211" s="290">
        <v>13.9</v>
      </c>
      <c r="BE211" s="289">
        <v>70.81</v>
      </c>
      <c r="BF211" s="290" cm="1">
        <f t="array" aca="1" ref="BF211" ca="1">INDIRECT("'"&amp;$C211&amp;"'!"&amp;"$"&amp;$D211&amp;$BF$1&amp;"")</f>
        <v>14.26</v>
      </c>
      <c r="BG211" s="288">
        <v>1</v>
      </c>
      <c r="BH211" s="286">
        <v>1.2</v>
      </c>
      <c r="BI211" s="525">
        <v>69</v>
      </c>
      <c r="BJ211" s="285" cm="1">
        <f t="array" aca="1" ref="BJ211" ca="1">INDIRECT("'"&amp;$C211&amp;"'!"&amp;"$"&amp;$D211&amp;$BI$1&amp;"")</f>
        <v>0.8</v>
      </c>
      <c r="BK211" s="287" t="s">
        <v>1</v>
      </c>
      <c r="BL211" s="286" t="s">
        <v>1</v>
      </c>
      <c r="BM211" s="290" cm="1">
        <f t="array" aca="1" ref="BM211" ca="1">INDIRECT("'"&amp;$C211&amp;"'!"&amp;"$"&amp;$D211&amp;$BM$1&amp;"")</f>
        <v>1.2</v>
      </c>
      <c r="BN211" s="288"/>
      <c r="BO211" s="288">
        <v>0.99</v>
      </c>
      <c r="BP211" s="286">
        <v>0.17</v>
      </c>
      <c r="BQ211" s="290" cm="1">
        <f t="array" aca="1" ref="BQ211" ca="1">INDIRECT("'"&amp;$C211&amp;"'!"&amp;"$"&amp;$D211&amp;$BQ$1&amp;"")</f>
        <v>0.85</v>
      </c>
      <c r="BR211" s="288"/>
      <c r="BS211" s="288">
        <v>0.97</v>
      </c>
      <c r="BT211" s="286">
        <v>0.2</v>
      </c>
      <c r="BU211" s="291" cm="1">
        <f t="array" aca="1" ref="BU211" ca="1">INDIRECT("'"&amp;$C211&amp;"'!"&amp;"$"&amp;$D211&amp;74&amp;"")</f>
        <v>0</v>
      </c>
      <c r="BV211" s="288"/>
      <c r="BW211" s="288" t="s">
        <v>1</v>
      </c>
      <c r="BX211" s="286" t="s">
        <v>1</v>
      </c>
    </row>
    <row r="212" spans="1:76">
      <c r="A212" s="459">
        <v>45847</v>
      </c>
      <c r="B212" s="345">
        <v>0.29166666666666702</v>
      </c>
      <c r="C212" s="305">
        <v>9</v>
      </c>
      <c r="D212" s="306" t="s">
        <v>149</v>
      </c>
      <c r="E212" s="278">
        <v>14.2</v>
      </c>
      <c r="F212" s="279">
        <v>70.489999999999995</v>
      </c>
      <c r="G212" s="280" t="str" cm="1">
        <f t="array" aca="1" ref="G212" ca="1">INDIRECT("'"&amp;$C212&amp;"'!"&amp;"$"&amp;$D212&amp;$E$1&amp;"")</f>
        <v>CMS</v>
      </c>
      <c r="H212" s="281" t="s">
        <v>1</v>
      </c>
      <c r="I212" s="279" t="s">
        <v>1</v>
      </c>
      <c r="J212" s="280" cm="1">
        <f t="array" aca="1" ref="J212" ca="1">INDIRECT("'"&amp;$C212&amp;"'!"&amp;"$"&amp;$D212&amp;$J$1&amp;"")</f>
        <v>6.7</v>
      </c>
      <c r="K212" s="281"/>
      <c r="L212" s="281">
        <v>0.97</v>
      </c>
      <c r="M212" s="282">
        <v>1.83</v>
      </c>
      <c r="N212" s="278" cm="1">
        <f t="array" aca="1" ref="N212" ca="1">INDIRECT("'"&amp;$C212&amp;"'!"&amp;"$"&amp;$D212&amp;$N$1&amp;"")</f>
        <v>0</v>
      </c>
      <c r="O212" s="281"/>
      <c r="P212" s="281" t="s">
        <v>1</v>
      </c>
      <c r="Q212" s="279" t="s">
        <v>1</v>
      </c>
      <c r="R212" s="468" cm="1">
        <f t="array" aca="1" ref="R212" ca="1">INDIRECT("'"&amp;$C212&amp;"'!"&amp;"$"&amp;$D212&amp;$R$1&amp;"")</f>
        <v>6.7</v>
      </c>
      <c r="S212" s="281"/>
      <c r="T212" s="281">
        <v>0.97</v>
      </c>
      <c r="U212" s="279">
        <v>1.83</v>
      </c>
      <c r="V212" s="280" t="str" cm="1">
        <f t="array" aca="1" ref="V212" ca="1">INDIRECT("'"&amp;$C212&amp;"'!"&amp;"$"&amp;$D212&amp;$V$1&amp;"")</f>
        <v>CMS</v>
      </c>
      <c r="W212" s="281" t="s">
        <v>1</v>
      </c>
      <c r="X212" s="281" t="s">
        <v>1</v>
      </c>
      <c r="Y212" s="282" t="s">
        <v>1</v>
      </c>
      <c r="Z212" s="278" cm="1">
        <f t="array" aca="1" ref="Z212" ca="1">INDIRECT("'"&amp;$C212&amp;"'!"&amp;"$"&amp;$D212&amp;$Z$1&amp;"")</f>
        <v>0</v>
      </c>
      <c r="AA212" s="281" t="s">
        <v>1</v>
      </c>
      <c r="AB212" s="281" t="s">
        <v>1</v>
      </c>
      <c r="AC212" s="279" t="s">
        <v>1</v>
      </c>
      <c r="AD212" s="280" cm="1">
        <f t="array" aca="1" ref="AD212" ca="1">INDIRECT("'"&amp;$C212&amp;"'!"&amp;"$"&amp;$D212&amp;$AD$1&amp;"")</f>
        <v>3</v>
      </c>
      <c r="AE212" s="281">
        <f>3.63*3.8</f>
        <v>13.793999999999999</v>
      </c>
      <c r="AF212" s="281">
        <v>0.99</v>
      </c>
      <c r="AG212" s="282">
        <v>0.11</v>
      </c>
      <c r="AH212" s="278" cm="1">
        <f t="array" aca="1" ref="AH212" ca="1">INDIRECT("'"&amp;$C212&amp;"'!"&amp;"$"&amp;$D212&amp;$AH$1&amp;"")</f>
        <v>0</v>
      </c>
      <c r="AI212" s="281" t="s">
        <v>1</v>
      </c>
      <c r="AJ212" s="281" t="s">
        <v>1</v>
      </c>
      <c r="AK212" s="279" t="s">
        <v>1</v>
      </c>
      <c r="AL212" s="278">
        <v>11.5</v>
      </c>
      <c r="AM212" s="282">
        <v>70.489999999999995</v>
      </c>
      <c r="AN212" s="278" cm="1">
        <f t="array" aca="1" ref="AN212" ca="1">INDIRECT("'"&amp;$C212&amp;"'!"&amp;"$"&amp;$D212&amp;$AL$1&amp;"")</f>
        <v>0</v>
      </c>
      <c r="AO212" s="281" t="s">
        <v>1</v>
      </c>
      <c r="AP212" s="279" t="s">
        <v>1</v>
      </c>
      <c r="AQ212" s="280" cm="1">
        <f t="array" aca="1" ref="AQ212" ca="1">INDIRECT("'"&amp;$C212&amp;"'!"&amp;"$"&amp;$D212&amp;$AQ$1&amp;"")</f>
        <v>1.5</v>
      </c>
      <c r="AR212" s="281">
        <v>0.99</v>
      </c>
      <c r="AS212" s="279">
        <v>0.31</v>
      </c>
      <c r="AT212" s="278">
        <v>13.8</v>
      </c>
      <c r="AU212" s="282">
        <v>70.8</v>
      </c>
      <c r="AV212" s="281" cm="1">
        <f t="array" aca="1" ref="AV212" ca="1">INDIRECT("'"&amp;$C212&amp;"'!"&amp;"$"&amp;$D212&amp;$AV$1&amp;"")</f>
        <v>0</v>
      </c>
      <c r="AW212" s="280" t="s">
        <v>1</v>
      </c>
      <c r="AX212" s="281" t="s">
        <v>1</v>
      </c>
      <c r="AY212" s="279" t="s">
        <v>1</v>
      </c>
      <c r="AZ212" s="281" cm="1">
        <f t="array" aca="1" ref="AZ212" ca="1">INDIRECT("'"&amp;$C212&amp;"'!"&amp;"$"&amp;$D212&amp;$AZ$1&amp;"")</f>
        <v>3</v>
      </c>
      <c r="BA212" s="280" t="s">
        <v>1</v>
      </c>
      <c r="BB212" s="281">
        <v>0.99</v>
      </c>
      <c r="BC212" s="279">
        <v>0.44</v>
      </c>
      <c r="BD212" s="283">
        <v>14.13</v>
      </c>
      <c r="BE212" s="282">
        <v>71.53</v>
      </c>
      <c r="BF212" s="283" cm="1">
        <f t="array" aca="1" ref="BF212" ca="1">INDIRECT("'"&amp;$C212&amp;"'!"&amp;"$"&amp;$D212&amp;$BF$1&amp;"")</f>
        <v>13.28</v>
      </c>
      <c r="BG212" s="281">
        <v>0.99</v>
      </c>
      <c r="BH212" s="279">
        <v>2.2000000000000002</v>
      </c>
      <c r="BI212" s="524">
        <v>69.5</v>
      </c>
      <c r="BJ212" s="278" cm="1">
        <f t="array" aca="1" ref="BJ212" ca="1">INDIRECT("'"&amp;$C212&amp;"'!"&amp;"$"&amp;$D212&amp;$BI$1&amp;"")</f>
        <v>0</v>
      </c>
      <c r="BK212" s="280" t="s">
        <v>1</v>
      </c>
      <c r="BL212" s="279" t="s">
        <v>1</v>
      </c>
      <c r="BM212" s="283" cm="1">
        <f t="array" aca="1" ref="BM212" ca="1">INDIRECT("'"&amp;$C212&amp;"'!"&amp;"$"&amp;$D212&amp;$BM$1&amp;"")</f>
        <v>1.1599999999999999</v>
      </c>
      <c r="BN212" s="281"/>
      <c r="BO212" s="281">
        <v>0.99</v>
      </c>
      <c r="BP212" s="279">
        <v>0.16</v>
      </c>
      <c r="BQ212" s="284" cm="1">
        <f t="array" aca="1" ref="BQ212" ca="1">INDIRECT("'"&amp;$C212&amp;"'!"&amp;"$"&amp;$D212&amp;$BQ$1&amp;"")</f>
        <v>0.79</v>
      </c>
      <c r="BR212" s="281"/>
      <c r="BS212" s="281">
        <v>0.96</v>
      </c>
      <c r="BT212" s="279">
        <v>0.2</v>
      </c>
      <c r="BU212" s="284" cm="1">
        <f t="array" aca="1" ref="BU212" ca="1">INDIRECT("'"&amp;$C212&amp;"'!"&amp;"$"&amp;$D212&amp;74&amp;"")</f>
        <v>0</v>
      </c>
      <c r="BV212" s="281"/>
      <c r="BW212" s="281" t="s">
        <v>1</v>
      </c>
      <c r="BX212" s="279" t="s">
        <v>1</v>
      </c>
    </row>
    <row r="213" spans="1:76">
      <c r="A213" s="459">
        <v>45847</v>
      </c>
      <c r="B213" s="345">
        <v>0.33333333333333398</v>
      </c>
      <c r="C213" s="305">
        <v>9</v>
      </c>
      <c r="D213" s="306" t="s">
        <v>150</v>
      </c>
      <c r="E213" s="285">
        <v>14.1</v>
      </c>
      <c r="F213" s="286">
        <v>69.900000000000006</v>
      </c>
      <c r="G213" s="287" t="str" cm="1">
        <f t="array" aca="1" ref="G213" ca="1">INDIRECT("'"&amp;$C213&amp;"'!"&amp;"$"&amp;$D213&amp;$E$1&amp;"")</f>
        <v>CMS</v>
      </c>
      <c r="H213" s="288" t="s">
        <v>1</v>
      </c>
      <c r="I213" s="286" t="s">
        <v>1</v>
      </c>
      <c r="J213" s="287" cm="1">
        <f t="array" aca="1" ref="J213" ca="1">INDIRECT("'"&amp;$C213&amp;"'!"&amp;"$"&amp;$D213&amp;$J$1&amp;"")</f>
        <v>6.9</v>
      </c>
      <c r="K213" s="288"/>
      <c r="L213" s="288">
        <v>0.92</v>
      </c>
      <c r="M213" s="289">
        <v>2.88</v>
      </c>
      <c r="N213" s="285" cm="1">
        <f t="array" aca="1" ref="N213" ca="1">INDIRECT("'"&amp;$C213&amp;"'!"&amp;"$"&amp;$D213&amp;$N$1&amp;"")</f>
        <v>2.4</v>
      </c>
      <c r="O213" s="288"/>
      <c r="P213" s="288">
        <v>0.95</v>
      </c>
      <c r="Q213" s="286">
        <v>0.81</v>
      </c>
      <c r="R213" s="285" cm="1">
        <f t="array" aca="1" ref="R213" ca="1">INDIRECT("'"&amp;$C213&amp;"'!"&amp;"$"&amp;$D213&amp;$R$1&amp;"")</f>
        <v>6.9</v>
      </c>
      <c r="S213" s="288"/>
      <c r="T213" s="288">
        <v>0.92</v>
      </c>
      <c r="U213" s="286">
        <v>2.94</v>
      </c>
      <c r="V213" s="287" t="str" cm="1">
        <f t="array" aca="1" ref="V213" ca="1">INDIRECT("'"&amp;$C213&amp;"'!"&amp;"$"&amp;$D213&amp;$V$1&amp;"")</f>
        <v>CMS</v>
      </c>
      <c r="W213" s="288" t="s">
        <v>1</v>
      </c>
      <c r="X213" s="288" t="s">
        <v>1</v>
      </c>
      <c r="Y213" s="289" t="s">
        <v>1</v>
      </c>
      <c r="Z213" s="285" cm="1">
        <f t="array" aca="1" ref="Z213" ca="1">INDIRECT("'"&amp;$C213&amp;"'!"&amp;"$"&amp;$D213&amp;$Z$1&amp;"")</f>
        <v>0</v>
      </c>
      <c r="AA213" s="288" t="s">
        <v>1</v>
      </c>
      <c r="AB213" s="288" t="s">
        <v>1</v>
      </c>
      <c r="AC213" s="286" t="s">
        <v>1</v>
      </c>
      <c r="AD213" s="287" cm="1">
        <f t="array" aca="1" ref="AD213" ca="1">INDIRECT("'"&amp;$C213&amp;"'!"&amp;"$"&amp;$D213&amp;$AD$1&amp;"")</f>
        <v>3.8</v>
      </c>
      <c r="AE213" s="288">
        <f>3.54*3.8</f>
        <v>13.452</v>
      </c>
      <c r="AF213" s="288">
        <v>0.96</v>
      </c>
      <c r="AG213" s="289">
        <v>1.06</v>
      </c>
      <c r="AH213" s="285" cm="1">
        <f t="array" aca="1" ref="AH213" ca="1">INDIRECT("'"&amp;$C213&amp;"'!"&amp;"$"&amp;$D213&amp;$AH$1&amp;"")</f>
        <v>0</v>
      </c>
      <c r="AI213" s="288" t="s">
        <v>1</v>
      </c>
      <c r="AJ213" s="288" t="s">
        <v>1</v>
      </c>
      <c r="AK213" s="286" t="s">
        <v>1</v>
      </c>
      <c r="AL213" s="285">
        <v>11.5</v>
      </c>
      <c r="AM213" s="289">
        <v>70.099999999999994</v>
      </c>
      <c r="AN213" s="285" cm="1">
        <f t="array" aca="1" ref="AN213" ca="1">INDIRECT("'"&amp;$C213&amp;"'!"&amp;"$"&amp;$D213&amp;$AL$1&amp;"")</f>
        <v>0</v>
      </c>
      <c r="AO213" s="288" t="s">
        <v>1</v>
      </c>
      <c r="AP213" s="286" t="s">
        <v>1</v>
      </c>
      <c r="AQ213" s="287" cm="1">
        <f t="array" aca="1" ref="AQ213" ca="1">INDIRECT("'"&amp;$C213&amp;"'!"&amp;"$"&amp;$D213&amp;$AQ$1&amp;"")</f>
        <v>3.8</v>
      </c>
      <c r="AR213" s="288">
        <v>0.98</v>
      </c>
      <c r="AS213" s="286">
        <v>0.75</v>
      </c>
      <c r="AT213" s="285">
        <v>13.8</v>
      </c>
      <c r="AU213" s="289">
        <v>70.8</v>
      </c>
      <c r="AV213" s="288" cm="1">
        <f t="array" aca="1" ref="AV213" ca="1">INDIRECT("'"&amp;$C213&amp;"'!"&amp;"$"&amp;$D213&amp;$AV$1&amp;"")</f>
        <v>0</v>
      </c>
      <c r="AW213" s="287" t="s">
        <v>1</v>
      </c>
      <c r="AX213" s="288" t="s">
        <v>1</v>
      </c>
      <c r="AY213" s="286" t="s">
        <v>1</v>
      </c>
      <c r="AZ213" s="288" cm="1">
        <f t="array" aca="1" ref="AZ213" ca="1">INDIRECT("'"&amp;$C213&amp;"'!"&amp;"$"&amp;$D213&amp;$AZ$1&amp;"")</f>
        <v>7</v>
      </c>
      <c r="BA213" s="287" t="s">
        <v>1</v>
      </c>
      <c r="BB213" s="288">
        <v>0.99</v>
      </c>
      <c r="BC213" s="286">
        <v>1.1399999999999999</v>
      </c>
      <c r="BD213" s="290">
        <v>14.02</v>
      </c>
      <c r="BE213" s="289">
        <v>70.91</v>
      </c>
      <c r="BF213" s="290" cm="1">
        <f t="array" aca="1" ref="BF213" ca="1">INDIRECT("'"&amp;$C213&amp;"'!"&amp;"$"&amp;$D213&amp;$BF$1&amp;"")</f>
        <v>14.25</v>
      </c>
      <c r="BG213" s="288">
        <v>0.99</v>
      </c>
      <c r="BH213" s="286">
        <v>2.2999999999999998</v>
      </c>
      <c r="BI213" s="525">
        <v>68.400000000000006</v>
      </c>
      <c r="BJ213" s="285" cm="1">
        <f t="array" aca="1" ref="BJ213" ca="1">INDIRECT("'"&amp;$C213&amp;"'!"&amp;"$"&amp;$D213&amp;$BI$1&amp;"")</f>
        <v>0</v>
      </c>
      <c r="BK213" s="287" t="s">
        <v>1</v>
      </c>
      <c r="BL213" s="286" t="s">
        <v>1</v>
      </c>
      <c r="BM213" s="290" cm="1">
        <f t="array" aca="1" ref="BM213" ca="1">INDIRECT("'"&amp;$C213&amp;"'!"&amp;"$"&amp;$D213&amp;$BM$1&amp;"")</f>
        <v>1.17</v>
      </c>
      <c r="BN213" s="288"/>
      <c r="BO213" s="288">
        <v>0.99</v>
      </c>
      <c r="BP213" s="286">
        <v>0.16</v>
      </c>
      <c r="BQ213" s="291" cm="1">
        <f t="array" aca="1" ref="BQ213" ca="1">INDIRECT("'"&amp;$C213&amp;"'!"&amp;"$"&amp;$D213&amp;$BQ$1&amp;"")</f>
        <v>0.75</v>
      </c>
      <c r="BR213" s="288"/>
      <c r="BS213" s="288">
        <v>0.96</v>
      </c>
      <c r="BT213" s="286">
        <v>0.22</v>
      </c>
      <c r="BU213" s="291" cm="1">
        <f t="array" aca="1" ref="BU213" ca="1">INDIRECT("'"&amp;$C213&amp;"'!"&amp;"$"&amp;$D213&amp;74&amp;"")</f>
        <v>0</v>
      </c>
      <c r="BV213" s="288"/>
      <c r="BW213" s="288" t="s">
        <v>1</v>
      </c>
      <c r="BX213" s="286" t="s">
        <v>1</v>
      </c>
    </row>
    <row r="214" spans="1:76">
      <c r="A214" s="459">
        <v>45847</v>
      </c>
      <c r="B214" s="345">
        <v>0.375</v>
      </c>
      <c r="C214" s="305">
        <v>9</v>
      </c>
      <c r="D214" s="306" t="s">
        <v>151</v>
      </c>
      <c r="E214" s="278">
        <v>14</v>
      </c>
      <c r="F214" s="279">
        <v>69.09</v>
      </c>
      <c r="G214" s="280" t="str" cm="1">
        <f t="array" aca="1" ref="G214" ca="1">INDIRECT("'"&amp;$C214&amp;"'!"&amp;"$"&amp;$D214&amp;$E$1&amp;"")</f>
        <v>CMS</v>
      </c>
      <c r="H214" s="281" t="s">
        <v>1</v>
      </c>
      <c r="I214" s="279" t="s">
        <v>1</v>
      </c>
      <c r="J214" s="280" cm="1">
        <f t="array" aca="1" ref="J214" ca="1">INDIRECT("'"&amp;$C214&amp;"'!"&amp;"$"&amp;$D214&amp;$J$1&amp;"")</f>
        <v>6.9</v>
      </c>
      <c r="K214" s="281"/>
      <c r="L214" s="281">
        <v>0.92</v>
      </c>
      <c r="M214" s="282">
        <v>3.04</v>
      </c>
      <c r="N214" s="278" cm="1">
        <f t="array" aca="1" ref="N214" ca="1">INDIRECT("'"&amp;$C214&amp;"'!"&amp;"$"&amp;$D214&amp;$N$1&amp;"")</f>
        <v>6.9</v>
      </c>
      <c r="O214" s="281"/>
      <c r="P214" s="281">
        <v>0.92</v>
      </c>
      <c r="Q214" s="279">
        <v>3.08</v>
      </c>
      <c r="R214" s="468" cm="1">
        <f t="array" aca="1" ref="R214" ca="1">INDIRECT("'"&amp;$C214&amp;"'!"&amp;"$"&amp;$D214&amp;$R$1&amp;"")</f>
        <v>6.9</v>
      </c>
      <c r="S214" s="281"/>
      <c r="T214" s="281">
        <v>0.92</v>
      </c>
      <c r="U214" s="279">
        <v>3.01</v>
      </c>
      <c r="V214" s="280" t="str" cm="1">
        <f t="array" aca="1" ref="V214" ca="1">INDIRECT("'"&amp;$C214&amp;"'!"&amp;"$"&amp;$D214&amp;$V$1&amp;"")</f>
        <v>CMS</v>
      </c>
      <c r="W214" s="281" t="s">
        <v>1</v>
      </c>
      <c r="X214" s="281" t="s">
        <v>1</v>
      </c>
      <c r="Y214" s="282" t="s">
        <v>1</v>
      </c>
      <c r="Z214" s="278" cm="1">
        <f t="array" aca="1" ref="Z214" ca="1">INDIRECT("'"&amp;$C214&amp;"'!"&amp;"$"&amp;$D214&amp;$Z$1&amp;"")</f>
        <v>0</v>
      </c>
      <c r="AA214" s="281" t="s">
        <v>1</v>
      </c>
      <c r="AB214" s="281" t="s">
        <v>1</v>
      </c>
      <c r="AC214" s="279" t="s">
        <v>1</v>
      </c>
      <c r="AD214" s="280" cm="1">
        <f t="array" aca="1" ref="AD214" ca="1">INDIRECT("'"&amp;$C214&amp;"'!"&amp;"$"&amp;$D214&amp;$AD$1&amp;"")</f>
        <v>3.8</v>
      </c>
      <c r="AE214" s="281">
        <f>3.48*3.8</f>
        <v>13.224</v>
      </c>
      <c r="AF214" s="281">
        <v>0.92</v>
      </c>
      <c r="AG214" s="282">
        <v>1.55</v>
      </c>
      <c r="AH214" s="278" cm="1">
        <f t="array" aca="1" ref="AH214" ca="1">INDIRECT("'"&amp;$C214&amp;"'!"&amp;"$"&amp;$D214&amp;$AH$1&amp;"")</f>
        <v>0</v>
      </c>
      <c r="AI214" s="281" t="s">
        <v>1</v>
      </c>
      <c r="AJ214" s="281" t="s">
        <v>1</v>
      </c>
      <c r="AK214" s="279" t="s">
        <v>1</v>
      </c>
      <c r="AL214" s="278">
        <v>11.6</v>
      </c>
      <c r="AM214" s="282">
        <v>70.099999999999994</v>
      </c>
      <c r="AN214" s="278" cm="1">
        <f t="array" aca="1" ref="AN214" ca="1">INDIRECT("'"&amp;$C214&amp;"'!"&amp;"$"&amp;$D214&amp;$AL$1&amp;"")</f>
        <v>0</v>
      </c>
      <c r="AO214" s="281" t="s">
        <v>1</v>
      </c>
      <c r="AP214" s="279" t="s">
        <v>1</v>
      </c>
      <c r="AQ214" s="280" cm="1">
        <f t="array" aca="1" ref="AQ214" ca="1">INDIRECT("'"&amp;$C214&amp;"'!"&amp;"$"&amp;$D214&amp;$AQ$1&amp;"")</f>
        <v>4</v>
      </c>
      <c r="AR214" s="281">
        <v>0.93</v>
      </c>
      <c r="AS214" s="279">
        <v>1.61</v>
      </c>
      <c r="AT214" s="278">
        <v>13.88</v>
      </c>
      <c r="AU214" s="282">
        <v>70.599999999999994</v>
      </c>
      <c r="AV214" s="281" cm="1">
        <f t="array" aca="1" ref="AV214" ca="1">INDIRECT("'"&amp;$C214&amp;"'!"&amp;"$"&amp;$D214&amp;$AV$1&amp;"")</f>
        <v>0</v>
      </c>
      <c r="AW214" s="280" t="s">
        <v>1</v>
      </c>
      <c r="AX214" s="281" t="s">
        <v>1</v>
      </c>
      <c r="AY214" s="279" t="s">
        <v>1</v>
      </c>
      <c r="AZ214" s="281" cm="1">
        <f t="array" aca="1" ref="AZ214" ca="1">INDIRECT("'"&amp;$C214&amp;"'!"&amp;"$"&amp;$D214&amp;$AZ$1&amp;"")</f>
        <v>7</v>
      </c>
      <c r="BA214" s="280" t="s">
        <v>1</v>
      </c>
      <c r="BB214" s="281">
        <v>0.98</v>
      </c>
      <c r="BC214" s="279">
        <v>1.51</v>
      </c>
      <c r="BD214" s="283">
        <v>14.11</v>
      </c>
      <c r="BE214" s="282">
        <v>71.099999999999994</v>
      </c>
      <c r="BF214" s="283" cm="1">
        <f t="array" aca="1" ref="BF214" ca="1">INDIRECT("'"&amp;$C214&amp;"'!"&amp;"$"&amp;$D214&amp;$BF$1&amp;"")</f>
        <v>14.35</v>
      </c>
      <c r="BG214" s="281">
        <v>0.98</v>
      </c>
      <c r="BH214" s="279">
        <v>3.4</v>
      </c>
      <c r="BI214" s="524">
        <v>67.599999999999994</v>
      </c>
      <c r="BJ214" s="278" cm="1">
        <f t="array" aca="1" ref="BJ214" ca="1">INDIRECT("'"&amp;$C214&amp;"'!"&amp;"$"&amp;$D214&amp;$BI$1&amp;"")</f>
        <v>0.8</v>
      </c>
      <c r="BK214" s="280">
        <v>0.95</v>
      </c>
      <c r="BL214" s="279">
        <v>0.26</v>
      </c>
      <c r="BM214" s="283" cm="1">
        <f t="array" aca="1" ref="BM214" ca="1">INDIRECT("'"&amp;$C214&amp;"'!"&amp;"$"&amp;$D214&amp;$BM$1&amp;"")</f>
        <v>1.35</v>
      </c>
      <c r="BN214" s="281"/>
      <c r="BO214" s="281">
        <v>0.99</v>
      </c>
      <c r="BP214" s="279">
        <v>0.17</v>
      </c>
      <c r="BQ214" s="284" cm="1">
        <f t="array" aca="1" ref="BQ214" ca="1">INDIRECT("'"&amp;$C214&amp;"'!"&amp;"$"&amp;$D214&amp;$BQ$1&amp;"")</f>
        <v>0.82</v>
      </c>
      <c r="BR214" s="281"/>
      <c r="BS214" s="281">
        <v>0.96</v>
      </c>
      <c r="BT214" s="279">
        <v>0.22</v>
      </c>
      <c r="BU214" s="284" cm="1">
        <f t="array" aca="1" ref="BU214" ca="1">INDIRECT("'"&amp;$C214&amp;"'!"&amp;"$"&amp;$D214&amp;74&amp;"")</f>
        <v>0</v>
      </c>
      <c r="BV214" s="281"/>
      <c r="BW214" s="281" t="s">
        <v>1</v>
      </c>
      <c r="BX214" s="279" t="s">
        <v>1</v>
      </c>
    </row>
    <row r="215" spans="1:76">
      <c r="A215" s="459">
        <v>45847</v>
      </c>
      <c r="B215" s="345">
        <v>0.41666666666666702</v>
      </c>
      <c r="C215" s="305">
        <v>9</v>
      </c>
      <c r="D215" s="306" t="s">
        <v>152</v>
      </c>
      <c r="E215" s="285">
        <v>14</v>
      </c>
      <c r="F215" s="286">
        <v>69.290000000000006</v>
      </c>
      <c r="G215" s="287" t="str" cm="1">
        <f t="array" aca="1" ref="G215" ca="1">INDIRECT("'"&amp;$C215&amp;"'!"&amp;"$"&amp;$D215&amp;$E$1&amp;"")</f>
        <v>CMS</v>
      </c>
      <c r="H215" s="288" t="s">
        <v>1</v>
      </c>
      <c r="I215" s="286" t="s">
        <v>1</v>
      </c>
      <c r="J215" s="287" cm="1">
        <f t="array" aca="1" ref="J215" ca="1">INDIRECT("'"&amp;$C215&amp;"'!"&amp;"$"&amp;$D215&amp;$J$1&amp;"")</f>
        <v>6.8</v>
      </c>
      <c r="K215" s="288"/>
      <c r="L215" s="288">
        <v>0.93</v>
      </c>
      <c r="M215" s="289">
        <v>2.78</v>
      </c>
      <c r="N215" s="285" cm="1">
        <f t="array" aca="1" ref="N215" ca="1">INDIRECT("'"&amp;$C215&amp;"'!"&amp;"$"&amp;$D215&amp;$N$1&amp;"")</f>
        <v>6.8</v>
      </c>
      <c r="O215" s="288"/>
      <c r="P215" s="288">
        <v>0.93</v>
      </c>
      <c r="Q215" s="286">
        <v>2.75</v>
      </c>
      <c r="R215" s="285" cm="1">
        <f t="array" aca="1" ref="R215" ca="1">INDIRECT("'"&amp;$C215&amp;"'!"&amp;"$"&amp;$D215&amp;$R$1&amp;"")</f>
        <v>6.8</v>
      </c>
      <c r="S215" s="288"/>
      <c r="T215" s="288">
        <v>0.93</v>
      </c>
      <c r="U215" s="286">
        <v>2.79</v>
      </c>
      <c r="V215" s="287" t="str" cm="1">
        <f t="array" aca="1" ref="V215" ca="1">INDIRECT("'"&amp;$C215&amp;"'!"&amp;"$"&amp;$D215&amp;$V$1&amp;"")</f>
        <v>CMS</v>
      </c>
      <c r="W215" s="288" t="s">
        <v>1</v>
      </c>
      <c r="X215" s="288" t="s">
        <v>1</v>
      </c>
      <c r="Y215" s="289" t="s">
        <v>1</v>
      </c>
      <c r="Z215" s="285" cm="1">
        <f t="array" aca="1" ref="Z215" ca="1">INDIRECT("'"&amp;$C215&amp;"'!"&amp;"$"&amp;$D215&amp;$Z$1&amp;"")</f>
        <v>3.4</v>
      </c>
      <c r="AA215" s="288">
        <f>3.8*3.51</f>
        <v>13.337999999999999</v>
      </c>
      <c r="AB215" s="288">
        <v>0.92</v>
      </c>
      <c r="AC215" s="286">
        <v>1.39</v>
      </c>
      <c r="AD215" s="287" cm="1">
        <f t="array" aca="1" ref="AD215" ca="1">INDIRECT("'"&amp;$C215&amp;"'!"&amp;"$"&amp;$D215&amp;$AD$1&amp;"")</f>
        <v>3.4</v>
      </c>
      <c r="AE215" s="288">
        <f>3.8*3.51</f>
        <v>13.337999999999999</v>
      </c>
      <c r="AF215" s="288">
        <v>0.92</v>
      </c>
      <c r="AG215" s="289">
        <v>1.41</v>
      </c>
      <c r="AH215" s="285" cm="1">
        <f t="array" aca="1" ref="AH215" ca="1">INDIRECT("'"&amp;$C215&amp;"'!"&amp;"$"&amp;$D215&amp;$AH$1&amp;"")</f>
        <v>0</v>
      </c>
      <c r="AI215" s="288" t="s">
        <v>1</v>
      </c>
      <c r="AJ215" s="288" t="s">
        <v>1</v>
      </c>
      <c r="AK215" s="286" t="s">
        <v>1</v>
      </c>
      <c r="AL215" s="285">
        <v>11.6</v>
      </c>
      <c r="AM215" s="289">
        <v>70.400000000000006</v>
      </c>
      <c r="AN215" s="285" cm="1">
        <f t="array" aca="1" ref="AN215" ca="1">INDIRECT("'"&amp;$C215&amp;"'!"&amp;"$"&amp;$D215&amp;$AL$1&amp;"")</f>
        <v>0</v>
      </c>
      <c r="AO215" s="288" t="s">
        <v>1</v>
      </c>
      <c r="AP215" s="286" t="s">
        <v>1</v>
      </c>
      <c r="AQ215" s="287" cm="1">
        <f t="array" aca="1" ref="AQ215" ca="1">INDIRECT("'"&amp;$C215&amp;"'!"&amp;"$"&amp;$D215&amp;$AQ$1&amp;"")</f>
        <v>3.8</v>
      </c>
      <c r="AR215" s="288">
        <v>0.95</v>
      </c>
      <c r="AS215" s="286">
        <v>1.1000000000000001</v>
      </c>
      <c r="AT215" s="285">
        <v>13.91</v>
      </c>
      <c r="AU215" s="289">
        <v>70.8</v>
      </c>
      <c r="AV215" s="288" cm="1">
        <f t="array" aca="1" ref="AV215" ca="1">INDIRECT("'"&amp;$C215&amp;"'!"&amp;"$"&amp;$D215&amp;$AV$1&amp;"")</f>
        <v>0</v>
      </c>
      <c r="AW215" s="287" t="s">
        <v>1</v>
      </c>
      <c r="AX215" s="288" t="s">
        <v>1</v>
      </c>
      <c r="AY215" s="286" t="s">
        <v>1</v>
      </c>
      <c r="AZ215" s="288" cm="1">
        <f t="array" aca="1" ref="AZ215" ca="1">INDIRECT("'"&amp;$C215&amp;"'!"&amp;"$"&amp;$D215&amp;$AZ$1&amp;"")</f>
        <v>7</v>
      </c>
      <c r="BA215" s="287" t="s">
        <v>1</v>
      </c>
      <c r="BB215" s="288">
        <v>0.95</v>
      </c>
      <c r="BC215" s="286">
        <v>2.2599999999999998</v>
      </c>
      <c r="BD215" s="290">
        <v>14.2</v>
      </c>
      <c r="BE215" s="289">
        <v>71.41</v>
      </c>
      <c r="BF215" s="290" cm="1">
        <f t="array" aca="1" ref="BF215" ca="1">INDIRECT("'"&amp;$C215&amp;"'!"&amp;"$"&amp;$D215&amp;$BF$1&amp;"")</f>
        <v>14.17</v>
      </c>
      <c r="BG215" s="288">
        <v>0.98</v>
      </c>
      <c r="BH215" s="286">
        <v>3.4</v>
      </c>
      <c r="BI215" s="525">
        <v>67.7</v>
      </c>
      <c r="BJ215" s="285" cm="1">
        <f t="array" aca="1" ref="BJ215" ca="1">INDIRECT("'"&amp;$C215&amp;"'!"&amp;"$"&amp;$D215&amp;$BI$1&amp;"")</f>
        <v>0</v>
      </c>
      <c r="BK215" s="287" t="s">
        <v>1</v>
      </c>
      <c r="BL215" s="286" t="s">
        <v>1</v>
      </c>
      <c r="BM215" s="290" cm="1">
        <f t="array" aca="1" ref="BM215" ca="1">INDIRECT("'"&amp;$C215&amp;"'!"&amp;"$"&amp;$D215&amp;$BM$1&amp;"")</f>
        <v>1.43</v>
      </c>
      <c r="BN215" s="288"/>
      <c r="BO215" s="288">
        <v>0.99</v>
      </c>
      <c r="BP215" s="286">
        <v>0.19</v>
      </c>
      <c r="BQ215" s="291" cm="1">
        <f t="array" aca="1" ref="BQ215" ca="1">INDIRECT("'"&amp;$C215&amp;"'!"&amp;"$"&amp;$D215&amp;$BQ$1&amp;"")</f>
        <v>0.84</v>
      </c>
      <c r="BR215" s="288"/>
      <c r="BS215" s="288">
        <v>0.96</v>
      </c>
      <c r="BT215" s="286">
        <v>0.23</v>
      </c>
      <c r="BU215" s="291" cm="1">
        <f t="array" aca="1" ref="BU215" ca="1">INDIRECT("'"&amp;$C215&amp;"'!"&amp;"$"&amp;$D215&amp;74&amp;"")</f>
        <v>0</v>
      </c>
      <c r="BV215" s="288"/>
      <c r="BW215" s="288" t="s">
        <v>1</v>
      </c>
      <c r="BX215" s="286" t="s">
        <v>1</v>
      </c>
    </row>
    <row r="216" spans="1:76">
      <c r="A216" s="459">
        <v>45847</v>
      </c>
      <c r="B216" s="345">
        <v>0.45833333333333398</v>
      </c>
      <c r="C216" s="305">
        <v>9</v>
      </c>
      <c r="D216" s="306" t="s">
        <v>153</v>
      </c>
      <c r="E216" s="278">
        <v>14</v>
      </c>
      <c r="F216" s="279">
        <v>69.37</v>
      </c>
      <c r="G216" s="280" t="str" cm="1">
        <f t="array" aca="1" ref="G216" ca="1">INDIRECT("'"&amp;$C216&amp;"'!"&amp;"$"&amp;$D216&amp;$E$1&amp;"")</f>
        <v>CMS</v>
      </c>
      <c r="H216" s="281" t="s">
        <v>1</v>
      </c>
      <c r="I216" s="279" t="s">
        <v>1</v>
      </c>
      <c r="J216" s="280" cm="1">
        <f t="array" aca="1" ref="J216" ca="1">INDIRECT("'"&amp;$C216&amp;"'!"&amp;"$"&amp;$D216&amp;$J$1&amp;"")</f>
        <v>6.8</v>
      </c>
      <c r="K216" s="281"/>
      <c r="L216" s="281">
        <v>0.92</v>
      </c>
      <c r="M216" s="282">
        <v>2.89</v>
      </c>
      <c r="N216" s="278" cm="1">
        <f t="array" aca="1" ref="N216" ca="1">INDIRECT("'"&amp;$C216&amp;"'!"&amp;"$"&amp;$D216&amp;$N$1&amp;"")</f>
        <v>6.8</v>
      </c>
      <c r="O216" s="281"/>
      <c r="P216" s="281">
        <v>0.92</v>
      </c>
      <c r="Q216" s="279">
        <v>2.92</v>
      </c>
      <c r="R216" s="468" cm="1">
        <f t="array" aca="1" ref="R216" ca="1">INDIRECT("'"&amp;$C216&amp;"'!"&amp;"$"&amp;$D216&amp;$R$1&amp;"")</f>
        <v>6.8</v>
      </c>
      <c r="S216" s="281"/>
      <c r="T216" s="281">
        <v>0.92</v>
      </c>
      <c r="U216" s="279">
        <v>2.91</v>
      </c>
      <c r="V216" s="280" t="str" cm="1">
        <f t="array" aca="1" ref="V216" ca="1">INDIRECT("'"&amp;$C216&amp;"'!"&amp;"$"&amp;$D216&amp;$V$1&amp;"")</f>
        <v>CMS</v>
      </c>
      <c r="W216" s="281" t="s">
        <v>1</v>
      </c>
      <c r="X216" s="281" t="s">
        <v>1</v>
      </c>
      <c r="Y216" s="282" t="s">
        <v>1</v>
      </c>
      <c r="Z216" s="278" cm="1">
        <f t="array" aca="1" ref="Z216" ca="1">INDIRECT("'"&amp;$C216&amp;"'!"&amp;"$"&amp;$D216&amp;$Z$1&amp;"")</f>
        <v>3.4</v>
      </c>
      <c r="AA216" s="281">
        <f>3.8*3.52</f>
        <v>13.375999999999999</v>
      </c>
      <c r="AB216" s="281">
        <v>0.92</v>
      </c>
      <c r="AC216" s="279">
        <v>1.37</v>
      </c>
      <c r="AD216" s="280" cm="1">
        <f t="array" aca="1" ref="AD216" ca="1">INDIRECT("'"&amp;$C216&amp;"'!"&amp;"$"&amp;$D216&amp;$AD$1&amp;"")</f>
        <v>3.8</v>
      </c>
      <c r="AE216" s="281">
        <f>3.8*3.52</f>
        <v>13.375999999999999</v>
      </c>
      <c r="AF216" s="281">
        <v>0.92</v>
      </c>
      <c r="AG216" s="282">
        <v>1.51</v>
      </c>
      <c r="AH216" s="278" cm="1">
        <f t="array" aca="1" ref="AH216" ca="1">INDIRECT("'"&amp;$C216&amp;"'!"&amp;"$"&amp;$D216&amp;$AH$1&amp;"")</f>
        <v>0</v>
      </c>
      <c r="AI216" s="281" t="s">
        <v>1</v>
      </c>
      <c r="AJ216" s="281" t="s">
        <v>1</v>
      </c>
      <c r="AK216" s="279" t="s">
        <v>1</v>
      </c>
      <c r="AL216" s="278">
        <v>11.6</v>
      </c>
      <c r="AM216" s="282">
        <v>70.400000000000006</v>
      </c>
      <c r="AN216" s="278" cm="1">
        <f t="array" aca="1" ref="AN216" ca="1">INDIRECT("'"&amp;$C216&amp;"'!"&amp;"$"&amp;$D216&amp;$AL$1&amp;"")</f>
        <v>0</v>
      </c>
      <c r="AO216" s="281" t="s">
        <v>1</v>
      </c>
      <c r="AP216" s="279" t="s">
        <v>1</v>
      </c>
      <c r="AQ216" s="280" cm="1">
        <f t="array" aca="1" ref="AQ216" ca="1">INDIRECT("'"&amp;$C216&amp;"'!"&amp;"$"&amp;$D216&amp;$AQ$1&amp;"")</f>
        <v>3.8</v>
      </c>
      <c r="AR216" s="281">
        <v>0.97</v>
      </c>
      <c r="AS216" s="279">
        <v>0.99</v>
      </c>
      <c r="AT216" s="278">
        <v>13.91</v>
      </c>
      <c r="AU216" s="282">
        <v>70.8</v>
      </c>
      <c r="AV216" s="281" cm="1">
        <f t="array" aca="1" ref="AV216" ca="1">INDIRECT("'"&amp;$C216&amp;"'!"&amp;"$"&amp;$D216&amp;$AV$1&amp;"")</f>
        <v>0</v>
      </c>
      <c r="AW216" s="280" t="s">
        <v>1</v>
      </c>
      <c r="AX216" s="281" t="s">
        <v>1</v>
      </c>
      <c r="AY216" s="279" t="s">
        <v>1</v>
      </c>
      <c r="AZ216" s="281" cm="1">
        <f t="array" aca="1" ref="AZ216" ca="1">INDIRECT("'"&amp;$C216&amp;"'!"&amp;"$"&amp;$D216&amp;$AZ$1&amp;"")</f>
        <v>7</v>
      </c>
      <c r="BA216" s="280" t="s">
        <v>1</v>
      </c>
      <c r="BB216" s="281">
        <v>0.95</v>
      </c>
      <c r="BC216" s="279">
        <v>2.2000000000000002</v>
      </c>
      <c r="BD216" s="283">
        <v>14.16</v>
      </c>
      <c r="BE216" s="282">
        <v>71.11</v>
      </c>
      <c r="BF216" s="283" cm="1">
        <f t="array" aca="1" ref="BF216" ca="1">INDIRECT("'"&amp;$C216&amp;"'!"&amp;"$"&amp;$D216&amp;$BF$1&amp;"")</f>
        <v>14.13</v>
      </c>
      <c r="BG216" s="281">
        <v>0.98</v>
      </c>
      <c r="BH216" s="279">
        <v>3.4</v>
      </c>
      <c r="BI216" s="524">
        <v>68</v>
      </c>
      <c r="BJ216" s="278" cm="1">
        <f t="array" aca="1" ref="BJ216" ca="1">INDIRECT("'"&amp;$C216&amp;"'!"&amp;"$"&amp;$D216&amp;$BI$1&amp;"")</f>
        <v>2.2000000000000002</v>
      </c>
      <c r="BK216" s="280">
        <v>0.95</v>
      </c>
      <c r="BL216" s="279">
        <v>0.72</v>
      </c>
      <c r="BM216" s="283" cm="1">
        <f t="array" aca="1" ref="BM216" ca="1">INDIRECT("'"&amp;$C216&amp;"'!"&amp;"$"&amp;$D216&amp;$BM$1&amp;"")</f>
        <v>1.49</v>
      </c>
      <c r="BN216" s="281"/>
      <c r="BO216" s="281">
        <v>0.99</v>
      </c>
      <c r="BP216" s="279">
        <v>0.2</v>
      </c>
      <c r="BQ216" s="284" cm="1">
        <f t="array" aca="1" ref="BQ216" ca="1">INDIRECT("'"&amp;$C216&amp;"'!"&amp;"$"&amp;$D216&amp;$BQ$1&amp;"")</f>
        <v>0.85</v>
      </c>
      <c r="BR216" s="281"/>
      <c r="BS216" s="281">
        <v>0.96</v>
      </c>
      <c r="BT216" s="279">
        <v>0.24</v>
      </c>
      <c r="BU216" s="284" cm="1">
        <f t="array" aca="1" ref="BU216" ca="1">INDIRECT("'"&amp;$C216&amp;"'!"&amp;"$"&amp;$D216&amp;74&amp;"")</f>
        <v>0</v>
      </c>
      <c r="BV216" s="281"/>
      <c r="BW216" s="281" t="s">
        <v>1</v>
      </c>
      <c r="BX216" s="279" t="s">
        <v>1</v>
      </c>
    </row>
    <row r="217" spans="1:76">
      <c r="A217" s="459">
        <v>45847</v>
      </c>
      <c r="B217" s="345">
        <v>0.5</v>
      </c>
      <c r="C217" s="305">
        <v>9</v>
      </c>
      <c r="D217" s="306" t="s">
        <v>154</v>
      </c>
      <c r="E217" s="285">
        <v>14</v>
      </c>
      <c r="F217" s="286">
        <v>69.430000000000007</v>
      </c>
      <c r="G217" s="287" t="str" cm="1">
        <f t="array" aca="1" ref="G217" ca="1">INDIRECT("'"&amp;$C217&amp;"'!"&amp;"$"&amp;$D217&amp;$E$1&amp;"")</f>
        <v>CMS</v>
      </c>
      <c r="H217" s="288" t="s">
        <v>1</v>
      </c>
      <c r="I217" s="286" t="s">
        <v>1</v>
      </c>
      <c r="J217" s="287" cm="1">
        <f t="array" aca="1" ref="J217" ca="1">INDIRECT("'"&amp;$C217&amp;"'!"&amp;"$"&amp;$D217&amp;$J$1&amp;"")</f>
        <v>6.8</v>
      </c>
      <c r="K217" s="288"/>
      <c r="L217" s="288">
        <v>0.91</v>
      </c>
      <c r="M217" s="289">
        <v>3.11</v>
      </c>
      <c r="N217" s="285" cm="1">
        <f t="array" aca="1" ref="N217" ca="1">INDIRECT("'"&amp;$C217&amp;"'!"&amp;"$"&amp;$D217&amp;$N$1&amp;"")</f>
        <v>6.8</v>
      </c>
      <c r="O217" s="288"/>
      <c r="P217" s="288">
        <v>0.91</v>
      </c>
      <c r="Q217" s="289">
        <v>3.18</v>
      </c>
      <c r="R217" s="285" cm="1">
        <f t="array" aca="1" ref="R217" ca="1">INDIRECT("'"&amp;$C217&amp;"'!"&amp;"$"&amp;$D217&amp;$R$1&amp;"")</f>
        <v>6.8</v>
      </c>
      <c r="S217" s="288"/>
      <c r="T217" s="288">
        <v>0.91</v>
      </c>
      <c r="U217" s="286">
        <v>3.1</v>
      </c>
      <c r="V217" s="287" t="str" cm="1">
        <f t="array" aca="1" ref="V217" ca="1">INDIRECT("'"&amp;$C217&amp;"'!"&amp;"$"&amp;$D217&amp;$V$1&amp;"")</f>
        <v>CMS</v>
      </c>
      <c r="W217" s="288" t="s">
        <v>1</v>
      </c>
      <c r="X217" s="288" t="s">
        <v>1</v>
      </c>
      <c r="Y217" s="289" t="s">
        <v>1</v>
      </c>
      <c r="Z217" s="285" cm="1">
        <f t="array" aca="1" ref="Z217" ca="1">INDIRECT("'"&amp;$C217&amp;"'!"&amp;"$"&amp;$D217&amp;$Z$1&amp;"")</f>
        <v>3.4</v>
      </c>
      <c r="AA217" s="288">
        <f>3.8*3.51</f>
        <v>13.337999999999999</v>
      </c>
      <c r="AB217" s="288">
        <v>0.92</v>
      </c>
      <c r="AC217" s="286">
        <v>1.41</v>
      </c>
      <c r="AD217" s="287" cm="1">
        <f t="array" aca="1" ref="AD217" ca="1">INDIRECT("'"&amp;$C217&amp;"'!"&amp;"$"&amp;$D217&amp;$AD$1&amp;"")</f>
        <v>3.7</v>
      </c>
      <c r="AE217" s="288">
        <f>3.8*3.51</f>
        <v>13.337999999999999</v>
      </c>
      <c r="AF217" s="288">
        <v>0.92</v>
      </c>
      <c r="AG217" s="289">
        <v>1.49</v>
      </c>
      <c r="AH217" s="285" cm="1">
        <f t="array" aca="1" ref="AH217" ca="1">INDIRECT("'"&amp;$C217&amp;"'!"&amp;"$"&amp;$D217&amp;$AH$1&amp;"")</f>
        <v>3.3</v>
      </c>
      <c r="AI217" s="288">
        <v>13.96</v>
      </c>
      <c r="AJ217" s="288">
        <v>0.99</v>
      </c>
      <c r="AK217" s="286">
        <v>0.189</v>
      </c>
      <c r="AL217" s="285">
        <v>11.6</v>
      </c>
      <c r="AM217" s="289">
        <v>70.599999999999994</v>
      </c>
      <c r="AN217" s="285" cm="1">
        <f t="array" aca="1" ref="AN217" ca="1">INDIRECT("'"&amp;$C217&amp;"'!"&amp;"$"&amp;$D217&amp;$AL$1&amp;"")</f>
        <v>0</v>
      </c>
      <c r="AO217" s="288" t="s">
        <v>1</v>
      </c>
      <c r="AP217" s="286" t="s">
        <v>1</v>
      </c>
      <c r="AQ217" s="287" cm="1">
        <f t="array" aca="1" ref="AQ217" ca="1">INDIRECT("'"&amp;$C217&amp;"'!"&amp;"$"&amp;$D217&amp;$AQ$1&amp;"")</f>
        <v>3.8</v>
      </c>
      <c r="AR217" s="288">
        <v>0.97</v>
      </c>
      <c r="AS217" s="286">
        <v>1</v>
      </c>
      <c r="AT217" s="285">
        <v>13.93</v>
      </c>
      <c r="AU217" s="289">
        <v>70.8</v>
      </c>
      <c r="AV217" s="288" cm="1">
        <f t="array" aca="1" ref="AV217" ca="1">INDIRECT("'"&amp;$C217&amp;"'!"&amp;"$"&amp;$D217&amp;$AV$1&amp;"")</f>
        <v>0</v>
      </c>
      <c r="AW217" s="287" t="s">
        <v>1</v>
      </c>
      <c r="AX217" s="288" t="s">
        <v>1</v>
      </c>
      <c r="AY217" s="286" t="s">
        <v>1</v>
      </c>
      <c r="AZ217" s="288" cm="1">
        <f t="array" aca="1" ref="AZ217" ca="1">INDIRECT("'"&amp;$C217&amp;"'!"&amp;"$"&amp;$D217&amp;$AZ$1&amp;"")</f>
        <v>7</v>
      </c>
      <c r="BA217" s="287" t="s">
        <v>1</v>
      </c>
      <c r="BB217" s="288">
        <v>0.95</v>
      </c>
      <c r="BC217" s="286">
        <v>2.39</v>
      </c>
      <c r="BD217" s="290">
        <v>14.22</v>
      </c>
      <c r="BE217" s="289">
        <v>71.48</v>
      </c>
      <c r="BF217" s="290" cm="1">
        <f t="array" aca="1" ref="BF217" ca="1">INDIRECT("'"&amp;$C217&amp;"'!"&amp;"$"&amp;$D217&amp;$BF$1&amp;"")</f>
        <v>14.22</v>
      </c>
      <c r="BG217" s="288">
        <v>0.98</v>
      </c>
      <c r="BH217" s="286">
        <v>3.4</v>
      </c>
      <c r="BI217" s="525">
        <v>67.7</v>
      </c>
      <c r="BJ217" s="285" cm="1">
        <f t="array" aca="1" ref="BJ217" ca="1">INDIRECT("'"&amp;$C217&amp;"'!"&amp;"$"&amp;$D217&amp;$BI$1&amp;"")</f>
        <v>0</v>
      </c>
      <c r="BK217" s="287" t="s">
        <v>1</v>
      </c>
      <c r="BL217" s="286" t="s">
        <v>1</v>
      </c>
      <c r="BM217" s="290" cm="1">
        <f t="array" aca="1" ref="BM217" ca="1">INDIRECT("'"&amp;$C217&amp;"'!"&amp;"$"&amp;$D217&amp;$BM$1&amp;"")</f>
        <v>1.49</v>
      </c>
      <c r="BN217" s="288"/>
      <c r="BO217" s="288">
        <v>0.99</v>
      </c>
      <c r="BP217" s="286">
        <v>0.2</v>
      </c>
      <c r="BQ217" s="291" cm="1">
        <f t="array" aca="1" ref="BQ217" ca="1">INDIRECT("'"&amp;$C217&amp;"'!"&amp;"$"&amp;$D217&amp;$BQ$1&amp;"")</f>
        <v>0.87</v>
      </c>
      <c r="BR217" s="288"/>
      <c r="BS217" s="288">
        <v>0.96</v>
      </c>
      <c r="BT217" s="286">
        <v>0.24</v>
      </c>
      <c r="BU217" s="291" cm="1">
        <f t="array" aca="1" ref="BU217" ca="1">INDIRECT("'"&amp;$C217&amp;"'!"&amp;"$"&amp;$D217&amp;74&amp;"")</f>
        <v>0</v>
      </c>
      <c r="BV217" s="288"/>
      <c r="BW217" s="288" t="s">
        <v>1</v>
      </c>
      <c r="BX217" s="286" t="s">
        <v>1</v>
      </c>
    </row>
    <row r="218" spans="1:76">
      <c r="A218" s="459">
        <v>45847</v>
      </c>
      <c r="B218" s="345">
        <v>0.54166666666666696</v>
      </c>
      <c r="C218" s="305">
        <v>9</v>
      </c>
      <c r="D218" s="306" t="s">
        <v>155</v>
      </c>
      <c r="E218" s="278">
        <v>14</v>
      </c>
      <c r="F218" s="279">
        <v>69.16</v>
      </c>
      <c r="G218" s="280" t="str" cm="1">
        <f t="array" aca="1" ref="G218" ca="1">INDIRECT("'"&amp;$C218&amp;"'!"&amp;"$"&amp;$D218&amp;$E$1&amp;"")</f>
        <v>CMS</v>
      </c>
      <c r="H218" s="281" t="s">
        <v>1</v>
      </c>
      <c r="I218" s="279" t="s">
        <v>1</v>
      </c>
      <c r="J218" s="280" cm="1">
        <f t="array" aca="1" ref="J218" ca="1">INDIRECT("'"&amp;$C218&amp;"'!"&amp;"$"&amp;$D218&amp;$J$1&amp;"")</f>
        <v>6.7</v>
      </c>
      <c r="K218" s="281"/>
      <c r="L218" s="281">
        <v>0.89</v>
      </c>
      <c r="M218" s="279">
        <v>3.5</v>
      </c>
      <c r="N218" s="278" cm="1">
        <f t="array" aca="1" ref="N218" ca="1">INDIRECT("'"&amp;$C218&amp;"'!"&amp;"$"&amp;$D218&amp;$N$1&amp;"")</f>
        <v>6.7</v>
      </c>
      <c r="O218" s="281"/>
      <c r="P218" s="281">
        <v>0.89</v>
      </c>
      <c r="Q218" s="279">
        <v>3.52</v>
      </c>
      <c r="R218" s="468" cm="1">
        <f t="array" aca="1" ref="R218" ca="1">INDIRECT("'"&amp;$C218&amp;"'!"&amp;"$"&amp;$D218&amp;$R$1&amp;"")</f>
        <v>6.7</v>
      </c>
      <c r="S218" s="281"/>
      <c r="T218" s="281">
        <v>0.89</v>
      </c>
      <c r="U218" s="279">
        <v>3.51</v>
      </c>
      <c r="V218" s="280" t="str" cm="1">
        <f t="array" aca="1" ref="V218" ca="1">INDIRECT("'"&amp;$C218&amp;"'!"&amp;"$"&amp;$D218&amp;$V$1&amp;"")</f>
        <v>CMS</v>
      </c>
      <c r="W218" s="281" t="s">
        <v>1</v>
      </c>
      <c r="X218" s="281" t="s">
        <v>1</v>
      </c>
      <c r="Y218" s="282" t="s">
        <v>1</v>
      </c>
      <c r="Z218" s="278" cm="1">
        <f t="array" aca="1" ref="Z218" ca="1">INDIRECT("'"&amp;$C218&amp;"'!"&amp;"$"&amp;$D218&amp;$Z$1&amp;"")</f>
        <v>3.4</v>
      </c>
      <c r="AA218" s="281">
        <f>3.8*3.48</f>
        <v>13.224</v>
      </c>
      <c r="AB218" s="281">
        <v>0.92</v>
      </c>
      <c r="AC218" s="279">
        <v>1.4</v>
      </c>
      <c r="AD218" s="280" cm="1">
        <f t="array" aca="1" ref="AD218" ca="1">INDIRECT("'"&amp;$C218&amp;"'!"&amp;"$"&amp;$D218&amp;$AD$1&amp;"")</f>
        <v>3.6</v>
      </c>
      <c r="AE218" s="281">
        <f>3.8*3.48</f>
        <v>13.224</v>
      </c>
      <c r="AF218" s="281">
        <v>0.92</v>
      </c>
      <c r="AG218" s="282">
        <v>1.47</v>
      </c>
      <c r="AH218" s="278" cm="1">
        <f t="array" aca="1" ref="AH218" ca="1">INDIRECT("'"&amp;$C218&amp;"'!"&amp;"$"&amp;$D218&amp;$AH$1&amp;"")</f>
        <v>3.5</v>
      </c>
      <c r="AI218" s="281">
        <v>14</v>
      </c>
      <c r="AJ218" s="281">
        <v>0.99</v>
      </c>
      <c r="AK218" s="279">
        <v>0.214</v>
      </c>
      <c r="AL218" s="278">
        <v>11.6</v>
      </c>
      <c r="AM218" s="282">
        <v>70.5</v>
      </c>
      <c r="AN218" s="278" cm="1">
        <f t="array" aca="1" ref="AN218" ca="1">INDIRECT("'"&amp;$C218&amp;"'!"&amp;"$"&amp;$D218&amp;$AL$1&amp;"")</f>
        <v>0</v>
      </c>
      <c r="AO218" s="281" t="s">
        <v>1</v>
      </c>
      <c r="AP218" s="279" t="s">
        <v>1</v>
      </c>
      <c r="AQ218" s="280" cm="1">
        <f t="array" aca="1" ref="AQ218" ca="1">INDIRECT("'"&amp;$C218&amp;"'!"&amp;"$"&amp;$D218&amp;$AQ$1&amp;"")</f>
        <v>3.7</v>
      </c>
      <c r="AR218" s="281">
        <v>0.96</v>
      </c>
      <c r="AS218" s="279">
        <v>0.99</v>
      </c>
      <c r="AT218" s="278">
        <v>13.93</v>
      </c>
      <c r="AU218" s="282">
        <v>70.8</v>
      </c>
      <c r="AV218" s="281" cm="1">
        <f t="array" aca="1" ref="AV218" ca="1">INDIRECT("'"&amp;$C218&amp;"'!"&amp;"$"&amp;$D218&amp;$AV$1&amp;"")</f>
        <v>0</v>
      </c>
      <c r="AW218" s="280">
        <v>13.7</v>
      </c>
      <c r="AX218" s="281" t="s">
        <v>1</v>
      </c>
      <c r="AY218" s="279" t="s">
        <v>1</v>
      </c>
      <c r="AZ218" s="281" cm="1">
        <f t="array" aca="1" ref="AZ218" ca="1">INDIRECT("'"&amp;$C218&amp;"'!"&amp;"$"&amp;$D218&amp;$AZ$1&amp;"")</f>
        <v>7</v>
      </c>
      <c r="BA218" s="280">
        <v>13.7</v>
      </c>
      <c r="BB218" s="281">
        <v>0.95</v>
      </c>
      <c r="BC218" s="279">
        <v>2.36</v>
      </c>
      <c r="BD218" s="283">
        <v>14.29</v>
      </c>
      <c r="BE218" s="282">
        <v>71.739999999999995</v>
      </c>
      <c r="BF218" s="283" cm="1">
        <f t="array" aca="1" ref="BF218" ca="1">INDIRECT("'"&amp;$C218&amp;"'!"&amp;"$"&amp;$D218&amp;$BF$1&amp;"")</f>
        <v>14.27</v>
      </c>
      <c r="BG218" s="281">
        <v>0.98</v>
      </c>
      <c r="BH218" s="279">
        <v>3.4</v>
      </c>
      <c r="BI218" s="524">
        <v>67.3</v>
      </c>
      <c r="BJ218" s="278" cm="1">
        <f t="array" aca="1" ref="BJ218" ca="1">INDIRECT("'"&amp;$C218&amp;"'!"&amp;"$"&amp;$D218&amp;$BI$1&amp;"")</f>
        <v>0</v>
      </c>
      <c r="BK218" s="280" t="s">
        <v>1</v>
      </c>
      <c r="BL218" s="279" t="s">
        <v>1</v>
      </c>
      <c r="BM218" s="283" cm="1">
        <f t="array" aca="1" ref="BM218" ca="1">INDIRECT("'"&amp;$C218&amp;"'!"&amp;"$"&amp;$D218&amp;$BM$1&amp;"")</f>
        <v>1.39</v>
      </c>
      <c r="BN218" s="281"/>
      <c r="BO218" s="281">
        <v>0.99</v>
      </c>
      <c r="BP218" s="279">
        <v>0.18</v>
      </c>
      <c r="BQ218" s="284" cm="1">
        <f t="array" aca="1" ref="BQ218" ca="1">INDIRECT("'"&amp;$C218&amp;"'!"&amp;"$"&amp;$D218&amp;$BQ$1&amp;"")</f>
        <v>0.88</v>
      </c>
      <c r="BR218" s="281"/>
      <c r="BS218" s="281">
        <v>0.96</v>
      </c>
      <c r="BT218" s="279">
        <v>0.24</v>
      </c>
      <c r="BU218" s="284" cm="1">
        <f t="array" aca="1" ref="BU218" ca="1">INDIRECT("'"&amp;$C218&amp;"'!"&amp;"$"&amp;$D218&amp;74&amp;"")</f>
        <v>0</v>
      </c>
      <c r="BV218" s="281"/>
      <c r="BW218" s="281" t="s">
        <v>1</v>
      </c>
      <c r="BX218" s="279" t="s">
        <v>1</v>
      </c>
    </row>
    <row r="219" spans="1:76">
      <c r="A219" s="459">
        <v>45847</v>
      </c>
      <c r="B219" s="345">
        <v>0.58333333333333404</v>
      </c>
      <c r="C219" s="305">
        <v>9</v>
      </c>
      <c r="D219" s="306" t="s">
        <v>156</v>
      </c>
      <c r="E219" s="285">
        <v>14</v>
      </c>
      <c r="F219" s="286">
        <v>69.31</v>
      </c>
      <c r="G219" s="287" t="str" cm="1">
        <f t="array" aca="1" ref="G219" ca="1">INDIRECT("'"&amp;$C219&amp;"'!"&amp;"$"&amp;$D219&amp;$E$1&amp;"")</f>
        <v>CMS</v>
      </c>
      <c r="H219" s="288" t="s">
        <v>1</v>
      </c>
      <c r="I219" s="286" t="s">
        <v>1</v>
      </c>
      <c r="J219" s="287" cm="1">
        <f t="array" aca="1" ref="J219" ca="1">INDIRECT("'"&amp;$C219&amp;"'!"&amp;"$"&amp;$D219&amp;$J$1&amp;"")</f>
        <v>6.6</v>
      </c>
      <c r="K219" s="288"/>
      <c r="L219" s="288">
        <v>0.93</v>
      </c>
      <c r="M219" s="289">
        <v>2.62</v>
      </c>
      <c r="N219" s="285" cm="1">
        <f t="array" aca="1" ref="N219" ca="1">INDIRECT("'"&amp;$C219&amp;"'!"&amp;"$"&amp;$D219&amp;$N$1&amp;"")</f>
        <v>6.6</v>
      </c>
      <c r="O219" s="288"/>
      <c r="P219" s="288">
        <v>0.93</v>
      </c>
      <c r="Q219" s="286">
        <v>2.67</v>
      </c>
      <c r="R219" s="285" cm="1">
        <f t="array" aca="1" ref="R219" ca="1">INDIRECT("'"&amp;$C219&amp;"'!"&amp;"$"&amp;$D219&amp;$R$1&amp;"")</f>
        <v>6.6</v>
      </c>
      <c r="S219" s="288"/>
      <c r="T219" s="288">
        <v>0.93</v>
      </c>
      <c r="U219" s="286">
        <v>2.61</v>
      </c>
      <c r="V219" s="287" t="str" cm="1">
        <f t="array" aca="1" ref="V219" ca="1">INDIRECT("'"&amp;$C219&amp;"'!"&amp;"$"&amp;$D219&amp;$V$1&amp;"")</f>
        <v>CMS</v>
      </c>
      <c r="W219" s="288" t="s">
        <v>1</v>
      </c>
      <c r="X219" s="288" t="s">
        <v>1</v>
      </c>
      <c r="Y219" s="289" t="s">
        <v>1</v>
      </c>
      <c r="Z219" s="285" cm="1">
        <f t="array" aca="1" ref="Z219" ca="1">INDIRECT("'"&amp;$C219&amp;"'!"&amp;"$"&amp;$D219&amp;$Z$1&amp;"")</f>
        <v>3</v>
      </c>
      <c r="AA219" s="288">
        <v>13.337999999999999</v>
      </c>
      <c r="AB219" s="288">
        <v>0.9</v>
      </c>
      <c r="AC219" s="286">
        <v>1.47</v>
      </c>
      <c r="AD219" s="287" cm="1">
        <f t="array" aca="1" ref="AD219" ca="1">INDIRECT("'"&amp;$C219&amp;"'!"&amp;"$"&amp;$D219&amp;$AD$1&amp;"")</f>
        <v>3</v>
      </c>
      <c r="AE219" s="288">
        <v>13.337999999999999</v>
      </c>
      <c r="AF219" s="288">
        <v>0.9</v>
      </c>
      <c r="AG219" s="289">
        <v>1.46</v>
      </c>
      <c r="AH219" s="285" cm="1">
        <f t="array" aca="1" ref="AH219" ca="1">INDIRECT("'"&amp;$C219&amp;"'!"&amp;"$"&amp;$D219&amp;$AH$1&amp;"")</f>
        <v>3.8</v>
      </c>
      <c r="AI219" s="288">
        <v>14</v>
      </c>
      <c r="AJ219" s="288">
        <v>0.99</v>
      </c>
      <c r="AK219" s="286">
        <v>0.192</v>
      </c>
      <c r="AL219" s="285">
        <v>11.6</v>
      </c>
      <c r="AM219" s="289">
        <v>70.7</v>
      </c>
      <c r="AN219" s="285" cm="1">
        <f t="array" aca="1" ref="AN219" ca="1">INDIRECT("'"&amp;$C219&amp;"'!"&amp;"$"&amp;$D219&amp;$AL$1&amp;"")</f>
        <v>0</v>
      </c>
      <c r="AO219" s="288" t="s">
        <v>1</v>
      </c>
      <c r="AP219" s="286" t="s">
        <v>1</v>
      </c>
      <c r="AQ219" s="287" cm="1">
        <f t="array" aca="1" ref="AQ219" ca="1">INDIRECT("'"&amp;$C219&amp;"'!"&amp;"$"&amp;$D219&amp;$AQ$1&amp;"")</f>
        <v>3.5</v>
      </c>
      <c r="AR219" s="288">
        <v>0.96</v>
      </c>
      <c r="AS219" s="286">
        <v>0.89</v>
      </c>
      <c r="AT219" s="285">
        <v>13.95</v>
      </c>
      <c r="AU219" s="289">
        <v>70.8</v>
      </c>
      <c r="AV219" s="288" cm="1">
        <f t="array" aca="1" ref="AV219" ca="1">INDIRECT("'"&amp;$C219&amp;"'!"&amp;"$"&amp;$D219&amp;$AV$1&amp;"")</f>
        <v>0</v>
      </c>
      <c r="AW219" s="287">
        <v>13.7</v>
      </c>
      <c r="AX219" s="288" t="s">
        <v>1</v>
      </c>
      <c r="AY219" s="286" t="s">
        <v>1</v>
      </c>
      <c r="AZ219" s="288" cm="1">
        <f t="array" aca="1" ref="AZ219" ca="1">INDIRECT("'"&amp;$C219&amp;"'!"&amp;"$"&amp;$D219&amp;$AZ$1&amp;"")</f>
        <v>6.4</v>
      </c>
      <c r="BA219" s="287">
        <v>13.7</v>
      </c>
      <c r="BB219" s="288">
        <v>0.94</v>
      </c>
      <c r="BC219" s="286">
        <v>2.62</v>
      </c>
      <c r="BD219" s="290">
        <v>14.27</v>
      </c>
      <c r="BE219" s="289">
        <v>71.61</v>
      </c>
      <c r="BF219" s="290" cm="1">
        <f t="array" aca="1" ref="BF219" ca="1">INDIRECT("'"&amp;$C219&amp;"'!"&amp;"$"&amp;$D219&amp;$BF$1&amp;"")</f>
        <v>14.17</v>
      </c>
      <c r="BG219" s="288">
        <v>0.98</v>
      </c>
      <c r="BH219" s="286">
        <v>3.5</v>
      </c>
      <c r="BI219" s="525">
        <v>67.8</v>
      </c>
      <c r="BJ219" s="285" cm="1">
        <f t="array" aca="1" ref="BJ219" ca="1">INDIRECT("'"&amp;$C219&amp;"'!"&amp;"$"&amp;$D219&amp;$BI$1&amp;"")</f>
        <v>2.2000000000000002</v>
      </c>
      <c r="BK219" s="287">
        <v>0.95</v>
      </c>
      <c r="BL219" s="286">
        <v>0.73</v>
      </c>
      <c r="BM219" s="290" cm="1">
        <f t="array" aca="1" ref="BM219" ca="1">INDIRECT("'"&amp;$C219&amp;"'!"&amp;"$"&amp;$D219&amp;$BM$1&amp;"")</f>
        <v>1.38</v>
      </c>
      <c r="BN219" s="288"/>
      <c r="BO219" s="288">
        <v>0.99</v>
      </c>
      <c r="BP219" s="286">
        <v>0.17</v>
      </c>
      <c r="BQ219" s="291" cm="1">
        <f t="array" aca="1" ref="BQ219" ca="1">INDIRECT("'"&amp;$C219&amp;"'!"&amp;"$"&amp;$D219&amp;$BQ$1&amp;"")</f>
        <v>0.87</v>
      </c>
      <c r="BR219" s="288"/>
      <c r="BS219" s="288">
        <v>0.96</v>
      </c>
      <c r="BT219" s="286">
        <v>0.24</v>
      </c>
      <c r="BU219" s="291" cm="1">
        <f t="array" aca="1" ref="BU219" ca="1">INDIRECT("'"&amp;$C219&amp;"'!"&amp;"$"&amp;$D219&amp;74&amp;"")</f>
        <v>0</v>
      </c>
      <c r="BV219" s="288"/>
      <c r="BW219" s="288" t="s">
        <v>1</v>
      </c>
      <c r="BX219" s="286" t="s">
        <v>1</v>
      </c>
    </row>
    <row r="220" spans="1:76">
      <c r="A220" s="459">
        <v>45847</v>
      </c>
      <c r="B220" s="345">
        <v>0.625</v>
      </c>
      <c r="C220" s="305">
        <v>9</v>
      </c>
      <c r="D220" s="306" t="s">
        <v>157</v>
      </c>
      <c r="E220" s="278">
        <v>14</v>
      </c>
      <c r="F220" s="279">
        <v>69.27</v>
      </c>
      <c r="G220" s="280" t="str" cm="1">
        <f t="array" aca="1" ref="G220" ca="1">INDIRECT("'"&amp;$C220&amp;"'!"&amp;"$"&amp;$D220&amp;$E$1&amp;"")</f>
        <v>CMS</v>
      </c>
      <c r="H220" s="281" t="s">
        <v>1</v>
      </c>
      <c r="I220" s="279" t="s">
        <v>1</v>
      </c>
      <c r="J220" s="280" cm="1">
        <f t="array" aca="1" ref="J220" ca="1">INDIRECT("'"&amp;$C220&amp;"'!"&amp;"$"&amp;$D220&amp;$J$1&amp;"")</f>
        <v>6.7</v>
      </c>
      <c r="K220" s="281"/>
      <c r="L220" s="281">
        <v>0.92</v>
      </c>
      <c r="M220" s="282">
        <v>2.87</v>
      </c>
      <c r="N220" s="278" cm="1">
        <f t="array" aca="1" ref="N220" ca="1">INDIRECT("'"&amp;$C220&amp;"'!"&amp;"$"&amp;$D220&amp;$N$1&amp;"")</f>
        <v>6.7</v>
      </c>
      <c r="O220" s="281"/>
      <c r="P220" s="281">
        <v>0.92</v>
      </c>
      <c r="Q220" s="279">
        <v>2.9</v>
      </c>
      <c r="R220" s="468" cm="1">
        <f t="array" aca="1" ref="R220" ca="1">INDIRECT("'"&amp;$C220&amp;"'!"&amp;"$"&amp;$D220&amp;$R$1&amp;"")</f>
        <v>6.7</v>
      </c>
      <c r="S220" s="281"/>
      <c r="T220" s="281">
        <v>0.92</v>
      </c>
      <c r="U220" s="279">
        <v>2.85</v>
      </c>
      <c r="V220" s="280" t="str" cm="1">
        <f t="array" aca="1" ref="V220" ca="1">INDIRECT("'"&amp;$C220&amp;"'!"&amp;"$"&amp;$D220&amp;$V$1&amp;"")</f>
        <v>CMS</v>
      </c>
      <c r="W220" s="281" t="s">
        <v>1</v>
      </c>
      <c r="X220" s="281" t="s">
        <v>1</v>
      </c>
      <c r="Y220" s="282" t="s">
        <v>1</v>
      </c>
      <c r="Z220" s="278" cm="1">
        <f t="array" aca="1" ref="Z220" ca="1">INDIRECT("'"&amp;$C220&amp;"'!"&amp;"$"&amp;$D220&amp;$Z$1&amp;"")</f>
        <v>3</v>
      </c>
      <c r="AA220" s="281">
        <v>13.299999999999999</v>
      </c>
      <c r="AB220" s="281">
        <v>0.91</v>
      </c>
      <c r="AC220" s="279">
        <v>1.32</v>
      </c>
      <c r="AD220" s="280" cm="1">
        <f t="array" aca="1" ref="AD220" ca="1">INDIRECT("'"&amp;$C220&amp;"'!"&amp;"$"&amp;$D220&amp;$AD$1&amp;"")</f>
        <v>3</v>
      </c>
      <c r="AE220" s="281">
        <v>13.3</v>
      </c>
      <c r="AF220" s="281">
        <v>0.91</v>
      </c>
      <c r="AG220" s="279">
        <v>1.33</v>
      </c>
      <c r="AH220" s="278" cm="1">
        <f t="array" aca="1" ref="AH220" ca="1">INDIRECT("'"&amp;$C220&amp;"'!"&amp;"$"&amp;$D220&amp;$AH$1&amp;"")</f>
        <v>3</v>
      </c>
      <c r="AI220" s="281">
        <v>14</v>
      </c>
      <c r="AJ220" s="281">
        <v>0.99</v>
      </c>
      <c r="AK220" s="279">
        <v>0.192</v>
      </c>
      <c r="AL220" s="278">
        <v>11.6</v>
      </c>
      <c r="AM220" s="282">
        <v>70.599999999999994</v>
      </c>
      <c r="AN220" s="278" cm="1">
        <f t="array" aca="1" ref="AN220" ca="1">INDIRECT("'"&amp;$C220&amp;"'!"&amp;"$"&amp;$D220&amp;$AL$1&amp;"")</f>
        <v>0</v>
      </c>
      <c r="AO220" s="281" t="s">
        <v>1</v>
      </c>
      <c r="AP220" s="279" t="s">
        <v>1</v>
      </c>
      <c r="AQ220" s="280" cm="1">
        <f t="array" aca="1" ref="AQ220" ca="1">INDIRECT("'"&amp;$C220&amp;"'!"&amp;"$"&amp;$D220&amp;$AQ$1&amp;"")</f>
        <v>3.3</v>
      </c>
      <c r="AR220" s="281">
        <v>0.96</v>
      </c>
      <c r="AS220" s="279">
        <v>0.99</v>
      </c>
      <c r="AT220" s="278">
        <v>13.95</v>
      </c>
      <c r="AU220" s="282">
        <v>70.8</v>
      </c>
      <c r="AV220" s="281" cm="1">
        <f t="array" aca="1" ref="AV220" ca="1">INDIRECT("'"&amp;$C220&amp;"'!"&amp;"$"&amp;$D220&amp;$AV$1&amp;"")</f>
        <v>0</v>
      </c>
      <c r="AW220" s="280">
        <v>13.7</v>
      </c>
      <c r="AX220" s="281" t="s">
        <v>1</v>
      </c>
      <c r="AY220" s="279" t="s">
        <v>1</v>
      </c>
      <c r="AZ220" s="281" cm="1">
        <f t="array" aca="1" ref="AZ220" ca="1">INDIRECT("'"&amp;$C220&amp;"'!"&amp;"$"&amp;$D220&amp;$AZ$1&amp;"")</f>
        <v>7</v>
      </c>
      <c r="BA220" s="280">
        <v>13.7</v>
      </c>
      <c r="BB220" s="281">
        <v>0.94</v>
      </c>
      <c r="BC220" s="279">
        <v>2.61</v>
      </c>
      <c r="BD220" s="283">
        <v>14.29</v>
      </c>
      <c r="BE220" s="282">
        <v>71.760000000000005</v>
      </c>
      <c r="BF220" s="283" cm="1">
        <f t="array" aca="1" ref="BF220" ca="1">INDIRECT("'"&amp;$C220&amp;"'!"&amp;"$"&amp;$D220&amp;$BF$1&amp;"")</f>
        <v>14.33</v>
      </c>
      <c r="BG220" s="281">
        <v>0.98</v>
      </c>
      <c r="BH220" s="279">
        <v>3.4</v>
      </c>
      <c r="BI220" s="524">
        <v>67.5</v>
      </c>
      <c r="BJ220" s="278" cm="1">
        <f t="array" aca="1" ref="BJ220" ca="1">INDIRECT("'"&amp;$C220&amp;"'!"&amp;"$"&amp;$D220&amp;$BI$1&amp;"")</f>
        <v>0</v>
      </c>
      <c r="BK220" s="280" t="s">
        <v>1</v>
      </c>
      <c r="BL220" s="279" t="s">
        <v>1</v>
      </c>
      <c r="BM220" s="283" cm="1">
        <f t="array" aca="1" ref="BM220" ca="1">INDIRECT("'"&amp;$C220&amp;"'!"&amp;"$"&amp;$D220&amp;$BM$1&amp;"")</f>
        <v>1.4</v>
      </c>
      <c r="BN220" s="281"/>
      <c r="BO220" s="281">
        <v>0.99</v>
      </c>
      <c r="BP220" s="279">
        <v>0.17</v>
      </c>
      <c r="BQ220" s="284" cm="1">
        <f t="array" aca="1" ref="BQ220" ca="1">INDIRECT("'"&amp;$C220&amp;"'!"&amp;"$"&amp;$D220&amp;$BQ$1&amp;"")</f>
        <v>0.86</v>
      </c>
      <c r="BR220" s="281"/>
      <c r="BS220" s="281">
        <v>0.96</v>
      </c>
      <c r="BT220" s="279">
        <v>0.27</v>
      </c>
      <c r="BU220" s="284" cm="1">
        <f t="array" aca="1" ref="BU220" ca="1">INDIRECT("'"&amp;$C220&amp;"'!"&amp;"$"&amp;$D220&amp;74&amp;"")</f>
        <v>0</v>
      </c>
      <c r="BV220" s="281"/>
      <c r="BW220" s="281" t="s">
        <v>1</v>
      </c>
      <c r="BX220" s="279" t="s">
        <v>1</v>
      </c>
    </row>
    <row r="221" spans="1:76">
      <c r="A221" s="459">
        <v>45847</v>
      </c>
      <c r="B221" s="345">
        <v>0.66666666666666696</v>
      </c>
      <c r="C221" s="305">
        <v>9</v>
      </c>
      <c r="D221" s="306" t="s">
        <v>158</v>
      </c>
      <c r="E221" s="285">
        <v>14</v>
      </c>
      <c r="F221" s="286">
        <v>69.25</v>
      </c>
      <c r="G221" s="287" t="str" cm="1">
        <f t="array" aca="1" ref="G221" ca="1">INDIRECT("'"&amp;$C221&amp;"'!"&amp;"$"&amp;$D221&amp;$E$1&amp;"")</f>
        <v>CMS</v>
      </c>
      <c r="H221" s="288" t="s">
        <v>1</v>
      </c>
      <c r="I221" s="286" t="s">
        <v>1</v>
      </c>
      <c r="J221" s="287" cm="1">
        <f t="array" aca="1" ref="J221" ca="1">INDIRECT("'"&amp;$C221&amp;"'!"&amp;"$"&amp;$D221&amp;$J$1&amp;"")</f>
        <v>6.7</v>
      </c>
      <c r="K221" s="288"/>
      <c r="L221" s="288">
        <v>0.9</v>
      </c>
      <c r="M221" s="289">
        <v>3.17</v>
      </c>
      <c r="N221" s="285" cm="1">
        <f t="array" aca="1" ref="N221" ca="1">INDIRECT("'"&amp;$C221&amp;"'!"&amp;"$"&amp;$D221&amp;$N$1&amp;"")</f>
        <v>6.7</v>
      </c>
      <c r="O221" s="288"/>
      <c r="P221" s="288">
        <v>0.9</v>
      </c>
      <c r="Q221" s="286">
        <v>3.17</v>
      </c>
      <c r="R221" s="469" cm="1">
        <f t="array" aca="1" ref="R221" ca="1">INDIRECT("'"&amp;$C221&amp;"'!"&amp;"$"&amp;$D221&amp;$R$1&amp;"")</f>
        <v>6.7</v>
      </c>
      <c r="S221" s="288"/>
      <c r="T221" s="288">
        <v>0.9</v>
      </c>
      <c r="U221" s="286">
        <v>3.15</v>
      </c>
      <c r="V221" s="287" t="str" cm="1">
        <f t="array" aca="1" ref="V221" ca="1">INDIRECT("'"&amp;$C221&amp;"'!"&amp;"$"&amp;$D221&amp;$V$1&amp;"")</f>
        <v>CMS</v>
      </c>
      <c r="W221" s="288" t="s">
        <v>1</v>
      </c>
      <c r="X221" s="288" t="s">
        <v>1</v>
      </c>
      <c r="Y221" s="289" t="s">
        <v>1</v>
      </c>
      <c r="Z221" s="285" cm="1">
        <f t="array" aca="1" ref="Z221" ca="1">INDIRECT("'"&amp;$C221&amp;"'!"&amp;"$"&amp;$D221&amp;$Z$1&amp;"")</f>
        <v>3.3</v>
      </c>
      <c r="AA221" s="288">
        <v>13.262</v>
      </c>
      <c r="AB221" s="288">
        <v>0.92</v>
      </c>
      <c r="AC221" s="286">
        <v>1.38</v>
      </c>
      <c r="AD221" s="287" cm="1">
        <f t="array" aca="1" ref="AD221" ca="1">INDIRECT("'"&amp;$C221&amp;"'!"&amp;"$"&amp;$D221&amp;$AD$1&amp;"")</f>
        <v>3.6</v>
      </c>
      <c r="AE221" s="288">
        <v>13.262</v>
      </c>
      <c r="AF221" s="288">
        <v>0.92</v>
      </c>
      <c r="AG221" s="289">
        <v>1.51</v>
      </c>
      <c r="AH221" s="285" cm="1">
        <f t="array" aca="1" ref="AH221" ca="1">INDIRECT("'"&amp;$C221&amp;"'!"&amp;"$"&amp;$D221&amp;$AH$1&amp;"")</f>
        <v>3.8</v>
      </c>
      <c r="AI221" s="288">
        <v>14</v>
      </c>
      <c r="AJ221" s="288">
        <v>0.99</v>
      </c>
      <c r="AK221" s="286">
        <v>0.19700000000000001</v>
      </c>
      <c r="AL221" s="285">
        <v>11.6</v>
      </c>
      <c r="AM221" s="289">
        <v>70.599999999999994</v>
      </c>
      <c r="AN221" s="285" cm="1">
        <f t="array" aca="1" ref="AN221" ca="1">INDIRECT("'"&amp;$C221&amp;"'!"&amp;"$"&amp;$D221&amp;$AL$1&amp;"")</f>
        <v>0</v>
      </c>
      <c r="AO221" s="288" t="s">
        <v>1</v>
      </c>
      <c r="AP221" s="286" t="s">
        <v>1</v>
      </c>
      <c r="AQ221" s="287" cm="1">
        <f t="array" aca="1" ref="AQ221" ca="1">INDIRECT("'"&amp;$C221&amp;"'!"&amp;"$"&amp;$D221&amp;$AQ$1&amp;"")</f>
        <v>3.8</v>
      </c>
      <c r="AR221" s="288">
        <v>0.96</v>
      </c>
      <c r="AS221" s="286">
        <v>1</v>
      </c>
      <c r="AT221" s="285">
        <v>13.95</v>
      </c>
      <c r="AU221" s="289">
        <v>70.8</v>
      </c>
      <c r="AV221" s="288" cm="1">
        <f t="array" aca="1" ref="AV221" ca="1">INDIRECT("'"&amp;$C221&amp;"'!"&amp;"$"&amp;$D221&amp;$AV$1&amp;"")</f>
        <v>0</v>
      </c>
      <c r="AW221" s="287" t="s">
        <v>1</v>
      </c>
      <c r="AX221" s="288" t="s">
        <v>1</v>
      </c>
      <c r="AY221" s="286" t="s">
        <v>1</v>
      </c>
      <c r="AZ221" s="288" cm="1">
        <f t="array" aca="1" ref="AZ221" ca="1">INDIRECT("'"&amp;$C221&amp;"'!"&amp;"$"&amp;$D221&amp;$AZ$1&amp;"")</f>
        <v>7</v>
      </c>
      <c r="BA221" s="287" t="s">
        <v>1</v>
      </c>
      <c r="BB221" s="288">
        <v>0.94</v>
      </c>
      <c r="BC221" s="286">
        <v>2.58</v>
      </c>
      <c r="BD221" s="290">
        <v>14.29</v>
      </c>
      <c r="BE221" s="289">
        <v>71.78</v>
      </c>
      <c r="BF221" s="290" cm="1">
        <f t="array" aca="1" ref="BF221" ca="1">INDIRECT("'"&amp;$C221&amp;"'!"&amp;"$"&amp;$D221&amp;$BF$1&amp;"")</f>
        <v>14.22</v>
      </c>
      <c r="BG221" s="288">
        <v>0.98</v>
      </c>
      <c r="BH221" s="286">
        <v>3.5</v>
      </c>
      <c r="BI221" s="525">
        <v>67.400000000000006</v>
      </c>
      <c r="BJ221" s="285" cm="1">
        <f t="array" aca="1" ref="BJ221" ca="1">INDIRECT("'"&amp;$C221&amp;"'!"&amp;"$"&amp;$D221&amp;$BI$1&amp;"")</f>
        <v>0.8</v>
      </c>
      <c r="BK221" s="287">
        <v>0.95</v>
      </c>
      <c r="BL221" s="286">
        <v>0.25</v>
      </c>
      <c r="BM221" s="290" cm="1">
        <f t="array" aca="1" ref="BM221" ca="1">INDIRECT("'"&amp;$C221&amp;"'!"&amp;"$"&amp;$D221&amp;$BM$1&amp;"")</f>
        <v>1.4</v>
      </c>
      <c r="BN221" s="288"/>
      <c r="BO221" s="288">
        <v>0.99</v>
      </c>
      <c r="BP221" s="286">
        <v>0.18</v>
      </c>
      <c r="BQ221" s="291" cm="1">
        <f t="array" aca="1" ref="BQ221" ca="1">INDIRECT("'"&amp;$C221&amp;"'!"&amp;"$"&amp;$D221&amp;$BQ$1&amp;"")</f>
        <v>0.85</v>
      </c>
      <c r="BR221" s="288"/>
      <c r="BS221" s="288">
        <v>0.96</v>
      </c>
      <c r="BT221" s="286">
        <v>0.23</v>
      </c>
      <c r="BU221" s="291" cm="1">
        <f t="array" aca="1" ref="BU221" ca="1">INDIRECT("'"&amp;$C221&amp;"'!"&amp;"$"&amp;$D221&amp;74&amp;"")</f>
        <v>0</v>
      </c>
      <c r="BV221" s="288"/>
      <c r="BW221" s="288" t="s">
        <v>1</v>
      </c>
      <c r="BX221" s="286" t="s">
        <v>1</v>
      </c>
    </row>
    <row r="222" spans="1:76">
      <c r="A222" s="459">
        <v>45847</v>
      </c>
      <c r="B222" s="345">
        <v>0.70833333333333404</v>
      </c>
      <c r="C222" s="305">
        <v>9</v>
      </c>
      <c r="D222" s="306" t="s">
        <v>159</v>
      </c>
      <c r="E222" s="278">
        <v>14</v>
      </c>
      <c r="F222" s="279">
        <v>69.069999999999993</v>
      </c>
      <c r="G222" s="280" t="str" cm="1">
        <f t="array" aca="1" ref="G222" ca="1">INDIRECT("'"&amp;$C222&amp;"'!"&amp;"$"&amp;$D222&amp;$E$1&amp;"")</f>
        <v>CMS</v>
      </c>
      <c r="H222" s="281" t="s">
        <v>1</v>
      </c>
      <c r="I222" s="279" t="s">
        <v>1</v>
      </c>
      <c r="J222" s="280" cm="1">
        <f t="array" aca="1" ref="J222" ca="1">INDIRECT("'"&amp;$C222&amp;"'!"&amp;"$"&amp;$D222&amp;$J$1&amp;"")</f>
        <v>6.6</v>
      </c>
      <c r="K222" s="281"/>
      <c r="L222" s="281">
        <v>0.91</v>
      </c>
      <c r="M222" s="282">
        <v>3.16</v>
      </c>
      <c r="N222" s="278" cm="1">
        <f t="array" aca="1" ref="N222" ca="1">INDIRECT("'"&amp;$C222&amp;"'!"&amp;"$"&amp;$D222&amp;$N$1&amp;"")</f>
        <v>6.6</v>
      </c>
      <c r="O222" s="281"/>
      <c r="P222" s="281">
        <v>0.91</v>
      </c>
      <c r="Q222" s="279">
        <v>3.12</v>
      </c>
      <c r="R222" s="468" cm="1">
        <f t="array" aca="1" ref="R222" ca="1">INDIRECT("'"&amp;$C222&amp;"'!"&amp;"$"&amp;$D222&amp;$R$1&amp;"")</f>
        <v>6.6</v>
      </c>
      <c r="S222" s="281"/>
      <c r="T222" s="281">
        <v>0.91</v>
      </c>
      <c r="U222" s="279">
        <v>3.18</v>
      </c>
      <c r="V222" s="280" t="str" cm="1">
        <f t="array" aca="1" ref="V222" ca="1">INDIRECT("'"&amp;$C222&amp;"'!"&amp;"$"&amp;$D222&amp;$V$1&amp;"")</f>
        <v>CMS</v>
      </c>
      <c r="W222" s="281" t="s">
        <v>1</v>
      </c>
      <c r="X222" s="281" t="s">
        <v>1</v>
      </c>
      <c r="Y222" s="282" t="s">
        <v>1</v>
      </c>
      <c r="Z222" s="278" cm="1">
        <f t="array" aca="1" ref="Z222" ca="1">INDIRECT("'"&amp;$C222&amp;"'!"&amp;"$"&amp;$D222&amp;$Z$1&amp;"")</f>
        <v>3.2</v>
      </c>
      <c r="AA222" s="281">
        <v>13.262</v>
      </c>
      <c r="AB222" s="281">
        <v>0.9</v>
      </c>
      <c r="AC222" s="279">
        <v>1.35</v>
      </c>
      <c r="AD222" s="280" cm="1">
        <f t="array" aca="1" ref="AD222" ca="1">INDIRECT("'"&amp;$C222&amp;"'!"&amp;"$"&amp;$D222&amp;$AD$1&amp;"")</f>
        <v>3.5</v>
      </c>
      <c r="AE222" s="281">
        <v>13.262</v>
      </c>
      <c r="AF222" s="281">
        <v>0.92</v>
      </c>
      <c r="AG222" s="282">
        <v>1.49</v>
      </c>
      <c r="AH222" s="278" cm="1">
        <f t="array" aca="1" ref="AH222" ca="1">INDIRECT("'"&amp;$C222&amp;"'!"&amp;"$"&amp;$D222&amp;$AH$1&amp;"")</f>
        <v>3.8</v>
      </c>
      <c r="AI222" s="281">
        <v>14</v>
      </c>
      <c r="AJ222" s="281">
        <v>0.99</v>
      </c>
      <c r="AK222" s="279">
        <v>0.21</v>
      </c>
      <c r="AL222" s="278">
        <v>11.6</v>
      </c>
      <c r="AM222" s="282">
        <v>70.5</v>
      </c>
      <c r="AN222" s="278" cm="1">
        <f t="array" aca="1" ref="AN222" ca="1">INDIRECT("'"&amp;$C222&amp;"'!"&amp;"$"&amp;$D222&amp;$AL$1&amp;"")</f>
        <v>0</v>
      </c>
      <c r="AO222" s="281" t="s">
        <v>1</v>
      </c>
      <c r="AP222" s="279" t="s">
        <v>1</v>
      </c>
      <c r="AQ222" s="280" cm="1">
        <f t="array" aca="1" ref="AQ222" ca="1">INDIRECT("'"&amp;$C222&amp;"'!"&amp;"$"&amp;$D222&amp;$AQ$1&amp;"")</f>
        <v>3.7</v>
      </c>
      <c r="AR222" s="281">
        <v>0.95</v>
      </c>
      <c r="AS222" s="279">
        <v>1.22</v>
      </c>
      <c r="AT222" s="278">
        <v>13.95</v>
      </c>
      <c r="AU222" s="282">
        <v>70.8</v>
      </c>
      <c r="AV222" s="281" cm="1">
        <f t="array" aca="1" ref="AV222" ca="1">INDIRECT("'"&amp;$C222&amp;"'!"&amp;"$"&amp;$D222&amp;$AV$1&amp;"")</f>
        <v>0</v>
      </c>
      <c r="AW222" s="280" t="s">
        <v>1</v>
      </c>
      <c r="AX222" s="281" t="s">
        <v>1</v>
      </c>
      <c r="AY222" s="279" t="s">
        <v>1</v>
      </c>
      <c r="AZ222" s="281" cm="1">
        <f t="array" aca="1" ref="AZ222" ca="1">INDIRECT("'"&amp;$C222&amp;"'!"&amp;"$"&amp;$D222&amp;$AZ$1&amp;"")</f>
        <v>6.8</v>
      </c>
      <c r="BA222" s="280" t="s">
        <v>1</v>
      </c>
      <c r="BB222" s="281">
        <v>0.93</v>
      </c>
      <c r="BC222" s="279">
        <v>2.82</v>
      </c>
      <c r="BD222" s="283">
        <v>14.31</v>
      </c>
      <c r="BE222" s="282">
        <v>71.91</v>
      </c>
      <c r="BF222" s="283" cm="1">
        <f t="array" aca="1" ref="BF222" ca="1">INDIRECT("'"&amp;$C222&amp;"'!"&amp;"$"&amp;$D222&amp;$BF$1&amp;"")</f>
        <v>14.31</v>
      </c>
      <c r="BG222" s="281">
        <v>0.98</v>
      </c>
      <c r="BH222" s="279">
        <v>3.4</v>
      </c>
      <c r="BI222" s="524">
        <v>67.5</v>
      </c>
      <c r="BJ222" s="278" cm="1">
        <f t="array" aca="1" ref="BJ222" ca="1">INDIRECT("'"&amp;$C222&amp;"'!"&amp;"$"&amp;$D222&amp;$BI$1&amp;"")</f>
        <v>0.7</v>
      </c>
      <c r="BK222" s="280">
        <v>0.96</v>
      </c>
      <c r="BL222" s="279">
        <v>0.2</v>
      </c>
      <c r="BM222" s="283" cm="1">
        <f t="array" aca="1" ref="BM222" ca="1">INDIRECT("'"&amp;$C222&amp;"'!"&amp;"$"&amp;$D222&amp;$BM$1&amp;"")</f>
        <v>1.31</v>
      </c>
      <c r="BN222" s="281"/>
      <c r="BO222" s="281">
        <v>0.99</v>
      </c>
      <c r="BP222" s="279">
        <v>0.16</v>
      </c>
      <c r="BQ222" s="284" cm="1">
        <f t="array" aca="1" ref="BQ222" ca="1">INDIRECT("'"&amp;$C222&amp;"'!"&amp;"$"&amp;$D222&amp;$BQ$1&amp;"")</f>
        <v>0.86</v>
      </c>
      <c r="BR222" s="281"/>
      <c r="BS222" s="281">
        <v>0.96</v>
      </c>
      <c r="BT222" s="279">
        <v>0.23</v>
      </c>
      <c r="BU222" s="284" cm="1">
        <f t="array" aca="1" ref="BU222" ca="1">INDIRECT("'"&amp;$C222&amp;"'!"&amp;"$"&amp;$D222&amp;74&amp;"")</f>
        <v>0</v>
      </c>
      <c r="BV222" s="281"/>
      <c r="BW222" s="281" t="s">
        <v>1</v>
      </c>
      <c r="BX222" s="279" t="s">
        <v>1</v>
      </c>
    </row>
    <row r="223" spans="1:76">
      <c r="A223" s="459">
        <v>45847</v>
      </c>
      <c r="B223" s="345">
        <v>0.750000000000001</v>
      </c>
      <c r="C223" s="305">
        <v>9</v>
      </c>
      <c r="D223" s="306" t="s">
        <v>160</v>
      </c>
      <c r="E223" s="285">
        <v>14</v>
      </c>
      <c r="F223" s="286">
        <v>69.33</v>
      </c>
      <c r="G223" s="287" t="str" cm="1">
        <f t="array" aca="1" ref="G223" ca="1">INDIRECT("'"&amp;$C223&amp;"'!"&amp;"$"&amp;$D223&amp;$E$1&amp;"")</f>
        <v>CMS</v>
      </c>
      <c r="H223" s="288" t="s">
        <v>1</v>
      </c>
      <c r="I223" s="286" t="s">
        <v>1</v>
      </c>
      <c r="J223" s="287" cm="1">
        <f t="array" aca="1" ref="J223" ca="1">INDIRECT("'"&amp;$C223&amp;"'!"&amp;"$"&amp;$D223&amp;$J$1&amp;"")</f>
        <v>6.5</v>
      </c>
      <c r="K223" s="288"/>
      <c r="L223" s="288">
        <v>0.94</v>
      </c>
      <c r="M223" s="289">
        <v>2.12</v>
      </c>
      <c r="N223" s="285" cm="1">
        <f t="array" aca="1" ref="N223" ca="1">INDIRECT("'"&amp;$C223&amp;"'!"&amp;"$"&amp;$D223&amp;$N$1&amp;"")</f>
        <v>6.7</v>
      </c>
      <c r="O223" s="288"/>
      <c r="P223" s="288">
        <v>0.94</v>
      </c>
      <c r="Q223" s="286">
        <v>2.14</v>
      </c>
      <c r="R223" s="285" cm="1">
        <f t="array" aca="1" ref="R223" ca="1">INDIRECT("'"&amp;$C223&amp;"'!"&amp;"$"&amp;$D223&amp;$R$1&amp;"")</f>
        <v>6.7</v>
      </c>
      <c r="S223" s="288"/>
      <c r="T223" s="288">
        <v>0.94</v>
      </c>
      <c r="U223" s="286">
        <v>2.54</v>
      </c>
      <c r="V223" s="287" t="str" cm="1">
        <f t="array" aca="1" ref="V223" ca="1">INDIRECT("'"&amp;$C223&amp;"'!"&amp;"$"&amp;$D223&amp;$V$1&amp;"")</f>
        <v>CMS</v>
      </c>
      <c r="W223" s="288" t="s">
        <v>1</v>
      </c>
      <c r="X223" s="288" t="s">
        <v>1</v>
      </c>
      <c r="Y223" s="289" t="s">
        <v>1</v>
      </c>
      <c r="Z223" s="285" cm="1">
        <f t="array" aca="1" ref="Z223" ca="1">INDIRECT("'"&amp;$C223&amp;"'!"&amp;"$"&amp;$D223&amp;$Z$1&amp;"")</f>
        <v>3</v>
      </c>
      <c r="AA223" s="288">
        <f>3.8*3.52</f>
        <v>13.375999999999999</v>
      </c>
      <c r="AB223" s="288">
        <v>0.92</v>
      </c>
      <c r="AC223" s="286">
        <v>1.29</v>
      </c>
      <c r="AD223" s="287" cm="1">
        <f t="array" aca="1" ref="AD223" ca="1">INDIRECT("'"&amp;$C223&amp;"'!"&amp;"$"&amp;$D223&amp;$AD$1&amp;"")</f>
        <v>3</v>
      </c>
      <c r="AE223" s="288">
        <f>3.8*3.52</f>
        <v>13.375999999999999</v>
      </c>
      <c r="AF223" s="288">
        <v>0.92</v>
      </c>
      <c r="AG223" s="289">
        <v>1.35</v>
      </c>
      <c r="AH223" s="285" cm="1">
        <f t="array" aca="1" ref="AH223" ca="1">INDIRECT("'"&amp;$C223&amp;"'!"&amp;"$"&amp;$D223&amp;$AH$1&amp;"")</f>
        <v>3</v>
      </c>
      <c r="AI223" s="288">
        <v>14</v>
      </c>
      <c r="AJ223" s="288">
        <v>0.99</v>
      </c>
      <c r="AK223" s="286">
        <v>0.214</v>
      </c>
      <c r="AL223" s="285">
        <v>11.5</v>
      </c>
      <c r="AM223" s="289">
        <v>70.400000000000006</v>
      </c>
      <c r="AN223" s="285" cm="1">
        <f t="array" aca="1" ref="AN223" ca="1">INDIRECT("'"&amp;$C223&amp;"'!"&amp;"$"&amp;$D223&amp;$AL$1&amp;"")</f>
        <v>0</v>
      </c>
      <c r="AO223" s="288" t="s">
        <v>1</v>
      </c>
      <c r="AP223" s="286" t="s">
        <v>1</v>
      </c>
      <c r="AQ223" s="287" cm="1">
        <f t="array" aca="1" ref="AQ223" ca="1">INDIRECT("'"&amp;$C223&amp;"'!"&amp;"$"&amp;$D223&amp;$AQ$1&amp;"")</f>
        <v>1.5</v>
      </c>
      <c r="AR223" s="288">
        <v>0.95</v>
      </c>
      <c r="AS223" s="286">
        <v>0.56000000000000005</v>
      </c>
      <c r="AT223" s="285">
        <v>13.92</v>
      </c>
      <c r="AU223" s="289">
        <v>70.8</v>
      </c>
      <c r="AV223" s="288" cm="1">
        <f t="array" aca="1" ref="AV223" ca="1">INDIRECT("'"&amp;$C223&amp;"'!"&amp;"$"&amp;$D223&amp;$AV$1&amp;"")</f>
        <v>0</v>
      </c>
      <c r="AW223" s="287" t="s">
        <v>1</v>
      </c>
      <c r="AX223" s="288" t="s">
        <v>1</v>
      </c>
      <c r="AY223" s="286" t="s">
        <v>1</v>
      </c>
      <c r="AZ223" s="288" cm="1">
        <f t="array" aca="1" ref="AZ223" ca="1">INDIRECT("'"&amp;$C223&amp;"'!"&amp;"$"&amp;$D223&amp;$AZ$1&amp;"")</f>
        <v>7</v>
      </c>
      <c r="BA223" s="287" t="s">
        <v>1</v>
      </c>
      <c r="BB223" s="288">
        <v>0.93</v>
      </c>
      <c r="BC223" s="286">
        <v>2.4300000000000002</v>
      </c>
      <c r="BD223" s="290">
        <v>14.12</v>
      </c>
      <c r="BE223" s="289">
        <v>71.31</v>
      </c>
      <c r="BF223" s="290" cm="1">
        <f t="array" aca="1" ref="BF223" ca="1">INDIRECT("'"&amp;$C223&amp;"'!"&amp;"$"&amp;$D223&amp;$BF$1&amp;"")</f>
        <v>14.15</v>
      </c>
      <c r="BG223" s="288">
        <v>0.99</v>
      </c>
      <c r="BH223" s="286">
        <v>2.4</v>
      </c>
      <c r="BI223" s="525">
        <v>67.7</v>
      </c>
      <c r="BJ223" s="285" cm="1">
        <f t="array" aca="1" ref="BJ223" ca="1">INDIRECT("'"&amp;$C223&amp;"'!"&amp;"$"&amp;$D223&amp;$BI$1&amp;"")</f>
        <v>0</v>
      </c>
      <c r="BK223" s="287" t="s">
        <v>1</v>
      </c>
      <c r="BL223" s="286" t="s">
        <v>1</v>
      </c>
      <c r="BM223" s="290" cm="1">
        <f t="array" aca="1" ref="BM223" ca="1">INDIRECT("'"&amp;$C223&amp;"'!"&amp;"$"&amp;$D223&amp;$BM$1&amp;"")</f>
        <v>1.24</v>
      </c>
      <c r="BN223" s="288"/>
      <c r="BO223" s="288">
        <v>0.99</v>
      </c>
      <c r="BP223" s="286">
        <v>0.16</v>
      </c>
      <c r="BQ223" s="291" cm="1">
        <f t="array" aca="1" ref="BQ223" ca="1">INDIRECT("'"&amp;$C223&amp;"'!"&amp;"$"&amp;$D223&amp;$BQ$1&amp;"")</f>
        <v>0.86</v>
      </c>
      <c r="BR223" s="288"/>
      <c r="BS223" s="288">
        <v>0.96</v>
      </c>
      <c r="BT223" s="286">
        <v>0.22</v>
      </c>
      <c r="BU223" s="291" cm="1">
        <f t="array" aca="1" ref="BU223" ca="1">INDIRECT("'"&amp;$C223&amp;"'!"&amp;"$"&amp;$D223&amp;74&amp;"")</f>
        <v>0</v>
      </c>
      <c r="BV223" s="288"/>
      <c r="BW223" s="288" t="s">
        <v>1</v>
      </c>
      <c r="BX223" s="286" t="s">
        <v>1</v>
      </c>
    </row>
    <row r="224" spans="1:76">
      <c r="A224" s="459">
        <v>45847</v>
      </c>
      <c r="B224" s="345">
        <v>0.79166666666666696</v>
      </c>
      <c r="C224" s="305">
        <v>9</v>
      </c>
      <c r="D224" s="306" t="s">
        <v>161</v>
      </c>
      <c r="E224" s="278">
        <v>14</v>
      </c>
      <c r="F224" s="279">
        <v>69.62</v>
      </c>
      <c r="G224" s="280" t="str" cm="1">
        <f t="array" aca="1" ref="G224" ca="1">INDIRECT("'"&amp;$C224&amp;"'!"&amp;"$"&amp;$D224&amp;$E$1&amp;"")</f>
        <v>CMS</v>
      </c>
      <c r="H224" s="281" t="s">
        <v>1</v>
      </c>
      <c r="I224" s="279" t="s">
        <v>1</v>
      </c>
      <c r="J224" s="280" cm="1">
        <f t="array" aca="1" ref="J224" ca="1">INDIRECT("'"&amp;$C224&amp;"'!"&amp;"$"&amp;$D224&amp;$J$1&amp;"")</f>
        <v>6.8</v>
      </c>
      <c r="K224" s="292"/>
      <c r="L224" s="281">
        <v>0.97</v>
      </c>
      <c r="M224" s="282">
        <v>1.78</v>
      </c>
      <c r="N224" s="278" cm="1">
        <f t="array" aca="1" ref="N224" ca="1">INDIRECT("'"&amp;$C224&amp;"'!"&amp;"$"&amp;$D224&amp;$N$1&amp;"")</f>
        <v>6.8</v>
      </c>
      <c r="O224" s="281"/>
      <c r="P224" s="281">
        <v>0.97</v>
      </c>
      <c r="Q224" s="279">
        <v>1.74</v>
      </c>
      <c r="R224" s="468" cm="1">
        <f t="array" aca="1" ref="R224" ca="1">INDIRECT("'"&amp;$C224&amp;"'!"&amp;"$"&amp;$D224&amp;$R$1&amp;"")</f>
        <v>6.8</v>
      </c>
      <c r="S224" s="281"/>
      <c r="T224" s="281">
        <v>0.97</v>
      </c>
      <c r="U224" s="279">
        <v>1.8</v>
      </c>
      <c r="V224" s="280" t="str" cm="1">
        <f t="array" aca="1" ref="V224" ca="1">INDIRECT("'"&amp;$C224&amp;"'!"&amp;"$"&amp;$D224&amp;$V$1&amp;"")</f>
        <v>CMS</v>
      </c>
      <c r="W224" s="281" t="s">
        <v>1</v>
      </c>
      <c r="X224" s="281" t="s">
        <v>1</v>
      </c>
      <c r="Y224" s="282" t="s">
        <v>1</v>
      </c>
      <c r="Z224" s="278" cm="1">
        <f t="array" aca="1" ref="Z224" ca="1">INDIRECT("'"&amp;$C224&amp;"'!"&amp;"$"&amp;$D224&amp;$Z$1&amp;"")</f>
        <v>3.3</v>
      </c>
      <c r="AA224" s="281">
        <f>3.8*3.53</f>
        <v>13.413999999999998</v>
      </c>
      <c r="AB224" s="281">
        <v>0.93</v>
      </c>
      <c r="AC224" s="279">
        <v>1.27</v>
      </c>
      <c r="AD224" s="280" cm="1">
        <f t="array" aca="1" ref="AD224" ca="1">INDIRECT("'"&amp;$C224&amp;"'!"&amp;"$"&amp;$D224&amp;$AD$1&amp;"")</f>
        <v>3.8</v>
      </c>
      <c r="AE224" s="281">
        <f>3.8*3.53</f>
        <v>13.413999999999998</v>
      </c>
      <c r="AF224" s="281">
        <v>0.93</v>
      </c>
      <c r="AG224" s="282">
        <v>1.52</v>
      </c>
      <c r="AH224" s="278" cm="1">
        <f t="array" aca="1" ref="AH224" ca="1">INDIRECT("'"&amp;$C224&amp;"'!"&amp;"$"&amp;$D224&amp;$AH$1&amp;"")</f>
        <v>3.8</v>
      </c>
      <c r="AI224" s="281">
        <v>14.02</v>
      </c>
      <c r="AJ224" s="281">
        <v>0.98</v>
      </c>
      <c r="AK224" s="279">
        <v>0.51900000000000002</v>
      </c>
      <c r="AL224" s="278">
        <v>11.6</v>
      </c>
      <c r="AM224" s="282">
        <v>70.5</v>
      </c>
      <c r="AN224" s="278" cm="1">
        <f t="array" aca="1" ref="AN224" ca="1">INDIRECT("'"&amp;$C224&amp;"'!"&amp;"$"&amp;$D224&amp;$AL$1&amp;"")</f>
        <v>0</v>
      </c>
      <c r="AO224" s="281" t="s">
        <v>1</v>
      </c>
      <c r="AP224" s="279" t="s">
        <v>1</v>
      </c>
      <c r="AQ224" s="280" cm="1">
        <f t="array" aca="1" ref="AQ224" ca="1">INDIRECT("'"&amp;$C224&amp;"'!"&amp;"$"&amp;$D224&amp;$AQ$1&amp;"")</f>
        <v>3.8</v>
      </c>
      <c r="AR224" s="281">
        <v>0.97</v>
      </c>
      <c r="AS224" s="279">
        <v>0.96</v>
      </c>
      <c r="AT224" s="278">
        <v>13.92</v>
      </c>
      <c r="AU224" s="282">
        <v>70.8</v>
      </c>
      <c r="AV224" s="281" cm="1">
        <f t="array" aca="1" ref="AV224" ca="1">INDIRECT("'"&amp;$C224&amp;"'!"&amp;"$"&amp;$D224&amp;$AV$1&amp;"")</f>
        <v>0</v>
      </c>
      <c r="AW224" s="280">
        <v>13.7</v>
      </c>
      <c r="AX224" s="281" t="s">
        <v>1</v>
      </c>
      <c r="AY224" s="279" t="s">
        <v>1</v>
      </c>
      <c r="AZ224" s="281" cm="1">
        <f t="array" aca="1" ref="AZ224" ca="1">INDIRECT("'"&amp;$C224&amp;"'!"&amp;"$"&amp;$D224&amp;$AZ$1&amp;"")</f>
        <v>7</v>
      </c>
      <c r="BA224" s="280">
        <v>13.7</v>
      </c>
      <c r="BB224" s="281">
        <v>0.95</v>
      </c>
      <c r="BC224" s="279">
        <v>2.2200000000000002</v>
      </c>
      <c r="BD224" s="283">
        <v>14</v>
      </c>
      <c r="BE224" s="282">
        <v>70.89</v>
      </c>
      <c r="BF224" s="283" cm="1">
        <f t="array" aca="1" ref="BF224" ca="1">INDIRECT("'"&amp;$C224&amp;"'!"&amp;"$"&amp;$D224&amp;$BF$1&amp;"")</f>
        <v>14.13</v>
      </c>
      <c r="BG224" s="281">
        <v>0.99</v>
      </c>
      <c r="BH224" s="279">
        <v>2.2999999999999998</v>
      </c>
      <c r="BI224" s="524">
        <v>68.099999999999994</v>
      </c>
      <c r="BJ224" s="278" cm="1">
        <f t="array" aca="1" ref="BJ224" ca="1">INDIRECT("'"&amp;$C224&amp;"'!"&amp;"$"&amp;$D224&amp;$BI$1&amp;"")</f>
        <v>2.9</v>
      </c>
      <c r="BK224" s="280">
        <v>0.97</v>
      </c>
      <c r="BL224" s="279">
        <v>0.72</v>
      </c>
      <c r="BM224" s="283" cm="1">
        <f t="array" aca="1" ref="BM224" ca="1">INDIRECT("'"&amp;$C224&amp;"'!"&amp;"$"&amp;$D224&amp;$BM$1&amp;"")</f>
        <v>1.46</v>
      </c>
      <c r="BN224" s="281"/>
      <c r="BO224" s="281">
        <v>0.99</v>
      </c>
      <c r="BP224" s="279">
        <v>0.17</v>
      </c>
      <c r="BQ224" s="284" cm="1">
        <f t="array" aca="1" ref="BQ224" ca="1">INDIRECT("'"&amp;$C224&amp;"'!"&amp;"$"&amp;$D224&amp;$BQ$1&amp;"")</f>
        <v>1.02</v>
      </c>
      <c r="BR224" s="281"/>
      <c r="BS224" s="281">
        <v>0.97</v>
      </c>
      <c r="BT224" s="279">
        <v>0.26</v>
      </c>
      <c r="BU224" s="284" cm="1">
        <f t="array" aca="1" ref="BU224" ca="1">INDIRECT("'"&amp;$C224&amp;"'!"&amp;"$"&amp;$D224&amp;74&amp;"")</f>
        <v>0</v>
      </c>
      <c r="BV224" s="281"/>
      <c r="BW224" s="281" t="s">
        <v>1</v>
      </c>
      <c r="BX224" s="279" t="s">
        <v>1</v>
      </c>
    </row>
    <row r="225" spans="1:76">
      <c r="A225" s="459">
        <v>45847</v>
      </c>
      <c r="B225" s="345">
        <v>0.83333333333333337</v>
      </c>
      <c r="C225" s="305">
        <v>9</v>
      </c>
      <c r="D225" s="306" t="s">
        <v>162</v>
      </c>
      <c r="E225" s="285">
        <v>14</v>
      </c>
      <c r="F225" s="286">
        <v>68.849999999999994</v>
      </c>
      <c r="G225" s="287" t="str" cm="1">
        <f t="array" aca="1" ref="G225" ca="1">INDIRECT("'"&amp;$C225&amp;"'!"&amp;"$"&amp;$D225&amp;$E$1&amp;"")</f>
        <v>CMS</v>
      </c>
      <c r="H225" s="288" t="s">
        <v>1</v>
      </c>
      <c r="I225" s="286" t="s">
        <v>1</v>
      </c>
      <c r="J225" s="287" cm="1">
        <f t="array" aca="1" ref="J225" ca="1">INDIRECT("'"&amp;$C225&amp;"'!"&amp;"$"&amp;$D225&amp;$J$1&amp;"")</f>
        <v>6.6</v>
      </c>
      <c r="K225" s="288"/>
      <c r="L225" s="288">
        <v>0.98</v>
      </c>
      <c r="M225" s="289">
        <v>1.18</v>
      </c>
      <c r="N225" s="285" cm="1">
        <f t="array" aca="1" ref="N225" ca="1">INDIRECT("'"&amp;$C225&amp;"'!"&amp;"$"&amp;$D225&amp;$N$1&amp;"")</f>
        <v>6.6</v>
      </c>
      <c r="O225" s="288"/>
      <c r="P225" s="288">
        <v>0.98</v>
      </c>
      <c r="Q225" s="286">
        <v>1.2</v>
      </c>
      <c r="R225" s="285" cm="1">
        <f t="array" aca="1" ref="R225" ca="1">INDIRECT("'"&amp;$C225&amp;"'!"&amp;"$"&amp;$D225&amp;$R$1&amp;"")</f>
        <v>6.6</v>
      </c>
      <c r="S225" s="288"/>
      <c r="T225" s="288">
        <v>0.95</v>
      </c>
      <c r="U225" s="286">
        <v>2.27</v>
      </c>
      <c r="V225" s="287" t="str" cm="1">
        <f t="array" aca="1" ref="V225" ca="1">INDIRECT("'"&amp;$C225&amp;"'!"&amp;"$"&amp;$D225&amp;$V$1&amp;"")</f>
        <v>CMS</v>
      </c>
      <c r="W225" s="288" t="s">
        <v>1</v>
      </c>
      <c r="X225" s="288" t="s">
        <v>1</v>
      </c>
      <c r="Y225" s="289" t="s">
        <v>1</v>
      </c>
      <c r="Z225" s="285" cm="1">
        <f t="array" aca="1" ref="Z225" ca="1">INDIRECT("'"&amp;$C225&amp;"'!"&amp;"$"&amp;$D225&amp;$Z$1&amp;"")</f>
        <v>3.3</v>
      </c>
      <c r="AA225" s="288">
        <f>3.8*3.53</f>
        <v>13.413999999999998</v>
      </c>
      <c r="AB225" s="288">
        <v>0.95</v>
      </c>
      <c r="AC225" s="286">
        <v>1.06</v>
      </c>
      <c r="AD225" s="287" cm="1">
        <f t="array" aca="1" ref="AD225" ca="1">INDIRECT("'"&amp;$C225&amp;"'!"&amp;"$"&amp;$D225&amp;$AD$1&amp;"")</f>
        <v>3.8</v>
      </c>
      <c r="AE225" s="288">
        <f>3.8*3.53</f>
        <v>13.413999999999998</v>
      </c>
      <c r="AF225" s="288">
        <v>0.95</v>
      </c>
      <c r="AG225" s="289">
        <v>1.32</v>
      </c>
      <c r="AH225" s="285" cm="1">
        <f t="array" aca="1" ref="AH225" ca="1">INDIRECT("'"&amp;$C225&amp;"'!"&amp;"$"&amp;$D225&amp;$AH$1&amp;"")</f>
        <v>3.8</v>
      </c>
      <c r="AI225" s="288">
        <v>13.92</v>
      </c>
      <c r="AJ225" s="288">
        <v>0.98</v>
      </c>
      <c r="AK225" s="286">
        <v>0.54900000000000004</v>
      </c>
      <c r="AL225" s="285">
        <v>11.6</v>
      </c>
      <c r="AM225" s="289">
        <v>70.400000000000006</v>
      </c>
      <c r="AN225" s="285" cm="1">
        <f t="array" aca="1" ref="AN225" ca="1">INDIRECT("'"&amp;$C225&amp;"'!"&amp;"$"&amp;$D225&amp;$AL$1&amp;"")</f>
        <v>0</v>
      </c>
      <c r="AO225" s="288" t="s">
        <v>1</v>
      </c>
      <c r="AP225" s="286" t="s">
        <v>1</v>
      </c>
      <c r="AQ225" s="287" cm="1">
        <f t="array" aca="1" ref="AQ225" ca="1">INDIRECT("'"&amp;$C225&amp;"'!"&amp;"$"&amp;$D225&amp;$AQ$1&amp;"")</f>
        <v>3.8</v>
      </c>
      <c r="AR225" s="288">
        <v>0.97</v>
      </c>
      <c r="AS225" s="286">
        <v>0.98</v>
      </c>
      <c r="AT225" s="285">
        <v>13.92</v>
      </c>
      <c r="AU225" s="289">
        <v>70.8</v>
      </c>
      <c r="AV225" s="288" cm="1">
        <f t="array" aca="1" ref="AV225" ca="1">INDIRECT("'"&amp;$C225&amp;"'!"&amp;"$"&amp;$D225&amp;$AV$1&amp;"")</f>
        <v>0</v>
      </c>
      <c r="AW225" s="287" t="s">
        <v>1</v>
      </c>
      <c r="AX225" s="288" t="s">
        <v>1</v>
      </c>
      <c r="AY225" s="286" t="s">
        <v>1</v>
      </c>
      <c r="AZ225" s="288" cm="1">
        <f t="array" aca="1" ref="AZ225" ca="1">INDIRECT("'"&amp;$C225&amp;"'!"&amp;"$"&amp;$D225&amp;$AZ$1&amp;"")</f>
        <v>7</v>
      </c>
      <c r="BA225" s="287" t="s">
        <v>1</v>
      </c>
      <c r="BB225" s="288">
        <v>0.95</v>
      </c>
      <c r="BC225" s="286">
        <v>2.48</v>
      </c>
      <c r="BD225" s="290">
        <v>14.01</v>
      </c>
      <c r="BE225" s="289">
        <v>70.95</v>
      </c>
      <c r="BF225" s="290" cm="1">
        <f t="array" aca="1" ref="BF225" ca="1">INDIRECT("'"&amp;$C225&amp;"'!"&amp;"$"&amp;$D225&amp;$BF$1&amp;"")</f>
        <v>14.15</v>
      </c>
      <c r="BG225" s="288">
        <v>0.99</v>
      </c>
      <c r="BH225" s="286">
        <v>2.2999999999999998</v>
      </c>
      <c r="BI225" s="525">
        <v>68</v>
      </c>
      <c r="BJ225" s="285" cm="1">
        <f t="array" aca="1" ref="BJ225" ca="1">INDIRECT("'"&amp;$C225&amp;"'!"&amp;"$"&amp;$D225&amp;$BI$1&amp;"")</f>
        <v>0.8</v>
      </c>
      <c r="BK225" s="287">
        <v>0.97</v>
      </c>
      <c r="BL225" s="286">
        <v>0.2</v>
      </c>
      <c r="BM225" s="290" cm="1">
        <f t="array" aca="1" ref="BM225" ca="1">INDIRECT("'"&amp;$C225&amp;"'!"&amp;"$"&amp;$D225&amp;$BM$1&amp;"")</f>
        <v>1.5699999999999998</v>
      </c>
      <c r="BN225" s="288"/>
      <c r="BO225" s="288">
        <v>0.99</v>
      </c>
      <c r="BP225" s="286">
        <v>0.19</v>
      </c>
      <c r="BQ225" s="291" cm="1">
        <f t="array" aca="1" ref="BQ225" ca="1">INDIRECT("'"&amp;$C225&amp;"'!"&amp;"$"&amp;$D225&amp;$BQ$1&amp;"")</f>
        <v>0.95</v>
      </c>
      <c r="BR225" s="288"/>
      <c r="BS225" s="288">
        <v>0.97</v>
      </c>
      <c r="BT225" s="286">
        <v>0.23</v>
      </c>
      <c r="BU225" s="291" cm="1">
        <f t="array" aca="1" ref="BU225" ca="1">INDIRECT("'"&amp;$C225&amp;"'!"&amp;"$"&amp;$D225&amp;74&amp;"")</f>
        <v>0</v>
      </c>
      <c r="BV225" s="288"/>
      <c r="BW225" s="288" t="s">
        <v>1</v>
      </c>
      <c r="BX225" s="286" t="s">
        <v>1</v>
      </c>
    </row>
    <row r="226" spans="1:76">
      <c r="A226" s="459">
        <v>45847</v>
      </c>
      <c r="B226" s="345">
        <v>0.875000000000001</v>
      </c>
      <c r="C226" s="305">
        <v>9</v>
      </c>
      <c r="D226" s="306" t="s">
        <v>163</v>
      </c>
      <c r="E226" s="278">
        <v>14.1</v>
      </c>
      <c r="F226" s="279">
        <v>69.59</v>
      </c>
      <c r="G226" s="280" t="str" cm="1">
        <f t="array" aca="1" ref="G226" ca="1">INDIRECT("'"&amp;$C226&amp;"'!"&amp;"$"&amp;$D226&amp;$E$1&amp;"")</f>
        <v>CMS</v>
      </c>
      <c r="H226" s="281" t="s">
        <v>1</v>
      </c>
      <c r="I226" s="279" t="s">
        <v>1</v>
      </c>
      <c r="J226" s="280" cm="1">
        <f t="array" aca="1" ref="J226" ca="1">INDIRECT("'"&amp;$C226&amp;"'!"&amp;"$"&amp;$D226&amp;$J$1&amp;"")</f>
        <v>6.6</v>
      </c>
      <c r="K226" s="281"/>
      <c r="L226" s="281">
        <v>0.96</v>
      </c>
      <c r="M226" s="282">
        <v>1.24</v>
      </c>
      <c r="N226" s="278" cm="1">
        <f t="array" aca="1" ref="N226" ca="1">INDIRECT("'"&amp;$C226&amp;"'!"&amp;"$"&amp;$D226&amp;$N$1&amp;"")</f>
        <v>6.6</v>
      </c>
      <c r="O226" s="281"/>
      <c r="P226" s="281">
        <v>0.96</v>
      </c>
      <c r="Q226" s="279">
        <v>1.23</v>
      </c>
      <c r="R226" s="468" cm="1">
        <f t="array" aca="1" ref="R226" ca="1">INDIRECT("'"&amp;$C226&amp;"'!"&amp;"$"&amp;$D226&amp;$R$1&amp;"")</f>
        <v>6.6</v>
      </c>
      <c r="S226" s="281"/>
      <c r="T226" s="281">
        <v>0.96</v>
      </c>
      <c r="U226" s="279">
        <v>1.18</v>
      </c>
      <c r="V226" s="280" t="str" cm="1">
        <f t="array" aca="1" ref="V226" ca="1">INDIRECT("'"&amp;$C226&amp;"'!"&amp;"$"&amp;$D226&amp;$V$1&amp;"")</f>
        <v>CMS</v>
      </c>
      <c r="W226" s="281" t="s">
        <v>1</v>
      </c>
      <c r="X226" s="281" t="s">
        <v>1</v>
      </c>
      <c r="Y226" s="282" t="s">
        <v>1</v>
      </c>
      <c r="Z226" s="278" cm="1">
        <f t="array" aca="1" ref="Z226" ca="1">INDIRECT("'"&amp;$C226&amp;"'!"&amp;"$"&amp;$D226&amp;$Z$1&amp;"")</f>
        <v>3.3</v>
      </c>
      <c r="AA226" s="281">
        <f>3.8*3.58</f>
        <v>13.603999999999999</v>
      </c>
      <c r="AB226" s="281">
        <v>0.95</v>
      </c>
      <c r="AC226" s="279">
        <v>1.0900000000000001</v>
      </c>
      <c r="AD226" s="280" cm="1">
        <f t="array" aca="1" ref="AD226" ca="1">INDIRECT("'"&amp;$C226&amp;"'!"&amp;"$"&amp;$D226&amp;$AD$1&amp;"")</f>
        <v>3.8</v>
      </c>
      <c r="AE226" s="281">
        <f>3.8*3.58</f>
        <v>13.603999999999999</v>
      </c>
      <c r="AF226" s="281">
        <v>0.95</v>
      </c>
      <c r="AG226" s="282">
        <v>1.0900000000000001</v>
      </c>
      <c r="AH226" s="278" cm="1">
        <f t="array" aca="1" ref="AH226" ca="1">INDIRECT("'"&amp;$C226&amp;"'!"&amp;"$"&amp;$D226&amp;$AH$1&amp;"")</f>
        <v>0</v>
      </c>
      <c r="AI226" s="281" t="s">
        <v>1</v>
      </c>
      <c r="AJ226" s="281" t="s">
        <v>1</v>
      </c>
      <c r="AK226" s="279" t="s">
        <v>1</v>
      </c>
      <c r="AL226" s="278">
        <v>11.6</v>
      </c>
      <c r="AM226" s="282">
        <v>70.5</v>
      </c>
      <c r="AN226" s="278" cm="1">
        <f t="array" aca="1" ref="AN226" ca="1">INDIRECT("'"&amp;$C226&amp;"'!"&amp;"$"&amp;$D226&amp;$AL$1&amp;"")</f>
        <v>0</v>
      </c>
      <c r="AO226" s="281" t="s">
        <v>1</v>
      </c>
      <c r="AP226" s="279" t="s">
        <v>1</v>
      </c>
      <c r="AQ226" s="280" cm="1">
        <f t="array" aca="1" ref="AQ226" ca="1">INDIRECT("'"&amp;$C226&amp;"'!"&amp;"$"&amp;$D226&amp;$AQ$1&amp;"")</f>
        <v>4.2</v>
      </c>
      <c r="AR226" s="281">
        <v>0.96</v>
      </c>
      <c r="AS226" s="279">
        <v>1.1299999999999999</v>
      </c>
      <c r="AT226" s="278">
        <v>13.9</v>
      </c>
      <c r="AU226" s="282">
        <v>70.8</v>
      </c>
      <c r="AV226" s="281" cm="1">
        <f t="array" aca="1" ref="AV226" ca="1">INDIRECT("'"&amp;$C226&amp;"'!"&amp;"$"&amp;$D226&amp;$AV$1&amp;"")</f>
        <v>0</v>
      </c>
      <c r="AW226" s="280" t="s">
        <v>1</v>
      </c>
      <c r="AX226" s="281" t="s">
        <v>1</v>
      </c>
      <c r="AY226" s="279" t="s">
        <v>1</v>
      </c>
      <c r="AZ226" s="281" cm="1">
        <f t="array" aca="1" ref="AZ226" ca="1">INDIRECT("'"&amp;$C226&amp;"'!"&amp;"$"&amp;$D226&amp;$AZ$1&amp;"")</f>
        <v>7</v>
      </c>
      <c r="BA226" s="280" t="s">
        <v>1</v>
      </c>
      <c r="BB226" s="281">
        <v>0.95</v>
      </c>
      <c r="BC226" s="279">
        <v>2.48</v>
      </c>
      <c r="BD226" s="283">
        <v>13.99</v>
      </c>
      <c r="BE226" s="282">
        <v>70.8</v>
      </c>
      <c r="BF226" s="283" cm="1">
        <f t="array" aca="1" ref="BF226" ca="1">INDIRECT("'"&amp;$C226&amp;"'!"&amp;"$"&amp;$D226&amp;$BF$1&amp;"")</f>
        <v>14.27</v>
      </c>
      <c r="BG226" s="281">
        <v>0.99</v>
      </c>
      <c r="BH226" s="279">
        <v>2.4</v>
      </c>
      <c r="BI226" s="524">
        <v>68.3</v>
      </c>
      <c r="BJ226" s="278" cm="1">
        <f t="array" aca="1" ref="BJ226" ca="1">INDIRECT("'"&amp;$C226&amp;"'!"&amp;"$"&amp;$D226&amp;$BI$1&amp;"")</f>
        <v>0</v>
      </c>
      <c r="BK226" s="280" t="s">
        <v>1</v>
      </c>
      <c r="BL226" s="279" t="s">
        <v>1</v>
      </c>
      <c r="BM226" s="283" cm="1">
        <f t="array" aca="1" ref="BM226" ca="1">INDIRECT("'"&amp;$C226&amp;"'!"&amp;"$"&amp;$D226&amp;$BM$1&amp;"")</f>
        <v>1.39</v>
      </c>
      <c r="BN226" s="281"/>
      <c r="BO226" s="281">
        <v>0.99</v>
      </c>
      <c r="BP226" s="279">
        <v>0.17</v>
      </c>
      <c r="BQ226" s="284" cm="1">
        <f t="array" aca="1" ref="BQ226" ca="1">INDIRECT("'"&amp;$C226&amp;"'!"&amp;"$"&amp;$D226&amp;$BQ$1&amp;"")</f>
        <v>0.91</v>
      </c>
      <c r="BR226" s="281"/>
      <c r="BS226" s="281">
        <v>0.97</v>
      </c>
      <c r="BT226" s="279">
        <v>0.23</v>
      </c>
      <c r="BU226" s="284" cm="1">
        <f t="array" aca="1" ref="BU226" ca="1">INDIRECT("'"&amp;$C226&amp;"'!"&amp;"$"&amp;$D226&amp;74&amp;"")</f>
        <v>0</v>
      </c>
      <c r="BV226" s="281"/>
      <c r="BW226" s="281" t="s">
        <v>1</v>
      </c>
      <c r="BX226" s="279" t="s">
        <v>1</v>
      </c>
    </row>
    <row r="227" spans="1:76">
      <c r="A227" s="459">
        <v>45847</v>
      </c>
      <c r="B227" s="345">
        <v>0.91666666666666696</v>
      </c>
      <c r="C227" s="305">
        <v>9</v>
      </c>
      <c r="D227" s="306" t="s">
        <v>164</v>
      </c>
      <c r="E227" s="285">
        <v>14.1</v>
      </c>
      <c r="F227" s="286">
        <v>69.739999999999995</v>
      </c>
      <c r="G227" s="287" t="str" cm="1">
        <f t="array" aca="1" ref="G227" ca="1">INDIRECT("'"&amp;$C227&amp;"'!"&amp;"$"&amp;$D227&amp;$E$1&amp;"")</f>
        <v>CMS</v>
      </c>
      <c r="H227" s="288" t="s">
        <v>1</v>
      </c>
      <c r="I227" s="286" t="s">
        <v>1</v>
      </c>
      <c r="J227" s="287" cm="1">
        <f t="array" aca="1" ref="J227" ca="1">INDIRECT("'"&amp;$C227&amp;"'!"&amp;"$"&amp;$D227&amp;$J$1&amp;"")</f>
        <v>6.6</v>
      </c>
      <c r="K227" s="288"/>
      <c r="L227" s="288">
        <v>0.99</v>
      </c>
      <c r="M227" s="289">
        <v>0.88</v>
      </c>
      <c r="N227" s="285" cm="1">
        <f t="array" aca="1" ref="N227" ca="1">INDIRECT("'"&amp;$C227&amp;"'!"&amp;"$"&amp;$D227&amp;$N$1&amp;"")</f>
        <v>6.6</v>
      </c>
      <c r="O227" s="288"/>
      <c r="P227" s="288">
        <v>0.99</v>
      </c>
      <c r="Q227" s="286">
        <v>0.98</v>
      </c>
      <c r="R227" s="285" cm="1">
        <f t="array" aca="1" ref="R227" ca="1">INDIRECT("'"&amp;$C227&amp;"'!"&amp;"$"&amp;$D227&amp;$R$1&amp;"")</f>
        <v>6.6</v>
      </c>
      <c r="S227" s="288"/>
      <c r="T227" s="288">
        <v>0.97</v>
      </c>
      <c r="U227" s="286">
        <v>0.8</v>
      </c>
      <c r="V227" s="287" t="str" cm="1">
        <f t="array" aca="1" ref="V227" ca="1">INDIRECT("'"&amp;$C227&amp;"'!"&amp;"$"&amp;$D227&amp;$V$1&amp;"")</f>
        <v>CMS</v>
      </c>
      <c r="W227" s="288" t="s">
        <v>1</v>
      </c>
      <c r="X227" s="288" t="s">
        <v>1</v>
      </c>
      <c r="Y227" s="289" t="s">
        <v>1</v>
      </c>
      <c r="Z227" s="285" cm="1">
        <f t="array" aca="1" ref="Z227" ca="1">INDIRECT("'"&amp;$C227&amp;"'!"&amp;"$"&amp;$D227&amp;$Z$1&amp;"")</f>
        <v>0</v>
      </c>
      <c r="AA227" s="288" t="s">
        <v>1</v>
      </c>
      <c r="AB227" s="288" t="s">
        <v>1</v>
      </c>
      <c r="AC227" s="286" t="s">
        <v>1</v>
      </c>
      <c r="AD227" s="287" cm="1">
        <f t="array" aca="1" ref="AD227" ca="1">INDIRECT("'"&amp;$C227&amp;"'!"&amp;"$"&amp;$D227&amp;$AD$1&amp;"")</f>
        <v>3.6</v>
      </c>
      <c r="AE227" s="288">
        <f>3.8*3.58</f>
        <v>13.603999999999999</v>
      </c>
      <c r="AF227" s="288">
        <v>0.96</v>
      </c>
      <c r="AG227" s="289">
        <v>1.0900000000000001</v>
      </c>
      <c r="AH227" s="285" cm="1">
        <f t="array" aca="1" ref="AH227" ca="1">INDIRECT("'"&amp;$C227&amp;"'!"&amp;"$"&amp;$D227&amp;$AH$1&amp;"")</f>
        <v>0</v>
      </c>
      <c r="AI227" s="288" t="s">
        <v>1</v>
      </c>
      <c r="AJ227" s="288" t="s">
        <v>1</v>
      </c>
      <c r="AK227" s="286" t="s">
        <v>1</v>
      </c>
      <c r="AL227" s="285">
        <v>11.6</v>
      </c>
      <c r="AM227" s="289">
        <v>70.8</v>
      </c>
      <c r="AN227" s="285" cm="1">
        <f t="array" aca="1" ref="AN227" ca="1">INDIRECT("'"&amp;$C227&amp;"'!"&amp;"$"&amp;$D227&amp;$AL$1&amp;"")</f>
        <v>0</v>
      </c>
      <c r="AO227" s="288" t="s">
        <v>1</v>
      </c>
      <c r="AP227" s="286" t="s">
        <v>1</v>
      </c>
      <c r="AQ227" s="287" cm="1">
        <f t="array" aca="1" ref="AQ227" ca="1">INDIRECT("'"&amp;$C227&amp;"'!"&amp;"$"&amp;$D227&amp;$AQ$1&amp;"")</f>
        <v>2.4</v>
      </c>
      <c r="AR227" s="288">
        <v>0.96</v>
      </c>
      <c r="AS227" s="286">
        <v>1.1000000000000001</v>
      </c>
      <c r="AT227" s="285">
        <v>13.9</v>
      </c>
      <c r="AU227" s="289">
        <v>70.8</v>
      </c>
      <c r="AV227" s="288" cm="1">
        <f t="array" aca="1" ref="AV227" ca="1">INDIRECT("'"&amp;$C227&amp;"'!"&amp;"$"&amp;$D227&amp;$AV$1&amp;"")</f>
        <v>0</v>
      </c>
      <c r="AW227" s="287" t="s">
        <v>1</v>
      </c>
      <c r="AX227" s="288" t="s">
        <v>1</v>
      </c>
      <c r="AY227" s="286" t="s">
        <v>1</v>
      </c>
      <c r="AZ227" s="288" cm="1">
        <f t="array" aca="1" ref="AZ227" ca="1">INDIRECT("'"&amp;$C227&amp;"'!"&amp;"$"&amp;$D227&amp;$AZ$1&amp;"")</f>
        <v>7</v>
      </c>
      <c r="BA227" s="287" t="s">
        <v>1</v>
      </c>
      <c r="BB227" s="288">
        <v>0.96</v>
      </c>
      <c r="BC227" s="286">
        <v>2.2999999999999998</v>
      </c>
      <c r="BD227" s="290">
        <v>14.07</v>
      </c>
      <c r="BE227" s="289">
        <v>71.34</v>
      </c>
      <c r="BF227" s="290" cm="1">
        <f t="array" aca="1" ref="BF227" ca="1">INDIRECT("'"&amp;$C227&amp;"'!"&amp;"$"&amp;$D227&amp;$BF$1&amp;"")</f>
        <v>14.29</v>
      </c>
      <c r="BG227" s="288">
        <v>0.99</v>
      </c>
      <c r="BH227" s="286">
        <v>2.4</v>
      </c>
      <c r="BI227" s="525">
        <v>68.8</v>
      </c>
      <c r="BJ227" s="285" cm="1">
        <f t="array" aca="1" ref="BJ227" ca="1">INDIRECT("'"&amp;$C227&amp;"'!"&amp;"$"&amp;$D227&amp;$BI$1&amp;"")</f>
        <v>0</v>
      </c>
      <c r="BK227" s="287" t="s">
        <v>1</v>
      </c>
      <c r="BL227" s="286" t="s">
        <v>1</v>
      </c>
      <c r="BM227" s="290" cm="1">
        <f t="array" aca="1" ref="BM227" ca="1">INDIRECT("'"&amp;$C227&amp;"'!"&amp;"$"&amp;$D227&amp;$BM$1&amp;"")</f>
        <v>1.26</v>
      </c>
      <c r="BN227" s="288"/>
      <c r="BO227" s="288">
        <v>0.99</v>
      </c>
      <c r="BP227" s="286">
        <v>0.16</v>
      </c>
      <c r="BQ227" s="291" cm="1">
        <f t="array" aca="1" ref="BQ227" ca="1">INDIRECT("'"&amp;$C227&amp;"'!"&amp;"$"&amp;$D227&amp;$BQ$1&amp;"")</f>
        <v>0.86</v>
      </c>
      <c r="BR227" s="288"/>
      <c r="BS227" s="288">
        <v>0.97</v>
      </c>
      <c r="BT227" s="286">
        <v>0.22</v>
      </c>
      <c r="BU227" s="291" cm="1">
        <f t="array" aca="1" ref="BU227" ca="1">INDIRECT("'"&amp;$C227&amp;"'!"&amp;"$"&amp;$D227&amp;74&amp;"")</f>
        <v>0</v>
      </c>
      <c r="BV227" s="288"/>
      <c r="BW227" s="288" t="s">
        <v>1</v>
      </c>
      <c r="BX227" s="286" t="s">
        <v>1</v>
      </c>
    </row>
    <row r="228" spans="1:76" ht="14.45" thickBot="1">
      <c r="A228" s="460">
        <v>45847</v>
      </c>
      <c r="B228" s="346">
        <v>0.95833333333333404</v>
      </c>
      <c r="C228" s="307">
        <v>9</v>
      </c>
      <c r="D228" s="308" t="s">
        <v>165</v>
      </c>
      <c r="E228" s="293">
        <v>14.1</v>
      </c>
      <c r="F228" s="294">
        <v>69.38</v>
      </c>
      <c r="G228" s="295" t="str" cm="1">
        <f t="array" aca="1" ref="G228" ca="1">INDIRECT("'"&amp;$C228&amp;"'!"&amp;"$"&amp;$D228&amp;$E$1&amp;"")</f>
        <v>CMS</v>
      </c>
      <c r="H228" s="296" t="s">
        <v>1</v>
      </c>
      <c r="I228" s="294" t="s">
        <v>1</v>
      </c>
      <c r="J228" s="295" cm="1">
        <f t="array" aca="1" ref="J228" ca="1">INDIRECT("'"&amp;$C228&amp;"'!"&amp;"$"&amp;$D228&amp;$J$1&amp;"")</f>
        <v>6.6</v>
      </c>
      <c r="K228" s="296"/>
      <c r="L228" s="296">
        <v>0.99</v>
      </c>
      <c r="M228" s="297">
        <v>0.9</v>
      </c>
      <c r="N228" s="293" cm="1">
        <f t="array" aca="1" ref="N228" ca="1">INDIRECT("'"&amp;$C228&amp;"'!"&amp;"$"&amp;$D228&amp;$N$1&amp;"")</f>
        <v>6.6</v>
      </c>
      <c r="O228" s="296"/>
      <c r="P228" s="296">
        <v>0.99</v>
      </c>
      <c r="Q228" s="294">
        <v>0.96</v>
      </c>
      <c r="R228" s="470" cm="1">
        <f t="array" aca="1" ref="R228" ca="1">INDIRECT("'"&amp;$C228&amp;"'!"&amp;"$"&amp;$D228&amp;$R$1&amp;"")</f>
        <v>6.7</v>
      </c>
      <c r="S228" s="296"/>
      <c r="T228" s="296">
        <v>0.96</v>
      </c>
      <c r="U228" s="294">
        <v>1.89</v>
      </c>
      <c r="V228" s="295" t="str" cm="1">
        <f t="array" aca="1" ref="V228" ca="1">INDIRECT("'"&amp;$C228&amp;"'!"&amp;"$"&amp;$D228&amp;$V$1&amp;"")</f>
        <v>CMS</v>
      </c>
      <c r="W228" s="296" t="s">
        <v>1</v>
      </c>
      <c r="X228" s="296" t="s">
        <v>1</v>
      </c>
      <c r="Y228" s="297" t="s">
        <v>1</v>
      </c>
      <c r="Z228" s="293" cm="1">
        <f t="array" aca="1" ref="Z228" ca="1">INDIRECT("'"&amp;$C228&amp;"'!"&amp;"$"&amp;$D228&amp;$Z$1&amp;"")</f>
        <v>0</v>
      </c>
      <c r="AA228" s="296" t="s">
        <v>1</v>
      </c>
      <c r="AB228" s="296" t="s">
        <v>1</v>
      </c>
      <c r="AC228" s="294" t="s">
        <v>1</v>
      </c>
      <c r="AD228" s="295" cm="1">
        <f t="array" aca="1" ref="AD228" ca="1">INDIRECT("'"&amp;$C228&amp;"'!"&amp;"$"&amp;$D228&amp;$AD$1&amp;"")</f>
        <v>2.9</v>
      </c>
      <c r="AE228" s="296">
        <f>3.8*3.58</f>
        <v>13.603999999999999</v>
      </c>
      <c r="AF228" s="296">
        <v>0.96</v>
      </c>
      <c r="AG228" s="297">
        <v>0.96</v>
      </c>
      <c r="AH228" s="293" cm="1">
        <f t="array" aca="1" ref="AH228" ca="1">INDIRECT("'"&amp;$C228&amp;"'!"&amp;"$"&amp;$D228&amp;$AH$1&amp;"")</f>
        <v>0</v>
      </c>
      <c r="AI228" s="296" t="s">
        <v>1</v>
      </c>
      <c r="AJ228" s="296" t="s">
        <v>1</v>
      </c>
      <c r="AK228" s="294" t="s">
        <v>1</v>
      </c>
      <c r="AL228" s="293">
        <v>11.6</v>
      </c>
      <c r="AM228" s="297">
        <v>70.599999999999994</v>
      </c>
      <c r="AN228" s="293" cm="1">
        <f t="array" aca="1" ref="AN228" ca="1">INDIRECT("'"&amp;$C228&amp;"'!"&amp;"$"&amp;$D228&amp;$AL$1&amp;"")</f>
        <v>0</v>
      </c>
      <c r="AO228" s="296" t="s">
        <v>1</v>
      </c>
      <c r="AP228" s="294" t="s">
        <v>1</v>
      </c>
      <c r="AQ228" s="295" cm="1">
        <f t="array" aca="1" ref="AQ228" ca="1">INDIRECT("'"&amp;$C228&amp;"'!"&amp;"$"&amp;$D228&amp;$AQ$1&amp;"")</f>
        <v>1.5</v>
      </c>
      <c r="AR228" s="296">
        <v>0.95</v>
      </c>
      <c r="AS228" s="294">
        <v>0.55000000000000004</v>
      </c>
      <c r="AT228" s="293">
        <v>13.9</v>
      </c>
      <c r="AU228" s="297">
        <v>70.8</v>
      </c>
      <c r="AV228" s="296" cm="1">
        <f t="array" aca="1" ref="AV228" ca="1">INDIRECT("'"&amp;$C228&amp;"'!"&amp;"$"&amp;$D228&amp;$AV$1&amp;"")</f>
        <v>0</v>
      </c>
      <c r="AW228" s="295" t="s">
        <v>1</v>
      </c>
      <c r="AX228" s="296" t="s">
        <v>1</v>
      </c>
      <c r="AY228" s="294" t="s">
        <v>1</v>
      </c>
      <c r="AZ228" s="296" cm="1">
        <f t="array" aca="1" ref="AZ228" ca="1">INDIRECT("'"&amp;$C228&amp;"'!"&amp;"$"&amp;$D228&amp;$AZ$1&amp;"")</f>
        <v>7</v>
      </c>
      <c r="BA228" s="295" t="s">
        <v>1</v>
      </c>
      <c r="BB228" s="296">
        <v>0.96</v>
      </c>
      <c r="BC228" s="294">
        <v>2.2999999999999998</v>
      </c>
      <c r="BD228" s="298">
        <v>14.1</v>
      </c>
      <c r="BE228" s="297">
        <v>71.355999999999995</v>
      </c>
      <c r="BF228" s="298" cm="1">
        <f t="array" aca="1" ref="BF228" ca="1">INDIRECT("'"&amp;$C228&amp;"'!"&amp;"$"&amp;$D228&amp;$BF$1&amp;"")</f>
        <v>14.26</v>
      </c>
      <c r="BG228" s="296">
        <v>0.99</v>
      </c>
      <c r="BH228" s="294">
        <v>2.4</v>
      </c>
      <c r="BI228" s="526">
        <v>69</v>
      </c>
      <c r="BJ228" s="293" cm="1">
        <f t="array" aca="1" ref="BJ228" ca="1">INDIRECT("'"&amp;$C228&amp;"'!"&amp;"$"&amp;$D228&amp;$BI$1&amp;"")</f>
        <v>0</v>
      </c>
      <c r="BK228" s="295" t="s">
        <v>1</v>
      </c>
      <c r="BL228" s="294" t="s">
        <v>1</v>
      </c>
      <c r="BM228" s="298" cm="1">
        <f t="array" aca="1" ref="BM228" ca="1">INDIRECT("'"&amp;$C228&amp;"'!"&amp;"$"&amp;$D228&amp;$BM$1&amp;"")</f>
        <v>1</v>
      </c>
      <c r="BN228" s="296"/>
      <c r="BO228" s="296">
        <v>0.99</v>
      </c>
      <c r="BP228" s="294">
        <v>0.11</v>
      </c>
      <c r="BQ228" s="299" cm="1">
        <f t="array" aca="1" ref="BQ228" ca="1">INDIRECT("'"&amp;$C228&amp;"'!"&amp;"$"&amp;$D228&amp;$BQ$1&amp;"")</f>
        <v>0.82</v>
      </c>
      <c r="BR228" s="296"/>
      <c r="BS228" s="296">
        <v>0.97</v>
      </c>
      <c r="BT228" s="294">
        <v>0.21</v>
      </c>
      <c r="BU228" s="299" cm="1">
        <f t="array" aca="1" ref="BU228" ca="1">INDIRECT("'"&amp;$C228&amp;"'!"&amp;"$"&amp;$D228&amp;74&amp;"")</f>
        <v>0</v>
      </c>
      <c r="BV228" s="296"/>
      <c r="BW228" s="296" t="s">
        <v>1</v>
      </c>
      <c r="BX228" s="294" t="s">
        <v>1</v>
      </c>
    </row>
    <row r="229" spans="1:76" ht="14.45" thickBot="1"/>
    <row r="230" spans="1:76">
      <c r="A230" s="347">
        <v>45848</v>
      </c>
      <c r="B230" s="344">
        <v>0</v>
      </c>
      <c r="C230" s="302">
        <v>10</v>
      </c>
      <c r="D230" s="303" t="s">
        <v>142</v>
      </c>
      <c r="E230" s="272">
        <v>14.1</v>
      </c>
      <c r="F230" s="273">
        <v>69.989999999999995</v>
      </c>
      <c r="G230" s="274" t="str" cm="1">
        <f t="array" aca="1" ref="G230" ca="1">INDIRECT("'"&amp;$C230&amp;"'!"&amp;"$"&amp;$D230&amp;$E$1&amp;"")</f>
        <v>CMS</v>
      </c>
      <c r="H230" s="275" t="s">
        <v>1</v>
      </c>
      <c r="I230" s="273" t="s">
        <v>1</v>
      </c>
      <c r="J230" s="274" cm="1">
        <f t="array" aca="1" ref="J230" ca="1">INDIRECT("'"&amp;$C230&amp;"'!"&amp;"$"&amp;$D230&amp;$J$1&amp;"")</f>
        <v>6.5</v>
      </c>
      <c r="K230" s="275"/>
      <c r="L230" s="275">
        <v>0.98</v>
      </c>
      <c r="M230" s="276">
        <v>0.87</v>
      </c>
      <c r="N230" s="272" cm="1">
        <f t="array" aca="1" ref="N230" ca="1">INDIRECT("'"&amp;$C230&amp;"'!"&amp;"$"&amp;$D230&amp;$N$1&amp;"")</f>
        <v>6.5</v>
      </c>
      <c r="O230" s="275"/>
      <c r="P230" s="275">
        <v>0.99</v>
      </c>
      <c r="Q230" s="273">
        <v>0.97</v>
      </c>
      <c r="R230" s="467" cm="1">
        <f t="array" aca="1" ref="R230" ca="1">INDIRECT("'"&amp;$C230&amp;"'!"&amp;"$"&amp;$D230&amp;$R$1&amp;"")</f>
        <v>6.6</v>
      </c>
      <c r="S230" s="275"/>
      <c r="T230" s="275">
        <v>0.98</v>
      </c>
      <c r="U230" s="273">
        <v>1.28</v>
      </c>
      <c r="V230" s="274" t="str" cm="1">
        <f t="array" aca="1" ref="V230" ca="1">INDIRECT("'"&amp;$C230&amp;"'!"&amp;"$"&amp;$D230&amp;$V$1&amp;"")</f>
        <v>CMS</v>
      </c>
      <c r="W230" s="275" t="s">
        <v>1</v>
      </c>
      <c r="X230" s="275" t="s">
        <v>1</v>
      </c>
      <c r="Y230" s="276" t="s">
        <v>1</v>
      </c>
      <c r="Z230" s="272" cm="1">
        <f t="array" aca="1" ref="Z230" ca="1">INDIRECT("'"&amp;$C230&amp;"'!"&amp;"$"&amp;$D230&amp;$Z$1&amp;"")</f>
        <v>0</v>
      </c>
      <c r="AA230" s="275" t="s">
        <v>1</v>
      </c>
      <c r="AB230" s="275" t="s">
        <v>1</v>
      </c>
      <c r="AC230" s="273" t="s">
        <v>1</v>
      </c>
      <c r="AD230" s="274" cm="1">
        <f t="array" aca="1" ref="AD230" ca="1">INDIRECT("'"&amp;$C230&amp;"'!"&amp;"$"&amp;$D230&amp;$AD$1&amp;"")</f>
        <v>0</v>
      </c>
      <c r="AE230" s="275" t="s">
        <v>1</v>
      </c>
      <c r="AF230" s="275" t="s">
        <v>1</v>
      </c>
      <c r="AG230" s="273" t="s">
        <v>1</v>
      </c>
      <c r="AH230" s="272" cm="1">
        <f t="array" aca="1" ref="AH230" ca="1">INDIRECT("'"&amp;$C230&amp;"'!"&amp;"$"&amp;$D230&amp;$AH$1&amp;"")</f>
        <v>0</v>
      </c>
      <c r="AI230" s="275" t="s">
        <v>1</v>
      </c>
      <c r="AJ230" s="275" t="s">
        <v>1</v>
      </c>
      <c r="AK230" s="273" t="s">
        <v>1</v>
      </c>
      <c r="AL230" s="272">
        <v>11.6</v>
      </c>
      <c r="AM230" s="276">
        <v>70.8</v>
      </c>
      <c r="AN230" s="272" cm="1">
        <f t="array" aca="1" ref="AN230" ca="1">INDIRECT("'"&amp;$C230&amp;"'!"&amp;"$"&amp;$D230&amp;$AL$1&amp;"")</f>
        <v>0</v>
      </c>
      <c r="AO230" s="275" t="s">
        <v>1</v>
      </c>
      <c r="AP230" s="276" t="s">
        <v>1</v>
      </c>
      <c r="AQ230" s="272" cm="1">
        <f t="array" aca="1" ref="AQ230" ca="1">INDIRECT("'"&amp;$C230&amp;"'!"&amp;"$"&amp;$D230&amp;$AQ$1&amp;"")</f>
        <v>2</v>
      </c>
      <c r="AR230" s="275">
        <v>0.98</v>
      </c>
      <c r="AS230" s="273">
        <v>0.55000000000000004</v>
      </c>
      <c r="AT230" s="272">
        <v>13.9</v>
      </c>
      <c r="AU230" s="276">
        <v>70.8</v>
      </c>
      <c r="AV230" s="275" cm="1">
        <f t="array" aca="1" ref="AV230" ca="1">INDIRECT("'"&amp;$C230&amp;"'!"&amp;"$"&amp;$D230&amp;$AV$1&amp;"")</f>
        <v>0</v>
      </c>
      <c r="AW230" s="274" t="s">
        <v>1</v>
      </c>
      <c r="AX230" s="275" t="s">
        <v>1</v>
      </c>
      <c r="AY230" s="273" t="s">
        <v>1</v>
      </c>
      <c r="AZ230" s="275" cm="1">
        <f t="array" aca="1" ref="AZ230" ca="1">INDIRECT("'"&amp;$C230&amp;"'!"&amp;"$"&amp;$D230&amp;$AZ$1&amp;"")</f>
        <v>5</v>
      </c>
      <c r="BA230" s="274" t="s">
        <v>1</v>
      </c>
      <c r="BB230" s="275">
        <v>0.94</v>
      </c>
      <c r="BC230" s="273">
        <v>1.7</v>
      </c>
      <c r="BD230" s="277">
        <v>14.13</v>
      </c>
      <c r="BE230" s="276">
        <v>71.61</v>
      </c>
      <c r="BF230" s="277" cm="1">
        <f t="array" aca="1" ref="BF230" ca="1">INDIRECT("'"&amp;$C230&amp;"'!"&amp;"$"&amp;$D230&amp;$BF$1&amp;"")</f>
        <v>14.32</v>
      </c>
      <c r="BG230" s="275">
        <v>0.99</v>
      </c>
      <c r="BH230" s="273">
        <v>2.2999999999999998</v>
      </c>
      <c r="BI230" s="523">
        <v>69</v>
      </c>
      <c r="BJ230" s="272" cm="1">
        <f t="array" aca="1" ref="BJ230" ca="1">INDIRECT("'"&amp;$C230&amp;"'!"&amp;"$"&amp;$D230&amp;$BI$1&amp;"")</f>
        <v>0</v>
      </c>
      <c r="BK230" s="274" t="s">
        <v>1</v>
      </c>
      <c r="BL230" s="273" t="s">
        <v>1</v>
      </c>
      <c r="BM230" s="277" cm="1">
        <f t="array" aca="1" ref="BM230" ca="1">INDIRECT("'"&amp;$C230&amp;"'!"&amp;"$"&amp;$D230&amp;$BM$1&amp;"")</f>
        <v>0.94</v>
      </c>
      <c r="BN230" s="275"/>
      <c r="BO230" s="275">
        <v>0.99</v>
      </c>
      <c r="BP230" s="273">
        <v>0.12</v>
      </c>
      <c r="BQ230" s="277" cm="1">
        <f t="array" aca="1" ref="BQ230" ca="1">INDIRECT("'"&amp;$C230&amp;"'!"&amp;"$"&amp;$D230&amp;$BQ$1&amp;"")</f>
        <v>0.77</v>
      </c>
      <c r="BR230" s="275"/>
      <c r="BS230" s="275">
        <v>0.97</v>
      </c>
      <c r="BT230" s="273">
        <v>0.2</v>
      </c>
      <c r="BU230" s="358" cm="1">
        <f t="array" aca="1" ref="BU230" ca="1">INDIRECT("'"&amp;$C230&amp;"'!"&amp;"$"&amp;$D230&amp;74&amp;"")</f>
        <v>0</v>
      </c>
      <c r="BV230" s="275"/>
      <c r="BW230" s="275" t="s">
        <v>1</v>
      </c>
      <c r="BX230" s="273" t="s">
        <v>1</v>
      </c>
    </row>
    <row r="231" spans="1:76">
      <c r="A231" s="459">
        <v>45848</v>
      </c>
      <c r="B231" s="345">
        <v>4.1666666666666699E-2</v>
      </c>
      <c r="C231" s="305">
        <v>10</v>
      </c>
      <c r="D231" s="306" t="s">
        <v>143</v>
      </c>
      <c r="E231" s="278">
        <v>14.1</v>
      </c>
      <c r="F231" s="279">
        <v>69.73</v>
      </c>
      <c r="G231" s="280" t="str" cm="1">
        <f t="array" aca="1" ref="G231" ca="1">INDIRECT("'"&amp;$C231&amp;"'!"&amp;"$"&amp;$D231&amp;$E$1&amp;"")</f>
        <v>CMS</v>
      </c>
      <c r="H231" s="281" t="s">
        <v>1</v>
      </c>
      <c r="I231" s="279" t="s">
        <v>1</v>
      </c>
      <c r="J231" s="280" cm="1">
        <f t="array" aca="1" ref="J231" ca="1">INDIRECT("'"&amp;$C231&amp;"'!"&amp;"$"&amp;$D231&amp;$J$1&amp;"")</f>
        <v>6.9</v>
      </c>
      <c r="K231" s="281"/>
      <c r="L231" s="281">
        <v>0.99</v>
      </c>
      <c r="M231" s="282">
        <v>0.92</v>
      </c>
      <c r="N231" s="278" cm="1">
        <f t="array" aca="1" ref="N231" ca="1">INDIRECT("'"&amp;$C231&amp;"'!"&amp;"$"&amp;$D231&amp;$N$1&amp;"")</f>
        <v>0</v>
      </c>
      <c r="O231" s="281"/>
      <c r="P231" s="281" t="s">
        <v>1</v>
      </c>
      <c r="Q231" s="279" t="s">
        <v>1</v>
      </c>
      <c r="R231" s="468" cm="1">
        <f t="array" aca="1" ref="R231" ca="1">INDIRECT("'"&amp;$C231&amp;"'!"&amp;"$"&amp;$D231&amp;$R$1&amp;"")</f>
        <v>6.6</v>
      </c>
      <c r="S231" s="281"/>
      <c r="T231" s="281">
        <v>0.95</v>
      </c>
      <c r="U231" s="279">
        <v>2.1</v>
      </c>
      <c r="V231" s="280" t="str" cm="1">
        <f t="array" aca="1" ref="V231" ca="1">INDIRECT("'"&amp;$C231&amp;"'!"&amp;"$"&amp;$D231&amp;$V$1&amp;"")</f>
        <v>CMS</v>
      </c>
      <c r="W231" s="281" t="s">
        <v>1</v>
      </c>
      <c r="X231" s="281" t="s">
        <v>1</v>
      </c>
      <c r="Y231" s="282" t="s">
        <v>1</v>
      </c>
      <c r="Z231" s="278" cm="1">
        <f t="array" aca="1" ref="Z231" ca="1">INDIRECT("'"&amp;$C231&amp;"'!"&amp;"$"&amp;$D231&amp;$Z$1&amp;"")</f>
        <v>0</v>
      </c>
      <c r="AA231" s="281" t="s">
        <v>1</v>
      </c>
      <c r="AB231" s="281" t="s">
        <v>1</v>
      </c>
      <c r="AC231" s="279" t="s">
        <v>1</v>
      </c>
      <c r="AD231" s="280" cm="1">
        <f t="array" aca="1" ref="AD231" ca="1">INDIRECT("'"&amp;$C231&amp;"'!"&amp;"$"&amp;$D231&amp;$AD$1&amp;"")</f>
        <v>0</v>
      </c>
      <c r="AE231" s="281" t="s">
        <v>1</v>
      </c>
      <c r="AF231" s="281" t="s">
        <v>1</v>
      </c>
      <c r="AG231" s="282" t="s">
        <v>1</v>
      </c>
      <c r="AH231" s="278" cm="1">
        <f t="array" aca="1" ref="AH231" ca="1">INDIRECT("'"&amp;$C231&amp;"'!"&amp;"$"&amp;$D231&amp;$AH$1&amp;"")</f>
        <v>0</v>
      </c>
      <c r="AI231" s="281" t="s">
        <v>1</v>
      </c>
      <c r="AJ231" s="281" t="s">
        <v>1</v>
      </c>
      <c r="AK231" s="279" t="s">
        <v>1</v>
      </c>
      <c r="AL231" s="278">
        <v>11.6</v>
      </c>
      <c r="AM231" s="282">
        <v>70.900000000000006</v>
      </c>
      <c r="AN231" s="278" cm="1">
        <f t="array" aca="1" ref="AN231" ca="1">INDIRECT("'"&amp;$C231&amp;"'!"&amp;"$"&amp;$D231&amp;$AL$1&amp;"")</f>
        <v>0</v>
      </c>
      <c r="AO231" s="281" t="s">
        <v>1</v>
      </c>
      <c r="AP231" s="282" t="s">
        <v>1</v>
      </c>
      <c r="AQ231" s="278" cm="1">
        <f t="array" aca="1" ref="AQ231" ca="1">INDIRECT("'"&amp;$C231&amp;"'!"&amp;"$"&amp;$D231&amp;$AQ$1&amp;"")</f>
        <v>3.8</v>
      </c>
      <c r="AR231" s="281">
        <v>0.99</v>
      </c>
      <c r="AS231" s="279">
        <v>0.3</v>
      </c>
      <c r="AT231" s="278">
        <v>13.9</v>
      </c>
      <c r="AU231" s="282">
        <v>70.8</v>
      </c>
      <c r="AV231" s="281" cm="1">
        <f t="array" aca="1" ref="AV231" ca="1">INDIRECT("'"&amp;$C231&amp;"'!"&amp;"$"&amp;$D231&amp;$AV$1&amp;"")</f>
        <v>0</v>
      </c>
      <c r="AW231" s="280" t="s">
        <v>1</v>
      </c>
      <c r="AX231" s="281" t="s">
        <v>1</v>
      </c>
      <c r="AY231" s="279" t="s">
        <v>1</v>
      </c>
      <c r="AZ231" s="281" cm="1">
        <f t="array" aca="1" ref="AZ231" ca="1">INDIRECT("'"&amp;$C231&amp;"'!"&amp;"$"&amp;$D231&amp;$AZ$1&amp;"")</f>
        <v>7</v>
      </c>
      <c r="BA231" s="280" t="s">
        <v>1</v>
      </c>
      <c r="BB231" s="281">
        <v>0.94</v>
      </c>
      <c r="BC231" s="279">
        <v>1.9</v>
      </c>
      <c r="BD231" s="283">
        <v>14.17</v>
      </c>
      <c r="BE231" s="282">
        <v>71.73</v>
      </c>
      <c r="BF231" s="283" cm="1">
        <f t="array" aca="1" ref="BF231" ca="1">INDIRECT("'"&amp;$C231&amp;"'!"&amp;"$"&amp;$D231&amp;$BF$1&amp;"")</f>
        <v>14.31</v>
      </c>
      <c r="BG231" s="281">
        <v>0.99</v>
      </c>
      <c r="BH231" s="279">
        <v>2.2999999999999998</v>
      </c>
      <c r="BI231" s="524">
        <v>68.900000000000006</v>
      </c>
      <c r="BJ231" s="278" cm="1">
        <f t="array" aca="1" ref="BJ231" ca="1">INDIRECT("'"&amp;$C231&amp;"'!"&amp;"$"&amp;$D231&amp;$BI$1&amp;"")</f>
        <v>0</v>
      </c>
      <c r="BK231" s="280" t="s">
        <v>1</v>
      </c>
      <c r="BL231" s="279" t="s">
        <v>1</v>
      </c>
      <c r="BM231" s="283" cm="1">
        <f t="array" aca="1" ref="BM231" ca="1">INDIRECT("'"&amp;$C231&amp;"'!"&amp;"$"&amp;$D231&amp;$BM$1&amp;"")</f>
        <v>0.9</v>
      </c>
      <c r="BN231" s="281"/>
      <c r="BO231" s="281">
        <v>0.99</v>
      </c>
      <c r="BP231" s="279">
        <v>0.11</v>
      </c>
      <c r="BQ231" s="283" cm="1">
        <f t="array" aca="1" ref="BQ231" ca="1">INDIRECT("'"&amp;$C231&amp;"'!"&amp;"$"&amp;$D231&amp;$BQ$1&amp;"")</f>
        <v>0.73</v>
      </c>
      <c r="BR231" s="281"/>
      <c r="BS231" s="281">
        <v>0.97</v>
      </c>
      <c r="BT231" s="279">
        <v>0.19</v>
      </c>
      <c r="BU231" s="284" cm="1">
        <f t="array" aca="1" ref="BU231" ca="1">INDIRECT("'"&amp;$C231&amp;"'!"&amp;"$"&amp;$D231&amp;74&amp;"")</f>
        <v>0</v>
      </c>
      <c r="BV231" s="281"/>
      <c r="BW231" s="281" t="s">
        <v>1</v>
      </c>
      <c r="BX231" s="279" t="s">
        <v>1</v>
      </c>
    </row>
    <row r="232" spans="1:76">
      <c r="A232" s="459">
        <v>45848</v>
      </c>
      <c r="B232" s="345">
        <v>8.3333333333333301E-2</v>
      </c>
      <c r="C232" s="305">
        <v>10</v>
      </c>
      <c r="D232" s="306" t="s">
        <v>144</v>
      </c>
      <c r="E232" s="285">
        <v>14.1</v>
      </c>
      <c r="F232" s="286">
        <v>69.680000000000007</v>
      </c>
      <c r="G232" s="287" t="str" cm="1">
        <f t="array" aca="1" ref="G232" ca="1">INDIRECT("'"&amp;$C232&amp;"'!"&amp;"$"&amp;$D232&amp;$E$1&amp;"")</f>
        <v>CMS</v>
      </c>
      <c r="H232" s="288" t="s">
        <v>1</v>
      </c>
      <c r="I232" s="286" t="s">
        <v>1</v>
      </c>
      <c r="J232" s="287" cm="1">
        <f t="array" aca="1" ref="J232" ca="1">INDIRECT("'"&amp;$C232&amp;"'!"&amp;"$"&amp;$D232&amp;$J$1&amp;"")</f>
        <v>6.6</v>
      </c>
      <c r="K232" s="288"/>
      <c r="L232" s="288">
        <v>0.99</v>
      </c>
      <c r="M232" s="289">
        <v>0.87</v>
      </c>
      <c r="N232" s="285" cm="1">
        <f t="array" aca="1" ref="N232" ca="1">INDIRECT("'"&amp;$C232&amp;"'!"&amp;"$"&amp;$D232&amp;$N$1&amp;"")</f>
        <v>0</v>
      </c>
      <c r="O232" s="288"/>
      <c r="P232" s="288" t="s">
        <v>1</v>
      </c>
      <c r="Q232" s="286" t="s">
        <v>1</v>
      </c>
      <c r="R232" s="285" cm="1">
        <f t="array" aca="1" ref="R232" ca="1">INDIRECT("'"&amp;$C232&amp;"'!"&amp;"$"&amp;$D232&amp;$R$1&amp;"")</f>
        <v>6.5</v>
      </c>
      <c r="S232" s="288"/>
      <c r="T232" s="288">
        <v>0.97</v>
      </c>
      <c r="U232" s="286">
        <v>1.59</v>
      </c>
      <c r="V232" s="287" t="str" cm="1">
        <f t="array" aca="1" ref="V232" ca="1">INDIRECT("'"&amp;$C232&amp;"'!"&amp;"$"&amp;$D232&amp;$V$1&amp;"")</f>
        <v>CMS</v>
      </c>
      <c r="W232" s="288" t="s">
        <v>1</v>
      </c>
      <c r="X232" s="288" t="s">
        <v>1</v>
      </c>
      <c r="Y232" s="289" t="s">
        <v>1</v>
      </c>
      <c r="Z232" s="533" cm="1">
        <f t="array" aca="1" ref="Z232" ca="1">INDIRECT("'"&amp;$C232&amp;"'!"&amp;"$"&amp;$D232&amp;$Z$1&amp;"")</f>
        <v>0</v>
      </c>
      <c r="AA232" s="288" t="s">
        <v>1</v>
      </c>
      <c r="AB232" s="288" t="s">
        <v>1</v>
      </c>
      <c r="AC232" s="286" t="s">
        <v>1</v>
      </c>
      <c r="AD232" s="287" cm="1">
        <f t="array" aca="1" ref="AD232" ca="1">INDIRECT("'"&amp;$C232&amp;"'!"&amp;"$"&amp;$D232&amp;$AD$1&amp;"")</f>
        <v>0</v>
      </c>
      <c r="AE232" s="288" t="s">
        <v>1</v>
      </c>
      <c r="AF232" s="288" t="s">
        <v>1</v>
      </c>
      <c r="AG232" s="289" t="s">
        <v>1</v>
      </c>
      <c r="AH232" s="285" cm="1">
        <f t="array" aca="1" ref="AH232" ca="1">INDIRECT("'"&amp;$C232&amp;"'!"&amp;"$"&amp;$D232&amp;$AH$1&amp;"")</f>
        <v>0</v>
      </c>
      <c r="AI232" s="288" t="s">
        <v>1</v>
      </c>
      <c r="AJ232" s="288" t="s">
        <v>1</v>
      </c>
      <c r="AK232" s="289" t="s">
        <v>1</v>
      </c>
      <c r="AL232" s="285">
        <v>11.6</v>
      </c>
      <c r="AM232" s="289">
        <v>71</v>
      </c>
      <c r="AN232" s="285" cm="1">
        <f t="array" aca="1" ref="AN232" ca="1">INDIRECT("'"&amp;$C232&amp;"'!"&amp;"$"&amp;$D232&amp;$AL$1&amp;"")</f>
        <v>0</v>
      </c>
      <c r="AO232" s="288" t="s">
        <v>1</v>
      </c>
      <c r="AP232" s="289" t="s">
        <v>1</v>
      </c>
      <c r="AQ232" s="285" cm="1">
        <f t="array" aca="1" ref="AQ232" ca="1">INDIRECT("'"&amp;$C232&amp;"'!"&amp;"$"&amp;$D232&amp;$AQ$1&amp;"")</f>
        <v>2.8</v>
      </c>
      <c r="AR232" s="288">
        <v>0.99</v>
      </c>
      <c r="AS232" s="286">
        <v>0.25</v>
      </c>
      <c r="AT232" s="285">
        <v>13.9</v>
      </c>
      <c r="AU232" s="289">
        <v>70.8</v>
      </c>
      <c r="AV232" s="288" cm="1">
        <f t="array" aca="1" ref="AV232" ca="1">INDIRECT("'"&amp;$C232&amp;"'!"&amp;"$"&amp;$D232&amp;$AV$1&amp;"")</f>
        <v>0</v>
      </c>
      <c r="AW232" s="287" t="s">
        <v>1</v>
      </c>
      <c r="AX232" s="288" t="s">
        <v>1</v>
      </c>
      <c r="AY232" s="286" t="s">
        <v>1</v>
      </c>
      <c r="AZ232" s="288" cm="1">
        <f t="array" aca="1" ref="AZ232" ca="1">INDIRECT("'"&amp;$C232&amp;"'!"&amp;"$"&amp;$D232&amp;$AZ$1&amp;"")</f>
        <v>7</v>
      </c>
      <c r="BA232" s="287" t="s">
        <v>1</v>
      </c>
      <c r="BB232" s="288">
        <v>0.94</v>
      </c>
      <c r="BC232" s="286">
        <v>1.9</v>
      </c>
      <c r="BD232" s="290">
        <v>14.2</v>
      </c>
      <c r="BE232" s="289">
        <v>71.849999999999994</v>
      </c>
      <c r="BF232" s="290" cm="1">
        <f t="array" aca="1" ref="BF232" ca="1">INDIRECT("'"&amp;$C232&amp;"'!"&amp;"$"&amp;$D232&amp;$BF$1&amp;"")</f>
        <v>14.28</v>
      </c>
      <c r="BG232" s="288">
        <v>0.99</v>
      </c>
      <c r="BH232" s="286">
        <v>2.4</v>
      </c>
      <c r="BI232" s="525">
        <v>69</v>
      </c>
      <c r="BJ232" s="285" cm="1">
        <f t="array" aca="1" ref="BJ232" ca="1">INDIRECT("'"&amp;$C232&amp;"'!"&amp;"$"&amp;$D232&amp;$BI$1&amp;"")</f>
        <v>0</v>
      </c>
      <c r="BK232" s="287" t="s">
        <v>1</v>
      </c>
      <c r="BL232" s="286" t="s">
        <v>1</v>
      </c>
      <c r="BM232" s="290" cm="1">
        <f t="array" aca="1" ref="BM232" ca="1">INDIRECT("'"&amp;$C232&amp;"'!"&amp;"$"&amp;$D232&amp;$BM$1&amp;"")</f>
        <v>0.87</v>
      </c>
      <c r="BN232" s="288"/>
      <c r="BO232" s="288">
        <v>0.99</v>
      </c>
      <c r="BP232" s="286">
        <v>0.1</v>
      </c>
      <c r="BQ232" s="290" cm="1">
        <f t="array" aca="1" ref="BQ232" ca="1">INDIRECT("'"&amp;$C232&amp;"'!"&amp;"$"&amp;$D232&amp;$BQ$1&amp;"")</f>
        <v>0.72</v>
      </c>
      <c r="BR232" s="288"/>
      <c r="BS232" s="288">
        <v>0.97</v>
      </c>
      <c r="BT232" s="286">
        <v>0.19</v>
      </c>
      <c r="BU232" s="291" cm="1">
        <f t="array" aca="1" ref="BU232" ca="1">INDIRECT("'"&amp;$C232&amp;"'!"&amp;"$"&amp;$D232&amp;74&amp;"")</f>
        <v>0</v>
      </c>
      <c r="BV232" s="288"/>
      <c r="BW232" s="288" t="s">
        <v>1</v>
      </c>
      <c r="BX232" s="286" t="s">
        <v>1</v>
      </c>
    </row>
    <row r="233" spans="1:76">
      <c r="A233" s="459">
        <v>45848</v>
      </c>
      <c r="B233" s="345">
        <v>0.125</v>
      </c>
      <c r="C233" s="305">
        <v>10</v>
      </c>
      <c r="D233" s="306" t="s">
        <v>145</v>
      </c>
      <c r="E233" s="278">
        <v>141</v>
      </c>
      <c r="F233" s="279">
        <v>69.930000000000007</v>
      </c>
      <c r="G233" s="280" t="str" cm="1">
        <f t="array" aca="1" ref="G233" ca="1">INDIRECT("'"&amp;$C233&amp;"'!"&amp;"$"&amp;$D233&amp;$E$1&amp;"")</f>
        <v>CMS</v>
      </c>
      <c r="H233" s="281" t="s">
        <v>1</v>
      </c>
      <c r="I233" s="279" t="s">
        <v>1</v>
      </c>
      <c r="J233" s="280" cm="1">
        <f t="array" aca="1" ref="J233" ca="1">INDIRECT("'"&amp;$C233&amp;"'!"&amp;"$"&amp;$D233&amp;$J$1&amp;"")</f>
        <v>6.5</v>
      </c>
      <c r="K233" s="281"/>
      <c r="L233" s="281">
        <v>0.99</v>
      </c>
      <c r="M233" s="282">
        <v>0.87</v>
      </c>
      <c r="N233" s="278" cm="1">
        <f t="array" aca="1" ref="N233" ca="1">INDIRECT("'"&amp;$C233&amp;"'!"&amp;"$"&amp;$D233&amp;$N$1&amp;"")</f>
        <v>0</v>
      </c>
      <c r="O233" s="281"/>
      <c r="P233" s="281" t="s">
        <v>1</v>
      </c>
      <c r="Q233" s="279" t="s">
        <v>1</v>
      </c>
      <c r="R233" s="468" cm="1">
        <f t="array" aca="1" ref="R233" ca="1">INDIRECT("'"&amp;$C233&amp;"'!"&amp;"$"&amp;$D233&amp;$R$1&amp;"")</f>
        <v>6.6</v>
      </c>
      <c r="S233" s="281"/>
      <c r="T233" s="281">
        <v>0.98</v>
      </c>
      <c r="U233" s="279">
        <v>1.44</v>
      </c>
      <c r="V233" s="280" t="str" cm="1">
        <f t="array" aca="1" ref="V233" ca="1">INDIRECT("'"&amp;$C233&amp;"'!"&amp;"$"&amp;$D233&amp;$V$1&amp;"")</f>
        <v>CMS</v>
      </c>
      <c r="W233" s="281" t="s">
        <v>1</v>
      </c>
      <c r="X233" s="281" t="s">
        <v>1</v>
      </c>
      <c r="Y233" s="282" t="s">
        <v>1</v>
      </c>
      <c r="Z233" s="278" cm="1">
        <f t="array" aca="1" ref="Z233" ca="1">INDIRECT("'"&amp;$C233&amp;"'!"&amp;"$"&amp;$D233&amp;$Z$1&amp;"")</f>
        <v>0</v>
      </c>
      <c r="AA233" s="281" t="s">
        <v>1</v>
      </c>
      <c r="AB233" s="281" t="s">
        <v>1</v>
      </c>
      <c r="AC233" s="279" t="s">
        <v>1</v>
      </c>
      <c r="AD233" s="280" cm="1">
        <f t="array" aca="1" ref="AD233" ca="1">INDIRECT("'"&amp;$C233&amp;"'!"&amp;"$"&amp;$D233&amp;$AD$1&amp;"")</f>
        <v>0</v>
      </c>
      <c r="AE233" s="281" t="s">
        <v>1</v>
      </c>
      <c r="AF233" s="281" t="s">
        <v>1</v>
      </c>
      <c r="AG233" s="282" t="s">
        <v>1</v>
      </c>
      <c r="AH233" s="278" cm="1">
        <f t="array" aca="1" ref="AH233" ca="1">INDIRECT("'"&amp;$C233&amp;"'!"&amp;"$"&amp;$D233&amp;$AH$1&amp;"")</f>
        <v>0</v>
      </c>
      <c r="AI233" s="281" t="s">
        <v>1</v>
      </c>
      <c r="AJ233" s="281" t="s">
        <v>1</v>
      </c>
      <c r="AK233" s="281" t="s">
        <v>1</v>
      </c>
      <c r="AL233" s="278">
        <v>11.6</v>
      </c>
      <c r="AM233" s="282">
        <v>71.099999999999994</v>
      </c>
      <c r="AN233" s="278" cm="1">
        <f t="array" aca="1" ref="AN233" ca="1">INDIRECT("'"&amp;$C233&amp;"'!"&amp;"$"&amp;$D233&amp;$AL$1&amp;"")</f>
        <v>0</v>
      </c>
      <c r="AO233" s="281" t="s">
        <v>1</v>
      </c>
      <c r="AP233" s="282" t="s">
        <v>1</v>
      </c>
      <c r="AQ233" s="278" cm="1">
        <f t="array" aca="1" ref="AQ233" ca="1">INDIRECT("'"&amp;$C233&amp;"'!"&amp;"$"&amp;$D233&amp;$AQ$1&amp;"")</f>
        <v>2</v>
      </c>
      <c r="AR233" s="281">
        <v>0.99</v>
      </c>
      <c r="AS233" s="279">
        <v>0.15</v>
      </c>
      <c r="AT233" s="278">
        <v>13.9</v>
      </c>
      <c r="AU233" s="282">
        <v>70.8</v>
      </c>
      <c r="AV233" s="281" cm="1">
        <f t="array" aca="1" ref="AV233" ca="1">INDIRECT("'"&amp;$C233&amp;"'!"&amp;"$"&amp;$D233&amp;$AV$1&amp;"")</f>
        <v>0</v>
      </c>
      <c r="AW233" s="280" t="s">
        <v>1</v>
      </c>
      <c r="AX233" s="281" t="s">
        <v>1</v>
      </c>
      <c r="AY233" s="279" t="s">
        <v>1</v>
      </c>
      <c r="AZ233" s="281" cm="1">
        <f t="array" aca="1" ref="AZ233" ca="1">INDIRECT("'"&amp;$C233&amp;"'!"&amp;"$"&amp;$D233&amp;$AZ$1&amp;"")</f>
        <v>7</v>
      </c>
      <c r="BA233" s="280" t="s">
        <v>1</v>
      </c>
      <c r="BB233" s="281">
        <v>0.94</v>
      </c>
      <c r="BC233" s="279">
        <v>1.9</v>
      </c>
      <c r="BD233" s="283">
        <v>14.21</v>
      </c>
      <c r="BE233" s="282">
        <v>71.92</v>
      </c>
      <c r="BF233" s="283" cm="1">
        <f t="array" aca="1" ref="BF233" ca="1">INDIRECT("'"&amp;$C233&amp;"'!"&amp;"$"&amp;$D233&amp;$BF$1&amp;"")</f>
        <v>14.31</v>
      </c>
      <c r="BG233" s="281">
        <v>0.99</v>
      </c>
      <c r="BH233" s="279">
        <v>2.4</v>
      </c>
      <c r="BI233" s="524">
        <v>68.900000000000006</v>
      </c>
      <c r="BJ233" s="278" cm="1">
        <f t="array" aca="1" ref="BJ233" ca="1">INDIRECT("'"&amp;$C233&amp;"'!"&amp;"$"&amp;$D233&amp;$BI$1&amp;"")</f>
        <v>0</v>
      </c>
      <c r="BK233" s="280" t="s">
        <v>1</v>
      </c>
      <c r="BL233" s="279" t="s">
        <v>1</v>
      </c>
      <c r="BM233" s="283" cm="1">
        <f t="array" aca="1" ref="BM233" ca="1">INDIRECT("'"&amp;$C233&amp;"'!"&amp;"$"&amp;$D233&amp;$BM$1&amp;"")</f>
        <v>0.86</v>
      </c>
      <c r="BN233" s="281"/>
      <c r="BO233" s="281">
        <v>0.99</v>
      </c>
      <c r="BP233" s="279">
        <v>0.1</v>
      </c>
      <c r="BQ233" s="283" cm="1">
        <f t="array" aca="1" ref="BQ233" ca="1">INDIRECT("'"&amp;$C233&amp;"'!"&amp;"$"&amp;$D233&amp;$BQ$1&amp;"")</f>
        <v>0.7</v>
      </c>
      <c r="BR233" s="281"/>
      <c r="BS233" s="281">
        <v>0.97</v>
      </c>
      <c r="BT233" s="279">
        <v>0.18</v>
      </c>
      <c r="BU233" s="284" cm="1">
        <f t="array" aca="1" ref="BU233" ca="1">INDIRECT("'"&amp;$C233&amp;"'!"&amp;"$"&amp;$D233&amp;74&amp;"")</f>
        <v>0</v>
      </c>
      <c r="BV233" s="281"/>
      <c r="BW233" s="281" t="s">
        <v>1</v>
      </c>
      <c r="BX233" s="279" t="s">
        <v>1</v>
      </c>
    </row>
    <row r="234" spans="1:76">
      <c r="A234" s="459">
        <v>45848</v>
      </c>
      <c r="B234" s="345">
        <v>0.16666666666666699</v>
      </c>
      <c r="C234" s="305">
        <v>10</v>
      </c>
      <c r="D234" s="306" t="s">
        <v>146</v>
      </c>
      <c r="E234" s="285">
        <v>14.1</v>
      </c>
      <c r="F234" s="286">
        <v>69.89</v>
      </c>
      <c r="G234" s="287" t="str" cm="1">
        <f t="array" aca="1" ref="G234" ca="1">INDIRECT("'"&amp;$C234&amp;"'!"&amp;"$"&amp;$D234&amp;$E$1&amp;"")</f>
        <v>CMS</v>
      </c>
      <c r="H234" s="288" t="s">
        <v>1</v>
      </c>
      <c r="I234" s="286" t="s">
        <v>1</v>
      </c>
      <c r="J234" s="287" cm="1">
        <f t="array" aca="1" ref="J234" ca="1">INDIRECT("'"&amp;$C234&amp;"'!"&amp;"$"&amp;$D234&amp;$J$1&amp;"")</f>
        <v>6.6</v>
      </c>
      <c r="K234" s="288"/>
      <c r="L234" s="288">
        <v>0.99</v>
      </c>
      <c r="M234" s="286">
        <v>0.84</v>
      </c>
      <c r="N234" s="285" cm="1">
        <f t="array" aca="1" ref="N234" ca="1">INDIRECT("'"&amp;$C234&amp;"'!"&amp;"$"&amp;$D234&amp;$N$1&amp;"")</f>
        <v>0</v>
      </c>
      <c r="O234" s="288"/>
      <c r="P234" s="288" t="s">
        <v>1</v>
      </c>
      <c r="Q234" s="286" t="s">
        <v>1</v>
      </c>
      <c r="R234" s="285" cm="1">
        <f t="array" aca="1" ref="R234" ca="1">INDIRECT("'"&amp;$C234&amp;"'!"&amp;"$"&amp;$D234&amp;$R$1&amp;"")</f>
        <v>6.5</v>
      </c>
      <c r="S234" s="288"/>
      <c r="T234" s="288">
        <v>0.98</v>
      </c>
      <c r="U234" s="286">
        <v>1.41</v>
      </c>
      <c r="V234" s="287" t="str" cm="1">
        <f t="array" aca="1" ref="V234" ca="1">INDIRECT("'"&amp;$C234&amp;"'!"&amp;"$"&amp;$D234&amp;$V$1&amp;"")</f>
        <v>CMS</v>
      </c>
      <c r="W234" s="288" t="s">
        <v>1</v>
      </c>
      <c r="X234" s="288" t="s">
        <v>1</v>
      </c>
      <c r="Y234" s="286" t="s">
        <v>1</v>
      </c>
      <c r="Z234" s="285" cm="1">
        <f t="array" aca="1" ref="Z234" ca="1">INDIRECT("'"&amp;$C234&amp;"'!"&amp;"$"&amp;$D234&amp;$Z$1&amp;"")</f>
        <v>0</v>
      </c>
      <c r="AA234" s="288" t="s">
        <v>1</v>
      </c>
      <c r="AB234" s="288" t="s">
        <v>1</v>
      </c>
      <c r="AC234" s="286" t="s">
        <v>1</v>
      </c>
      <c r="AD234" s="287" cm="1">
        <f t="array" aca="1" ref="AD234" ca="1">INDIRECT("'"&amp;$C234&amp;"'!"&amp;"$"&amp;$D234&amp;$AD$1&amp;"")</f>
        <v>0</v>
      </c>
      <c r="AE234" s="288" t="s">
        <v>1</v>
      </c>
      <c r="AF234" s="288" t="s">
        <v>1</v>
      </c>
      <c r="AG234" s="286" t="s">
        <v>1</v>
      </c>
      <c r="AH234" s="285" cm="1">
        <f t="array" aca="1" ref="AH234" ca="1">INDIRECT("'"&amp;$C234&amp;"'!"&amp;"$"&amp;$D234&amp;$AH$1&amp;"")</f>
        <v>0</v>
      </c>
      <c r="AI234" s="288" t="s">
        <v>1</v>
      </c>
      <c r="AJ234" s="288" t="s">
        <v>1</v>
      </c>
      <c r="AK234" s="286" t="s">
        <v>1</v>
      </c>
      <c r="AL234" s="285">
        <v>11.6</v>
      </c>
      <c r="AM234" s="289">
        <v>71</v>
      </c>
      <c r="AN234" s="285" cm="1">
        <f t="array" aca="1" ref="AN234" ca="1">INDIRECT("'"&amp;$C234&amp;"'!"&amp;"$"&amp;$D234&amp;$AL$1&amp;"")</f>
        <v>0</v>
      </c>
      <c r="AO234" s="288" t="s">
        <v>1</v>
      </c>
      <c r="AP234" s="289" t="s">
        <v>1</v>
      </c>
      <c r="AQ234" s="285" cm="1">
        <f t="array" aca="1" ref="AQ234" ca="1">INDIRECT("'"&amp;$C234&amp;"'!"&amp;"$"&amp;$D234&amp;$AQ$1&amp;"")</f>
        <v>1.5</v>
      </c>
      <c r="AR234" s="288">
        <v>0.99</v>
      </c>
      <c r="AS234" s="286">
        <v>0.22</v>
      </c>
      <c r="AT234" s="285">
        <v>13.9</v>
      </c>
      <c r="AU234" s="289">
        <v>70.8</v>
      </c>
      <c r="AV234" s="288" cm="1">
        <f t="array" aca="1" ref="AV234" ca="1">INDIRECT("'"&amp;$C234&amp;"'!"&amp;"$"&amp;$D234&amp;$AV$1&amp;"")</f>
        <v>0</v>
      </c>
      <c r="AW234" s="287" t="s">
        <v>1</v>
      </c>
      <c r="AX234" s="288" t="s">
        <v>1</v>
      </c>
      <c r="AY234" s="286" t="s">
        <v>1</v>
      </c>
      <c r="AZ234" s="288" cm="1">
        <f t="array" aca="1" ref="AZ234" ca="1">INDIRECT("'"&amp;$C234&amp;"'!"&amp;"$"&amp;$D234&amp;$AZ$1&amp;"")</f>
        <v>7</v>
      </c>
      <c r="BA234" s="287" t="s">
        <v>1</v>
      </c>
      <c r="BB234" s="288">
        <v>0.94</v>
      </c>
      <c r="BC234" s="286">
        <v>1.9</v>
      </c>
      <c r="BD234" s="290">
        <v>14.21</v>
      </c>
      <c r="BE234" s="289">
        <v>71.92</v>
      </c>
      <c r="BF234" s="290" cm="1">
        <f t="array" aca="1" ref="BF234" ca="1">INDIRECT("'"&amp;$C234&amp;"'!"&amp;"$"&amp;$D234&amp;$BF$1&amp;"")</f>
        <v>14.29</v>
      </c>
      <c r="BG234" s="288">
        <v>0.99</v>
      </c>
      <c r="BH234" s="286">
        <v>2.4</v>
      </c>
      <c r="BI234" s="525">
        <v>68.900000000000006</v>
      </c>
      <c r="BJ234" s="285" cm="1">
        <f t="array" aca="1" ref="BJ234" ca="1">INDIRECT("'"&amp;$C234&amp;"'!"&amp;"$"&amp;$D234&amp;$BI$1&amp;"")</f>
        <v>0</v>
      </c>
      <c r="BK234" s="287" t="s">
        <v>1</v>
      </c>
      <c r="BL234" s="286" t="s">
        <v>1</v>
      </c>
      <c r="BM234" s="290" cm="1">
        <f t="array" aca="1" ref="BM234" ca="1">INDIRECT("'"&amp;$C234&amp;"'!"&amp;"$"&amp;$D234&amp;$BM$1&amp;"")</f>
        <v>0.85</v>
      </c>
      <c r="BN234" s="288"/>
      <c r="BO234" s="288">
        <v>0.99</v>
      </c>
      <c r="BP234" s="286">
        <v>0.1</v>
      </c>
      <c r="BQ234" s="290" cm="1">
        <f t="array" aca="1" ref="BQ234" ca="1">INDIRECT("'"&amp;$C234&amp;"'!"&amp;"$"&amp;$D234&amp;$BQ$1&amp;"")</f>
        <v>0.68</v>
      </c>
      <c r="BR234" s="288"/>
      <c r="BS234" s="288">
        <v>0.97</v>
      </c>
      <c r="BT234" s="286">
        <v>0.18</v>
      </c>
      <c r="BU234" s="291" cm="1">
        <f t="array" aca="1" ref="BU234" ca="1">INDIRECT("'"&amp;$C234&amp;"'!"&amp;"$"&amp;$D234&amp;74&amp;"")</f>
        <v>0</v>
      </c>
      <c r="BV234" s="288"/>
      <c r="BW234" s="288" t="s">
        <v>1</v>
      </c>
      <c r="BX234" s="286" t="s">
        <v>1</v>
      </c>
    </row>
    <row r="235" spans="1:76">
      <c r="A235" s="459">
        <v>45848</v>
      </c>
      <c r="B235" s="345">
        <v>0.20833333333333301</v>
      </c>
      <c r="C235" s="305">
        <v>10</v>
      </c>
      <c r="D235" s="306" t="s">
        <v>147</v>
      </c>
      <c r="E235" s="278">
        <v>14</v>
      </c>
      <c r="F235" s="279">
        <v>69.430000000000007</v>
      </c>
      <c r="G235" s="280" t="str" cm="1">
        <f t="array" aca="1" ref="G235" ca="1">INDIRECT("'"&amp;$C235&amp;"'!"&amp;"$"&amp;$D235&amp;$E$1&amp;"")</f>
        <v>CMS</v>
      </c>
      <c r="H235" s="281" t="s">
        <v>1</v>
      </c>
      <c r="I235" s="279" t="s">
        <v>1</v>
      </c>
      <c r="J235" s="280" cm="1">
        <f t="array" aca="1" ref="J235" ca="1">INDIRECT("'"&amp;$C235&amp;"'!"&amp;"$"&amp;$D235&amp;$J$1&amp;"")</f>
        <v>6.7</v>
      </c>
      <c r="K235" s="281"/>
      <c r="L235" s="281">
        <v>0.99</v>
      </c>
      <c r="M235" s="279">
        <v>0.92</v>
      </c>
      <c r="N235" s="278" cm="1">
        <f t="array" aca="1" ref="N235" ca="1">INDIRECT("'"&amp;$C235&amp;"'!"&amp;"$"&amp;$D235&amp;$N$1&amp;"")</f>
        <v>0</v>
      </c>
      <c r="O235" s="281"/>
      <c r="P235" s="281" t="s">
        <v>1</v>
      </c>
      <c r="Q235" s="279" t="s">
        <v>1</v>
      </c>
      <c r="R235" s="468" cm="1">
        <f t="array" aca="1" ref="R235" ca="1">INDIRECT("'"&amp;$C235&amp;"'!"&amp;"$"&amp;$D235&amp;$R$1&amp;"")</f>
        <v>6.6</v>
      </c>
      <c r="S235" s="281"/>
      <c r="T235" s="281">
        <v>0.95</v>
      </c>
      <c r="U235" s="279">
        <v>2.11</v>
      </c>
      <c r="V235" s="280" t="str" cm="1">
        <f t="array" aca="1" ref="V235" ca="1">INDIRECT("'"&amp;$C235&amp;"'!"&amp;"$"&amp;$D235&amp;$V$1&amp;"")</f>
        <v>CMS</v>
      </c>
      <c r="W235" s="281" t="s">
        <v>1</v>
      </c>
      <c r="X235" s="281" t="s">
        <v>1</v>
      </c>
      <c r="Y235" s="279" t="s">
        <v>1</v>
      </c>
      <c r="Z235" s="278" cm="1">
        <f t="array" aca="1" ref="Z235" ca="1">INDIRECT("'"&amp;$C235&amp;"'!"&amp;"$"&amp;$D235&amp;$Z$1&amp;"")</f>
        <v>0</v>
      </c>
      <c r="AA235" s="281" t="s">
        <v>1</v>
      </c>
      <c r="AB235" s="281" t="s">
        <v>1</v>
      </c>
      <c r="AC235" s="279" t="s">
        <v>1</v>
      </c>
      <c r="AD235" s="280" cm="1">
        <f t="array" aca="1" ref="AD235" ca="1">INDIRECT("'"&amp;$C235&amp;"'!"&amp;"$"&amp;$D235&amp;$AD$1&amp;"")</f>
        <v>0</v>
      </c>
      <c r="AE235" s="281" t="s">
        <v>1</v>
      </c>
      <c r="AF235" s="281" t="s">
        <v>1</v>
      </c>
      <c r="AG235" s="279" t="s">
        <v>1</v>
      </c>
      <c r="AH235" s="278" cm="1">
        <f t="array" aca="1" ref="AH235" ca="1">INDIRECT("'"&amp;$C235&amp;"'!"&amp;"$"&amp;$D235&amp;$AH$1&amp;"")</f>
        <v>0</v>
      </c>
      <c r="AI235" s="281" t="s">
        <v>1</v>
      </c>
      <c r="AJ235" s="281" t="s">
        <v>1</v>
      </c>
      <c r="AK235" s="279" t="s">
        <v>1</v>
      </c>
      <c r="AL235" s="278">
        <v>11.6</v>
      </c>
      <c r="AM235" s="282">
        <v>70.8</v>
      </c>
      <c r="AN235" s="278" cm="1">
        <f t="array" aca="1" ref="AN235" ca="1">INDIRECT("'"&amp;$C235&amp;"'!"&amp;"$"&amp;$D235&amp;$AL$1&amp;"")</f>
        <v>0</v>
      </c>
      <c r="AO235" s="281" t="s">
        <v>1</v>
      </c>
      <c r="AP235" s="282" t="s">
        <v>1</v>
      </c>
      <c r="AQ235" s="278" cm="1">
        <f t="array" aca="1" ref="AQ235" ca="1">INDIRECT("'"&amp;$C235&amp;"'!"&amp;"$"&amp;$D235&amp;$AQ$1&amp;"")</f>
        <v>3.8</v>
      </c>
      <c r="AR235" s="281">
        <v>0.99</v>
      </c>
      <c r="AS235" s="279">
        <v>0.35</v>
      </c>
      <c r="AT235" s="278">
        <v>13.9</v>
      </c>
      <c r="AU235" s="282">
        <v>70.8</v>
      </c>
      <c r="AV235" s="281" cm="1">
        <f t="array" aca="1" ref="AV235" ca="1">INDIRECT("'"&amp;$C235&amp;"'!"&amp;"$"&amp;$D235&amp;$AV$1&amp;"")</f>
        <v>0</v>
      </c>
      <c r="AW235" s="280" t="s">
        <v>1</v>
      </c>
      <c r="AX235" s="281" t="s">
        <v>1</v>
      </c>
      <c r="AY235" s="279" t="s">
        <v>1</v>
      </c>
      <c r="AZ235" s="281" cm="1">
        <f t="array" aca="1" ref="AZ235" ca="1">INDIRECT("'"&amp;$C235&amp;"'!"&amp;"$"&amp;$D235&amp;$AZ$1&amp;"")</f>
        <v>7</v>
      </c>
      <c r="BA235" s="280" t="s">
        <v>1</v>
      </c>
      <c r="BB235" s="281">
        <v>0.94</v>
      </c>
      <c r="BC235" s="279">
        <v>1.9</v>
      </c>
      <c r="BD235" s="283">
        <v>14.15</v>
      </c>
      <c r="BE235" s="282">
        <v>71.790000000000006</v>
      </c>
      <c r="BF235" s="283" cm="1">
        <f t="array" aca="1" ref="BF235" ca="1">INDIRECT("'"&amp;$C235&amp;"'!"&amp;"$"&amp;$D235&amp;$BF$1&amp;"")</f>
        <v>14.29</v>
      </c>
      <c r="BG235" s="281">
        <v>0.99</v>
      </c>
      <c r="BH235" s="279">
        <v>2.4</v>
      </c>
      <c r="BI235" s="524">
        <v>68.599999999999994</v>
      </c>
      <c r="BJ235" s="278" cm="1">
        <f t="array" aca="1" ref="BJ235" ca="1">INDIRECT("'"&amp;$C235&amp;"'!"&amp;"$"&amp;$D235&amp;$BI$1&amp;"")</f>
        <v>0</v>
      </c>
      <c r="BK235" s="280" t="s">
        <v>1</v>
      </c>
      <c r="BL235" s="279" t="s">
        <v>1</v>
      </c>
      <c r="BM235" s="283" cm="1">
        <f t="array" aca="1" ref="BM235" ca="1">INDIRECT("'"&amp;$C235&amp;"'!"&amp;"$"&amp;$D235&amp;$BM$1&amp;"")</f>
        <v>0.86</v>
      </c>
      <c r="BN235" s="281"/>
      <c r="BO235" s="281">
        <v>0.99</v>
      </c>
      <c r="BP235" s="279">
        <v>0.1</v>
      </c>
      <c r="BQ235" s="283" cm="1">
        <f t="array" aca="1" ref="BQ235" ca="1">INDIRECT("'"&amp;$C235&amp;"'!"&amp;"$"&amp;$D235&amp;$BQ$1&amp;"")</f>
        <v>0.73</v>
      </c>
      <c r="BR235" s="281"/>
      <c r="BS235" s="281">
        <v>0.97</v>
      </c>
      <c r="BT235" s="279">
        <v>0.18</v>
      </c>
      <c r="BU235" s="284" cm="1">
        <f t="array" aca="1" ref="BU235" ca="1">INDIRECT("'"&amp;$C235&amp;"'!"&amp;"$"&amp;$D235&amp;74&amp;"")</f>
        <v>0</v>
      </c>
      <c r="BV235" s="281"/>
      <c r="BW235" s="281" t="s">
        <v>1</v>
      </c>
      <c r="BX235" s="279" t="s">
        <v>1</v>
      </c>
    </row>
    <row r="236" spans="1:76">
      <c r="A236" s="459">
        <v>45848</v>
      </c>
      <c r="B236" s="345">
        <v>0.25</v>
      </c>
      <c r="C236" s="305">
        <v>10</v>
      </c>
      <c r="D236" s="306" t="s">
        <v>148</v>
      </c>
      <c r="E236" s="285">
        <v>14.1</v>
      </c>
      <c r="F236" s="286">
        <v>69.650000000000006</v>
      </c>
      <c r="G236" s="287" t="str" cm="1">
        <f t="array" aca="1" ref="G236" ca="1">INDIRECT("'"&amp;$C236&amp;"'!"&amp;"$"&amp;$D236&amp;$E$1&amp;"")</f>
        <v>CMS</v>
      </c>
      <c r="H236" s="288" t="s">
        <v>1</v>
      </c>
      <c r="I236" s="286" t="s">
        <v>1</v>
      </c>
      <c r="J236" s="287" cm="1">
        <f t="array" aca="1" ref="J236" ca="1">INDIRECT("'"&amp;$C236&amp;"'!"&amp;"$"&amp;$D236&amp;$J$1&amp;"")</f>
        <v>6.4</v>
      </c>
      <c r="K236" s="288"/>
      <c r="L236" s="288">
        <v>0.98</v>
      </c>
      <c r="M236" s="286">
        <v>0.96</v>
      </c>
      <c r="N236" s="285" cm="1">
        <f t="array" aca="1" ref="N236" ca="1">INDIRECT("'"&amp;$C236&amp;"'!"&amp;"$"&amp;$D236&amp;$N$1&amp;"")</f>
        <v>1.5</v>
      </c>
      <c r="O236" s="288"/>
      <c r="P236" s="288">
        <v>0.96</v>
      </c>
      <c r="Q236" s="286">
        <v>0.43</v>
      </c>
      <c r="R236" s="285" cm="1">
        <f t="array" aca="1" ref="R236" ca="1">INDIRECT("'"&amp;$C236&amp;"'!"&amp;"$"&amp;$D236&amp;$R$1&amp;"")</f>
        <v>5.3</v>
      </c>
      <c r="S236" s="288"/>
      <c r="T236" s="288">
        <v>0.98</v>
      </c>
      <c r="U236" s="286">
        <v>1.18</v>
      </c>
      <c r="V236" s="287" t="str" cm="1">
        <f t="array" aca="1" ref="V236" ca="1">INDIRECT("'"&amp;$C236&amp;"'!"&amp;"$"&amp;$D236&amp;$V$1&amp;"")</f>
        <v>CMS</v>
      </c>
      <c r="W236" s="288" t="s">
        <v>1</v>
      </c>
      <c r="X236" s="288" t="s">
        <v>1</v>
      </c>
      <c r="Y236" s="289" t="s">
        <v>1</v>
      </c>
      <c r="Z236" s="285" cm="1">
        <f t="array" aca="1" ref="Z236" ca="1">INDIRECT("'"&amp;$C236&amp;"'!"&amp;"$"&amp;$D236&amp;$Z$1&amp;"")</f>
        <v>3.3</v>
      </c>
      <c r="AA236" s="288">
        <f>3.8*3.54</f>
        <v>13.452</v>
      </c>
      <c r="AB236" s="288">
        <v>0.97</v>
      </c>
      <c r="AC236" s="286">
        <v>0.79400000000000004</v>
      </c>
      <c r="AD236" s="287" cm="1">
        <f t="array" aca="1" ref="AD236" ca="1">INDIRECT("'"&amp;$C236&amp;"'!"&amp;"$"&amp;$D236&amp;$AD$1&amp;"")</f>
        <v>0</v>
      </c>
      <c r="AE236" s="288" t="s">
        <v>1</v>
      </c>
      <c r="AF236" s="288" t="s">
        <v>1</v>
      </c>
      <c r="AG236" s="289" t="s">
        <v>1</v>
      </c>
      <c r="AH236" s="285" cm="1">
        <f t="array" aca="1" ref="AH236" ca="1">INDIRECT("'"&amp;$C236&amp;"'!"&amp;"$"&amp;$D236&amp;$AH$1&amp;"")</f>
        <v>0</v>
      </c>
      <c r="AI236" s="288" t="s">
        <v>1</v>
      </c>
      <c r="AJ236" s="288" t="s">
        <v>1</v>
      </c>
      <c r="AK236" s="286" t="s">
        <v>1</v>
      </c>
      <c r="AL236" s="285">
        <v>11.6</v>
      </c>
      <c r="AM236" s="289">
        <v>70.8</v>
      </c>
      <c r="AN236" s="285" cm="1">
        <f t="array" aca="1" ref="AN236" ca="1">INDIRECT("'"&amp;$C236&amp;"'!"&amp;"$"&amp;$D236&amp;$AL$1&amp;"")</f>
        <v>0</v>
      </c>
      <c r="AO236" s="288" t="s">
        <v>1</v>
      </c>
      <c r="AP236" s="289" t="s">
        <v>1</v>
      </c>
      <c r="AQ236" s="285" cm="1">
        <f t="array" aca="1" ref="AQ236" ca="1">INDIRECT("'"&amp;$C236&amp;"'!"&amp;"$"&amp;$D236&amp;$AQ$1&amp;"")</f>
        <v>3.8</v>
      </c>
      <c r="AR236" s="288">
        <v>0.99</v>
      </c>
      <c r="AS236" s="286">
        <v>0.35</v>
      </c>
      <c r="AT236" s="285">
        <v>13.9</v>
      </c>
      <c r="AU236" s="289">
        <v>70.8</v>
      </c>
      <c r="AV236" s="288" cm="1">
        <f t="array" aca="1" ref="AV236" ca="1">INDIRECT("'"&amp;$C236&amp;"'!"&amp;"$"&amp;$D236&amp;$AV$1&amp;"")</f>
        <v>0</v>
      </c>
      <c r="AW236" s="287" t="s">
        <v>1</v>
      </c>
      <c r="AX236" s="288" t="s">
        <v>1</v>
      </c>
      <c r="AY236" s="286" t="s">
        <v>1</v>
      </c>
      <c r="AZ236" s="288" cm="1">
        <f t="array" aca="1" ref="AZ236" ca="1">INDIRECT("'"&amp;$C236&amp;"'!"&amp;"$"&amp;$D236&amp;$AZ$1&amp;"")</f>
        <v>7</v>
      </c>
      <c r="BA236" s="287" t="s">
        <v>1</v>
      </c>
      <c r="BB236" s="288">
        <v>0.94</v>
      </c>
      <c r="BC236" s="286">
        <v>1.9</v>
      </c>
      <c r="BD236" s="290">
        <v>14.11</v>
      </c>
      <c r="BE236" s="289">
        <v>71.45</v>
      </c>
      <c r="BF236" s="290" cm="1">
        <f t="array" aca="1" ref="BF236" ca="1">INDIRECT("'"&amp;$C236&amp;"'!"&amp;"$"&amp;$D236&amp;$BF$1&amp;"")</f>
        <v>14.31</v>
      </c>
      <c r="BG236" s="288">
        <v>0.99</v>
      </c>
      <c r="BH236" s="286">
        <v>2.2999999999999998</v>
      </c>
      <c r="BI236" s="525">
        <v>68.8</v>
      </c>
      <c r="BJ236" s="285" cm="1">
        <f t="array" aca="1" ref="BJ236" ca="1">INDIRECT("'"&amp;$C236&amp;"'!"&amp;"$"&amp;$D236&amp;$BI$1&amp;"")</f>
        <v>0.8</v>
      </c>
      <c r="BK236" s="287">
        <v>0.97</v>
      </c>
      <c r="BL236" s="286">
        <v>0.18</v>
      </c>
      <c r="BM236" s="290" cm="1">
        <f t="array" aca="1" ref="BM236" ca="1">INDIRECT("'"&amp;$C236&amp;"'!"&amp;"$"&amp;$D236&amp;$BM$1&amp;"")</f>
        <v>1.17</v>
      </c>
      <c r="BN236" s="288"/>
      <c r="BO236" s="288">
        <v>0.99</v>
      </c>
      <c r="BP236" s="286">
        <v>0.13</v>
      </c>
      <c r="BQ236" s="290" cm="1">
        <f t="array" aca="1" ref="BQ236" ca="1">INDIRECT("'"&amp;$C236&amp;"'!"&amp;"$"&amp;$D236&amp;$BQ$1&amp;"")</f>
        <v>0.81</v>
      </c>
      <c r="BR236" s="288"/>
      <c r="BS236" s="288">
        <v>0.97</v>
      </c>
      <c r="BT236" s="286">
        <v>0.19</v>
      </c>
      <c r="BU236" s="291" cm="1">
        <f t="array" aca="1" ref="BU236" ca="1">INDIRECT("'"&amp;$C236&amp;"'!"&amp;"$"&amp;$D236&amp;74&amp;"")</f>
        <v>0</v>
      </c>
      <c r="BV236" s="288"/>
      <c r="BW236" s="288" t="s">
        <v>1</v>
      </c>
      <c r="BX236" s="286" t="s">
        <v>1</v>
      </c>
    </row>
    <row r="237" spans="1:76">
      <c r="A237" s="459">
        <v>45848</v>
      </c>
      <c r="B237" s="345">
        <v>0.29166666666666702</v>
      </c>
      <c r="C237" s="305">
        <v>10</v>
      </c>
      <c r="D237" s="306" t="s">
        <v>149</v>
      </c>
      <c r="E237" s="278">
        <v>14.1</v>
      </c>
      <c r="F237" s="279">
        <v>69.900000000000006</v>
      </c>
      <c r="G237" s="280" t="str" cm="1">
        <f t="array" aca="1" ref="G237" ca="1">INDIRECT("'"&amp;$C237&amp;"'!"&amp;"$"&amp;$D237&amp;$E$1&amp;"")</f>
        <v>CMS</v>
      </c>
      <c r="H237" s="281" t="s">
        <v>1</v>
      </c>
      <c r="I237" s="279" t="s">
        <v>1</v>
      </c>
      <c r="J237" s="280" cm="1">
        <f t="array" aca="1" ref="J237" ca="1">INDIRECT("'"&amp;$C237&amp;"'!"&amp;"$"&amp;$D237&amp;$J$1&amp;"")</f>
        <v>0</v>
      </c>
      <c r="K237" s="281"/>
      <c r="L237" s="281" t="s">
        <v>1</v>
      </c>
      <c r="M237" s="282" t="s">
        <v>1</v>
      </c>
      <c r="N237" s="278" cm="1">
        <f t="array" aca="1" ref="N237" ca="1">INDIRECT("'"&amp;$C237&amp;"'!"&amp;"$"&amp;$D237&amp;$N$1&amp;"")</f>
        <v>6.4</v>
      </c>
      <c r="O237" s="281"/>
      <c r="P237" s="281">
        <v>0.98</v>
      </c>
      <c r="Q237" s="279">
        <v>1.33</v>
      </c>
      <c r="R237" s="468" cm="1">
        <f t="array" aca="1" ref="R237" ca="1">INDIRECT("'"&amp;$C237&amp;"'!"&amp;"$"&amp;$D237&amp;$R$1&amp;"")</f>
        <v>6.3</v>
      </c>
      <c r="S237" s="281"/>
      <c r="T237" s="281">
        <v>0.96</v>
      </c>
      <c r="U237" s="279">
        <v>1.84</v>
      </c>
      <c r="V237" s="280" t="str" cm="1">
        <f t="array" aca="1" ref="V237" ca="1">INDIRECT("'"&amp;$C237&amp;"'!"&amp;"$"&amp;$D237&amp;$V$1&amp;"")</f>
        <v>CMS</v>
      </c>
      <c r="W237" s="281" t="s">
        <v>1</v>
      </c>
      <c r="X237" s="281" t="s">
        <v>1</v>
      </c>
      <c r="Y237" s="282" t="s">
        <v>1</v>
      </c>
      <c r="Z237" s="278" cm="1">
        <f t="array" aca="1" ref="Z237" ca="1">INDIRECT("'"&amp;$C237&amp;"'!"&amp;"$"&amp;$D237&amp;$Z$1&amp;"")</f>
        <v>3</v>
      </c>
      <c r="AA237" s="281">
        <f>3.8*3.56</f>
        <v>13.527999999999999</v>
      </c>
      <c r="AB237" s="281">
        <v>0.97</v>
      </c>
      <c r="AC237" s="279">
        <v>0.76</v>
      </c>
      <c r="AD237" s="280" cm="1">
        <f t="array" aca="1" ref="AD237" ca="1">INDIRECT("'"&amp;$C237&amp;"'!"&amp;"$"&amp;$D237&amp;$AD$1&amp;"")</f>
        <v>0</v>
      </c>
      <c r="AE237" s="281" t="s">
        <v>1</v>
      </c>
      <c r="AF237" s="281" t="s">
        <v>1</v>
      </c>
      <c r="AG237" s="282" t="s">
        <v>1</v>
      </c>
      <c r="AH237" s="278" cm="1">
        <f t="array" aca="1" ref="AH237" ca="1">INDIRECT("'"&amp;$C237&amp;"'!"&amp;"$"&amp;$D237&amp;$AH$1&amp;"")</f>
        <v>0</v>
      </c>
      <c r="AI237" s="281" t="s">
        <v>1</v>
      </c>
      <c r="AJ237" s="281" t="s">
        <v>1</v>
      </c>
      <c r="AK237" s="279" t="s">
        <v>1</v>
      </c>
      <c r="AL237" s="278">
        <v>11.6</v>
      </c>
      <c r="AM237" s="282">
        <v>70.900000000000006</v>
      </c>
      <c r="AN237" s="278" cm="1">
        <f t="array" aca="1" ref="AN237" ca="1">INDIRECT("'"&amp;$C237&amp;"'!"&amp;"$"&amp;$D237&amp;$AL$1&amp;"")</f>
        <v>2</v>
      </c>
      <c r="AO237" s="281">
        <v>0.97</v>
      </c>
      <c r="AP237" s="282">
        <v>0.35</v>
      </c>
      <c r="AQ237" s="278" cm="1">
        <f t="array" aca="1" ref="AQ237" ca="1">INDIRECT("'"&amp;$C237&amp;"'!"&amp;"$"&amp;$D237&amp;$AQ$1&amp;"")</f>
        <v>0</v>
      </c>
      <c r="AR237" s="281" t="s">
        <v>1</v>
      </c>
      <c r="AS237" s="279" t="s">
        <v>1</v>
      </c>
      <c r="AT237" s="278">
        <v>13.9</v>
      </c>
      <c r="AU237" s="282">
        <v>70.8</v>
      </c>
      <c r="AV237" s="281" cm="1">
        <f t="array" aca="1" ref="AV237" ca="1">INDIRECT("'"&amp;$C237&amp;"'!"&amp;"$"&amp;$D237&amp;$AV$1&amp;"")</f>
        <v>0</v>
      </c>
      <c r="AW237" s="280" t="s">
        <v>1</v>
      </c>
      <c r="AX237" s="281" t="s">
        <v>1</v>
      </c>
      <c r="AY237" s="279" t="s">
        <v>1</v>
      </c>
      <c r="AZ237" s="281" cm="1">
        <f t="array" aca="1" ref="AZ237" ca="1">INDIRECT("'"&amp;$C237&amp;"'!"&amp;"$"&amp;$D237&amp;$AZ$1&amp;"")</f>
        <v>7</v>
      </c>
      <c r="BA237" s="280" t="s">
        <v>1</v>
      </c>
      <c r="BB237" s="281">
        <v>0.98</v>
      </c>
      <c r="BC237" s="279">
        <v>1.4</v>
      </c>
      <c r="BD237" s="283">
        <v>14.18</v>
      </c>
      <c r="BE237" s="282">
        <v>71.790000000000006</v>
      </c>
      <c r="BF237" s="283" cm="1">
        <f t="array" aca="1" ref="BF237" ca="1">INDIRECT("'"&amp;$C237&amp;"'!"&amp;"$"&amp;$D237&amp;$BF$1&amp;"")</f>
        <v>14.27</v>
      </c>
      <c r="BG237" s="281">
        <v>0.99</v>
      </c>
      <c r="BH237" s="279">
        <v>2.4</v>
      </c>
      <c r="BI237" s="524">
        <v>69</v>
      </c>
      <c r="BJ237" s="278" cm="1">
        <f t="array" aca="1" ref="BJ237" ca="1">INDIRECT("'"&amp;$C237&amp;"'!"&amp;"$"&amp;$D237&amp;$BI$1&amp;"")</f>
        <v>0</v>
      </c>
      <c r="BK237" s="280" t="s">
        <v>1</v>
      </c>
      <c r="BL237" s="279" t="s">
        <v>1</v>
      </c>
      <c r="BM237" s="283" cm="1">
        <f t="array" aca="1" ref="BM237" ca="1">INDIRECT("'"&amp;$C237&amp;"'!"&amp;"$"&amp;$D237&amp;$BM$1&amp;"")</f>
        <v>1.1200000000000001</v>
      </c>
      <c r="BN237" s="281"/>
      <c r="BO237" s="281">
        <v>0.99</v>
      </c>
      <c r="BP237" s="279">
        <v>0.15</v>
      </c>
      <c r="BQ237" s="284" cm="1">
        <f t="array" aca="1" ref="BQ237" ca="1">INDIRECT("'"&amp;$C237&amp;"'!"&amp;"$"&amp;$D237&amp;$BQ$1&amp;"")</f>
        <v>0.75</v>
      </c>
      <c r="BR237" s="281"/>
      <c r="BS237" s="281">
        <v>0.96</v>
      </c>
      <c r="BT237" s="279">
        <v>0.2</v>
      </c>
      <c r="BU237" s="284" cm="1">
        <f t="array" aca="1" ref="BU237" ca="1">INDIRECT("'"&amp;$C237&amp;"'!"&amp;"$"&amp;$D237&amp;74&amp;"")</f>
        <v>0</v>
      </c>
      <c r="BV237" s="281"/>
      <c r="BW237" s="281" t="s">
        <v>1</v>
      </c>
      <c r="BX237" s="279" t="s">
        <v>1</v>
      </c>
    </row>
    <row r="238" spans="1:76">
      <c r="A238" s="459">
        <v>45848</v>
      </c>
      <c r="B238" s="345">
        <v>0.33333333333333398</v>
      </c>
      <c r="C238" s="305">
        <v>10</v>
      </c>
      <c r="D238" s="306" t="s">
        <v>150</v>
      </c>
      <c r="E238" s="285">
        <v>14</v>
      </c>
      <c r="F238" s="286">
        <v>69.540000000000006</v>
      </c>
      <c r="G238" s="287" t="str" cm="1">
        <f t="array" aca="1" ref="G238" ca="1">INDIRECT("'"&amp;$C238&amp;"'!"&amp;"$"&amp;$D238&amp;$E$1&amp;"")</f>
        <v>CMS</v>
      </c>
      <c r="H238" s="288" t="s">
        <v>1</v>
      </c>
      <c r="I238" s="286" t="s">
        <v>1</v>
      </c>
      <c r="J238" s="287" cm="1">
        <f t="array" aca="1" ref="J238" ca="1">INDIRECT("'"&amp;$C238&amp;"'!"&amp;"$"&amp;$D238&amp;$J$1&amp;"")</f>
        <v>2.2999999999999998</v>
      </c>
      <c r="K238" s="288"/>
      <c r="L238" s="288">
        <v>0.97</v>
      </c>
      <c r="M238" s="289">
        <v>0.52</v>
      </c>
      <c r="N238" s="285" cm="1">
        <f t="array" aca="1" ref="N238" ca="1">INDIRECT("'"&amp;$C238&amp;"'!"&amp;"$"&amp;$D238&amp;$N$1&amp;"")</f>
        <v>6.7</v>
      </c>
      <c r="O238" s="288"/>
      <c r="P238" s="288">
        <v>0.94</v>
      </c>
      <c r="Q238" s="286">
        <v>2.42</v>
      </c>
      <c r="R238" s="285" cm="1">
        <f t="array" aca="1" ref="R238" ca="1">INDIRECT("'"&amp;$C238&amp;"'!"&amp;"$"&amp;$D238&amp;$R$1&amp;"")</f>
        <v>6.7</v>
      </c>
      <c r="S238" s="288"/>
      <c r="T238" s="288">
        <v>0.94</v>
      </c>
      <c r="U238" s="286">
        <v>2.4500000000000002</v>
      </c>
      <c r="V238" s="287" t="str" cm="1">
        <f t="array" aca="1" ref="V238" ca="1">INDIRECT("'"&amp;$C238&amp;"'!"&amp;"$"&amp;$D238&amp;$V$1&amp;"")</f>
        <v>CMS</v>
      </c>
      <c r="W238" s="288" t="s">
        <v>1</v>
      </c>
      <c r="X238" s="288" t="s">
        <v>1</v>
      </c>
      <c r="Y238" s="289" t="s">
        <v>1</v>
      </c>
      <c r="Z238" s="285" cm="1">
        <f t="array" aca="1" ref="Z238" ca="1">INDIRECT("'"&amp;$C238&amp;"'!"&amp;"$"&amp;$D238&amp;$Z$1&amp;"")</f>
        <v>3.5</v>
      </c>
      <c r="AA238" s="288">
        <f>3.8*3.49</f>
        <v>13.262</v>
      </c>
      <c r="AB238" s="288">
        <v>0.95</v>
      </c>
      <c r="AC238" s="286">
        <v>1.1000000000000001</v>
      </c>
      <c r="AD238" s="287" cm="1">
        <f t="array" aca="1" ref="AD238" ca="1">INDIRECT("'"&amp;$C238&amp;"'!"&amp;"$"&amp;$D238&amp;$AD$1&amp;"")</f>
        <v>0</v>
      </c>
      <c r="AE238" s="288" t="s">
        <v>1</v>
      </c>
      <c r="AF238" s="288" t="s">
        <v>1</v>
      </c>
      <c r="AG238" s="289" t="s">
        <v>1</v>
      </c>
      <c r="AH238" s="285" cm="1">
        <f t="array" aca="1" ref="AH238" ca="1">INDIRECT("'"&amp;$C238&amp;"'!"&amp;"$"&amp;$D238&amp;$AH$1&amp;"")</f>
        <v>0</v>
      </c>
      <c r="AI238" s="288" t="s">
        <v>1</v>
      </c>
      <c r="AJ238" s="288" t="s">
        <v>1</v>
      </c>
      <c r="AK238" s="286" t="s">
        <v>1</v>
      </c>
      <c r="AL238" s="285">
        <v>11.6</v>
      </c>
      <c r="AM238" s="289">
        <v>70.5</v>
      </c>
      <c r="AN238" s="285" cm="1">
        <f t="array" aca="1" ref="AN238" ca="1">INDIRECT("'"&amp;$C238&amp;"'!"&amp;"$"&amp;$D238&amp;$AL$1&amp;"")</f>
        <v>3.8</v>
      </c>
      <c r="AO238" s="288">
        <v>0.98</v>
      </c>
      <c r="AP238" s="289">
        <v>0.78</v>
      </c>
      <c r="AQ238" s="285" cm="1">
        <f t="array" aca="1" ref="AQ238" ca="1">INDIRECT("'"&amp;$C238&amp;"'!"&amp;"$"&amp;$D238&amp;$AQ$1&amp;"")</f>
        <v>0</v>
      </c>
      <c r="AR238" s="288" t="s">
        <v>1</v>
      </c>
      <c r="AS238" s="286" t="s">
        <v>1</v>
      </c>
      <c r="AT238" s="285">
        <v>13.9</v>
      </c>
      <c r="AU238" s="289">
        <v>70.8</v>
      </c>
      <c r="AV238" s="288" cm="1">
        <f t="array" aca="1" ref="AV238" ca="1">INDIRECT("'"&amp;$C238&amp;"'!"&amp;"$"&amp;$D238&amp;$AV$1&amp;"")</f>
        <v>0</v>
      </c>
      <c r="AW238" s="287" t="s">
        <v>1</v>
      </c>
      <c r="AX238" s="288" t="s">
        <v>1</v>
      </c>
      <c r="AY238" s="286" t="s">
        <v>1</v>
      </c>
      <c r="AZ238" s="288" cm="1">
        <f t="array" aca="1" ref="AZ238" ca="1">INDIRECT("'"&amp;$C238&amp;"'!"&amp;"$"&amp;$D238&amp;$AZ$1&amp;"")</f>
        <v>7</v>
      </c>
      <c r="BA238" s="287" t="s">
        <v>1</v>
      </c>
      <c r="BB238" s="288">
        <v>0.96</v>
      </c>
      <c r="BC238" s="286">
        <v>1.8</v>
      </c>
      <c r="BD238" s="290">
        <v>14.19</v>
      </c>
      <c r="BE238" s="289">
        <v>71.41</v>
      </c>
      <c r="BF238" s="290" cm="1">
        <f t="array" aca="1" ref="BF238" ca="1">INDIRECT("'"&amp;$C238&amp;"'!"&amp;"$"&amp;$D238&amp;$BF$1&amp;"")</f>
        <v>14.26</v>
      </c>
      <c r="BG238" s="288">
        <v>0.99</v>
      </c>
      <c r="BH238" s="286">
        <v>2.2999999999999998</v>
      </c>
      <c r="BI238" s="525">
        <v>68.099999999999994</v>
      </c>
      <c r="BJ238" s="285" cm="1">
        <f t="array" aca="1" ref="BJ238" ca="1">INDIRECT("'"&amp;$C238&amp;"'!"&amp;"$"&amp;$D238&amp;$BI$1&amp;"")</f>
        <v>0</v>
      </c>
      <c r="BK238" s="287" t="s">
        <v>1</v>
      </c>
      <c r="BL238" s="286" t="s">
        <v>1</v>
      </c>
      <c r="BM238" s="290" cm="1">
        <f t="array" aca="1" ref="BM238" ca="1">INDIRECT("'"&amp;$C238&amp;"'!"&amp;"$"&amp;$D238&amp;$BM$1&amp;"")</f>
        <v>1.08</v>
      </c>
      <c r="BN238" s="288"/>
      <c r="BO238" s="288">
        <v>0.99</v>
      </c>
      <c r="BP238" s="286">
        <v>0.14000000000000001</v>
      </c>
      <c r="BQ238" s="291" cm="1">
        <f t="array" aca="1" ref="BQ238" ca="1">INDIRECT("'"&amp;$C238&amp;"'!"&amp;"$"&amp;$D238&amp;$BQ$1&amp;"")</f>
        <v>0.73</v>
      </c>
      <c r="BR238" s="288"/>
      <c r="BS238" s="288">
        <v>0.96</v>
      </c>
      <c r="BT238" s="286">
        <v>0.21</v>
      </c>
      <c r="BU238" s="291" cm="1">
        <f t="array" aca="1" ref="BU238" ca="1">INDIRECT("'"&amp;$C238&amp;"'!"&amp;"$"&amp;$D238&amp;74&amp;"")</f>
        <v>0</v>
      </c>
      <c r="BV238" s="288"/>
      <c r="BW238" s="288" t="s">
        <v>1</v>
      </c>
      <c r="BX238" s="286" t="s">
        <v>1</v>
      </c>
    </row>
    <row r="239" spans="1:76">
      <c r="A239" s="459">
        <v>45848</v>
      </c>
      <c r="B239" s="345">
        <v>0.375</v>
      </c>
      <c r="C239" s="305">
        <v>10</v>
      </c>
      <c r="D239" s="306" t="s">
        <v>151</v>
      </c>
      <c r="E239" s="278">
        <v>14</v>
      </c>
      <c r="F239" s="279">
        <v>69.38</v>
      </c>
      <c r="G239" s="280" t="str" cm="1">
        <f t="array" aca="1" ref="G239" ca="1">INDIRECT("'"&amp;$C239&amp;"'!"&amp;"$"&amp;$D239&amp;$E$1&amp;"")</f>
        <v>CMS</v>
      </c>
      <c r="H239" s="281" t="s">
        <v>1</v>
      </c>
      <c r="I239" s="279" t="s">
        <v>1</v>
      </c>
      <c r="J239" s="280" cm="1">
        <f t="array" aca="1" ref="J239" ca="1">INDIRECT("'"&amp;$C239&amp;"'!"&amp;"$"&amp;$D239&amp;$J$1&amp;"")</f>
        <v>6.8</v>
      </c>
      <c r="K239" s="281"/>
      <c r="L239" s="281">
        <v>0.93</v>
      </c>
      <c r="M239" s="282">
        <v>2.69</v>
      </c>
      <c r="N239" s="278" cm="1">
        <f t="array" aca="1" ref="N239" ca="1">INDIRECT("'"&amp;$C239&amp;"'!"&amp;"$"&amp;$D239&amp;$N$1&amp;"")</f>
        <v>6.8</v>
      </c>
      <c r="O239" s="281"/>
      <c r="P239" s="281">
        <v>0.93</v>
      </c>
      <c r="Q239" s="279">
        <v>2.65</v>
      </c>
      <c r="R239" s="468" cm="1">
        <f t="array" aca="1" ref="R239" ca="1">INDIRECT("'"&amp;$C239&amp;"'!"&amp;"$"&amp;$D239&amp;$R$1&amp;"")</f>
        <v>6.8</v>
      </c>
      <c r="S239" s="281"/>
      <c r="T239" s="281">
        <v>0.93</v>
      </c>
      <c r="U239" s="279">
        <v>2.68</v>
      </c>
      <c r="V239" s="280" t="str" cm="1">
        <f t="array" aca="1" ref="V239" ca="1">INDIRECT("'"&amp;$C239&amp;"'!"&amp;"$"&amp;$D239&amp;$V$1&amp;"")</f>
        <v>CMS</v>
      </c>
      <c r="W239" s="281" t="s">
        <v>1</v>
      </c>
      <c r="X239" s="281" t="s">
        <v>1</v>
      </c>
      <c r="Y239" s="282" t="s">
        <v>1</v>
      </c>
      <c r="Z239" s="278" cm="1">
        <f t="array" aca="1" ref="Z239" ca="1">INDIRECT("'"&amp;$C239&amp;"'!"&amp;"$"&amp;$D239&amp;$Z$1&amp;"")</f>
        <v>3.4</v>
      </c>
      <c r="AA239" s="281">
        <f>3.8*3.52</f>
        <v>13.375999999999999</v>
      </c>
      <c r="AB239" s="281">
        <v>0.95</v>
      </c>
      <c r="AC239" s="279">
        <v>1.05</v>
      </c>
      <c r="AD239" s="280" cm="1">
        <f t="array" aca="1" ref="AD239" ca="1">INDIRECT("'"&amp;$C239&amp;"'!"&amp;"$"&amp;$D239&amp;$AD$1&amp;"")</f>
        <v>3.8</v>
      </c>
      <c r="AE239" s="281">
        <f>3.8*3.52</f>
        <v>13.375999999999999</v>
      </c>
      <c r="AF239" s="281">
        <v>0.95</v>
      </c>
      <c r="AG239" s="282">
        <v>1.18</v>
      </c>
      <c r="AH239" s="278" cm="1">
        <f t="array" aca="1" ref="AH239" ca="1">INDIRECT("'"&amp;$C239&amp;"'!"&amp;"$"&amp;$D239&amp;$AH$1&amp;"")</f>
        <v>0</v>
      </c>
      <c r="AI239" s="281" t="s">
        <v>1</v>
      </c>
      <c r="AJ239" s="281" t="s">
        <v>1</v>
      </c>
      <c r="AK239" s="279" t="s">
        <v>1</v>
      </c>
      <c r="AL239" s="278">
        <v>11.6</v>
      </c>
      <c r="AM239" s="282">
        <v>70.099999999999994</v>
      </c>
      <c r="AN239" s="278" cm="1">
        <f t="array" aca="1" ref="AN239" ca="1">INDIRECT("'"&amp;$C239&amp;"'!"&amp;"$"&amp;$D239&amp;$AL$1&amp;"")</f>
        <v>3.8</v>
      </c>
      <c r="AO239" s="281">
        <v>0.95</v>
      </c>
      <c r="AP239" s="282">
        <v>1.29</v>
      </c>
      <c r="AQ239" s="278" cm="1">
        <f t="array" aca="1" ref="AQ239" ca="1">INDIRECT("'"&amp;$C239&amp;"'!"&amp;"$"&amp;$D239&amp;$AQ$1&amp;"")</f>
        <v>0</v>
      </c>
      <c r="AR239" s="281" t="s">
        <v>1</v>
      </c>
      <c r="AS239" s="279" t="s">
        <v>1</v>
      </c>
      <c r="AT239" s="278">
        <v>13.82</v>
      </c>
      <c r="AU239" s="282">
        <v>70.3</v>
      </c>
      <c r="AV239" s="281" cm="1">
        <f t="array" aca="1" ref="AV239" ca="1">INDIRECT("'"&amp;$C239&amp;"'!"&amp;"$"&amp;$D239&amp;$AV$1&amp;"")</f>
        <v>0</v>
      </c>
      <c r="AW239" s="280" t="s">
        <v>1</v>
      </c>
      <c r="AX239" s="281" t="s">
        <v>1</v>
      </c>
      <c r="AY239" s="279" t="s">
        <v>1</v>
      </c>
      <c r="AZ239" s="281" cm="1">
        <f t="array" aca="1" ref="AZ239" ca="1">INDIRECT("'"&amp;$C239&amp;"'!"&amp;"$"&amp;$D239&amp;$AZ$1&amp;"")</f>
        <v>7</v>
      </c>
      <c r="BA239" s="280" t="s">
        <v>1</v>
      </c>
      <c r="BB239" s="281">
        <v>0.98</v>
      </c>
      <c r="BC239" s="279">
        <v>1.6</v>
      </c>
      <c r="BD239" s="283">
        <v>14.11</v>
      </c>
      <c r="BE239" s="282">
        <v>70.95</v>
      </c>
      <c r="BF239" s="283" cm="1">
        <f t="array" aca="1" ref="BF239" ca="1">INDIRECT("'"&amp;$C239&amp;"'!"&amp;"$"&amp;$D239&amp;$BF$1&amp;"")</f>
        <v>14.25</v>
      </c>
      <c r="BG239" s="281">
        <v>0.98</v>
      </c>
      <c r="BH239" s="279">
        <v>3.4</v>
      </c>
      <c r="BI239" s="524">
        <v>67.8</v>
      </c>
      <c r="BJ239" s="278" cm="1">
        <f t="array" aca="1" ref="BJ239" ca="1">INDIRECT("'"&amp;$C239&amp;"'!"&amp;"$"&amp;$D239&amp;$BI$1&amp;"")</f>
        <v>0.8</v>
      </c>
      <c r="BK239" s="280">
        <v>0.96</v>
      </c>
      <c r="BL239" s="279">
        <v>0.23</v>
      </c>
      <c r="BM239" s="283" cm="1">
        <f t="array" aca="1" ref="BM239" ca="1">INDIRECT("'"&amp;$C239&amp;"'!"&amp;"$"&amp;$D239&amp;$BM$1&amp;"")</f>
        <v>1.2</v>
      </c>
      <c r="BN239" s="281"/>
      <c r="BO239" s="281">
        <v>0.99</v>
      </c>
      <c r="BP239" s="279">
        <v>0.15</v>
      </c>
      <c r="BQ239" s="284" cm="1">
        <f t="array" aca="1" ref="BQ239" ca="1">INDIRECT("'"&amp;$C239&amp;"'!"&amp;"$"&amp;$D239&amp;$BQ$1&amp;"")</f>
        <v>0.8</v>
      </c>
      <c r="BR239" s="281"/>
      <c r="BS239" s="281">
        <v>0.96</v>
      </c>
      <c r="BT239" s="279">
        <v>0.2</v>
      </c>
      <c r="BU239" s="284" cm="1">
        <f t="array" aca="1" ref="BU239" ca="1">INDIRECT("'"&amp;$C239&amp;"'!"&amp;"$"&amp;$D239&amp;74&amp;"")</f>
        <v>0</v>
      </c>
      <c r="BV239" s="281"/>
      <c r="BW239" s="281" t="s">
        <v>1</v>
      </c>
      <c r="BX239" s="279" t="s">
        <v>1</v>
      </c>
    </row>
    <row r="240" spans="1:76">
      <c r="A240" s="459">
        <v>45848</v>
      </c>
      <c r="B240" s="345">
        <v>0.41666666666666702</v>
      </c>
      <c r="C240" s="305">
        <v>10</v>
      </c>
      <c r="D240" s="306" t="s">
        <v>152</v>
      </c>
      <c r="E240" s="285">
        <v>14</v>
      </c>
      <c r="F240" s="286">
        <v>68.89</v>
      </c>
      <c r="G240" s="287" t="str" cm="1">
        <f t="array" aca="1" ref="G240" ca="1">INDIRECT("'"&amp;$C240&amp;"'!"&amp;"$"&amp;$D240&amp;$E$1&amp;"")</f>
        <v>CMS</v>
      </c>
      <c r="H240" s="288" t="s">
        <v>1</v>
      </c>
      <c r="I240" s="286" t="s">
        <v>1</v>
      </c>
      <c r="J240" s="287" cm="1">
        <f t="array" aca="1" ref="J240" ca="1">INDIRECT("'"&amp;$C240&amp;"'!"&amp;"$"&amp;$D240&amp;$J$1&amp;"")</f>
        <v>6.7</v>
      </c>
      <c r="K240" s="288"/>
      <c r="L240" s="288">
        <v>0.9</v>
      </c>
      <c r="M240" s="289">
        <v>3.14</v>
      </c>
      <c r="N240" s="285" cm="1">
        <f t="array" aca="1" ref="N240" ca="1">INDIRECT("'"&amp;$C240&amp;"'!"&amp;"$"&amp;$D240&amp;$N$1&amp;"")</f>
        <v>6.8</v>
      </c>
      <c r="O240" s="288"/>
      <c r="P240" s="288">
        <v>0.91</v>
      </c>
      <c r="Q240" s="286">
        <v>3.18</v>
      </c>
      <c r="R240" s="285" cm="1">
        <f t="array" aca="1" ref="R240" ca="1">INDIRECT("'"&amp;$C240&amp;"'!"&amp;"$"&amp;$D240&amp;$R$1&amp;"")</f>
        <v>6.8</v>
      </c>
      <c r="S240" s="288"/>
      <c r="T240" s="288">
        <v>0.91</v>
      </c>
      <c r="U240" s="286">
        <v>3.19</v>
      </c>
      <c r="V240" s="287" t="str" cm="1">
        <f t="array" aca="1" ref="V240" ca="1">INDIRECT("'"&amp;$C240&amp;"'!"&amp;"$"&amp;$D240&amp;$V$1&amp;"")</f>
        <v>CMS</v>
      </c>
      <c r="W240" s="288" t="s">
        <v>1</v>
      </c>
      <c r="X240" s="288" t="s">
        <v>1</v>
      </c>
      <c r="Y240" s="289" t="s">
        <v>1</v>
      </c>
      <c r="Z240" s="285" cm="1">
        <f t="array" aca="1" ref="Z240" ca="1">INDIRECT("'"&amp;$C240&amp;"'!"&amp;"$"&amp;$D240&amp;$Z$1&amp;"")</f>
        <v>3.5</v>
      </c>
      <c r="AA240" s="288">
        <f>3.51*3.8</f>
        <v>13.337999999999999</v>
      </c>
      <c r="AB240" s="288">
        <v>0.93</v>
      </c>
      <c r="AC240" s="286">
        <v>1.33</v>
      </c>
      <c r="AD240" s="287" cm="1">
        <f t="array" aca="1" ref="AD240" ca="1">INDIRECT("'"&amp;$C240&amp;"'!"&amp;"$"&amp;$D240&amp;$AD$1&amp;"")</f>
        <v>3.8</v>
      </c>
      <c r="AE240" s="288">
        <v>13.337999999999999</v>
      </c>
      <c r="AF240" s="288">
        <v>0.93</v>
      </c>
      <c r="AG240" s="289">
        <v>1.41</v>
      </c>
      <c r="AH240" s="285" cm="1">
        <f t="array" aca="1" ref="AH240" ca="1">INDIRECT("'"&amp;$C240&amp;"'!"&amp;"$"&amp;$D240&amp;$AH$1&amp;"")</f>
        <v>3.8</v>
      </c>
      <c r="AI240" s="288">
        <v>13.96</v>
      </c>
      <c r="AJ240" s="288">
        <v>0.99</v>
      </c>
      <c r="AK240" s="286">
        <v>0.19600000000000001</v>
      </c>
      <c r="AL240" s="285">
        <v>11.6</v>
      </c>
      <c r="AM240" s="289">
        <v>70.400000000000006</v>
      </c>
      <c r="AN240" s="285" cm="1">
        <f t="array" aca="1" ref="AN240" ca="1">INDIRECT("'"&amp;$C240&amp;"'!"&amp;"$"&amp;$D240&amp;$AL$1&amp;"")</f>
        <v>4.0999999999999996</v>
      </c>
      <c r="AO240" s="288">
        <v>0.92</v>
      </c>
      <c r="AP240" s="289">
        <v>1.67</v>
      </c>
      <c r="AQ240" s="285" cm="1">
        <f t="array" aca="1" ref="AQ240" ca="1">INDIRECT("'"&amp;$C240&amp;"'!"&amp;"$"&amp;$D240&amp;$AQ$1&amp;"")</f>
        <v>0</v>
      </c>
      <c r="AR240" s="288" t="s">
        <v>1</v>
      </c>
      <c r="AS240" s="286" t="s">
        <v>1</v>
      </c>
      <c r="AT240" s="285">
        <v>13.88</v>
      </c>
      <c r="AU240" s="289">
        <v>70.2</v>
      </c>
      <c r="AV240" s="288" cm="1">
        <f t="array" aca="1" ref="AV240" ca="1">INDIRECT("'"&amp;$C240&amp;"'!"&amp;"$"&amp;$D240&amp;$AV$1&amp;"")</f>
        <v>0</v>
      </c>
      <c r="AW240" s="287" t="s">
        <v>1</v>
      </c>
      <c r="AX240" s="288" t="s">
        <v>1</v>
      </c>
      <c r="AY240" s="286" t="s">
        <v>1</v>
      </c>
      <c r="AZ240" s="288" cm="1">
        <f t="array" aca="1" ref="AZ240" ca="1">INDIRECT("'"&amp;$C240&amp;"'!"&amp;"$"&amp;$D240&amp;$AZ$1&amp;"")</f>
        <v>7.3</v>
      </c>
      <c r="BA240" s="287" t="s">
        <v>1</v>
      </c>
      <c r="BB240" s="288">
        <v>0.96</v>
      </c>
      <c r="BC240" s="286">
        <v>2.2000000000000002</v>
      </c>
      <c r="BD240" s="290">
        <v>14.14</v>
      </c>
      <c r="BE240" s="289">
        <v>71.209999999999994</v>
      </c>
      <c r="BF240" s="290" cm="1">
        <f t="array" aca="1" ref="BF240" ca="1">INDIRECT("'"&amp;$C240&amp;"'!"&amp;"$"&amp;$D240&amp;$BF$1&amp;"")</f>
        <v>14.13</v>
      </c>
      <c r="BG240" s="288">
        <v>0.98</v>
      </c>
      <c r="BH240" s="286">
        <v>3.4</v>
      </c>
      <c r="BI240" s="525">
        <v>67.5</v>
      </c>
      <c r="BJ240" s="285" cm="1">
        <f t="array" aca="1" ref="BJ240" ca="1">INDIRECT("'"&amp;$C240&amp;"'!"&amp;"$"&amp;$D240&amp;$BI$1&amp;"")</f>
        <v>1.5</v>
      </c>
      <c r="BK240" s="287">
        <v>0.96</v>
      </c>
      <c r="BL240" s="286">
        <v>0.43</v>
      </c>
      <c r="BM240" s="290" cm="1">
        <f t="array" aca="1" ref="BM240" ca="1">INDIRECT("'"&amp;$C240&amp;"'!"&amp;"$"&amp;$D240&amp;$BM$1&amp;"")</f>
        <v>1.43</v>
      </c>
      <c r="BN240" s="288"/>
      <c r="BO240" s="288">
        <v>0.99</v>
      </c>
      <c r="BP240" s="286">
        <v>0.18</v>
      </c>
      <c r="BQ240" s="291" cm="1">
        <f t="array" aca="1" ref="BQ240" ca="1">INDIRECT("'"&amp;$C240&amp;"'!"&amp;"$"&amp;$D240&amp;$BQ$1&amp;"")</f>
        <v>0.82</v>
      </c>
      <c r="BR240" s="288"/>
      <c r="BS240" s="288">
        <v>0.96</v>
      </c>
      <c r="BT240" s="286">
        <v>0.23</v>
      </c>
      <c r="BU240" s="291" cm="1">
        <f t="array" aca="1" ref="BU240" ca="1">INDIRECT("'"&amp;$C240&amp;"'!"&amp;"$"&amp;$D240&amp;74&amp;"")</f>
        <v>0</v>
      </c>
      <c r="BV240" s="288"/>
      <c r="BW240" s="288" t="s">
        <v>1</v>
      </c>
      <c r="BX240" s="286" t="s">
        <v>1</v>
      </c>
    </row>
    <row r="241" spans="1:76">
      <c r="A241" s="459">
        <v>45848</v>
      </c>
      <c r="B241" s="345">
        <v>0.45833333333333398</v>
      </c>
      <c r="C241" s="305">
        <v>10</v>
      </c>
      <c r="D241" s="306" t="s">
        <v>153</v>
      </c>
      <c r="E241" s="278">
        <v>14.1</v>
      </c>
      <c r="F241" s="279">
        <v>69.510000000000005</v>
      </c>
      <c r="G241" s="280" t="str" cm="1">
        <f t="array" aca="1" ref="G241" ca="1">INDIRECT("'"&amp;$C241&amp;"'!"&amp;"$"&amp;$D241&amp;$E$1&amp;"")</f>
        <v>CMS</v>
      </c>
      <c r="H241" s="281" t="s">
        <v>1</v>
      </c>
      <c r="I241" s="279" t="s">
        <v>1</v>
      </c>
      <c r="J241" s="280" cm="1">
        <f t="array" aca="1" ref="J241" ca="1">INDIRECT("'"&amp;$C241&amp;"'!"&amp;"$"&amp;$D241&amp;$J$1&amp;"")</f>
        <v>6.7</v>
      </c>
      <c r="K241" s="281"/>
      <c r="L241" s="281">
        <v>0.91</v>
      </c>
      <c r="M241" s="282">
        <v>3.3</v>
      </c>
      <c r="N241" s="278" cm="1">
        <f t="array" aca="1" ref="N241" ca="1">INDIRECT("'"&amp;$C241&amp;"'!"&amp;"$"&amp;$D241&amp;$N$1&amp;"")</f>
        <v>6.7</v>
      </c>
      <c r="O241" s="281"/>
      <c r="P241" s="281">
        <v>0.91</v>
      </c>
      <c r="Q241" s="279">
        <v>3.11</v>
      </c>
      <c r="R241" s="468" cm="1">
        <f t="array" aca="1" ref="R241" ca="1">INDIRECT("'"&amp;$C241&amp;"'!"&amp;"$"&amp;$D241&amp;$R$1&amp;"")</f>
        <v>6.7</v>
      </c>
      <c r="S241" s="281"/>
      <c r="T241" s="281">
        <v>0.91</v>
      </c>
      <c r="U241" s="279">
        <v>3.16</v>
      </c>
      <c r="V241" s="280" t="str" cm="1">
        <f t="array" aca="1" ref="V241" ca="1">INDIRECT("'"&amp;$C241&amp;"'!"&amp;"$"&amp;$D241&amp;$V$1&amp;"")</f>
        <v>CMS</v>
      </c>
      <c r="W241" s="281" t="s">
        <v>1</v>
      </c>
      <c r="X241" s="281" t="s">
        <v>1</v>
      </c>
      <c r="Y241" s="282" t="s">
        <v>1</v>
      </c>
      <c r="Z241" s="278" cm="1">
        <f t="array" aca="1" ref="Z241" ca="1">INDIRECT("'"&amp;$C241&amp;"'!"&amp;"$"&amp;$D241&amp;$Z$1&amp;"")</f>
        <v>3.4</v>
      </c>
      <c r="AA241" s="281">
        <f>3.52*3.8</f>
        <v>13.375999999999999</v>
      </c>
      <c r="AB241" s="281">
        <v>0.9</v>
      </c>
      <c r="AC241" s="279">
        <v>1.58</v>
      </c>
      <c r="AD241" s="280" cm="1">
        <f t="array" aca="1" ref="AD241" ca="1">INDIRECT("'"&amp;$C241&amp;"'!"&amp;"$"&amp;$D241&amp;$AD$1&amp;"")</f>
        <v>3.8</v>
      </c>
      <c r="AE241" s="281">
        <v>13.375999999999999</v>
      </c>
      <c r="AF241" s="281">
        <v>0.9</v>
      </c>
      <c r="AG241" s="282">
        <v>1.69</v>
      </c>
      <c r="AH241" s="278" cm="1">
        <f t="array" aca="1" ref="AH241" ca="1">INDIRECT("'"&amp;$C241&amp;"'!"&amp;"$"&amp;$D241&amp;$AH$1&amp;"")</f>
        <v>3.8</v>
      </c>
      <c r="AI241" s="281">
        <v>14</v>
      </c>
      <c r="AJ241" s="281">
        <v>0.97</v>
      </c>
      <c r="AK241" s="279">
        <v>0.58899999999999997</v>
      </c>
      <c r="AL241" s="278">
        <v>11.6</v>
      </c>
      <c r="AM241" s="282">
        <v>70.599999999999994</v>
      </c>
      <c r="AN241" s="278" cm="1">
        <f t="array" aca="1" ref="AN241" ca="1">INDIRECT("'"&amp;$C241&amp;"'!"&amp;"$"&amp;$D241&amp;$AL$1&amp;"")</f>
        <v>3.7</v>
      </c>
      <c r="AO241" s="281">
        <v>0.94</v>
      </c>
      <c r="AP241" s="282">
        <v>1.41</v>
      </c>
      <c r="AQ241" s="278" cm="1">
        <f t="array" aca="1" ref="AQ241" ca="1">INDIRECT("'"&amp;$C241&amp;"'!"&amp;"$"&amp;$D241&amp;$AQ$1&amp;"")</f>
        <v>0</v>
      </c>
      <c r="AR241" s="281" t="s">
        <v>1</v>
      </c>
      <c r="AS241" s="279" t="s">
        <v>1</v>
      </c>
      <c r="AT241" s="278">
        <v>13.91</v>
      </c>
      <c r="AU241" s="282">
        <v>70.2</v>
      </c>
      <c r="AV241" s="281" cm="1">
        <f t="array" aca="1" ref="AV241" ca="1">INDIRECT("'"&amp;$C241&amp;"'!"&amp;"$"&amp;$D241&amp;$AV$1&amp;"")</f>
        <v>0</v>
      </c>
      <c r="AW241" s="280" t="s">
        <v>1</v>
      </c>
      <c r="AX241" s="281" t="s">
        <v>1</v>
      </c>
      <c r="AY241" s="279" t="s">
        <v>1</v>
      </c>
      <c r="AZ241" s="281" cm="1">
        <f t="array" aca="1" ref="AZ241" ca="1">INDIRECT("'"&amp;$C241&amp;"'!"&amp;"$"&amp;$D241&amp;$AZ$1&amp;"")</f>
        <v>7</v>
      </c>
      <c r="BA241" s="280" t="s">
        <v>1</v>
      </c>
      <c r="BB241" s="281">
        <v>0.97</v>
      </c>
      <c r="BC241" s="279">
        <v>1.7</v>
      </c>
      <c r="BD241" s="283">
        <v>14.16</v>
      </c>
      <c r="BE241" s="282">
        <v>71.28</v>
      </c>
      <c r="BF241" s="283" cm="1">
        <f t="array" aca="1" ref="BF241" ca="1">INDIRECT("'"&amp;$C241&amp;"'!"&amp;"$"&amp;$D241&amp;$BF$1&amp;"")</f>
        <v>14.1</v>
      </c>
      <c r="BG241" s="281">
        <v>0.98</v>
      </c>
      <c r="BH241" s="279">
        <v>3.4</v>
      </c>
      <c r="BI241" s="524">
        <v>68</v>
      </c>
      <c r="BJ241" s="278" cm="1">
        <f t="array" aca="1" ref="BJ241" ca="1">INDIRECT("'"&amp;$C241&amp;"'!"&amp;"$"&amp;$D241&amp;$BI$1&amp;"")</f>
        <v>1.5</v>
      </c>
      <c r="BK241" s="280">
        <v>0.96</v>
      </c>
      <c r="BL241" s="279">
        <v>0.42</v>
      </c>
      <c r="BM241" s="283" cm="1">
        <f t="array" aca="1" ref="BM241" ca="1">INDIRECT("'"&amp;$C241&amp;"'!"&amp;"$"&amp;$D241&amp;$BM$1&amp;"")</f>
        <v>1.46</v>
      </c>
      <c r="BN241" s="281"/>
      <c r="BO241" s="281">
        <v>0.99</v>
      </c>
      <c r="BP241" s="279">
        <v>0.18</v>
      </c>
      <c r="BQ241" s="284" cm="1">
        <f t="array" aca="1" ref="BQ241" ca="1">INDIRECT("'"&amp;$C241&amp;"'!"&amp;"$"&amp;$D241&amp;$BQ$1&amp;"")</f>
        <v>0.83</v>
      </c>
      <c r="BR241" s="281"/>
      <c r="BS241" s="281">
        <v>0.96</v>
      </c>
      <c r="BT241" s="279">
        <v>0.23</v>
      </c>
      <c r="BU241" s="284" cm="1">
        <f t="array" aca="1" ref="BU241" ca="1">INDIRECT("'"&amp;$C241&amp;"'!"&amp;"$"&amp;$D241&amp;74&amp;"")</f>
        <v>0</v>
      </c>
      <c r="BV241" s="281"/>
      <c r="BW241" s="281" t="s">
        <v>1</v>
      </c>
      <c r="BX241" s="279" t="s">
        <v>1</v>
      </c>
    </row>
    <row r="242" spans="1:76">
      <c r="A242" s="459">
        <v>45848</v>
      </c>
      <c r="B242" s="345">
        <v>0.5</v>
      </c>
      <c r="C242" s="305">
        <v>10</v>
      </c>
      <c r="D242" s="306" t="s">
        <v>154</v>
      </c>
      <c r="E242" s="285">
        <v>14</v>
      </c>
      <c r="F242" s="286">
        <v>69.7</v>
      </c>
      <c r="G242" s="287" t="str" cm="1">
        <f t="array" aca="1" ref="G242" ca="1">INDIRECT("'"&amp;$C242&amp;"'!"&amp;"$"&amp;$D242&amp;$E$1&amp;"")</f>
        <v>CMS</v>
      </c>
      <c r="H242" s="288" t="s">
        <v>1</v>
      </c>
      <c r="I242" s="286" t="s">
        <v>1</v>
      </c>
      <c r="J242" s="287" cm="1">
        <f t="array" aca="1" ref="J242" ca="1">INDIRECT("'"&amp;$C242&amp;"'!"&amp;"$"&amp;$D242&amp;$J$1&amp;"")</f>
        <v>6.6</v>
      </c>
      <c r="K242" s="288"/>
      <c r="L242" s="288">
        <v>0.92</v>
      </c>
      <c r="M242" s="289">
        <v>2.79</v>
      </c>
      <c r="N242" s="285" cm="1">
        <f t="array" aca="1" ref="N242" ca="1">INDIRECT("'"&amp;$C242&amp;"'!"&amp;"$"&amp;$D242&amp;$N$1&amp;"")</f>
        <v>6.6</v>
      </c>
      <c r="O242" s="288"/>
      <c r="P242" s="288">
        <v>0.92</v>
      </c>
      <c r="Q242" s="289">
        <v>2.74</v>
      </c>
      <c r="R242" s="285" cm="1">
        <f t="array" aca="1" ref="R242" ca="1">INDIRECT("'"&amp;$C242&amp;"'!"&amp;"$"&amp;$D242&amp;$R$1&amp;"")</f>
        <v>6.6</v>
      </c>
      <c r="S242" s="288"/>
      <c r="T242" s="288">
        <v>0.92</v>
      </c>
      <c r="U242" s="286">
        <v>2.77</v>
      </c>
      <c r="V242" s="287" t="str" cm="1">
        <f t="array" aca="1" ref="V242" ca="1">INDIRECT("'"&amp;$C242&amp;"'!"&amp;"$"&amp;$D242&amp;$V$1&amp;"")</f>
        <v>CMS</v>
      </c>
      <c r="W242" s="288" t="s">
        <v>1</v>
      </c>
      <c r="X242" s="288" t="s">
        <v>1</v>
      </c>
      <c r="Y242" s="289" t="s">
        <v>1</v>
      </c>
      <c r="Z242" s="285" cm="1">
        <f t="array" aca="1" ref="Z242" ca="1">INDIRECT("'"&amp;$C242&amp;"'!"&amp;"$"&amp;$D242&amp;$Z$1&amp;"")</f>
        <v>3.4</v>
      </c>
      <c r="AA242" s="288">
        <f>3.54*3.8</f>
        <v>13.452</v>
      </c>
      <c r="AB242" s="288">
        <v>0.9</v>
      </c>
      <c r="AC242" s="286">
        <v>1.57</v>
      </c>
      <c r="AD242" s="287" cm="1">
        <f t="array" aca="1" ref="AD242" ca="1">INDIRECT("'"&amp;$C242&amp;"'!"&amp;"$"&amp;$D242&amp;$AD$1&amp;"")</f>
        <v>3.8</v>
      </c>
      <c r="AE242" s="288">
        <v>13.452</v>
      </c>
      <c r="AF242" s="288">
        <v>0.9</v>
      </c>
      <c r="AG242" s="289">
        <v>1.68</v>
      </c>
      <c r="AH242" s="285" cm="1">
        <f t="array" aca="1" ref="AH242" ca="1">INDIRECT("'"&amp;$C242&amp;"'!"&amp;"$"&amp;$D242&amp;$AH$1&amp;"")</f>
        <v>3.8</v>
      </c>
      <c r="AI242" s="288">
        <v>14</v>
      </c>
      <c r="AJ242" s="288">
        <v>0.97</v>
      </c>
      <c r="AK242" s="286">
        <v>0.57199999999999995</v>
      </c>
      <c r="AL242" s="285">
        <v>11.6</v>
      </c>
      <c r="AM242" s="289">
        <v>70.7</v>
      </c>
      <c r="AN242" s="285" cm="1">
        <f t="array" aca="1" ref="AN242" ca="1">INDIRECT("'"&amp;$C242&amp;"'!"&amp;"$"&amp;$D242&amp;$AL$1&amp;"")</f>
        <v>3.7</v>
      </c>
      <c r="AO242" s="288">
        <v>0.94</v>
      </c>
      <c r="AP242" s="289">
        <v>1.37</v>
      </c>
      <c r="AQ242" s="285" cm="1">
        <f t="array" aca="1" ref="AQ242" ca="1">INDIRECT("'"&amp;$C242&amp;"'!"&amp;"$"&amp;$D242&amp;$AQ$1&amp;"")</f>
        <v>0</v>
      </c>
      <c r="AR242" s="288" t="s">
        <v>1</v>
      </c>
      <c r="AS242" s="286" t="s">
        <v>1</v>
      </c>
      <c r="AT242" s="285">
        <v>13.91</v>
      </c>
      <c r="AU242" s="289">
        <v>70.3</v>
      </c>
      <c r="AV242" s="288" cm="1">
        <f t="array" aca="1" ref="AV242" ca="1">INDIRECT("'"&amp;$C242&amp;"'!"&amp;"$"&amp;$D242&amp;$AV$1&amp;"")</f>
        <v>0</v>
      </c>
      <c r="AW242" s="287" t="s">
        <v>1</v>
      </c>
      <c r="AX242" s="288" t="s">
        <v>1</v>
      </c>
      <c r="AY242" s="286" t="s">
        <v>1</v>
      </c>
      <c r="AZ242" s="288" cm="1">
        <f t="array" aca="1" ref="AZ242" ca="1">INDIRECT("'"&amp;$C242&amp;"'!"&amp;"$"&amp;$D242&amp;$AZ$1&amp;"")</f>
        <v>7</v>
      </c>
      <c r="BA242" s="287" t="s">
        <v>1</v>
      </c>
      <c r="BB242" s="288">
        <v>0.97</v>
      </c>
      <c r="BC242" s="286">
        <v>1.6</v>
      </c>
      <c r="BD242" s="290">
        <v>14.18</v>
      </c>
      <c r="BE242" s="289">
        <v>71.36</v>
      </c>
      <c r="BF242" s="290" cm="1">
        <f t="array" aca="1" ref="BF242" ca="1">INDIRECT("'"&amp;$C242&amp;"'!"&amp;"$"&amp;$D242&amp;$BF$1&amp;"")</f>
        <v>14.14</v>
      </c>
      <c r="BG242" s="288">
        <v>0.98</v>
      </c>
      <c r="BH242" s="286">
        <v>3.4</v>
      </c>
      <c r="BI242" s="525">
        <v>68</v>
      </c>
      <c r="BJ242" s="285" cm="1">
        <f t="array" aca="1" ref="BJ242" ca="1">INDIRECT("'"&amp;$C242&amp;"'!"&amp;"$"&amp;$D242&amp;$BI$1&amp;"")</f>
        <v>1.5</v>
      </c>
      <c r="BK242" s="287">
        <v>0.96</v>
      </c>
      <c r="BL242" s="286">
        <v>0.43</v>
      </c>
      <c r="BM242" s="290" cm="1">
        <f t="array" aca="1" ref="BM242" ca="1">INDIRECT("'"&amp;$C242&amp;"'!"&amp;"$"&amp;$D242&amp;$BM$1&amp;"")</f>
        <v>1.49</v>
      </c>
      <c r="BN242" s="288"/>
      <c r="BO242" s="288">
        <v>0.99</v>
      </c>
      <c r="BP242" s="286">
        <v>0.2</v>
      </c>
      <c r="BQ242" s="291" cm="1">
        <f t="array" aca="1" ref="BQ242" ca="1">INDIRECT("'"&amp;$C242&amp;"'!"&amp;"$"&amp;$D242&amp;$BQ$1&amp;"")</f>
        <v>0</v>
      </c>
      <c r="BR242" s="288"/>
      <c r="BS242" s="288" t="s">
        <v>1</v>
      </c>
      <c r="BT242" s="286" t="s">
        <v>1</v>
      </c>
      <c r="BU242" s="291" cm="1">
        <f t="array" aca="1" ref="BU242" ca="1">INDIRECT("'"&amp;$C242&amp;"'!"&amp;"$"&amp;$D242&amp;74&amp;"")</f>
        <v>0</v>
      </c>
      <c r="BV242" s="288"/>
      <c r="BW242" s="288" t="s">
        <v>1</v>
      </c>
      <c r="BX242" s="286" t="s">
        <v>1</v>
      </c>
    </row>
    <row r="243" spans="1:76">
      <c r="A243" s="459">
        <v>45848</v>
      </c>
      <c r="B243" s="345">
        <v>0.54166666666666696</v>
      </c>
      <c r="C243" s="305">
        <v>10</v>
      </c>
      <c r="D243" s="306" t="s">
        <v>155</v>
      </c>
      <c r="E243" s="278">
        <v>14</v>
      </c>
      <c r="F243" s="279">
        <v>69.47</v>
      </c>
      <c r="G243" s="280" t="str" cm="1">
        <f t="array" aca="1" ref="G243" ca="1">INDIRECT("'"&amp;$C243&amp;"'!"&amp;"$"&amp;$D243&amp;$E$1&amp;"")</f>
        <v>CMS</v>
      </c>
      <c r="H243" s="281" t="s">
        <v>1</v>
      </c>
      <c r="I243" s="279" t="s">
        <v>1</v>
      </c>
      <c r="J243" s="280" cm="1">
        <f t="array" aca="1" ref="J243" ca="1">INDIRECT("'"&amp;$C243&amp;"'!"&amp;"$"&amp;$D243&amp;$J$1&amp;"")</f>
        <v>6.7</v>
      </c>
      <c r="K243" s="281"/>
      <c r="L243" s="281">
        <v>0.91</v>
      </c>
      <c r="M243" s="279">
        <v>3.19</v>
      </c>
      <c r="N243" s="278" cm="1">
        <f t="array" aca="1" ref="N243" ca="1">INDIRECT("'"&amp;$C243&amp;"'!"&amp;"$"&amp;$D243&amp;$N$1&amp;"")</f>
        <v>6.7</v>
      </c>
      <c r="O243" s="281"/>
      <c r="P243" s="281">
        <v>0.91</v>
      </c>
      <c r="Q243" s="279">
        <v>3.17</v>
      </c>
      <c r="R243" s="468" cm="1">
        <f t="array" aca="1" ref="R243" ca="1">INDIRECT("'"&amp;$C243&amp;"'!"&amp;"$"&amp;$D243&amp;$R$1&amp;"")</f>
        <v>6.7</v>
      </c>
      <c r="S243" s="281"/>
      <c r="T243" s="281">
        <v>0.91</v>
      </c>
      <c r="U243" s="279">
        <v>3.17</v>
      </c>
      <c r="V243" s="280" t="str" cm="1">
        <f t="array" aca="1" ref="V243" ca="1">INDIRECT("'"&amp;$C243&amp;"'!"&amp;"$"&amp;$D243&amp;$V$1&amp;"")</f>
        <v>CMS</v>
      </c>
      <c r="W243" s="281" t="s">
        <v>1</v>
      </c>
      <c r="X243" s="281" t="s">
        <v>1</v>
      </c>
      <c r="Y243" s="282" t="s">
        <v>1</v>
      </c>
      <c r="Z243" s="278" cm="1">
        <f t="array" aca="1" ref="Z243" ca="1">INDIRECT("'"&amp;$C243&amp;"'!"&amp;"$"&amp;$D243&amp;$Z$1&amp;"")</f>
        <v>3.4</v>
      </c>
      <c r="AA243" s="281">
        <f>3.8*3.52</f>
        <v>13.375999999999999</v>
      </c>
      <c r="AB243" s="281">
        <v>0.9</v>
      </c>
      <c r="AC243" s="279">
        <v>0.57999999999999996</v>
      </c>
      <c r="AD243" s="280" cm="1">
        <f t="array" aca="1" ref="AD243" ca="1">INDIRECT("'"&amp;$C243&amp;"'!"&amp;"$"&amp;$D243&amp;$AD$1&amp;"")</f>
        <v>3.6</v>
      </c>
      <c r="AE243" s="281">
        <f>3.8*3.52</f>
        <v>13.375999999999999</v>
      </c>
      <c r="AF243" s="281">
        <v>0.9</v>
      </c>
      <c r="AG243" s="282">
        <v>1.64</v>
      </c>
      <c r="AH243" s="278" cm="1">
        <f t="array" aca="1" ref="AH243" ca="1">INDIRECT("'"&amp;$C243&amp;"'!"&amp;"$"&amp;$D243&amp;$AH$1&amp;"")</f>
        <v>3.8</v>
      </c>
      <c r="AI243" s="281">
        <v>14</v>
      </c>
      <c r="AJ243" s="281">
        <v>0.98</v>
      </c>
      <c r="AK243" s="279">
        <v>0.46100000000000002</v>
      </c>
      <c r="AL243" s="278">
        <v>11.6</v>
      </c>
      <c r="AM243" s="282">
        <v>70.8</v>
      </c>
      <c r="AN243" s="278" cm="1">
        <f t="array" aca="1" ref="AN243" ca="1">INDIRECT("'"&amp;$C243&amp;"'!"&amp;"$"&amp;$D243&amp;$AL$1&amp;"")</f>
        <v>3.7</v>
      </c>
      <c r="AO243" s="281">
        <v>0.94</v>
      </c>
      <c r="AP243" s="282">
        <v>1.31</v>
      </c>
      <c r="AQ243" s="278" cm="1">
        <f t="array" aca="1" ref="AQ243" ca="1">INDIRECT("'"&amp;$C243&amp;"'!"&amp;"$"&amp;$D243&amp;$AQ$1&amp;"")</f>
        <v>0</v>
      </c>
      <c r="AR243" s="281" t="s">
        <v>1</v>
      </c>
      <c r="AS243" s="279" t="s">
        <v>1</v>
      </c>
      <c r="AT243" s="278">
        <v>13.91</v>
      </c>
      <c r="AU243" s="282">
        <v>70.2</v>
      </c>
      <c r="AV243" s="281" cm="1">
        <f t="array" aca="1" ref="AV243" ca="1">INDIRECT("'"&amp;$C243&amp;"'!"&amp;"$"&amp;$D243&amp;$AV$1&amp;"")</f>
        <v>0</v>
      </c>
      <c r="AW243" s="280">
        <v>13.7</v>
      </c>
      <c r="AX243" s="281" t="s">
        <v>1</v>
      </c>
      <c r="AY243" s="279" t="s">
        <v>1</v>
      </c>
      <c r="AZ243" s="281" cm="1">
        <f t="array" aca="1" ref="AZ243" ca="1">INDIRECT("'"&amp;$C243&amp;"'!"&amp;"$"&amp;$D243&amp;$AZ$1&amp;"")</f>
        <v>7</v>
      </c>
      <c r="BA243" s="280">
        <v>13.7</v>
      </c>
      <c r="BB243" s="281">
        <v>0.97</v>
      </c>
      <c r="BC243" s="279">
        <v>1.6</v>
      </c>
      <c r="BD243" s="283">
        <v>14.25</v>
      </c>
      <c r="BE243" s="282">
        <v>71.7</v>
      </c>
      <c r="BF243" s="283" cm="1">
        <f t="array" aca="1" ref="BF243" ca="1">INDIRECT("'"&amp;$C243&amp;"'!"&amp;"$"&amp;$D243&amp;$BF$1&amp;"")</f>
        <v>14.29</v>
      </c>
      <c r="BG243" s="281">
        <v>0.98</v>
      </c>
      <c r="BH243" s="279">
        <v>3.4</v>
      </c>
      <c r="BI243" s="524">
        <v>67.900000000000006</v>
      </c>
      <c r="BJ243" s="278" cm="1">
        <f t="array" aca="1" ref="BJ243" ca="1">INDIRECT("'"&amp;$C243&amp;"'!"&amp;"$"&amp;$D243&amp;$BI$1&amp;"")</f>
        <v>2.2999999999999998</v>
      </c>
      <c r="BK243" s="280">
        <v>0.96</v>
      </c>
      <c r="BL243" s="279">
        <v>0.66</v>
      </c>
      <c r="BM243" s="283" cm="1">
        <f t="array" aca="1" ref="BM243" ca="1">INDIRECT("'"&amp;$C243&amp;"'!"&amp;"$"&amp;$D243&amp;$BM$1&amp;"")</f>
        <v>1.34</v>
      </c>
      <c r="BN243" s="281"/>
      <c r="BO243" s="281">
        <v>0.99</v>
      </c>
      <c r="BP243" s="279">
        <v>0.17</v>
      </c>
      <c r="BQ243" s="284" cm="1">
        <f t="array" aca="1" ref="BQ243" ca="1">INDIRECT("'"&amp;$C243&amp;"'!"&amp;"$"&amp;$D243&amp;$BQ$1&amp;"")</f>
        <v>0.83</v>
      </c>
      <c r="BR243" s="281"/>
      <c r="BS243" s="281">
        <v>0.96</v>
      </c>
      <c r="BT243" s="279">
        <v>0.23</v>
      </c>
      <c r="BU243" s="284" cm="1">
        <f t="array" aca="1" ref="BU243" ca="1">INDIRECT("'"&amp;$C243&amp;"'!"&amp;"$"&amp;$D243&amp;74&amp;"")</f>
        <v>0</v>
      </c>
      <c r="BV243" s="281"/>
      <c r="BW243" s="281" t="s">
        <v>1</v>
      </c>
      <c r="BX243" s="279" t="s">
        <v>1</v>
      </c>
    </row>
    <row r="244" spans="1:76">
      <c r="A244" s="459">
        <v>45848</v>
      </c>
      <c r="B244" s="345">
        <v>0.58333333333333404</v>
      </c>
      <c r="C244" s="305">
        <v>10</v>
      </c>
      <c r="D244" s="306" t="s">
        <v>156</v>
      </c>
      <c r="E244" s="285">
        <v>14.1</v>
      </c>
      <c r="F244" s="286">
        <v>69.58</v>
      </c>
      <c r="G244" s="287" t="str" cm="1">
        <f t="array" aca="1" ref="G244" ca="1">INDIRECT("'"&amp;$C244&amp;"'!"&amp;"$"&amp;$D244&amp;$E$1&amp;"")</f>
        <v>CMS</v>
      </c>
      <c r="H244" s="288" t="s">
        <v>1</v>
      </c>
      <c r="I244" s="286" t="s">
        <v>1</v>
      </c>
      <c r="J244" s="287" cm="1">
        <f t="array" aca="1" ref="J244" ca="1">INDIRECT("'"&amp;$C244&amp;"'!"&amp;"$"&amp;$D244&amp;$J$1&amp;"")</f>
        <v>6.5</v>
      </c>
      <c r="K244" s="288"/>
      <c r="L244" s="288">
        <v>0.91</v>
      </c>
      <c r="M244" s="289">
        <v>2.94</v>
      </c>
      <c r="N244" s="285" cm="1">
        <f t="array" aca="1" ref="N244" ca="1">INDIRECT("'"&amp;$C244&amp;"'!"&amp;"$"&amp;$D244&amp;$N$1&amp;"")</f>
        <v>6.5</v>
      </c>
      <c r="O244" s="288"/>
      <c r="P244" s="288">
        <v>0.91</v>
      </c>
      <c r="Q244" s="286">
        <v>2.91</v>
      </c>
      <c r="R244" s="285" cm="1">
        <f t="array" aca="1" ref="R244" ca="1">INDIRECT("'"&amp;$C244&amp;"'!"&amp;"$"&amp;$D244&amp;$R$1&amp;"")</f>
        <v>6.5</v>
      </c>
      <c r="S244" s="288"/>
      <c r="T244" s="288">
        <v>0.91</v>
      </c>
      <c r="U244" s="286">
        <v>2.92</v>
      </c>
      <c r="V244" s="287" t="str" cm="1">
        <f t="array" aca="1" ref="V244" ca="1">INDIRECT("'"&amp;$C244&amp;"'!"&amp;"$"&amp;$D244&amp;$V$1&amp;"")</f>
        <v>CMS</v>
      </c>
      <c r="W244" s="288" t="s">
        <v>1</v>
      </c>
      <c r="X244" s="288" t="s">
        <v>1</v>
      </c>
      <c r="Y244" s="289" t="s">
        <v>1</v>
      </c>
      <c r="Z244" s="285" cm="1">
        <f t="array" aca="1" ref="Z244" ca="1">INDIRECT("'"&amp;$C244&amp;"'!"&amp;"$"&amp;$D244&amp;$Z$1&amp;"")</f>
        <v>3.4</v>
      </c>
      <c r="AA244" s="288">
        <f>3.8*3.52</f>
        <v>13.375999999999999</v>
      </c>
      <c r="AB244" s="288">
        <v>0.92</v>
      </c>
      <c r="AC244" s="286">
        <v>1.45</v>
      </c>
      <c r="AD244" s="287" cm="1">
        <f t="array" aca="1" ref="AD244" ca="1">INDIRECT("'"&amp;$C244&amp;"'!"&amp;"$"&amp;$D244&amp;$AD$1&amp;"")</f>
        <v>3.8</v>
      </c>
      <c r="AE244" s="288">
        <f>3.8*3.52</f>
        <v>13.375999999999999</v>
      </c>
      <c r="AF244" s="288">
        <v>0.92</v>
      </c>
      <c r="AG244" s="289">
        <v>1.53</v>
      </c>
      <c r="AH244" s="285" cm="1">
        <f t="array" aca="1" ref="AH244" ca="1">INDIRECT("'"&amp;$C244&amp;"'!"&amp;"$"&amp;$D244&amp;$AH$1&amp;"")</f>
        <v>3.8</v>
      </c>
      <c r="AI244" s="288">
        <v>14</v>
      </c>
      <c r="AJ244" s="288">
        <v>0.98</v>
      </c>
      <c r="AK244" s="286">
        <v>0.501</v>
      </c>
      <c r="AL244" s="285">
        <v>11.6</v>
      </c>
      <c r="AM244" s="289">
        <v>70.5</v>
      </c>
      <c r="AN244" s="285" cm="1">
        <f t="array" aca="1" ref="AN244" ca="1">INDIRECT("'"&amp;$C244&amp;"'!"&amp;"$"&amp;$D244&amp;$AL$1&amp;"")</f>
        <v>3.8</v>
      </c>
      <c r="AO244" s="288">
        <v>0.94</v>
      </c>
      <c r="AP244" s="289">
        <v>1.47</v>
      </c>
      <c r="AQ244" s="285" cm="1">
        <f t="array" aca="1" ref="AQ244" ca="1">INDIRECT("'"&amp;$C244&amp;"'!"&amp;"$"&amp;$D244&amp;$AQ$1&amp;"")</f>
        <v>0</v>
      </c>
      <c r="AR244" s="288" t="s">
        <v>1</v>
      </c>
      <c r="AS244" s="286" t="s">
        <v>1</v>
      </c>
      <c r="AT244" s="285">
        <v>13.88</v>
      </c>
      <c r="AU244" s="289">
        <v>70.2</v>
      </c>
      <c r="AV244" s="288" cm="1">
        <f t="array" aca="1" ref="AV244" ca="1">INDIRECT("'"&amp;$C244&amp;"'!"&amp;"$"&amp;$D244&amp;$AV$1&amp;"")</f>
        <v>0.94</v>
      </c>
      <c r="AW244" s="287">
        <v>13.7</v>
      </c>
      <c r="AX244" s="288">
        <v>0.91</v>
      </c>
      <c r="AY244" s="286">
        <v>0.39</v>
      </c>
      <c r="AZ244" s="288" cm="1">
        <f t="array" aca="1" ref="AZ244" ca="1">INDIRECT("'"&amp;$C244&amp;"'!"&amp;"$"&amp;$D244&amp;$AZ$1&amp;"")</f>
        <v>7</v>
      </c>
      <c r="BA244" s="287">
        <v>13.7</v>
      </c>
      <c r="BB244" s="288">
        <v>0.98</v>
      </c>
      <c r="BC244" s="286">
        <v>1.2</v>
      </c>
      <c r="BD244" s="290">
        <v>14.18</v>
      </c>
      <c r="BE244" s="289">
        <v>71.31</v>
      </c>
      <c r="BF244" s="290" cm="1">
        <f t="array" aca="1" ref="BF244" ca="1">INDIRECT("'"&amp;$C244&amp;"'!"&amp;"$"&amp;$D244&amp;$BF$1&amp;"")</f>
        <v>14.16</v>
      </c>
      <c r="BG244" s="288">
        <v>0.98</v>
      </c>
      <c r="BH244" s="286">
        <v>3.4</v>
      </c>
      <c r="BI244" s="525">
        <v>68</v>
      </c>
      <c r="BJ244" s="285" cm="1">
        <f t="array" aca="1" ref="BJ244" ca="1">INDIRECT("'"&amp;$C244&amp;"'!"&amp;"$"&amp;$D244&amp;$BI$1&amp;"")</f>
        <v>3.9000000000000004</v>
      </c>
      <c r="BK244" s="287">
        <v>0.96</v>
      </c>
      <c r="BL244" s="286">
        <v>1.1000000000000001</v>
      </c>
      <c r="BM244" s="290" cm="1">
        <f t="array" aca="1" ref="BM244" ca="1">INDIRECT("'"&amp;$C244&amp;"'!"&amp;"$"&amp;$D244&amp;$BM$1&amp;"")</f>
        <v>1.4</v>
      </c>
      <c r="BN244" s="288"/>
      <c r="BO244" s="288">
        <v>0.99</v>
      </c>
      <c r="BP244" s="286">
        <v>0.19</v>
      </c>
      <c r="BQ244" s="291" cm="1">
        <f t="array" aca="1" ref="BQ244" ca="1">INDIRECT("'"&amp;$C244&amp;"'!"&amp;"$"&amp;$D244&amp;$BQ$1&amp;"")</f>
        <v>0</v>
      </c>
      <c r="BR244" s="288"/>
      <c r="BS244" s="288" t="s">
        <v>1</v>
      </c>
      <c r="BT244" s="286" t="s">
        <v>1</v>
      </c>
      <c r="BU244" s="291" cm="1">
        <f t="array" aca="1" ref="BU244" ca="1">INDIRECT("'"&amp;$C244&amp;"'!"&amp;"$"&amp;$D244&amp;74&amp;"")</f>
        <v>0</v>
      </c>
      <c r="BV244" s="288"/>
      <c r="BW244" s="288" t="s">
        <v>1</v>
      </c>
      <c r="BX244" s="286" t="s">
        <v>1</v>
      </c>
    </row>
    <row r="245" spans="1:76">
      <c r="A245" s="459">
        <v>45848</v>
      </c>
      <c r="B245" s="345">
        <v>0.625</v>
      </c>
      <c r="C245" s="305">
        <v>10</v>
      </c>
      <c r="D245" s="306" t="s">
        <v>157</v>
      </c>
      <c r="E245" s="278">
        <v>14</v>
      </c>
      <c r="F245" s="279">
        <v>68.83</v>
      </c>
      <c r="G245" s="280" t="str" cm="1">
        <f t="array" aca="1" ref="G245" ca="1">INDIRECT("'"&amp;$C245&amp;"'!"&amp;"$"&amp;$D245&amp;$E$1&amp;"")</f>
        <v>CMS</v>
      </c>
      <c r="H245" s="281" t="s">
        <v>1</v>
      </c>
      <c r="I245" s="279" t="s">
        <v>1</v>
      </c>
      <c r="J245" s="280" cm="1">
        <f t="array" aca="1" ref="J245" ca="1">INDIRECT("'"&amp;$C245&amp;"'!"&amp;"$"&amp;$D245&amp;$J$1&amp;"")</f>
        <v>6.7</v>
      </c>
      <c r="K245" s="281"/>
      <c r="L245" s="281">
        <v>0.9</v>
      </c>
      <c r="M245" s="282">
        <v>3.18</v>
      </c>
      <c r="N245" s="278" cm="1">
        <f t="array" aca="1" ref="N245" ca="1">INDIRECT("'"&amp;$C245&amp;"'!"&amp;"$"&amp;$D245&amp;$N$1&amp;"")</f>
        <v>6.7</v>
      </c>
      <c r="O245" s="281"/>
      <c r="P245" s="281">
        <v>0.9</v>
      </c>
      <c r="Q245" s="279">
        <v>3.14</v>
      </c>
      <c r="R245" s="468" cm="1">
        <f t="array" aca="1" ref="R245" ca="1">INDIRECT("'"&amp;$C245&amp;"'!"&amp;"$"&amp;$D245&amp;$R$1&amp;"")</f>
        <v>6.7</v>
      </c>
      <c r="S245" s="281"/>
      <c r="T245" s="281">
        <v>0.89</v>
      </c>
      <c r="U245" s="279">
        <v>3.28</v>
      </c>
      <c r="V245" s="280" t="str" cm="1">
        <f t="array" aca="1" ref="V245" ca="1">INDIRECT("'"&amp;$C245&amp;"'!"&amp;"$"&amp;$D245&amp;$V$1&amp;"")</f>
        <v>CMS</v>
      </c>
      <c r="W245" s="281" t="s">
        <v>1</v>
      </c>
      <c r="X245" s="281" t="s">
        <v>1</v>
      </c>
      <c r="Y245" s="282" t="s">
        <v>1</v>
      </c>
      <c r="Z245" s="278" cm="1">
        <f t="array" aca="1" ref="Z245" ca="1">INDIRECT("'"&amp;$C245&amp;"'!"&amp;"$"&amp;$D245&amp;$Z$1&amp;"")</f>
        <v>3.4</v>
      </c>
      <c r="AA245" s="281">
        <f>3.8*3.48</f>
        <v>13.224</v>
      </c>
      <c r="AB245" s="281">
        <v>0.92</v>
      </c>
      <c r="AC245" s="279">
        <v>1.44</v>
      </c>
      <c r="AD245" s="280" cm="1">
        <f t="array" aca="1" ref="AD245" ca="1">INDIRECT("'"&amp;$C245&amp;"'!"&amp;"$"&amp;$D245&amp;$AD$1&amp;"")</f>
        <v>3.8</v>
      </c>
      <c r="AE245" s="281">
        <f>3.8*3.48</f>
        <v>13.224</v>
      </c>
      <c r="AF245" s="281">
        <v>0.92</v>
      </c>
      <c r="AG245" s="279">
        <v>1.51</v>
      </c>
      <c r="AH245" s="278" cm="1">
        <f t="array" aca="1" ref="AH245" ca="1">INDIRECT("'"&amp;$C245&amp;"'!"&amp;"$"&amp;$D245&amp;$AH$1&amp;"")</f>
        <v>3.8</v>
      </c>
      <c r="AI245" s="281">
        <v>14</v>
      </c>
      <c r="AJ245" s="281">
        <v>0.97</v>
      </c>
      <c r="AK245" s="279">
        <v>0.621</v>
      </c>
      <c r="AL245" s="278">
        <v>11.6</v>
      </c>
      <c r="AM245" s="282">
        <v>70.599999999999994</v>
      </c>
      <c r="AN245" s="278" cm="1">
        <f t="array" aca="1" ref="AN245" ca="1">INDIRECT("'"&amp;$C245&amp;"'!"&amp;"$"&amp;$D245&amp;$AL$1&amp;"")</f>
        <v>0</v>
      </c>
      <c r="AO245" s="281" t="s">
        <v>1</v>
      </c>
      <c r="AP245" s="282" t="s">
        <v>1</v>
      </c>
      <c r="AQ245" s="278" cm="1">
        <f t="array" aca="1" ref="AQ245" ca="1">INDIRECT("'"&amp;$C245&amp;"'!"&amp;"$"&amp;$D245&amp;$AQ$1&amp;"")</f>
        <v>3.8</v>
      </c>
      <c r="AR245" s="281">
        <v>0.93</v>
      </c>
      <c r="AS245" s="279">
        <v>1.41</v>
      </c>
      <c r="AT245" s="278">
        <v>13.93</v>
      </c>
      <c r="AU245" s="282">
        <v>70.3</v>
      </c>
      <c r="AV245" s="281" cm="1">
        <f t="array" aca="1" ref="AV245" ca="1">INDIRECT("'"&amp;$C245&amp;"'!"&amp;"$"&amp;$D245&amp;$AV$1&amp;"")</f>
        <v>3.4</v>
      </c>
      <c r="AW245" s="280">
        <v>13.7</v>
      </c>
      <c r="AX245" s="281">
        <v>0.95</v>
      </c>
      <c r="AY245" s="279">
        <v>1.2</v>
      </c>
      <c r="AZ245" s="281" cm="1">
        <f t="array" aca="1" ref="AZ245" ca="1">INDIRECT("'"&amp;$C245&amp;"'!"&amp;"$"&amp;$D245&amp;$AZ$1&amp;"")</f>
        <v>7</v>
      </c>
      <c r="BA245" s="280">
        <v>13.7</v>
      </c>
      <c r="BB245" s="281">
        <v>0.98</v>
      </c>
      <c r="BC245" s="279">
        <v>1.5</v>
      </c>
      <c r="BD245" s="283">
        <v>14.2</v>
      </c>
      <c r="BE245" s="282">
        <v>71.400000000000006</v>
      </c>
      <c r="BF245" s="283" cm="1">
        <f t="array" aca="1" ref="BF245" ca="1">INDIRECT("'"&amp;$C245&amp;"'!"&amp;"$"&amp;$D245&amp;$BF$1&amp;"")</f>
        <v>14.16</v>
      </c>
      <c r="BG245" s="281">
        <v>0.98</v>
      </c>
      <c r="BH245" s="279">
        <v>3.4</v>
      </c>
      <c r="BI245" s="524">
        <v>67.2</v>
      </c>
      <c r="BJ245" s="278" cm="1">
        <f t="array" aca="1" ref="BJ245" ca="1">INDIRECT("'"&amp;$C245&amp;"'!"&amp;"$"&amp;$D245&amp;$BI$1&amp;"")</f>
        <v>0.8</v>
      </c>
      <c r="BK245" s="280">
        <v>0.96</v>
      </c>
      <c r="BL245" s="279">
        <v>0.22</v>
      </c>
      <c r="BM245" s="283" cm="1">
        <f t="array" aca="1" ref="BM245" ca="1">INDIRECT("'"&amp;$C245&amp;"'!"&amp;"$"&amp;$D245&amp;$BM$1&amp;"")</f>
        <v>1.48</v>
      </c>
      <c r="BN245" s="281"/>
      <c r="BO245" s="281">
        <v>0.99</v>
      </c>
      <c r="BP245" s="279">
        <v>0.18</v>
      </c>
      <c r="BQ245" s="284" cm="1">
        <f t="array" aca="1" ref="BQ245" ca="1">INDIRECT("'"&amp;$C245&amp;"'!"&amp;"$"&amp;$D245&amp;$BQ$1&amp;"")</f>
        <v>0</v>
      </c>
      <c r="BR245" s="281"/>
      <c r="BS245" s="281" t="s">
        <v>1</v>
      </c>
      <c r="BT245" s="279" t="s">
        <v>1</v>
      </c>
      <c r="BU245" s="284" cm="1">
        <f t="array" aca="1" ref="BU245" ca="1">INDIRECT("'"&amp;$C245&amp;"'!"&amp;"$"&amp;$D245&amp;74&amp;"")</f>
        <v>0</v>
      </c>
      <c r="BV245" s="281"/>
      <c r="BW245" s="281" t="s">
        <v>1</v>
      </c>
      <c r="BX245" s="279" t="s">
        <v>1</v>
      </c>
    </row>
    <row r="246" spans="1:76">
      <c r="A246" s="459">
        <v>45848</v>
      </c>
      <c r="B246" s="345">
        <v>0.66666666666666696</v>
      </c>
      <c r="C246" s="305">
        <v>10</v>
      </c>
      <c r="D246" s="306" t="s">
        <v>158</v>
      </c>
      <c r="E246" s="285">
        <v>14</v>
      </c>
      <c r="F246" s="286">
        <v>68.92</v>
      </c>
      <c r="G246" s="287" t="str" cm="1">
        <f t="array" aca="1" ref="G246" ca="1">INDIRECT("'"&amp;$C246&amp;"'!"&amp;"$"&amp;$D246&amp;$E$1&amp;"")</f>
        <v>CMS</v>
      </c>
      <c r="H246" s="288" t="s">
        <v>1</v>
      </c>
      <c r="I246" s="286" t="s">
        <v>1</v>
      </c>
      <c r="J246" s="287" cm="1">
        <f t="array" aca="1" ref="J246" ca="1">INDIRECT("'"&amp;$C246&amp;"'!"&amp;"$"&amp;$D246&amp;$J$1&amp;"")</f>
        <v>6.5</v>
      </c>
      <c r="K246" s="288"/>
      <c r="L246" s="288">
        <v>0.91</v>
      </c>
      <c r="M246" s="289">
        <v>2.97</v>
      </c>
      <c r="N246" s="285" cm="1">
        <f t="array" aca="1" ref="N246" ca="1">INDIRECT("'"&amp;$C246&amp;"'!"&amp;"$"&amp;$D246&amp;$N$1&amp;"")</f>
        <v>7.2</v>
      </c>
      <c r="O246" s="288"/>
      <c r="P246" s="288">
        <v>0.91</v>
      </c>
      <c r="Q246" s="286">
        <v>3.24</v>
      </c>
      <c r="R246" s="469" cm="1">
        <f t="array" aca="1" ref="R246" ca="1">INDIRECT("'"&amp;$C246&amp;"'!"&amp;"$"&amp;$D246&amp;$R$1&amp;"")</f>
        <v>6.5</v>
      </c>
      <c r="S246" s="288"/>
      <c r="T246" s="288">
        <v>0.91</v>
      </c>
      <c r="U246" s="286">
        <v>2.95</v>
      </c>
      <c r="V246" s="287" t="str" cm="1">
        <f t="array" aca="1" ref="V246" ca="1">INDIRECT("'"&amp;$C246&amp;"'!"&amp;"$"&amp;$D246&amp;$V$1&amp;"")</f>
        <v>CMS</v>
      </c>
      <c r="W246" s="288" t="s">
        <v>1</v>
      </c>
      <c r="X246" s="288" t="s">
        <v>1</v>
      </c>
      <c r="Y246" s="289" t="s">
        <v>1</v>
      </c>
      <c r="Z246" s="285" cm="1">
        <f t="array" aca="1" ref="Z246" ca="1">INDIRECT("'"&amp;$C246&amp;"'!"&amp;"$"&amp;$D246&amp;$Z$1&amp;"")</f>
        <v>3.4</v>
      </c>
      <c r="AA246" s="288">
        <f>3.8*3.49</f>
        <v>13.262</v>
      </c>
      <c r="AB246" s="288">
        <v>0.92</v>
      </c>
      <c r="AC246" s="286">
        <v>1.41</v>
      </c>
      <c r="AD246" s="287" cm="1">
        <f t="array" aca="1" ref="AD246" ca="1">INDIRECT("'"&amp;$C246&amp;"'!"&amp;"$"&amp;$D246&amp;$AD$1&amp;"")</f>
        <v>3.8</v>
      </c>
      <c r="AE246" s="288">
        <f>3.8*3.49</f>
        <v>13.262</v>
      </c>
      <c r="AF246" s="288">
        <v>0.92</v>
      </c>
      <c r="AG246" s="289">
        <v>1.55</v>
      </c>
      <c r="AH246" s="285" cm="1">
        <f t="array" aca="1" ref="AH246" ca="1">INDIRECT("'"&amp;$C246&amp;"'!"&amp;"$"&amp;$D246&amp;$AH$1&amp;"")</f>
        <v>3.8</v>
      </c>
      <c r="AI246" s="288">
        <v>14</v>
      </c>
      <c r="AJ246" s="288">
        <v>0.97</v>
      </c>
      <c r="AK246" s="286">
        <v>0.64100000000000001</v>
      </c>
      <c r="AL246" s="285">
        <v>11.6</v>
      </c>
      <c r="AM246" s="289">
        <v>70.599999999999994</v>
      </c>
      <c r="AN246" s="285" cm="1">
        <f t="array" aca="1" ref="AN246" ca="1">INDIRECT("'"&amp;$C246&amp;"'!"&amp;"$"&amp;$D246&amp;$AL$1&amp;"")</f>
        <v>0</v>
      </c>
      <c r="AO246" s="288" t="s">
        <v>1</v>
      </c>
      <c r="AP246" s="289" t="s">
        <v>1</v>
      </c>
      <c r="AQ246" s="285" cm="1">
        <f t="array" aca="1" ref="AQ246" ca="1">INDIRECT("'"&amp;$C246&amp;"'!"&amp;"$"&amp;$D246&amp;$AQ$1&amp;"")</f>
        <v>3.8</v>
      </c>
      <c r="AR246" s="288">
        <v>0.94</v>
      </c>
      <c r="AS246" s="286">
        <v>1.34</v>
      </c>
      <c r="AT246" s="285">
        <v>13.93</v>
      </c>
      <c r="AU246" s="289">
        <v>70.2</v>
      </c>
      <c r="AV246" s="288" cm="1">
        <f t="array" aca="1" ref="AV246" ca="1">INDIRECT("'"&amp;$C246&amp;"'!"&amp;"$"&amp;$D246&amp;$AV$1&amp;"")</f>
        <v>3</v>
      </c>
      <c r="AW246" s="287" t="s">
        <v>1</v>
      </c>
      <c r="AX246" s="288">
        <v>0.93</v>
      </c>
      <c r="AY246" s="286">
        <v>1.1000000000000001</v>
      </c>
      <c r="AZ246" s="288" cm="1">
        <f t="array" aca="1" ref="AZ246" ca="1">INDIRECT("'"&amp;$C246&amp;"'!"&amp;"$"&amp;$D246&amp;$AZ$1&amp;"")</f>
        <v>7</v>
      </c>
      <c r="BA246" s="287" t="s">
        <v>1</v>
      </c>
      <c r="BB246" s="288">
        <v>0.98</v>
      </c>
      <c r="BC246" s="286">
        <v>1.5</v>
      </c>
      <c r="BD246" s="290">
        <v>14.22</v>
      </c>
      <c r="BE246" s="289">
        <v>71.47</v>
      </c>
      <c r="BF246" s="290" cm="1">
        <f t="array" aca="1" ref="BF246" ca="1">INDIRECT("'"&amp;$C246&amp;"'!"&amp;"$"&amp;$D246&amp;$BF$1&amp;"")</f>
        <v>14.27</v>
      </c>
      <c r="BG246" s="288">
        <v>0.98</v>
      </c>
      <c r="BH246" s="286">
        <v>3.4</v>
      </c>
      <c r="BI246" s="525">
        <v>67.3</v>
      </c>
      <c r="BJ246" s="285" cm="1">
        <f t="array" aca="1" ref="BJ246" ca="1">INDIRECT("'"&amp;$C246&amp;"'!"&amp;"$"&amp;$D246&amp;$BI$1&amp;"")</f>
        <v>0.8</v>
      </c>
      <c r="BK246" s="287">
        <v>0.96</v>
      </c>
      <c r="BL246" s="286">
        <v>0.22</v>
      </c>
      <c r="BM246" s="290" cm="1">
        <f t="array" aca="1" ref="BM246" ca="1">INDIRECT("'"&amp;$C246&amp;"'!"&amp;"$"&amp;$D246&amp;$BM$1&amp;"")</f>
        <v>1.47</v>
      </c>
      <c r="BN246" s="288"/>
      <c r="BO246" s="288">
        <v>0.99</v>
      </c>
      <c r="BP246" s="286">
        <v>0.18</v>
      </c>
      <c r="BQ246" s="291" cm="1">
        <f t="array" aca="1" ref="BQ246" ca="1">INDIRECT("'"&amp;$C246&amp;"'!"&amp;"$"&amp;$D246&amp;$BQ$1&amp;"")</f>
        <v>0.81</v>
      </c>
      <c r="BR246" s="288"/>
      <c r="BS246" s="288">
        <v>0.96</v>
      </c>
      <c r="BT246" s="286">
        <v>0.23</v>
      </c>
      <c r="BU246" s="291" cm="1">
        <f t="array" aca="1" ref="BU246" ca="1">INDIRECT("'"&amp;$C246&amp;"'!"&amp;"$"&amp;$D246&amp;74&amp;"")</f>
        <v>0</v>
      </c>
      <c r="BV246" s="288"/>
      <c r="BW246" s="288" t="s">
        <v>1</v>
      </c>
      <c r="BX246" s="286" t="s">
        <v>1</v>
      </c>
    </row>
    <row r="247" spans="1:76">
      <c r="A247" s="459">
        <v>45848</v>
      </c>
      <c r="B247" s="345">
        <v>0.70833333333333404</v>
      </c>
      <c r="C247" s="305">
        <v>10</v>
      </c>
      <c r="D247" s="306" t="s">
        <v>159</v>
      </c>
      <c r="E247" s="278">
        <v>14</v>
      </c>
      <c r="F247" s="279">
        <v>69.16</v>
      </c>
      <c r="G247" s="280" t="str" cm="1">
        <f t="array" aca="1" ref="G247" ca="1">INDIRECT("'"&amp;$C247&amp;"'!"&amp;"$"&amp;$D247&amp;$E$1&amp;"")</f>
        <v>CMS</v>
      </c>
      <c r="H247" s="281" t="s">
        <v>1</v>
      </c>
      <c r="I247" s="279" t="s">
        <v>1</v>
      </c>
      <c r="J247" s="280" cm="1">
        <f t="array" aca="1" ref="J247" ca="1">INDIRECT("'"&amp;$C247&amp;"'!"&amp;"$"&amp;$D247&amp;$J$1&amp;"")</f>
        <v>6.4</v>
      </c>
      <c r="K247" s="281"/>
      <c r="L247" s="281">
        <v>0.92</v>
      </c>
      <c r="M247" s="282">
        <v>2.87</v>
      </c>
      <c r="N247" s="278" cm="1">
        <f t="array" aca="1" ref="N247" ca="1">INDIRECT("'"&amp;$C247&amp;"'!"&amp;"$"&amp;$D247&amp;$N$1&amp;"")</f>
        <v>6.4</v>
      </c>
      <c r="O247" s="281"/>
      <c r="P247" s="281">
        <v>0.92</v>
      </c>
      <c r="Q247" s="279">
        <v>2.85</v>
      </c>
      <c r="R247" s="468" cm="1">
        <f t="array" aca="1" ref="R247" ca="1">INDIRECT("'"&amp;$C247&amp;"'!"&amp;"$"&amp;$D247&amp;$R$1&amp;"")</f>
        <v>6.4</v>
      </c>
      <c r="S247" s="281"/>
      <c r="T247" s="281">
        <v>0.92</v>
      </c>
      <c r="U247" s="279">
        <v>2.88</v>
      </c>
      <c r="V247" s="280" t="str" cm="1">
        <f t="array" aca="1" ref="V247" ca="1">INDIRECT("'"&amp;$C247&amp;"'!"&amp;"$"&amp;$D247&amp;$V$1&amp;"")</f>
        <v>CMS</v>
      </c>
      <c r="W247" s="281" t="s">
        <v>1</v>
      </c>
      <c r="X247" s="281" t="s">
        <v>1</v>
      </c>
      <c r="Y247" s="282" t="s">
        <v>1</v>
      </c>
      <c r="Z247" s="278" cm="1">
        <f t="array" aca="1" ref="Z247" ca="1">INDIRECT("'"&amp;$C247&amp;"'!"&amp;"$"&amp;$D247&amp;$Z$1&amp;"")</f>
        <v>3</v>
      </c>
      <c r="AA247" s="281">
        <f>3.8*3.5</f>
        <v>13.299999999999999</v>
      </c>
      <c r="AB247" s="281">
        <v>0.92</v>
      </c>
      <c r="AC247" s="279">
        <v>1.36</v>
      </c>
      <c r="AD247" s="280" cm="1">
        <f t="array" aca="1" ref="AD247" ca="1">INDIRECT("'"&amp;$C247&amp;"'!"&amp;"$"&amp;$D247&amp;$AD$1&amp;"")</f>
        <v>3</v>
      </c>
      <c r="AE247" s="281">
        <f>3.8*3.5</f>
        <v>13.299999999999999</v>
      </c>
      <c r="AF247" s="281">
        <v>0.92</v>
      </c>
      <c r="AG247" s="282">
        <v>1.42</v>
      </c>
      <c r="AH247" s="278" cm="1">
        <f t="array" aca="1" ref="AH247" ca="1">INDIRECT("'"&amp;$C247&amp;"'!"&amp;"$"&amp;$D247&amp;$AH$1&amp;"")</f>
        <v>3</v>
      </c>
      <c r="AI247" s="281">
        <v>14</v>
      </c>
      <c r="AJ247" s="281">
        <v>0.98</v>
      </c>
      <c r="AK247" s="279">
        <v>0.56699999999999995</v>
      </c>
      <c r="AL247" s="278">
        <v>11.5</v>
      </c>
      <c r="AM247" s="282">
        <v>70.400000000000006</v>
      </c>
      <c r="AN247" s="278" cm="1">
        <f t="array" aca="1" ref="AN247" ca="1">INDIRECT("'"&amp;$C247&amp;"'!"&amp;"$"&amp;$D247&amp;$AL$1&amp;"")</f>
        <v>0</v>
      </c>
      <c r="AO247" s="281" t="s">
        <v>1</v>
      </c>
      <c r="AP247" s="282" t="s">
        <v>1</v>
      </c>
      <c r="AQ247" s="278" cm="1">
        <f t="array" aca="1" ref="AQ247" ca="1">INDIRECT("'"&amp;$C247&amp;"'!"&amp;"$"&amp;$D247&amp;$AQ$1&amp;"")</f>
        <v>1.5</v>
      </c>
      <c r="AR247" s="281">
        <v>0.94</v>
      </c>
      <c r="AS247" s="279">
        <v>0.64</v>
      </c>
      <c r="AT247" s="278">
        <v>13.91</v>
      </c>
      <c r="AU247" s="282">
        <v>70.2</v>
      </c>
      <c r="AV247" s="281" cm="1">
        <f t="array" aca="1" ref="AV247" ca="1">INDIRECT("'"&amp;$C247&amp;"'!"&amp;"$"&amp;$D247&amp;$AV$1&amp;"")</f>
        <v>2.8</v>
      </c>
      <c r="AW247" s="280" t="s">
        <v>1</v>
      </c>
      <c r="AX247" s="281">
        <v>0.9</v>
      </c>
      <c r="AY247" s="279">
        <v>1.3</v>
      </c>
      <c r="AZ247" s="281" cm="1">
        <f t="array" aca="1" ref="AZ247" ca="1">INDIRECT("'"&amp;$C247&amp;"'!"&amp;"$"&amp;$D247&amp;$AZ$1&amp;"")</f>
        <v>7</v>
      </c>
      <c r="BA247" s="280" t="s">
        <v>1</v>
      </c>
      <c r="BB247" s="281">
        <v>0.97</v>
      </c>
      <c r="BC247" s="279">
        <v>1.7</v>
      </c>
      <c r="BD247" s="283">
        <v>14.26</v>
      </c>
      <c r="BE247" s="282">
        <v>71.77</v>
      </c>
      <c r="BF247" s="283" cm="1">
        <f t="array" aca="1" ref="BF247" ca="1">INDIRECT("'"&amp;$C247&amp;"'!"&amp;"$"&amp;$D247&amp;$BF$1&amp;"")</f>
        <v>14.19</v>
      </c>
      <c r="BG247" s="281">
        <v>0.98</v>
      </c>
      <c r="BH247" s="279">
        <v>3.4</v>
      </c>
      <c r="BI247" s="524">
        <v>67.400000000000006</v>
      </c>
      <c r="BJ247" s="278" cm="1">
        <f t="array" aca="1" ref="BJ247" ca="1">INDIRECT("'"&amp;$C247&amp;"'!"&amp;"$"&amp;$D247&amp;$BI$1&amp;"")</f>
        <v>0</v>
      </c>
      <c r="BK247" s="280" t="s">
        <v>1</v>
      </c>
      <c r="BL247" s="279" t="s">
        <v>1</v>
      </c>
      <c r="BM247" s="283" cm="1">
        <f t="array" aca="1" ref="BM247" ca="1">INDIRECT("'"&amp;$C247&amp;"'!"&amp;"$"&amp;$D247&amp;$BM$1&amp;"")</f>
        <v>1.41</v>
      </c>
      <c r="BN247" s="281"/>
      <c r="BO247" s="281">
        <v>0.99</v>
      </c>
      <c r="BP247" s="279">
        <v>0.18</v>
      </c>
      <c r="BQ247" s="284" cm="1">
        <f t="array" aca="1" ref="BQ247" ca="1">INDIRECT("'"&amp;$C247&amp;"'!"&amp;"$"&amp;$D247&amp;$BQ$1&amp;"")</f>
        <v>0.91</v>
      </c>
      <c r="BR247" s="281"/>
      <c r="BS247" s="281">
        <v>0.96</v>
      </c>
      <c r="BT247" s="279">
        <v>0.25</v>
      </c>
      <c r="BU247" s="284" cm="1">
        <f t="array" aca="1" ref="BU247" ca="1">INDIRECT("'"&amp;$C247&amp;"'!"&amp;"$"&amp;$D247&amp;74&amp;"")</f>
        <v>0</v>
      </c>
      <c r="BV247" s="281"/>
      <c r="BW247" s="281" t="s">
        <v>1</v>
      </c>
      <c r="BX247" s="279" t="s">
        <v>1</v>
      </c>
    </row>
    <row r="248" spans="1:76">
      <c r="A248" s="459">
        <v>45848</v>
      </c>
      <c r="B248" s="345">
        <v>0.750000000000001</v>
      </c>
      <c r="C248" s="305">
        <v>10</v>
      </c>
      <c r="D248" s="306" t="s">
        <v>160</v>
      </c>
      <c r="E248" s="285">
        <v>14</v>
      </c>
      <c r="F248" s="286">
        <v>69.22</v>
      </c>
      <c r="G248" s="287" t="str" cm="1">
        <f t="array" aca="1" ref="G248" ca="1">INDIRECT("'"&amp;$C248&amp;"'!"&amp;"$"&amp;$D248&amp;$E$1&amp;"")</f>
        <v>CMS</v>
      </c>
      <c r="H248" s="288" t="s">
        <v>1</v>
      </c>
      <c r="I248" s="286" t="s">
        <v>1</v>
      </c>
      <c r="J248" s="287" cm="1">
        <f t="array" aca="1" ref="J248" ca="1">INDIRECT("'"&amp;$C248&amp;"'!"&amp;"$"&amp;$D248&amp;$J$1&amp;"")</f>
        <v>6.7</v>
      </c>
      <c r="K248" s="288"/>
      <c r="L248" s="288">
        <v>0.92</v>
      </c>
      <c r="M248" s="289">
        <v>2.76</v>
      </c>
      <c r="N248" s="285" cm="1">
        <f t="array" aca="1" ref="N248" ca="1">INDIRECT("'"&amp;$C248&amp;"'!"&amp;"$"&amp;$D248&amp;$N$1&amp;"")</f>
        <v>6.7</v>
      </c>
      <c r="O248" s="288"/>
      <c r="P248" s="288">
        <v>0.92</v>
      </c>
      <c r="Q248" s="286">
        <v>2.77</v>
      </c>
      <c r="R248" s="285" cm="1">
        <f t="array" aca="1" ref="R248" ca="1">INDIRECT("'"&amp;$C248&amp;"'!"&amp;"$"&amp;$D248&amp;$R$1&amp;"")</f>
        <v>6.7</v>
      </c>
      <c r="S248" s="288"/>
      <c r="T248" s="288">
        <v>0.92</v>
      </c>
      <c r="U248" s="286">
        <v>2.74</v>
      </c>
      <c r="V248" s="287" t="str" cm="1">
        <f t="array" aca="1" ref="V248" ca="1">INDIRECT("'"&amp;$C248&amp;"'!"&amp;"$"&amp;$D248&amp;$V$1&amp;"")</f>
        <v>CMS</v>
      </c>
      <c r="W248" s="288" t="s">
        <v>1</v>
      </c>
      <c r="X248" s="288" t="s">
        <v>1</v>
      </c>
      <c r="Y248" s="289" t="s">
        <v>1</v>
      </c>
      <c r="Z248" s="285" cm="1">
        <f t="array" aca="1" ref="Z248" ca="1">INDIRECT("'"&amp;$C248&amp;"'!"&amp;"$"&amp;$D248&amp;$Z$1&amp;"")</f>
        <v>3</v>
      </c>
      <c r="AA248" s="288">
        <v>13.375999999999999</v>
      </c>
      <c r="AB248" s="288">
        <v>0.93</v>
      </c>
      <c r="AC248" s="286">
        <v>1.23</v>
      </c>
      <c r="AD248" s="287" cm="1">
        <f t="array" aca="1" ref="AD248" ca="1">INDIRECT("'"&amp;$C248&amp;"'!"&amp;"$"&amp;$D248&amp;$AD$1&amp;"")</f>
        <v>3</v>
      </c>
      <c r="AE248" s="288">
        <v>13.375999999999999</v>
      </c>
      <c r="AF248" s="288">
        <v>0.93</v>
      </c>
      <c r="AG248" s="289">
        <v>1.38</v>
      </c>
      <c r="AH248" s="285" cm="1">
        <f t="array" aca="1" ref="AH248" ca="1">INDIRECT("'"&amp;$C248&amp;"'!"&amp;"$"&amp;$D248&amp;$AH$1&amp;"")</f>
        <v>3</v>
      </c>
      <c r="AI248" s="288">
        <v>13.96</v>
      </c>
      <c r="AJ248" s="288">
        <v>0.97</v>
      </c>
      <c r="AK248" s="286">
        <v>0.624</v>
      </c>
      <c r="AL248" s="285">
        <v>11.5</v>
      </c>
      <c r="AM248" s="289">
        <v>70.099999999999994</v>
      </c>
      <c r="AN248" s="285" cm="1">
        <f t="array" aca="1" ref="AN248" ca="1">INDIRECT("'"&amp;$C248&amp;"'!"&amp;"$"&amp;$D248&amp;$AL$1&amp;"")</f>
        <v>0</v>
      </c>
      <c r="AO248" s="288" t="s">
        <v>1</v>
      </c>
      <c r="AP248" s="289" t="s">
        <v>1</v>
      </c>
      <c r="AQ248" s="285" cm="1">
        <f t="array" aca="1" ref="AQ248" ca="1">INDIRECT("'"&amp;$C248&amp;"'!"&amp;"$"&amp;$D248&amp;$AQ$1&amp;"")</f>
        <v>1.8</v>
      </c>
      <c r="AR248" s="288">
        <v>0.93</v>
      </c>
      <c r="AS248" s="286">
        <v>0.99</v>
      </c>
      <c r="AT248" s="285">
        <v>13.78</v>
      </c>
      <c r="AU248" s="289">
        <v>70</v>
      </c>
      <c r="AV248" s="288" cm="1">
        <f t="array" aca="1" ref="AV248" ca="1">INDIRECT("'"&amp;$C248&amp;"'!"&amp;"$"&amp;$D248&amp;$AV$1&amp;"")</f>
        <v>0</v>
      </c>
      <c r="AW248" s="287" t="s">
        <v>1</v>
      </c>
      <c r="AX248" s="288" t="s">
        <v>1</v>
      </c>
      <c r="AY248" s="286" t="s">
        <v>1</v>
      </c>
      <c r="AZ248" s="288" cm="1">
        <f t="array" aca="1" ref="AZ248" ca="1">INDIRECT("'"&amp;$C248&amp;"'!"&amp;"$"&amp;$D248&amp;$AZ$1&amp;"")</f>
        <v>6</v>
      </c>
      <c r="BA248" s="287" t="s">
        <v>1</v>
      </c>
      <c r="BB248" s="288">
        <v>0.98</v>
      </c>
      <c r="BC248" s="286">
        <v>1.3</v>
      </c>
      <c r="BD248" s="290">
        <v>14.06</v>
      </c>
      <c r="BE248" s="289">
        <v>71.09</v>
      </c>
      <c r="BF248" s="290" cm="1">
        <f t="array" aca="1" ref="BF248" ca="1">INDIRECT("'"&amp;$C248&amp;"'!"&amp;"$"&amp;$D248&amp;$BF$1&amp;"")</f>
        <v>14.21</v>
      </c>
      <c r="BG248" s="288">
        <v>0.99</v>
      </c>
      <c r="BH248" s="286">
        <v>2.4</v>
      </c>
      <c r="BI248" s="525">
        <v>67.900000000000006</v>
      </c>
      <c r="BJ248" s="285" cm="1">
        <f t="array" aca="1" ref="BJ248" ca="1">INDIRECT("'"&amp;$C248&amp;"'!"&amp;"$"&amp;$D248&amp;$BI$1&amp;"")</f>
        <v>0</v>
      </c>
      <c r="BK248" s="287" t="s">
        <v>1</v>
      </c>
      <c r="BL248" s="286" t="s">
        <v>1</v>
      </c>
      <c r="BM248" s="290" cm="1">
        <f t="array" aca="1" ref="BM248" ca="1">INDIRECT("'"&amp;$C248&amp;"'!"&amp;"$"&amp;$D248&amp;$BM$1&amp;"")</f>
        <v>1.26</v>
      </c>
      <c r="BN248" s="288"/>
      <c r="BO248" s="288">
        <v>0.99</v>
      </c>
      <c r="BP248" s="286">
        <v>0.15</v>
      </c>
      <c r="BQ248" s="291" cm="1">
        <f t="array" aca="1" ref="BQ248" ca="1">INDIRECT("'"&amp;$C248&amp;"'!"&amp;"$"&amp;$D248&amp;$BQ$1&amp;"")</f>
        <v>0</v>
      </c>
      <c r="BR248" s="288"/>
      <c r="BS248" s="288" t="s">
        <v>1</v>
      </c>
      <c r="BT248" s="286" t="s">
        <v>1</v>
      </c>
      <c r="BU248" s="291" cm="1">
        <f t="array" aca="1" ref="BU248" ca="1">INDIRECT("'"&amp;$C248&amp;"'!"&amp;"$"&amp;$D248&amp;74&amp;"")</f>
        <v>0</v>
      </c>
      <c r="BV248" s="288"/>
      <c r="BW248" s="288" t="s">
        <v>1</v>
      </c>
      <c r="BX248" s="286" t="s">
        <v>1</v>
      </c>
    </row>
    <row r="249" spans="1:76">
      <c r="A249" s="459">
        <v>45848</v>
      </c>
      <c r="B249" s="345">
        <v>0.79166666666666696</v>
      </c>
      <c r="C249" s="305">
        <v>10</v>
      </c>
      <c r="D249" s="306" t="s">
        <v>161</v>
      </c>
      <c r="E249" s="278">
        <v>14</v>
      </c>
      <c r="F249" s="279">
        <v>69.22</v>
      </c>
      <c r="G249" s="280" t="str" cm="1">
        <f t="array" aca="1" ref="G249" ca="1">INDIRECT("'"&amp;$C249&amp;"'!"&amp;"$"&amp;$D249&amp;$E$1&amp;"")</f>
        <v>CMS</v>
      </c>
      <c r="H249" s="281" t="s">
        <v>1</v>
      </c>
      <c r="I249" s="279" t="s">
        <v>1</v>
      </c>
      <c r="J249" s="280" cm="1">
        <f t="array" aca="1" ref="J249" ca="1">INDIRECT("'"&amp;$C249&amp;"'!"&amp;"$"&amp;$D249&amp;$J$1&amp;"")</f>
        <v>6.8</v>
      </c>
      <c r="K249" s="292"/>
      <c r="L249" s="281">
        <v>0.93</v>
      </c>
      <c r="M249" s="282">
        <v>2.73</v>
      </c>
      <c r="N249" s="278" cm="1">
        <f t="array" aca="1" ref="N249" ca="1">INDIRECT("'"&amp;$C249&amp;"'!"&amp;"$"&amp;$D249&amp;$N$1&amp;"")</f>
        <v>6.8</v>
      </c>
      <c r="O249" s="281"/>
      <c r="P249" s="281">
        <v>0.93</v>
      </c>
      <c r="Q249" s="279">
        <v>2.74</v>
      </c>
      <c r="R249" s="468" cm="1">
        <f t="array" aca="1" ref="R249" ca="1">INDIRECT("'"&amp;$C249&amp;"'!"&amp;"$"&amp;$D249&amp;$R$1&amp;"")</f>
        <v>6.8</v>
      </c>
      <c r="S249" s="281"/>
      <c r="T249" s="281">
        <v>0.93</v>
      </c>
      <c r="U249" s="279">
        <v>2.76</v>
      </c>
      <c r="V249" s="280" t="str" cm="1">
        <f t="array" aca="1" ref="V249" ca="1">INDIRECT("'"&amp;$C249&amp;"'!"&amp;"$"&amp;$D249&amp;$V$1&amp;"")</f>
        <v>CMS</v>
      </c>
      <c r="W249" s="281" t="s">
        <v>1</v>
      </c>
      <c r="X249" s="281" t="s">
        <v>1</v>
      </c>
      <c r="Y249" s="282" t="s">
        <v>1</v>
      </c>
      <c r="Z249" s="278" cm="1">
        <f t="array" aca="1" ref="Z249" ca="1">INDIRECT("'"&amp;$C249&amp;"'!"&amp;"$"&amp;$D249&amp;$Z$1&amp;"")</f>
        <v>3.3</v>
      </c>
      <c r="AA249" s="281">
        <v>13.413999999999998</v>
      </c>
      <c r="AB249" s="281">
        <v>0.93</v>
      </c>
      <c r="AC249" s="279">
        <v>1.31</v>
      </c>
      <c r="AD249" s="280" cm="1">
        <f t="array" aca="1" ref="AD249" ca="1">INDIRECT("'"&amp;$C249&amp;"'!"&amp;"$"&amp;$D249&amp;$AD$1&amp;"")</f>
        <v>3.8</v>
      </c>
      <c r="AE249" s="281">
        <v>13.413999999999998</v>
      </c>
      <c r="AF249" s="281">
        <v>0.93</v>
      </c>
      <c r="AG249" s="282">
        <v>1.45</v>
      </c>
      <c r="AH249" s="278" cm="1">
        <f t="array" aca="1" ref="AH249" ca="1">INDIRECT("'"&amp;$C249&amp;"'!"&amp;"$"&amp;$D249&amp;$AH$1&amp;"")</f>
        <v>3</v>
      </c>
      <c r="AI249" s="281">
        <v>13.96</v>
      </c>
      <c r="AJ249" s="281">
        <v>0.97</v>
      </c>
      <c r="AK249" s="279">
        <v>0.69199999999999995</v>
      </c>
      <c r="AL249" s="278">
        <v>11.6</v>
      </c>
      <c r="AM249" s="282">
        <v>70.3</v>
      </c>
      <c r="AN249" s="278" cm="1">
        <f t="array" aca="1" ref="AN249" ca="1">INDIRECT("'"&amp;$C249&amp;"'!"&amp;"$"&amp;$D249&amp;$AL$1&amp;"")</f>
        <v>0</v>
      </c>
      <c r="AO249" s="281" t="s">
        <v>1</v>
      </c>
      <c r="AP249" s="282" t="s">
        <v>1</v>
      </c>
      <c r="AQ249" s="278" cm="1">
        <f t="array" aca="1" ref="AQ249" ca="1">INDIRECT("'"&amp;$C249&amp;"'!"&amp;"$"&amp;$D249&amp;$AQ$1&amp;"")</f>
        <v>3.8</v>
      </c>
      <c r="AR249" s="281">
        <v>0.95</v>
      </c>
      <c r="AS249" s="279">
        <v>1.32</v>
      </c>
      <c r="AT249" s="278">
        <v>13.9</v>
      </c>
      <c r="AU249" s="282">
        <v>70.2</v>
      </c>
      <c r="AV249" s="281" cm="1">
        <f t="array" aca="1" ref="AV249" ca="1">INDIRECT("'"&amp;$C249&amp;"'!"&amp;"$"&amp;$D249&amp;$AV$1&amp;"")</f>
        <v>0</v>
      </c>
      <c r="AW249" s="280">
        <v>13.7</v>
      </c>
      <c r="AX249" s="281" t="s">
        <v>1</v>
      </c>
      <c r="AY249" s="279" t="s">
        <v>1</v>
      </c>
      <c r="AZ249" s="281" cm="1">
        <f t="array" aca="1" ref="AZ249" ca="1">INDIRECT("'"&amp;$C249&amp;"'!"&amp;"$"&amp;$D249&amp;$AZ$1&amp;"")</f>
        <v>7</v>
      </c>
      <c r="BA249" s="280">
        <v>13.7</v>
      </c>
      <c r="BB249" s="281">
        <v>0.99</v>
      </c>
      <c r="BC249" s="279">
        <v>1.6</v>
      </c>
      <c r="BD249" s="283">
        <v>14.03</v>
      </c>
      <c r="BE249" s="282">
        <v>70.94</v>
      </c>
      <c r="BF249" s="283" cm="1">
        <f t="array" aca="1" ref="BF249" ca="1">INDIRECT("'"&amp;$C249&amp;"'!"&amp;"$"&amp;$D249&amp;$BF$1&amp;"")</f>
        <v>14.29</v>
      </c>
      <c r="BG249" s="281">
        <v>0.99</v>
      </c>
      <c r="BH249" s="279">
        <v>2.2999999999999998</v>
      </c>
      <c r="BI249" s="524">
        <v>67.7</v>
      </c>
      <c r="BJ249" s="278" cm="1">
        <f t="array" aca="1" ref="BJ249" ca="1">INDIRECT("'"&amp;$C249&amp;"'!"&amp;"$"&amp;$D249&amp;$BI$1&amp;"")</f>
        <v>0</v>
      </c>
      <c r="BK249" s="280" t="s">
        <v>1</v>
      </c>
      <c r="BL249" s="279" t="s">
        <v>1</v>
      </c>
      <c r="BM249" s="283" cm="1">
        <f t="array" aca="1" ref="BM249" ca="1">INDIRECT("'"&amp;$C249&amp;"'!"&amp;"$"&amp;$D249&amp;$BM$1&amp;"")</f>
        <v>1.46</v>
      </c>
      <c r="BN249" s="281"/>
      <c r="BO249" s="281">
        <v>0.99</v>
      </c>
      <c r="BP249" s="279">
        <v>0.15</v>
      </c>
      <c r="BQ249" s="284" cm="1">
        <f t="array" aca="1" ref="BQ249" ca="1">INDIRECT("'"&amp;$C249&amp;"'!"&amp;"$"&amp;$D249&amp;$BQ$1&amp;"")</f>
        <v>0.73</v>
      </c>
      <c r="BR249" s="281"/>
      <c r="BS249" s="281">
        <v>0.94</v>
      </c>
      <c r="BT249" s="279">
        <v>0.18</v>
      </c>
      <c r="BU249" s="284" cm="1">
        <f t="array" aca="1" ref="BU249" ca="1">INDIRECT("'"&amp;$C249&amp;"'!"&amp;"$"&amp;$D249&amp;74&amp;"")</f>
        <v>0</v>
      </c>
      <c r="BV249" s="281"/>
      <c r="BW249" s="281" t="s">
        <v>1</v>
      </c>
      <c r="BX249" s="279" t="s">
        <v>1</v>
      </c>
    </row>
    <row r="250" spans="1:76">
      <c r="A250" s="459">
        <v>45848</v>
      </c>
      <c r="B250" s="345">
        <v>0.83333333333333337</v>
      </c>
      <c r="C250" s="305">
        <v>10</v>
      </c>
      <c r="D250" s="306" t="s">
        <v>162</v>
      </c>
      <c r="E250" s="285">
        <v>14</v>
      </c>
      <c r="F250" s="286">
        <v>69.709999999999994</v>
      </c>
      <c r="G250" s="287" t="str" cm="1">
        <f t="array" aca="1" ref="G250" ca="1">INDIRECT("'"&amp;$C250&amp;"'!"&amp;"$"&amp;$D250&amp;$E$1&amp;"")</f>
        <v>CMS</v>
      </c>
      <c r="H250" s="288" t="s">
        <v>1</v>
      </c>
      <c r="I250" s="286" t="s">
        <v>1</v>
      </c>
      <c r="J250" s="287" cm="1">
        <f t="array" aca="1" ref="J250" ca="1">INDIRECT("'"&amp;$C250&amp;"'!"&amp;"$"&amp;$D250&amp;$J$1&amp;"")</f>
        <v>6.7</v>
      </c>
      <c r="K250" s="288"/>
      <c r="L250" s="288">
        <v>0.96</v>
      </c>
      <c r="M250" s="289">
        <v>2</v>
      </c>
      <c r="N250" s="285" cm="1">
        <f t="array" aca="1" ref="N250" ca="1">INDIRECT("'"&amp;$C250&amp;"'!"&amp;"$"&amp;$D250&amp;$N$1&amp;"")</f>
        <v>6.7</v>
      </c>
      <c r="O250" s="288"/>
      <c r="P250" s="288">
        <v>0.96</v>
      </c>
      <c r="Q250" s="286">
        <v>1.95</v>
      </c>
      <c r="R250" s="285" cm="1">
        <f t="array" aca="1" ref="R250" ca="1">INDIRECT("'"&amp;$C250&amp;"'!"&amp;"$"&amp;$D250&amp;$R$1&amp;"")</f>
        <v>6.7</v>
      </c>
      <c r="S250" s="288"/>
      <c r="T250" s="288">
        <v>0.96</v>
      </c>
      <c r="U250" s="286">
        <v>1.98</v>
      </c>
      <c r="V250" s="287" t="str" cm="1">
        <f t="array" aca="1" ref="V250" ca="1">INDIRECT("'"&amp;$C250&amp;"'!"&amp;"$"&amp;$D250&amp;$V$1&amp;"")</f>
        <v>CMS</v>
      </c>
      <c r="W250" s="288" t="s">
        <v>1</v>
      </c>
      <c r="X250" s="288" t="s">
        <v>1</v>
      </c>
      <c r="Y250" s="289" t="s">
        <v>1</v>
      </c>
      <c r="Z250" s="285" cm="1">
        <f t="array" aca="1" ref="Z250" ca="1">INDIRECT("'"&amp;$C250&amp;"'!"&amp;"$"&amp;$D250&amp;$Z$1&amp;"")</f>
        <v>3</v>
      </c>
      <c r="AA250" s="288">
        <v>13.489999999999998</v>
      </c>
      <c r="AB250" s="288">
        <v>0.94</v>
      </c>
      <c r="AC250" s="286">
        <v>1.1399999999999999</v>
      </c>
      <c r="AD250" s="287" cm="1">
        <f t="array" aca="1" ref="AD250" ca="1">INDIRECT("'"&amp;$C250&amp;"'!"&amp;"$"&amp;$D250&amp;$AD$1&amp;"")</f>
        <v>3</v>
      </c>
      <c r="AE250" s="288">
        <v>13.49</v>
      </c>
      <c r="AF250" s="288">
        <v>0.94</v>
      </c>
      <c r="AG250" s="289">
        <v>1.29</v>
      </c>
      <c r="AH250" s="285" cm="1">
        <f t="array" aca="1" ref="AH250" ca="1">INDIRECT("'"&amp;$C250&amp;"'!"&amp;"$"&amp;$D250&amp;$AH$1&amp;"")</f>
        <v>3</v>
      </c>
      <c r="AI250" s="288">
        <v>13.96</v>
      </c>
      <c r="AJ250" s="288">
        <v>0.98</v>
      </c>
      <c r="AK250" s="286">
        <v>0.627</v>
      </c>
      <c r="AL250" s="285">
        <v>11.6</v>
      </c>
      <c r="AM250" s="289">
        <v>70.5</v>
      </c>
      <c r="AN250" s="285" cm="1">
        <f t="array" aca="1" ref="AN250" ca="1">INDIRECT("'"&amp;$C250&amp;"'!"&amp;"$"&amp;$D250&amp;$AL$1&amp;"")</f>
        <v>0</v>
      </c>
      <c r="AO250" s="288" t="s">
        <v>1</v>
      </c>
      <c r="AP250" s="289" t="s">
        <v>1</v>
      </c>
      <c r="AQ250" s="285" cm="1">
        <f t="array" aca="1" ref="AQ250" ca="1">INDIRECT("'"&amp;$C250&amp;"'!"&amp;"$"&amp;$D250&amp;$AQ$1&amp;"")</f>
        <v>2.7</v>
      </c>
      <c r="AR250" s="288">
        <v>0.92</v>
      </c>
      <c r="AS250" s="286">
        <v>1.24</v>
      </c>
      <c r="AT250" s="285">
        <v>13.9</v>
      </c>
      <c r="AU250" s="289">
        <v>70.2</v>
      </c>
      <c r="AV250" s="288" cm="1">
        <f t="array" aca="1" ref="AV250" ca="1">INDIRECT("'"&amp;$C250&amp;"'!"&amp;"$"&amp;$D250&amp;$AV$1&amp;"")</f>
        <v>0</v>
      </c>
      <c r="AW250" s="287" t="s">
        <v>1</v>
      </c>
      <c r="AX250" s="288" t="s">
        <v>1</v>
      </c>
      <c r="AY250" s="286" t="s">
        <v>1</v>
      </c>
      <c r="AZ250" s="288" cm="1">
        <f t="array" aca="1" ref="AZ250" ca="1">INDIRECT("'"&amp;$C250&amp;"'!"&amp;"$"&amp;$D250&amp;$AZ$1&amp;"")</f>
        <v>7</v>
      </c>
      <c r="BA250" s="287" t="s">
        <v>1</v>
      </c>
      <c r="BB250" s="288">
        <v>0.99</v>
      </c>
      <c r="BC250" s="286">
        <v>1.6</v>
      </c>
      <c r="BD250" s="290">
        <v>14.06</v>
      </c>
      <c r="BE250" s="289">
        <v>71.2</v>
      </c>
      <c r="BF250" s="290" cm="1">
        <f t="array" aca="1" ref="BF250" ca="1">INDIRECT("'"&amp;$C250&amp;"'!"&amp;"$"&amp;$D250&amp;$BF$1&amp;"")</f>
        <v>14.17</v>
      </c>
      <c r="BG250" s="288">
        <v>0.99</v>
      </c>
      <c r="BH250" s="286">
        <v>2.2999999999999998</v>
      </c>
      <c r="BI250" s="525">
        <v>68.2</v>
      </c>
      <c r="BJ250" s="285" cm="1">
        <f t="array" aca="1" ref="BJ250" ca="1">INDIRECT("'"&amp;$C250&amp;"'!"&amp;"$"&amp;$D250&amp;$BI$1&amp;"")</f>
        <v>0</v>
      </c>
      <c r="BK250" s="287" t="s">
        <v>1</v>
      </c>
      <c r="BL250" s="286" t="s">
        <v>1</v>
      </c>
      <c r="BM250" s="290" cm="1">
        <f t="array" aca="1" ref="BM250" ca="1">INDIRECT("'"&amp;$C250&amp;"'!"&amp;"$"&amp;$D250&amp;$BM$1&amp;"")</f>
        <v>1.5500000000000003</v>
      </c>
      <c r="BN250" s="288"/>
      <c r="BO250" s="288">
        <v>0.99</v>
      </c>
      <c r="BP250" s="286">
        <v>0.17</v>
      </c>
      <c r="BQ250" s="291" cm="1">
        <f t="array" aca="1" ref="BQ250" ca="1">INDIRECT("'"&amp;$C250&amp;"'!"&amp;"$"&amp;$D250&amp;$BQ$1&amp;"")</f>
        <v>0.88</v>
      </c>
      <c r="BR250" s="288"/>
      <c r="BS250" s="288">
        <v>0.97</v>
      </c>
      <c r="BT250" s="286">
        <v>0.2</v>
      </c>
      <c r="BU250" s="291" cm="1">
        <f t="array" aca="1" ref="BU250" ca="1">INDIRECT("'"&amp;$C250&amp;"'!"&amp;"$"&amp;$D250&amp;74&amp;"")</f>
        <v>0</v>
      </c>
      <c r="BV250" s="288"/>
      <c r="BW250" s="288" t="s">
        <v>1</v>
      </c>
      <c r="BX250" s="286" t="s">
        <v>1</v>
      </c>
    </row>
    <row r="251" spans="1:76">
      <c r="A251" s="459">
        <v>45848</v>
      </c>
      <c r="B251" s="345">
        <v>0.875000000000001</v>
      </c>
      <c r="C251" s="305">
        <v>10</v>
      </c>
      <c r="D251" s="306" t="s">
        <v>163</v>
      </c>
      <c r="E251" s="278">
        <v>14</v>
      </c>
      <c r="F251" s="279">
        <v>70.06</v>
      </c>
      <c r="G251" s="280" t="str" cm="1">
        <f t="array" aca="1" ref="G251" ca="1">INDIRECT("'"&amp;$C251&amp;"'!"&amp;"$"&amp;$D251&amp;$E$1&amp;"")</f>
        <v>CMS</v>
      </c>
      <c r="H251" s="281" t="s">
        <v>1</v>
      </c>
      <c r="I251" s="279" t="s">
        <v>1</v>
      </c>
      <c r="J251" s="280" cm="1">
        <f t="array" aca="1" ref="J251" ca="1">INDIRECT("'"&amp;$C251&amp;"'!"&amp;"$"&amp;$D251&amp;$J$1&amp;"")</f>
        <v>6.6</v>
      </c>
      <c r="K251" s="281"/>
      <c r="L251" s="281">
        <v>0.94</v>
      </c>
      <c r="M251" s="282">
        <v>2.36</v>
      </c>
      <c r="N251" s="278" cm="1">
        <f t="array" aca="1" ref="N251" ca="1">INDIRECT("'"&amp;$C251&amp;"'!"&amp;"$"&amp;$D251&amp;$N$1&amp;"")</f>
        <v>6.6</v>
      </c>
      <c r="O251" s="281"/>
      <c r="P251" s="281">
        <v>0.94</v>
      </c>
      <c r="Q251" s="279">
        <v>2.36</v>
      </c>
      <c r="R251" s="468" cm="1">
        <f t="array" aca="1" ref="R251" ca="1">INDIRECT("'"&amp;$C251&amp;"'!"&amp;"$"&amp;$D251&amp;$R$1&amp;"")</f>
        <v>6.6</v>
      </c>
      <c r="S251" s="281"/>
      <c r="T251" s="281">
        <v>0.94</v>
      </c>
      <c r="U251" s="279">
        <v>2.36</v>
      </c>
      <c r="V251" s="280" t="str" cm="1">
        <f t="array" aca="1" ref="V251" ca="1">INDIRECT("'"&amp;$C251&amp;"'!"&amp;"$"&amp;$D251&amp;$V$1&amp;"")</f>
        <v>CMS</v>
      </c>
      <c r="W251" s="281" t="s">
        <v>1</v>
      </c>
      <c r="X251" s="281" t="s">
        <v>1</v>
      </c>
      <c r="Y251" s="282" t="s">
        <v>1</v>
      </c>
      <c r="Z251" s="278" cm="1">
        <f t="array" aca="1" ref="Z251" ca="1">INDIRECT("'"&amp;$C251&amp;"'!"&amp;"$"&amp;$D251&amp;$Z$1&amp;"")</f>
        <v>3</v>
      </c>
      <c r="AA251" s="281">
        <f>3.8*3.47</f>
        <v>13.186</v>
      </c>
      <c r="AB251" s="281">
        <v>0.94</v>
      </c>
      <c r="AC251" s="279">
        <v>1.1599999999999999</v>
      </c>
      <c r="AD251" s="280" t="str" cm="1">
        <f t="array" aca="1" ref="AD251" ca="1">INDIRECT("'"&amp;$C251&amp;"'!"&amp;"$"&amp;$D251&amp;$AD$1&amp;"")</f>
        <v>CMS</v>
      </c>
      <c r="AE251" s="281" t="s">
        <v>1</v>
      </c>
      <c r="AF251" s="281" t="s">
        <v>1</v>
      </c>
      <c r="AG251" s="282" t="s">
        <v>1</v>
      </c>
      <c r="AH251" s="278" cm="1">
        <f t="array" aca="1" ref="AH251" ca="1">INDIRECT("'"&amp;$C251&amp;"'!"&amp;"$"&amp;$D251&amp;$AH$1&amp;"")</f>
        <v>3</v>
      </c>
      <c r="AI251" s="281">
        <v>13.92</v>
      </c>
      <c r="AJ251" s="281">
        <v>0.98</v>
      </c>
      <c r="AK251" s="279">
        <v>0.66300000000000003</v>
      </c>
      <c r="AL251" s="278">
        <v>11.6</v>
      </c>
      <c r="AM251" s="282">
        <v>70.2</v>
      </c>
      <c r="AN251" s="278" cm="1">
        <f t="array" aca="1" ref="AN251" ca="1">INDIRECT("'"&amp;$C251&amp;"'!"&amp;"$"&amp;$D251&amp;$AL$1&amp;"")</f>
        <v>0</v>
      </c>
      <c r="AO251" s="281" t="s">
        <v>1</v>
      </c>
      <c r="AP251" s="282" t="s">
        <v>1</v>
      </c>
      <c r="AQ251" s="278" cm="1">
        <f t="array" aca="1" ref="AQ251" ca="1">INDIRECT("'"&amp;$C251&amp;"'!"&amp;"$"&amp;$D251&amp;$AQ$1&amp;"")</f>
        <v>3.8</v>
      </c>
      <c r="AR251" s="281">
        <v>0.96</v>
      </c>
      <c r="AS251" s="279">
        <v>0.81</v>
      </c>
      <c r="AT251" s="278">
        <v>13.9</v>
      </c>
      <c r="AU251" s="282">
        <v>70.2</v>
      </c>
      <c r="AV251" s="281" cm="1">
        <f t="array" aca="1" ref="AV251" ca="1">INDIRECT("'"&amp;$C251&amp;"'!"&amp;"$"&amp;$D251&amp;$AV$1&amp;"")</f>
        <v>0</v>
      </c>
      <c r="AW251" s="280" t="s">
        <v>1</v>
      </c>
      <c r="AX251" s="281" t="s">
        <v>1</v>
      </c>
      <c r="AY251" s="279" t="s">
        <v>1</v>
      </c>
      <c r="AZ251" s="281" cm="1">
        <f t="array" aca="1" ref="AZ251" ca="1">INDIRECT("'"&amp;$C251&amp;"'!"&amp;"$"&amp;$D251&amp;$AZ$1&amp;"")</f>
        <v>7</v>
      </c>
      <c r="BA251" s="280" t="s">
        <v>1</v>
      </c>
      <c r="BB251" s="281">
        <v>0.99</v>
      </c>
      <c r="BC251" s="279">
        <v>1.5</v>
      </c>
      <c r="BD251" s="283">
        <v>14.02</v>
      </c>
      <c r="BE251" s="282">
        <v>71</v>
      </c>
      <c r="BF251" s="283" cm="1">
        <f t="array" aca="1" ref="BF251" ca="1">INDIRECT("'"&amp;$C251&amp;"'!"&amp;"$"&amp;$D251&amp;$BF$1&amp;"")</f>
        <v>14.27</v>
      </c>
      <c r="BG251" s="281">
        <v>0.99</v>
      </c>
      <c r="BH251" s="279">
        <v>2.2999999999999998</v>
      </c>
      <c r="BI251" s="524">
        <v>67.5</v>
      </c>
      <c r="BJ251" s="278" cm="1">
        <f t="array" aca="1" ref="BJ251" ca="1">INDIRECT("'"&amp;$C251&amp;"'!"&amp;"$"&amp;$D251&amp;$BI$1&amp;"")</f>
        <v>0</v>
      </c>
      <c r="BK251" s="280" t="s">
        <v>1</v>
      </c>
      <c r="BL251" s="279" t="s">
        <v>1</v>
      </c>
      <c r="BM251" s="283" cm="1">
        <f t="array" aca="1" ref="BM251" ca="1">INDIRECT("'"&amp;$C251&amp;"'!"&amp;"$"&amp;$D251&amp;$BM$1&amp;"")</f>
        <v>1.42</v>
      </c>
      <c r="BN251" s="281"/>
      <c r="BO251" s="281">
        <v>0.99</v>
      </c>
      <c r="BP251" s="279">
        <v>0.15</v>
      </c>
      <c r="BQ251" s="284" cm="1">
        <f t="array" aca="1" ref="BQ251" ca="1">INDIRECT("'"&amp;$C251&amp;"'!"&amp;"$"&amp;$D251&amp;$BQ$1&amp;"")</f>
        <v>1</v>
      </c>
      <c r="BR251" s="281"/>
      <c r="BS251" s="281">
        <v>0.96</v>
      </c>
      <c r="BT251" s="279">
        <v>0.26</v>
      </c>
      <c r="BU251" s="284" cm="1">
        <f t="array" aca="1" ref="BU251" ca="1">INDIRECT("'"&amp;$C251&amp;"'!"&amp;"$"&amp;$D251&amp;74&amp;"")</f>
        <v>0</v>
      </c>
      <c r="BV251" s="281"/>
      <c r="BW251" s="281" t="s">
        <v>1</v>
      </c>
      <c r="BX251" s="279" t="s">
        <v>1</v>
      </c>
    </row>
    <row r="252" spans="1:76">
      <c r="A252" s="459">
        <v>45848</v>
      </c>
      <c r="B252" s="345">
        <v>0.91666666666666696</v>
      </c>
      <c r="C252" s="305">
        <v>10</v>
      </c>
      <c r="D252" s="306" t="s">
        <v>164</v>
      </c>
      <c r="E252" s="285">
        <v>14.1</v>
      </c>
      <c r="F252" s="286">
        <v>69.650000000000006</v>
      </c>
      <c r="G252" s="287" t="str" cm="1">
        <f t="array" aca="1" ref="G252" ca="1">INDIRECT("'"&amp;$C252&amp;"'!"&amp;"$"&amp;$D252&amp;$E$1&amp;"")</f>
        <v>CMS</v>
      </c>
      <c r="H252" s="288" t="s">
        <v>1</v>
      </c>
      <c r="I252" s="286" t="s">
        <v>1</v>
      </c>
      <c r="J252" s="287" cm="1">
        <f t="array" aca="1" ref="J252" ca="1">INDIRECT("'"&amp;$C252&amp;"'!"&amp;"$"&amp;$D252&amp;$J$1&amp;"")</f>
        <v>6.5</v>
      </c>
      <c r="K252" s="288"/>
      <c r="L252" s="288">
        <v>0.97</v>
      </c>
      <c r="M252" s="289">
        <v>1.7</v>
      </c>
      <c r="N252" s="285" cm="1">
        <f t="array" aca="1" ref="N252" ca="1">INDIRECT("'"&amp;$C252&amp;"'!"&amp;"$"&amp;$D252&amp;$N$1&amp;"")</f>
        <v>6.5</v>
      </c>
      <c r="O252" s="288"/>
      <c r="P252" s="288">
        <v>0.97</v>
      </c>
      <c r="Q252" s="289">
        <v>1.7</v>
      </c>
      <c r="R252" s="285" cm="1">
        <f t="array" aca="1" ref="R252" ca="1">INDIRECT("'"&amp;$C252&amp;"'!"&amp;"$"&amp;$D252&amp;$R$1&amp;"")</f>
        <v>6.5</v>
      </c>
      <c r="S252" s="288"/>
      <c r="T252" s="288">
        <v>0.97</v>
      </c>
      <c r="U252" s="289">
        <v>1.7</v>
      </c>
      <c r="V252" s="287" t="str" cm="1">
        <f t="array" aca="1" ref="V252" ca="1">INDIRECT("'"&amp;$C252&amp;"'!"&amp;"$"&amp;$D252&amp;$V$1&amp;"")</f>
        <v>CMS</v>
      </c>
      <c r="W252" s="288" t="s">
        <v>1</v>
      </c>
      <c r="X252" s="288" t="s">
        <v>1</v>
      </c>
      <c r="Y252" s="289" t="s">
        <v>1</v>
      </c>
      <c r="Z252" s="285" cm="1">
        <f t="array" aca="1" ref="Z252" ca="1">INDIRECT("'"&amp;$C252&amp;"'!"&amp;"$"&amp;$D252&amp;$Z$1&amp;"")</f>
        <v>3</v>
      </c>
      <c r="AA252" s="288">
        <f>3.8*3.52</f>
        <v>13.375999999999999</v>
      </c>
      <c r="AB252" s="288">
        <v>0.94</v>
      </c>
      <c r="AC252" s="286">
        <v>1.1200000000000001</v>
      </c>
      <c r="AD252" s="287" t="str" cm="1">
        <f t="array" aca="1" ref="AD252" ca="1">INDIRECT("'"&amp;$C252&amp;"'!"&amp;"$"&amp;$D252&amp;$AD$1&amp;"")</f>
        <v>CMS</v>
      </c>
      <c r="AE252" s="288" t="s">
        <v>1</v>
      </c>
      <c r="AF252" s="288" t="s">
        <v>1</v>
      </c>
      <c r="AG252" s="289" t="s">
        <v>1</v>
      </c>
      <c r="AH252" s="285" cm="1">
        <f t="array" aca="1" ref="AH252" ca="1">INDIRECT("'"&amp;$C252&amp;"'!"&amp;"$"&amp;$D252&amp;$AH$1&amp;"")</f>
        <v>0</v>
      </c>
      <c r="AI252" s="288" t="s">
        <v>1</v>
      </c>
      <c r="AJ252" s="288" t="s">
        <v>1</v>
      </c>
      <c r="AK252" s="289" t="s">
        <v>1</v>
      </c>
      <c r="AL252" s="285">
        <v>11.5</v>
      </c>
      <c r="AM252" s="289">
        <v>70.400000000000006</v>
      </c>
      <c r="AN252" s="285" cm="1">
        <f t="array" aca="1" ref="AN252" ca="1">INDIRECT("'"&amp;$C252&amp;"'!"&amp;"$"&amp;$D252&amp;$AL$1&amp;"")</f>
        <v>0</v>
      </c>
      <c r="AO252" s="288" t="s">
        <v>1</v>
      </c>
      <c r="AP252" s="289" t="s">
        <v>1</v>
      </c>
      <c r="AQ252" s="285" cm="1">
        <f t="array" aca="1" ref="AQ252" ca="1">INDIRECT("'"&amp;$C252&amp;"'!"&amp;"$"&amp;$D252&amp;$AQ$1&amp;"")</f>
        <v>3</v>
      </c>
      <c r="AR252" s="288">
        <v>0.97</v>
      </c>
      <c r="AS252" s="286">
        <v>0.66</v>
      </c>
      <c r="AT252" s="285">
        <v>13.9</v>
      </c>
      <c r="AU252" s="289">
        <v>70.2</v>
      </c>
      <c r="AV252" s="288" cm="1">
        <f t="array" aca="1" ref="AV252" ca="1">INDIRECT("'"&amp;$C252&amp;"'!"&amp;"$"&amp;$D252&amp;$AV$1&amp;"")</f>
        <v>0</v>
      </c>
      <c r="AW252" s="287" t="s">
        <v>1</v>
      </c>
      <c r="AX252" s="288" t="s">
        <v>1</v>
      </c>
      <c r="AY252" s="286" t="s">
        <v>1</v>
      </c>
      <c r="AZ252" s="288" cm="1">
        <f t="array" aca="1" ref="AZ252" ca="1">INDIRECT("'"&amp;$C252&amp;"'!"&amp;"$"&amp;$D252&amp;$AZ$1&amp;"")</f>
        <v>7</v>
      </c>
      <c r="BA252" s="287" t="s">
        <v>1</v>
      </c>
      <c r="BB252" s="288">
        <v>0.99</v>
      </c>
      <c r="BC252" s="286">
        <v>1.5</v>
      </c>
      <c r="BD252" s="290">
        <v>14.04</v>
      </c>
      <c r="BE252" s="289">
        <v>71.13</v>
      </c>
      <c r="BF252" s="290" cm="1">
        <f t="array" aca="1" ref="BF252" ca="1">INDIRECT("'"&amp;$C252&amp;"'!"&amp;"$"&amp;$D252&amp;$BF$1&amp;"")</f>
        <v>14.29</v>
      </c>
      <c r="BG252" s="288">
        <v>0.99</v>
      </c>
      <c r="BH252" s="286">
        <v>2.2999999999999998</v>
      </c>
      <c r="BI252" s="525">
        <v>68.599999999999994</v>
      </c>
      <c r="BJ252" s="285" cm="1">
        <f t="array" aca="1" ref="BJ252" ca="1">INDIRECT("'"&amp;$C252&amp;"'!"&amp;"$"&amp;$D252&amp;$BI$1&amp;"")</f>
        <v>0</v>
      </c>
      <c r="BK252" s="287" t="s">
        <v>1</v>
      </c>
      <c r="BL252" s="286" t="s">
        <v>1</v>
      </c>
      <c r="BM252" s="290" cm="1">
        <f t="array" aca="1" ref="BM252" ca="1">INDIRECT("'"&amp;$C252&amp;"'!"&amp;"$"&amp;$D252&amp;$BM$1&amp;"")</f>
        <v>1.23</v>
      </c>
      <c r="BN252" s="288"/>
      <c r="BO252" s="288">
        <v>0.99</v>
      </c>
      <c r="BP252" s="286">
        <v>0.13</v>
      </c>
      <c r="BQ252" s="291" cm="1">
        <f t="array" aca="1" ref="BQ252" ca="1">INDIRECT("'"&amp;$C252&amp;"'!"&amp;"$"&amp;$D252&amp;$BQ$1&amp;"")</f>
        <v>0.95</v>
      </c>
      <c r="BR252" s="288"/>
      <c r="BS252" s="288">
        <v>0.97</v>
      </c>
      <c r="BT252" s="286">
        <v>0.25</v>
      </c>
      <c r="BU252" s="291" cm="1">
        <f t="array" aca="1" ref="BU252" ca="1">INDIRECT("'"&amp;$C252&amp;"'!"&amp;"$"&amp;$D252&amp;74&amp;"")</f>
        <v>0</v>
      </c>
      <c r="BV252" s="288"/>
      <c r="BW252" s="288" t="s">
        <v>1</v>
      </c>
      <c r="BX252" s="286" t="s">
        <v>1</v>
      </c>
    </row>
    <row r="253" spans="1:76" ht="14.45" thickBot="1">
      <c r="A253" s="460">
        <v>45848</v>
      </c>
      <c r="B253" s="346">
        <v>0.95833333333333404</v>
      </c>
      <c r="C253" s="307">
        <v>10</v>
      </c>
      <c r="D253" s="308" t="s">
        <v>165</v>
      </c>
      <c r="E253" s="293">
        <v>14.1</v>
      </c>
      <c r="F253" s="294">
        <v>70.150000000000006</v>
      </c>
      <c r="G253" s="295" t="str" cm="1">
        <f t="array" aca="1" ref="G253" ca="1">INDIRECT("'"&amp;$C253&amp;"'!"&amp;"$"&amp;$D253&amp;$E$1&amp;"")</f>
        <v>CMS</v>
      </c>
      <c r="H253" s="296" t="s">
        <v>1</v>
      </c>
      <c r="I253" s="294" t="s">
        <v>1</v>
      </c>
      <c r="J253" s="295" cm="1">
        <f t="array" aca="1" ref="J253" ca="1">INDIRECT("'"&amp;$C253&amp;"'!"&amp;"$"&amp;$D253&amp;$J$1&amp;"")</f>
        <v>6.6</v>
      </c>
      <c r="K253" s="296"/>
      <c r="L253" s="296">
        <v>0.97</v>
      </c>
      <c r="M253" s="297">
        <v>1.49</v>
      </c>
      <c r="N253" s="293" cm="1">
        <f t="array" aca="1" ref="N253" ca="1">INDIRECT("'"&amp;$C253&amp;"'!"&amp;"$"&amp;$D253&amp;$N$1&amp;"")</f>
        <v>0</v>
      </c>
      <c r="O253" s="296"/>
      <c r="P253" s="296" t="s">
        <v>1</v>
      </c>
      <c r="Q253" s="294" t="s">
        <v>1</v>
      </c>
      <c r="R253" s="470" cm="1">
        <f t="array" aca="1" ref="R253" ca="1">INDIRECT("'"&amp;$C253&amp;"'!"&amp;"$"&amp;$D253&amp;$R$1&amp;"")</f>
        <v>6.6</v>
      </c>
      <c r="S253" s="296"/>
      <c r="T253" s="296">
        <v>0.97</v>
      </c>
      <c r="U253" s="294">
        <v>1.49</v>
      </c>
      <c r="V253" s="295" t="str" cm="1">
        <f t="array" aca="1" ref="V253" ca="1">INDIRECT("'"&amp;$C253&amp;"'!"&amp;"$"&amp;$D253&amp;$V$1&amp;"")</f>
        <v>CMS</v>
      </c>
      <c r="W253" s="296" t="s">
        <v>1</v>
      </c>
      <c r="X253" s="296" t="s">
        <v>1</v>
      </c>
      <c r="Y253" s="297" t="s">
        <v>1</v>
      </c>
      <c r="Z253" s="293" cm="1">
        <f t="array" aca="1" ref="Z253" ca="1">INDIRECT("'"&amp;$C253&amp;"'!"&amp;"$"&amp;$D253&amp;$Z$1&amp;"")</f>
        <v>3.4</v>
      </c>
      <c r="AA253" s="281">
        <f>3.8*3.57</f>
        <v>13.565999999999999</v>
      </c>
      <c r="AB253" s="296">
        <v>0.94</v>
      </c>
      <c r="AC253" s="294">
        <v>1.17</v>
      </c>
      <c r="AD253" s="295" t="str" cm="1">
        <f t="array" aca="1" ref="AD253" ca="1">INDIRECT("'"&amp;$C253&amp;"'!"&amp;"$"&amp;$D253&amp;$AD$1&amp;"")</f>
        <v>CMS</v>
      </c>
      <c r="AE253" s="296" t="s">
        <v>1</v>
      </c>
      <c r="AF253" s="296" t="s">
        <v>1</v>
      </c>
      <c r="AG253" s="297" t="s">
        <v>1</v>
      </c>
      <c r="AH253" s="293" cm="1">
        <f t="array" aca="1" ref="AH253" ca="1">INDIRECT("'"&amp;$C253&amp;"'!"&amp;"$"&amp;$D253&amp;$AH$1&amp;"")</f>
        <v>0</v>
      </c>
      <c r="AI253" s="296" t="s">
        <v>1</v>
      </c>
      <c r="AJ253" s="296" t="s">
        <v>1</v>
      </c>
      <c r="AK253" s="294" t="s">
        <v>1</v>
      </c>
      <c r="AL253" s="293">
        <v>11.6</v>
      </c>
      <c r="AM253" s="297">
        <v>71.2</v>
      </c>
      <c r="AN253" s="293" cm="1">
        <f t="array" aca="1" ref="AN253" ca="1">INDIRECT("'"&amp;$C253&amp;"'!"&amp;"$"&amp;$D253&amp;$AL$1&amp;"")</f>
        <v>0</v>
      </c>
      <c r="AO253" s="296" t="s">
        <v>1</v>
      </c>
      <c r="AP253" s="297" t="s">
        <v>1</v>
      </c>
      <c r="AQ253" s="293" cm="1">
        <f t="array" aca="1" ref="AQ253" ca="1">INDIRECT("'"&amp;$C253&amp;"'!"&amp;"$"&amp;$D253&amp;$AQ$1&amp;"")</f>
        <v>3.8</v>
      </c>
      <c r="AR253" s="296">
        <v>0.99</v>
      </c>
      <c r="AS253" s="294">
        <v>0.54</v>
      </c>
      <c r="AT253" s="293">
        <v>13.9</v>
      </c>
      <c r="AU253" s="297">
        <v>70.2</v>
      </c>
      <c r="AV253" s="296" cm="1">
        <f t="array" aca="1" ref="AV253" ca="1">INDIRECT("'"&amp;$C253&amp;"'!"&amp;"$"&amp;$D253&amp;$AV$1&amp;"")</f>
        <v>0</v>
      </c>
      <c r="AW253" s="295" t="s">
        <v>1</v>
      </c>
      <c r="AX253" s="296" t="s">
        <v>1</v>
      </c>
      <c r="AY253" s="294" t="s">
        <v>1</v>
      </c>
      <c r="AZ253" s="296" cm="1">
        <f t="array" aca="1" ref="AZ253" ca="1">INDIRECT("'"&amp;$C253&amp;"'!"&amp;"$"&amp;$D253&amp;$AZ$1&amp;"")</f>
        <v>6</v>
      </c>
      <c r="BA253" s="295" t="s">
        <v>1</v>
      </c>
      <c r="BB253" s="296">
        <v>0.99</v>
      </c>
      <c r="BC253" s="294">
        <v>1</v>
      </c>
      <c r="BD253" s="298">
        <v>14.14</v>
      </c>
      <c r="BE253" s="297">
        <v>70.739999999999995</v>
      </c>
      <c r="BF253" s="298" cm="1">
        <f t="array" aca="1" ref="BF253" ca="1">INDIRECT("'"&amp;$C253&amp;"'!"&amp;"$"&amp;$D253&amp;$BF$1&amp;"")</f>
        <v>14.31</v>
      </c>
      <c r="BG253" s="296">
        <v>0.99</v>
      </c>
      <c r="BH253" s="294">
        <v>2.2999999999999998</v>
      </c>
      <c r="BI253" s="526">
        <v>69.099999999999994</v>
      </c>
      <c r="BJ253" s="293" cm="1">
        <f t="array" aca="1" ref="BJ253" ca="1">INDIRECT("'"&amp;$C253&amp;"'!"&amp;"$"&amp;$D253&amp;$BI$1&amp;"")</f>
        <v>3.8</v>
      </c>
      <c r="BK253" s="295">
        <v>0.97</v>
      </c>
      <c r="BL253" s="294">
        <v>0.95</v>
      </c>
      <c r="BM253" s="298" cm="1">
        <f t="array" aca="1" ref="BM253" ca="1">INDIRECT("'"&amp;$C253&amp;"'!"&amp;"$"&amp;$D253&amp;$BM$1&amp;"")</f>
        <v>1.1200000000000001</v>
      </c>
      <c r="BN253" s="296"/>
      <c r="BO253" s="296">
        <v>0.99</v>
      </c>
      <c r="BP253" s="294">
        <v>0.11</v>
      </c>
      <c r="BQ253" s="299" cm="1">
        <f t="array" aca="1" ref="BQ253" ca="1">INDIRECT("'"&amp;$C253&amp;"'!"&amp;"$"&amp;$D253&amp;$BQ$1&amp;"")</f>
        <v>0.92</v>
      </c>
      <c r="BR253" s="296"/>
      <c r="BS253" s="296">
        <v>0.97</v>
      </c>
      <c r="BT253" s="294">
        <v>0.24</v>
      </c>
      <c r="BU253" s="299" cm="1">
        <f t="array" aca="1" ref="BU253" ca="1">INDIRECT("'"&amp;$C253&amp;"'!"&amp;"$"&amp;$D253&amp;74&amp;"")</f>
        <v>0</v>
      </c>
      <c r="BV253" s="296"/>
      <c r="BW253" s="296" t="s">
        <v>1</v>
      </c>
      <c r="BX253" s="294" t="s">
        <v>1</v>
      </c>
    </row>
    <row r="254" spans="1:76" ht="14.45" thickBot="1"/>
    <row r="255" spans="1:76">
      <c r="A255" s="347">
        <v>45849</v>
      </c>
      <c r="B255" s="344">
        <v>0</v>
      </c>
      <c r="C255" s="302">
        <v>11</v>
      </c>
      <c r="D255" s="303" t="s">
        <v>142</v>
      </c>
      <c r="E255" s="272">
        <v>14.1</v>
      </c>
      <c r="F255" s="273">
        <v>69.88</v>
      </c>
      <c r="G255" s="274" t="str" cm="1">
        <f t="array" aca="1" ref="G255" ca="1">INDIRECT("'"&amp;$C255&amp;"'!"&amp;"$"&amp;$D255&amp;$E$1&amp;"")</f>
        <v>CMS</v>
      </c>
      <c r="H255" s="275" t="s">
        <v>1</v>
      </c>
      <c r="I255" s="273" t="s">
        <v>1</v>
      </c>
      <c r="J255" s="274" cm="1">
        <f t="array" aca="1" ref="J255" ca="1">INDIRECT("'"&amp;$C255&amp;"'!"&amp;"$"&amp;$D255&amp;$J$1&amp;"")</f>
        <v>6.6</v>
      </c>
      <c r="K255" s="275"/>
      <c r="L255" s="275">
        <v>0.97</v>
      </c>
      <c r="M255" s="276">
        <v>1.7</v>
      </c>
      <c r="N255" s="272" cm="1">
        <f t="array" aca="1" ref="N255" ca="1">INDIRECT("'"&amp;$C255&amp;"'!"&amp;"$"&amp;$D255&amp;$N$1&amp;"")</f>
        <v>0</v>
      </c>
      <c r="O255" s="275"/>
      <c r="P255" s="275" t="s">
        <v>1</v>
      </c>
      <c r="Q255" s="273" t="s">
        <v>1</v>
      </c>
      <c r="R255" s="467" cm="1">
        <f t="array" aca="1" ref="R255" ca="1">INDIRECT("'"&amp;$C255&amp;"'!"&amp;"$"&amp;$D255&amp;$R$1&amp;"")</f>
        <v>6.6</v>
      </c>
      <c r="S255" s="275"/>
      <c r="T255" s="275">
        <v>0.97</v>
      </c>
      <c r="U255" s="273">
        <v>1.7</v>
      </c>
      <c r="V255" s="274" cm="1">
        <f t="array" aca="1" ref="V255" ca="1">INDIRECT("'"&amp;$C255&amp;"'!"&amp;"$"&amp;$D255&amp;$V$1&amp;"")</f>
        <v>0.5</v>
      </c>
      <c r="W255" s="275">
        <f>3.8*3.55</f>
        <v>13.489999999999998</v>
      </c>
      <c r="X255" s="275">
        <v>0.97</v>
      </c>
      <c r="Y255" s="276">
        <v>0.14699999999999999</v>
      </c>
      <c r="Z255" s="272" cm="1">
        <f t="array" aca="1" ref="Z255" ca="1">INDIRECT("'"&amp;$C255&amp;"'!"&amp;"$"&amp;$D255&amp;$Z$1&amp;"")</f>
        <v>2.5</v>
      </c>
      <c r="AA255" s="275">
        <v>13.449</v>
      </c>
      <c r="AB255" s="275">
        <v>0.98</v>
      </c>
      <c r="AC255" s="273">
        <v>0.55100000000000005</v>
      </c>
      <c r="AD255" s="274" t="str" cm="1">
        <f t="array" aca="1" ref="AD255" ca="1">INDIRECT("'"&amp;$C255&amp;"'!"&amp;"$"&amp;$D255&amp;$AD$1&amp;"")</f>
        <v>CMS</v>
      </c>
      <c r="AE255" s="275" t="s">
        <v>1</v>
      </c>
      <c r="AF255" s="275" t="s">
        <v>1</v>
      </c>
      <c r="AG255" s="273" t="s">
        <v>1</v>
      </c>
      <c r="AH255" s="272" cm="1">
        <f t="array" aca="1" ref="AH255" ca="1">INDIRECT("'"&amp;$C255&amp;"'!"&amp;"$"&amp;$D255&amp;$AH$1&amp;"")</f>
        <v>0</v>
      </c>
      <c r="AI255" s="275" t="s">
        <v>1</v>
      </c>
      <c r="AJ255" s="275" t="s">
        <v>1</v>
      </c>
      <c r="AK255" s="273" t="s">
        <v>1</v>
      </c>
      <c r="AL255" s="272">
        <v>11.6</v>
      </c>
      <c r="AM255" s="276">
        <v>71.099999999999994</v>
      </c>
      <c r="AN255" s="272" cm="1">
        <f t="array" aca="1" ref="AN255" ca="1">INDIRECT("'"&amp;$C255&amp;"'!"&amp;"$"&amp;$D255&amp;$AL$1&amp;"")</f>
        <v>0</v>
      </c>
      <c r="AO255" s="275" t="s">
        <v>1</v>
      </c>
      <c r="AP255" s="273" t="s">
        <v>1</v>
      </c>
      <c r="AQ255" s="274" cm="1">
        <f t="array" aca="1" ref="AQ255" ca="1">INDIRECT("'"&amp;$C255&amp;"'!"&amp;"$"&amp;$D255&amp;$AQ$1&amp;"")</f>
        <v>3</v>
      </c>
      <c r="AR255" s="275">
        <v>0.98</v>
      </c>
      <c r="AS255" s="273">
        <v>0.64</v>
      </c>
      <c r="AT255" s="272">
        <v>13.9</v>
      </c>
      <c r="AU255" s="276">
        <v>70.2</v>
      </c>
      <c r="AV255" s="275" cm="1">
        <f t="array" aca="1" ref="AV255" ca="1">INDIRECT("'"&amp;$C255&amp;"'!"&amp;"$"&amp;$D255&amp;$AV$1&amp;"")</f>
        <v>0</v>
      </c>
      <c r="AW255" s="274" t="s">
        <v>1</v>
      </c>
      <c r="AX255" s="275" t="s">
        <v>1</v>
      </c>
      <c r="AY255" s="273" t="s">
        <v>1</v>
      </c>
      <c r="AZ255" s="275" cm="1">
        <f t="array" aca="1" ref="AZ255" ca="1">INDIRECT("'"&amp;$C255&amp;"'!"&amp;"$"&amp;$D255&amp;$AZ$1&amp;"")</f>
        <v>7</v>
      </c>
      <c r="BA255" s="274" t="s">
        <v>1</v>
      </c>
      <c r="BB255" s="275">
        <v>0.99</v>
      </c>
      <c r="BC255" s="273">
        <v>1</v>
      </c>
      <c r="BD255" s="277">
        <v>14.22</v>
      </c>
      <c r="BE255" s="276">
        <v>70.87</v>
      </c>
      <c r="BF255" s="277" cm="1">
        <f t="array" aca="1" ref="BF255" ca="1">INDIRECT("'"&amp;$C255&amp;"'!"&amp;"$"&amp;$D255&amp;$BF$1&amp;"")</f>
        <v>14.27</v>
      </c>
      <c r="BG255" s="275">
        <v>0.99</v>
      </c>
      <c r="BH255" s="273">
        <v>2.2999999999999998</v>
      </c>
      <c r="BI255" s="523">
        <v>69.400000000000006</v>
      </c>
      <c r="BJ255" s="272" cm="1">
        <f t="array" aca="1" ref="BJ255" ca="1">INDIRECT("'"&amp;$C255&amp;"'!"&amp;"$"&amp;$D255&amp;$BI$1&amp;"")</f>
        <v>0</v>
      </c>
      <c r="BK255" s="274" t="s">
        <v>1</v>
      </c>
      <c r="BL255" s="273" t="s">
        <v>1</v>
      </c>
      <c r="BM255" s="277" cm="1">
        <f t="array" aca="1" ref="BM255" ca="1">INDIRECT("'"&amp;$C255&amp;"'!"&amp;"$"&amp;$D255&amp;$BM$1&amp;"")</f>
        <v>1.03</v>
      </c>
      <c r="BN255" s="275"/>
      <c r="BO255" s="275">
        <v>0.99</v>
      </c>
      <c r="BP255" s="273">
        <v>0.1</v>
      </c>
      <c r="BQ255" s="277" cm="1">
        <f t="array" aca="1" ref="BQ255" ca="1">INDIRECT("'"&amp;$C255&amp;"'!"&amp;"$"&amp;$D255&amp;$BQ$1&amp;"")</f>
        <v>0.84</v>
      </c>
      <c r="BR255" s="275"/>
      <c r="BS255" s="275">
        <v>0.97</v>
      </c>
      <c r="BT255" s="273">
        <v>0.21</v>
      </c>
      <c r="BU255" s="358" cm="1">
        <f t="array" aca="1" ref="BU255" ca="1">INDIRECT("'"&amp;$C255&amp;"'!"&amp;"$"&amp;$D255&amp;74&amp;"")</f>
        <v>0</v>
      </c>
      <c r="BV255" s="275"/>
      <c r="BW255" s="275" t="s">
        <v>1</v>
      </c>
      <c r="BX255" s="273" t="s">
        <v>1</v>
      </c>
    </row>
    <row r="256" spans="1:76">
      <c r="A256" s="459">
        <v>45849</v>
      </c>
      <c r="B256" s="345">
        <v>4.1666666666666699E-2</v>
      </c>
      <c r="C256" s="305">
        <v>11</v>
      </c>
      <c r="D256" s="306" t="s">
        <v>143</v>
      </c>
      <c r="E256" s="278">
        <v>14</v>
      </c>
      <c r="F256" s="279">
        <v>69.5</v>
      </c>
      <c r="G256" s="280" t="str" cm="1">
        <f t="array" aca="1" ref="G256" ca="1">INDIRECT("'"&amp;$C256&amp;"'!"&amp;"$"&amp;$D256&amp;$E$1&amp;"")</f>
        <v>CMS</v>
      </c>
      <c r="H256" s="281" t="s">
        <v>1</v>
      </c>
      <c r="I256" s="279" t="s">
        <v>1</v>
      </c>
      <c r="J256" s="280" cm="1">
        <f t="array" aca="1" ref="J256" ca="1">INDIRECT("'"&amp;$C256&amp;"'!"&amp;"$"&amp;$D256&amp;$J$1&amp;"")</f>
        <v>6.7</v>
      </c>
      <c r="K256" s="281"/>
      <c r="L256" s="281">
        <v>0.98</v>
      </c>
      <c r="M256" s="282">
        <v>1.46</v>
      </c>
      <c r="N256" s="278" cm="1">
        <f t="array" aca="1" ref="N256" ca="1">INDIRECT("'"&amp;$C256&amp;"'!"&amp;"$"&amp;$D256&amp;$N$1&amp;"")</f>
        <v>0</v>
      </c>
      <c r="O256" s="281"/>
      <c r="P256" s="281" t="s">
        <v>1</v>
      </c>
      <c r="Q256" s="279" t="s">
        <v>1</v>
      </c>
      <c r="R256" s="468" cm="1">
        <f t="array" aca="1" ref="R256" ca="1">INDIRECT("'"&amp;$C256&amp;"'!"&amp;"$"&amp;$D256&amp;$R$1&amp;"")</f>
        <v>6.8</v>
      </c>
      <c r="S256" s="281"/>
      <c r="T256" s="281">
        <v>0.95</v>
      </c>
      <c r="U256" s="279">
        <v>2.12</v>
      </c>
      <c r="V256" s="280" cm="1">
        <f t="array" aca="1" ref="V256" ca="1">INDIRECT("'"&amp;$C256&amp;"'!"&amp;"$"&amp;$D256&amp;$V$1&amp;"")</f>
        <v>0</v>
      </c>
      <c r="W256" s="281" t="s">
        <v>1</v>
      </c>
      <c r="X256" s="281" t="s">
        <v>1</v>
      </c>
      <c r="Y256" s="282" t="s">
        <v>1</v>
      </c>
      <c r="Z256" s="278" cm="1">
        <f t="array" aca="1" ref="Z256" ca="1">INDIRECT("'"&amp;$C256&amp;"'!"&amp;"$"&amp;$D256&amp;$Z$1&amp;"")</f>
        <v>0</v>
      </c>
      <c r="AA256" s="281" t="s">
        <v>1</v>
      </c>
      <c r="AB256" s="281" t="s">
        <v>1</v>
      </c>
      <c r="AC256" s="279" t="s">
        <v>1</v>
      </c>
      <c r="AD256" s="280" t="str" cm="1">
        <f t="array" aca="1" ref="AD256" ca="1">INDIRECT("'"&amp;$C256&amp;"'!"&amp;"$"&amp;$D256&amp;$AD$1&amp;"")</f>
        <v>CMS</v>
      </c>
      <c r="AE256" s="281" t="s">
        <v>1</v>
      </c>
      <c r="AF256" s="281" t="s">
        <v>1</v>
      </c>
      <c r="AG256" s="282" t="s">
        <v>1</v>
      </c>
      <c r="AH256" s="278" cm="1">
        <f t="array" aca="1" ref="AH256" ca="1">INDIRECT("'"&amp;$C256&amp;"'!"&amp;"$"&amp;$D256&amp;$AH$1&amp;"")</f>
        <v>0</v>
      </c>
      <c r="AI256" s="281" t="s">
        <v>1</v>
      </c>
      <c r="AJ256" s="281" t="s">
        <v>1</v>
      </c>
      <c r="AK256" s="279" t="s">
        <v>1</v>
      </c>
      <c r="AL256" s="278">
        <v>11.6</v>
      </c>
      <c r="AM256" s="282">
        <v>70.8</v>
      </c>
      <c r="AN256" s="278" cm="1">
        <f t="array" aca="1" ref="AN256" ca="1">INDIRECT("'"&amp;$C256&amp;"'!"&amp;"$"&amp;$D256&amp;$AL$1&amp;"")</f>
        <v>0</v>
      </c>
      <c r="AO256" s="281" t="s">
        <v>1</v>
      </c>
      <c r="AP256" s="279" t="s">
        <v>1</v>
      </c>
      <c r="AQ256" s="280" cm="1">
        <f t="array" aca="1" ref="AQ256" ca="1">INDIRECT("'"&amp;$C256&amp;"'!"&amp;"$"&amp;$D256&amp;$AQ$1&amp;"")</f>
        <v>3.8</v>
      </c>
      <c r="AR256" s="281">
        <v>0.97</v>
      </c>
      <c r="AS256" s="279">
        <v>0.79</v>
      </c>
      <c r="AT256" s="278">
        <v>13.9</v>
      </c>
      <c r="AU256" s="282">
        <v>70.2</v>
      </c>
      <c r="AV256" s="281" cm="1">
        <f t="array" aca="1" ref="AV256" ca="1">INDIRECT("'"&amp;$C256&amp;"'!"&amp;"$"&amp;$D256&amp;$AV$1&amp;"")</f>
        <v>0</v>
      </c>
      <c r="AW256" s="280" t="s">
        <v>1</v>
      </c>
      <c r="AX256" s="281" t="s">
        <v>1</v>
      </c>
      <c r="AY256" s="279" t="s">
        <v>1</v>
      </c>
      <c r="AZ256" s="281" cm="1">
        <f t="array" aca="1" ref="AZ256" ca="1">INDIRECT("'"&amp;$C256&amp;"'!"&amp;"$"&amp;$D256&amp;$AZ$1&amp;"")</f>
        <v>7</v>
      </c>
      <c r="BA256" s="280" t="s">
        <v>1</v>
      </c>
      <c r="BB256" s="281">
        <v>0.99</v>
      </c>
      <c r="BC256" s="279">
        <v>1</v>
      </c>
      <c r="BD256" s="283">
        <v>14.15</v>
      </c>
      <c r="BE256" s="282">
        <v>71.63</v>
      </c>
      <c r="BF256" s="283" cm="1">
        <f t="array" aca="1" ref="BF256" ca="1">INDIRECT("'"&amp;$C256&amp;"'!"&amp;"$"&amp;$D256&amp;$BF$1&amp;"")</f>
        <v>14.29</v>
      </c>
      <c r="BG256" s="281">
        <v>0.99</v>
      </c>
      <c r="BH256" s="279">
        <v>2.2999999999999998</v>
      </c>
      <c r="BI256" s="524">
        <v>68.599999999999994</v>
      </c>
      <c r="BJ256" s="278" cm="1">
        <f t="array" aca="1" ref="BJ256" ca="1">INDIRECT("'"&amp;$C256&amp;"'!"&amp;"$"&amp;$D256&amp;$BI$1&amp;"")</f>
        <v>0</v>
      </c>
      <c r="BK256" s="280" t="s">
        <v>1</v>
      </c>
      <c r="BL256" s="279" t="s">
        <v>1</v>
      </c>
      <c r="BM256" s="283" cm="1">
        <f t="array" aca="1" ref="BM256" ca="1">INDIRECT("'"&amp;$C256&amp;"'!"&amp;"$"&amp;$D256&amp;$BM$1&amp;"")</f>
        <v>0.97</v>
      </c>
      <c r="BN256" s="281"/>
      <c r="BO256" s="281">
        <v>0.99</v>
      </c>
      <c r="BP256" s="279">
        <v>0.1</v>
      </c>
      <c r="BQ256" s="283" cm="1">
        <f t="array" aca="1" ref="BQ256" ca="1">INDIRECT("'"&amp;$C256&amp;"'!"&amp;"$"&amp;$D256&amp;$BQ$1&amp;"")</f>
        <v>0.77</v>
      </c>
      <c r="BR256" s="281"/>
      <c r="BS256" s="281">
        <v>0.96</v>
      </c>
      <c r="BT256" s="279">
        <v>0.21</v>
      </c>
      <c r="BU256" s="284" cm="1">
        <f t="array" aca="1" ref="BU256" ca="1">INDIRECT("'"&amp;$C256&amp;"'!"&amp;"$"&amp;$D256&amp;74&amp;"")</f>
        <v>0</v>
      </c>
      <c r="BV256" s="281"/>
      <c r="BW256" s="281" t="s">
        <v>1</v>
      </c>
      <c r="BX256" s="279" t="s">
        <v>1</v>
      </c>
    </row>
    <row r="257" spans="1:76">
      <c r="A257" s="459">
        <v>45849</v>
      </c>
      <c r="B257" s="345">
        <v>8.3333333333333301E-2</v>
      </c>
      <c r="C257" s="305">
        <v>11</v>
      </c>
      <c r="D257" s="306" t="s">
        <v>144</v>
      </c>
      <c r="E257" s="285">
        <v>14</v>
      </c>
      <c r="F257" s="286">
        <v>69.75</v>
      </c>
      <c r="G257" s="287" t="str" cm="1">
        <f t="array" aca="1" ref="G257" ca="1">INDIRECT("'"&amp;$C257&amp;"'!"&amp;"$"&amp;$D257&amp;$E$1&amp;"")</f>
        <v>CMS</v>
      </c>
      <c r="H257" s="288" t="s">
        <v>1</v>
      </c>
      <c r="I257" s="286" t="s">
        <v>1</v>
      </c>
      <c r="J257" s="287" cm="1">
        <f t="array" aca="1" ref="J257" ca="1">INDIRECT("'"&amp;$C257&amp;"'!"&amp;"$"&amp;$D257&amp;$J$1&amp;"")</f>
        <v>6.6</v>
      </c>
      <c r="K257" s="288"/>
      <c r="L257" s="288">
        <v>0.98</v>
      </c>
      <c r="M257" s="289">
        <v>1.42</v>
      </c>
      <c r="N257" s="285" cm="1">
        <f t="array" aca="1" ref="N257" ca="1">INDIRECT("'"&amp;$C257&amp;"'!"&amp;"$"&amp;$D257&amp;$N$1&amp;"")</f>
        <v>0</v>
      </c>
      <c r="O257" s="288"/>
      <c r="P257" s="288" t="s">
        <v>1</v>
      </c>
      <c r="Q257" s="286" t="s">
        <v>1</v>
      </c>
      <c r="R257" s="285" cm="1">
        <f t="array" aca="1" ref="R257" ca="1">INDIRECT("'"&amp;$C257&amp;"'!"&amp;"$"&amp;$D257&amp;$R$1&amp;"")</f>
        <v>6.6</v>
      </c>
      <c r="S257" s="288"/>
      <c r="T257" s="288">
        <v>0.98</v>
      </c>
      <c r="U257" s="286">
        <v>1.42</v>
      </c>
      <c r="V257" s="287" cm="1">
        <f t="array" aca="1" ref="V257" ca="1">INDIRECT("'"&amp;$C257&amp;"'!"&amp;"$"&amp;$D257&amp;$V$1&amp;"")</f>
        <v>0</v>
      </c>
      <c r="W257" s="288" t="s">
        <v>1</v>
      </c>
      <c r="X257" s="288" t="s">
        <v>1</v>
      </c>
      <c r="Y257" s="289" t="s">
        <v>1</v>
      </c>
      <c r="Z257" s="533" cm="1">
        <f t="array" aca="1" ref="Z257" ca="1">INDIRECT("'"&amp;$C257&amp;"'!"&amp;"$"&amp;$D257&amp;$Z$1&amp;"")</f>
        <v>0</v>
      </c>
      <c r="AA257" s="288" t="s">
        <v>1</v>
      </c>
      <c r="AB257" s="288" t="s">
        <v>1</v>
      </c>
      <c r="AC257" s="286" t="s">
        <v>1</v>
      </c>
      <c r="AD257" s="287" t="str" cm="1">
        <f t="array" aca="1" ref="AD257" ca="1">INDIRECT("'"&amp;$C257&amp;"'!"&amp;"$"&amp;$D257&amp;$AD$1&amp;"")</f>
        <v>CMS</v>
      </c>
      <c r="AE257" s="288" t="s">
        <v>1</v>
      </c>
      <c r="AF257" s="288" t="s">
        <v>1</v>
      </c>
      <c r="AG257" s="289" t="s">
        <v>1</v>
      </c>
      <c r="AH257" s="285" cm="1">
        <f t="array" aca="1" ref="AH257" ca="1">INDIRECT("'"&amp;$C257&amp;"'!"&amp;"$"&amp;$D257&amp;$AH$1&amp;"")</f>
        <v>0</v>
      </c>
      <c r="AI257" s="288" t="s">
        <v>1</v>
      </c>
      <c r="AJ257" s="288" t="s">
        <v>1</v>
      </c>
      <c r="AK257" s="289" t="s">
        <v>1</v>
      </c>
      <c r="AL257" s="285">
        <v>11.6</v>
      </c>
      <c r="AM257" s="289">
        <v>71</v>
      </c>
      <c r="AN257" s="285" cm="1">
        <f t="array" aca="1" ref="AN257" ca="1">INDIRECT("'"&amp;$C257&amp;"'!"&amp;"$"&amp;$D257&amp;$AL$1&amp;"")</f>
        <v>0</v>
      </c>
      <c r="AO257" s="288" t="s">
        <v>1</v>
      </c>
      <c r="AP257" s="286" t="s">
        <v>1</v>
      </c>
      <c r="AQ257" s="287" cm="1">
        <f t="array" aca="1" ref="AQ257" ca="1">INDIRECT("'"&amp;$C257&amp;"'!"&amp;"$"&amp;$D257&amp;$AQ$1&amp;"")</f>
        <v>3</v>
      </c>
      <c r="AR257" s="288">
        <v>0.97</v>
      </c>
      <c r="AS257" s="286">
        <v>0.69</v>
      </c>
      <c r="AT257" s="285">
        <v>13.88</v>
      </c>
      <c r="AU257" s="289">
        <v>70.3</v>
      </c>
      <c r="AV257" s="288" cm="1">
        <f t="array" aca="1" ref="AV257" ca="1">INDIRECT("'"&amp;$C257&amp;"'!"&amp;"$"&amp;$D257&amp;$AV$1&amp;"")</f>
        <v>0</v>
      </c>
      <c r="AW257" s="287" t="s">
        <v>1</v>
      </c>
      <c r="AX257" s="288" t="s">
        <v>1</v>
      </c>
      <c r="AY257" s="286" t="s">
        <v>1</v>
      </c>
      <c r="AZ257" s="288" cm="1">
        <f t="array" aca="1" ref="AZ257" ca="1">INDIRECT("'"&amp;$C257&amp;"'!"&amp;"$"&amp;$D257&amp;$AZ$1&amp;"")</f>
        <v>7</v>
      </c>
      <c r="BA257" s="287" t="s">
        <v>1</v>
      </c>
      <c r="BB257" s="288">
        <v>0.99</v>
      </c>
      <c r="BC257" s="286">
        <v>1</v>
      </c>
      <c r="BD257" s="290">
        <v>14.19</v>
      </c>
      <c r="BE257" s="289">
        <v>71.83</v>
      </c>
      <c r="BF257" s="290" cm="1">
        <f t="array" aca="1" ref="BF257" ca="1">INDIRECT("'"&amp;$C257&amp;"'!"&amp;"$"&amp;$D257&amp;$BF$1&amp;"")</f>
        <v>14.3</v>
      </c>
      <c r="BG257" s="288">
        <v>0.99</v>
      </c>
      <c r="BH257" s="286">
        <v>2.2999999999999998</v>
      </c>
      <c r="BI257" s="525">
        <v>68.8</v>
      </c>
      <c r="BJ257" s="285" cm="1">
        <f t="array" aca="1" ref="BJ257" ca="1">INDIRECT("'"&amp;$C257&amp;"'!"&amp;"$"&amp;$D257&amp;$BI$1&amp;"")</f>
        <v>0</v>
      </c>
      <c r="BK257" s="288" t="s">
        <v>1</v>
      </c>
      <c r="BL257" s="286" t="s">
        <v>1</v>
      </c>
      <c r="BM257" s="290" cm="1">
        <f t="array" aca="1" ref="BM257" ca="1">INDIRECT("'"&amp;$C257&amp;"'!"&amp;"$"&amp;$D257&amp;$BM$1&amp;"")</f>
        <v>0.93</v>
      </c>
      <c r="BN257" s="288"/>
      <c r="BO257" s="288">
        <v>0.99</v>
      </c>
      <c r="BP257" s="286">
        <v>0.08</v>
      </c>
      <c r="BQ257" s="290" cm="1">
        <f t="array" aca="1" ref="BQ257" ca="1">INDIRECT("'"&amp;$C257&amp;"'!"&amp;"$"&amp;$D257&amp;$BQ$1&amp;"")</f>
        <v>0.75</v>
      </c>
      <c r="BR257" s="288"/>
      <c r="BS257" s="288">
        <v>0.96</v>
      </c>
      <c r="BT257" s="286">
        <v>0.2</v>
      </c>
      <c r="BU257" s="291" cm="1">
        <f t="array" aca="1" ref="BU257" ca="1">INDIRECT("'"&amp;$C257&amp;"'!"&amp;"$"&amp;$D257&amp;74&amp;"")</f>
        <v>0</v>
      </c>
      <c r="BV257" s="288"/>
      <c r="BW257" s="288" t="s">
        <v>1</v>
      </c>
      <c r="BX257" s="286" t="s">
        <v>1</v>
      </c>
    </row>
    <row r="258" spans="1:76">
      <c r="A258" s="459">
        <v>45849</v>
      </c>
      <c r="B258" s="345">
        <v>0.125</v>
      </c>
      <c r="C258" s="305">
        <v>11</v>
      </c>
      <c r="D258" s="306" t="s">
        <v>145</v>
      </c>
      <c r="E258" s="278">
        <v>14.1</v>
      </c>
      <c r="F258" s="279">
        <v>69.790000000000006</v>
      </c>
      <c r="G258" s="280" t="str" cm="1">
        <f t="array" aca="1" ref="G258" ca="1">INDIRECT("'"&amp;$C258&amp;"'!"&amp;"$"&amp;$D258&amp;$E$1&amp;"")</f>
        <v>CMS</v>
      </c>
      <c r="H258" s="281" t="s">
        <v>1</v>
      </c>
      <c r="I258" s="279" t="s">
        <v>1</v>
      </c>
      <c r="J258" s="280" cm="1">
        <f t="array" aca="1" ref="J258" ca="1">INDIRECT("'"&amp;$C258&amp;"'!"&amp;"$"&amp;$D258&amp;$J$1&amp;"")</f>
        <v>6.6</v>
      </c>
      <c r="K258" s="281"/>
      <c r="L258" s="281">
        <v>0.98</v>
      </c>
      <c r="M258" s="282">
        <v>1.45</v>
      </c>
      <c r="N258" s="278" cm="1">
        <f t="array" aca="1" ref="N258" ca="1">INDIRECT("'"&amp;$C258&amp;"'!"&amp;"$"&amp;$D258&amp;$N$1&amp;"")</f>
        <v>0</v>
      </c>
      <c r="O258" s="281"/>
      <c r="P258" s="281" t="s">
        <v>1</v>
      </c>
      <c r="Q258" s="279" t="s">
        <v>1</v>
      </c>
      <c r="R258" s="468" cm="1">
        <f t="array" aca="1" ref="R258" ca="1">INDIRECT("'"&amp;$C258&amp;"'!"&amp;"$"&amp;$D258&amp;$R$1&amp;"")</f>
        <v>6.6</v>
      </c>
      <c r="S258" s="281"/>
      <c r="T258" s="281">
        <v>0.98</v>
      </c>
      <c r="U258" s="279">
        <v>1.45</v>
      </c>
      <c r="V258" s="280" cm="1">
        <f t="array" aca="1" ref="V258" ca="1">INDIRECT("'"&amp;$C258&amp;"'!"&amp;"$"&amp;$D258&amp;$V$1&amp;"")</f>
        <v>0</v>
      </c>
      <c r="W258" s="281" t="s">
        <v>1</v>
      </c>
      <c r="X258" s="281" t="s">
        <v>1</v>
      </c>
      <c r="Y258" s="282" t="s">
        <v>1</v>
      </c>
      <c r="Z258" s="278" cm="1">
        <f t="array" aca="1" ref="Z258" ca="1">INDIRECT("'"&amp;$C258&amp;"'!"&amp;"$"&amp;$D258&amp;$Z$1&amp;"")</f>
        <v>0</v>
      </c>
      <c r="AA258" s="281" t="s">
        <v>1</v>
      </c>
      <c r="AB258" s="281" t="s">
        <v>1</v>
      </c>
      <c r="AC258" s="279" t="s">
        <v>1</v>
      </c>
      <c r="AD258" s="280" t="str" cm="1">
        <f t="array" aca="1" ref="AD258" ca="1">INDIRECT("'"&amp;$C258&amp;"'!"&amp;"$"&amp;$D258&amp;$AD$1&amp;"")</f>
        <v>CMS</v>
      </c>
      <c r="AE258" s="281" t="s">
        <v>1</v>
      </c>
      <c r="AF258" s="281" t="s">
        <v>1</v>
      </c>
      <c r="AG258" s="282" t="s">
        <v>1</v>
      </c>
      <c r="AH258" s="278" cm="1">
        <f t="array" aca="1" ref="AH258" ca="1">INDIRECT("'"&amp;$C258&amp;"'!"&amp;"$"&amp;$D258&amp;$AH$1&amp;"")</f>
        <v>0</v>
      </c>
      <c r="AI258" s="281" t="s">
        <v>1</v>
      </c>
      <c r="AJ258" s="281" t="s">
        <v>1</v>
      </c>
      <c r="AK258" s="279" t="s">
        <v>1</v>
      </c>
      <c r="AL258" s="278">
        <v>11.6</v>
      </c>
      <c r="AM258" s="282">
        <v>71</v>
      </c>
      <c r="AN258" s="278" cm="1">
        <f t="array" aca="1" ref="AN258" ca="1">INDIRECT("'"&amp;$C258&amp;"'!"&amp;"$"&amp;$D258&amp;$AL$1&amp;"")</f>
        <v>0</v>
      </c>
      <c r="AO258" s="281" t="s">
        <v>1</v>
      </c>
      <c r="AP258" s="279" t="s">
        <v>1</v>
      </c>
      <c r="AQ258" s="280" cm="1">
        <f t="array" aca="1" ref="AQ258" ca="1">INDIRECT("'"&amp;$C258&amp;"'!"&amp;"$"&amp;$D258&amp;$AQ$1&amp;"")</f>
        <v>2</v>
      </c>
      <c r="AR258" s="281">
        <v>0.92</v>
      </c>
      <c r="AS258" s="279">
        <v>0.74</v>
      </c>
      <c r="AT258" s="278">
        <v>13.88</v>
      </c>
      <c r="AU258" s="282">
        <v>70.3</v>
      </c>
      <c r="AV258" s="281" cm="1">
        <f t="array" aca="1" ref="AV258" ca="1">INDIRECT("'"&amp;$C258&amp;"'!"&amp;"$"&amp;$D258&amp;$AV$1&amp;"")</f>
        <v>0</v>
      </c>
      <c r="AW258" s="280" t="s">
        <v>1</v>
      </c>
      <c r="AX258" s="281" t="s">
        <v>1</v>
      </c>
      <c r="AY258" s="279" t="s">
        <v>1</v>
      </c>
      <c r="AZ258" s="281" cm="1">
        <f t="array" aca="1" ref="AZ258" ca="1">INDIRECT("'"&amp;$C258&amp;"'!"&amp;"$"&amp;$D258&amp;$AZ$1&amp;"")</f>
        <v>6.9</v>
      </c>
      <c r="BA258" s="280" t="s">
        <v>1</v>
      </c>
      <c r="BB258" s="281">
        <v>0.99</v>
      </c>
      <c r="BC258" s="279">
        <v>1</v>
      </c>
      <c r="BD258" s="283">
        <v>14.18</v>
      </c>
      <c r="BE258" s="282">
        <v>71.86</v>
      </c>
      <c r="BF258" s="283" cm="1">
        <f t="array" aca="1" ref="BF258" ca="1">INDIRECT("'"&amp;$C258&amp;"'!"&amp;"$"&amp;$D258&amp;$BF$1&amp;"")</f>
        <v>14.29</v>
      </c>
      <c r="BG258" s="281">
        <v>0.99</v>
      </c>
      <c r="BH258" s="279">
        <v>2.2999999999999998</v>
      </c>
      <c r="BI258" s="524">
        <v>68.8</v>
      </c>
      <c r="BJ258" s="278" cm="1">
        <f t="array" aca="1" ref="BJ258" ca="1">INDIRECT("'"&amp;$C258&amp;"'!"&amp;"$"&amp;$D258&amp;$BI$1&amp;"")</f>
        <v>0</v>
      </c>
      <c r="BK258" s="281" t="s">
        <v>1</v>
      </c>
      <c r="BL258" s="279" t="s">
        <v>1</v>
      </c>
      <c r="BM258" s="283" cm="1">
        <f t="array" aca="1" ref="BM258" ca="1">INDIRECT("'"&amp;$C258&amp;"'!"&amp;"$"&amp;$D258&amp;$BM$1&amp;"")</f>
        <v>0.9</v>
      </c>
      <c r="BN258" s="281"/>
      <c r="BO258" s="281">
        <v>0.99</v>
      </c>
      <c r="BP258" s="279">
        <v>0.8</v>
      </c>
      <c r="BQ258" s="283" cm="1">
        <f t="array" aca="1" ref="BQ258" ca="1">INDIRECT("'"&amp;$C258&amp;"'!"&amp;"$"&amp;$D258&amp;$BQ$1&amp;"")</f>
        <v>0.73</v>
      </c>
      <c r="BR258" s="281"/>
      <c r="BS258" s="281">
        <v>0.96</v>
      </c>
      <c r="BT258" s="279">
        <v>0.19</v>
      </c>
      <c r="BU258" s="284" cm="1">
        <f t="array" aca="1" ref="BU258" ca="1">INDIRECT("'"&amp;$C258&amp;"'!"&amp;"$"&amp;$D258&amp;74&amp;"")</f>
        <v>0</v>
      </c>
      <c r="BV258" s="281"/>
      <c r="BW258" s="281" t="s">
        <v>1</v>
      </c>
      <c r="BX258" s="279" t="s">
        <v>1</v>
      </c>
    </row>
    <row r="259" spans="1:76">
      <c r="A259" s="459">
        <v>45849</v>
      </c>
      <c r="B259" s="345">
        <v>0.16666666666666699</v>
      </c>
      <c r="C259" s="305">
        <v>11</v>
      </c>
      <c r="D259" s="306" t="s">
        <v>146</v>
      </c>
      <c r="E259" s="285">
        <v>14.1</v>
      </c>
      <c r="F259" s="286">
        <v>69.87</v>
      </c>
      <c r="G259" s="287" t="str" cm="1">
        <f t="array" aca="1" ref="G259" ca="1">INDIRECT("'"&amp;$C259&amp;"'!"&amp;"$"&amp;$D259&amp;$E$1&amp;"")</f>
        <v>CMS</v>
      </c>
      <c r="H259" s="288" t="s">
        <v>1</v>
      </c>
      <c r="I259" s="286" t="s">
        <v>1</v>
      </c>
      <c r="J259" s="287" cm="1">
        <f t="array" aca="1" ref="J259" ca="1">INDIRECT("'"&amp;$C259&amp;"'!"&amp;"$"&amp;$D259&amp;$J$1&amp;"")</f>
        <v>6.6</v>
      </c>
      <c r="K259" s="288"/>
      <c r="L259" s="288">
        <v>0.97</v>
      </c>
      <c r="M259" s="286">
        <v>1.54</v>
      </c>
      <c r="N259" s="285" cm="1">
        <f t="array" aca="1" ref="N259" ca="1">INDIRECT("'"&amp;$C259&amp;"'!"&amp;"$"&amp;$D259&amp;$N$1&amp;"")</f>
        <v>0</v>
      </c>
      <c r="O259" s="288"/>
      <c r="P259" s="288" t="s">
        <v>1</v>
      </c>
      <c r="Q259" s="286" t="s">
        <v>1</v>
      </c>
      <c r="R259" s="285" cm="1">
        <f t="array" aca="1" ref="R259" ca="1">INDIRECT("'"&amp;$C259&amp;"'!"&amp;"$"&amp;$D259&amp;$R$1&amp;"")</f>
        <v>6.6</v>
      </c>
      <c r="S259" s="288"/>
      <c r="T259" s="288">
        <v>0.97</v>
      </c>
      <c r="U259" s="286">
        <v>1.54</v>
      </c>
      <c r="V259" s="287" cm="1">
        <f t="array" aca="1" ref="V259" ca="1">INDIRECT("'"&amp;$C259&amp;"'!"&amp;"$"&amp;$D259&amp;$V$1&amp;"")</f>
        <v>0</v>
      </c>
      <c r="W259" s="288" t="s">
        <v>1</v>
      </c>
      <c r="X259" s="288" t="s">
        <v>1</v>
      </c>
      <c r="Y259" s="289" t="s">
        <v>1</v>
      </c>
      <c r="Z259" s="285" cm="1">
        <f t="array" aca="1" ref="Z259" ca="1">INDIRECT("'"&amp;$C259&amp;"'!"&amp;"$"&amp;$D259&amp;$Z$1&amp;"")</f>
        <v>0</v>
      </c>
      <c r="AA259" s="288" t="s">
        <v>1</v>
      </c>
      <c r="AB259" s="288" t="s">
        <v>1</v>
      </c>
      <c r="AC259" s="286" t="s">
        <v>1</v>
      </c>
      <c r="AD259" s="287" t="str" cm="1">
        <f t="array" aca="1" ref="AD259" ca="1">INDIRECT("'"&amp;$C259&amp;"'!"&amp;"$"&amp;$D259&amp;$AD$1&amp;"")</f>
        <v>CMS</v>
      </c>
      <c r="AE259" s="288" t="s">
        <v>1</v>
      </c>
      <c r="AF259" s="288" t="s">
        <v>1</v>
      </c>
      <c r="AG259" s="289" t="s">
        <v>1</v>
      </c>
      <c r="AH259" s="285" cm="1">
        <f t="array" aca="1" ref="AH259" ca="1">INDIRECT("'"&amp;$C259&amp;"'!"&amp;"$"&amp;$D259&amp;$AH$1&amp;"")</f>
        <v>0</v>
      </c>
      <c r="AI259" s="288" t="s">
        <v>1</v>
      </c>
      <c r="AJ259" s="288" t="s">
        <v>1</v>
      </c>
      <c r="AK259" s="286" t="s">
        <v>1</v>
      </c>
      <c r="AL259" s="285">
        <v>11.6</v>
      </c>
      <c r="AM259" s="289">
        <v>71</v>
      </c>
      <c r="AN259" s="285" cm="1">
        <f t="array" aca="1" ref="AN259" ca="1">INDIRECT("'"&amp;$C259&amp;"'!"&amp;"$"&amp;$D259&amp;$AL$1&amp;"")</f>
        <v>0</v>
      </c>
      <c r="AO259" s="288" t="s">
        <v>1</v>
      </c>
      <c r="AP259" s="286" t="s">
        <v>1</v>
      </c>
      <c r="AQ259" s="287" cm="1">
        <f t="array" aca="1" ref="AQ259" ca="1">INDIRECT("'"&amp;$C259&amp;"'!"&amp;"$"&amp;$D259&amp;$AQ$1&amp;"")</f>
        <v>2</v>
      </c>
      <c r="AR259" s="288">
        <v>0.95</v>
      </c>
      <c r="AS259" s="286">
        <v>0.65</v>
      </c>
      <c r="AT259" s="285">
        <v>13.88</v>
      </c>
      <c r="AU259" s="289">
        <v>70.3</v>
      </c>
      <c r="AV259" s="288" cm="1">
        <f t="array" aca="1" ref="AV259" ca="1">INDIRECT("'"&amp;$C259&amp;"'!"&amp;"$"&amp;$D259&amp;$AV$1&amp;"")</f>
        <v>0</v>
      </c>
      <c r="AW259" s="287" t="s">
        <v>1</v>
      </c>
      <c r="AX259" s="288" t="s">
        <v>1</v>
      </c>
      <c r="AY259" s="286" t="s">
        <v>1</v>
      </c>
      <c r="AZ259" s="288" cm="1">
        <f t="array" aca="1" ref="AZ259" ca="1">INDIRECT("'"&amp;$C259&amp;"'!"&amp;"$"&amp;$D259&amp;$AZ$1&amp;"")</f>
        <v>6</v>
      </c>
      <c r="BA259" s="287" t="s">
        <v>1</v>
      </c>
      <c r="BB259" s="288">
        <v>0.99</v>
      </c>
      <c r="BC259" s="286">
        <v>0.9</v>
      </c>
      <c r="BD259" s="290">
        <v>14.21</v>
      </c>
      <c r="BE259" s="289">
        <v>71.98</v>
      </c>
      <c r="BF259" s="290" cm="1">
        <f t="array" aca="1" ref="BF259" ca="1">INDIRECT("'"&amp;$C259&amp;"'!"&amp;"$"&amp;$D259&amp;$BF$1&amp;"")</f>
        <v>14.26</v>
      </c>
      <c r="BG259" s="288">
        <v>0.99</v>
      </c>
      <c r="BH259" s="286">
        <v>2.2999999999999998</v>
      </c>
      <c r="BI259" s="525">
        <v>68.900000000000006</v>
      </c>
      <c r="BJ259" s="285" cm="1">
        <f t="array" aca="1" ref="BJ259" ca="1">INDIRECT("'"&amp;$C259&amp;"'!"&amp;"$"&amp;$D259&amp;$BI$1&amp;"")</f>
        <v>0</v>
      </c>
      <c r="BK259" s="288" t="s">
        <v>1</v>
      </c>
      <c r="BL259" s="286" t="s">
        <v>1</v>
      </c>
      <c r="BM259" s="290" cm="1">
        <f t="array" aca="1" ref="BM259" ca="1">INDIRECT("'"&amp;$C259&amp;"'!"&amp;"$"&amp;$D259&amp;$BM$1&amp;"")</f>
        <v>0.91</v>
      </c>
      <c r="BN259" s="288"/>
      <c r="BO259" s="288">
        <v>0.99</v>
      </c>
      <c r="BP259" s="286">
        <v>0.08</v>
      </c>
      <c r="BQ259" s="290" cm="1">
        <f t="array" aca="1" ref="BQ259" ca="1">INDIRECT("'"&amp;$C259&amp;"'!"&amp;"$"&amp;$D259&amp;$BQ$1&amp;"")</f>
        <v>0.72</v>
      </c>
      <c r="BR259" s="288"/>
      <c r="BS259" s="288">
        <v>0.96</v>
      </c>
      <c r="BT259" s="286">
        <v>0.19</v>
      </c>
      <c r="BU259" s="291" cm="1">
        <f t="array" aca="1" ref="BU259" ca="1">INDIRECT("'"&amp;$C259&amp;"'!"&amp;"$"&amp;$D259&amp;74&amp;"")</f>
        <v>0</v>
      </c>
      <c r="BV259" s="288"/>
      <c r="BW259" s="288" t="s">
        <v>1</v>
      </c>
      <c r="BX259" s="286" t="s">
        <v>1</v>
      </c>
    </row>
    <row r="260" spans="1:76">
      <c r="A260" s="459">
        <v>45849</v>
      </c>
      <c r="B260" s="345">
        <v>0.20833333333333301</v>
      </c>
      <c r="C260" s="305">
        <v>11</v>
      </c>
      <c r="D260" s="306" t="s">
        <v>147</v>
      </c>
      <c r="E260" s="278">
        <v>14.1</v>
      </c>
      <c r="F260" s="279">
        <v>69.540000000000006</v>
      </c>
      <c r="G260" s="280" t="str" cm="1">
        <f t="array" aca="1" ref="G260" ca="1">INDIRECT("'"&amp;$C260&amp;"'!"&amp;"$"&amp;$D260&amp;$E$1&amp;"")</f>
        <v>CMS</v>
      </c>
      <c r="H260" s="281" t="s">
        <v>1</v>
      </c>
      <c r="I260" s="279" t="s">
        <v>1</v>
      </c>
      <c r="J260" s="280" cm="1">
        <f t="array" aca="1" ref="J260" ca="1">INDIRECT("'"&amp;$C260&amp;"'!"&amp;"$"&amp;$D260&amp;$J$1&amp;"")</f>
        <v>6.7</v>
      </c>
      <c r="K260" s="281"/>
      <c r="L260" s="281">
        <v>0.98</v>
      </c>
      <c r="M260" s="279">
        <v>1.51</v>
      </c>
      <c r="N260" s="278" cm="1">
        <f t="array" aca="1" ref="N260" ca="1">INDIRECT("'"&amp;$C260&amp;"'!"&amp;"$"&amp;$D260&amp;$N$1&amp;"")</f>
        <v>0</v>
      </c>
      <c r="O260" s="281"/>
      <c r="P260" s="281" t="s">
        <v>1</v>
      </c>
      <c r="Q260" s="279" t="s">
        <v>1</v>
      </c>
      <c r="R260" s="468" cm="1">
        <f t="array" aca="1" ref="R260" ca="1">INDIRECT("'"&amp;$C260&amp;"'!"&amp;"$"&amp;$D260&amp;$R$1&amp;"")</f>
        <v>6.7</v>
      </c>
      <c r="S260" s="281"/>
      <c r="T260" s="281">
        <v>0.98</v>
      </c>
      <c r="U260" s="279">
        <v>1.51</v>
      </c>
      <c r="V260" s="280" cm="1">
        <f t="array" aca="1" ref="V260" ca="1">INDIRECT("'"&amp;$C260&amp;"'!"&amp;"$"&amp;$D260&amp;$V$1&amp;"")</f>
        <v>0</v>
      </c>
      <c r="W260" s="281" t="s">
        <v>1</v>
      </c>
      <c r="X260" s="281" t="s">
        <v>1</v>
      </c>
      <c r="Y260" s="282" t="s">
        <v>1</v>
      </c>
      <c r="Z260" s="278" cm="1">
        <f t="array" aca="1" ref="Z260" ca="1">INDIRECT("'"&amp;$C260&amp;"'!"&amp;"$"&amp;$D260&amp;$Z$1&amp;"")</f>
        <v>0</v>
      </c>
      <c r="AA260" s="281" t="s">
        <v>1</v>
      </c>
      <c r="AB260" s="281" t="s">
        <v>1</v>
      </c>
      <c r="AC260" s="279" t="s">
        <v>1</v>
      </c>
      <c r="AD260" s="280" t="str" cm="1">
        <f t="array" aca="1" ref="AD260" ca="1">INDIRECT("'"&amp;$C260&amp;"'!"&amp;"$"&amp;$D260&amp;$AD$1&amp;"")</f>
        <v>CMS</v>
      </c>
      <c r="AE260" s="281" t="s">
        <v>1</v>
      </c>
      <c r="AF260" s="281" t="s">
        <v>1</v>
      </c>
      <c r="AG260" s="282" t="s">
        <v>1</v>
      </c>
      <c r="AH260" s="278" cm="1">
        <f t="array" aca="1" ref="AH260" ca="1">INDIRECT("'"&amp;$C260&amp;"'!"&amp;"$"&amp;$D260&amp;$AH$1&amp;"")</f>
        <v>0</v>
      </c>
      <c r="AI260" s="281" t="s">
        <v>1</v>
      </c>
      <c r="AJ260" s="281" t="s">
        <v>1</v>
      </c>
      <c r="AK260" s="279" t="s">
        <v>1</v>
      </c>
      <c r="AL260" s="278">
        <v>11.6</v>
      </c>
      <c r="AM260" s="282">
        <v>71</v>
      </c>
      <c r="AN260" s="278" cm="1">
        <f t="array" aca="1" ref="AN260" ca="1">INDIRECT("'"&amp;$C260&amp;"'!"&amp;"$"&amp;$D260&amp;$AL$1&amp;"")</f>
        <v>0</v>
      </c>
      <c r="AO260" s="281" t="s">
        <v>1</v>
      </c>
      <c r="AP260" s="279" t="s">
        <v>1</v>
      </c>
      <c r="AQ260" s="280" cm="1">
        <f t="array" aca="1" ref="AQ260" ca="1">INDIRECT("'"&amp;$C260&amp;"'!"&amp;"$"&amp;$D260&amp;$AQ$1&amp;"")</f>
        <v>3</v>
      </c>
      <c r="AR260" s="281">
        <v>0.95</v>
      </c>
      <c r="AS260" s="279">
        <v>0.8</v>
      </c>
      <c r="AT260" s="278">
        <v>13.88</v>
      </c>
      <c r="AU260" s="282">
        <v>70.3</v>
      </c>
      <c r="AV260" s="281" cm="1">
        <f t="array" aca="1" ref="AV260" ca="1">INDIRECT("'"&amp;$C260&amp;"'!"&amp;"$"&amp;$D260&amp;$AV$1&amp;"")</f>
        <v>0</v>
      </c>
      <c r="AW260" s="280" t="s">
        <v>1</v>
      </c>
      <c r="AX260" s="281" t="s">
        <v>1</v>
      </c>
      <c r="AY260" s="279" t="s">
        <v>1</v>
      </c>
      <c r="AZ260" s="281" cm="1">
        <f t="array" aca="1" ref="AZ260" ca="1">INDIRECT("'"&amp;$C260&amp;"'!"&amp;"$"&amp;$D260&amp;$AZ$1&amp;"")</f>
        <v>6</v>
      </c>
      <c r="BA260" s="280" t="s">
        <v>1</v>
      </c>
      <c r="BB260" s="281">
        <v>0.99</v>
      </c>
      <c r="BC260" s="279">
        <v>0.9</v>
      </c>
      <c r="BD260" s="283">
        <v>14.13</v>
      </c>
      <c r="BE260" s="282">
        <v>71.709999999999994</v>
      </c>
      <c r="BF260" s="283" cm="1">
        <f t="array" aca="1" ref="BF260" ca="1">INDIRECT("'"&amp;$C260&amp;"'!"&amp;"$"&amp;$D260&amp;$BF$1&amp;"")</f>
        <v>14.31</v>
      </c>
      <c r="BG260" s="281">
        <v>0.99</v>
      </c>
      <c r="BH260" s="279">
        <v>2.2999999999999998</v>
      </c>
      <c r="BI260" s="524">
        <v>68.7</v>
      </c>
      <c r="BJ260" s="278" cm="1">
        <f t="array" aca="1" ref="BJ260" ca="1">INDIRECT("'"&amp;$C260&amp;"'!"&amp;"$"&amp;$D260&amp;$BI$1&amp;"")</f>
        <v>0</v>
      </c>
      <c r="BK260" s="281" t="s">
        <v>1</v>
      </c>
      <c r="BL260" s="279" t="s">
        <v>1</v>
      </c>
      <c r="BM260" s="283" cm="1">
        <f t="array" aca="1" ref="BM260" ca="1">INDIRECT("'"&amp;$C260&amp;"'!"&amp;"$"&amp;$D260&amp;$BM$1&amp;"")</f>
        <v>0.96</v>
      </c>
      <c r="BN260" s="281"/>
      <c r="BO260" s="281">
        <v>0.99</v>
      </c>
      <c r="BP260" s="279">
        <v>0.1</v>
      </c>
      <c r="BQ260" s="283" cm="1">
        <f t="array" aca="1" ref="BQ260" ca="1">INDIRECT("'"&amp;$C260&amp;"'!"&amp;"$"&amp;$D260&amp;$BQ$1&amp;"")</f>
        <v>0.76</v>
      </c>
      <c r="BR260" s="281"/>
      <c r="BS260" s="281">
        <v>0.96</v>
      </c>
      <c r="BT260" s="279">
        <v>0.2</v>
      </c>
      <c r="BU260" s="284" cm="1">
        <f t="array" aca="1" ref="BU260" ca="1">INDIRECT("'"&amp;$C260&amp;"'!"&amp;"$"&amp;$D260&amp;74&amp;"")</f>
        <v>0</v>
      </c>
      <c r="BV260" s="281"/>
      <c r="BW260" s="281" t="s">
        <v>1</v>
      </c>
      <c r="BX260" s="279" t="s">
        <v>1</v>
      </c>
    </row>
    <row r="261" spans="1:76">
      <c r="A261" s="459">
        <v>45849</v>
      </c>
      <c r="B261" s="345">
        <v>0.25</v>
      </c>
      <c r="C261" s="305">
        <v>11</v>
      </c>
      <c r="D261" s="306" t="s">
        <v>148</v>
      </c>
      <c r="E261" s="285">
        <v>14</v>
      </c>
      <c r="F261" s="286">
        <v>69.55</v>
      </c>
      <c r="G261" s="287" t="str" cm="1">
        <f t="array" aca="1" ref="G261" ca="1">INDIRECT("'"&amp;$C261&amp;"'!"&amp;"$"&amp;$D261&amp;$E$1&amp;"")</f>
        <v>CMS</v>
      </c>
      <c r="H261" s="288" t="s">
        <v>1</v>
      </c>
      <c r="I261" s="286" t="s">
        <v>1</v>
      </c>
      <c r="J261" s="287" cm="1">
        <f t="array" aca="1" ref="J261" ca="1">INDIRECT("'"&amp;$C261&amp;"'!"&amp;"$"&amp;$D261&amp;$J$1&amp;"")</f>
        <v>0</v>
      </c>
      <c r="K261" s="288"/>
      <c r="L261" s="288" t="s">
        <v>1</v>
      </c>
      <c r="M261" s="286" t="s">
        <v>1</v>
      </c>
      <c r="N261" s="285" cm="1">
        <f t="array" aca="1" ref="N261" ca="1">INDIRECT("'"&amp;$C261&amp;"'!"&amp;"$"&amp;$D261&amp;$N$1&amp;"")</f>
        <v>6.7</v>
      </c>
      <c r="O261" s="288"/>
      <c r="P261" s="288">
        <v>0.97</v>
      </c>
      <c r="Q261" s="286">
        <v>1.79</v>
      </c>
      <c r="R261" s="285" cm="1">
        <f t="array" aca="1" ref="R261" ca="1">INDIRECT("'"&amp;$C261&amp;"'!"&amp;"$"&amp;$D261&amp;$R$1&amp;"")</f>
        <v>6.7</v>
      </c>
      <c r="S261" s="288"/>
      <c r="T261" s="288">
        <v>0.97</v>
      </c>
      <c r="U261" s="286">
        <v>1.79</v>
      </c>
      <c r="V261" s="287" cm="1">
        <f t="array" aca="1" ref="V261" ca="1">INDIRECT("'"&amp;$C261&amp;"'!"&amp;"$"&amp;$D261&amp;$V$1&amp;"")</f>
        <v>0</v>
      </c>
      <c r="W261" s="288" t="s">
        <v>1</v>
      </c>
      <c r="X261" s="288" t="s">
        <v>1</v>
      </c>
      <c r="Y261" s="289" t="s">
        <v>1</v>
      </c>
      <c r="Z261" s="285" cm="1">
        <f t="array" aca="1" ref="Z261" ca="1">INDIRECT("'"&amp;$C261&amp;"'!"&amp;"$"&amp;$D261&amp;$Z$1&amp;"")</f>
        <v>3</v>
      </c>
      <c r="AA261" s="288">
        <f>3.53*3.8</f>
        <v>13.413999999999998</v>
      </c>
      <c r="AB261" s="288">
        <v>0.97</v>
      </c>
      <c r="AC261" s="286">
        <v>0.51800000000000002</v>
      </c>
      <c r="AD261" s="287" t="str" cm="1">
        <f t="array" aca="1" ref="AD261" ca="1">INDIRECT("'"&amp;$C261&amp;"'!"&amp;"$"&amp;$D261&amp;$AD$1&amp;"")</f>
        <v>CMS</v>
      </c>
      <c r="AE261" s="288" t="s">
        <v>1</v>
      </c>
      <c r="AF261" s="288" t="s">
        <v>1</v>
      </c>
      <c r="AG261" s="289" t="s">
        <v>1</v>
      </c>
      <c r="AH261" s="285" cm="1">
        <f t="array" aca="1" ref="AH261" ca="1">INDIRECT("'"&amp;$C261&amp;"'!"&amp;"$"&amp;$D261&amp;$AH$1&amp;"")</f>
        <v>0</v>
      </c>
      <c r="AI261" s="288" t="s">
        <v>1</v>
      </c>
      <c r="AJ261" s="288" t="s">
        <v>1</v>
      </c>
      <c r="AK261" s="286" t="s">
        <v>1</v>
      </c>
      <c r="AL261" s="285">
        <v>11.6</v>
      </c>
      <c r="AM261" s="289">
        <v>70.7</v>
      </c>
      <c r="AN261" s="285" cm="1">
        <f t="array" aca="1" ref="AN261" ca="1">INDIRECT("'"&amp;$C261&amp;"'!"&amp;"$"&amp;$D261&amp;$AL$1&amp;"")</f>
        <v>3.8</v>
      </c>
      <c r="AO261" s="288">
        <v>0.99</v>
      </c>
      <c r="AP261" s="286">
        <v>0.45</v>
      </c>
      <c r="AQ261" s="287" cm="1">
        <f t="array" aca="1" ref="AQ261" ca="1">INDIRECT("'"&amp;$C261&amp;"'!"&amp;"$"&amp;$D261&amp;$AQ$1&amp;"")</f>
        <v>0</v>
      </c>
      <c r="AR261" s="288" t="s">
        <v>1</v>
      </c>
      <c r="AS261" s="286" t="s">
        <v>1</v>
      </c>
      <c r="AT261" s="285">
        <v>13.88</v>
      </c>
      <c r="AU261" s="289">
        <v>70.3</v>
      </c>
      <c r="AV261" s="288" cm="1">
        <f t="array" aca="1" ref="AV261" ca="1">INDIRECT("'"&amp;$C261&amp;"'!"&amp;"$"&amp;$D261&amp;$AV$1&amp;"")</f>
        <v>0</v>
      </c>
      <c r="AW261" s="287" t="s">
        <v>1</v>
      </c>
      <c r="AX261" s="288" t="s">
        <v>1</v>
      </c>
      <c r="AY261" s="286" t="s">
        <v>1</v>
      </c>
      <c r="AZ261" s="288" cm="1">
        <f t="array" aca="1" ref="AZ261" ca="1">INDIRECT("'"&amp;$C261&amp;"'!"&amp;"$"&amp;$D261&amp;$AZ$1&amp;"")</f>
        <v>6.8</v>
      </c>
      <c r="BA261" s="287" t="s">
        <v>1</v>
      </c>
      <c r="BB261" s="288">
        <v>0.99</v>
      </c>
      <c r="BC261" s="286">
        <v>0.9</v>
      </c>
      <c r="BD261" s="290">
        <v>14.11</v>
      </c>
      <c r="BE261" s="289">
        <v>71.44</v>
      </c>
      <c r="BF261" s="290" cm="1">
        <f t="array" aca="1" ref="BF261" ca="1">INDIRECT("'"&amp;$C261&amp;"'!"&amp;"$"&amp;$D261&amp;$BF$1&amp;"")</f>
        <v>14.28</v>
      </c>
      <c r="BG261" s="288">
        <v>0.99</v>
      </c>
      <c r="BH261" s="286">
        <v>2.2999999999999998</v>
      </c>
      <c r="BI261" s="525">
        <v>68.900000000000006</v>
      </c>
      <c r="BJ261" s="285" cm="1">
        <f t="array" aca="1" ref="BJ261" ca="1">INDIRECT("'"&amp;$C261&amp;"'!"&amp;"$"&amp;$D261&amp;$BI$1&amp;"")</f>
        <v>0</v>
      </c>
      <c r="BK261" s="288" t="s">
        <v>1</v>
      </c>
      <c r="BL261" s="286" t="s">
        <v>1</v>
      </c>
      <c r="BM261" s="290" cm="1">
        <f t="array" aca="1" ref="BM261" ca="1">INDIRECT("'"&amp;$C261&amp;"'!"&amp;"$"&amp;$D261&amp;$BM$1&amp;"")</f>
        <v>1.1299999999999999</v>
      </c>
      <c r="BN261" s="288"/>
      <c r="BO261" s="288">
        <v>0.99</v>
      </c>
      <c r="BP261" s="286">
        <v>0.09</v>
      </c>
      <c r="BQ261" s="290" cm="1">
        <f t="array" aca="1" ref="BQ261" ca="1">INDIRECT("'"&amp;$C261&amp;"'!"&amp;"$"&amp;$D261&amp;$BQ$1&amp;"")</f>
        <v>0.79</v>
      </c>
      <c r="BR261" s="288"/>
      <c r="BS261" s="288">
        <v>0.97</v>
      </c>
      <c r="BT261" s="286">
        <v>0.2</v>
      </c>
      <c r="BU261" s="291" cm="1">
        <f t="array" aca="1" ref="BU261" ca="1">INDIRECT("'"&amp;$C261&amp;"'!"&amp;"$"&amp;$D261&amp;74&amp;"")</f>
        <v>0</v>
      </c>
      <c r="BV261" s="288"/>
      <c r="BW261" s="288" t="s">
        <v>1</v>
      </c>
      <c r="BX261" s="286" t="s">
        <v>1</v>
      </c>
    </row>
    <row r="262" spans="1:76">
      <c r="A262" s="459">
        <v>45849</v>
      </c>
      <c r="B262" s="345">
        <v>0.29166666666666702</v>
      </c>
      <c r="C262" s="305">
        <v>11</v>
      </c>
      <c r="D262" s="306" t="s">
        <v>149</v>
      </c>
      <c r="E262" s="278">
        <v>14</v>
      </c>
      <c r="F262" s="279">
        <v>69.45</v>
      </c>
      <c r="G262" s="280" t="str" cm="1">
        <f t="array" aca="1" ref="G262" ca="1">INDIRECT("'"&amp;$C262&amp;"'!"&amp;"$"&amp;$D262&amp;$E$1&amp;"")</f>
        <v>CMS</v>
      </c>
      <c r="H262" s="281" t="s">
        <v>1</v>
      </c>
      <c r="I262" s="279" t="s">
        <v>1</v>
      </c>
      <c r="J262" s="280" cm="1">
        <f t="array" aca="1" ref="J262" ca="1">INDIRECT("'"&amp;$C262&amp;"'!"&amp;"$"&amp;$D262&amp;$J$1&amp;"")</f>
        <v>0</v>
      </c>
      <c r="K262" s="281"/>
      <c r="L262" s="281" t="s">
        <v>1</v>
      </c>
      <c r="M262" s="282" t="s">
        <v>1</v>
      </c>
      <c r="N262" s="278" cm="1">
        <f t="array" aca="1" ref="N262" ca="1">INDIRECT("'"&amp;$C262&amp;"'!"&amp;"$"&amp;$D262&amp;$N$1&amp;"")</f>
        <v>6.4</v>
      </c>
      <c r="O262" s="281"/>
      <c r="P262" s="281">
        <v>0.96</v>
      </c>
      <c r="Q262" s="279">
        <v>1.9</v>
      </c>
      <c r="R262" s="468" cm="1">
        <f t="array" aca="1" ref="R262" ca="1">INDIRECT("'"&amp;$C262&amp;"'!"&amp;"$"&amp;$D262&amp;$R$1&amp;"")</f>
        <v>6.4</v>
      </c>
      <c r="S262" s="281"/>
      <c r="T262" s="281">
        <v>0.96</v>
      </c>
      <c r="U262" s="279">
        <v>1.9</v>
      </c>
      <c r="V262" s="280" cm="1">
        <f t="array" aca="1" ref="V262" ca="1">INDIRECT("'"&amp;$C262&amp;"'!"&amp;"$"&amp;$D262&amp;$V$1&amp;"")</f>
        <v>0</v>
      </c>
      <c r="W262" s="281" t="s">
        <v>1</v>
      </c>
      <c r="X262" s="281" t="s">
        <v>1</v>
      </c>
      <c r="Y262" s="282" t="s">
        <v>1</v>
      </c>
      <c r="Z262" s="278" cm="1">
        <f t="array" aca="1" ref="Z262" ca="1">INDIRECT("'"&amp;$C262&amp;"'!"&amp;"$"&amp;$D262&amp;$Z$1&amp;"")</f>
        <v>3</v>
      </c>
      <c r="AA262" s="281">
        <f>3.52*3.8</f>
        <v>13.375999999999999</v>
      </c>
      <c r="AB262" s="281">
        <v>0.97</v>
      </c>
      <c r="AC262" s="279">
        <v>0.71</v>
      </c>
      <c r="AD262" s="280" t="str" cm="1">
        <f t="array" aca="1" ref="AD262" ca="1">INDIRECT("'"&amp;$C262&amp;"'!"&amp;"$"&amp;$D262&amp;$AD$1&amp;"")</f>
        <v>CMS</v>
      </c>
      <c r="AE262" s="281" t="s">
        <v>1</v>
      </c>
      <c r="AF262" s="281" t="s">
        <v>1</v>
      </c>
      <c r="AG262" s="282" t="s">
        <v>1</v>
      </c>
      <c r="AH262" s="278" cm="1">
        <f t="array" aca="1" ref="AH262" ca="1">INDIRECT("'"&amp;$C262&amp;"'!"&amp;"$"&amp;$D262&amp;$AH$1&amp;"")</f>
        <v>0</v>
      </c>
      <c r="AI262" s="281" t="s">
        <v>1</v>
      </c>
      <c r="AJ262" s="281" t="s">
        <v>1</v>
      </c>
      <c r="AK262" s="279" t="s">
        <v>1</v>
      </c>
      <c r="AL262" s="278">
        <v>11.6</v>
      </c>
      <c r="AM262" s="282">
        <v>70.7</v>
      </c>
      <c r="AN262" s="278" cm="1">
        <f t="array" aca="1" ref="AN262" ca="1">INDIRECT("'"&amp;$C262&amp;"'!"&amp;"$"&amp;$D262&amp;$AL$1&amp;"")</f>
        <v>2</v>
      </c>
      <c r="AO262" s="281">
        <v>0.96</v>
      </c>
      <c r="AP262" s="279">
        <v>0.55000000000000004</v>
      </c>
      <c r="AQ262" s="280" cm="1">
        <f t="array" aca="1" ref="AQ262" ca="1">INDIRECT("'"&amp;$C262&amp;"'!"&amp;"$"&amp;$D262&amp;$AQ$1&amp;"")</f>
        <v>0</v>
      </c>
      <c r="AR262" s="281" t="s">
        <v>1</v>
      </c>
      <c r="AS262" s="279" t="s">
        <v>1</v>
      </c>
      <c r="AT262" s="278">
        <v>13.9</v>
      </c>
      <c r="AU262" s="282">
        <v>70.3</v>
      </c>
      <c r="AV262" s="281" cm="1">
        <f t="array" aca="1" ref="AV262" ca="1">INDIRECT("'"&amp;$C262&amp;"'!"&amp;"$"&amp;$D262&amp;$AV$1&amp;"")</f>
        <v>0</v>
      </c>
      <c r="AW262" s="280" t="s">
        <v>1</v>
      </c>
      <c r="AX262" s="281" t="s">
        <v>1</v>
      </c>
      <c r="AY262" s="279" t="s">
        <v>1</v>
      </c>
      <c r="AZ262" s="281" cm="1">
        <f t="array" aca="1" ref="AZ262" ca="1">INDIRECT("'"&amp;$C262&amp;"'!"&amp;"$"&amp;$D262&amp;$AZ$1&amp;"")</f>
        <v>7</v>
      </c>
      <c r="BA262" s="280" t="s">
        <v>1</v>
      </c>
      <c r="BB262" s="281">
        <v>0.99</v>
      </c>
      <c r="BC262" s="279">
        <v>1</v>
      </c>
      <c r="BD262" s="283">
        <v>14.14</v>
      </c>
      <c r="BE262" s="282">
        <v>71.510000000000005</v>
      </c>
      <c r="BF262" s="283" cm="1">
        <f t="array" aca="1" ref="BF262" ca="1">INDIRECT("'"&amp;$C262&amp;"'!"&amp;"$"&amp;$D262&amp;$BF$1&amp;"")</f>
        <v>14.32</v>
      </c>
      <c r="BG262" s="281">
        <v>0.99</v>
      </c>
      <c r="BH262" s="279">
        <v>2.2999999999999998</v>
      </c>
      <c r="BI262" s="524">
        <v>68.599999999999994</v>
      </c>
      <c r="BJ262" s="278" cm="1">
        <f t="array" aca="1" ref="BJ262" ca="1">INDIRECT("'"&amp;$C262&amp;"'!"&amp;"$"&amp;$D262&amp;$BI$1&amp;"")</f>
        <v>0</v>
      </c>
      <c r="BK262" s="281" t="s">
        <v>1</v>
      </c>
      <c r="BL262" s="279" t="s">
        <v>1</v>
      </c>
      <c r="BM262" s="283" cm="1">
        <f t="array" aca="1" ref="BM262" ca="1">INDIRECT("'"&amp;$C262&amp;"'!"&amp;"$"&amp;$D262&amp;$BM$1&amp;"")</f>
        <v>1.03</v>
      </c>
      <c r="BN262" s="281"/>
      <c r="BO262" s="281">
        <v>0.99</v>
      </c>
      <c r="BP262" s="279">
        <v>0.1</v>
      </c>
      <c r="BQ262" s="284" cm="1">
        <f t="array" aca="1" ref="BQ262" ca="1">INDIRECT("'"&amp;$C262&amp;"'!"&amp;"$"&amp;$D262&amp;$BQ$1&amp;"")</f>
        <v>0.63</v>
      </c>
      <c r="BR262" s="281"/>
      <c r="BS262" s="281">
        <v>0.96</v>
      </c>
      <c r="BT262" s="279">
        <v>0.2</v>
      </c>
      <c r="BU262" s="284" cm="1">
        <f t="array" aca="1" ref="BU262" ca="1">INDIRECT("'"&amp;$C262&amp;"'!"&amp;"$"&amp;$D262&amp;74&amp;"")</f>
        <v>0</v>
      </c>
      <c r="BV262" s="281"/>
      <c r="BW262" s="281" t="s">
        <v>1</v>
      </c>
      <c r="BX262" s="279" t="s">
        <v>1</v>
      </c>
    </row>
    <row r="263" spans="1:76">
      <c r="A263" s="459">
        <v>45849</v>
      </c>
      <c r="B263" s="345">
        <v>0.33333333333333398</v>
      </c>
      <c r="C263" s="305">
        <v>11</v>
      </c>
      <c r="D263" s="306" t="s">
        <v>150</v>
      </c>
      <c r="E263" s="285">
        <v>14</v>
      </c>
      <c r="F263" s="286">
        <v>69.069999999999993</v>
      </c>
      <c r="G263" s="287" t="str" cm="1">
        <f t="array" aca="1" ref="G263" ca="1">INDIRECT("'"&amp;$C263&amp;"'!"&amp;"$"&amp;$D263&amp;$E$1&amp;"")</f>
        <v>CMS</v>
      </c>
      <c r="H263" s="288" t="s">
        <v>1</v>
      </c>
      <c r="I263" s="286" t="s">
        <v>1</v>
      </c>
      <c r="J263" s="287" cm="1">
        <f t="array" aca="1" ref="J263" ca="1">INDIRECT("'"&amp;$C263&amp;"'!"&amp;"$"&amp;$D263&amp;$J$1&amp;"")</f>
        <v>1.5</v>
      </c>
      <c r="K263" s="288"/>
      <c r="L263" s="288">
        <v>0.97</v>
      </c>
      <c r="M263" s="289">
        <v>0.38</v>
      </c>
      <c r="N263" s="285" cm="1">
        <f t="array" aca="1" ref="N263" ca="1">INDIRECT("'"&amp;$C263&amp;"'!"&amp;"$"&amp;$D263&amp;$N$1&amp;"")</f>
        <v>7</v>
      </c>
      <c r="O263" s="288"/>
      <c r="P263" s="288">
        <v>0.95</v>
      </c>
      <c r="Q263" s="286">
        <v>2.83</v>
      </c>
      <c r="R263" s="285" cm="1">
        <f t="array" aca="1" ref="R263" ca="1">INDIRECT("'"&amp;$C263&amp;"'!"&amp;"$"&amp;$D263&amp;$R$1&amp;"")</f>
        <v>7</v>
      </c>
      <c r="S263" s="288"/>
      <c r="T263" s="288">
        <v>0.94</v>
      </c>
      <c r="U263" s="286">
        <v>2.23</v>
      </c>
      <c r="V263" s="287" cm="1">
        <f t="array" aca="1" ref="V263" ca="1">INDIRECT("'"&amp;$C263&amp;"'!"&amp;"$"&amp;$D263&amp;$V$1&amp;"")</f>
        <v>0</v>
      </c>
      <c r="W263" s="288" t="s">
        <v>1</v>
      </c>
      <c r="X263" s="288" t="s">
        <v>1</v>
      </c>
      <c r="Y263" s="289" t="s">
        <v>1</v>
      </c>
      <c r="Z263" s="285" cm="1">
        <f t="array" aca="1" ref="Z263" ca="1">INDIRECT("'"&amp;$C263&amp;"'!"&amp;"$"&amp;$D263&amp;$Z$1&amp;"")</f>
        <v>3.4</v>
      </c>
      <c r="AA263" s="288">
        <f>3.48*3.8</f>
        <v>13.224</v>
      </c>
      <c r="AB263" s="288">
        <v>0.97</v>
      </c>
      <c r="AC263" s="286">
        <v>0.76</v>
      </c>
      <c r="AD263" s="287" t="str" cm="1">
        <f t="array" aca="1" ref="AD263" ca="1">INDIRECT("'"&amp;$C263&amp;"'!"&amp;"$"&amp;$D263&amp;$AD$1&amp;"")</f>
        <v>CMS</v>
      </c>
      <c r="AE263" s="288" t="s">
        <v>1</v>
      </c>
      <c r="AF263" s="288" t="s">
        <v>1</v>
      </c>
      <c r="AG263" s="289" t="s">
        <v>1</v>
      </c>
      <c r="AH263" s="285" cm="1">
        <f t="array" aca="1" ref="AH263" ca="1">INDIRECT("'"&amp;$C263&amp;"'!"&amp;"$"&amp;$D263&amp;$AH$1&amp;"")</f>
        <v>0</v>
      </c>
      <c r="AI263" s="288" t="s">
        <v>1</v>
      </c>
      <c r="AJ263" s="288" t="s">
        <v>1</v>
      </c>
      <c r="AK263" s="286" t="s">
        <v>1</v>
      </c>
      <c r="AL263" s="285">
        <v>11.6</v>
      </c>
      <c r="AM263" s="289">
        <v>70.5</v>
      </c>
      <c r="AN263" s="285" cm="1">
        <f t="array" aca="1" ref="AN263" ca="1">INDIRECT("'"&amp;$C263&amp;"'!"&amp;"$"&amp;$D263&amp;$AL$1&amp;"")</f>
        <v>3.8</v>
      </c>
      <c r="AO263" s="288">
        <v>0.97</v>
      </c>
      <c r="AP263" s="286">
        <v>0.9</v>
      </c>
      <c r="AQ263" s="287" cm="1">
        <f t="array" aca="1" ref="AQ263" ca="1">INDIRECT("'"&amp;$C263&amp;"'!"&amp;"$"&amp;$D263&amp;$AQ$1&amp;"")</f>
        <v>0</v>
      </c>
      <c r="AR263" s="288" t="s">
        <v>1</v>
      </c>
      <c r="AS263" s="286" t="s">
        <v>1</v>
      </c>
      <c r="AT263" s="285">
        <v>13.9</v>
      </c>
      <c r="AU263" s="289">
        <v>70.3</v>
      </c>
      <c r="AV263" s="288" cm="1">
        <f t="array" aca="1" ref="AV263" ca="1">INDIRECT("'"&amp;$C263&amp;"'!"&amp;"$"&amp;$D263&amp;$AV$1&amp;"")</f>
        <v>0</v>
      </c>
      <c r="AW263" s="287" t="s">
        <v>1</v>
      </c>
      <c r="AX263" s="288" t="s">
        <v>1</v>
      </c>
      <c r="AY263" s="286" t="s">
        <v>1</v>
      </c>
      <c r="AZ263" s="288" cm="1">
        <f t="array" aca="1" ref="AZ263" ca="1">INDIRECT("'"&amp;$C263&amp;"'!"&amp;"$"&amp;$D263&amp;$AZ$1&amp;"")</f>
        <v>7</v>
      </c>
      <c r="BA263" s="287" t="s">
        <v>1</v>
      </c>
      <c r="BB263" s="288">
        <v>0.99</v>
      </c>
      <c r="BC263" s="286">
        <v>0.97</v>
      </c>
      <c r="BD263" s="290">
        <v>14.01</v>
      </c>
      <c r="BE263" s="289">
        <v>70.92</v>
      </c>
      <c r="BF263" s="290" cm="1">
        <f t="array" aca="1" ref="BF263" ca="1">INDIRECT("'"&amp;$C263&amp;"'!"&amp;"$"&amp;$D263&amp;$BF$1&amp;"")</f>
        <v>14.29</v>
      </c>
      <c r="BG263" s="288">
        <v>0.99</v>
      </c>
      <c r="BH263" s="286">
        <v>2.2999999999999998</v>
      </c>
      <c r="BI263" s="525">
        <v>67.900000000000006</v>
      </c>
      <c r="BJ263" s="285" cm="1">
        <f t="array" aca="1" ref="BJ263" ca="1">INDIRECT("'"&amp;$C263&amp;"'!"&amp;"$"&amp;$D263&amp;$BI$1&amp;"")</f>
        <v>0</v>
      </c>
      <c r="BK263" s="287" t="s">
        <v>1</v>
      </c>
      <c r="BL263" s="286" t="s">
        <v>1</v>
      </c>
      <c r="BM263" s="290" cm="1">
        <f t="array" aca="1" ref="BM263" ca="1">INDIRECT("'"&amp;$C263&amp;"'!"&amp;"$"&amp;$D263&amp;$BM$1&amp;"")</f>
        <v>1.04</v>
      </c>
      <c r="BN263" s="288"/>
      <c r="BO263" s="288">
        <v>0.99</v>
      </c>
      <c r="BP263" s="286">
        <v>0.13</v>
      </c>
      <c r="BQ263" s="291" cm="1">
        <f t="array" aca="1" ref="BQ263" ca="1">INDIRECT("'"&amp;$C263&amp;"'!"&amp;"$"&amp;$D263&amp;$BQ$1&amp;"")</f>
        <v>0.77</v>
      </c>
      <c r="BR263" s="288"/>
      <c r="BS263" s="288">
        <v>0.96</v>
      </c>
      <c r="BT263" s="286">
        <v>0.22</v>
      </c>
      <c r="BU263" s="291" cm="1">
        <f t="array" aca="1" ref="BU263" ca="1">INDIRECT("'"&amp;$C263&amp;"'!"&amp;"$"&amp;$D263&amp;74&amp;"")</f>
        <v>0</v>
      </c>
      <c r="BV263" s="288"/>
      <c r="BW263" s="288" t="s">
        <v>1</v>
      </c>
      <c r="BX263" s="286" t="s">
        <v>1</v>
      </c>
    </row>
    <row r="264" spans="1:76">
      <c r="A264" s="459">
        <v>45849</v>
      </c>
      <c r="B264" s="345">
        <v>0.375</v>
      </c>
      <c r="C264" s="305">
        <v>11</v>
      </c>
      <c r="D264" s="306" t="s">
        <v>151</v>
      </c>
      <c r="E264" s="278">
        <v>14.2</v>
      </c>
      <c r="F264" s="279">
        <v>69.52</v>
      </c>
      <c r="G264" s="280" t="str" cm="1">
        <f t="array" aca="1" ref="G264" ca="1">INDIRECT("'"&amp;$C264&amp;"'!"&amp;"$"&amp;$D264&amp;$E$1&amp;"")</f>
        <v>CMS</v>
      </c>
      <c r="H264" s="281" t="s">
        <v>1</v>
      </c>
      <c r="I264" s="279" t="s">
        <v>1</v>
      </c>
      <c r="J264" s="280" cm="1">
        <f t="array" aca="1" ref="J264" ca="1">INDIRECT("'"&amp;$C264&amp;"'!"&amp;"$"&amp;$D264&amp;$J$1&amp;"")</f>
        <v>6.2</v>
      </c>
      <c r="K264" s="281"/>
      <c r="L264" s="281">
        <v>0.95</v>
      </c>
      <c r="M264" s="282">
        <v>1.96</v>
      </c>
      <c r="N264" s="278" cm="1">
        <f t="array" aca="1" ref="N264" ca="1">INDIRECT("'"&amp;$C264&amp;"'!"&amp;"$"&amp;$D264&amp;$N$1&amp;"")</f>
        <v>6.7</v>
      </c>
      <c r="O264" s="281"/>
      <c r="P264" s="281">
        <v>0.97</v>
      </c>
      <c r="Q264" s="279">
        <v>1.77</v>
      </c>
      <c r="R264" s="468" cm="1">
        <f t="array" aca="1" ref="R264" ca="1">INDIRECT("'"&amp;$C264&amp;"'!"&amp;"$"&amp;$D264&amp;$R$1&amp;"")</f>
        <v>6.7</v>
      </c>
      <c r="S264" s="281"/>
      <c r="T264" s="281">
        <v>0.97</v>
      </c>
      <c r="U264" s="279">
        <v>1.75</v>
      </c>
      <c r="V264" s="280" cm="1">
        <f t="array" aca="1" ref="V264" ca="1">INDIRECT("'"&amp;$C264&amp;"'!"&amp;"$"&amp;$D264&amp;$V$1&amp;"")</f>
        <v>2.5</v>
      </c>
      <c r="W264" s="281">
        <f>3.5*3.8</f>
        <v>13.299999999999999</v>
      </c>
      <c r="X264" s="281">
        <v>0.91</v>
      </c>
      <c r="Y264" s="282">
        <v>1.19</v>
      </c>
      <c r="Z264" s="278" cm="1">
        <f t="array" aca="1" ref="Z264" ca="1">INDIRECT("'"&amp;$C264&amp;"'!"&amp;"$"&amp;$D264&amp;$Z$1&amp;"")</f>
        <v>3.3</v>
      </c>
      <c r="AA264" s="281">
        <v>13.299999999999999</v>
      </c>
      <c r="AB264" s="281">
        <v>0.93</v>
      </c>
      <c r="AC264" s="279">
        <v>1.31</v>
      </c>
      <c r="AD264" s="280" t="str" cm="1">
        <f t="array" aca="1" ref="AD264" ca="1">INDIRECT("'"&amp;$C264&amp;"'!"&amp;"$"&amp;$D264&amp;$AD$1&amp;"")</f>
        <v>CMS</v>
      </c>
      <c r="AE264" s="281" t="s">
        <v>1</v>
      </c>
      <c r="AF264" s="281" t="s">
        <v>1</v>
      </c>
      <c r="AG264" s="282" t="s">
        <v>1</v>
      </c>
      <c r="AH264" s="278" cm="1">
        <f t="array" aca="1" ref="AH264" ca="1">INDIRECT("'"&amp;$C264&amp;"'!"&amp;"$"&amp;$D264&amp;$AH$1&amp;"")</f>
        <v>0</v>
      </c>
      <c r="AI264" s="281" t="s">
        <v>1</v>
      </c>
      <c r="AJ264" s="281" t="s">
        <v>1</v>
      </c>
      <c r="AK264" s="279" t="s">
        <v>1</v>
      </c>
      <c r="AL264" s="278">
        <v>11.6</v>
      </c>
      <c r="AM264" s="282">
        <v>70.7</v>
      </c>
      <c r="AN264" s="278" cm="1">
        <f t="array" aca="1" ref="AN264" ca="1">INDIRECT("'"&amp;$C264&amp;"'!"&amp;"$"&amp;$D264&amp;$AL$1&amp;"")</f>
        <v>3.8</v>
      </c>
      <c r="AO264" s="281">
        <v>0.94</v>
      </c>
      <c r="AP264" s="279">
        <v>1.29</v>
      </c>
      <c r="AQ264" s="280" cm="1">
        <f t="array" aca="1" ref="AQ264" ca="1">INDIRECT("'"&amp;$C264&amp;"'!"&amp;"$"&amp;$D264&amp;$AQ$1&amp;"")</f>
        <v>0</v>
      </c>
      <c r="AR264" s="281" t="s">
        <v>1</v>
      </c>
      <c r="AS264" s="279" t="s">
        <v>1</v>
      </c>
      <c r="AT264" s="278">
        <v>13.61</v>
      </c>
      <c r="AU264" s="282">
        <v>70.2</v>
      </c>
      <c r="AV264" s="281" cm="1">
        <f t="array" aca="1" ref="AV264" ca="1">INDIRECT("'"&amp;$C264&amp;"'!"&amp;"$"&amp;$D264&amp;$AV$1&amp;"")</f>
        <v>0</v>
      </c>
      <c r="AW264" s="280" t="s">
        <v>1</v>
      </c>
      <c r="AX264" s="281" t="s">
        <v>1</v>
      </c>
      <c r="AY264" s="279" t="s">
        <v>1</v>
      </c>
      <c r="AZ264" s="281" cm="1">
        <f t="array" aca="1" ref="AZ264" ca="1">INDIRECT("'"&amp;$C264&amp;"'!"&amp;"$"&amp;$D264&amp;$AZ$1&amp;"")</f>
        <v>7</v>
      </c>
      <c r="BA264" s="280" t="s">
        <v>1</v>
      </c>
      <c r="BB264" s="281">
        <v>0.98</v>
      </c>
      <c r="BC264" s="279">
        <v>1.2</v>
      </c>
      <c r="BD264" s="283">
        <v>14.15</v>
      </c>
      <c r="BE264" s="282">
        <v>71.16</v>
      </c>
      <c r="BF264" s="283" cm="1">
        <f t="array" aca="1" ref="BF264" ca="1">INDIRECT("'"&amp;$C264&amp;"'!"&amp;"$"&amp;$D264&amp;$BF$1&amp;"")</f>
        <v>14.33</v>
      </c>
      <c r="BG264" s="281">
        <v>0.98</v>
      </c>
      <c r="BH264" s="279">
        <v>3.4</v>
      </c>
      <c r="BI264" s="524">
        <v>68.599999999999994</v>
      </c>
      <c r="BJ264" s="278" cm="1">
        <f t="array" aca="1" ref="BJ264" ca="1">INDIRECT("'"&amp;$C264&amp;"'!"&amp;"$"&amp;$D264&amp;$BI$1&amp;"")</f>
        <v>0</v>
      </c>
      <c r="BK264" s="280" t="s">
        <v>1</v>
      </c>
      <c r="BL264" s="279" t="s">
        <v>1</v>
      </c>
      <c r="BM264" s="283" cm="1">
        <f t="array" aca="1" ref="BM264" ca="1">INDIRECT("'"&amp;$C264&amp;"'!"&amp;"$"&amp;$D264&amp;$BM$1&amp;"")</f>
        <v>1.32</v>
      </c>
      <c r="BN264" s="281"/>
      <c r="BO264" s="281">
        <v>0.99</v>
      </c>
      <c r="BP264" s="279">
        <v>0.15</v>
      </c>
      <c r="BQ264" s="284" cm="1">
        <f t="array" aca="1" ref="BQ264" ca="1">INDIRECT("'"&amp;$C264&amp;"'!"&amp;"$"&amp;$D264&amp;$BQ$1&amp;"")</f>
        <v>0</v>
      </c>
      <c r="BR264" s="281"/>
      <c r="BS264" s="281" t="s">
        <v>1</v>
      </c>
      <c r="BT264" s="279" t="s">
        <v>1</v>
      </c>
      <c r="BU264" s="284" cm="1">
        <f t="array" aca="1" ref="BU264" ca="1">INDIRECT("'"&amp;$C264&amp;"'!"&amp;"$"&amp;$D264&amp;74&amp;"")</f>
        <v>0</v>
      </c>
      <c r="BV264" s="281"/>
      <c r="BW264" s="281" t="s">
        <v>1</v>
      </c>
      <c r="BX264" s="279" t="s">
        <v>1</v>
      </c>
    </row>
    <row r="265" spans="1:76">
      <c r="A265" s="459">
        <v>45849</v>
      </c>
      <c r="B265" s="345">
        <v>0.41666666666666702</v>
      </c>
      <c r="C265" s="305">
        <v>11</v>
      </c>
      <c r="D265" s="306" t="s">
        <v>152</v>
      </c>
      <c r="E265" s="285">
        <v>14.1</v>
      </c>
      <c r="F265" s="286">
        <v>69.3</v>
      </c>
      <c r="G265" s="287" t="str" cm="1">
        <f t="array" aca="1" ref="G265" ca="1">INDIRECT("'"&amp;$C265&amp;"'!"&amp;"$"&amp;$D265&amp;$E$1&amp;"")</f>
        <v>CMS</v>
      </c>
      <c r="H265" s="288" t="s">
        <v>1</v>
      </c>
      <c r="I265" s="286" t="s">
        <v>1</v>
      </c>
      <c r="J265" s="287" cm="1">
        <f t="array" aca="1" ref="J265" ca="1">INDIRECT("'"&amp;$C265&amp;"'!"&amp;"$"&amp;$D265&amp;$J$1&amp;"")</f>
        <v>7</v>
      </c>
      <c r="K265" s="288"/>
      <c r="L265" s="288">
        <v>0.96</v>
      </c>
      <c r="M265" s="289">
        <v>2.15</v>
      </c>
      <c r="N265" s="285" cm="1">
        <f t="array" aca="1" ref="N265" ca="1">INDIRECT("'"&amp;$C265&amp;"'!"&amp;"$"&amp;$D265&amp;$N$1&amp;"")</f>
        <v>6.8</v>
      </c>
      <c r="O265" s="288"/>
      <c r="P265" s="288">
        <v>0.96</v>
      </c>
      <c r="Q265" s="286">
        <v>1.95</v>
      </c>
      <c r="R265" s="285" cm="1">
        <f t="array" aca="1" ref="R265" ca="1">INDIRECT("'"&amp;$C265&amp;"'!"&amp;"$"&amp;$D265&amp;$R$1&amp;"")</f>
        <v>6.8</v>
      </c>
      <c r="S265" s="288"/>
      <c r="T265" s="288">
        <v>0.95</v>
      </c>
      <c r="U265" s="286">
        <v>2.15</v>
      </c>
      <c r="V265" s="287" cm="1">
        <f t="array" aca="1" ref="V265" ca="1">INDIRECT("'"&amp;$C265&amp;"'!"&amp;"$"&amp;$D265&amp;$V$1&amp;"")</f>
        <v>2.7</v>
      </c>
      <c r="W265" s="288">
        <f>3.8*3.48</f>
        <v>13.224</v>
      </c>
      <c r="X265" s="288">
        <v>0.91</v>
      </c>
      <c r="Y265" s="289">
        <v>1.21</v>
      </c>
      <c r="Z265" s="285" cm="1">
        <f t="array" aca="1" ref="Z265" ca="1">INDIRECT("'"&amp;$C265&amp;"'!"&amp;"$"&amp;$D265&amp;$Z$1&amp;"")</f>
        <v>3.4</v>
      </c>
      <c r="AA265" s="288">
        <f>3.8*3.48</f>
        <v>13.224</v>
      </c>
      <c r="AB265" s="288">
        <v>0.91</v>
      </c>
      <c r="AC265" s="286">
        <v>1.47</v>
      </c>
      <c r="AD265" s="287" t="str" cm="1">
        <f t="array" aca="1" ref="AD265" ca="1">INDIRECT("'"&amp;$C265&amp;"'!"&amp;"$"&amp;$D265&amp;$AD$1&amp;"")</f>
        <v>CMS</v>
      </c>
      <c r="AE265" s="288" t="s">
        <v>1</v>
      </c>
      <c r="AF265" s="288" t="s">
        <v>1</v>
      </c>
      <c r="AG265" s="289" t="s">
        <v>1</v>
      </c>
      <c r="AH265" s="285" cm="1">
        <f t="array" aca="1" ref="AH265" ca="1">INDIRECT("'"&amp;$C265&amp;"'!"&amp;"$"&amp;$D265&amp;$AH$1&amp;"")</f>
        <v>0</v>
      </c>
      <c r="AI265" s="288" t="s">
        <v>1</v>
      </c>
      <c r="AJ265" s="288" t="s">
        <v>1</v>
      </c>
      <c r="AK265" s="286" t="s">
        <v>1</v>
      </c>
      <c r="AL265" s="285">
        <v>11.6</v>
      </c>
      <c r="AM265" s="289">
        <v>70.599999999999994</v>
      </c>
      <c r="AN265" s="285" cm="1">
        <f t="array" aca="1" ref="AN265" ca="1">INDIRECT("'"&amp;$C265&amp;"'!"&amp;"$"&amp;$D265&amp;$AL$1&amp;"")</f>
        <v>3.8</v>
      </c>
      <c r="AO265" s="288">
        <v>0.94</v>
      </c>
      <c r="AP265" s="286">
        <v>1.33</v>
      </c>
      <c r="AQ265" s="287" cm="1">
        <f t="array" aca="1" ref="AQ265" ca="1">INDIRECT("'"&amp;$C265&amp;"'!"&amp;"$"&amp;$D265&amp;$AQ$1&amp;"")</f>
        <v>0</v>
      </c>
      <c r="AR265" s="288" t="s">
        <v>1</v>
      </c>
      <c r="AS265" s="286" t="s">
        <v>1</v>
      </c>
      <c r="AT265" s="285">
        <v>13.88</v>
      </c>
      <c r="AU265" s="289">
        <v>70.2</v>
      </c>
      <c r="AV265" s="288" cm="1">
        <f t="array" aca="1" ref="AV265" ca="1">INDIRECT("'"&amp;$C265&amp;"'!"&amp;"$"&amp;$D265&amp;$AV$1&amp;"")</f>
        <v>0</v>
      </c>
      <c r="AW265" s="287" t="s">
        <v>1</v>
      </c>
      <c r="AX265" s="288" t="s">
        <v>1</v>
      </c>
      <c r="AY265" s="286" t="s">
        <v>1</v>
      </c>
      <c r="AZ265" s="288" cm="1">
        <f t="array" aca="1" ref="AZ265" ca="1">INDIRECT("'"&amp;$C265&amp;"'!"&amp;"$"&amp;$D265&amp;$AZ$1&amp;"")</f>
        <v>7</v>
      </c>
      <c r="BA265" s="287" t="s">
        <v>1</v>
      </c>
      <c r="BB265" s="288">
        <v>0.98</v>
      </c>
      <c r="BC265" s="286">
        <v>1.5</v>
      </c>
      <c r="BD265" s="290">
        <v>14.19</v>
      </c>
      <c r="BE265" s="289">
        <v>71.349999999999994</v>
      </c>
      <c r="BF265" s="290" cm="1">
        <f t="array" aca="1" ref="BF265" ca="1">INDIRECT("'"&amp;$C265&amp;"'!"&amp;"$"&amp;$D265&amp;$BF$1&amp;"")</f>
        <v>14.29</v>
      </c>
      <c r="BG265" s="288">
        <v>0.98</v>
      </c>
      <c r="BH265" s="286">
        <v>3.4</v>
      </c>
      <c r="BI265" s="525">
        <v>68.2</v>
      </c>
      <c r="BJ265" s="285" cm="1">
        <f t="array" aca="1" ref="BJ265" ca="1">INDIRECT("'"&amp;$C265&amp;"'!"&amp;"$"&amp;$D265&amp;$BI$1&amp;"")</f>
        <v>1.5</v>
      </c>
      <c r="BK265" s="287">
        <v>0.95</v>
      </c>
      <c r="BL265" s="286">
        <v>0.49</v>
      </c>
      <c r="BM265" s="290" cm="1">
        <f t="array" aca="1" ref="BM265" ca="1">INDIRECT("'"&amp;$C265&amp;"'!"&amp;"$"&amp;$D265&amp;$BM$1&amp;"")</f>
        <v>1.36</v>
      </c>
      <c r="BN265" s="288"/>
      <c r="BO265" s="288">
        <v>0.99</v>
      </c>
      <c r="BP265" s="286">
        <v>0.16</v>
      </c>
      <c r="BQ265" s="291" cm="1">
        <f t="array" aca="1" ref="BQ265" ca="1">INDIRECT("'"&amp;$C265&amp;"'!"&amp;"$"&amp;$D265&amp;$BQ$1&amp;"")</f>
        <v>0</v>
      </c>
      <c r="BR265" s="288"/>
      <c r="BS265" s="288" t="s">
        <v>1</v>
      </c>
      <c r="BT265" s="286" t="s">
        <v>1</v>
      </c>
      <c r="BU265" s="291" cm="1">
        <f t="array" aca="1" ref="BU265" ca="1">INDIRECT("'"&amp;$C265&amp;"'!"&amp;"$"&amp;$D265&amp;74&amp;"")</f>
        <v>0</v>
      </c>
      <c r="BV265" s="288"/>
      <c r="BW265" s="288" t="s">
        <v>1</v>
      </c>
      <c r="BX265" s="286" t="s">
        <v>1</v>
      </c>
    </row>
    <row r="266" spans="1:76">
      <c r="A266" s="459">
        <v>45849</v>
      </c>
      <c r="B266" s="345">
        <v>0.45833333333333398</v>
      </c>
      <c r="C266" s="305">
        <v>11</v>
      </c>
      <c r="D266" s="306" t="s">
        <v>153</v>
      </c>
      <c r="E266" s="278">
        <v>14.1</v>
      </c>
      <c r="F266" s="279">
        <v>68.900000000000006</v>
      </c>
      <c r="G266" s="280" t="str" cm="1">
        <f t="array" aca="1" ref="G266" ca="1">INDIRECT("'"&amp;$C266&amp;"'!"&amp;"$"&amp;$D266&amp;$E$1&amp;"")</f>
        <v>CMS</v>
      </c>
      <c r="H266" s="281" t="s">
        <v>1</v>
      </c>
      <c r="I266" s="279" t="s">
        <v>1</v>
      </c>
      <c r="J266" s="280" cm="1">
        <f t="array" aca="1" ref="J266" ca="1">INDIRECT("'"&amp;$C266&amp;"'!"&amp;"$"&amp;$D266&amp;$J$1&amp;"")</f>
        <v>6.7</v>
      </c>
      <c r="K266" s="281"/>
      <c r="L266" s="281">
        <v>0.96</v>
      </c>
      <c r="M266" s="282">
        <v>1.93</v>
      </c>
      <c r="N266" s="278" cm="1">
        <f t="array" aca="1" ref="N266" ca="1">INDIRECT("'"&amp;$C266&amp;"'!"&amp;"$"&amp;$D266&amp;$N$1&amp;"")</f>
        <v>6.7</v>
      </c>
      <c r="O266" s="281"/>
      <c r="P266" s="281">
        <v>0.96</v>
      </c>
      <c r="Q266" s="279">
        <v>1.92</v>
      </c>
      <c r="R266" s="468" cm="1">
        <f t="array" aca="1" ref="R266" ca="1">INDIRECT("'"&amp;$C266&amp;"'!"&amp;"$"&amp;$D266&amp;$R$1&amp;"")</f>
        <v>6.7</v>
      </c>
      <c r="S266" s="281"/>
      <c r="T266" s="281">
        <v>0.93</v>
      </c>
      <c r="U266" s="279">
        <v>2.68</v>
      </c>
      <c r="V266" s="280" cm="1">
        <f t="array" aca="1" ref="V266" ca="1">INDIRECT("'"&amp;$C266&amp;"'!"&amp;"$"&amp;$D266&amp;$V$1&amp;"")</f>
        <v>2.7</v>
      </c>
      <c r="W266" s="281">
        <f>3.8*3.44</f>
        <v>13.071999999999999</v>
      </c>
      <c r="X266" s="281">
        <v>0.91</v>
      </c>
      <c r="Y266" s="282">
        <v>1.22</v>
      </c>
      <c r="Z266" s="278" cm="1">
        <f t="array" aca="1" ref="Z266" ca="1">INDIRECT("'"&amp;$C266&amp;"'!"&amp;"$"&amp;$D266&amp;$Z$1&amp;"")</f>
        <v>3.3</v>
      </c>
      <c r="AA266" s="281">
        <f>3.8*3.44</f>
        <v>13.071999999999999</v>
      </c>
      <c r="AB266" s="281">
        <v>0.91</v>
      </c>
      <c r="AC266" s="279">
        <v>1.46</v>
      </c>
      <c r="AD266" s="280" t="str" cm="1">
        <f t="array" aca="1" ref="AD266" ca="1">INDIRECT("'"&amp;$C266&amp;"'!"&amp;"$"&amp;$D266&amp;$AD$1&amp;"")</f>
        <v>CMS</v>
      </c>
      <c r="AE266" s="281" t="s">
        <v>1</v>
      </c>
      <c r="AF266" s="281" t="s">
        <v>1</v>
      </c>
      <c r="AG266" s="282" t="s">
        <v>1</v>
      </c>
      <c r="AH266" s="278" cm="1">
        <f t="array" aca="1" ref="AH266" ca="1">INDIRECT("'"&amp;$C266&amp;"'!"&amp;"$"&amp;$D266&amp;$AH$1&amp;"")</f>
        <v>3.8</v>
      </c>
      <c r="AI266" s="281">
        <v>13.96</v>
      </c>
      <c r="AJ266" s="281">
        <v>0.99</v>
      </c>
      <c r="AK266" s="279">
        <v>0.214</v>
      </c>
      <c r="AL266" s="278">
        <v>11.6</v>
      </c>
      <c r="AM266" s="282">
        <v>70.599999999999994</v>
      </c>
      <c r="AN266" s="278" cm="1">
        <f t="array" aca="1" ref="AN266" ca="1">INDIRECT("'"&amp;$C266&amp;"'!"&amp;"$"&amp;$D266&amp;$AL$1&amp;"")</f>
        <v>3.8</v>
      </c>
      <c r="AO266" s="281">
        <v>0.94</v>
      </c>
      <c r="AP266" s="279">
        <v>1.37</v>
      </c>
      <c r="AQ266" s="280" cm="1">
        <f t="array" aca="1" ref="AQ266" ca="1">INDIRECT("'"&amp;$C266&amp;"'!"&amp;"$"&amp;$D266&amp;$AQ$1&amp;"")</f>
        <v>0</v>
      </c>
      <c r="AR266" s="281" t="s">
        <v>1</v>
      </c>
      <c r="AS266" s="279" t="s">
        <v>1</v>
      </c>
      <c r="AT266" s="278">
        <v>13.89</v>
      </c>
      <c r="AU266" s="282">
        <v>70.2</v>
      </c>
      <c r="AV266" s="281" cm="1">
        <f t="array" aca="1" ref="AV266" ca="1">INDIRECT("'"&amp;$C266&amp;"'!"&amp;"$"&amp;$D266&amp;$AV$1&amp;"")</f>
        <v>0</v>
      </c>
      <c r="AW266" s="280" t="s">
        <v>1</v>
      </c>
      <c r="AX266" s="281" t="s">
        <v>1</v>
      </c>
      <c r="AY266" s="279" t="s">
        <v>1</v>
      </c>
      <c r="AZ266" s="281" cm="1">
        <f t="array" aca="1" ref="AZ266" ca="1">INDIRECT("'"&amp;$C266&amp;"'!"&amp;"$"&amp;$D266&amp;$AZ$1&amp;"")</f>
        <v>7</v>
      </c>
      <c r="BA266" s="280" t="s">
        <v>1</v>
      </c>
      <c r="BB266" s="281">
        <v>0.96</v>
      </c>
      <c r="BC266" s="279">
        <v>2</v>
      </c>
      <c r="BD266" s="283">
        <v>14.16</v>
      </c>
      <c r="BE266" s="282">
        <v>71.3</v>
      </c>
      <c r="BF266" s="283" cm="1">
        <f t="array" aca="1" ref="BF266" ca="1">INDIRECT("'"&amp;$C266&amp;"'!"&amp;"$"&amp;$D266&amp;$BF$1&amp;"")</f>
        <v>14.11</v>
      </c>
      <c r="BG266" s="281">
        <v>0.98</v>
      </c>
      <c r="BH266" s="279">
        <v>3.4</v>
      </c>
      <c r="BI266" s="524">
        <v>67.7</v>
      </c>
      <c r="BJ266" s="278" cm="1">
        <f t="array" aca="1" ref="BJ266" ca="1">INDIRECT("'"&amp;$C266&amp;"'!"&amp;"$"&amp;$D266&amp;$BI$1&amp;"")</f>
        <v>1.5</v>
      </c>
      <c r="BK266" s="280">
        <v>0.96</v>
      </c>
      <c r="BL266" s="279">
        <v>0.42</v>
      </c>
      <c r="BM266" s="283" cm="1">
        <f t="array" aca="1" ref="BM266" ca="1">INDIRECT("'"&amp;$C266&amp;"'!"&amp;"$"&amp;$D266&amp;$BM$1&amp;"")</f>
        <v>1.35</v>
      </c>
      <c r="BN266" s="281"/>
      <c r="BO266" s="281">
        <v>0.99</v>
      </c>
      <c r="BP266" s="279">
        <v>0.17</v>
      </c>
      <c r="BQ266" s="284" cm="1">
        <f t="array" aca="1" ref="BQ266" ca="1">INDIRECT("'"&amp;$C266&amp;"'!"&amp;"$"&amp;$D266&amp;$BQ$1&amp;"")</f>
        <v>0</v>
      </c>
      <c r="BR266" s="281"/>
      <c r="BS266" s="281" t="s">
        <v>1</v>
      </c>
      <c r="BT266" s="279" t="s">
        <v>1</v>
      </c>
      <c r="BU266" s="284" cm="1">
        <f t="array" aca="1" ref="BU266" ca="1">INDIRECT("'"&amp;$C266&amp;"'!"&amp;"$"&amp;$D266&amp;74&amp;"")</f>
        <v>0</v>
      </c>
      <c r="BV266" s="281"/>
      <c r="BW266" s="281" t="s">
        <v>1</v>
      </c>
      <c r="BX266" s="279" t="s">
        <v>1</v>
      </c>
    </row>
    <row r="267" spans="1:76">
      <c r="A267" s="459">
        <v>45849</v>
      </c>
      <c r="B267" s="345">
        <v>0.5</v>
      </c>
      <c r="C267" s="305">
        <v>11</v>
      </c>
      <c r="D267" s="306" t="s">
        <v>154</v>
      </c>
      <c r="E267" s="285">
        <v>14.2</v>
      </c>
      <c r="F267" s="286">
        <v>69.45</v>
      </c>
      <c r="G267" s="287" t="str" cm="1">
        <f t="array" aca="1" ref="G267" ca="1">INDIRECT("'"&amp;$C267&amp;"'!"&amp;"$"&amp;$D267&amp;$E$1&amp;"")</f>
        <v>CMS</v>
      </c>
      <c r="H267" s="288" t="s">
        <v>1</v>
      </c>
      <c r="I267" s="286" t="s">
        <v>1</v>
      </c>
      <c r="J267" s="287" cm="1">
        <f t="array" aca="1" ref="J267" ca="1">INDIRECT("'"&amp;$C267&amp;"'!"&amp;"$"&amp;$D267&amp;$J$1&amp;"")</f>
        <v>6.7</v>
      </c>
      <c r="K267" s="288"/>
      <c r="L267" s="288">
        <v>0.94</v>
      </c>
      <c r="M267" s="289">
        <v>2.35</v>
      </c>
      <c r="N267" s="285" cm="1">
        <f t="array" aca="1" ref="N267" ca="1">INDIRECT("'"&amp;$C267&amp;"'!"&amp;"$"&amp;$D267&amp;$N$1&amp;"")</f>
        <v>6.7</v>
      </c>
      <c r="O267" s="288"/>
      <c r="P267" s="288">
        <v>0.94</v>
      </c>
      <c r="Q267" s="289">
        <v>2.42</v>
      </c>
      <c r="R267" s="285" cm="1">
        <f t="array" aca="1" ref="R267" ca="1">INDIRECT("'"&amp;$C267&amp;"'!"&amp;"$"&amp;$D267&amp;$R$1&amp;"")</f>
        <v>6.6</v>
      </c>
      <c r="S267" s="288"/>
      <c r="T267" s="288">
        <v>0.92</v>
      </c>
      <c r="U267" s="286">
        <v>2.78</v>
      </c>
      <c r="V267" s="287" cm="1">
        <f t="array" aca="1" ref="V267" ca="1">INDIRECT("'"&amp;$C267&amp;"'!"&amp;"$"&amp;$D267&amp;$V$1&amp;"")</f>
        <v>2.7</v>
      </c>
      <c r="W267" s="288">
        <f>3.8*3.47</f>
        <v>13.186</v>
      </c>
      <c r="X267" s="288">
        <v>0.91</v>
      </c>
      <c r="Y267" s="289">
        <v>1.24</v>
      </c>
      <c r="Z267" s="285" cm="1">
        <f t="array" aca="1" ref="Z267" ca="1">INDIRECT("'"&amp;$C267&amp;"'!"&amp;"$"&amp;$D267&amp;$Z$1&amp;"")</f>
        <v>2.2999999999999998</v>
      </c>
      <c r="AA267" s="288">
        <f>3.8*3.47</f>
        <v>13.186</v>
      </c>
      <c r="AB267" s="288">
        <v>0.92</v>
      </c>
      <c r="AC267" s="286">
        <v>0.93</v>
      </c>
      <c r="AD267" s="287" cm="1">
        <f t="array" aca="1" ref="AD267" ca="1">INDIRECT("'"&amp;$C267&amp;"'!"&amp;"$"&amp;$D267&amp;$AD$1&amp;"")</f>
        <v>1</v>
      </c>
      <c r="AE267" s="288">
        <f>3.8*3.47</f>
        <v>13.186</v>
      </c>
      <c r="AF267" s="288">
        <v>0.95</v>
      </c>
      <c r="AG267" s="289">
        <v>0.109</v>
      </c>
      <c r="AH267" s="285" cm="1">
        <f t="array" aca="1" ref="AH267" ca="1">INDIRECT("'"&amp;$C267&amp;"'!"&amp;"$"&amp;$D267&amp;$AH$1&amp;"")</f>
        <v>3.8</v>
      </c>
      <c r="AI267" s="288">
        <v>14</v>
      </c>
      <c r="AJ267" s="288">
        <v>0.98</v>
      </c>
      <c r="AK267" s="286">
        <v>0.437</v>
      </c>
      <c r="AL267" s="285">
        <v>11.6</v>
      </c>
      <c r="AM267" s="289">
        <v>70.599999999999994</v>
      </c>
      <c r="AN267" s="285" cm="1">
        <f t="array" aca="1" ref="AN267" ca="1">INDIRECT("'"&amp;$C267&amp;"'!"&amp;"$"&amp;$D267&amp;$AL$1&amp;"")</f>
        <v>3.7</v>
      </c>
      <c r="AO267" s="288">
        <v>0.94</v>
      </c>
      <c r="AP267" s="286">
        <v>1.34</v>
      </c>
      <c r="AQ267" s="287" cm="1">
        <f t="array" aca="1" ref="AQ267" ca="1">INDIRECT("'"&amp;$C267&amp;"'!"&amp;"$"&amp;$D267&amp;$AQ$1&amp;"")</f>
        <v>0</v>
      </c>
      <c r="AR267" s="288" t="s">
        <v>1</v>
      </c>
      <c r="AS267" s="286" t="s">
        <v>1</v>
      </c>
      <c r="AT267" s="285">
        <v>13.94</v>
      </c>
      <c r="AU267" s="289">
        <v>70.2</v>
      </c>
      <c r="AV267" s="288" cm="1">
        <f t="array" aca="1" ref="AV267" ca="1">INDIRECT("'"&amp;$C267&amp;"'!"&amp;"$"&amp;$D267&amp;$AV$1&amp;"")</f>
        <v>0</v>
      </c>
      <c r="AW267" s="287" t="s">
        <v>1</v>
      </c>
      <c r="AX267" s="288" t="s">
        <v>1</v>
      </c>
      <c r="AY267" s="286" t="s">
        <v>1</v>
      </c>
      <c r="AZ267" s="288" cm="1">
        <f t="array" aca="1" ref="AZ267" ca="1">INDIRECT("'"&amp;$C267&amp;"'!"&amp;"$"&amp;$D267&amp;$AZ$1&amp;"")</f>
        <v>7</v>
      </c>
      <c r="BA267" s="287" t="s">
        <v>1</v>
      </c>
      <c r="BB267" s="288">
        <v>0.97</v>
      </c>
      <c r="BC267" s="286">
        <v>1.8</v>
      </c>
      <c r="BD267" s="290">
        <v>14.14</v>
      </c>
      <c r="BE267" s="289">
        <v>71.53</v>
      </c>
      <c r="BF267" s="290" cm="1">
        <f t="array" aca="1" ref="BF267" ca="1">INDIRECT("'"&amp;$C267&amp;"'!"&amp;"$"&amp;$D267&amp;$BF$1&amp;"")</f>
        <v>14.18</v>
      </c>
      <c r="BG267" s="288">
        <v>0.99</v>
      </c>
      <c r="BH267" s="286">
        <v>2.2999999999999998</v>
      </c>
      <c r="BI267" s="525">
        <v>68.2</v>
      </c>
      <c r="BJ267" s="285" cm="1">
        <f t="array" aca="1" ref="BJ267" ca="1">INDIRECT("'"&amp;$C267&amp;"'!"&amp;"$"&amp;$D267&amp;$BI$1&amp;"")</f>
        <v>2.2999999999999998</v>
      </c>
      <c r="BK267" s="287">
        <v>0.96</v>
      </c>
      <c r="BL267" s="286">
        <v>0.65</v>
      </c>
      <c r="BM267" s="290" cm="1">
        <f t="array" aca="1" ref="BM267" ca="1">INDIRECT("'"&amp;$C267&amp;"'!"&amp;"$"&amp;$D267&amp;$BM$1&amp;"")</f>
        <v>1.29</v>
      </c>
      <c r="BN267" s="288"/>
      <c r="BO267" s="288">
        <v>0.99</v>
      </c>
      <c r="BP267" s="286">
        <v>0.17</v>
      </c>
      <c r="BQ267" s="291" cm="1">
        <f t="array" aca="1" ref="BQ267" ca="1">INDIRECT("'"&amp;$C267&amp;"'!"&amp;"$"&amp;$D267&amp;$BQ$1&amp;"")</f>
        <v>0.86</v>
      </c>
      <c r="BR267" s="288"/>
      <c r="BS267" s="288">
        <v>0.96</v>
      </c>
      <c r="BT267" s="286">
        <v>0.23</v>
      </c>
      <c r="BU267" s="291" cm="1">
        <f t="array" aca="1" ref="BU267" ca="1">INDIRECT("'"&amp;$C267&amp;"'!"&amp;"$"&amp;$D267&amp;74&amp;"")</f>
        <v>0</v>
      </c>
      <c r="BV267" s="288"/>
      <c r="BW267" s="288" t="s">
        <v>1</v>
      </c>
      <c r="BX267" s="286" t="s">
        <v>1</v>
      </c>
    </row>
    <row r="268" spans="1:76">
      <c r="A268" s="459">
        <v>45849</v>
      </c>
      <c r="B268" s="345">
        <v>0.54166666666666696</v>
      </c>
      <c r="C268" s="305">
        <v>11</v>
      </c>
      <c r="D268" s="306" t="s">
        <v>155</v>
      </c>
      <c r="E268" s="278">
        <v>142</v>
      </c>
      <c r="F268" s="279">
        <v>69.099999999999994</v>
      </c>
      <c r="G268" s="280" t="str" cm="1">
        <f t="array" aca="1" ref="G268" ca="1">INDIRECT("'"&amp;$C268&amp;"'!"&amp;"$"&amp;$D268&amp;$E$1&amp;"")</f>
        <v>CMS</v>
      </c>
      <c r="H268" s="281" t="s">
        <v>1</v>
      </c>
      <c r="I268" s="279" t="s">
        <v>1</v>
      </c>
      <c r="J268" s="280" cm="1">
        <f t="array" aca="1" ref="J268" ca="1">INDIRECT("'"&amp;$C268&amp;"'!"&amp;"$"&amp;$D268&amp;$J$1&amp;"")</f>
        <v>7</v>
      </c>
      <c r="K268" s="281"/>
      <c r="L268" s="281">
        <v>0.93</v>
      </c>
      <c r="M268" s="279">
        <v>2.68</v>
      </c>
      <c r="N268" s="278" cm="1">
        <f t="array" aca="1" ref="N268" ca="1">INDIRECT("'"&amp;$C268&amp;"'!"&amp;"$"&amp;$D268&amp;$N$1&amp;"")</f>
        <v>7</v>
      </c>
      <c r="O268" s="281"/>
      <c r="P268" s="281">
        <v>0.93</v>
      </c>
      <c r="Q268" s="279">
        <v>2.7</v>
      </c>
      <c r="R268" s="468" cm="1">
        <f t="array" aca="1" ref="R268" ca="1">INDIRECT("'"&amp;$C268&amp;"'!"&amp;"$"&amp;$D268&amp;$R$1&amp;"")</f>
        <v>7</v>
      </c>
      <c r="S268" s="281"/>
      <c r="T268" s="281">
        <v>0.91</v>
      </c>
      <c r="U268" s="279">
        <v>3.08</v>
      </c>
      <c r="V268" s="280" cm="1">
        <f t="array" aca="1" ref="V268" ca="1">INDIRECT("'"&amp;$C268&amp;"'!"&amp;"$"&amp;$D268&amp;$V$1&amp;"")</f>
        <v>2.7</v>
      </c>
      <c r="W268" s="281">
        <f>3.8*3.51</f>
        <v>13.337999999999999</v>
      </c>
      <c r="X268" s="281">
        <v>0.9</v>
      </c>
      <c r="Y268" s="282">
        <v>1.28</v>
      </c>
      <c r="Z268" s="278" cm="1">
        <f t="array" aca="1" ref="Z268" ca="1">INDIRECT("'"&amp;$C268&amp;"'!"&amp;"$"&amp;$D268&amp;$Z$1&amp;"")</f>
        <v>0</v>
      </c>
      <c r="AA268" s="281" t="s">
        <v>1</v>
      </c>
      <c r="AB268" s="281" t="s">
        <v>1</v>
      </c>
      <c r="AC268" s="279" t="s">
        <v>1</v>
      </c>
      <c r="AD268" s="280" cm="1">
        <f t="array" aca="1" ref="AD268" ca="1">INDIRECT("'"&amp;$C268&amp;"'!"&amp;"$"&amp;$D268&amp;$AD$1&amp;"")</f>
        <v>3.5</v>
      </c>
      <c r="AE268" s="281">
        <f>3.8*3.51</f>
        <v>13.337999999999999</v>
      </c>
      <c r="AF268" s="281">
        <v>0.9</v>
      </c>
      <c r="AG268" s="282">
        <v>1.66</v>
      </c>
      <c r="AH268" s="278" cm="1">
        <f t="array" aca="1" ref="AH268" ca="1">INDIRECT("'"&amp;$C268&amp;"'!"&amp;"$"&amp;$D268&amp;$AH$1&amp;"")</f>
        <v>3.8</v>
      </c>
      <c r="AI268" s="281">
        <v>14</v>
      </c>
      <c r="AJ268" s="281">
        <v>0.98</v>
      </c>
      <c r="AK268" s="279">
        <v>1.66</v>
      </c>
      <c r="AL268" s="278">
        <v>11.6</v>
      </c>
      <c r="AM268" s="282">
        <v>70.8</v>
      </c>
      <c r="AN268" s="278" cm="1">
        <f t="array" aca="1" ref="AN268" ca="1">INDIRECT("'"&amp;$C268&amp;"'!"&amp;"$"&amp;$D268&amp;$AL$1&amp;"")</f>
        <v>3.8</v>
      </c>
      <c r="AO268" s="281">
        <v>0.94</v>
      </c>
      <c r="AP268" s="279">
        <v>1.6</v>
      </c>
      <c r="AQ268" s="280" cm="1">
        <f t="array" aca="1" ref="AQ268" ca="1">INDIRECT("'"&amp;$C268&amp;"'!"&amp;"$"&amp;$D268&amp;$AQ$1&amp;"")</f>
        <v>0</v>
      </c>
      <c r="AR268" s="281" t="s">
        <v>1</v>
      </c>
      <c r="AS268" s="279" t="s">
        <v>1</v>
      </c>
      <c r="AT268" s="278">
        <v>13.92</v>
      </c>
      <c r="AU268" s="282">
        <v>70.099999999999994</v>
      </c>
      <c r="AV268" s="281" cm="1">
        <f t="array" aca="1" ref="AV268" ca="1">INDIRECT("'"&amp;$C268&amp;"'!"&amp;"$"&amp;$D268&amp;$AV$1&amp;"")</f>
        <v>0</v>
      </c>
      <c r="AW268" s="280">
        <v>13.7</v>
      </c>
      <c r="AX268" s="281" t="s">
        <v>1</v>
      </c>
      <c r="AY268" s="279" t="s">
        <v>1</v>
      </c>
      <c r="AZ268" s="281" cm="1">
        <f t="array" aca="1" ref="AZ268" ca="1">INDIRECT("'"&amp;$C268&amp;"'!"&amp;"$"&amp;$D268&amp;$AZ$1&amp;"")</f>
        <v>7.2</v>
      </c>
      <c r="BA268" s="280">
        <v>13.7</v>
      </c>
      <c r="BB268" s="281">
        <v>0.96</v>
      </c>
      <c r="BC268" s="279">
        <v>2.2000000000000002</v>
      </c>
      <c r="BD268" s="283">
        <v>14.13</v>
      </c>
      <c r="BE268" s="282">
        <v>71.48</v>
      </c>
      <c r="BF268" s="283" cm="1">
        <f t="array" aca="1" ref="BF268" ca="1">INDIRECT("'"&amp;$C268&amp;"'!"&amp;"$"&amp;$D268&amp;$BF$1&amp;"")</f>
        <v>14.15</v>
      </c>
      <c r="BG268" s="281">
        <v>0.99</v>
      </c>
      <c r="BH268" s="279">
        <v>2.2999999999999998</v>
      </c>
      <c r="BI268" s="524">
        <v>67.8</v>
      </c>
      <c r="BJ268" s="278" cm="1">
        <f t="array" aca="1" ref="BJ268" ca="1">INDIRECT("'"&amp;$C268&amp;"'!"&amp;"$"&amp;$D268&amp;$BI$1&amp;"")</f>
        <v>0.8</v>
      </c>
      <c r="BK268" s="280">
        <v>0.96</v>
      </c>
      <c r="BL268" s="279">
        <v>0.22</v>
      </c>
      <c r="BM268" s="283" cm="1">
        <f t="array" aca="1" ref="BM268" ca="1">INDIRECT("'"&amp;$C268&amp;"'!"&amp;"$"&amp;$D268&amp;$BM$1&amp;"")</f>
        <v>1.31</v>
      </c>
      <c r="BN268" s="281"/>
      <c r="BO268" s="281">
        <v>0.99</v>
      </c>
      <c r="BP268" s="279">
        <v>0.17</v>
      </c>
      <c r="BQ268" s="284" cm="1">
        <f t="array" aca="1" ref="BQ268" ca="1">INDIRECT("'"&amp;$C268&amp;"'!"&amp;"$"&amp;$D268&amp;$BQ$1&amp;"")</f>
        <v>0.82</v>
      </c>
      <c r="BR268" s="281"/>
      <c r="BS268" s="281">
        <v>0.96</v>
      </c>
      <c r="BT268" s="279">
        <v>0.22</v>
      </c>
      <c r="BU268" s="284" cm="1">
        <f t="array" aca="1" ref="BU268" ca="1">INDIRECT("'"&amp;$C268&amp;"'!"&amp;"$"&amp;$D268&amp;74&amp;"")</f>
        <v>0</v>
      </c>
      <c r="BV268" s="281"/>
      <c r="BW268" s="281" t="s">
        <v>1</v>
      </c>
      <c r="BX268" s="279" t="s">
        <v>1</v>
      </c>
    </row>
    <row r="269" spans="1:76">
      <c r="A269" s="459">
        <v>45849</v>
      </c>
      <c r="B269" s="345">
        <v>0.58333333333333404</v>
      </c>
      <c r="C269" s="305">
        <v>11</v>
      </c>
      <c r="D269" s="306" t="s">
        <v>156</v>
      </c>
      <c r="E269" s="285">
        <v>14.2</v>
      </c>
      <c r="F269" s="286">
        <v>69.47</v>
      </c>
      <c r="G269" s="287" t="str" cm="1">
        <f t="array" aca="1" ref="G269" ca="1">INDIRECT("'"&amp;$C269&amp;"'!"&amp;"$"&amp;$D269&amp;$E$1&amp;"")</f>
        <v>CMS</v>
      </c>
      <c r="H269" s="288" t="s">
        <v>1</v>
      </c>
      <c r="I269" s="286" t="s">
        <v>1</v>
      </c>
      <c r="J269" s="287" cm="1">
        <f t="array" aca="1" ref="J269" ca="1">INDIRECT("'"&amp;$C269&amp;"'!"&amp;"$"&amp;$D269&amp;$J$1&amp;"")</f>
        <v>6.6</v>
      </c>
      <c r="K269" s="288"/>
      <c r="L269" s="288">
        <v>0.93</v>
      </c>
      <c r="M269" s="289">
        <v>2.52</v>
      </c>
      <c r="N269" s="285" cm="1">
        <f t="array" aca="1" ref="N269" ca="1">INDIRECT("'"&amp;$C269&amp;"'!"&amp;"$"&amp;$D269&amp;$N$1&amp;"")</f>
        <v>6.6</v>
      </c>
      <c r="O269" s="288"/>
      <c r="P269" s="288">
        <v>0.93</v>
      </c>
      <c r="Q269" s="286">
        <v>2.4900000000000002</v>
      </c>
      <c r="R269" s="285" cm="1">
        <f t="array" aca="1" ref="R269" ca="1">INDIRECT("'"&amp;$C269&amp;"'!"&amp;"$"&amp;$D269&amp;$R$1&amp;"")</f>
        <v>6.5</v>
      </c>
      <c r="S269" s="288"/>
      <c r="T269" s="288">
        <v>0.93</v>
      </c>
      <c r="U269" s="286">
        <v>2.57</v>
      </c>
      <c r="V269" s="287" cm="1">
        <f t="array" aca="1" ref="V269" ca="1">INDIRECT("'"&amp;$C269&amp;"'!"&amp;"$"&amp;$D269&amp;$V$1&amp;"")</f>
        <v>2.7</v>
      </c>
      <c r="W269" s="288">
        <v>13.452</v>
      </c>
      <c r="X269" s="288">
        <v>0.91</v>
      </c>
      <c r="Y269" s="289">
        <v>1.26</v>
      </c>
      <c r="Z269" s="285" cm="1">
        <f t="array" aca="1" ref="Z269" ca="1">INDIRECT("'"&amp;$C269&amp;"'!"&amp;"$"&amp;$D269&amp;$Z$1&amp;"")</f>
        <v>0</v>
      </c>
      <c r="AA269" s="288" t="s">
        <v>1</v>
      </c>
      <c r="AB269" s="288" t="s">
        <v>1</v>
      </c>
      <c r="AC269" s="286" t="s">
        <v>1</v>
      </c>
      <c r="AD269" s="287" cm="1">
        <f t="array" aca="1" ref="AD269" ca="1">INDIRECT("'"&amp;$C269&amp;"'!"&amp;"$"&amp;$D269&amp;$AD$1&amp;"")</f>
        <v>3.6</v>
      </c>
      <c r="AE269" s="288">
        <v>13.452</v>
      </c>
      <c r="AF269" s="288">
        <v>0.9</v>
      </c>
      <c r="AG269" s="289">
        <v>1.7</v>
      </c>
      <c r="AH269" s="285" cm="1">
        <f t="array" aca="1" ref="AH269" ca="1">INDIRECT("'"&amp;$C269&amp;"'!"&amp;"$"&amp;$D269&amp;$AH$1&amp;"")</f>
        <v>3.8</v>
      </c>
      <c r="AI269" s="288">
        <v>14</v>
      </c>
      <c r="AJ269" s="288">
        <v>0.98</v>
      </c>
      <c r="AK269" s="286">
        <v>0.442</v>
      </c>
      <c r="AL269" s="285">
        <v>11.7</v>
      </c>
      <c r="AM269" s="289">
        <v>70.900000000000006</v>
      </c>
      <c r="AN269" s="285" cm="1">
        <f t="array" aca="1" ref="AN269" ca="1">INDIRECT("'"&amp;$C269&amp;"'!"&amp;"$"&amp;$D269&amp;$AL$1&amp;"")</f>
        <v>3.8</v>
      </c>
      <c r="AO269" s="288">
        <v>0.92</v>
      </c>
      <c r="AP269" s="286">
        <v>1.67</v>
      </c>
      <c r="AQ269" s="287" cm="1">
        <f t="array" aca="1" ref="AQ269" ca="1">INDIRECT("'"&amp;$C269&amp;"'!"&amp;"$"&amp;$D269&amp;$AQ$1&amp;"")</f>
        <v>0</v>
      </c>
      <c r="AR269" s="288" t="s">
        <v>1</v>
      </c>
      <c r="AS269" s="286" t="s">
        <v>1</v>
      </c>
      <c r="AT269" s="285">
        <v>13.94</v>
      </c>
      <c r="AU269" s="289">
        <v>70.2</v>
      </c>
      <c r="AV269" s="288" cm="1">
        <f t="array" aca="1" ref="AV269" ca="1">INDIRECT("'"&amp;$C269&amp;"'!"&amp;"$"&amp;$D269&amp;$AV$1&amp;"")</f>
        <v>0</v>
      </c>
      <c r="AW269" s="287">
        <v>13.7</v>
      </c>
      <c r="AX269" s="288" t="s">
        <v>1</v>
      </c>
      <c r="AY269" s="286" t="s">
        <v>1</v>
      </c>
      <c r="AZ269" s="288" cm="1">
        <f t="array" aca="1" ref="AZ269" ca="1">INDIRECT("'"&amp;$C269&amp;"'!"&amp;"$"&amp;$D269&amp;$AZ$1&amp;"")</f>
        <v>7</v>
      </c>
      <c r="BA269" s="287">
        <v>13.7</v>
      </c>
      <c r="BB269" s="288">
        <v>0.97</v>
      </c>
      <c r="BC269" s="286">
        <v>1.8</v>
      </c>
      <c r="BD269" s="290">
        <v>14.13</v>
      </c>
      <c r="BE269" s="289">
        <v>71.540000000000006</v>
      </c>
      <c r="BF269" s="290" cm="1">
        <f t="array" aca="1" ref="BF269" ca="1">INDIRECT("'"&amp;$C269&amp;"'!"&amp;"$"&amp;$D269&amp;$BF$1&amp;"")</f>
        <v>14.21</v>
      </c>
      <c r="BG269" s="288">
        <v>0.99</v>
      </c>
      <c r="BH269" s="286">
        <v>2.2999999999999998</v>
      </c>
      <c r="BI269" s="525">
        <v>68.2</v>
      </c>
      <c r="BJ269" s="285" cm="1">
        <f t="array" aca="1" ref="BJ269" ca="1">INDIRECT("'"&amp;$C269&amp;"'!"&amp;"$"&amp;$D269&amp;$BI$1&amp;"")</f>
        <v>3</v>
      </c>
      <c r="BK269" s="287">
        <v>0.95</v>
      </c>
      <c r="BL269" s="286">
        <v>0.98</v>
      </c>
      <c r="BM269" s="290" cm="1">
        <f t="array" aca="1" ref="BM269" ca="1">INDIRECT("'"&amp;$C269&amp;"'!"&amp;"$"&amp;$D269&amp;$BM$1&amp;"")</f>
        <v>1.44</v>
      </c>
      <c r="BN269" s="288"/>
      <c r="BO269" s="288">
        <v>0.99</v>
      </c>
      <c r="BP269" s="286">
        <v>0.17</v>
      </c>
      <c r="BQ269" s="291" cm="1">
        <f t="array" aca="1" ref="BQ269" ca="1">INDIRECT("'"&amp;$C269&amp;"'!"&amp;"$"&amp;$D269&amp;$BQ$1&amp;"")</f>
        <v>0.82</v>
      </c>
      <c r="BR269" s="288"/>
      <c r="BS269" s="288">
        <v>0.96</v>
      </c>
      <c r="BT269" s="286">
        <v>0.23</v>
      </c>
      <c r="BU269" s="291" cm="1">
        <f t="array" aca="1" ref="BU269" ca="1">INDIRECT("'"&amp;$C269&amp;"'!"&amp;"$"&amp;$D269&amp;74&amp;"")</f>
        <v>0</v>
      </c>
      <c r="BV269" s="288"/>
      <c r="BW269" s="288" t="s">
        <v>1</v>
      </c>
      <c r="BX269" s="286" t="s">
        <v>1</v>
      </c>
    </row>
    <row r="270" spans="1:76">
      <c r="A270" s="459">
        <v>45849</v>
      </c>
      <c r="B270" s="345">
        <v>0.625</v>
      </c>
      <c r="C270" s="305">
        <v>11</v>
      </c>
      <c r="D270" s="306" t="s">
        <v>157</v>
      </c>
      <c r="E270" s="278">
        <v>14.3</v>
      </c>
      <c r="F270" s="279">
        <v>69.69</v>
      </c>
      <c r="G270" s="280" t="str" cm="1">
        <f t="array" aca="1" ref="G270" ca="1">INDIRECT("'"&amp;$C270&amp;"'!"&amp;"$"&amp;$D270&amp;$E$1&amp;"")</f>
        <v>CMS</v>
      </c>
      <c r="H270" s="281" t="s">
        <v>1</v>
      </c>
      <c r="I270" s="279" t="s">
        <v>1</v>
      </c>
      <c r="J270" s="280" cm="1">
        <f t="array" aca="1" ref="J270" ca="1">INDIRECT("'"&amp;$C270&amp;"'!"&amp;"$"&amp;$D270&amp;$J$1&amp;"")</f>
        <v>6.5</v>
      </c>
      <c r="K270" s="281"/>
      <c r="L270" s="281">
        <v>0.94</v>
      </c>
      <c r="M270" s="282">
        <v>2.4700000000000002</v>
      </c>
      <c r="N270" s="278" cm="1">
        <f t="array" aca="1" ref="N270" ca="1">INDIRECT("'"&amp;$C270&amp;"'!"&amp;"$"&amp;$D270&amp;$N$1&amp;"")</f>
        <v>6.6</v>
      </c>
      <c r="O270" s="281"/>
      <c r="P270" s="281">
        <v>0.93</v>
      </c>
      <c r="Q270" s="279">
        <v>2.52</v>
      </c>
      <c r="R270" s="468" cm="1">
        <f t="array" aca="1" ref="R270" ca="1">INDIRECT("'"&amp;$C270&amp;"'!"&amp;"$"&amp;$D270&amp;$R$1&amp;"")</f>
        <v>6.5</v>
      </c>
      <c r="S270" s="281"/>
      <c r="T270" s="281">
        <v>0.94</v>
      </c>
      <c r="U270" s="279">
        <v>2.37</v>
      </c>
      <c r="V270" s="280" cm="1">
        <f t="array" aca="1" ref="V270" ca="1">INDIRECT("'"&amp;$C270&amp;"'!"&amp;"$"&amp;$D270&amp;$V$1&amp;"")</f>
        <v>2</v>
      </c>
      <c r="W270" s="281">
        <v>13.489999999999998</v>
      </c>
      <c r="X270" s="281">
        <v>0.9</v>
      </c>
      <c r="Y270" s="282">
        <v>1.1000000000000001</v>
      </c>
      <c r="Z270" s="278" cm="1">
        <f t="array" aca="1" ref="Z270" ca="1">INDIRECT("'"&amp;$C270&amp;"'!"&amp;"$"&amp;$D270&amp;$Z$1&amp;"")</f>
        <v>0</v>
      </c>
      <c r="AA270" s="281" t="s">
        <v>1</v>
      </c>
      <c r="AB270" s="281" t="s">
        <v>1</v>
      </c>
      <c r="AC270" s="279" t="s">
        <v>1</v>
      </c>
      <c r="AD270" s="280" cm="1">
        <f t="array" aca="1" ref="AD270" ca="1">INDIRECT("'"&amp;$C270&amp;"'!"&amp;"$"&amp;$D270&amp;$AD$1&amp;"")</f>
        <v>3</v>
      </c>
      <c r="AE270" s="281">
        <v>13.49</v>
      </c>
      <c r="AF270" s="281">
        <v>0.9</v>
      </c>
      <c r="AG270" s="279">
        <v>1.58</v>
      </c>
      <c r="AH270" s="278" cm="1">
        <f t="array" aca="1" ref="AH270" ca="1">INDIRECT("'"&amp;$C270&amp;"'!"&amp;"$"&amp;$D270&amp;$AH$1&amp;"")</f>
        <v>3.8</v>
      </c>
      <c r="AI270" s="281">
        <v>14</v>
      </c>
      <c r="AJ270" s="281">
        <v>0.98</v>
      </c>
      <c r="AK270" s="279">
        <v>0.44800000000000001</v>
      </c>
      <c r="AL270" s="278">
        <v>11.6</v>
      </c>
      <c r="AM270" s="282">
        <v>70.900000000000006</v>
      </c>
      <c r="AN270" s="278" cm="1">
        <f t="array" aca="1" ref="AN270" ca="1">INDIRECT("'"&amp;$C270&amp;"'!"&amp;"$"&amp;$D270&amp;$AL$1&amp;"")</f>
        <v>0</v>
      </c>
      <c r="AO270" s="281" t="s">
        <v>1</v>
      </c>
      <c r="AP270" s="279" t="s">
        <v>1</v>
      </c>
      <c r="AQ270" s="280" cm="1">
        <f t="array" aca="1" ref="AQ270" ca="1">INDIRECT("'"&amp;$C270&amp;"'!"&amp;"$"&amp;$D270&amp;$AQ$1&amp;"")</f>
        <v>2.2999999999999998</v>
      </c>
      <c r="AR270" s="281">
        <v>0.94</v>
      </c>
      <c r="AS270" s="279">
        <v>0.95</v>
      </c>
      <c r="AT270" s="278">
        <v>13.94</v>
      </c>
      <c r="AU270" s="282">
        <v>70.2</v>
      </c>
      <c r="AV270" s="281" cm="1">
        <f t="array" aca="1" ref="AV270" ca="1">INDIRECT("'"&amp;$C270&amp;"'!"&amp;"$"&amp;$D270&amp;$AV$1&amp;"")</f>
        <v>0</v>
      </c>
      <c r="AW270" s="280">
        <v>13.7</v>
      </c>
      <c r="AX270" s="281" t="s">
        <v>1</v>
      </c>
      <c r="AY270" s="279" t="s">
        <v>1</v>
      </c>
      <c r="AZ270" s="281" cm="1">
        <f t="array" aca="1" ref="AZ270" ca="1">INDIRECT("'"&amp;$C270&amp;"'!"&amp;"$"&amp;$D270&amp;$AZ$1&amp;"")</f>
        <v>7</v>
      </c>
      <c r="BA270" s="280">
        <v>13.7</v>
      </c>
      <c r="BB270" s="281">
        <v>0.97</v>
      </c>
      <c r="BC270" s="279">
        <v>1.8</v>
      </c>
      <c r="BD270" s="283">
        <v>14.19</v>
      </c>
      <c r="BE270" s="282">
        <v>71.64</v>
      </c>
      <c r="BF270" s="283" cm="1">
        <f t="array" aca="1" ref="BF270" ca="1">INDIRECT("'"&amp;$C270&amp;"'!"&amp;"$"&amp;$D270&amp;$BF$1&amp;"")</f>
        <v>14.24</v>
      </c>
      <c r="BG270" s="281">
        <v>0.99</v>
      </c>
      <c r="BH270" s="279">
        <v>2.2999999999999998</v>
      </c>
      <c r="BI270" s="524">
        <v>68.400000000000006</v>
      </c>
      <c r="BJ270" s="278" cm="1">
        <f t="array" aca="1" ref="BJ270" ca="1">INDIRECT("'"&amp;$C270&amp;"'!"&amp;"$"&amp;$D270&amp;$BI$1&amp;"")</f>
        <v>3.1</v>
      </c>
      <c r="BK270" s="280">
        <v>0.95</v>
      </c>
      <c r="BL270" s="279">
        <v>1</v>
      </c>
      <c r="BM270" s="283" cm="1">
        <f t="array" aca="1" ref="BM270" ca="1">INDIRECT("'"&amp;$C270&amp;"'!"&amp;"$"&amp;$D270&amp;$BM$1&amp;"")</f>
        <v>1.44</v>
      </c>
      <c r="BN270" s="281"/>
      <c r="BO270" s="281">
        <v>0.99</v>
      </c>
      <c r="BP270" s="279">
        <v>0.18</v>
      </c>
      <c r="BQ270" s="284" cm="1">
        <f t="array" aca="1" ref="BQ270" ca="1">INDIRECT("'"&amp;$C270&amp;"'!"&amp;"$"&amp;$D270&amp;$BQ$1&amp;"")</f>
        <v>0.81</v>
      </c>
      <c r="BR270" s="281"/>
      <c r="BS270" s="281">
        <v>0.96</v>
      </c>
      <c r="BT270" s="279">
        <v>0.21</v>
      </c>
      <c r="BU270" s="284" cm="1">
        <f t="array" aca="1" ref="BU270" ca="1">INDIRECT("'"&amp;$C270&amp;"'!"&amp;"$"&amp;$D270&amp;74&amp;"")</f>
        <v>0</v>
      </c>
      <c r="BV270" s="281"/>
      <c r="BW270" s="281" t="s">
        <v>1</v>
      </c>
      <c r="BX270" s="279" t="s">
        <v>1</v>
      </c>
    </row>
    <row r="271" spans="1:76">
      <c r="A271" s="459">
        <v>45849</v>
      </c>
      <c r="B271" s="345">
        <v>0.66666666666666696</v>
      </c>
      <c r="C271" s="305">
        <v>11</v>
      </c>
      <c r="D271" s="306" t="s">
        <v>158</v>
      </c>
      <c r="E271" s="285">
        <v>14.2</v>
      </c>
      <c r="F271" s="286">
        <v>69.459999999999994</v>
      </c>
      <c r="G271" s="287" t="str" cm="1">
        <f t="array" aca="1" ref="G271" ca="1">INDIRECT("'"&amp;$C271&amp;"'!"&amp;"$"&amp;$D271&amp;$E$1&amp;"")</f>
        <v>CMS</v>
      </c>
      <c r="H271" s="288" t="s">
        <v>1</v>
      </c>
      <c r="I271" s="286" t="s">
        <v>1</v>
      </c>
      <c r="J271" s="287" cm="1">
        <f t="array" aca="1" ref="J271" ca="1">INDIRECT("'"&amp;$C271&amp;"'!"&amp;"$"&amp;$D271&amp;$J$1&amp;"")</f>
        <v>6.8</v>
      </c>
      <c r="K271" s="288"/>
      <c r="L271" s="288">
        <v>0.94</v>
      </c>
      <c r="M271" s="289">
        <v>2.57</v>
      </c>
      <c r="N271" s="285" cm="1">
        <f t="array" aca="1" ref="N271" ca="1">INDIRECT("'"&amp;$C271&amp;"'!"&amp;"$"&amp;$D271&amp;$N$1&amp;"")</f>
        <v>6.8</v>
      </c>
      <c r="O271" s="288"/>
      <c r="P271" s="288">
        <v>0.93</v>
      </c>
      <c r="Q271" s="286">
        <v>2.6</v>
      </c>
      <c r="R271" s="469" cm="1">
        <f t="array" aca="1" ref="R271" ca="1">INDIRECT("'"&amp;$C271&amp;"'!"&amp;"$"&amp;$D271&amp;$R$1&amp;"")</f>
        <v>6.8</v>
      </c>
      <c r="S271" s="288"/>
      <c r="T271" s="288">
        <v>0.93</v>
      </c>
      <c r="U271" s="286">
        <v>2.74</v>
      </c>
      <c r="V271" s="287" cm="1">
        <f t="array" aca="1" ref="V271" ca="1">INDIRECT("'"&amp;$C271&amp;"'!"&amp;"$"&amp;$D271&amp;$V$1&amp;"")</f>
        <v>2.7</v>
      </c>
      <c r="W271" s="288">
        <v>13.413999999999998</v>
      </c>
      <c r="X271" s="288">
        <v>0.91</v>
      </c>
      <c r="Y271" s="289">
        <v>1.26</v>
      </c>
      <c r="Z271" s="285" cm="1">
        <f t="array" aca="1" ref="Z271" ca="1">INDIRECT("'"&amp;$C271&amp;"'!"&amp;"$"&amp;$D271&amp;$Z$1&amp;"")</f>
        <v>0</v>
      </c>
      <c r="AA271" s="288" t="s">
        <v>1</v>
      </c>
      <c r="AB271" s="288" t="s">
        <v>1</v>
      </c>
      <c r="AC271" s="286" t="s">
        <v>1</v>
      </c>
      <c r="AD271" s="287" cm="1">
        <f t="array" aca="1" ref="AD271" ca="1">INDIRECT("'"&amp;$C271&amp;"'!"&amp;"$"&amp;$D271&amp;$AD$1&amp;"")</f>
        <v>3.8</v>
      </c>
      <c r="AE271" s="288">
        <v>13.413999999999998</v>
      </c>
      <c r="AF271" s="288">
        <v>0.9</v>
      </c>
      <c r="AG271" s="289">
        <v>1.82</v>
      </c>
      <c r="AH271" s="285" cm="1">
        <f t="array" aca="1" ref="AH271" ca="1">INDIRECT("'"&amp;$C271&amp;"'!"&amp;"$"&amp;$D271&amp;$AH$1&amp;"")</f>
        <v>3</v>
      </c>
      <c r="AI271" s="288">
        <v>14</v>
      </c>
      <c r="AJ271" s="288">
        <v>0.98</v>
      </c>
      <c r="AK271" s="286">
        <v>0.44500000000000001</v>
      </c>
      <c r="AL271" s="285">
        <v>11.6</v>
      </c>
      <c r="AM271" s="289">
        <v>70.900000000000006</v>
      </c>
      <c r="AN271" s="285" cm="1">
        <f t="array" aca="1" ref="AN271" ca="1">INDIRECT("'"&amp;$C271&amp;"'!"&amp;"$"&amp;$D271&amp;$AL$1&amp;"")</f>
        <v>0</v>
      </c>
      <c r="AO271" s="288" t="s">
        <v>1</v>
      </c>
      <c r="AP271" s="286" t="s">
        <v>1</v>
      </c>
      <c r="AQ271" s="287" cm="1">
        <f t="array" aca="1" ref="AQ271" ca="1">INDIRECT("'"&amp;$C271&amp;"'!"&amp;"$"&amp;$D271&amp;$AQ$1&amp;"")</f>
        <v>2.7</v>
      </c>
      <c r="AR271" s="288">
        <v>0.93</v>
      </c>
      <c r="AS271" s="286">
        <v>1.04</v>
      </c>
      <c r="AT271" s="285">
        <v>13.93</v>
      </c>
      <c r="AU271" s="289">
        <v>70.3</v>
      </c>
      <c r="AV271" s="288" cm="1">
        <f t="array" aca="1" ref="AV271" ca="1">INDIRECT("'"&amp;$C271&amp;"'!"&amp;"$"&amp;$D271&amp;$AV$1&amp;"")</f>
        <v>0</v>
      </c>
      <c r="AW271" s="287" t="s">
        <v>1</v>
      </c>
      <c r="AX271" s="288" t="s">
        <v>1</v>
      </c>
      <c r="AY271" s="286" t="s">
        <v>1</v>
      </c>
      <c r="AZ271" s="288" cm="1">
        <f t="array" aca="1" ref="AZ271" ca="1">INDIRECT("'"&amp;$C271&amp;"'!"&amp;"$"&amp;$D271&amp;$AZ$1&amp;"")</f>
        <v>7</v>
      </c>
      <c r="BA271" s="287" t="s">
        <v>1</v>
      </c>
      <c r="BB271" s="288">
        <v>0.97</v>
      </c>
      <c r="BC271" s="286">
        <v>2</v>
      </c>
      <c r="BD271" s="290">
        <v>14.16</v>
      </c>
      <c r="BE271" s="289">
        <v>71.569999999999993</v>
      </c>
      <c r="BF271" s="290" cm="1">
        <f t="array" aca="1" ref="BF271" ca="1">INDIRECT("'"&amp;$C271&amp;"'!"&amp;"$"&amp;$D271&amp;$BF$1&amp;"")</f>
        <v>14.23</v>
      </c>
      <c r="BG271" s="288">
        <v>0.99</v>
      </c>
      <c r="BH271" s="286">
        <v>2.2999999999999998</v>
      </c>
      <c r="BI271" s="525">
        <v>68.2</v>
      </c>
      <c r="BJ271" s="285" cm="1">
        <f t="array" aca="1" ref="BJ271" ca="1">INDIRECT("'"&amp;$C271&amp;"'!"&amp;"$"&amp;$D271&amp;$BI$1&amp;"")</f>
        <v>1.5</v>
      </c>
      <c r="BK271" s="287">
        <v>0.95</v>
      </c>
      <c r="BL271" s="286">
        <v>0.48</v>
      </c>
      <c r="BM271" s="290" cm="1">
        <f t="array" aca="1" ref="BM271" ca="1">INDIRECT("'"&amp;$C271&amp;"'!"&amp;"$"&amp;$D271&amp;$BM$1&amp;"")</f>
        <v>1.36</v>
      </c>
      <c r="BN271" s="288"/>
      <c r="BO271" s="288">
        <v>0.99</v>
      </c>
      <c r="BP271" s="286">
        <v>0.15</v>
      </c>
      <c r="BQ271" s="291" cm="1">
        <f t="array" aca="1" ref="BQ271" ca="1">INDIRECT("'"&amp;$C271&amp;"'!"&amp;"$"&amp;$D271&amp;$BQ$1&amp;"")</f>
        <v>0.8</v>
      </c>
      <c r="BR271" s="288"/>
      <c r="BS271" s="288">
        <v>0.96</v>
      </c>
      <c r="BT271" s="286">
        <v>0.22</v>
      </c>
      <c r="BU271" s="291" cm="1">
        <f t="array" aca="1" ref="BU271" ca="1">INDIRECT("'"&amp;$C271&amp;"'!"&amp;"$"&amp;$D271&amp;74&amp;"")</f>
        <v>0</v>
      </c>
      <c r="BV271" s="288"/>
      <c r="BW271" s="288" t="s">
        <v>1</v>
      </c>
      <c r="BX271" s="286" t="s">
        <v>1</v>
      </c>
    </row>
    <row r="272" spans="1:76">
      <c r="A272" s="459">
        <v>45849</v>
      </c>
      <c r="B272" s="345">
        <v>0.70833333333333404</v>
      </c>
      <c r="C272" s="305">
        <v>11</v>
      </c>
      <c r="D272" s="306" t="s">
        <v>159</v>
      </c>
      <c r="E272" s="278">
        <v>14.2</v>
      </c>
      <c r="F272" s="279">
        <v>69.72</v>
      </c>
      <c r="G272" s="280" t="str" cm="1">
        <f t="array" aca="1" ref="G272" ca="1">INDIRECT("'"&amp;$C272&amp;"'!"&amp;"$"&amp;$D272&amp;$E$1&amp;"")</f>
        <v>CMS</v>
      </c>
      <c r="H272" s="281" t="s">
        <v>1</v>
      </c>
      <c r="I272" s="279" t="s">
        <v>1</v>
      </c>
      <c r="J272" s="280" cm="1">
        <f t="array" aca="1" ref="J272" ca="1">INDIRECT("'"&amp;$C272&amp;"'!"&amp;"$"&amp;$D272&amp;$J$1&amp;"")</f>
        <v>6.3</v>
      </c>
      <c r="K272" s="281"/>
      <c r="L272" s="281">
        <v>0.94</v>
      </c>
      <c r="M272" s="282">
        <v>2.39</v>
      </c>
      <c r="N272" s="278" cm="1">
        <f t="array" aca="1" ref="N272" ca="1">INDIRECT("'"&amp;$C272&amp;"'!"&amp;"$"&amp;$D272&amp;$N$1&amp;"")</f>
        <v>6.3</v>
      </c>
      <c r="O272" s="281"/>
      <c r="P272" s="281">
        <v>0.94</v>
      </c>
      <c r="Q272" s="279">
        <v>2.41</v>
      </c>
      <c r="R272" s="468" cm="1">
        <f t="array" aca="1" ref="R272" ca="1">INDIRECT("'"&amp;$C272&amp;"'!"&amp;"$"&amp;$D272&amp;$R$1&amp;"")</f>
        <v>6.3</v>
      </c>
      <c r="S272" s="281"/>
      <c r="T272" s="281">
        <v>0.94</v>
      </c>
      <c r="U272" s="279">
        <v>2.33</v>
      </c>
      <c r="V272" s="280" cm="1">
        <f t="array" aca="1" ref="V272" ca="1">INDIRECT("'"&amp;$C272&amp;"'!"&amp;"$"&amp;$D272&amp;$V$1&amp;"")</f>
        <v>2</v>
      </c>
      <c r="W272" s="281">
        <v>13.527999999999999</v>
      </c>
      <c r="X272" s="281">
        <v>0.9</v>
      </c>
      <c r="Y272" s="282">
        <v>1.08</v>
      </c>
      <c r="Z272" s="278" cm="1">
        <f t="array" aca="1" ref="Z272" ca="1">INDIRECT("'"&amp;$C272&amp;"'!"&amp;"$"&amp;$D272&amp;$Z$1&amp;"")</f>
        <v>0</v>
      </c>
      <c r="AA272" s="281" t="s">
        <v>1</v>
      </c>
      <c r="AB272" s="281" t="s">
        <v>1</v>
      </c>
      <c r="AC272" s="279" t="s">
        <v>1</v>
      </c>
      <c r="AD272" s="280" cm="1">
        <f t="array" aca="1" ref="AD272" ca="1">INDIRECT("'"&amp;$C272&amp;"'!"&amp;"$"&amp;$D272&amp;$AD$1&amp;"")</f>
        <v>3.3</v>
      </c>
      <c r="AE272" s="281">
        <v>13.527999999999999</v>
      </c>
      <c r="AF272" s="281">
        <v>0.9</v>
      </c>
      <c r="AG272" s="282">
        <v>1.72</v>
      </c>
      <c r="AH272" s="278" cm="1">
        <f t="array" aca="1" ref="AH272" ca="1">INDIRECT("'"&amp;$C272&amp;"'!"&amp;"$"&amp;$D272&amp;$AH$1&amp;"")</f>
        <v>3.8</v>
      </c>
      <c r="AI272" s="281">
        <v>14.04</v>
      </c>
      <c r="AJ272" s="281">
        <v>0.99</v>
      </c>
      <c r="AK272" s="279">
        <v>0.21</v>
      </c>
      <c r="AL272" s="278">
        <v>11.7</v>
      </c>
      <c r="AM272" s="282">
        <v>71</v>
      </c>
      <c r="AN272" s="278" cm="1">
        <f t="array" aca="1" ref="AN272" ca="1">INDIRECT("'"&amp;$C272&amp;"'!"&amp;"$"&amp;$D272&amp;$AL$1&amp;"")</f>
        <v>0</v>
      </c>
      <c r="AO272" s="281" t="s">
        <v>1</v>
      </c>
      <c r="AP272" s="279" t="s">
        <v>1</v>
      </c>
      <c r="AQ272" s="280" cm="1">
        <f t="array" aca="1" ref="AQ272" ca="1">INDIRECT("'"&amp;$C272&amp;"'!"&amp;"$"&amp;$D272&amp;$AQ$1&amp;"")</f>
        <v>3.8</v>
      </c>
      <c r="AR272" s="281">
        <v>0.93</v>
      </c>
      <c r="AS272" s="279">
        <v>1.53</v>
      </c>
      <c r="AT272" s="278">
        <v>13.96</v>
      </c>
      <c r="AU272" s="282">
        <v>70.3</v>
      </c>
      <c r="AV272" s="281" cm="1">
        <f t="array" aca="1" ref="AV272" ca="1">INDIRECT("'"&amp;$C272&amp;"'!"&amp;"$"&amp;$D272&amp;$AV$1&amp;"")</f>
        <v>0</v>
      </c>
      <c r="AW272" s="280" t="s">
        <v>1</v>
      </c>
      <c r="AX272" s="281" t="s">
        <v>1</v>
      </c>
      <c r="AY272" s="279" t="s">
        <v>1</v>
      </c>
      <c r="AZ272" s="281" cm="1">
        <f t="array" aca="1" ref="AZ272" ca="1">INDIRECT("'"&amp;$C272&amp;"'!"&amp;"$"&amp;$D272&amp;$AZ$1&amp;"")</f>
        <v>7</v>
      </c>
      <c r="BA272" s="280" t="s">
        <v>1</v>
      </c>
      <c r="BB272" s="281">
        <v>0.97</v>
      </c>
      <c r="BC272" s="279">
        <v>1.7</v>
      </c>
      <c r="BD272" s="283">
        <v>14.19</v>
      </c>
      <c r="BE272" s="282">
        <v>71.69</v>
      </c>
      <c r="BF272" s="283" cm="1">
        <f t="array" aca="1" ref="BF272" ca="1">INDIRECT("'"&amp;$C272&amp;"'!"&amp;"$"&amp;$D272&amp;$BF$1&amp;"")</f>
        <v>14.26</v>
      </c>
      <c r="BG272" s="281">
        <v>0.99</v>
      </c>
      <c r="BH272" s="279">
        <v>2.2999999999999998</v>
      </c>
      <c r="BI272" s="524">
        <v>68.5</v>
      </c>
      <c r="BJ272" s="278" cm="1">
        <f t="array" aca="1" ref="BJ272" ca="1">INDIRECT("'"&amp;$C272&amp;"'!"&amp;"$"&amp;$D272&amp;$BI$1&amp;"")</f>
        <v>0</v>
      </c>
      <c r="BK272" s="280" t="s">
        <v>1</v>
      </c>
      <c r="BL272" s="279" t="s">
        <v>1</v>
      </c>
      <c r="BM272" s="283" cm="1">
        <f t="array" aca="1" ref="BM272" ca="1">INDIRECT("'"&amp;$C272&amp;"'!"&amp;"$"&amp;$D272&amp;$BM$1&amp;"")</f>
        <v>1.32</v>
      </c>
      <c r="BN272" s="281"/>
      <c r="BO272" s="281">
        <v>0.99</v>
      </c>
      <c r="BP272" s="279">
        <v>0.14000000000000001</v>
      </c>
      <c r="BQ272" s="284" cm="1">
        <f t="array" aca="1" ref="BQ272" ca="1">INDIRECT("'"&amp;$C272&amp;"'!"&amp;"$"&amp;$D272&amp;$BQ$1&amp;"")</f>
        <v>0.82</v>
      </c>
      <c r="BR272" s="281"/>
      <c r="BS272" s="281">
        <v>0.96</v>
      </c>
      <c r="BT272" s="279">
        <v>0.22</v>
      </c>
      <c r="BU272" s="284" cm="1">
        <f t="array" aca="1" ref="BU272" ca="1">INDIRECT("'"&amp;$C272&amp;"'!"&amp;"$"&amp;$D272&amp;74&amp;"")</f>
        <v>0</v>
      </c>
      <c r="BV272" s="281"/>
      <c r="BW272" s="281" t="s">
        <v>1</v>
      </c>
      <c r="BX272" s="279" t="s">
        <v>1</v>
      </c>
    </row>
    <row r="273" spans="1:76">
      <c r="A273" s="459">
        <v>45849</v>
      </c>
      <c r="B273" s="345">
        <v>0.750000000000001</v>
      </c>
      <c r="C273" s="305">
        <v>11</v>
      </c>
      <c r="D273" s="306" t="s">
        <v>160</v>
      </c>
      <c r="E273" s="285">
        <v>14.3</v>
      </c>
      <c r="F273" s="286">
        <v>69.75</v>
      </c>
      <c r="G273" s="287" t="str" cm="1">
        <f t="array" aca="1" ref="G273" ca="1">INDIRECT("'"&amp;$C273&amp;"'!"&amp;"$"&amp;$D273&amp;$E$1&amp;"")</f>
        <v>CMS</v>
      </c>
      <c r="H273" s="288" t="s">
        <v>1</v>
      </c>
      <c r="I273" s="286" t="s">
        <v>1</v>
      </c>
      <c r="J273" s="287" cm="1">
        <f t="array" aca="1" ref="J273" ca="1">INDIRECT("'"&amp;$C273&amp;"'!"&amp;"$"&amp;$D273&amp;$J$1&amp;"")</f>
        <v>6.6</v>
      </c>
      <c r="K273" s="288"/>
      <c r="L273" s="288">
        <v>0.94</v>
      </c>
      <c r="M273" s="289">
        <v>2.37</v>
      </c>
      <c r="N273" s="285" cm="1">
        <f t="array" aca="1" ref="N273" ca="1">INDIRECT("'"&amp;$C273&amp;"'!"&amp;"$"&amp;$D273&amp;$N$1&amp;"")</f>
        <v>6.6</v>
      </c>
      <c r="O273" s="288"/>
      <c r="P273" s="288">
        <v>0.94</v>
      </c>
      <c r="Q273" s="286">
        <v>2.38</v>
      </c>
      <c r="R273" s="285" cm="1">
        <f t="array" aca="1" ref="R273" ca="1">INDIRECT("'"&amp;$C273&amp;"'!"&amp;"$"&amp;$D273&amp;$R$1&amp;"")</f>
        <v>6.6</v>
      </c>
      <c r="S273" s="288"/>
      <c r="T273" s="288">
        <v>0.95</v>
      </c>
      <c r="U273" s="286">
        <v>2.29</v>
      </c>
      <c r="V273" s="287" cm="1">
        <f t="array" aca="1" ref="V273" ca="1">INDIRECT("'"&amp;$C273&amp;"'!"&amp;"$"&amp;$D273&amp;$V$1&amp;"")</f>
        <v>2</v>
      </c>
      <c r="W273" s="288">
        <f>3.8*3.57</f>
        <v>13.565999999999999</v>
      </c>
      <c r="X273" s="288">
        <v>0.96</v>
      </c>
      <c r="Y273" s="289">
        <v>1.17</v>
      </c>
      <c r="Z273" s="285" cm="1">
        <f t="array" aca="1" ref="Z273" ca="1">INDIRECT("'"&amp;$C273&amp;"'!"&amp;"$"&amp;$D273&amp;$Z$1&amp;"")</f>
        <v>0</v>
      </c>
      <c r="AA273" s="288" t="s">
        <v>1</v>
      </c>
      <c r="AB273" s="288" t="s">
        <v>1</v>
      </c>
      <c r="AC273" s="286" t="s">
        <v>1</v>
      </c>
      <c r="AD273" s="287" cm="1">
        <f t="array" aca="1" ref="AD273" ca="1">INDIRECT("'"&amp;$C273&amp;"'!"&amp;"$"&amp;$D273&amp;$AD$1&amp;"")</f>
        <v>3</v>
      </c>
      <c r="AE273" s="288">
        <f>3.8*3.57</f>
        <v>13.565999999999999</v>
      </c>
      <c r="AF273" s="288">
        <v>0.9</v>
      </c>
      <c r="AG273" s="289">
        <v>1.76</v>
      </c>
      <c r="AH273" s="285" cm="1">
        <f t="array" aca="1" ref="AH273" ca="1">INDIRECT("'"&amp;$C273&amp;"'!"&amp;"$"&amp;$D273&amp;$AH$1&amp;"")</f>
        <v>3</v>
      </c>
      <c r="AI273" s="288">
        <v>14.04</v>
      </c>
      <c r="AJ273" s="288">
        <v>0.99</v>
      </c>
      <c r="AK273" s="286">
        <v>0.19800000000000001</v>
      </c>
      <c r="AL273" s="285">
        <v>11.6</v>
      </c>
      <c r="AM273" s="289">
        <v>71</v>
      </c>
      <c r="AN273" s="285" cm="1">
        <f t="array" aca="1" ref="AN273" ca="1">INDIRECT("'"&amp;$C273&amp;"'!"&amp;"$"&amp;$D273&amp;$AL$1&amp;"")</f>
        <v>0</v>
      </c>
      <c r="AO273" s="288" t="s">
        <v>1</v>
      </c>
      <c r="AP273" s="286" t="s">
        <v>1</v>
      </c>
      <c r="AQ273" s="287" cm="1">
        <f t="array" aca="1" ref="AQ273" ca="1">INDIRECT("'"&amp;$C273&amp;"'!"&amp;"$"&amp;$D273&amp;$AQ$1&amp;"")</f>
        <v>3</v>
      </c>
      <c r="AR273" s="288">
        <v>0.96</v>
      </c>
      <c r="AS273" s="286">
        <v>0.81</v>
      </c>
      <c r="AT273" s="285">
        <v>13.97</v>
      </c>
      <c r="AU273" s="289">
        <v>70.400000000000006</v>
      </c>
      <c r="AV273" s="288" cm="1">
        <f t="array" aca="1" ref="AV273" ca="1">INDIRECT("'"&amp;$C273&amp;"'!"&amp;"$"&amp;$D273&amp;$AV$1&amp;"")</f>
        <v>0</v>
      </c>
      <c r="AW273" s="287" t="s">
        <v>1</v>
      </c>
      <c r="AX273" s="288" t="s">
        <v>1</v>
      </c>
      <c r="AY273" s="286" t="s">
        <v>1</v>
      </c>
      <c r="AZ273" s="288" cm="1">
        <f t="array" aca="1" ref="AZ273" ca="1">INDIRECT("'"&amp;$C273&amp;"'!"&amp;"$"&amp;$D273&amp;$AZ$1&amp;"")</f>
        <v>7</v>
      </c>
      <c r="BA273" s="287" t="s">
        <v>1</v>
      </c>
      <c r="BB273" s="288">
        <v>0.97</v>
      </c>
      <c r="BC273" s="286">
        <v>1.8</v>
      </c>
      <c r="BD273" s="290">
        <v>14.15</v>
      </c>
      <c r="BE273" s="289">
        <v>71.73</v>
      </c>
      <c r="BF273" s="290" cm="1">
        <f t="array" aca="1" ref="BF273" ca="1">INDIRECT("'"&amp;$C273&amp;"'!"&amp;"$"&amp;$D273&amp;$BF$1&amp;"")</f>
        <v>14.25</v>
      </c>
      <c r="BG273" s="288">
        <v>0.99</v>
      </c>
      <c r="BH273" s="286">
        <v>2.4</v>
      </c>
      <c r="BI273" s="525">
        <v>68.599999999999994</v>
      </c>
      <c r="BJ273" s="285" cm="1">
        <f t="array" aca="1" ref="BJ273" ca="1">INDIRECT("'"&amp;$C273&amp;"'!"&amp;"$"&amp;$D273&amp;$BI$1&amp;"")</f>
        <v>0</v>
      </c>
      <c r="BK273" s="287" t="s">
        <v>1</v>
      </c>
      <c r="BL273" s="286" t="s">
        <v>1</v>
      </c>
      <c r="BM273" s="290" cm="1">
        <f t="array" aca="1" ref="BM273" ca="1">INDIRECT("'"&amp;$C273&amp;"'!"&amp;"$"&amp;$D273&amp;$BM$1&amp;"")</f>
        <v>1.27</v>
      </c>
      <c r="BN273" s="288"/>
      <c r="BO273" s="288">
        <v>0.99</v>
      </c>
      <c r="BP273" s="286">
        <v>0.15</v>
      </c>
      <c r="BQ273" s="291" cm="1">
        <f t="array" aca="1" ref="BQ273" ca="1">INDIRECT("'"&amp;$C273&amp;"'!"&amp;"$"&amp;$D273&amp;$BQ$1&amp;"")</f>
        <v>0.86</v>
      </c>
      <c r="BR273" s="288"/>
      <c r="BS273" s="288">
        <v>0.96</v>
      </c>
      <c r="BT273" s="286">
        <v>0.21</v>
      </c>
      <c r="BU273" s="291" cm="1">
        <f t="array" aca="1" ref="BU273" ca="1">INDIRECT("'"&amp;$C273&amp;"'!"&amp;"$"&amp;$D273&amp;74&amp;"")</f>
        <v>0</v>
      </c>
      <c r="BV273" s="288"/>
      <c r="BW273" s="288" t="s">
        <v>1</v>
      </c>
      <c r="BX273" s="286" t="s">
        <v>1</v>
      </c>
    </row>
    <row r="274" spans="1:76">
      <c r="A274" s="459">
        <v>45849</v>
      </c>
      <c r="B274" s="345">
        <v>0.79166666666666696</v>
      </c>
      <c r="C274" s="305">
        <v>11</v>
      </c>
      <c r="D274" s="306" t="s">
        <v>161</v>
      </c>
      <c r="E274" s="278">
        <v>14.3</v>
      </c>
      <c r="F274" s="279">
        <v>69.81</v>
      </c>
      <c r="G274" s="280" t="str" cm="1">
        <f t="array" aca="1" ref="G274" ca="1">INDIRECT("'"&amp;$C274&amp;"'!"&amp;"$"&amp;$D274&amp;$E$1&amp;"")</f>
        <v>CMS</v>
      </c>
      <c r="H274" s="281" t="s">
        <v>1</v>
      </c>
      <c r="I274" s="279" t="s">
        <v>1</v>
      </c>
      <c r="J274" s="280" cm="1">
        <f t="array" aca="1" ref="J274" ca="1">INDIRECT("'"&amp;$C274&amp;"'!"&amp;"$"&amp;$D274&amp;$J$1&amp;"")</f>
        <v>6.6</v>
      </c>
      <c r="K274" s="292"/>
      <c r="L274" s="281">
        <v>0.95</v>
      </c>
      <c r="M274" s="282">
        <v>2.06</v>
      </c>
      <c r="N274" s="278" cm="1">
        <f t="array" aca="1" ref="N274" ca="1">INDIRECT("'"&amp;$C274&amp;"'!"&amp;"$"&amp;$D274&amp;$N$1&amp;"")</f>
        <v>6.6</v>
      </c>
      <c r="O274" s="281"/>
      <c r="P274" s="281">
        <v>0.95</v>
      </c>
      <c r="Q274" s="279">
        <v>2.14</v>
      </c>
      <c r="R274" s="468" cm="1">
        <f t="array" aca="1" ref="R274" ca="1">INDIRECT("'"&amp;$C274&amp;"'!"&amp;"$"&amp;$D274&amp;$R$1&amp;"")</f>
        <v>6.6</v>
      </c>
      <c r="S274" s="281"/>
      <c r="T274" s="281">
        <v>0.95</v>
      </c>
      <c r="U274" s="279">
        <v>2.13</v>
      </c>
      <c r="V274" s="280" cm="1">
        <f t="array" aca="1" ref="V274" ca="1">INDIRECT("'"&amp;$C274&amp;"'!"&amp;"$"&amp;$D274&amp;$V$1&amp;"")</f>
        <v>2.8</v>
      </c>
      <c r="W274" s="281">
        <f>3.8*3.58</f>
        <v>13.603999999999999</v>
      </c>
      <c r="X274" s="281">
        <v>0.92</v>
      </c>
      <c r="Y274" s="282">
        <v>1</v>
      </c>
      <c r="Z274" s="278" cm="1">
        <f t="array" aca="1" ref="Z274" ca="1">INDIRECT("'"&amp;$C274&amp;"'!"&amp;"$"&amp;$D274&amp;$Z$1&amp;"")</f>
        <v>0</v>
      </c>
      <c r="AA274" s="281" t="s">
        <v>1</v>
      </c>
      <c r="AB274" s="281" t="s">
        <v>1</v>
      </c>
      <c r="AC274" s="279" t="s">
        <v>1</v>
      </c>
      <c r="AD274" s="280" cm="1">
        <f t="array" aca="1" ref="AD274" ca="1">INDIRECT("'"&amp;$C274&amp;"'!"&amp;"$"&amp;$D274&amp;$AD$1&amp;"")</f>
        <v>3.8</v>
      </c>
      <c r="AE274" s="281">
        <f>3.8*3.58</f>
        <v>13.603999999999999</v>
      </c>
      <c r="AF274" s="281">
        <v>0.92</v>
      </c>
      <c r="AG274" s="282">
        <v>1.41</v>
      </c>
      <c r="AH274" s="278" cm="1">
        <f t="array" aca="1" ref="AH274" ca="1">INDIRECT("'"&amp;$C274&amp;"'!"&amp;"$"&amp;$D274&amp;$AH$1&amp;"")</f>
        <v>3.8</v>
      </c>
      <c r="AI274" s="281">
        <v>14</v>
      </c>
      <c r="AJ274" s="281">
        <v>0.99</v>
      </c>
      <c r="AK274" s="279">
        <v>0.19400000000000001</v>
      </c>
      <c r="AL274" s="278">
        <v>11.6</v>
      </c>
      <c r="AM274" s="282">
        <v>71</v>
      </c>
      <c r="AN274" s="278" cm="1">
        <f t="array" aca="1" ref="AN274" ca="1">INDIRECT("'"&amp;$C274&amp;"'!"&amp;"$"&amp;$D274&amp;$AL$1&amp;"")</f>
        <v>0</v>
      </c>
      <c r="AO274" s="281" t="s">
        <v>1</v>
      </c>
      <c r="AP274" s="279" t="s">
        <v>1</v>
      </c>
      <c r="AQ274" s="280" cm="1">
        <f t="array" aca="1" ref="AQ274" ca="1">INDIRECT("'"&amp;$C274&amp;"'!"&amp;"$"&amp;$D274&amp;$AQ$1&amp;"")</f>
        <v>3.8</v>
      </c>
      <c r="AR274" s="281">
        <v>0.96</v>
      </c>
      <c r="AS274" s="279">
        <v>0.97</v>
      </c>
      <c r="AT274" s="278">
        <v>13.98</v>
      </c>
      <c r="AU274" s="282">
        <v>70.2</v>
      </c>
      <c r="AV274" s="281" cm="1">
        <f t="array" aca="1" ref="AV274" ca="1">INDIRECT("'"&amp;$C274&amp;"'!"&amp;"$"&amp;$D274&amp;$AV$1&amp;"")</f>
        <v>0</v>
      </c>
      <c r="AW274" s="280">
        <v>13.7</v>
      </c>
      <c r="AX274" s="281" t="s">
        <v>1</v>
      </c>
      <c r="AY274" s="279" t="s">
        <v>1</v>
      </c>
      <c r="AZ274" s="281" cm="1">
        <f t="array" aca="1" ref="AZ274" ca="1">INDIRECT("'"&amp;$C274&amp;"'!"&amp;"$"&amp;$D274&amp;$AZ$1&amp;"")</f>
        <v>7</v>
      </c>
      <c r="BA274" s="280">
        <v>13.7</v>
      </c>
      <c r="BB274" s="281">
        <v>0.98</v>
      </c>
      <c r="BC274" s="279">
        <v>1.6</v>
      </c>
      <c r="BD274" s="283">
        <v>14.21</v>
      </c>
      <c r="BE274" s="282">
        <v>71.87</v>
      </c>
      <c r="BF274" s="283" cm="1">
        <f t="array" aca="1" ref="BF274" ca="1">INDIRECT("'"&amp;$C274&amp;"'!"&amp;"$"&amp;$D274&amp;$BF$1&amp;"")</f>
        <v>14.23</v>
      </c>
      <c r="BG274" s="281">
        <v>0.99</v>
      </c>
      <c r="BH274" s="279">
        <v>2.2999999999999998</v>
      </c>
      <c r="BI274" s="524">
        <v>68.599999999999994</v>
      </c>
      <c r="BJ274" s="278" cm="1">
        <f t="array" aca="1" ref="BJ274" ca="1">INDIRECT("'"&amp;$C274&amp;"'!"&amp;"$"&amp;$D274&amp;$BI$1&amp;"")</f>
        <v>0.8</v>
      </c>
      <c r="BK274" s="280">
        <v>0.97</v>
      </c>
      <c r="BL274" s="279">
        <v>0.2</v>
      </c>
      <c r="BM274" s="283" cm="1">
        <f t="array" aca="1" ref="BM274" ca="1">INDIRECT("'"&amp;$C274&amp;"'!"&amp;"$"&amp;$D274&amp;$BM$1&amp;"")</f>
        <v>1.32</v>
      </c>
      <c r="BN274" s="281"/>
      <c r="BO274" s="281">
        <v>0.99</v>
      </c>
      <c r="BP274" s="279">
        <v>0.16</v>
      </c>
      <c r="BQ274" s="284" cm="1">
        <f t="array" aca="1" ref="BQ274" ca="1">INDIRECT("'"&amp;$C274&amp;"'!"&amp;"$"&amp;$D274&amp;$BQ$1&amp;"")</f>
        <v>0.93</v>
      </c>
      <c r="BR274" s="281"/>
      <c r="BS274" s="281">
        <v>0.97</v>
      </c>
      <c r="BT274" s="279">
        <v>0.21</v>
      </c>
      <c r="BU274" s="284" cm="1">
        <f t="array" aca="1" ref="BU274" ca="1">INDIRECT("'"&amp;$C274&amp;"'!"&amp;"$"&amp;$D274&amp;74&amp;"")</f>
        <v>0</v>
      </c>
      <c r="BV274" s="281"/>
      <c r="BW274" s="281" t="s">
        <v>1</v>
      </c>
      <c r="BX274" s="279" t="s">
        <v>1</v>
      </c>
    </row>
    <row r="275" spans="1:76">
      <c r="A275" s="459">
        <v>45849</v>
      </c>
      <c r="B275" s="345">
        <v>0.83333333333333337</v>
      </c>
      <c r="C275" s="305">
        <v>11</v>
      </c>
      <c r="D275" s="306" t="s">
        <v>162</v>
      </c>
      <c r="E275" s="285">
        <v>14.2</v>
      </c>
      <c r="F275" s="286">
        <v>69.94</v>
      </c>
      <c r="G275" s="287" t="str" cm="1">
        <f t="array" aca="1" ref="G275" ca="1">INDIRECT("'"&amp;$C275&amp;"'!"&amp;"$"&amp;$D275&amp;$E$1&amp;"")</f>
        <v>CMS</v>
      </c>
      <c r="H275" s="288" t="s">
        <v>1</v>
      </c>
      <c r="I275" s="286" t="s">
        <v>1</v>
      </c>
      <c r="J275" s="287" cm="1">
        <f t="array" aca="1" ref="J275" ca="1">INDIRECT("'"&amp;$C275&amp;"'!"&amp;"$"&amp;$D275&amp;$J$1&amp;"")</f>
        <v>6.6</v>
      </c>
      <c r="K275" s="288"/>
      <c r="L275" s="288">
        <v>0.96</v>
      </c>
      <c r="M275" s="289">
        <v>1.85</v>
      </c>
      <c r="N275" s="285" cm="1">
        <f t="array" aca="1" ref="N275" ca="1">INDIRECT("'"&amp;$C275&amp;"'!"&amp;"$"&amp;$D275&amp;$N$1&amp;"")</f>
        <v>6.6</v>
      </c>
      <c r="O275" s="288"/>
      <c r="P275" s="288">
        <v>0.96</v>
      </c>
      <c r="Q275" s="286">
        <v>1.87</v>
      </c>
      <c r="R275" s="285" cm="1">
        <f t="array" aca="1" ref="R275" ca="1">INDIRECT("'"&amp;$C275&amp;"'!"&amp;"$"&amp;$D275&amp;$R$1&amp;"")</f>
        <v>6.6</v>
      </c>
      <c r="S275" s="288"/>
      <c r="T275" s="288">
        <v>0.93</v>
      </c>
      <c r="U275" s="286">
        <v>2.6</v>
      </c>
      <c r="V275" s="287" cm="1">
        <f t="array" aca="1" ref="V275" ca="1">INDIRECT("'"&amp;$C275&amp;"'!"&amp;"$"&amp;$D275&amp;$V$1&amp;"")</f>
        <v>0</v>
      </c>
      <c r="W275" s="288" t="s">
        <v>1</v>
      </c>
      <c r="X275" s="288" t="s">
        <v>1</v>
      </c>
      <c r="Y275" s="289" t="s">
        <v>1</v>
      </c>
      <c r="Z275" s="285" cm="1">
        <f t="array" aca="1" ref="Z275" ca="1">INDIRECT("'"&amp;$C275&amp;"'!"&amp;"$"&amp;$D275&amp;$Z$1&amp;"")</f>
        <v>0</v>
      </c>
      <c r="AA275" s="288" t="s">
        <v>1</v>
      </c>
      <c r="AB275" s="288" t="s">
        <v>1</v>
      </c>
      <c r="AC275" s="286" t="s">
        <v>1</v>
      </c>
      <c r="AD275" s="287" cm="1">
        <f t="array" aca="1" ref="AD275" ca="1">INDIRECT("'"&amp;$C275&amp;"'!"&amp;"$"&amp;$D275&amp;$AD$1&amp;"")</f>
        <v>3.8</v>
      </c>
      <c r="AE275" s="288">
        <f>3.8*3.55</f>
        <v>13.489999999999998</v>
      </c>
      <c r="AF275" s="288">
        <v>0.95</v>
      </c>
      <c r="AG275" s="289">
        <v>1.1599999999999999</v>
      </c>
      <c r="AH275" s="285" cm="1">
        <f t="array" aca="1" ref="AH275" ca="1">INDIRECT("'"&amp;$C275&amp;"'!"&amp;"$"&amp;$D275&amp;$AH$1&amp;"")</f>
        <v>3.8</v>
      </c>
      <c r="AI275" s="288">
        <v>14.08</v>
      </c>
      <c r="AJ275" s="288">
        <v>0.99</v>
      </c>
      <c r="AK275" s="286">
        <v>0.47699999999999998</v>
      </c>
      <c r="AL275" s="285">
        <v>11.6</v>
      </c>
      <c r="AM275" s="289">
        <v>71.099999999999994</v>
      </c>
      <c r="AN275" s="285" cm="1">
        <f t="array" aca="1" ref="AN275" ca="1">INDIRECT("'"&amp;$C275&amp;"'!"&amp;"$"&amp;$D275&amp;$AL$1&amp;"")</f>
        <v>0</v>
      </c>
      <c r="AO275" s="288" t="s">
        <v>1</v>
      </c>
      <c r="AP275" s="286" t="s">
        <v>1</v>
      </c>
      <c r="AQ275" s="287" cm="1">
        <f t="array" aca="1" ref="AQ275" ca="1">INDIRECT("'"&amp;$C275&amp;"'!"&amp;"$"&amp;$D275&amp;$AQ$1&amp;"")</f>
        <v>3.8</v>
      </c>
      <c r="AR275" s="288">
        <v>0.97</v>
      </c>
      <c r="AS275" s="286">
        <v>1</v>
      </c>
      <c r="AT275" s="285">
        <v>13.97</v>
      </c>
      <c r="AU275" s="289">
        <v>70.3</v>
      </c>
      <c r="AV275" s="288" cm="1">
        <f t="array" aca="1" ref="AV275" ca="1">INDIRECT("'"&amp;$C275&amp;"'!"&amp;"$"&amp;$D275&amp;$AV$1&amp;"")</f>
        <v>0</v>
      </c>
      <c r="AW275" s="287" t="s">
        <v>1</v>
      </c>
      <c r="AX275" s="288" t="s">
        <v>1</v>
      </c>
      <c r="AY275" s="286" t="s">
        <v>1</v>
      </c>
      <c r="AZ275" s="288" cm="1">
        <f t="array" aca="1" ref="AZ275" ca="1">INDIRECT("'"&amp;$C275&amp;"'!"&amp;"$"&amp;$D275&amp;$AZ$1&amp;"")</f>
        <v>7</v>
      </c>
      <c r="BA275" s="287" t="s">
        <v>1</v>
      </c>
      <c r="BB275" s="288">
        <v>0.97</v>
      </c>
      <c r="BC275" s="286">
        <v>1.6</v>
      </c>
      <c r="BD275" s="290">
        <v>14.25</v>
      </c>
      <c r="BE275" s="289">
        <v>72.040000000000006</v>
      </c>
      <c r="BF275" s="290" cm="1">
        <f t="array" aca="1" ref="BF275" ca="1">INDIRECT("'"&amp;$C275&amp;"'!"&amp;"$"&amp;$D275&amp;$BF$1&amp;"")</f>
        <v>14.26</v>
      </c>
      <c r="BG275" s="288">
        <v>0.99</v>
      </c>
      <c r="BH275" s="286">
        <v>2.2999999999999998</v>
      </c>
      <c r="BI275" s="525">
        <v>68.5</v>
      </c>
      <c r="BJ275" s="285" cm="1">
        <f t="array" aca="1" ref="BJ275" ca="1">INDIRECT("'"&amp;$C275&amp;"'!"&amp;"$"&amp;$D275&amp;$BI$1&amp;"")</f>
        <v>0</v>
      </c>
      <c r="BK275" s="287" t="s">
        <v>1</v>
      </c>
      <c r="BL275" s="286" t="s">
        <v>1</v>
      </c>
      <c r="BM275" s="290" cm="1">
        <f t="array" aca="1" ref="BM275" ca="1">INDIRECT("'"&amp;$C275&amp;"'!"&amp;"$"&amp;$D275&amp;$BM$1&amp;"")</f>
        <v>1.23</v>
      </c>
      <c r="BN275" s="288"/>
      <c r="BO275" s="288">
        <v>0.99</v>
      </c>
      <c r="BP275" s="286">
        <v>0.15</v>
      </c>
      <c r="BQ275" s="291" cm="1">
        <f t="array" aca="1" ref="BQ275" ca="1">INDIRECT("'"&amp;$C275&amp;"'!"&amp;"$"&amp;$D275&amp;$BQ$1&amp;"")</f>
        <v>0.89</v>
      </c>
      <c r="BR275" s="288"/>
      <c r="BS275" s="288">
        <v>0.97</v>
      </c>
      <c r="BT275" s="286">
        <v>0.21</v>
      </c>
      <c r="BU275" s="291" cm="1">
        <f t="array" aca="1" ref="BU275" ca="1">INDIRECT("'"&amp;$C275&amp;"'!"&amp;"$"&amp;$D275&amp;74&amp;"")</f>
        <v>0</v>
      </c>
      <c r="BV275" s="288"/>
      <c r="BW275" s="288" t="s">
        <v>1</v>
      </c>
      <c r="BX275" s="286" t="s">
        <v>1</v>
      </c>
    </row>
    <row r="276" spans="1:76">
      <c r="A276" s="459">
        <v>45849</v>
      </c>
      <c r="B276" s="345">
        <v>0.875000000000001</v>
      </c>
      <c r="C276" s="305">
        <v>11</v>
      </c>
      <c r="D276" s="306" t="s">
        <v>163</v>
      </c>
      <c r="E276" s="278">
        <v>14.2</v>
      </c>
      <c r="F276" s="279">
        <v>69.98</v>
      </c>
      <c r="G276" s="280" t="str" cm="1">
        <f t="array" aca="1" ref="G276" ca="1">INDIRECT("'"&amp;$C276&amp;"'!"&amp;"$"&amp;$D276&amp;$E$1&amp;"")</f>
        <v>CMS</v>
      </c>
      <c r="H276" s="281" t="s">
        <v>1</v>
      </c>
      <c r="I276" s="279" t="s">
        <v>1</v>
      </c>
      <c r="J276" s="280" cm="1">
        <f t="array" aca="1" ref="J276" ca="1">INDIRECT("'"&amp;$C276&amp;"'!"&amp;"$"&amp;$D276&amp;$J$1&amp;"")</f>
        <v>6.9</v>
      </c>
      <c r="K276" s="281"/>
      <c r="L276" s="281">
        <v>0.97</v>
      </c>
      <c r="M276" s="282">
        <v>1.83</v>
      </c>
      <c r="N276" s="278" cm="1">
        <f t="array" aca="1" ref="N276" ca="1">INDIRECT("'"&amp;$C276&amp;"'!"&amp;"$"&amp;$D276&amp;$N$1&amp;"")</f>
        <v>6.9</v>
      </c>
      <c r="O276" s="281"/>
      <c r="P276" s="281">
        <v>0.97</v>
      </c>
      <c r="Q276" s="279">
        <v>1.81</v>
      </c>
      <c r="R276" s="468" cm="1">
        <f t="array" aca="1" ref="R276" ca="1">INDIRECT("'"&amp;$C276&amp;"'!"&amp;"$"&amp;$D276&amp;$R$1&amp;"")</f>
        <v>6.9</v>
      </c>
      <c r="S276" s="281"/>
      <c r="T276" s="281">
        <v>0.96</v>
      </c>
      <c r="U276" s="279">
        <v>2.0099999999999998</v>
      </c>
      <c r="V276" s="280" cm="1">
        <f t="array" aca="1" ref="V276" ca="1">INDIRECT("'"&amp;$C276&amp;"'!"&amp;"$"&amp;$D276&amp;$V$1&amp;"")</f>
        <v>0</v>
      </c>
      <c r="W276" s="281" t="s">
        <v>1</v>
      </c>
      <c r="X276" s="281" t="s">
        <v>1</v>
      </c>
      <c r="Y276" s="282" t="s">
        <v>1</v>
      </c>
      <c r="Z276" s="278" cm="1">
        <f t="array" aca="1" ref="Z276" ca="1">INDIRECT("'"&amp;$C276&amp;"'!"&amp;"$"&amp;$D276&amp;$Z$1&amp;"")</f>
        <v>0</v>
      </c>
      <c r="AA276" s="281" t="s">
        <v>1</v>
      </c>
      <c r="AB276" s="281" t="s">
        <v>1</v>
      </c>
      <c r="AC276" s="279" t="s">
        <v>1</v>
      </c>
      <c r="AD276" s="280" cm="1">
        <f t="array" aca="1" ref="AD276" ca="1">INDIRECT("'"&amp;$C276&amp;"'!"&amp;"$"&amp;$D276&amp;$AD$1&amp;"")</f>
        <v>3.8</v>
      </c>
      <c r="AE276" s="281">
        <f>3.8*3.57</f>
        <v>13.565999999999999</v>
      </c>
      <c r="AF276" s="281">
        <v>0.96</v>
      </c>
      <c r="AG276" s="282">
        <v>1.0900000000000001</v>
      </c>
      <c r="AH276" s="278" cm="1">
        <f t="array" aca="1" ref="AH276" ca="1">INDIRECT("'"&amp;$C276&amp;"'!"&amp;"$"&amp;$D276&amp;$AH$1&amp;"")</f>
        <v>0</v>
      </c>
      <c r="AI276" s="281" t="s">
        <v>1</v>
      </c>
      <c r="AJ276" s="281" t="s">
        <v>1</v>
      </c>
      <c r="AK276" s="279" t="s">
        <v>1</v>
      </c>
      <c r="AL276" s="278">
        <v>11.6</v>
      </c>
      <c r="AM276" s="282">
        <v>71.099999999999994</v>
      </c>
      <c r="AN276" s="278" cm="1">
        <f t="array" aca="1" ref="AN276" ca="1">INDIRECT("'"&amp;$C276&amp;"'!"&amp;"$"&amp;$D276&amp;$AL$1&amp;"")</f>
        <v>0</v>
      </c>
      <c r="AO276" s="281" t="s">
        <v>1</v>
      </c>
      <c r="AP276" s="279" t="s">
        <v>1</v>
      </c>
      <c r="AQ276" s="280" cm="1">
        <f t="array" aca="1" ref="AQ276" ca="1">INDIRECT("'"&amp;$C276&amp;"'!"&amp;"$"&amp;$D276&amp;$AQ$1&amp;"")</f>
        <v>3.8</v>
      </c>
      <c r="AR276" s="281">
        <v>0.96</v>
      </c>
      <c r="AS276" s="279">
        <v>1</v>
      </c>
      <c r="AT276" s="278">
        <v>13.97</v>
      </c>
      <c r="AU276" s="282">
        <v>70.3</v>
      </c>
      <c r="AV276" s="281" cm="1">
        <f t="array" aca="1" ref="AV276" ca="1">INDIRECT("'"&amp;$C276&amp;"'!"&amp;"$"&amp;$D276&amp;$AV$1&amp;"")</f>
        <v>0</v>
      </c>
      <c r="AW276" s="280" t="s">
        <v>1</v>
      </c>
      <c r="AX276" s="281" t="s">
        <v>1</v>
      </c>
      <c r="AY276" s="279" t="s">
        <v>1</v>
      </c>
      <c r="AZ276" s="281" cm="1">
        <f t="array" aca="1" ref="AZ276" ca="1">INDIRECT("'"&amp;$C276&amp;"'!"&amp;"$"&amp;$D276&amp;$AZ$1&amp;"")</f>
        <v>7.1</v>
      </c>
      <c r="BA276" s="280" t="s">
        <v>1</v>
      </c>
      <c r="BB276" s="281">
        <v>0.97</v>
      </c>
      <c r="BC276" s="279">
        <v>1.7</v>
      </c>
      <c r="BD276" s="283">
        <v>14.17</v>
      </c>
      <c r="BE276" s="282">
        <v>71.67</v>
      </c>
      <c r="BF276" s="283" cm="1">
        <f t="array" aca="1" ref="BF276" ca="1">INDIRECT("'"&amp;$C276&amp;"'!"&amp;"$"&amp;$D276&amp;$BF$1&amp;"")</f>
        <v>14.27</v>
      </c>
      <c r="BG276" s="281">
        <v>0.99</v>
      </c>
      <c r="BH276" s="279">
        <v>2.2999999999999998</v>
      </c>
      <c r="BI276" s="524">
        <v>68.7</v>
      </c>
      <c r="BJ276" s="278" cm="1">
        <f t="array" aca="1" ref="BJ276" ca="1">INDIRECT("'"&amp;$C276&amp;"'!"&amp;"$"&amp;$D276&amp;$BI$1&amp;"")</f>
        <v>0</v>
      </c>
      <c r="BK276" s="280" t="s">
        <v>1</v>
      </c>
      <c r="BL276" s="279" t="s">
        <v>1</v>
      </c>
      <c r="BM276" s="283" cm="1">
        <f t="array" aca="1" ref="BM276" ca="1">INDIRECT("'"&amp;$C276&amp;"'!"&amp;"$"&amp;$D276&amp;$BM$1&amp;"")</f>
        <v>1.1599999999999999</v>
      </c>
      <c r="BN276" s="281"/>
      <c r="BO276" s="281">
        <v>0.99</v>
      </c>
      <c r="BP276" s="279">
        <v>0.23</v>
      </c>
      <c r="BQ276" s="284" cm="1">
        <f t="array" aca="1" ref="BQ276" ca="1">INDIRECT("'"&amp;$C276&amp;"'!"&amp;"$"&amp;$D276&amp;$BQ$1&amp;"")</f>
        <v>0.85</v>
      </c>
      <c r="BR276" s="281"/>
      <c r="BS276" s="281">
        <v>0.97</v>
      </c>
      <c r="BT276" s="279">
        <v>0.2</v>
      </c>
      <c r="BU276" s="284" cm="1">
        <f t="array" aca="1" ref="BU276" ca="1">INDIRECT("'"&amp;$C276&amp;"'!"&amp;"$"&amp;$D276&amp;74&amp;"")</f>
        <v>0</v>
      </c>
      <c r="BV276" s="281"/>
      <c r="BW276" s="281" t="s">
        <v>1</v>
      </c>
      <c r="BX276" s="279" t="s">
        <v>1</v>
      </c>
    </row>
    <row r="277" spans="1:76">
      <c r="A277" s="459">
        <v>45849</v>
      </c>
      <c r="B277" s="345">
        <v>0.91666666666666696</v>
      </c>
      <c r="C277" s="305">
        <v>11</v>
      </c>
      <c r="D277" s="306" t="s">
        <v>164</v>
      </c>
      <c r="E277" s="285">
        <v>14.2</v>
      </c>
      <c r="F277" s="286">
        <v>70.09</v>
      </c>
      <c r="G277" s="287" t="str" cm="1">
        <f t="array" aca="1" ref="G277" ca="1">INDIRECT("'"&amp;$C277&amp;"'!"&amp;"$"&amp;$D277&amp;$E$1&amp;"")</f>
        <v>CMS</v>
      </c>
      <c r="H277" s="288" t="s">
        <v>1</v>
      </c>
      <c r="I277" s="286" t="s">
        <v>1</v>
      </c>
      <c r="J277" s="287" cm="1">
        <f t="array" aca="1" ref="J277" ca="1">INDIRECT("'"&amp;$C277&amp;"'!"&amp;"$"&amp;$D277&amp;$J$1&amp;"")</f>
        <v>6.4</v>
      </c>
      <c r="K277" s="288"/>
      <c r="L277" s="288">
        <v>0.97</v>
      </c>
      <c r="M277" s="289">
        <v>1.64</v>
      </c>
      <c r="N277" s="285" cm="1">
        <f t="array" aca="1" ref="N277" ca="1">INDIRECT("'"&amp;$C277&amp;"'!"&amp;"$"&amp;$D277&amp;$N$1&amp;"")</f>
        <v>6.4</v>
      </c>
      <c r="O277" s="288"/>
      <c r="P277" s="288">
        <v>0.97</v>
      </c>
      <c r="Q277" s="286">
        <v>1.65</v>
      </c>
      <c r="R277" s="285" cm="1">
        <f t="array" aca="1" ref="R277" ca="1">INDIRECT("'"&amp;$C277&amp;"'!"&amp;"$"&amp;$D277&amp;$R$1&amp;"")</f>
        <v>6.4</v>
      </c>
      <c r="S277" s="288"/>
      <c r="T277" s="288">
        <v>0.97</v>
      </c>
      <c r="U277" s="286">
        <v>1.69</v>
      </c>
      <c r="V277" s="287" cm="1">
        <f t="array" aca="1" ref="V277" ca="1">INDIRECT("'"&amp;$C277&amp;"'!"&amp;"$"&amp;$D277&amp;$V$1&amp;"")</f>
        <v>0</v>
      </c>
      <c r="W277" s="288" t="s">
        <v>1</v>
      </c>
      <c r="X277" s="288" t="s">
        <v>1</v>
      </c>
      <c r="Y277" s="289" t="s">
        <v>1</v>
      </c>
      <c r="Z277" s="285" cm="1">
        <f t="array" aca="1" ref="Z277" ca="1">INDIRECT("'"&amp;$C277&amp;"'!"&amp;"$"&amp;$D277&amp;$Z$1&amp;"")</f>
        <v>0</v>
      </c>
      <c r="AA277" s="288" t="s">
        <v>1</v>
      </c>
      <c r="AB277" s="288" t="s">
        <v>1</v>
      </c>
      <c r="AC277" s="286" t="s">
        <v>1</v>
      </c>
      <c r="AD277" s="287" cm="1">
        <f t="array" aca="1" ref="AD277" ca="1">INDIRECT("'"&amp;$C277&amp;"'!"&amp;"$"&amp;$D277&amp;$AD$1&amp;"")</f>
        <v>0</v>
      </c>
      <c r="AE277" s="288" t="s">
        <v>1</v>
      </c>
      <c r="AF277" s="288" t="s">
        <v>1</v>
      </c>
      <c r="AG277" s="289" t="s">
        <v>1</v>
      </c>
      <c r="AH277" s="285" cm="1">
        <f t="array" aca="1" ref="AH277" ca="1">INDIRECT("'"&amp;$C277&amp;"'!"&amp;"$"&amp;$D277&amp;$AH$1&amp;"")</f>
        <v>0</v>
      </c>
      <c r="AI277" s="288" t="s">
        <v>1</v>
      </c>
      <c r="AJ277" s="288" t="s">
        <v>1</v>
      </c>
      <c r="AK277" s="286" t="s">
        <v>1</v>
      </c>
      <c r="AL277" s="285">
        <v>11.6</v>
      </c>
      <c r="AM277" s="289">
        <v>71.2</v>
      </c>
      <c r="AN277" s="285" cm="1">
        <f t="array" aca="1" ref="AN277" ca="1">INDIRECT("'"&amp;$C277&amp;"'!"&amp;"$"&amp;$D277&amp;$AL$1&amp;"")</f>
        <v>0</v>
      </c>
      <c r="AO277" s="288" t="s">
        <v>1</v>
      </c>
      <c r="AP277" s="286" t="s">
        <v>1</v>
      </c>
      <c r="AQ277" s="287" cm="1">
        <f t="array" aca="1" ref="AQ277" ca="1">INDIRECT("'"&amp;$C277&amp;"'!"&amp;"$"&amp;$D277&amp;$AQ$1&amp;"")</f>
        <v>3.8</v>
      </c>
      <c r="AR277" s="288">
        <v>0.97</v>
      </c>
      <c r="AS277" s="286">
        <v>0.91</v>
      </c>
      <c r="AT277" s="285">
        <v>13.97</v>
      </c>
      <c r="AU277" s="289">
        <v>70.3</v>
      </c>
      <c r="AV277" s="288" cm="1">
        <f t="array" aca="1" ref="AV277" ca="1">INDIRECT("'"&amp;$C277&amp;"'!"&amp;"$"&amp;$D277&amp;$AV$1&amp;"")</f>
        <v>0</v>
      </c>
      <c r="AW277" s="287" t="s">
        <v>1</v>
      </c>
      <c r="AX277" s="288" t="s">
        <v>1</v>
      </c>
      <c r="AY277" s="286" t="s">
        <v>1</v>
      </c>
      <c r="AZ277" s="288" cm="1">
        <f t="array" aca="1" ref="AZ277" ca="1">INDIRECT("'"&amp;$C277&amp;"'!"&amp;"$"&amp;$D277&amp;$AZ$1&amp;"")</f>
        <v>7</v>
      </c>
      <c r="BA277" s="287" t="s">
        <v>1</v>
      </c>
      <c r="BB277" s="288">
        <v>0.97</v>
      </c>
      <c r="BC277" s="286">
        <v>1.6</v>
      </c>
      <c r="BD277" s="290">
        <v>14.2</v>
      </c>
      <c r="BE277" s="289">
        <v>71.78</v>
      </c>
      <c r="BF277" s="290" cm="1">
        <f t="array" aca="1" ref="BF277" ca="1">INDIRECT("'"&amp;$C277&amp;"'!"&amp;"$"&amp;$D277&amp;$BF$1&amp;"")</f>
        <v>14.29</v>
      </c>
      <c r="BG277" s="288">
        <v>0.99</v>
      </c>
      <c r="BH277" s="286">
        <v>2.2999999999999998</v>
      </c>
      <c r="BI277" s="525">
        <v>68.599999999999994</v>
      </c>
      <c r="BJ277" s="285" cm="1">
        <f t="array" aca="1" ref="BJ277" ca="1">INDIRECT("'"&amp;$C277&amp;"'!"&amp;"$"&amp;$D277&amp;$BI$1&amp;"")</f>
        <v>0</v>
      </c>
      <c r="BK277" s="287" t="s">
        <v>1</v>
      </c>
      <c r="BL277" s="286" t="s">
        <v>1</v>
      </c>
      <c r="BM277" s="290" cm="1">
        <f t="array" aca="1" ref="BM277" ca="1">INDIRECT("'"&amp;$C277&amp;"'!"&amp;"$"&amp;$D277&amp;$BM$1&amp;"")</f>
        <v>1.01</v>
      </c>
      <c r="BN277" s="288"/>
      <c r="BO277" s="288">
        <v>0.99</v>
      </c>
      <c r="BP277" s="286">
        <v>0.11</v>
      </c>
      <c r="BQ277" s="291" cm="1">
        <f t="array" aca="1" ref="BQ277" ca="1">INDIRECT("'"&amp;$C277&amp;"'!"&amp;"$"&amp;$D277&amp;$BQ$1&amp;"")</f>
        <v>0.8</v>
      </c>
      <c r="BR277" s="288"/>
      <c r="BS277" s="288">
        <v>0.97</v>
      </c>
      <c r="BT277" s="286">
        <v>0.19</v>
      </c>
      <c r="BU277" s="291" cm="1">
        <f t="array" aca="1" ref="BU277" ca="1">INDIRECT("'"&amp;$C277&amp;"'!"&amp;"$"&amp;$D277&amp;74&amp;"")</f>
        <v>0</v>
      </c>
      <c r="BV277" s="288"/>
      <c r="BW277" s="288" t="s">
        <v>1</v>
      </c>
      <c r="BX277" s="286" t="s">
        <v>1</v>
      </c>
    </row>
    <row r="278" spans="1:76" ht="14.45" thickBot="1">
      <c r="A278" s="460">
        <v>45849</v>
      </c>
      <c r="B278" s="346">
        <v>0.95833333333333404</v>
      </c>
      <c r="C278" s="307">
        <v>11</v>
      </c>
      <c r="D278" s="308" t="s">
        <v>165</v>
      </c>
      <c r="E278" s="293">
        <v>14.2</v>
      </c>
      <c r="F278" s="294">
        <v>70.63</v>
      </c>
      <c r="G278" s="295" t="str" cm="1">
        <f t="array" aca="1" ref="G278" ca="1">INDIRECT("'"&amp;$C278&amp;"'!"&amp;"$"&amp;$D278&amp;$E$1&amp;"")</f>
        <v>CMS</v>
      </c>
      <c r="H278" s="296" t="s">
        <v>1</v>
      </c>
      <c r="I278" s="294" t="s">
        <v>1</v>
      </c>
      <c r="J278" s="295" cm="1">
        <f t="array" aca="1" ref="J278" ca="1">INDIRECT("'"&amp;$C278&amp;"'!"&amp;"$"&amp;$D278&amp;$J$1&amp;"")</f>
        <v>6.4</v>
      </c>
      <c r="K278" s="296"/>
      <c r="L278" s="296">
        <v>0.98</v>
      </c>
      <c r="M278" s="297">
        <v>1.43</v>
      </c>
      <c r="N278" s="293" cm="1">
        <f t="array" aca="1" ref="N278" ca="1">INDIRECT("'"&amp;$C278&amp;"'!"&amp;"$"&amp;$D278&amp;$N$1&amp;"")</f>
        <v>6.4</v>
      </c>
      <c r="O278" s="296"/>
      <c r="P278" s="296">
        <v>0.98</v>
      </c>
      <c r="Q278" s="294">
        <v>1.39</v>
      </c>
      <c r="R278" s="470" cm="1">
        <f t="array" aca="1" ref="R278" ca="1">INDIRECT("'"&amp;$C278&amp;"'!"&amp;"$"&amp;$D278&amp;$R$1&amp;"")</f>
        <v>6.4</v>
      </c>
      <c r="S278" s="296"/>
      <c r="T278" s="296">
        <v>0.97</v>
      </c>
      <c r="U278" s="294">
        <v>1.37</v>
      </c>
      <c r="V278" s="295" cm="1">
        <f t="array" aca="1" ref="V278" ca="1">INDIRECT("'"&amp;$C278&amp;"'!"&amp;"$"&amp;$D278&amp;$V$1&amp;"")</f>
        <v>0</v>
      </c>
      <c r="W278" s="296" t="s">
        <v>1</v>
      </c>
      <c r="X278" s="296" t="s">
        <v>1</v>
      </c>
      <c r="Y278" s="297" t="s">
        <v>1</v>
      </c>
      <c r="Z278" s="293" cm="1">
        <f t="array" aca="1" ref="Z278" ca="1">INDIRECT("'"&amp;$C278&amp;"'!"&amp;"$"&amp;$D278&amp;$Z$1&amp;"")</f>
        <v>0</v>
      </c>
      <c r="AA278" s="296" t="s">
        <v>1</v>
      </c>
      <c r="AB278" s="296" t="s">
        <v>1</v>
      </c>
      <c r="AC278" s="294" t="s">
        <v>1</v>
      </c>
      <c r="AD278" s="295" cm="1">
        <f t="array" aca="1" ref="AD278" ca="1">INDIRECT("'"&amp;$C278&amp;"'!"&amp;"$"&amp;$D278&amp;$AD$1&amp;"")</f>
        <v>0</v>
      </c>
      <c r="AE278" s="296" t="s">
        <v>1</v>
      </c>
      <c r="AF278" s="296" t="s">
        <v>1</v>
      </c>
      <c r="AG278" s="297" t="s">
        <v>1</v>
      </c>
      <c r="AH278" s="293" cm="1">
        <f t="array" aca="1" ref="AH278" ca="1">INDIRECT("'"&amp;$C278&amp;"'!"&amp;"$"&amp;$D278&amp;$AH$1&amp;"")</f>
        <v>0</v>
      </c>
      <c r="AI278" s="296" t="s">
        <v>1</v>
      </c>
      <c r="AJ278" s="296" t="s">
        <v>1</v>
      </c>
      <c r="AK278" s="294" t="s">
        <v>1</v>
      </c>
      <c r="AL278" s="293">
        <v>11.6</v>
      </c>
      <c r="AM278" s="297">
        <v>71.2</v>
      </c>
      <c r="AN278" s="293" cm="1">
        <f t="array" aca="1" ref="AN278" ca="1">INDIRECT("'"&amp;$C278&amp;"'!"&amp;"$"&amp;$D278&amp;$AL$1&amp;"")</f>
        <v>0</v>
      </c>
      <c r="AO278" s="296" t="s">
        <v>1</v>
      </c>
      <c r="AP278" s="294" t="s">
        <v>1</v>
      </c>
      <c r="AQ278" s="295" cm="1">
        <f t="array" aca="1" ref="AQ278" ca="1">INDIRECT("'"&amp;$C278&amp;"'!"&amp;"$"&amp;$D278&amp;$AQ$1&amp;"")</f>
        <v>1.8</v>
      </c>
      <c r="AR278" s="296">
        <v>0.97</v>
      </c>
      <c r="AS278" s="294">
        <v>0.9</v>
      </c>
      <c r="AT278" s="293">
        <v>13.99</v>
      </c>
      <c r="AU278" s="297">
        <v>70.400000000000006</v>
      </c>
      <c r="AV278" s="296" cm="1">
        <f t="array" aca="1" ref="AV278" ca="1">INDIRECT("'"&amp;$C278&amp;"'!"&amp;"$"&amp;$D278&amp;$AV$1&amp;"")</f>
        <v>0</v>
      </c>
      <c r="AW278" s="295" t="s">
        <v>1</v>
      </c>
      <c r="AX278" s="296" t="s">
        <v>1</v>
      </c>
      <c r="AY278" s="294" t="s">
        <v>1</v>
      </c>
      <c r="AZ278" s="296" cm="1">
        <f t="array" aca="1" ref="AZ278" ca="1">INDIRECT("'"&amp;$C278&amp;"'!"&amp;"$"&amp;$D278&amp;$AZ$1&amp;"")</f>
        <v>4.5</v>
      </c>
      <c r="BA278" s="295" t="s">
        <v>1</v>
      </c>
      <c r="BB278" s="296">
        <v>0.96</v>
      </c>
      <c r="BC278" s="294">
        <v>1.3</v>
      </c>
      <c r="BD278" s="298">
        <v>14.2</v>
      </c>
      <c r="BE278" s="297">
        <v>72.11</v>
      </c>
      <c r="BF278" s="298" cm="1">
        <f t="array" aca="1" ref="BF278" ca="1">INDIRECT("'"&amp;$C278&amp;"'!"&amp;"$"&amp;$D278&amp;$BF$1&amp;"")</f>
        <v>14.29</v>
      </c>
      <c r="BG278" s="296">
        <v>0.99</v>
      </c>
      <c r="BH278" s="294">
        <v>2.2999999999999998</v>
      </c>
      <c r="BI278" s="526">
        <v>69.3</v>
      </c>
      <c r="BJ278" s="293" cm="1">
        <f t="array" aca="1" ref="BJ278" ca="1">INDIRECT("'"&amp;$C278&amp;"'!"&amp;"$"&amp;$D278&amp;$BI$1&amp;"")</f>
        <v>0</v>
      </c>
      <c r="BK278" s="295" t="s">
        <v>1</v>
      </c>
      <c r="BL278" s="294" t="s">
        <v>1</v>
      </c>
      <c r="BM278" s="298" cm="1">
        <f t="array" aca="1" ref="BM278" ca="1">INDIRECT("'"&amp;$C278&amp;"'!"&amp;"$"&amp;$D278&amp;$BM$1&amp;"")</f>
        <v>0.94</v>
      </c>
      <c r="BN278" s="296"/>
      <c r="BO278" s="296">
        <v>0.99</v>
      </c>
      <c r="BP278" s="294">
        <v>0.1</v>
      </c>
      <c r="BQ278" s="299" cm="1">
        <f t="array" aca="1" ref="BQ278" ca="1">INDIRECT("'"&amp;$C278&amp;"'!"&amp;"$"&amp;$D278&amp;$BQ$1&amp;"")</f>
        <v>0.77</v>
      </c>
      <c r="BR278" s="296"/>
      <c r="BS278" s="296">
        <v>0.97</v>
      </c>
      <c r="BT278" s="294">
        <v>0.19</v>
      </c>
      <c r="BU278" s="299" cm="1">
        <f t="array" aca="1" ref="BU278" ca="1">INDIRECT("'"&amp;$C278&amp;"'!"&amp;"$"&amp;$D278&amp;74&amp;"")</f>
        <v>0</v>
      </c>
      <c r="BV278" s="296"/>
      <c r="BW278" s="296" t="s">
        <v>1</v>
      </c>
      <c r="BX278" s="294" t="s">
        <v>1</v>
      </c>
    </row>
    <row r="279" spans="1:76" ht="14.45" thickBot="1"/>
    <row r="280" spans="1:76">
      <c r="A280" s="347">
        <v>45850</v>
      </c>
      <c r="B280" s="344">
        <v>0</v>
      </c>
      <c r="C280" s="302">
        <v>12</v>
      </c>
      <c r="D280" s="303" t="s">
        <v>142</v>
      </c>
      <c r="E280" s="272">
        <v>14.2</v>
      </c>
      <c r="F280" s="273">
        <v>70.42</v>
      </c>
      <c r="G280" s="274" t="str" cm="1">
        <f t="array" aca="1" ref="G280" ca="1">INDIRECT("'"&amp;$C280&amp;"'!"&amp;"$"&amp;$D280&amp;$E$1&amp;"")</f>
        <v>CMS</v>
      </c>
      <c r="H280" s="275" t="s">
        <v>1</v>
      </c>
      <c r="I280" s="273" t="s">
        <v>1</v>
      </c>
      <c r="J280" s="274" t="str" cm="1">
        <f t="array" aca="1" ref="J280" ca="1">INDIRECT("'"&amp;$C280&amp;"'!"&amp;"$"&amp;$D280&amp;$J$1&amp;"")</f>
        <v>CMS</v>
      </c>
      <c r="K280" s="275"/>
      <c r="L280" s="275" t="s">
        <v>1</v>
      </c>
      <c r="M280" s="276" t="s">
        <v>1</v>
      </c>
      <c r="N280" s="272" cm="1">
        <f t="array" aca="1" ref="N280" ca="1">INDIRECT("'"&amp;$C280&amp;"'!"&amp;"$"&amp;$D280&amp;$N$1&amp;"")</f>
        <v>6.6</v>
      </c>
      <c r="O280" s="275"/>
      <c r="P280" s="275">
        <v>0.97</v>
      </c>
      <c r="Q280" s="273">
        <v>1.72</v>
      </c>
      <c r="R280" s="467" cm="1">
        <f t="array" aca="1" ref="R280" ca="1">INDIRECT("'"&amp;$C280&amp;"'!"&amp;"$"&amp;$D280&amp;$R$1&amp;"")</f>
        <v>6.6</v>
      </c>
      <c r="S280" s="275"/>
      <c r="T280" s="275">
        <v>0.98</v>
      </c>
      <c r="U280" s="273">
        <v>1.36</v>
      </c>
      <c r="V280" s="274" cm="1">
        <f t="array" aca="1" ref="V280" ca="1">INDIRECT("'"&amp;$C280&amp;"'!"&amp;"$"&amp;$D280&amp;$V$1&amp;"")</f>
        <v>0</v>
      </c>
      <c r="W280" s="275" t="s">
        <v>1</v>
      </c>
      <c r="X280" s="275" t="s">
        <v>1</v>
      </c>
      <c r="Y280" s="276" t="s">
        <v>1</v>
      </c>
      <c r="Z280" s="272" cm="1">
        <f t="array" aca="1" ref="Z280" ca="1">INDIRECT("'"&amp;$C280&amp;"'!"&amp;"$"&amp;$D280&amp;$Z$1&amp;"")</f>
        <v>0</v>
      </c>
      <c r="AA280" s="275" t="s">
        <v>1</v>
      </c>
      <c r="AB280" s="275" t="s">
        <v>1</v>
      </c>
      <c r="AC280" s="273" t="s">
        <v>1</v>
      </c>
      <c r="AD280" s="274" cm="1">
        <f t="array" aca="1" ref="AD280" ca="1">INDIRECT("'"&amp;$C280&amp;"'!"&amp;"$"&amp;$D280&amp;$AD$1&amp;"")</f>
        <v>0</v>
      </c>
      <c r="AE280" s="275" t="s">
        <v>1</v>
      </c>
      <c r="AF280" s="275" t="s">
        <v>1</v>
      </c>
      <c r="AG280" s="273" t="s">
        <v>1</v>
      </c>
      <c r="AH280" s="272" cm="1">
        <f t="array" aca="1" ref="AH280" ca="1">INDIRECT("'"&amp;$C280&amp;"'!"&amp;"$"&amp;$D280&amp;$AH$1&amp;"")</f>
        <v>0</v>
      </c>
      <c r="AI280" s="275" t="s">
        <v>1</v>
      </c>
      <c r="AJ280" s="275" t="s">
        <v>1</v>
      </c>
      <c r="AK280" s="273" t="s">
        <v>1</v>
      </c>
      <c r="AL280" s="272">
        <v>11.6</v>
      </c>
      <c r="AM280" s="276">
        <v>71.2</v>
      </c>
      <c r="AN280" s="272" cm="1">
        <f t="array" aca="1" ref="AN280" ca="1">INDIRECT("'"&amp;$C280&amp;"'!"&amp;"$"&amp;$D280&amp;$AL$1&amp;"")</f>
        <v>0</v>
      </c>
      <c r="AO280" s="275" t="s">
        <v>1</v>
      </c>
      <c r="AP280" s="273" t="s">
        <v>1</v>
      </c>
      <c r="AQ280" s="274" cm="1">
        <f t="array" aca="1" ref="AQ280" ca="1">INDIRECT("'"&amp;$C280&amp;"'!"&amp;"$"&amp;$D280&amp;$AQ$1&amp;"")</f>
        <v>2.8</v>
      </c>
      <c r="AR280" s="275">
        <v>0.96</v>
      </c>
      <c r="AS280" s="273">
        <v>0.78</v>
      </c>
      <c r="AT280" s="272">
        <v>13.97</v>
      </c>
      <c r="AU280" s="276">
        <v>70.400000000000006</v>
      </c>
      <c r="AV280" s="275" cm="1">
        <f t="array" aca="1" ref="AV280" ca="1">INDIRECT("'"&amp;$C280&amp;"'!"&amp;"$"&amp;$D280&amp;$AV$1&amp;"")</f>
        <v>0</v>
      </c>
      <c r="AW280" s="274" t="s">
        <v>1</v>
      </c>
      <c r="AX280" s="275" t="s">
        <v>1</v>
      </c>
      <c r="AY280" s="273" t="s">
        <v>1</v>
      </c>
      <c r="AZ280" s="275" cm="1">
        <f t="array" aca="1" ref="AZ280" ca="1">INDIRECT("'"&amp;$C280&amp;"'!"&amp;"$"&amp;$D280&amp;$AZ$1&amp;"")</f>
        <v>7</v>
      </c>
      <c r="BA280" s="274" t="s">
        <v>1</v>
      </c>
      <c r="BB280" s="275">
        <v>0.99</v>
      </c>
      <c r="BC280" s="273">
        <v>0.66</v>
      </c>
      <c r="BD280" s="277">
        <v>14.28</v>
      </c>
      <c r="BE280" s="276">
        <v>72.23</v>
      </c>
      <c r="BF280" s="277" cm="1">
        <f t="array" aca="1" ref="BF280" ca="1">INDIRECT("'"&amp;$C280&amp;"'!"&amp;"$"&amp;$D280&amp;$BF$1&amp;"")</f>
        <v>14.3</v>
      </c>
      <c r="BG280" s="275">
        <v>0.99</v>
      </c>
      <c r="BH280" s="273">
        <v>2.2999999999999998</v>
      </c>
      <c r="BI280" s="523">
        <v>69.2</v>
      </c>
      <c r="BJ280" s="272" cm="1">
        <f t="array" aca="1" ref="BJ280" ca="1">INDIRECT("'"&amp;$C280&amp;"'!"&amp;"$"&amp;$D280&amp;$BI$1&amp;"")</f>
        <v>0</v>
      </c>
      <c r="BK280" s="274" t="s">
        <v>1</v>
      </c>
      <c r="BL280" s="273" t="s">
        <v>1</v>
      </c>
      <c r="BM280" s="277" cm="1">
        <f t="array" aca="1" ref="BM280" ca="1">INDIRECT("'"&amp;$C280&amp;"'!"&amp;"$"&amp;$D280&amp;$BM$1&amp;"")</f>
        <v>0.87</v>
      </c>
      <c r="BN280" s="275"/>
      <c r="BO280" s="275">
        <v>0.99</v>
      </c>
      <c r="BP280" s="273">
        <v>0.1</v>
      </c>
      <c r="BQ280" s="277" cm="1">
        <f t="array" aca="1" ref="BQ280" ca="1">INDIRECT("'"&amp;$C280&amp;"'!"&amp;"$"&amp;$D280&amp;$BQ$1&amp;"")</f>
        <v>0.71</v>
      </c>
      <c r="BR280" s="275"/>
      <c r="BS280" s="275">
        <v>0.97</v>
      </c>
      <c r="BT280" s="273">
        <v>0.17</v>
      </c>
      <c r="BU280" s="358" cm="1">
        <f t="array" aca="1" ref="BU280" ca="1">INDIRECT("'"&amp;$C280&amp;"'!"&amp;"$"&amp;$D280&amp;74&amp;"")</f>
        <v>0</v>
      </c>
      <c r="BV280" s="275"/>
      <c r="BW280" s="275" t="s">
        <v>1</v>
      </c>
      <c r="BX280" s="273" t="s">
        <v>1</v>
      </c>
    </row>
    <row r="281" spans="1:76">
      <c r="A281" s="459">
        <v>45850</v>
      </c>
      <c r="B281" s="345">
        <v>4.1666666666666699E-2</v>
      </c>
      <c r="C281" s="305">
        <v>12</v>
      </c>
      <c r="D281" s="306" t="s">
        <v>143</v>
      </c>
      <c r="E281" s="278">
        <v>14.2</v>
      </c>
      <c r="F281" s="279">
        <v>70.73</v>
      </c>
      <c r="G281" s="280" t="str" cm="1">
        <f t="array" aca="1" ref="G281" ca="1">INDIRECT("'"&amp;$C281&amp;"'!"&amp;"$"&amp;$D281&amp;$E$1&amp;"")</f>
        <v>CMS</v>
      </c>
      <c r="H281" s="281" t="s">
        <v>1</v>
      </c>
      <c r="I281" s="279" t="s">
        <v>1</v>
      </c>
      <c r="J281" s="280" t="str" cm="1">
        <f t="array" aca="1" ref="J281" ca="1">INDIRECT("'"&amp;$C281&amp;"'!"&amp;"$"&amp;$D281&amp;$J$1&amp;"")</f>
        <v>CMS</v>
      </c>
      <c r="K281" s="281"/>
      <c r="L281" s="281" t="s">
        <v>1</v>
      </c>
      <c r="M281" s="282" t="s">
        <v>1</v>
      </c>
      <c r="N281" s="278" cm="1">
        <f t="array" aca="1" ref="N281" ca="1">INDIRECT("'"&amp;$C281&amp;"'!"&amp;"$"&amp;$D281&amp;$N$1&amp;"")</f>
        <v>6.6</v>
      </c>
      <c r="O281" s="281"/>
      <c r="P281" s="281">
        <v>0.98</v>
      </c>
      <c r="Q281" s="279">
        <v>1.36</v>
      </c>
      <c r="R281" s="468" cm="1">
        <f t="array" aca="1" ref="R281" ca="1">INDIRECT("'"&amp;$C281&amp;"'!"&amp;"$"&amp;$D281&amp;$R$1&amp;"")</f>
        <v>6.6</v>
      </c>
      <c r="S281" s="281"/>
      <c r="T281" s="281">
        <v>0.98</v>
      </c>
      <c r="U281" s="279">
        <v>1.34</v>
      </c>
      <c r="V281" s="280" cm="1">
        <f t="array" aca="1" ref="V281" ca="1">INDIRECT("'"&amp;$C281&amp;"'!"&amp;"$"&amp;$D281&amp;$V$1&amp;"")</f>
        <v>0</v>
      </c>
      <c r="W281" s="281" t="s">
        <v>1</v>
      </c>
      <c r="X281" s="281" t="s">
        <v>1</v>
      </c>
      <c r="Y281" s="282" t="s">
        <v>1</v>
      </c>
      <c r="Z281" s="278" cm="1">
        <f t="array" aca="1" ref="Z281" ca="1">INDIRECT("'"&amp;$C281&amp;"'!"&amp;"$"&amp;$D281&amp;$Z$1&amp;"")</f>
        <v>0</v>
      </c>
      <c r="AA281" s="281" t="s">
        <v>1</v>
      </c>
      <c r="AB281" s="281" t="s">
        <v>1</v>
      </c>
      <c r="AC281" s="279" t="s">
        <v>1</v>
      </c>
      <c r="AD281" s="280" cm="1">
        <f t="array" aca="1" ref="AD281" ca="1">INDIRECT("'"&amp;$C281&amp;"'!"&amp;"$"&amp;$D281&amp;$AD$1&amp;"")</f>
        <v>0</v>
      </c>
      <c r="AE281" s="281" t="s">
        <v>1</v>
      </c>
      <c r="AF281" s="281" t="s">
        <v>1</v>
      </c>
      <c r="AG281" s="282" t="s">
        <v>1</v>
      </c>
      <c r="AH281" s="278" cm="1">
        <f t="array" aca="1" ref="AH281" ca="1">INDIRECT("'"&amp;$C281&amp;"'!"&amp;"$"&amp;$D281&amp;$AH$1&amp;"")</f>
        <v>0</v>
      </c>
      <c r="AI281" s="281" t="s">
        <v>1</v>
      </c>
      <c r="AJ281" s="281" t="s">
        <v>1</v>
      </c>
      <c r="AK281" s="279" t="s">
        <v>1</v>
      </c>
      <c r="AL281" s="278">
        <v>11.6</v>
      </c>
      <c r="AM281" s="282">
        <v>71.2</v>
      </c>
      <c r="AN281" s="278" cm="1">
        <f t="array" aca="1" ref="AN281" ca="1">INDIRECT("'"&amp;$C281&amp;"'!"&amp;"$"&amp;$D281&amp;$AL$1&amp;"")</f>
        <v>0</v>
      </c>
      <c r="AO281" s="281" t="s">
        <v>1</v>
      </c>
      <c r="AP281" s="279" t="s">
        <v>1</v>
      </c>
      <c r="AQ281" s="280" cm="1">
        <f t="array" aca="1" ref="AQ281" ca="1">INDIRECT("'"&amp;$C281&amp;"'!"&amp;"$"&amp;$D281&amp;$AQ$1&amp;"")</f>
        <v>1.8</v>
      </c>
      <c r="AR281" s="281">
        <v>0.96</v>
      </c>
      <c r="AS281" s="279">
        <v>0.73</v>
      </c>
      <c r="AT281" s="278">
        <v>13.96</v>
      </c>
      <c r="AU281" s="282">
        <v>70.400000000000006</v>
      </c>
      <c r="AV281" s="281" cm="1">
        <f t="array" aca="1" ref="AV281" ca="1">INDIRECT("'"&amp;$C281&amp;"'!"&amp;"$"&amp;$D281&amp;$AV$1&amp;"")</f>
        <v>0</v>
      </c>
      <c r="AW281" s="280" t="s">
        <v>1</v>
      </c>
      <c r="AX281" s="281" t="s">
        <v>1</v>
      </c>
      <c r="AY281" s="279" t="s">
        <v>1</v>
      </c>
      <c r="AZ281" s="281" cm="1">
        <f t="array" aca="1" ref="AZ281" ca="1">INDIRECT("'"&amp;$C281&amp;"'!"&amp;"$"&amp;$D281&amp;$AZ$1&amp;"")</f>
        <v>6</v>
      </c>
      <c r="BA281" s="280" t="s">
        <v>1</v>
      </c>
      <c r="BB281" s="281">
        <v>0.99</v>
      </c>
      <c r="BC281" s="279">
        <v>0.94</v>
      </c>
      <c r="BD281" s="283">
        <v>14.11</v>
      </c>
      <c r="BE281" s="282">
        <v>71.819999999999993</v>
      </c>
      <c r="BF281" s="283" cm="1">
        <f t="array" aca="1" ref="BF281" ca="1">INDIRECT("'"&amp;$C281&amp;"'!"&amp;"$"&amp;$D281&amp;$BF$1&amp;"")</f>
        <v>14.29</v>
      </c>
      <c r="BG281" s="281">
        <v>1</v>
      </c>
      <c r="BH281" s="279">
        <v>1.2</v>
      </c>
      <c r="BI281" s="524">
        <v>69.400000000000006</v>
      </c>
      <c r="BJ281" s="278" cm="1">
        <f t="array" aca="1" ref="BJ281" ca="1">INDIRECT("'"&amp;$C281&amp;"'!"&amp;"$"&amp;$D281&amp;$BI$1&amp;"")</f>
        <v>0</v>
      </c>
      <c r="BK281" s="280" t="s">
        <v>1</v>
      </c>
      <c r="BL281" s="279" t="s">
        <v>1</v>
      </c>
      <c r="BM281" s="283" cm="1">
        <f t="array" aca="1" ref="BM281" ca="1">INDIRECT("'"&amp;$C281&amp;"'!"&amp;"$"&amp;$D281&amp;$BM$1&amp;"")</f>
        <v>0.84</v>
      </c>
      <c r="BN281" s="281"/>
      <c r="BO281" s="281">
        <v>0.99</v>
      </c>
      <c r="BP281" s="279">
        <v>0.09</v>
      </c>
      <c r="BQ281" s="283" cm="1">
        <f t="array" aca="1" ref="BQ281" ca="1">INDIRECT("'"&amp;$C281&amp;"'!"&amp;"$"&amp;$D281&amp;$BQ$1&amp;"")</f>
        <v>0.67</v>
      </c>
      <c r="BR281" s="281"/>
      <c r="BS281" s="281">
        <v>0.96</v>
      </c>
      <c r="BT281" s="279">
        <v>0.17</v>
      </c>
      <c r="BU281" s="284" cm="1">
        <f t="array" aca="1" ref="BU281" ca="1">INDIRECT("'"&amp;$C281&amp;"'!"&amp;"$"&amp;$D281&amp;74&amp;"")</f>
        <v>0</v>
      </c>
      <c r="BV281" s="281"/>
      <c r="BW281" s="281" t="s">
        <v>1</v>
      </c>
      <c r="BX281" s="279" t="s">
        <v>1</v>
      </c>
    </row>
    <row r="282" spans="1:76">
      <c r="A282" s="459">
        <v>45850</v>
      </c>
      <c r="B282" s="345">
        <v>8.3333333333333301E-2</v>
      </c>
      <c r="C282" s="305">
        <v>12</v>
      </c>
      <c r="D282" s="306" t="s">
        <v>144</v>
      </c>
      <c r="E282" s="285">
        <v>14.2</v>
      </c>
      <c r="F282" s="286">
        <v>70.84</v>
      </c>
      <c r="G282" s="287" t="str" cm="1">
        <f t="array" aca="1" ref="G282" ca="1">INDIRECT("'"&amp;$C282&amp;"'!"&amp;"$"&amp;$D282&amp;$E$1&amp;"")</f>
        <v>CMS</v>
      </c>
      <c r="H282" s="288" t="s">
        <v>1</v>
      </c>
      <c r="I282" s="286" t="s">
        <v>1</v>
      </c>
      <c r="J282" s="287" t="str" cm="1">
        <f t="array" aca="1" ref="J282" ca="1">INDIRECT("'"&amp;$C282&amp;"'!"&amp;"$"&amp;$D282&amp;$J$1&amp;"")</f>
        <v>CMS</v>
      </c>
      <c r="K282" s="288"/>
      <c r="L282" s="288" t="s">
        <v>1</v>
      </c>
      <c r="M282" s="289" t="s">
        <v>1</v>
      </c>
      <c r="N282" s="285" cm="1">
        <f t="array" aca="1" ref="N282" ca="1">INDIRECT("'"&amp;$C282&amp;"'!"&amp;"$"&amp;$D282&amp;$N$1&amp;"")</f>
        <v>6.6</v>
      </c>
      <c r="O282" s="288"/>
      <c r="P282" s="288">
        <v>0.98</v>
      </c>
      <c r="Q282" s="286">
        <v>1.38</v>
      </c>
      <c r="R282" s="285" cm="1">
        <f t="array" aca="1" ref="R282" ca="1">INDIRECT("'"&amp;$C282&amp;"'!"&amp;"$"&amp;$D282&amp;$R$1&amp;"")</f>
        <v>6.6</v>
      </c>
      <c r="S282" s="288"/>
      <c r="T282" s="288">
        <v>0.98</v>
      </c>
      <c r="U282" s="286">
        <v>1.37</v>
      </c>
      <c r="V282" s="287" cm="1">
        <f t="array" aca="1" ref="V282" ca="1">INDIRECT("'"&amp;$C282&amp;"'!"&amp;"$"&amp;$D282&amp;$V$1&amp;"")</f>
        <v>0</v>
      </c>
      <c r="W282" s="288" t="s">
        <v>1</v>
      </c>
      <c r="X282" s="288" t="s">
        <v>1</v>
      </c>
      <c r="Y282" s="289" t="s">
        <v>1</v>
      </c>
      <c r="Z282" s="278" cm="1">
        <f t="array" aca="1" ref="Z282" ca="1">INDIRECT("'"&amp;$C282&amp;"'!"&amp;"$"&amp;$D282&amp;$Z$1&amp;"")</f>
        <v>0</v>
      </c>
      <c r="AA282" s="288" t="s">
        <v>1</v>
      </c>
      <c r="AB282" s="288" t="s">
        <v>1</v>
      </c>
      <c r="AC282" s="286" t="s">
        <v>1</v>
      </c>
      <c r="AD282" s="287" cm="1">
        <f t="array" aca="1" ref="AD282" ca="1">INDIRECT("'"&amp;$C282&amp;"'!"&amp;"$"&amp;$D282&amp;$AD$1&amp;"")</f>
        <v>0</v>
      </c>
      <c r="AE282" s="288" t="s">
        <v>1</v>
      </c>
      <c r="AF282" s="288" t="s">
        <v>1</v>
      </c>
      <c r="AG282" s="289" t="s">
        <v>1</v>
      </c>
      <c r="AH282" s="285" cm="1">
        <f t="array" aca="1" ref="AH282" ca="1">INDIRECT("'"&amp;$C282&amp;"'!"&amp;"$"&amp;$D282&amp;$AH$1&amp;"")</f>
        <v>0</v>
      </c>
      <c r="AI282" s="288" t="s">
        <v>1</v>
      </c>
      <c r="AJ282" s="288" t="s">
        <v>1</v>
      </c>
      <c r="AK282" s="289" t="s">
        <v>1</v>
      </c>
      <c r="AL282" s="285" t="s">
        <v>1</v>
      </c>
      <c r="AM282" s="289">
        <v>70.900000000000006</v>
      </c>
      <c r="AN282" s="285" cm="1">
        <f t="array" aca="1" ref="AN282" ca="1">INDIRECT("'"&amp;$C282&amp;"'!"&amp;"$"&amp;$D282&amp;$AL$1&amp;"")</f>
        <v>0</v>
      </c>
      <c r="AO282" s="288" t="s">
        <v>1</v>
      </c>
      <c r="AP282" s="286" t="s">
        <v>1</v>
      </c>
      <c r="AQ282" s="287" cm="1">
        <f t="array" aca="1" ref="AQ282" ca="1">INDIRECT("'"&amp;$C282&amp;"'!"&amp;"$"&amp;$D282&amp;$AQ$1&amp;"")</f>
        <v>0</v>
      </c>
      <c r="AR282" s="288" t="s">
        <v>1</v>
      </c>
      <c r="AS282" s="286" t="s">
        <v>1</v>
      </c>
      <c r="AT282" s="285">
        <v>13.93</v>
      </c>
      <c r="AU282" s="289">
        <v>70.3</v>
      </c>
      <c r="AV282" s="288" cm="1">
        <f t="array" aca="1" ref="AV282" ca="1">INDIRECT("'"&amp;$C282&amp;"'!"&amp;"$"&amp;$D282&amp;$AV$1&amp;"")</f>
        <v>0</v>
      </c>
      <c r="AW282" s="287" t="s">
        <v>1</v>
      </c>
      <c r="AX282" s="288" t="s">
        <v>1</v>
      </c>
      <c r="AY282" s="286" t="s">
        <v>1</v>
      </c>
      <c r="AZ282" s="288" cm="1">
        <f t="array" aca="1" ref="AZ282" ca="1">INDIRECT("'"&amp;$C282&amp;"'!"&amp;"$"&amp;$D282&amp;$AZ$1&amp;"")</f>
        <v>6.5</v>
      </c>
      <c r="BA282" s="287" t="s">
        <v>1</v>
      </c>
      <c r="BB282" s="288">
        <v>0.99</v>
      </c>
      <c r="BC282" s="286">
        <v>0.94</v>
      </c>
      <c r="BD282" s="290">
        <v>14.08</v>
      </c>
      <c r="BE282" s="289">
        <v>71.66</v>
      </c>
      <c r="BF282" s="290" cm="1">
        <f t="array" aca="1" ref="BF282" ca="1">INDIRECT("'"&amp;$C282&amp;"'!"&amp;"$"&amp;$D282&amp;$BF$1&amp;"")</f>
        <v>14.28</v>
      </c>
      <c r="BG282" s="288">
        <v>1</v>
      </c>
      <c r="BH282" s="286">
        <v>1.2</v>
      </c>
      <c r="BI282" s="525">
        <v>69.400000000000006</v>
      </c>
      <c r="BJ282" s="285" cm="1">
        <f t="array" aca="1" ref="BJ282" ca="1">INDIRECT("'"&amp;$C282&amp;"'!"&amp;"$"&amp;$D282&amp;$BI$1&amp;"")</f>
        <v>0</v>
      </c>
      <c r="BK282" s="287" t="s">
        <v>1</v>
      </c>
      <c r="BL282" s="286" t="s">
        <v>1</v>
      </c>
      <c r="BM282" s="290" cm="1">
        <f t="array" aca="1" ref="BM282" ca="1">INDIRECT("'"&amp;$C282&amp;"'!"&amp;"$"&amp;$D282&amp;$BM$1&amp;"")</f>
        <v>0.83</v>
      </c>
      <c r="BN282" s="288"/>
      <c r="BO282" s="288">
        <v>0.99</v>
      </c>
      <c r="BP282" s="286">
        <v>0.09</v>
      </c>
      <c r="BQ282" s="290" cm="1">
        <f t="array" aca="1" ref="BQ282" ca="1">INDIRECT("'"&amp;$C282&amp;"'!"&amp;"$"&amp;$D282&amp;$BQ$1&amp;"")</f>
        <v>0.65</v>
      </c>
      <c r="BR282" s="288"/>
      <c r="BS282" s="288">
        <v>0.96</v>
      </c>
      <c r="BT282" s="286">
        <v>0.17</v>
      </c>
      <c r="BU282" s="291" cm="1">
        <f t="array" aca="1" ref="BU282" ca="1">INDIRECT("'"&amp;$C282&amp;"'!"&amp;"$"&amp;$D282&amp;74&amp;"")</f>
        <v>0</v>
      </c>
      <c r="BV282" s="288"/>
      <c r="BW282" s="288" t="s">
        <v>1</v>
      </c>
      <c r="BX282" s="286" t="s">
        <v>1</v>
      </c>
    </row>
    <row r="283" spans="1:76">
      <c r="A283" s="459">
        <v>45850</v>
      </c>
      <c r="B283" s="345">
        <v>0.125</v>
      </c>
      <c r="C283" s="305">
        <v>12</v>
      </c>
      <c r="D283" s="306" t="s">
        <v>145</v>
      </c>
      <c r="E283" s="278">
        <v>14.2</v>
      </c>
      <c r="F283" s="279">
        <v>70.75</v>
      </c>
      <c r="G283" s="280" t="str" cm="1">
        <f t="array" aca="1" ref="G283" ca="1">INDIRECT("'"&amp;$C283&amp;"'!"&amp;"$"&amp;$D283&amp;$E$1&amp;"")</f>
        <v>CMS</v>
      </c>
      <c r="H283" s="281" t="s">
        <v>1</v>
      </c>
      <c r="I283" s="279" t="s">
        <v>1</v>
      </c>
      <c r="J283" s="280" t="str" cm="1">
        <f t="array" aca="1" ref="J283" ca="1">INDIRECT("'"&amp;$C283&amp;"'!"&amp;"$"&amp;$D283&amp;$J$1&amp;"")</f>
        <v>CMS</v>
      </c>
      <c r="K283" s="281"/>
      <c r="L283" s="281" t="s">
        <v>1</v>
      </c>
      <c r="M283" s="282" t="s">
        <v>1</v>
      </c>
      <c r="N283" s="278" cm="1">
        <f t="array" aca="1" ref="N283" ca="1">INDIRECT("'"&amp;$C283&amp;"'!"&amp;"$"&amp;$D283&amp;$N$1&amp;"")</f>
        <v>6.6</v>
      </c>
      <c r="O283" s="281"/>
      <c r="P283" s="281">
        <v>0.98</v>
      </c>
      <c r="Q283" s="279">
        <v>1.37</v>
      </c>
      <c r="R283" s="468" cm="1">
        <f t="array" aca="1" ref="R283" ca="1">INDIRECT("'"&amp;$C283&amp;"'!"&amp;"$"&amp;$D283&amp;$R$1&amp;"")</f>
        <v>6.6</v>
      </c>
      <c r="S283" s="281"/>
      <c r="T283" s="281">
        <v>0.98</v>
      </c>
      <c r="U283" s="279">
        <v>1.35</v>
      </c>
      <c r="V283" s="280" cm="1">
        <f t="array" aca="1" ref="V283" ca="1">INDIRECT("'"&amp;$C283&amp;"'!"&amp;"$"&amp;$D283&amp;$V$1&amp;"")</f>
        <v>0</v>
      </c>
      <c r="W283" s="281" t="s">
        <v>1</v>
      </c>
      <c r="X283" s="281" t="s">
        <v>1</v>
      </c>
      <c r="Y283" s="282" t="s">
        <v>1</v>
      </c>
      <c r="Z283" s="278" cm="1">
        <f t="array" aca="1" ref="Z283" ca="1">INDIRECT("'"&amp;$C283&amp;"'!"&amp;"$"&amp;$D283&amp;$Z$1&amp;"")</f>
        <v>0</v>
      </c>
      <c r="AA283" s="281" t="s">
        <v>1</v>
      </c>
      <c r="AB283" s="281" t="s">
        <v>1</v>
      </c>
      <c r="AC283" s="279" t="s">
        <v>1</v>
      </c>
      <c r="AD283" s="280" cm="1">
        <f t="array" aca="1" ref="AD283" ca="1">INDIRECT("'"&amp;$C283&amp;"'!"&amp;"$"&amp;$D283&amp;$AD$1&amp;"")</f>
        <v>0</v>
      </c>
      <c r="AE283" s="281" t="s">
        <v>1</v>
      </c>
      <c r="AF283" s="281" t="s">
        <v>1</v>
      </c>
      <c r="AG283" s="282" t="s">
        <v>1</v>
      </c>
      <c r="AH283" s="278" cm="1">
        <f t="array" aca="1" ref="AH283" ca="1">INDIRECT("'"&amp;$C283&amp;"'!"&amp;"$"&amp;$D283&amp;$AH$1&amp;"")</f>
        <v>0</v>
      </c>
      <c r="AI283" s="281" t="s">
        <v>1</v>
      </c>
      <c r="AJ283" s="281" t="s">
        <v>1</v>
      </c>
      <c r="AK283" s="279" t="s">
        <v>1</v>
      </c>
      <c r="AL283" s="278" t="s">
        <v>1</v>
      </c>
      <c r="AM283" s="282">
        <v>70.75</v>
      </c>
      <c r="AN283" s="278" cm="1">
        <f t="array" aca="1" ref="AN283" ca="1">INDIRECT("'"&amp;$C283&amp;"'!"&amp;"$"&amp;$D283&amp;$AL$1&amp;"")</f>
        <v>0</v>
      </c>
      <c r="AO283" s="281" t="s">
        <v>1</v>
      </c>
      <c r="AP283" s="279" t="s">
        <v>1</v>
      </c>
      <c r="AQ283" s="280" cm="1">
        <f t="array" aca="1" ref="AQ283" ca="1">INDIRECT("'"&amp;$C283&amp;"'!"&amp;"$"&amp;$D283&amp;$AQ$1&amp;"")</f>
        <v>0</v>
      </c>
      <c r="AR283" s="281" t="s">
        <v>1</v>
      </c>
      <c r="AS283" s="279" t="s">
        <v>1</v>
      </c>
      <c r="AT283" s="278">
        <v>13.88</v>
      </c>
      <c r="AU283" s="282">
        <v>70.2</v>
      </c>
      <c r="AV283" s="281" cm="1">
        <f t="array" aca="1" ref="AV283" ca="1">INDIRECT("'"&amp;$C283&amp;"'!"&amp;"$"&amp;$D283&amp;$AV$1&amp;"")</f>
        <v>0</v>
      </c>
      <c r="AW283" s="280" t="s">
        <v>1</v>
      </c>
      <c r="AX283" s="281" t="s">
        <v>1</v>
      </c>
      <c r="AY283" s="279" t="s">
        <v>1</v>
      </c>
      <c r="AZ283" s="281" cm="1">
        <f t="array" aca="1" ref="AZ283" ca="1">INDIRECT("'"&amp;$C283&amp;"'!"&amp;"$"&amp;$D283&amp;$AZ$1&amp;"")</f>
        <v>5.5</v>
      </c>
      <c r="BA283" s="280" t="s">
        <v>1</v>
      </c>
      <c r="BB283" s="281">
        <v>0.98</v>
      </c>
      <c r="BC283" s="279">
        <v>0.98</v>
      </c>
      <c r="BD283" s="283">
        <v>14.04</v>
      </c>
      <c r="BE283" s="282">
        <v>71.569999999999993</v>
      </c>
      <c r="BF283" s="283" cm="1">
        <f t="array" aca="1" ref="BF283" ca="1">INDIRECT("'"&amp;$C283&amp;"'!"&amp;"$"&amp;$D283&amp;$BF$1&amp;"")</f>
        <v>14.31</v>
      </c>
      <c r="BG283" s="281">
        <v>1</v>
      </c>
      <c r="BH283" s="279">
        <v>1.3</v>
      </c>
      <c r="BI283" s="524">
        <v>69.5</v>
      </c>
      <c r="BJ283" s="278" cm="1">
        <f t="array" aca="1" ref="BJ283" ca="1">INDIRECT("'"&amp;$C283&amp;"'!"&amp;"$"&amp;$D283&amp;$BI$1&amp;"")</f>
        <v>0</v>
      </c>
      <c r="BK283" s="280" t="s">
        <v>1</v>
      </c>
      <c r="BL283" s="279" t="s">
        <v>1</v>
      </c>
      <c r="BM283" s="283" cm="1">
        <f t="array" aca="1" ref="BM283" ca="1">INDIRECT("'"&amp;$C283&amp;"'!"&amp;"$"&amp;$D283&amp;$BM$1&amp;"")</f>
        <v>0.8</v>
      </c>
      <c r="BN283" s="281"/>
      <c r="BO283" s="281">
        <v>0.99</v>
      </c>
      <c r="BP283" s="279">
        <v>0.09</v>
      </c>
      <c r="BQ283" s="283" cm="1">
        <f t="array" aca="1" ref="BQ283" ca="1">INDIRECT("'"&amp;$C283&amp;"'!"&amp;"$"&amp;$D283&amp;$BQ$1&amp;"")</f>
        <v>0.64</v>
      </c>
      <c r="BR283" s="281"/>
      <c r="BS283" s="281">
        <v>0.97</v>
      </c>
      <c r="BT283" s="279">
        <v>0.16</v>
      </c>
      <c r="BU283" s="284" cm="1">
        <f t="array" aca="1" ref="BU283" ca="1">INDIRECT("'"&amp;$C283&amp;"'!"&amp;"$"&amp;$D283&amp;74&amp;"")</f>
        <v>0</v>
      </c>
      <c r="BV283" s="281"/>
      <c r="BW283" s="281" t="s">
        <v>1</v>
      </c>
      <c r="BX283" s="279" t="s">
        <v>1</v>
      </c>
    </row>
    <row r="284" spans="1:76">
      <c r="A284" s="459">
        <v>45850</v>
      </c>
      <c r="B284" s="345">
        <v>0.16666666666666699</v>
      </c>
      <c r="C284" s="305">
        <v>12</v>
      </c>
      <c r="D284" s="306" t="s">
        <v>146</v>
      </c>
      <c r="E284" s="285">
        <v>14.2</v>
      </c>
      <c r="F284" s="286">
        <v>70.69</v>
      </c>
      <c r="G284" s="287" t="str" cm="1">
        <f t="array" aca="1" ref="G284" ca="1">INDIRECT("'"&amp;$C284&amp;"'!"&amp;"$"&amp;$D284&amp;$E$1&amp;"")</f>
        <v>CMS</v>
      </c>
      <c r="H284" s="288" t="s">
        <v>1</v>
      </c>
      <c r="I284" s="286" t="s">
        <v>1</v>
      </c>
      <c r="J284" s="287" cm="1">
        <f t="array" aca="1" ref="J284" ca="1">INDIRECT("'"&amp;$C284&amp;"'!"&amp;"$"&amp;$D284&amp;$J$1&amp;"")</f>
        <v>6.5</v>
      </c>
      <c r="K284" s="288"/>
      <c r="L284" s="288">
        <v>0.98</v>
      </c>
      <c r="M284" s="289">
        <v>1.32</v>
      </c>
      <c r="N284" s="285" cm="1">
        <f t="array" aca="1" ref="N284" ca="1">INDIRECT("'"&amp;$C284&amp;"'!"&amp;"$"&amp;$D284&amp;$N$1&amp;"")</f>
        <v>0</v>
      </c>
      <c r="O284" s="288"/>
      <c r="P284" s="288" t="s">
        <v>1</v>
      </c>
      <c r="Q284" s="286" t="s">
        <v>1</v>
      </c>
      <c r="R284" s="285" cm="1">
        <f t="array" aca="1" ref="R284" ca="1">INDIRECT("'"&amp;$C284&amp;"'!"&amp;"$"&amp;$D284&amp;$R$1&amp;"")</f>
        <v>6.6</v>
      </c>
      <c r="S284" s="288"/>
      <c r="T284" s="288">
        <v>0.98</v>
      </c>
      <c r="U284" s="286">
        <v>1.38</v>
      </c>
      <c r="V284" s="287" cm="1">
        <f t="array" aca="1" ref="V284" ca="1">INDIRECT("'"&amp;$C284&amp;"'!"&amp;"$"&amp;$D284&amp;$V$1&amp;"")</f>
        <v>0</v>
      </c>
      <c r="W284" s="288" t="s">
        <v>1</v>
      </c>
      <c r="X284" s="288" t="s">
        <v>1</v>
      </c>
      <c r="Y284" s="289" t="s">
        <v>1</v>
      </c>
      <c r="Z284" s="285" cm="1">
        <f t="array" aca="1" ref="Z284" ca="1">INDIRECT("'"&amp;$C284&amp;"'!"&amp;"$"&amp;$D284&amp;$Z$1&amp;"")</f>
        <v>0</v>
      </c>
      <c r="AA284" s="288" t="s">
        <v>1</v>
      </c>
      <c r="AB284" s="288" t="s">
        <v>1</v>
      </c>
      <c r="AC284" s="286" t="s">
        <v>1</v>
      </c>
      <c r="AD284" s="287" cm="1">
        <f t="array" aca="1" ref="AD284" ca="1">INDIRECT("'"&amp;$C284&amp;"'!"&amp;"$"&amp;$D284&amp;$AD$1&amp;"")</f>
        <v>0</v>
      </c>
      <c r="AE284" s="288" t="s">
        <v>1</v>
      </c>
      <c r="AF284" s="288" t="s">
        <v>1</v>
      </c>
      <c r="AG284" s="289" t="s">
        <v>1</v>
      </c>
      <c r="AH284" s="285" cm="1">
        <f t="array" aca="1" ref="AH284" ca="1">INDIRECT("'"&amp;$C284&amp;"'!"&amp;"$"&amp;$D284&amp;$AH$1&amp;"")</f>
        <v>0</v>
      </c>
      <c r="AI284" s="288" t="s">
        <v>1</v>
      </c>
      <c r="AJ284" s="288" t="s">
        <v>1</v>
      </c>
      <c r="AK284" s="289" t="s">
        <v>1</v>
      </c>
      <c r="AL284" s="285" t="s">
        <v>1</v>
      </c>
      <c r="AM284" s="289">
        <v>70.8</v>
      </c>
      <c r="AN284" s="285" cm="1">
        <f t="array" aca="1" ref="AN284" ca="1">INDIRECT("'"&amp;$C284&amp;"'!"&amp;"$"&amp;$D284&amp;$AL$1&amp;"")</f>
        <v>0</v>
      </c>
      <c r="AO284" s="288" t="s">
        <v>1</v>
      </c>
      <c r="AP284" s="286" t="s">
        <v>1</v>
      </c>
      <c r="AQ284" s="287" cm="1">
        <f t="array" aca="1" ref="AQ284" ca="1">INDIRECT("'"&amp;$C284&amp;"'!"&amp;"$"&amp;$D284&amp;$AQ$1&amp;"")</f>
        <v>0</v>
      </c>
      <c r="AR284" s="288" t="s">
        <v>1</v>
      </c>
      <c r="AS284" s="286" t="s">
        <v>1</v>
      </c>
      <c r="AT284" s="285">
        <v>13.88</v>
      </c>
      <c r="AU284" s="289">
        <v>70.2</v>
      </c>
      <c r="AV284" s="288" cm="1">
        <f t="array" aca="1" ref="AV284" ca="1">INDIRECT("'"&amp;$C284&amp;"'!"&amp;"$"&amp;$D284&amp;$AV$1&amp;"")</f>
        <v>0</v>
      </c>
      <c r="AW284" s="287" t="s">
        <v>1</v>
      </c>
      <c r="AX284" s="288" t="s">
        <v>1</v>
      </c>
      <c r="AY284" s="286" t="s">
        <v>1</v>
      </c>
      <c r="AZ284" s="288" cm="1">
        <f t="array" aca="1" ref="AZ284" ca="1">INDIRECT("'"&amp;$C284&amp;"'!"&amp;"$"&amp;$D284&amp;$AZ$1&amp;"")</f>
        <v>5</v>
      </c>
      <c r="BA284" s="287" t="s">
        <v>1</v>
      </c>
      <c r="BB284" s="288">
        <v>0.98</v>
      </c>
      <c r="BC284" s="286">
        <v>1</v>
      </c>
      <c r="BD284" s="290">
        <v>14.04</v>
      </c>
      <c r="BE284" s="289">
        <v>71.319999999999993</v>
      </c>
      <c r="BF284" s="290" cm="1">
        <f t="array" aca="1" ref="BF284" ca="1">INDIRECT("'"&amp;$C284&amp;"'!"&amp;"$"&amp;$D284&amp;$BF$1&amp;"")</f>
        <v>14.32</v>
      </c>
      <c r="BG284" s="288">
        <v>1</v>
      </c>
      <c r="BH284" s="286">
        <v>1.3</v>
      </c>
      <c r="BI284" s="525">
        <v>69.400000000000006</v>
      </c>
      <c r="BJ284" s="285" cm="1">
        <f t="array" aca="1" ref="BJ284" ca="1">INDIRECT("'"&amp;$C284&amp;"'!"&amp;"$"&amp;$D284&amp;$BI$1&amp;"")</f>
        <v>0</v>
      </c>
      <c r="BK284" s="287" t="s">
        <v>1</v>
      </c>
      <c r="BL284" s="286" t="s">
        <v>1</v>
      </c>
      <c r="BM284" s="290" cm="1">
        <f t="array" aca="1" ref="BM284" ca="1">INDIRECT("'"&amp;$C284&amp;"'!"&amp;"$"&amp;$D284&amp;$BM$1&amp;"")</f>
        <v>0.79</v>
      </c>
      <c r="BN284" s="288"/>
      <c r="BO284" s="288">
        <v>0.99</v>
      </c>
      <c r="BP284" s="286">
        <v>0.08</v>
      </c>
      <c r="BQ284" s="290" cm="1">
        <f t="array" aca="1" ref="BQ284" ca="1">INDIRECT("'"&amp;$C284&amp;"'!"&amp;"$"&amp;$D284&amp;$BQ$1&amp;"")</f>
        <v>0.63</v>
      </c>
      <c r="BR284" s="288"/>
      <c r="BS284" s="288">
        <v>0.97</v>
      </c>
      <c r="BT284" s="286">
        <v>0.16</v>
      </c>
      <c r="BU284" s="291" cm="1">
        <f t="array" aca="1" ref="BU284" ca="1">INDIRECT("'"&amp;$C284&amp;"'!"&amp;"$"&amp;$D284&amp;74&amp;"")</f>
        <v>0</v>
      </c>
      <c r="BV284" s="288"/>
      <c r="BW284" s="288" t="s">
        <v>1</v>
      </c>
      <c r="BX284" s="286" t="s">
        <v>1</v>
      </c>
    </row>
    <row r="285" spans="1:76">
      <c r="A285" s="459">
        <v>45850</v>
      </c>
      <c r="B285" s="345">
        <v>0.20833333333333301</v>
      </c>
      <c r="C285" s="305">
        <v>12</v>
      </c>
      <c r="D285" s="306" t="s">
        <v>147</v>
      </c>
      <c r="E285" s="278">
        <v>14.1</v>
      </c>
      <c r="F285" s="279">
        <v>70.3</v>
      </c>
      <c r="G285" s="280" t="str" cm="1">
        <f t="array" aca="1" ref="G285" ca="1">INDIRECT("'"&amp;$C285&amp;"'!"&amp;"$"&amp;$D285&amp;$E$1&amp;"")</f>
        <v>CMS</v>
      </c>
      <c r="H285" s="281" t="s">
        <v>1</v>
      </c>
      <c r="I285" s="279" t="s">
        <v>1</v>
      </c>
      <c r="J285" s="280" cm="1">
        <f t="array" aca="1" ref="J285" ca="1">INDIRECT("'"&amp;$C285&amp;"'!"&amp;"$"&amp;$D285&amp;$J$1&amp;"")</f>
        <v>6.6</v>
      </c>
      <c r="K285" s="281"/>
      <c r="L285" s="281">
        <v>0.98</v>
      </c>
      <c r="M285" s="282">
        <v>1.4</v>
      </c>
      <c r="N285" s="278" cm="1">
        <f t="array" aca="1" ref="N285" ca="1">INDIRECT("'"&amp;$C285&amp;"'!"&amp;"$"&amp;$D285&amp;$N$1&amp;"")</f>
        <v>0</v>
      </c>
      <c r="O285" s="281"/>
      <c r="P285" s="281" t="s">
        <v>1</v>
      </c>
      <c r="Q285" s="279" t="s">
        <v>1</v>
      </c>
      <c r="R285" s="468" cm="1">
        <f t="array" aca="1" ref="R285" ca="1">INDIRECT("'"&amp;$C285&amp;"'!"&amp;"$"&amp;$D285&amp;$R$1&amp;"")</f>
        <v>6.6</v>
      </c>
      <c r="S285" s="281"/>
      <c r="T285" s="281">
        <v>0.96</v>
      </c>
      <c r="U285" s="279">
        <v>1.86</v>
      </c>
      <c r="V285" s="280" cm="1">
        <f t="array" aca="1" ref="V285" ca="1">INDIRECT("'"&amp;$C285&amp;"'!"&amp;"$"&amp;$D285&amp;$V$1&amp;"")</f>
        <v>0</v>
      </c>
      <c r="W285" s="281" t="s">
        <v>1</v>
      </c>
      <c r="X285" s="281" t="s">
        <v>1</v>
      </c>
      <c r="Y285" s="282" t="s">
        <v>1</v>
      </c>
      <c r="Z285" s="278" cm="1">
        <f t="array" aca="1" ref="Z285" ca="1">INDIRECT("'"&amp;$C285&amp;"'!"&amp;"$"&amp;$D285&amp;$Z$1&amp;"")</f>
        <v>0</v>
      </c>
      <c r="AA285" s="281" t="s">
        <v>1</v>
      </c>
      <c r="AB285" s="281" t="s">
        <v>1</v>
      </c>
      <c r="AC285" s="279" t="s">
        <v>1</v>
      </c>
      <c r="AD285" s="280" cm="1">
        <f t="array" aca="1" ref="AD285" ca="1">INDIRECT("'"&amp;$C285&amp;"'!"&amp;"$"&amp;$D285&amp;$AD$1&amp;"")</f>
        <v>0</v>
      </c>
      <c r="AE285" s="281" t="s">
        <v>1</v>
      </c>
      <c r="AF285" s="281" t="s">
        <v>1</v>
      </c>
      <c r="AG285" s="282" t="s">
        <v>1</v>
      </c>
      <c r="AH285" s="278" cm="1">
        <f t="array" aca="1" ref="AH285" ca="1">INDIRECT("'"&amp;$C285&amp;"'!"&amp;"$"&amp;$D285&amp;$AH$1&amp;"")</f>
        <v>0</v>
      </c>
      <c r="AI285" s="281" t="s">
        <v>1</v>
      </c>
      <c r="AJ285" s="281" t="s">
        <v>1</v>
      </c>
      <c r="AK285" s="279" t="s">
        <v>1</v>
      </c>
      <c r="AL285" s="278" t="s">
        <v>1</v>
      </c>
      <c r="AM285" s="282">
        <v>70.61</v>
      </c>
      <c r="AN285" s="278" cm="1">
        <f t="array" aca="1" ref="AN285" ca="1">INDIRECT("'"&amp;$C285&amp;"'!"&amp;"$"&amp;$D285&amp;$AL$1&amp;"")</f>
        <v>0</v>
      </c>
      <c r="AO285" s="281" t="s">
        <v>1</v>
      </c>
      <c r="AP285" s="279" t="s">
        <v>1</v>
      </c>
      <c r="AQ285" s="280" cm="1">
        <f t="array" aca="1" ref="AQ285" ca="1">INDIRECT("'"&amp;$C285&amp;"'!"&amp;"$"&amp;$D285&amp;$AQ$1&amp;"")</f>
        <v>0</v>
      </c>
      <c r="AR285" s="281" t="s">
        <v>1</v>
      </c>
      <c r="AS285" s="279" t="s">
        <v>1</v>
      </c>
      <c r="AT285" s="278">
        <v>13.86</v>
      </c>
      <c r="AU285" s="282">
        <v>70.3</v>
      </c>
      <c r="AV285" s="281" cm="1">
        <f t="array" aca="1" ref="AV285" ca="1">INDIRECT("'"&amp;$C285&amp;"'!"&amp;"$"&amp;$D285&amp;$AV$1&amp;"")</f>
        <v>0</v>
      </c>
      <c r="AW285" s="280" t="s">
        <v>1</v>
      </c>
      <c r="AX285" s="281" t="s">
        <v>1</v>
      </c>
      <c r="AY285" s="279" t="s">
        <v>1</v>
      </c>
      <c r="AZ285" s="281" cm="1">
        <f t="array" aca="1" ref="AZ285" ca="1">INDIRECT("'"&amp;$C285&amp;"'!"&amp;"$"&amp;$D285&amp;$AZ$1&amp;"")</f>
        <v>5.5</v>
      </c>
      <c r="BA285" s="280" t="s">
        <v>1</v>
      </c>
      <c r="BB285" s="281">
        <v>0.97</v>
      </c>
      <c r="BC285" s="279">
        <v>1.3</v>
      </c>
      <c r="BD285" s="283">
        <v>13.98</v>
      </c>
      <c r="BE285" s="282">
        <v>71.180000000000007</v>
      </c>
      <c r="BF285" s="283" cm="1">
        <f t="array" aca="1" ref="BF285" ca="1">INDIRECT("'"&amp;$C285&amp;"'!"&amp;"$"&amp;$D285&amp;$BF$1&amp;"")</f>
        <v>14.26</v>
      </c>
      <c r="BG285" s="281">
        <v>1</v>
      </c>
      <c r="BH285" s="279">
        <v>1.21</v>
      </c>
      <c r="BI285" s="524">
        <v>69.2</v>
      </c>
      <c r="BJ285" s="278" cm="1">
        <f t="array" aca="1" ref="BJ285" ca="1">INDIRECT("'"&amp;$C285&amp;"'!"&amp;"$"&amp;$D285&amp;$BI$1&amp;"")</f>
        <v>0</v>
      </c>
      <c r="BK285" s="280" t="s">
        <v>1</v>
      </c>
      <c r="BL285" s="279" t="s">
        <v>1</v>
      </c>
      <c r="BM285" s="283" cm="1">
        <f t="array" aca="1" ref="BM285" ca="1">INDIRECT("'"&amp;$C285&amp;"'!"&amp;"$"&amp;$D285&amp;$BM$1&amp;"")</f>
        <v>0.82</v>
      </c>
      <c r="BN285" s="281"/>
      <c r="BO285" s="281">
        <v>0.99</v>
      </c>
      <c r="BP285" s="279">
        <v>0.08</v>
      </c>
      <c r="BQ285" s="283" cm="1">
        <f t="array" aca="1" ref="BQ285" ca="1">INDIRECT("'"&amp;$C285&amp;"'!"&amp;"$"&amp;$D285&amp;$BQ$1&amp;"")</f>
        <v>0.64</v>
      </c>
      <c r="BR285" s="281"/>
      <c r="BS285" s="281">
        <v>0.97</v>
      </c>
      <c r="BT285" s="279">
        <v>0.15</v>
      </c>
      <c r="BU285" s="284" cm="1">
        <f t="array" aca="1" ref="BU285" ca="1">INDIRECT("'"&amp;$C285&amp;"'!"&amp;"$"&amp;$D285&amp;74&amp;"")</f>
        <v>0</v>
      </c>
      <c r="BV285" s="281"/>
      <c r="BW285" s="281" t="s">
        <v>1</v>
      </c>
      <c r="BX285" s="279" t="s">
        <v>1</v>
      </c>
    </row>
    <row r="286" spans="1:76">
      <c r="A286" s="459">
        <v>45850</v>
      </c>
      <c r="B286" s="345">
        <v>0.25</v>
      </c>
      <c r="C286" s="305">
        <v>12</v>
      </c>
      <c r="D286" s="306" t="s">
        <v>148</v>
      </c>
      <c r="E286" s="285">
        <v>14.1</v>
      </c>
      <c r="F286" s="286">
        <v>70.349999999999994</v>
      </c>
      <c r="G286" s="287" t="str" cm="1">
        <f t="array" aca="1" ref="G286" ca="1">INDIRECT("'"&amp;$C286&amp;"'!"&amp;"$"&amp;$D286&amp;$E$1&amp;"")</f>
        <v>CMS</v>
      </c>
      <c r="H286" s="288" t="s">
        <v>1</v>
      </c>
      <c r="I286" s="286" t="s">
        <v>1</v>
      </c>
      <c r="J286" s="287" cm="1">
        <f t="array" aca="1" ref="J286" ca="1">INDIRECT("'"&amp;$C286&amp;"'!"&amp;"$"&amp;$D286&amp;$J$1&amp;"")</f>
        <v>6.7</v>
      </c>
      <c r="K286" s="288"/>
      <c r="L286" s="288">
        <v>0.98</v>
      </c>
      <c r="M286" s="286">
        <v>1.4</v>
      </c>
      <c r="N286" s="285" cm="1">
        <f t="array" aca="1" ref="N286" ca="1">INDIRECT("'"&amp;$C286&amp;"'!"&amp;"$"&amp;$D286&amp;$N$1&amp;"")</f>
        <v>0</v>
      </c>
      <c r="O286" s="288"/>
      <c r="P286" s="288" t="s">
        <v>1</v>
      </c>
      <c r="Q286" s="286" t="s">
        <v>1</v>
      </c>
      <c r="R286" s="285" cm="1">
        <f t="array" aca="1" ref="R286" ca="1">INDIRECT("'"&amp;$C286&amp;"'!"&amp;"$"&amp;$D286&amp;$R$1&amp;"")</f>
        <v>6.9</v>
      </c>
      <c r="S286" s="288"/>
      <c r="T286" s="288">
        <v>0.97</v>
      </c>
      <c r="U286" s="286">
        <v>1.7</v>
      </c>
      <c r="V286" s="287" cm="1">
        <f t="array" aca="1" ref="V286" ca="1">INDIRECT("'"&amp;$C286&amp;"'!"&amp;"$"&amp;$D286&amp;$V$1&amp;"")</f>
        <v>0</v>
      </c>
      <c r="W286" s="288" t="s">
        <v>1</v>
      </c>
      <c r="X286" s="288" t="s">
        <v>1</v>
      </c>
      <c r="Y286" s="289" t="s">
        <v>1</v>
      </c>
      <c r="Z286" s="285" cm="1">
        <f t="array" aca="1" ref="Z286" ca="1">INDIRECT("'"&amp;$C286&amp;"'!"&amp;"$"&amp;$D286&amp;$Z$1&amp;"")</f>
        <v>0</v>
      </c>
      <c r="AA286" s="288" t="s">
        <v>1</v>
      </c>
      <c r="AB286" s="288" t="s">
        <v>1</v>
      </c>
      <c r="AC286" s="286" t="s">
        <v>1</v>
      </c>
      <c r="AD286" s="287" cm="1">
        <f t="array" aca="1" ref="AD286" ca="1">INDIRECT("'"&amp;$C286&amp;"'!"&amp;"$"&amp;$D286&amp;$AD$1&amp;"")</f>
        <v>0</v>
      </c>
      <c r="AE286" s="288" t="s">
        <v>1</v>
      </c>
      <c r="AF286" s="288" t="s">
        <v>1</v>
      </c>
      <c r="AG286" s="289" t="s">
        <v>1</v>
      </c>
      <c r="AH286" s="285" cm="1">
        <f t="array" aca="1" ref="AH286" ca="1">INDIRECT("'"&amp;$C286&amp;"'!"&amp;"$"&amp;$D286&amp;$AH$1&amp;"")</f>
        <v>0</v>
      </c>
      <c r="AI286" s="288" t="s">
        <v>1</v>
      </c>
      <c r="AJ286" s="288" t="s">
        <v>1</v>
      </c>
      <c r="AK286" s="289" t="s">
        <v>1</v>
      </c>
      <c r="AL286" s="285" t="s">
        <v>1</v>
      </c>
      <c r="AM286" s="289">
        <v>70.400000000000006</v>
      </c>
      <c r="AN286" s="285" cm="1">
        <f t="array" aca="1" ref="AN286" ca="1">INDIRECT("'"&amp;$C286&amp;"'!"&amp;"$"&amp;$D286&amp;$AL$1&amp;"")</f>
        <v>0</v>
      </c>
      <c r="AO286" s="288" t="s">
        <v>1</v>
      </c>
      <c r="AP286" s="286" t="s">
        <v>1</v>
      </c>
      <c r="AQ286" s="287" cm="1">
        <f t="array" aca="1" ref="AQ286" ca="1">INDIRECT("'"&amp;$C286&amp;"'!"&amp;"$"&amp;$D286&amp;$AQ$1&amp;"")</f>
        <v>0</v>
      </c>
      <c r="AR286" s="288" t="s">
        <v>1</v>
      </c>
      <c r="AS286" s="286" t="s">
        <v>1</v>
      </c>
      <c r="AT286" s="285">
        <v>13.86</v>
      </c>
      <c r="AU286" s="289">
        <v>70.099999999999994</v>
      </c>
      <c r="AV286" s="288" cm="1">
        <f t="array" aca="1" ref="AV286" ca="1">INDIRECT("'"&amp;$C286&amp;"'!"&amp;"$"&amp;$D286&amp;$AV$1&amp;"")</f>
        <v>0</v>
      </c>
      <c r="AW286" s="287" t="s">
        <v>1</v>
      </c>
      <c r="AX286" s="288" t="s">
        <v>1</v>
      </c>
      <c r="AY286" s="286" t="s">
        <v>1</v>
      </c>
      <c r="AZ286" s="288" cm="1">
        <f t="array" aca="1" ref="AZ286" ca="1">INDIRECT("'"&amp;$C286&amp;"'!"&amp;"$"&amp;$D286&amp;$AZ$1&amp;"")</f>
        <v>7.2</v>
      </c>
      <c r="BA286" s="287" t="s">
        <v>1</v>
      </c>
      <c r="BB286" s="288">
        <v>0.97</v>
      </c>
      <c r="BC286" s="286">
        <v>1.8</v>
      </c>
      <c r="BD286" s="290">
        <v>13.93</v>
      </c>
      <c r="BE286" s="289">
        <v>71.010000000000005</v>
      </c>
      <c r="BF286" s="290" cm="1">
        <f t="array" aca="1" ref="BF286" ca="1">INDIRECT("'"&amp;$C286&amp;"'!"&amp;"$"&amp;$D286&amp;$BF$1&amp;"")</f>
        <v>14.3</v>
      </c>
      <c r="BG286" s="288">
        <v>1</v>
      </c>
      <c r="BH286" s="286">
        <v>1.2</v>
      </c>
      <c r="BI286" s="525">
        <v>68.900000000000006</v>
      </c>
      <c r="BJ286" s="285" cm="1">
        <f t="array" aca="1" ref="BJ286" ca="1">INDIRECT("'"&amp;$C286&amp;"'!"&amp;"$"&amp;$D286&amp;$BI$1&amp;"")</f>
        <v>0</v>
      </c>
      <c r="BK286" s="287" t="s">
        <v>1</v>
      </c>
      <c r="BL286" s="286" t="s">
        <v>1</v>
      </c>
      <c r="BM286" s="290" cm="1">
        <f t="array" aca="1" ref="BM286" ca="1">INDIRECT("'"&amp;$C286&amp;"'!"&amp;"$"&amp;$D286&amp;$BM$1&amp;"")</f>
        <v>0.9</v>
      </c>
      <c r="BN286" s="288"/>
      <c r="BO286" s="288">
        <v>0.99</v>
      </c>
      <c r="BP286" s="286">
        <v>0.11</v>
      </c>
      <c r="BQ286" s="290" cm="1">
        <f t="array" aca="1" ref="BQ286" ca="1">INDIRECT("'"&amp;$C286&amp;"'!"&amp;"$"&amp;$D286&amp;$BQ$1&amp;"")</f>
        <v>0.68</v>
      </c>
      <c r="BR286" s="288"/>
      <c r="BS286" s="288">
        <v>0.97</v>
      </c>
      <c r="BT286" s="286">
        <v>0.16</v>
      </c>
      <c r="BU286" s="291" cm="1">
        <f t="array" aca="1" ref="BU286" ca="1">INDIRECT("'"&amp;$C286&amp;"'!"&amp;"$"&amp;$D286&amp;74&amp;"")</f>
        <v>0</v>
      </c>
      <c r="BV286" s="288"/>
      <c r="BW286" s="288" t="s">
        <v>1</v>
      </c>
      <c r="BX286" s="286" t="s">
        <v>1</v>
      </c>
    </row>
    <row r="287" spans="1:76">
      <c r="A287" s="459">
        <v>45850</v>
      </c>
      <c r="B287" s="345">
        <v>0.29166666666666702</v>
      </c>
      <c r="C287" s="305">
        <v>12</v>
      </c>
      <c r="D287" s="306" t="s">
        <v>149</v>
      </c>
      <c r="E287" s="278">
        <v>14</v>
      </c>
      <c r="F287" s="279">
        <v>69.92</v>
      </c>
      <c r="G287" s="280" t="str" cm="1">
        <f t="array" aca="1" ref="G287" ca="1">INDIRECT("'"&amp;$C287&amp;"'!"&amp;"$"&amp;$D287&amp;$E$1&amp;"")</f>
        <v>CMS</v>
      </c>
      <c r="H287" s="281" t="s">
        <v>1</v>
      </c>
      <c r="I287" s="279" t="s">
        <v>1</v>
      </c>
      <c r="J287" s="280" cm="1">
        <f t="array" aca="1" ref="J287" ca="1">INDIRECT("'"&amp;$C287&amp;"'!"&amp;"$"&amp;$D287&amp;$J$1&amp;"")</f>
        <v>6.7</v>
      </c>
      <c r="K287" s="281"/>
      <c r="L287" s="281">
        <v>0.96</v>
      </c>
      <c r="M287" s="282">
        <v>1.91</v>
      </c>
      <c r="N287" s="278" cm="1">
        <f t="array" aca="1" ref="N287" ca="1">INDIRECT("'"&amp;$C287&amp;"'!"&amp;"$"&amp;$D287&amp;$N$1&amp;"")</f>
        <v>0</v>
      </c>
      <c r="O287" s="281"/>
      <c r="P287" s="281" t="s">
        <v>1</v>
      </c>
      <c r="Q287" s="279" t="s">
        <v>1</v>
      </c>
      <c r="R287" s="468" cm="1">
        <f t="array" aca="1" ref="R287" ca="1">INDIRECT("'"&amp;$C287&amp;"'!"&amp;"$"&amp;$D287&amp;$R$1&amp;"")</f>
        <v>6.7</v>
      </c>
      <c r="S287" s="281"/>
      <c r="T287" s="281">
        <v>0.96</v>
      </c>
      <c r="U287" s="279">
        <v>1.93</v>
      </c>
      <c r="V287" s="280" cm="1">
        <f t="array" aca="1" ref="V287" ca="1">INDIRECT("'"&amp;$C287&amp;"'!"&amp;"$"&amp;$D287&amp;$V$1&amp;"")</f>
        <v>0</v>
      </c>
      <c r="W287" s="281" t="s">
        <v>1</v>
      </c>
      <c r="X287" s="281" t="s">
        <v>1</v>
      </c>
      <c r="Y287" s="282" t="s">
        <v>1</v>
      </c>
      <c r="Z287" s="278" cm="1">
        <f t="array" aca="1" ref="Z287" ca="1">INDIRECT("'"&amp;$C287&amp;"'!"&amp;"$"&amp;$D287&amp;$Z$1&amp;"")</f>
        <v>0</v>
      </c>
      <c r="AA287" s="281" t="s">
        <v>1</v>
      </c>
      <c r="AB287" s="281" t="s">
        <v>1</v>
      </c>
      <c r="AC287" s="279" t="s">
        <v>1</v>
      </c>
      <c r="AD287" s="280" cm="1">
        <f t="array" aca="1" ref="AD287" ca="1">INDIRECT("'"&amp;$C287&amp;"'!"&amp;"$"&amp;$D287&amp;$AD$1&amp;"")</f>
        <v>0</v>
      </c>
      <c r="AE287" s="281" t="s">
        <v>1</v>
      </c>
      <c r="AF287" s="281" t="s">
        <v>1</v>
      </c>
      <c r="AG287" s="282" t="s">
        <v>1</v>
      </c>
      <c r="AH287" s="278" cm="1">
        <f t="array" aca="1" ref="AH287" ca="1">INDIRECT("'"&amp;$C287&amp;"'!"&amp;"$"&amp;$D287&amp;$AH$1&amp;"")</f>
        <v>0</v>
      </c>
      <c r="AI287" s="281" t="s">
        <v>1</v>
      </c>
      <c r="AJ287" s="281" t="s">
        <v>1</v>
      </c>
      <c r="AK287" s="279" t="s">
        <v>1</v>
      </c>
      <c r="AL287" s="278" t="s">
        <v>1</v>
      </c>
      <c r="AM287" s="282">
        <v>70.400000000000006</v>
      </c>
      <c r="AN287" s="278" cm="1">
        <f t="array" aca="1" ref="AN287" ca="1">INDIRECT("'"&amp;$C287&amp;"'!"&amp;"$"&amp;$D287&amp;$AL$1&amp;"")</f>
        <v>0</v>
      </c>
      <c r="AO287" s="281" t="s">
        <v>1</v>
      </c>
      <c r="AP287" s="279" t="s">
        <v>1</v>
      </c>
      <c r="AQ287" s="280" cm="1">
        <f t="array" aca="1" ref="AQ287" ca="1">INDIRECT("'"&amp;$C287&amp;"'!"&amp;"$"&amp;$D287&amp;$AQ$1&amp;"")</f>
        <v>0</v>
      </c>
      <c r="AR287" s="281" t="s">
        <v>1</v>
      </c>
      <c r="AS287" s="279" t="s">
        <v>1</v>
      </c>
      <c r="AT287" s="278">
        <v>13.85</v>
      </c>
      <c r="AU287" s="282">
        <v>70.2</v>
      </c>
      <c r="AV287" s="281" cm="1">
        <f t="array" aca="1" ref="AV287" ca="1">INDIRECT("'"&amp;$C287&amp;"'!"&amp;"$"&amp;$D287&amp;$AV$1&amp;"")</f>
        <v>0</v>
      </c>
      <c r="AW287" s="280" t="s">
        <v>1</v>
      </c>
      <c r="AX287" s="281" t="s">
        <v>1</v>
      </c>
      <c r="AY287" s="279" t="s">
        <v>1</v>
      </c>
      <c r="AZ287" s="281" cm="1">
        <f t="array" aca="1" ref="AZ287" ca="1">INDIRECT("'"&amp;$C287&amp;"'!"&amp;"$"&amp;$D287&amp;$AZ$1&amp;"")</f>
        <v>7</v>
      </c>
      <c r="BA287" s="280" t="s">
        <v>1</v>
      </c>
      <c r="BB287" s="281">
        <v>0.97</v>
      </c>
      <c r="BC287" s="279">
        <v>1.8</v>
      </c>
      <c r="BD287" s="283">
        <v>13.97</v>
      </c>
      <c r="BE287" s="282">
        <v>71.040000000000006</v>
      </c>
      <c r="BF287" s="283" cm="1">
        <f t="array" aca="1" ref="BF287" ca="1">INDIRECT("'"&amp;$C287&amp;"'!"&amp;"$"&amp;$D287&amp;$BF$1&amp;"")</f>
        <v>14.25</v>
      </c>
      <c r="BG287" s="281">
        <v>1</v>
      </c>
      <c r="BH287" s="279">
        <v>1.2</v>
      </c>
      <c r="BI287" s="524">
        <v>68.8</v>
      </c>
      <c r="BJ287" s="278" cm="1">
        <f t="array" aca="1" ref="BJ287" ca="1">INDIRECT("'"&amp;$C287&amp;"'!"&amp;"$"&amp;$D287&amp;$BI$1&amp;"")</f>
        <v>0.8</v>
      </c>
      <c r="BK287" s="280">
        <v>0.96</v>
      </c>
      <c r="BL287" s="279">
        <v>0.22</v>
      </c>
      <c r="BM287" s="283" cm="1">
        <f t="array" aca="1" ref="BM287" ca="1">INDIRECT("'"&amp;$C287&amp;"'!"&amp;"$"&amp;$D287&amp;$BM$1&amp;"")</f>
        <v>1.04</v>
      </c>
      <c r="BN287" s="281"/>
      <c r="BO287" s="281">
        <v>0.99</v>
      </c>
      <c r="BP287" s="279">
        <v>0.13</v>
      </c>
      <c r="BQ287" s="284" cm="1">
        <f t="array" aca="1" ref="BQ287" ca="1">INDIRECT("'"&amp;$C287&amp;"'!"&amp;"$"&amp;$D287&amp;$BQ$1&amp;"")</f>
        <v>0.7</v>
      </c>
      <c r="BR287" s="281"/>
      <c r="BS287" s="281">
        <v>0.96</v>
      </c>
      <c r="BT287" s="279">
        <v>0.18</v>
      </c>
      <c r="BU287" s="284" cm="1">
        <f t="array" aca="1" ref="BU287" ca="1">INDIRECT("'"&amp;$C287&amp;"'!"&amp;"$"&amp;$D287&amp;74&amp;"")</f>
        <v>0</v>
      </c>
      <c r="BV287" s="281"/>
      <c r="BW287" s="281" t="s">
        <v>1</v>
      </c>
      <c r="BX287" s="279" t="s">
        <v>1</v>
      </c>
    </row>
    <row r="288" spans="1:76">
      <c r="A288" s="459">
        <v>45850</v>
      </c>
      <c r="B288" s="345">
        <v>0.33333333333333398</v>
      </c>
      <c r="C288" s="305">
        <v>12</v>
      </c>
      <c r="D288" s="306" t="s">
        <v>150</v>
      </c>
      <c r="E288" s="285">
        <v>14</v>
      </c>
      <c r="F288" s="286">
        <v>69.069999999999993</v>
      </c>
      <c r="G288" s="287" t="str" cm="1">
        <f t="array" aca="1" ref="G288" ca="1">INDIRECT("'"&amp;$C288&amp;"'!"&amp;"$"&amp;$D288&amp;$E$1&amp;"")</f>
        <v>CMS</v>
      </c>
      <c r="H288" s="288" t="s">
        <v>1</v>
      </c>
      <c r="I288" s="286" t="s">
        <v>1</v>
      </c>
      <c r="J288" s="287" cm="1">
        <f t="array" aca="1" ref="J288" ca="1">INDIRECT("'"&amp;$C288&amp;"'!"&amp;"$"&amp;$D288&amp;$J$1&amp;"")</f>
        <v>6.9</v>
      </c>
      <c r="K288" s="288"/>
      <c r="L288" s="288">
        <v>0.95</v>
      </c>
      <c r="M288" s="289">
        <v>2.1800000000000002</v>
      </c>
      <c r="N288" s="285" t="str" cm="1">
        <f t="array" aca="1" ref="N288" ca="1">INDIRECT("'"&amp;$C288&amp;"'!"&amp;"$"&amp;$D288&amp;$N$1&amp;"")</f>
        <v>CMS</v>
      </c>
      <c r="O288" s="288"/>
      <c r="P288" s="288" t="s">
        <v>1</v>
      </c>
      <c r="Q288" s="286" t="s">
        <v>1</v>
      </c>
      <c r="R288" s="285" cm="1">
        <f t="array" aca="1" ref="R288" ca="1">INDIRECT("'"&amp;$C288&amp;"'!"&amp;"$"&amp;$D288&amp;$R$1&amp;"")</f>
        <v>6.8</v>
      </c>
      <c r="S288" s="288"/>
      <c r="T288" s="288">
        <v>0.94</v>
      </c>
      <c r="U288" s="286">
        <v>2.36</v>
      </c>
      <c r="V288" s="287" cm="1">
        <f t="array" aca="1" ref="V288" ca="1">INDIRECT("'"&amp;$C288&amp;"'!"&amp;"$"&amp;$D288&amp;$V$1&amp;"")</f>
        <v>0</v>
      </c>
      <c r="W288" s="288" t="s">
        <v>1</v>
      </c>
      <c r="X288" s="288" t="s">
        <v>1</v>
      </c>
      <c r="Y288" s="289" t="s">
        <v>1</v>
      </c>
      <c r="Z288" s="285" cm="1">
        <f t="array" aca="1" ref="Z288" ca="1">INDIRECT("'"&amp;$C288&amp;"'!"&amp;"$"&amp;$D288&amp;$Z$1&amp;"")</f>
        <v>0</v>
      </c>
      <c r="AA288" s="288" t="s">
        <v>1</v>
      </c>
      <c r="AB288" s="288" t="s">
        <v>1</v>
      </c>
      <c r="AC288" s="286" t="s">
        <v>1</v>
      </c>
      <c r="AD288" s="287" cm="1">
        <f t="array" aca="1" ref="AD288" ca="1">INDIRECT("'"&amp;$C288&amp;"'!"&amp;"$"&amp;$D288&amp;$AD$1&amp;"")</f>
        <v>0</v>
      </c>
      <c r="AE288" s="288" t="s">
        <v>1</v>
      </c>
      <c r="AF288" s="288" t="s">
        <v>1</v>
      </c>
      <c r="AG288" s="289" t="s">
        <v>1</v>
      </c>
      <c r="AH288" s="285" cm="1">
        <f t="array" aca="1" ref="AH288" ca="1">INDIRECT("'"&amp;$C288&amp;"'!"&amp;"$"&amp;$D288&amp;$AH$1&amp;"")</f>
        <v>0</v>
      </c>
      <c r="AI288" s="288" t="s">
        <v>1</v>
      </c>
      <c r="AJ288" s="288" t="s">
        <v>1</v>
      </c>
      <c r="AK288" s="286" t="s">
        <v>1</v>
      </c>
      <c r="AL288" s="285">
        <v>11.5</v>
      </c>
      <c r="AM288" s="289">
        <v>70.2</v>
      </c>
      <c r="AN288" s="285" cm="1">
        <f t="array" aca="1" ref="AN288" ca="1">INDIRECT("'"&amp;$C288&amp;"'!"&amp;"$"&amp;$D288&amp;$AL$1&amp;"")</f>
        <v>3.8</v>
      </c>
      <c r="AO288" s="288">
        <v>0.99</v>
      </c>
      <c r="AP288" s="286">
        <v>0.55000000000000004</v>
      </c>
      <c r="AQ288" s="287" cm="1">
        <f t="array" aca="1" ref="AQ288" ca="1">INDIRECT("'"&amp;$C288&amp;"'!"&amp;"$"&amp;$D288&amp;$AQ$1&amp;"")</f>
        <v>0</v>
      </c>
      <c r="AR288" s="288" t="s">
        <v>1</v>
      </c>
      <c r="AS288" s="286" t="s">
        <v>1</v>
      </c>
      <c r="AT288" s="285">
        <v>13.82</v>
      </c>
      <c r="AU288" s="289">
        <v>70.099999999999994</v>
      </c>
      <c r="AV288" s="288" cm="1">
        <f t="array" aca="1" ref="AV288" ca="1">INDIRECT("'"&amp;$C288&amp;"'!"&amp;"$"&amp;$D288&amp;$AV$1&amp;"")</f>
        <v>0</v>
      </c>
      <c r="AW288" s="287" t="s">
        <v>1</v>
      </c>
      <c r="AX288" s="288" t="s">
        <v>1</v>
      </c>
      <c r="AY288" s="286" t="s">
        <v>1</v>
      </c>
      <c r="AZ288" s="288" cm="1">
        <f t="array" aca="1" ref="AZ288" ca="1">INDIRECT("'"&amp;$C288&amp;"'!"&amp;"$"&amp;$D288&amp;$AZ$1&amp;"")</f>
        <v>7.1</v>
      </c>
      <c r="BA288" s="287" t="s">
        <v>1</v>
      </c>
      <c r="BB288" s="288">
        <v>0.97</v>
      </c>
      <c r="BC288" s="286">
        <v>1.9</v>
      </c>
      <c r="BD288" s="290">
        <v>14.07</v>
      </c>
      <c r="BE288" s="289">
        <v>71.11</v>
      </c>
      <c r="BF288" s="290" cm="1">
        <f t="array" aca="1" ref="BF288" ca="1">INDIRECT("'"&amp;$C288&amp;"'!"&amp;"$"&amp;$D288&amp;$BF$1&amp;"")</f>
        <v>14.3</v>
      </c>
      <c r="BG288" s="288">
        <v>0.99</v>
      </c>
      <c r="BH288" s="286">
        <v>2.2000000000000002</v>
      </c>
      <c r="BI288" s="525">
        <v>67.7</v>
      </c>
      <c r="BJ288" s="285" cm="1">
        <f t="array" aca="1" ref="BJ288" ca="1">INDIRECT("'"&amp;$C288&amp;"'!"&amp;"$"&amp;$D288&amp;$BI$1&amp;"")</f>
        <v>0</v>
      </c>
      <c r="BK288" s="287" t="s">
        <v>1</v>
      </c>
      <c r="BL288" s="286" t="s">
        <v>1</v>
      </c>
      <c r="BM288" s="290" cm="1">
        <f t="array" aca="1" ref="BM288" ca="1">INDIRECT("'"&amp;$C288&amp;"'!"&amp;"$"&amp;$D288&amp;$BM$1&amp;"")</f>
        <v>1.06</v>
      </c>
      <c r="BN288" s="288"/>
      <c r="BO288" s="288">
        <v>0.99</v>
      </c>
      <c r="BP288" s="286">
        <v>0.12</v>
      </c>
      <c r="BQ288" s="291" cm="1">
        <f t="array" aca="1" ref="BQ288" ca="1">INDIRECT("'"&amp;$C288&amp;"'!"&amp;"$"&amp;$D288&amp;$BQ$1&amp;"")</f>
        <v>0.71</v>
      </c>
      <c r="BR288" s="288"/>
      <c r="BS288" s="288">
        <v>0.96</v>
      </c>
      <c r="BT288" s="286">
        <v>0.2</v>
      </c>
      <c r="BU288" s="291" cm="1">
        <f t="array" aca="1" ref="BU288" ca="1">INDIRECT("'"&amp;$C288&amp;"'!"&amp;"$"&amp;$D288&amp;74&amp;"")</f>
        <v>0</v>
      </c>
      <c r="BV288" s="288"/>
      <c r="BW288" s="288" t="s">
        <v>1</v>
      </c>
      <c r="BX288" s="286" t="s">
        <v>1</v>
      </c>
    </row>
    <row r="289" spans="1:76">
      <c r="A289" s="459">
        <v>45850</v>
      </c>
      <c r="B289" s="345">
        <v>0.375</v>
      </c>
      <c r="C289" s="305">
        <v>12</v>
      </c>
      <c r="D289" s="306" t="s">
        <v>151</v>
      </c>
      <c r="E289" s="278">
        <v>14</v>
      </c>
      <c r="F289" s="279">
        <v>68.959999999999994</v>
      </c>
      <c r="G289" s="280" t="str" cm="1">
        <f t="array" aca="1" ref="G289" ca="1">INDIRECT("'"&amp;$C289&amp;"'!"&amp;"$"&amp;$D289&amp;$E$1&amp;"")</f>
        <v>CMS</v>
      </c>
      <c r="H289" s="281" t="s">
        <v>1</v>
      </c>
      <c r="I289" s="279" t="s">
        <v>1</v>
      </c>
      <c r="J289" s="280" cm="1">
        <f t="array" aca="1" ref="J289" ca="1">INDIRECT("'"&amp;$C289&amp;"'!"&amp;"$"&amp;$D289&amp;$J$1&amp;"")</f>
        <v>6.9</v>
      </c>
      <c r="K289" s="281"/>
      <c r="L289" s="281">
        <v>0.96</v>
      </c>
      <c r="M289" s="282">
        <v>2.12</v>
      </c>
      <c r="N289" s="278" t="str" cm="1">
        <f t="array" aca="1" ref="N289" ca="1">INDIRECT("'"&amp;$C289&amp;"'!"&amp;"$"&amp;$D289&amp;$N$1&amp;"")</f>
        <v>CMS</v>
      </c>
      <c r="O289" s="281"/>
      <c r="P289" s="281" t="s">
        <v>1</v>
      </c>
      <c r="Q289" s="279" t="s">
        <v>1</v>
      </c>
      <c r="R289" s="468" cm="1">
        <f t="array" aca="1" ref="R289" ca="1">INDIRECT("'"&amp;$C289&amp;"'!"&amp;"$"&amp;$D289&amp;$R$1&amp;"")</f>
        <v>7</v>
      </c>
      <c r="S289" s="281"/>
      <c r="T289" s="281">
        <v>0.93</v>
      </c>
      <c r="U289" s="279">
        <v>2.71</v>
      </c>
      <c r="V289" s="280" cm="1">
        <f t="array" aca="1" ref="V289" ca="1">INDIRECT("'"&amp;$C289&amp;"'!"&amp;"$"&amp;$D289&amp;$V$1&amp;"")</f>
        <v>0</v>
      </c>
      <c r="W289" s="281" t="s">
        <v>1</v>
      </c>
      <c r="X289" s="281" t="s">
        <v>1</v>
      </c>
      <c r="Y289" s="282" t="s">
        <v>1</v>
      </c>
      <c r="Z289" s="278" cm="1">
        <f t="array" aca="1" ref="Z289" ca="1">INDIRECT("'"&amp;$C289&amp;"'!"&amp;"$"&amp;$D289&amp;$Z$1&amp;"")</f>
        <v>0</v>
      </c>
      <c r="AA289" s="281" t="s">
        <v>1</v>
      </c>
      <c r="AB289" s="281" t="s">
        <v>1</v>
      </c>
      <c r="AC289" s="279" t="s">
        <v>1</v>
      </c>
      <c r="AD289" s="280" cm="1">
        <f t="array" aca="1" ref="AD289" ca="1">INDIRECT("'"&amp;$C289&amp;"'!"&amp;"$"&amp;$D289&amp;$AD$1&amp;"")</f>
        <v>1.5</v>
      </c>
      <c r="AE289" s="281">
        <f>3.8*3.46</f>
        <v>13.148</v>
      </c>
      <c r="AF289" s="281">
        <v>0.94</v>
      </c>
      <c r="AG289" s="282">
        <v>0.24</v>
      </c>
      <c r="AH289" s="278" cm="1">
        <f t="array" aca="1" ref="AH289" ca="1">INDIRECT("'"&amp;$C289&amp;"'!"&amp;"$"&amp;$D289&amp;$AH$1&amp;"")</f>
        <v>0</v>
      </c>
      <c r="AI289" s="281" t="s">
        <v>1</v>
      </c>
      <c r="AJ289" s="281" t="s">
        <v>1</v>
      </c>
      <c r="AK289" s="279" t="s">
        <v>1</v>
      </c>
      <c r="AL289" s="278">
        <v>11.6</v>
      </c>
      <c r="AM289" s="282">
        <v>70.599999999999994</v>
      </c>
      <c r="AN289" s="278" cm="1">
        <f t="array" aca="1" ref="AN289" ca="1">INDIRECT("'"&amp;$C289&amp;"'!"&amp;"$"&amp;$D289&amp;$AL$1&amp;"")</f>
        <v>3.8</v>
      </c>
      <c r="AO289" s="281">
        <v>0.95</v>
      </c>
      <c r="AP289" s="279">
        <v>1.35</v>
      </c>
      <c r="AQ289" s="280" cm="1">
        <f t="array" aca="1" ref="AQ289" ca="1">INDIRECT("'"&amp;$C289&amp;"'!"&amp;"$"&amp;$D289&amp;$AQ$1&amp;"")</f>
        <v>0</v>
      </c>
      <c r="AR289" s="281" t="s">
        <v>1</v>
      </c>
      <c r="AS289" s="279" t="s">
        <v>1</v>
      </c>
      <c r="AT289" s="278">
        <v>13.8</v>
      </c>
      <c r="AU289" s="282">
        <v>70.099999999999994</v>
      </c>
      <c r="AV289" s="281" cm="1">
        <f t="array" aca="1" ref="AV289" ca="1">INDIRECT("'"&amp;$C289&amp;"'!"&amp;"$"&amp;$D289&amp;$AV$1&amp;"")</f>
        <v>0</v>
      </c>
      <c r="AW289" s="280" t="s">
        <v>1</v>
      </c>
      <c r="AX289" s="281" t="s">
        <v>1</v>
      </c>
      <c r="AY289" s="279" t="s">
        <v>1</v>
      </c>
      <c r="AZ289" s="281" cm="1">
        <f t="array" aca="1" ref="AZ289" ca="1">INDIRECT("'"&amp;$C289&amp;"'!"&amp;"$"&amp;$D289&amp;$AZ$1&amp;"")</f>
        <v>7.5</v>
      </c>
      <c r="BA289" s="280" t="s">
        <v>1</v>
      </c>
      <c r="BB289" s="281">
        <v>0.97</v>
      </c>
      <c r="BC289" s="279">
        <v>1.9</v>
      </c>
      <c r="BD289" s="283">
        <v>14.06</v>
      </c>
      <c r="BE289" s="282">
        <v>71.209999999999994</v>
      </c>
      <c r="BF289" s="283" cm="1">
        <f t="array" aca="1" ref="BF289" ca="1">INDIRECT("'"&amp;$C289&amp;"'!"&amp;"$"&amp;$D289&amp;$BF$1&amp;"")</f>
        <v>14.19</v>
      </c>
      <c r="BG289" s="281">
        <v>0.99</v>
      </c>
      <c r="BH289" s="279">
        <v>2.2999999999999998</v>
      </c>
      <c r="BI289" s="524">
        <v>68.2</v>
      </c>
      <c r="BJ289" s="278" cm="1">
        <f t="array" aca="1" ref="BJ289" ca="1">INDIRECT("'"&amp;$C289&amp;"'!"&amp;"$"&amp;$D289&amp;$BI$1&amp;"")</f>
        <v>3.64</v>
      </c>
      <c r="BK289" s="280">
        <v>0.96</v>
      </c>
      <c r="BL289" s="279">
        <v>1</v>
      </c>
      <c r="BM289" s="283" cm="1">
        <f t="array" aca="1" ref="BM289" ca="1">INDIRECT("'"&amp;$C289&amp;"'!"&amp;"$"&amp;$D289&amp;$BM$1&amp;"")</f>
        <v>1.1100000000000001</v>
      </c>
      <c r="BN289" s="281"/>
      <c r="BO289" s="281">
        <v>0.99</v>
      </c>
      <c r="BP289" s="279">
        <v>0.14000000000000001</v>
      </c>
      <c r="BQ289" s="284" cm="1">
        <f t="array" aca="1" ref="BQ289" ca="1">INDIRECT("'"&amp;$C289&amp;"'!"&amp;"$"&amp;$D289&amp;$BQ$1&amp;"")</f>
        <v>0.73</v>
      </c>
      <c r="BR289" s="281"/>
      <c r="BS289" s="281">
        <v>0.96</v>
      </c>
      <c r="BT289" s="279">
        <v>0.21</v>
      </c>
      <c r="BU289" s="284" cm="1">
        <f t="array" aca="1" ref="BU289" ca="1">INDIRECT("'"&amp;$C289&amp;"'!"&amp;"$"&amp;$D289&amp;74&amp;"")</f>
        <v>0</v>
      </c>
      <c r="BV289" s="281"/>
      <c r="BW289" s="281" t="s">
        <v>1</v>
      </c>
      <c r="BX289" s="279" t="s">
        <v>1</v>
      </c>
    </row>
    <row r="290" spans="1:76">
      <c r="A290" s="459">
        <v>45850</v>
      </c>
      <c r="B290" s="345">
        <v>0.41666666666666702</v>
      </c>
      <c r="C290" s="305">
        <v>12</v>
      </c>
      <c r="D290" s="306" t="s">
        <v>152</v>
      </c>
      <c r="E290" s="285">
        <v>14</v>
      </c>
      <c r="F290" s="286">
        <v>68.72</v>
      </c>
      <c r="G290" s="287" t="str" cm="1">
        <f t="array" aca="1" ref="G290" ca="1">INDIRECT("'"&amp;$C290&amp;"'!"&amp;"$"&amp;$D290&amp;$E$1&amp;"")</f>
        <v>CMS</v>
      </c>
      <c r="H290" s="288" t="s">
        <v>1</v>
      </c>
      <c r="I290" s="286" t="s">
        <v>1</v>
      </c>
      <c r="J290" s="287" cm="1">
        <f t="array" aca="1" ref="J290" ca="1">INDIRECT("'"&amp;$C290&amp;"'!"&amp;"$"&amp;$D290&amp;$J$1&amp;"")</f>
        <v>5.6</v>
      </c>
      <c r="K290" s="288"/>
      <c r="L290" s="288">
        <v>0.93</v>
      </c>
      <c r="M290" s="289">
        <v>2.1800000000000002</v>
      </c>
      <c r="N290" s="285" cm="1">
        <f t="array" aca="1" ref="N290" ca="1">INDIRECT("'"&amp;$C290&amp;"'!"&amp;"$"&amp;$D290&amp;$N$1&amp;"")</f>
        <v>3.2</v>
      </c>
      <c r="O290" s="288"/>
      <c r="P290" s="288">
        <v>0.94</v>
      </c>
      <c r="Q290" s="286">
        <v>2.19</v>
      </c>
      <c r="R290" s="285" cm="1">
        <f t="array" aca="1" ref="R290" ca="1">INDIRECT("'"&amp;$C290&amp;"'!"&amp;"$"&amp;$D290&amp;$R$1&amp;"")</f>
        <v>5</v>
      </c>
      <c r="S290" s="288"/>
      <c r="T290" s="288">
        <v>0.93</v>
      </c>
      <c r="U290" s="286">
        <v>2</v>
      </c>
      <c r="V290" s="287" cm="1">
        <f t="array" aca="1" ref="V290" ca="1">INDIRECT("'"&amp;$C290&amp;"'!"&amp;"$"&amp;$D290&amp;$V$1&amp;"")</f>
        <v>2</v>
      </c>
      <c r="W290" s="288">
        <f>3.45*3.8</f>
        <v>13.11</v>
      </c>
      <c r="X290" s="288">
        <v>0.91</v>
      </c>
      <c r="Y290" s="289">
        <v>1.05</v>
      </c>
      <c r="Z290" s="285" cm="1">
        <f t="array" aca="1" ref="Z290" ca="1">INDIRECT("'"&amp;$C290&amp;"'!"&amp;"$"&amp;$D290&amp;$Z$1&amp;"")</f>
        <v>3</v>
      </c>
      <c r="AA290" s="288">
        <v>13.11</v>
      </c>
      <c r="AB290" s="288">
        <v>0.91</v>
      </c>
      <c r="AC290" s="286">
        <v>1.46</v>
      </c>
      <c r="AD290" s="287" t="str" cm="1">
        <f t="array" aca="1" ref="AD290" ca="1">INDIRECT("'"&amp;$C290&amp;"'!"&amp;"$"&amp;$D290&amp;$AD$1&amp;"")</f>
        <v>CMS</v>
      </c>
      <c r="AE290" s="288" t="s">
        <v>1</v>
      </c>
      <c r="AF290" s="288" t="s">
        <v>1</v>
      </c>
      <c r="AG290" s="289" t="s">
        <v>1</v>
      </c>
      <c r="AH290" s="285" cm="1">
        <f t="array" aca="1" ref="AH290" ca="1">INDIRECT("'"&amp;$C290&amp;"'!"&amp;"$"&amp;$D290&amp;$AH$1&amp;"")</f>
        <v>3.8</v>
      </c>
      <c r="AI290" s="288">
        <v>13.96</v>
      </c>
      <c r="AJ290" s="288">
        <v>0.98</v>
      </c>
      <c r="AK290" s="286">
        <v>0.46300000000000002</v>
      </c>
      <c r="AL290" s="285">
        <v>11.6</v>
      </c>
      <c r="AM290" s="289">
        <v>70.599999999999994</v>
      </c>
      <c r="AN290" s="285" cm="1">
        <f t="array" aca="1" ref="AN290" ca="1">INDIRECT("'"&amp;$C290&amp;"'!"&amp;"$"&amp;$D290&amp;$AL$1&amp;"")</f>
        <v>3.8</v>
      </c>
      <c r="AO290" s="288">
        <v>0.92</v>
      </c>
      <c r="AP290" s="286">
        <v>1.56</v>
      </c>
      <c r="AQ290" s="287" cm="1">
        <f t="array" aca="1" ref="AQ290" ca="1">INDIRECT("'"&amp;$C290&amp;"'!"&amp;"$"&amp;$D290&amp;$AQ$1&amp;"")</f>
        <v>0</v>
      </c>
      <c r="AR290" s="288" t="s">
        <v>1</v>
      </c>
      <c r="AS290" s="286" t="s">
        <v>1</v>
      </c>
      <c r="AT290" s="285">
        <v>13.8</v>
      </c>
      <c r="AU290" s="289">
        <v>70.099999999999994</v>
      </c>
      <c r="AV290" s="288" cm="1">
        <f t="array" aca="1" ref="AV290" ca="1">INDIRECT("'"&amp;$C290&amp;"'!"&amp;"$"&amp;$D290&amp;$AV$1&amp;"")</f>
        <v>0</v>
      </c>
      <c r="AW290" s="287" t="s">
        <v>1</v>
      </c>
      <c r="AX290" s="288" t="s">
        <v>1</v>
      </c>
      <c r="AY290" s="286" t="s">
        <v>1</v>
      </c>
      <c r="AZ290" s="288" cm="1">
        <f t="array" aca="1" ref="AZ290" ca="1">INDIRECT("'"&amp;$C290&amp;"'!"&amp;"$"&amp;$D290&amp;$AZ$1&amp;"")</f>
        <v>7</v>
      </c>
      <c r="BA290" s="287" t="s">
        <v>1</v>
      </c>
      <c r="BB290" s="288">
        <v>0.96</v>
      </c>
      <c r="BC290" s="286">
        <v>2.1</v>
      </c>
      <c r="BD290" s="290">
        <v>14.09</v>
      </c>
      <c r="BE290" s="289">
        <v>71.39</v>
      </c>
      <c r="BF290" s="290" cm="1">
        <f t="array" aca="1" ref="BF290" ca="1">INDIRECT("'"&amp;$C290&amp;"'!"&amp;"$"&amp;$D290&amp;$BF$1&amp;"")</f>
        <v>14.18</v>
      </c>
      <c r="BG290" s="288">
        <v>0.99</v>
      </c>
      <c r="BH290" s="286">
        <v>2.4</v>
      </c>
      <c r="BI290" s="525">
        <v>68.7</v>
      </c>
      <c r="BJ290" s="285" cm="1">
        <f t="array" aca="1" ref="BJ290" ca="1">INDIRECT("'"&amp;$C290&amp;"'!"&amp;"$"&amp;$D290&amp;$BI$1&amp;"")</f>
        <v>0</v>
      </c>
      <c r="BK290" s="287" t="s">
        <v>1</v>
      </c>
      <c r="BL290" s="286" t="s">
        <v>1</v>
      </c>
      <c r="BM290" s="290" cm="1">
        <f t="array" aca="1" ref="BM290" ca="1">INDIRECT("'"&amp;$C290&amp;"'!"&amp;"$"&amp;$D290&amp;$BM$1&amp;"")</f>
        <v>1.1399999999999999</v>
      </c>
      <c r="BN290" s="288"/>
      <c r="BO290" s="288">
        <v>0.99</v>
      </c>
      <c r="BP290" s="286">
        <v>0.15</v>
      </c>
      <c r="BQ290" s="291" cm="1">
        <f t="array" aca="1" ref="BQ290" ca="1">INDIRECT("'"&amp;$C290&amp;"'!"&amp;"$"&amp;$D290&amp;$BQ$1&amp;"")</f>
        <v>0.77</v>
      </c>
      <c r="BR290" s="288"/>
      <c r="BS290" s="288">
        <v>0.96</v>
      </c>
      <c r="BT290" s="286">
        <v>0.21</v>
      </c>
      <c r="BU290" s="291" cm="1">
        <f t="array" aca="1" ref="BU290" ca="1">INDIRECT("'"&amp;$C290&amp;"'!"&amp;"$"&amp;$D290&amp;74&amp;"")</f>
        <v>0</v>
      </c>
      <c r="BV290" s="288"/>
      <c r="BW290" s="288" t="s">
        <v>1</v>
      </c>
      <c r="BX290" s="286" t="s">
        <v>1</v>
      </c>
    </row>
    <row r="291" spans="1:76">
      <c r="A291" s="459">
        <v>45850</v>
      </c>
      <c r="B291" s="345">
        <v>0.45833333333333398</v>
      </c>
      <c r="C291" s="305">
        <v>12</v>
      </c>
      <c r="D291" s="306" t="s">
        <v>153</v>
      </c>
      <c r="E291" s="278">
        <v>14</v>
      </c>
      <c r="F291" s="279">
        <v>68.88</v>
      </c>
      <c r="G291" s="280" t="str" cm="1">
        <f t="array" aca="1" ref="G291" ca="1">INDIRECT("'"&amp;$C291&amp;"'!"&amp;"$"&amp;$D291&amp;$E$1&amp;"")</f>
        <v>CMS</v>
      </c>
      <c r="H291" s="281" t="s">
        <v>1</v>
      </c>
      <c r="I291" s="279" t="s">
        <v>1</v>
      </c>
      <c r="J291" s="280" t="str" cm="1">
        <f t="array" aca="1" ref="J291" ca="1">INDIRECT("'"&amp;$C291&amp;"'!"&amp;"$"&amp;$D291&amp;$J$1&amp;"")</f>
        <v>CMS</v>
      </c>
      <c r="K291" s="281"/>
      <c r="L291" s="281" t="s">
        <v>1</v>
      </c>
      <c r="M291" s="282" t="s">
        <v>1</v>
      </c>
      <c r="N291" s="278" cm="1">
        <f t="array" aca="1" ref="N291" ca="1">INDIRECT("'"&amp;$C291&amp;"'!"&amp;"$"&amp;$D291&amp;$N$1&amp;"")</f>
        <v>6.6</v>
      </c>
      <c r="O291" s="281"/>
      <c r="P291" s="281">
        <v>0.93</v>
      </c>
      <c r="Q291" s="279">
        <v>2.5499999999999998</v>
      </c>
      <c r="R291" s="468" cm="1">
        <f t="array" aca="1" ref="R291" ca="1">INDIRECT("'"&amp;$C291&amp;"'!"&amp;"$"&amp;$D291&amp;$R$1&amp;"")</f>
        <v>6.7</v>
      </c>
      <c r="S291" s="281"/>
      <c r="T291" s="281">
        <v>0.91</v>
      </c>
      <c r="U291" s="279">
        <v>3.06</v>
      </c>
      <c r="V291" s="280" cm="1">
        <f t="array" aca="1" ref="V291" ca="1">INDIRECT("'"&amp;$C291&amp;"'!"&amp;"$"&amp;$D291&amp;$V$1&amp;"")</f>
        <v>2.8</v>
      </c>
      <c r="W291" s="281">
        <f>3.46*3.8</f>
        <v>13.148</v>
      </c>
      <c r="X291" s="281">
        <v>0.9</v>
      </c>
      <c r="Y291" s="282">
        <v>1.34</v>
      </c>
      <c r="Z291" s="278" cm="1">
        <f t="array" aca="1" ref="Z291" ca="1">INDIRECT("'"&amp;$C291&amp;"'!"&amp;"$"&amp;$D291&amp;$Z$1&amp;"")</f>
        <v>3.3</v>
      </c>
      <c r="AA291" s="281">
        <v>13.148</v>
      </c>
      <c r="AB291" s="281">
        <v>0.9</v>
      </c>
      <c r="AC291" s="279">
        <v>1.52</v>
      </c>
      <c r="AD291" s="280" t="str" cm="1">
        <f t="array" aca="1" ref="AD291" ca="1">INDIRECT("'"&amp;$C291&amp;"'!"&amp;"$"&amp;$D291&amp;$AD$1&amp;"")</f>
        <v>CMS</v>
      </c>
      <c r="AE291" s="281" t="s">
        <v>1</v>
      </c>
      <c r="AF291" s="281" t="s">
        <v>1</v>
      </c>
      <c r="AG291" s="282" t="s">
        <v>1</v>
      </c>
      <c r="AH291" s="278" cm="1">
        <f t="array" aca="1" ref="AH291" ca="1">INDIRECT("'"&amp;$C291&amp;"'!"&amp;"$"&amp;$D291&amp;$AH$1&amp;"")</f>
        <v>3.8</v>
      </c>
      <c r="AI291" s="281">
        <v>13.96</v>
      </c>
      <c r="AJ291" s="281">
        <v>0.98</v>
      </c>
      <c r="AK291" s="279">
        <v>0.45900000000000002</v>
      </c>
      <c r="AL291" s="278">
        <v>11.6</v>
      </c>
      <c r="AM291" s="282">
        <v>70.5</v>
      </c>
      <c r="AN291" s="278" cm="1">
        <f t="array" aca="1" ref="AN291" ca="1">INDIRECT("'"&amp;$C291&amp;"'!"&amp;"$"&amp;$D291&amp;$AL$1&amp;"")</f>
        <v>3.8</v>
      </c>
      <c r="AO291" s="281">
        <v>0.92</v>
      </c>
      <c r="AP291" s="279">
        <v>1.48</v>
      </c>
      <c r="AQ291" s="280" cm="1">
        <f t="array" aca="1" ref="AQ291" ca="1">INDIRECT("'"&amp;$C291&amp;"'!"&amp;"$"&amp;$D291&amp;$AQ$1&amp;"")</f>
        <v>0</v>
      </c>
      <c r="AR291" s="281" t="s">
        <v>1</v>
      </c>
      <c r="AS291" s="279" t="s">
        <v>1</v>
      </c>
      <c r="AT291" s="278">
        <v>13.8</v>
      </c>
      <c r="AU291" s="282">
        <v>70.099999999999994</v>
      </c>
      <c r="AV291" s="281" cm="1">
        <f t="array" aca="1" ref="AV291" ca="1">INDIRECT("'"&amp;$C291&amp;"'!"&amp;"$"&amp;$D291&amp;$AV$1&amp;"")</f>
        <v>0</v>
      </c>
      <c r="AW291" s="280" t="s">
        <v>1</v>
      </c>
      <c r="AX291" s="281" t="s">
        <v>1</v>
      </c>
      <c r="AY291" s="279" t="s">
        <v>1</v>
      </c>
      <c r="AZ291" s="281" cm="1">
        <f t="array" aca="1" ref="AZ291" ca="1">INDIRECT("'"&amp;$C291&amp;"'!"&amp;"$"&amp;$D291&amp;$AZ$1&amp;"")</f>
        <v>7</v>
      </c>
      <c r="BA291" s="280" t="s">
        <v>1</v>
      </c>
      <c r="BB291" s="281">
        <v>0.96</v>
      </c>
      <c r="BC291" s="279">
        <v>2</v>
      </c>
      <c r="BD291" s="283">
        <v>14.1</v>
      </c>
      <c r="BE291" s="282">
        <v>71.39</v>
      </c>
      <c r="BF291" s="283" cm="1">
        <f t="array" aca="1" ref="BF291" ca="1">INDIRECT("'"&amp;$C291&amp;"'!"&amp;"$"&amp;$D291&amp;$BF$1&amp;"")</f>
        <v>14.23</v>
      </c>
      <c r="BG291" s="281">
        <v>0.99</v>
      </c>
      <c r="BH291" s="279">
        <v>2.2999999999999998</v>
      </c>
      <c r="BI291" s="524">
        <v>68</v>
      </c>
      <c r="BJ291" s="278" cm="1">
        <f t="array" aca="1" ref="BJ291" ca="1">INDIRECT("'"&amp;$C291&amp;"'!"&amp;"$"&amp;$D291&amp;$BI$1&amp;"")</f>
        <v>1.5</v>
      </c>
      <c r="BK291" s="280">
        <v>0.96</v>
      </c>
      <c r="BL291" s="279">
        <v>0.49</v>
      </c>
      <c r="BM291" s="283" cm="1">
        <f t="array" aca="1" ref="BM291" ca="1">INDIRECT("'"&amp;$C291&amp;"'!"&amp;"$"&amp;$D291&amp;$BM$1&amp;"")</f>
        <v>1.17</v>
      </c>
      <c r="BN291" s="281"/>
      <c r="BO291" s="281">
        <v>0.96</v>
      </c>
      <c r="BP291" s="279">
        <v>0.16</v>
      </c>
      <c r="BQ291" s="284" cm="1">
        <f t="array" aca="1" ref="BQ291" ca="1">INDIRECT("'"&amp;$C291&amp;"'!"&amp;"$"&amp;$D291&amp;$BQ$1&amp;"")</f>
        <v>0.79</v>
      </c>
      <c r="BR291" s="281"/>
      <c r="BS291" s="281">
        <v>0.96</v>
      </c>
      <c r="BT291" s="279">
        <v>0.21</v>
      </c>
      <c r="BU291" s="284" cm="1">
        <f t="array" aca="1" ref="BU291" ca="1">INDIRECT("'"&amp;$C291&amp;"'!"&amp;"$"&amp;$D291&amp;74&amp;"")</f>
        <v>0</v>
      </c>
      <c r="BV291" s="281"/>
      <c r="BW291" s="281" t="s">
        <v>1</v>
      </c>
      <c r="BX291" s="279" t="s">
        <v>1</v>
      </c>
    </row>
    <row r="292" spans="1:76">
      <c r="A292" s="459">
        <v>45850</v>
      </c>
      <c r="B292" s="345">
        <v>0.5</v>
      </c>
      <c r="C292" s="305">
        <v>12</v>
      </c>
      <c r="D292" s="306" t="s">
        <v>154</v>
      </c>
      <c r="E292" s="285">
        <v>14.1</v>
      </c>
      <c r="F292" s="286">
        <v>69.11</v>
      </c>
      <c r="G292" s="287" t="str" cm="1">
        <f t="array" aca="1" ref="G292" ca="1">INDIRECT("'"&amp;$C292&amp;"'!"&amp;"$"&amp;$D292&amp;$E$1&amp;"")</f>
        <v>CMS</v>
      </c>
      <c r="H292" s="288" t="s">
        <v>1</v>
      </c>
      <c r="I292" s="286" t="s">
        <v>1</v>
      </c>
      <c r="J292" s="287" cm="1">
        <f t="array" aca="1" ref="J292" ca="1">INDIRECT("'"&amp;$C292&amp;"'!"&amp;"$"&amp;$D292&amp;$J$1&amp;"")</f>
        <v>6.5</v>
      </c>
      <c r="K292" s="288"/>
      <c r="L292" s="288">
        <v>0.91</v>
      </c>
      <c r="M292" s="289">
        <v>2.92</v>
      </c>
      <c r="N292" s="285" cm="1">
        <f t="array" aca="1" ref="N292" ca="1">INDIRECT("'"&amp;$C292&amp;"'!"&amp;"$"&amp;$D292&amp;$N$1&amp;"")</f>
        <v>4.8</v>
      </c>
      <c r="O292" s="288"/>
      <c r="P292" s="288">
        <v>0.93</v>
      </c>
      <c r="Q292" s="289">
        <v>1.88</v>
      </c>
      <c r="R292" s="285" cm="1">
        <f t="array" aca="1" ref="R292" ca="1">INDIRECT("'"&amp;$C292&amp;"'!"&amp;"$"&amp;$D292&amp;$R$1&amp;"")</f>
        <v>4.8</v>
      </c>
      <c r="S292" s="288"/>
      <c r="T292" s="288">
        <v>0.94</v>
      </c>
      <c r="U292" s="286">
        <v>1.82</v>
      </c>
      <c r="V292" s="287" cm="1">
        <f t="array" aca="1" ref="V292" ca="1">INDIRECT("'"&amp;$C292&amp;"'!"&amp;"$"&amp;$D292&amp;$V$1&amp;"")</f>
        <v>2.8</v>
      </c>
      <c r="W292" s="288">
        <f>3.47*3.8</f>
        <v>13.186</v>
      </c>
      <c r="X292" s="288">
        <v>0.9</v>
      </c>
      <c r="Y292" s="289">
        <v>1.35</v>
      </c>
      <c r="Z292" s="285" cm="1">
        <f t="array" aca="1" ref="Z292" ca="1">INDIRECT("'"&amp;$C292&amp;"'!"&amp;"$"&amp;$D292&amp;$Z$1&amp;"")</f>
        <v>3.3</v>
      </c>
      <c r="AA292" s="288">
        <v>13.186</v>
      </c>
      <c r="AB292" s="288">
        <v>0.9</v>
      </c>
      <c r="AC292" s="286">
        <v>1.55</v>
      </c>
      <c r="AD292" s="287" t="str" cm="1">
        <f t="array" aca="1" ref="AD292" ca="1">INDIRECT("'"&amp;$C292&amp;"'!"&amp;"$"&amp;$D292&amp;$AD$1&amp;"")</f>
        <v>CMS</v>
      </c>
      <c r="AE292" s="288" t="s">
        <v>1</v>
      </c>
      <c r="AF292" s="288" t="s">
        <v>1</v>
      </c>
      <c r="AG292" s="289" t="s">
        <v>1</v>
      </c>
      <c r="AH292" s="285" cm="1">
        <f t="array" aca="1" ref="AH292" ca="1">INDIRECT("'"&amp;$C292&amp;"'!"&amp;"$"&amp;$D292&amp;$AH$1&amp;"")</f>
        <v>3.8</v>
      </c>
      <c r="AI292" s="288">
        <v>13.96</v>
      </c>
      <c r="AJ292" s="288">
        <v>0.98</v>
      </c>
      <c r="AK292" s="286">
        <v>0.45200000000000001</v>
      </c>
      <c r="AL292" s="285">
        <v>11.6</v>
      </c>
      <c r="AM292" s="289">
        <v>70.599999999999994</v>
      </c>
      <c r="AN292" s="285" cm="1">
        <f t="array" aca="1" ref="AN292" ca="1">INDIRECT("'"&amp;$C292&amp;"'!"&amp;"$"&amp;$D292&amp;$AL$1&amp;"")</f>
        <v>3.8</v>
      </c>
      <c r="AO292" s="288">
        <v>0.93</v>
      </c>
      <c r="AP292" s="286">
        <v>1.44</v>
      </c>
      <c r="AQ292" s="287" cm="1">
        <f t="array" aca="1" ref="AQ292" ca="1">INDIRECT("'"&amp;$C292&amp;"'!"&amp;"$"&amp;$D292&amp;$AQ$1&amp;"")</f>
        <v>0</v>
      </c>
      <c r="AR292" s="288" t="s">
        <v>1</v>
      </c>
      <c r="AS292" s="286" t="s">
        <v>1</v>
      </c>
      <c r="AT292" s="285">
        <v>13.8</v>
      </c>
      <c r="AU292" s="289">
        <v>70.099999999999994</v>
      </c>
      <c r="AV292" s="288" cm="1">
        <f t="array" aca="1" ref="AV292" ca="1">INDIRECT("'"&amp;$C292&amp;"'!"&amp;"$"&amp;$D292&amp;$AV$1&amp;"")</f>
        <v>0</v>
      </c>
      <c r="AW292" s="287" t="s">
        <v>1</v>
      </c>
      <c r="AX292" s="288" t="s">
        <v>1</v>
      </c>
      <c r="AY292" s="286" t="s">
        <v>1</v>
      </c>
      <c r="AZ292" s="288" cm="1">
        <f t="array" aca="1" ref="AZ292" ca="1">INDIRECT("'"&amp;$C292&amp;"'!"&amp;"$"&amp;$D292&amp;$AZ$1&amp;"")</f>
        <v>7</v>
      </c>
      <c r="BA292" s="287" t="s">
        <v>1</v>
      </c>
      <c r="BB292" s="288">
        <v>0.96</v>
      </c>
      <c r="BC292" s="286">
        <v>2</v>
      </c>
      <c r="BD292" s="290">
        <v>14.09</v>
      </c>
      <c r="BE292" s="289">
        <v>71.37</v>
      </c>
      <c r="BF292" s="290" cm="1">
        <f t="array" aca="1" ref="BF292" ca="1">INDIRECT("'"&amp;$C292&amp;"'!"&amp;"$"&amp;$D292&amp;$BF$1&amp;"")</f>
        <v>14.21</v>
      </c>
      <c r="BG292" s="288">
        <v>0.99</v>
      </c>
      <c r="BH292" s="286">
        <v>2.2999999999999998</v>
      </c>
      <c r="BI292" s="525">
        <v>68.099999999999994</v>
      </c>
      <c r="BJ292" s="285" cm="1">
        <f t="array" aca="1" ref="BJ292" ca="1">INDIRECT("'"&amp;$C292&amp;"'!"&amp;"$"&amp;$D292&amp;$BI$1&amp;"")</f>
        <v>0.8</v>
      </c>
      <c r="BK292" s="287">
        <v>0.96</v>
      </c>
      <c r="BL292" s="286">
        <v>0.23</v>
      </c>
      <c r="BM292" s="290" cm="1">
        <f t="array" aca="1" ref="BM292" ca="1">INDIRECT("'"&amp;$C292&amp;"'!"&amp;"$"&amp;$D292&amp;$BM$1&amp;"")</f>
        <v>1.22</v>
      </c>
      <c r="BN292" s="288"/>
      <c r="BO292" s="288">
        <v>0.99</v>
      </c>
      <c r="BP292" s="286">
        <v>0.18</v>
      </c>
      <c r="BQ292" s="291" cm="1">
        <f t="array" aca="1" ref="BQ292" ca="1">INDIRECT("'"&amp;$C292&amp;"'!"&amp;"$"&amp;$D292&amp;$BQ$1&amp;"")</f>
        <v>0.79</v>
      </c>
      <c r="BR292" s="288"/>
      <c r="BS292" s="288">
        <v>0.96</v>
      </c>
      <c r="BT292" s="286">
        <v>0.22</v>
      </c>
      <c r="BU292" s="291" cm="1">
        <f t="array" aca="1" ref="BU292" ca="1">INDIRECT("'"&amp;$C292&amp;"'!"&amp;"$"&amp;$D292&amp;74&amp;"")</f>
        <v>0</v>
      </c>
      <c r="BV292" s="288"/>
      <c r="BW292" s="288" t="s">
        <v>1</v>
      </c>
      <c r="BX292" s="286" t="s">
        <v>1</v>
      </c>
    </row>
    <row r="293" spans="1:76">
      <c r="A293" s="459">
        <v>45850</v>
      </c>
      <c r="B293" s="345">
        <v>0.54166666666666696</v>
      </c>
      <c r="C293" s="305">
        <v>12</v>
      </c>
      <c r="D293" s="306" t="s">
        <v>155</v>
      </c>
      <c r="E293" s="278">
        <v>14.2</v>
      </c>
      <c r="F293" s="279">
        <v>68.819999999999993</v>
      </c>
      <c r="G293" s="280" t="str" cm="1">
        <f t="array" aca="1" ref="G293" ca="1">INDIRECT("'"&amp;$C293&amp;"'!"&amp;"$"&amp;$D293&amp;$E$1&amp;"")</f>
        <v>CMS</v>
      </c>
      <c r="H293" s="281" t="s">
        <v>1</v>
      </c>
      <c r="I293" s="279" t="s">
        <v>1</v>
      </c>
      <c r="J293" s="280" cm="1">
        <f t="array" aca="1" ref="J293" ca="1">INDIRECT("'"&amp;$C293&amp;"'!"&amp;"$"&amp;$D293&amp;$J$1&amp;"")</f>
        <v>6.6</v>
      </c>
      <c r="K293" s="281"/>
      <c r="L293" s="281">
        <v>0.92</v>
      </c>
      <c r="M293" s="279">
        <v>2.8</v>
      </c>
      <c r="N293" s="278" cm="1">
        <f t="array" aca="1" ref="N293" ca="1">INDIRECT("'"&amp;$C293&amp;"'!"&amp;"$"&amp;$D293&amp;$N$1&amp;"")</f>
        <v>6.7</v>
      </c>
      <c r="O293" s="281"/>
      <c r="P293" s="281">
        <v>0.92</v>
      </c>
      <c r="Q293" s="279">
        <v>2.84</v>
      </c>
      <c r="R293" s="468" cm="1">
        <f t="array" aca="1" ref="R293" ca="1">INDIRECT("'"&amp;$C293&amp;"'!"&amp;"$"&amp;$D293&amp;$R$1&amp;"")</f>
        <v>6.2</v>
      </c>
      <c r="S293" s="281"/>
      <c r="T293" s="281">
        <v>0.91</v>
      </c>
      <c r="U293" s="279">
        <v>2.81</v>
      </c>
      <c r="V293" s="280" t="str" cm="1">
        <f t="array" aca="1" ref="V293" ca="1">INDIRECT("'"&amp;$C293&amp;"'!"&amp;"$"&amp;$D293&amp;$V$1&amp;"")</f>
        <v>CMS</v>
      </c>
      <c r="W293" s="281" t="s">
        <v>1</v>
      </c>
      <c r="X293" s="281" t="s">
        <v>1</v>
      </c>
      <c r="Y293" s="282" t="s">
        <v>1</v>
      </c>
      <c r="Z293" s="278" cm="1">
        <f t="array" aca="1" ref="Z293" ca="1">INDIRECT("'"&amp;$C293&amp;"'!"&amp;"$"&amp;$D293&amp;$Z$1&amp;"")</f>
        <v>3</v>
      </c>
      <c r="AA293" s="281">
        <f>3.43*3.8</f>
        <v>13.034000000000001</v>
      </c>
      <c r="AB293" s="281">
        <v>0.9</v>
      </c>
      <c r="AC293" s="279">
        <v>1.49</v>
      </c>
      <c r="AD293" s="280" t="str" cm="1">
        <f t="array" aca="1" ref="AD293" ca="1">INDIRECT("'"&amp;$C293&amp;"'!"&amp;"$"&amp;$D293&amp;$AD$1&amp;"")</f>
        <v>CMS</v>
      </c>
      <c r="AE293" s="281" t="s">
        <v>1</v>
      </c>
      <c r="AF293" s="281" t="s">
        <v>1</v>
      </c>
      <c r="AG293" s="282" t="s">
        <v>1</v>
      </c>
      <c r="AH293" s="278" cm="1">
        <f t="array" aca="1" ref="AH293" ca="1">INDIRECT("'"&amp;$C293&amp;"'!"&amp;"$"&amp;$D293&amp;$AH$1&amp;"")</f>
        <v>3.8</v>
      </c>
      <c r="AI293" s="281">
        <v>13.96</v>
      </c>
      <c r="AJ293" s="281">
        <v>0.98</v>
      </c>
      <c r="AK293" s="279">
        <v>0.44700000000000001</v>
      </c>
      <c r="AL293" s="278">
        <v>11.6</v>
      </c>
      <c r="AM293" s="282">
        <v>70.7</v>
      </c>
      <c r="AN293" s="278" cm="1">
        <f t="array" aca="1" ref="AN293" ca="1">INDIRECT("'"&amp;$C293&amp;"'!"&amp;"$"&amp;$D293&amp;$AL$1&amp;"")</f>
        <v>3.7</v>
      </c>
      <c r="AO293" s="281">
        <v>0.93</v>
      </c>
      <c r="AP293" s="279">
        <v>1.59</v>
      </c>
      <c r="AQ293" s="280" cm="1">
        <f t="array" aca="1" ref="AQ293" ca="1">INDIRECT("'"&amp;$C293&amp;"'!"&amp;"$"&amp;$D293&amp;$AQ$1&amp;"")</f>
        <v>0</v>
      </c>
      <c r="AR293" s="281" t="s">
        <v>1</v>
      </c>
      <c r="AS293" s="279" t="s">
        <v>1</v>
      </c>
      <c r="AT293" s="278">
        <v>13.9</v>
      </c>
      <c r="AU293" s="282">
        <v>70.2</v>
      </c>
      <c r="AV293" s="281" cm="1">
        <f t="array" aca="1" ref="AV293" ca="1">INDIRECT("'"&amp;$C293&amp;"'!"&amp;"$"&amp;$D293&amp;$AV$1&amp;"")</f>
        <v>0</v>
      </c>
      <c r="AW293" s="280">
        <v>13.7</v>
      </c>
      <c r="AX293" s="281" t="s">
        <v>1</v>
      </c>
      <c r="AY293" s="279" t="s">
        <v>1</v>
      </c>
      <c r="AZ293" s="281" cm="1">
        <f t="array" aca="1" ref="AZ293" ca="1">INDIRECT("'"&amp;$C293&amp;"'!"&amp;"$"&amp;$D293&amp;$AZ$1&amp;"")</f>
        <v>7</v>
      </c>
      <c r="BA293" s="280">
        <v>13.7</v>
      </c>
      <c r="BB293" s="281">
        <v>0.96</v>
      </c>
      <c r="BC293" s="279">
        <v>2</v>
      </c>
      <c r="BD293" s="283">
        <v>14.09</v>
      </c>
      <c r="BE293" s="282">
        <v>71.31</v>
      </c>
      <c r="BF293" s="283" cm="1">
        <f t="array" aca="1" ref="BF293" ca="1">INDIRECT("'"&amp;$C293&amp;"'!"&amp;"$"&amp;$D293&amp;$BF$1&amp;"")</f>
        <v>14.24</v>
      </c>
      <c r="BG293" s="281">
        <v>0.99</v>
      </c>
      <c r="BH293" s="279">
        <v>2.2999999999999998</v>
      </c>
      <c r="BI293" s="524">
        <v>67.7</v>
      </c>
      <c r="BJ293" s="278" cm="1">
        <f t="array" aca="1" ref="BJ293" ca="1">INDIRECT("'"&amp;$C293&amp;"'!"&amp;"$"&amp;$D293&amp;$BI$1&amp;"")</f>
        <v>0</v>
      </c>
      <c r="BK293" s="280" t="s">
        <v>1</v>
      </c>
      <c r="BL293" s="279" t="s">
        <v>1</v>
      </c>
      <c r="BM293" s="283" cm="1">
        <f t="array" aca="1" ref="BM293" ca="1">INDIRECT("'"&amp;$C293&amp;"'!"&amp;"$"&amp;$D293&amp;$BM$1&amp;"")</f>
        <v>1.19</v>
      </c>
      <c r="BN293" s="281"/>
      <c r="BO293" s="281">
        <v>0.99</v>
      </c>
      <c r="BP293" s="279">
        <v>0.17</v>
      </c>
      <c r="BQ293" s="284" cm="1">
        <f t="array" aca="1" ref="BQ293" ca="1">INDIRECT("'"&amp;$C293&amp;"'!"&amp;"$"&amp;$D293&amp;$BQ$1&amp;"")</f>
        <v>0.8</v>
      </c>
      <c r="BR293" s="281"/>
      <c r="BS293" s="281">
        <v>0.96</v>
      </c>
      <c r="BT293" s="279">
        <v>0.22</v>
      </c>
      <c r="BU293" s="284" cm="1">
        <f t="array" aca="1" ref="BU293" ca="1">INDIRECT("'"&amp;$C293&amp;"'!"&amp;"$"&amp;$D293&amp;74&amp;"")</f>
        <v>0</v>
      </c>
      <c r="BV293" s="281"/>
      <c r="BW293" s="281" t="s">
        <v>1</v>
      </c>
      <c r="BX293" s="279" t="s">
        <v>1</v>
      </c>
    </row>
    <row r="294" spans="1:76">
      <c r="A294" s="459">
        <v>45850</v>
      </c>
      <c r="B294" s="345">
        <v>0.58333333333333404</v>
      </c>
      <c r="C294" s="305">
        <v>12</v>
      </c>
      <c r="D294" s="306" t="s">
        <v>156</v>
      </c>
      <c r="E294" s="285">
        <v>14.1</v>
      </c>
      <c r="F294" s="286">
        <v>68.58</v>
      </c>
      <c r="G294" s="287" t="str" cm="1">
        <f t="array" aca="1" ref="G294" ca="1">INDIRECT("'"&amp;$C294&amp;"'!"&amp;"$"&amp;$D294&amp;$E$1&amp;"")</f>
        <v>CMS</v>
      </c>
      <c r="H294" s="288" t="s">
        <v>1</v>
      </c>
      <c r="I294" s="286" t="s">
        <v>1</v>
      </c>
      <c r="J294" s="287" cm="1">
        <f t="array" aca="1" ref="J294" ca="1">INDIRECT("'"&amp;$C294&amp;"'!"&amp;"$"&amp;$D294&amp;$J$1&amp;"")</f>
        <v>6.6</v>
      </c>
      <c r="K294" s="288"/>
      <c r="L294" s="288">
        <v>0.92</v>
      </c>
      <c r="M294" s="289">
        <v>2.83</v>
      </c>
      <c r="N294" s="285" cm="1">
        <f t="array" aca="1" ref="N294" ca="1">INDIRECT("'"&amp;$C294&amp;"'!"&amp;"$"&amp;$D294&amp;$N$1&amp;"")</f>
        <v>6.6</v>
      </c>
      <c r="O294" s="288"/>
      <c r="P294" s="288">
        <v>0.91</v>
      </c>
      <c r="Q294" s="286">
        <v>2.84</v>
      </c>
      <c r="R294" s="285" cm="1">
        <f t="array" aca="1" ref="R294" ca="1">INDIRECT("'"&amp;$C294&amp;"'!"&amp;"$"&amp;$D294&amp;$R$1&amp;"")</f>
        <v>6.6</v>
      </c>
      <c r="S294" s="288"/>
      <c r="T294" s="288">
        <v>0.91</v>
      </c>
      <c r="U294" s="286">
        <v>2.84</v>
      </c>
      <c r="V294" s="287" t="str" cm="1">
        <f t="array" aca="1" ref="V294" ca="1">INDIRECT("'"&amp;$C294&amp;"'!"&amp;"$"&amp;$D294&amp;$V$1&amp;"")</f>
        <v>CMS</v>
      </c>
      <c r="W294" s="288" t="s">
        <v>1</v>
      </c>
      <c r="X294" s="288" t="s">
        <v>1</v>
      </c>
      <c r="Y294" s="289" t="s">
        <v>1</v>
      </c>
      <c r="Z294" s="285" cm="1">
        <f t="array" aca="1" ref="Z294" ca="1">INDIRECT("'"&amp;$C294&amp;"'!"&amp;"$"&amp;$D294&amp;$Z$1&amp;"")</f>
        <v>3</v>
      </c>
      <c r="AA294" s="288">
        <f>3.8*3.41</f>
        <v>12.958</v>
      </c>
      <c r="AB294" s="288">
        <v>0.9</v>
      </c>
      <c r="AC294" s="286">
        <v>1.5</v>
      </c>
      <c r="AD294" s="287" t="str" cm="1">
        <f t="array" aca="1" ref="AD294" ca="1">INDIRECT("'"&amp;$C294&amp;"'!"&amp;"$"&amp;$D294&amp;$AD$1&amp;"")</f>
        <v>CMS</v>
      </c>
      <c r="AE294" s="288" t="s">
        <v>1</v>
      </c>
      <c r="AF294" s="288" t="s">
        <v>1</v>
      </c>
      <c r="AG294" s="289" t="s">
        <v>1</v>
      </c>
      <c r="AH294" s="285" cm="1">
        <f t="array" aca="1" ref="AH294" ca="1">INDIRECT("'"&amp;$C294&amp;"'!"&amp;"$"&amp;$D294&amp;$AH$1&amp;"")</f>
        <v>3</v>
      </c>
      <c r="AI294" s="288">
        <v>13.96</v>
      </c>
      <c r="AJ294" s="288">
        <v>0.98</v>
      </c>
      <c r="AK294" s="286">
        <v>0.45800000000000002</v>
      </c>
      <c r="AL294" s="285">
        <v>11.6</v>
      </c>
      <c r="AM294" s="289">
        <v>70.3</v>
      </c>
      <c r="AN294" s="285" cm="1">
        <f t="array" aca="1" ref="AN294" ca="1">INDIRECT("'"&amp;$C294&amp;"'!"&amp;"$"&amp;$D294&amp;$AL$1&amp;"")</f>
        <v>3.8</v>
      </c>
      <c r="AO294" s="288">
        <v>0.9</v>
      </c>
      <c r="AP294" s="286">
        <v>1.81</v>
      </c>
      <c r="AQ294" s="287" cm="1">
        <f t="array" aca="1" ref="AQ294" ca="1">INDIRECT("'"&amp;$C294&amp;"'!"&amp;"$"&amp;$D294&amp;$AQ$1&amp;"")</f>
        <v>0</v>
      </c>
      <c r="AR294" s="288" t="s">
        <v>1</v>
      </c>
      <c r="AS294" s="286" t="s">
        <v>1</v>
      </c>
      <c r="AT294" s="285">
        <v>13.9</v>
      </c>
      <c r="AU294" s="289">
        <v>70.2</v>
      </c>
      <c r="AV294" s="288" cm="1">
        <f t="array" aca="1" ref="AV294" ca="1">INDIRECT("'"&amp;$C294&amp;"'!"&amp;"$"&amp;$D294&amp;$AV$1&amp;"")</f>
        <v>0</v>
      </c>
      <c r="AW294" s="287">
        <v>13.7</v>
      </c>
      <c r="AX294" s="288" t="s">
        <v>1</v>
      </c>
      <c r="AY294" s="286" t="s">
        <v>1</v>
      </c>
      <c r="AZ294" s="288" cm="1">
        <f t="array" aca="1" ref="AZ294" ca="1">INDIRECT("'"&amp;$C294&amp;"'!"&amp;"$"&amp;$D294&amp;$AZ$1&amp;"")</f>
        <v>7</v>
      </c>
      <c r="BA294" s="287">
        <v>13.7</v>
      </c>
      <c r="BB294" s="288">
        <v>0.96</v>
      </c>
      <c r="BC294" s="286">
        <v>2</v>
      </c>
      <c r="BD294" s="290">
        <v>14.09</v>
      </c>
      <c r="BE294" s="289">
        <v>71.3</v>
      </c>
      <c r="BF294" s="290" cm="1">
        <f t="array" aca="1" ref="BF294" ca="1">INDIRECT("'"&amp;$C294&amp;"'!"&amp;"$"&amp;$D294&amp;$BF$1&amp;"")</f>
        <v>14.27</v>
      </c>
      <c r="BG294" s="288">
        <v>0.99</v>
      </c>
      <c r="BH294" s="286">
        <v>2.2999999999999998</v>
      </c>
      <c r="BI294" s="525">
        <v>67.7</v>
      </c>
      <c r="BJ294" s="285" cm="1">
        <f t="array" aca="1" ref="BJ294" ca="1">INDIRECT("'"&amp;$C294&amp;"'!"&amp;"$"&amp;$D294&amp;$BI$1&amp;"")</f>
        <v>0</v>
      </c>
      <c r="BK294" s="287" t="s">
        <v>1</v>
      </c>
      <c r="BL294" s="286" t="s">
        <v>1</v>
      </c>
      <c r="BM294" s="290" cm="1">
        <f t="array" aca="1" ref="BM294" ca="1">INDIRECT("'"&amp;$C294&amp;"'!"&amp;"$"&amp;$D294&amp;$BM$1&amp;"")</f>
        <v>1.23</v>
      </c>
      <c r="BN294" s="288"/>
      <c r="BO294" s="288">
        <v>0.99</v>
      </c>
      <c r="BP294" s="286">
        <v>0.18</v>
      </c>
      <c r="BQ294" s="291" cm="1">
        <f t="array" aca="1" ref="BQ294" ca="1">INDIRECT("'"&amp;$C294&amp;"'!"&amp;"$"&amp;$D294&amp;$BQ$1&amp;"")</f>
        <v>0.78</v>
      </c>
      <c r="BR294" s="288"/>
      <c r="BS294" s="288">
        <v>0.96</v>
      </c>
      <c r="BT294" s="286">
        <v>0.21</v>
      </c>
      <c r="BU294" s="291" cm="1">
        <f t="array" aca="1" ref="BU294" ca="1">INDIRECT("'"&amp;$C294&amp;"'!"&amp;"$"&amp;$D294&amp;74&amp;"")</f>
        <v>0</v>
      </c>
      <c r="BV294" s="288"/>
      <c r="BW294" s="288" t="s">
        <v>1</v>
      </c>
      <c r="BX294" s="286" t="s">
        <v>1</v>
      </c>
    </row>
    <row r="295" spans="1:76">
      <c r="A295" s="459">
        <v>45850</v>
      </c>
      <c r="B295" s="345">
        <v>0.625</v>
      </c>
      <c r="C295" s="305">
        <v>12</v>
      </c>
      <c r="D295" s="306" t="s">
        <v>157</v>
      </c>
      <c r="E295" s="278">
        <v>14.1</v>
      </c>
      <c r="F295" s="279">
        <v>68.069999999999993</v>
      </c>
      <c r="G295" s="280" t="str" cm="1">
        <f t="array" aca="1" ref="G295" ca="1">INDIRECT("'"&amp;$C295&amp;"'!"&amp;"$"&amp;$D295&amp;$E$1&amp;"")</f>
        <v>CMS</v>
      </c>
      <c r="H295" s="281" t="s">
        <v>1</v>
      </c>
      <c r="I295" s="279" t="s">
        <v>1</v>
      </c>
      <c r="J295" s="280" cm="1">
        <f t="array" aca="1" ref="J295" ca="1">INDIRECT("'"&amp;$C295&amp;"'!"&amp;"$"&amp;$D295&amp;$J$1&amp;"")</f>
        <v>6.6</v>
      </c>
      <c r="K295" s="281"/>
      <c r="L295" s="281">
        <v>0.92</v>
      </c>
      <c r="M295" s="282">
        <v>2.8</v>
      </c>
      <c r="N295" s="278" cm="1">
        <f t="array" aca="1" ref="N295" ca="1">INDIRECT("'"&amp;$C295&amp;"'!"&amp;"$"&amp;$D295&amp;$N$1&amp;"")</f>
        <v>6.6</v>
      </c>
      <c r="O295" s="281"/>
      <c r="P295" s="281">
        <v>0.92</v>
      </c>
      <c r="Q295" s="279">
        <v>2.8</v>
      </c>
      <c r="R295" s="468" cm="1">
        <f t="array" aca="1" ref="R295" ca="1">INDIRECT("'"&amp;$C295&amp;"'!"&amp;"$"&amp;$D295&amp;$R$1&amp;"")</f>
        <v>6.6</v>
      </c>
      <c r="S295" s="281"/>
      <c r="T295" s="281">
        <v>0.92</v>
      </c>
      <c r="U295" s="279">
        <v>2.8</v>
      </c>
      <c r="V295" s="280" t="str" cm="1">
        <f t="array" aca="1" ref="V295" ca="1">INDIRECT("'"&amp;$C295&amp;"'!"&amp;"$"&amp;$D295&amp;$V$1&amp;"")</f>
        <v>CMS</v>
      </c>
      <c r="W295" s="281" t="s">
        <v>1</v>
      </c>
      <c r="X295" s="281" t="s">
        <v>1</v>
      </c>
      <c r="Y295" s="282" t="s">
        <v>1</v>
      </c>
      <c r="Z295" s="278" cm="1">
        <f t="array" aca="1" ref="Z295" ca="1">INDIRECT("'"&amp;$C295&amp;"'!"&amp;"$"&amp;$D295&amp;$Z$1&amp;"")</f>
        <v>3</v>
      </c>
      <c r="AA295" s="281">
        <v>13.034000000000001</v>
      </c>
      <c r="AB295" s="281">
        <v>0.9</v>
      </c>
      <c r="AC295" s="279">
        <v>1.52</v>
      </c>
      <c r="AD295" s="280" t="str" cm="1">
        <f t="array" aca="1" ref="AD295" ca="1">INDIRECT("'"&amp;$C295&amp;"'!"&amp;"$"&amp;$D295&amp;$AD$1&amp;"")</f>
        <v>CMS</v>
      </c>
      <c r="AE295" s="281" t="s">
        <v>1</v>
      </c>
      <c r="AF295" s="281" t="s">
        <v>1</v>
      </c>
      <c r="AG295" s="279" t="s">
        <v>1</v>
      </c>
      <c r="AH295" s="278" cm="1">
        <f t="array" aca="1" ref="AH295" ca="1">INDIRECT("'"&amp;$C295&amp;"'!"&amp;"$"&amp;$D295&amp;$AH$1&amp;"")</f>
        <v>3</v>
      </c>
      <c r="AI295" s="281">
        <v>13.96</v>
      </c>
      <c r="AJ295" s="281">
        <v>0.98</v>
      </c>
      <c r="AK295" s="279">
        <v>0.435</v>
      </c>
      <c r="AL295" s="278">
        <v>11.6</v>
      </c>
      <c r="AM295" s="282">
        <v>70.400000000000006</v>
      </c>
      <c r="AN295" s="278" cm="1">
        <f t="array" aca="1" ref="AN295" ca="1">INDIRECT("'"&amp;$C295&amp;"'!"&amp;"$"&amp;$D295&amp;$AL$1&amp;"")</f>
        <v>0</v>
      </c>
      <c r="AO295" s="281" t="s">
        <v>1</v>
      </c>
      <c r="AP295" s="279" t="s">
        <v>1</v>
      </c>
      <c r="AQ295" s="280" cm="1">
        <f t="array" aca="1" ref="AQ295" ca="1">INDIRECT("'"&amp;$C295&amp;"'!"&amp;"$"&amp;$D295&amp;$AQ$1&amp;"")</f>
        <v>3.8</v>
      </c>
      <c r="AR295" s="281">
        <v>0.96</v>
      </c>
      <c r="AS295" s="279">
        <v>1.07</v>
      </c>
      <c r="AT295" s="278">
        <v>13.9</v>
      </c>
      <c r="AU295" s="282">
        <v>70.2</v>
      </c>
      <c r="AV295" s="281" cm="1">
        <f t="array" aca="1" ref="AV295" ca="1">INDIRECT("'"&amp;$C295&amp;"'!"&amp;"$"&amp;$D295&amp;$AV$1&amp;"")</f>
        <v>0</v>
      </c>
      <c r="AW295" s="280">
        <v>13.7</v>
      </c>
      <c r="AX295" s="281" t="s">
        <v>1</v>
      </c>
      <c r="AY295" s="279" t="s">
        <v>1</v>
      </c>
      <c r="AZ295" s="281" cm="1">
        <f t="array" aca="1" ref="AZ295" ca="1">INDIRECT("'"&amp;$C295&amp;"'!"&amp;"$"&amp;$D295&amp;$AZ$1&amp;"")</f>
        <v>7</v>
      </c>
      <c r="BA295" s="280">
        <v>13.7</v>
      </c>
      <c r="BB295" s="281">
        <v>0.96</v>
      </c>
      <c r="BC295" s="279">
        <v>2</v>
      </c>
      <c r="BD295" s="283">
        <v>14.2</v>
      </c>
      <c r="BE295" s="282">
        <v>71.53</v>
      </c>
      <c r="BF295" s="283" cm="1">
        <f t="array" aca="1" ref="BF295" ca="1">INDIRECT("'"&amp;$C295&amp;"'!"&amp;"$"&amp;$D295&amp;$BF$1&amp;"")</f>
        <v>14.25</v>
      </c>
      <c r="BG295" s="281">
        <v>0.98</v>
      </c>
      <c r="BH295" s="279">
        <v>3.4</v>
      </c>
      <c r="BI295" s="524">
        <v>67.5</v>
      </c>
      <c r="BJ295" s="278" cm="1">
        <f t="array" aca="1" ref="BJ295" ca="1">INDIRECT("'"&amp;$C295&amp;"'!"&amp;"$"&amp;$D295&amp;$BI$1&amp;"")</f>
        <v>0</v>
      </c>
      <c r="BK295" s="280" t="s">
        <v>1</v>
      </c>
      <c r="BL295" s="279" t="s">
        <v>1</v>
      </c>
      <c r="BM295" s="283" cm="1">
        <f t="array" aca="1" ref="BM295" ca="1">INDIRECT("'"&amp;$C295&amp;"'!"&amp;"$"&amp;$D295&amp;$BM$1&amp;"")</f>
        <v>1.22</v>
      </c>
      <c r="BN295" s="281"/>
      <c r="BO295" s="281">
        <v>0.99</v>
      </c>
      <c r="BP295" s="279">
        <v>0.18</v>
      </c>
      <c r="BQ295" s="284" cm="1">
        <f t="array" aca="1" ref="BQ295" ca="1">INDIRECT("'"&amp;$C295&amp;"'!"&amp;"$"&amp;$D295&amp;$BQ$1&amp;"")</f>
        <v>0.79</v>
      </c>
      <c r="BR295" s="281"/>
      <c r="BS295" s="281">
        <v>0.96</v>
      </c>
      <c r="BT295" s="279">
        <v>0.21</v>
      </c>
      <c r="BU295" s="284" cm="1">
        <f t="array" aca="1" ref="BU295" ca="1">INDIRECT("'"&amp;$C295&amp;"'!"&amp;"$"&amp;$D295&amp;74&amp;"")</f>
        <v>0</v>
      </c>
      <c r="BV295" s="281"/>
      <c r="BW295" s="281" t="s">
        <v>1</v>
      </c>
      <c r="BX295" s="279" t="s">
        <v>1</v>
      </c>
    </row>
    <row r="296" spans="1:76">
      <c r="A296" s="459">
        <v>45850</v>
      </c>
      <c r="B296" s="345">
        <v>0.66666666666666696</v>
      </c>
      <c r="C296" s="305">
        <v>12</v>
      </c>
      <c r="D296" s="306" t="s">
        <v>158</v>
      </c>
      <c r="E296" s="285">
        <v>14.1</v>
      </c>
      <c r="F296" s="286">
        <v>68.75</v>
      </c>
      <c r="G296" s="287" t="str" cm="1">
        <f t="array" aca="1" ref="G296" ca="1">INDIRECT("'"&amp;$C296&amp;"'!"&amp;"$"&amp;$D296&amp;$E$1&amp;"")</f>
        <v>CMS</v>
      </c>
      <c r="H296" s="288" t="s">
        <v>1</v>
      </c>
      <c r="I296" s="286" t="s">
        <v>1</v>
      </c>
      <c r="J296" s="287" cm="1">
        <f t="array" aca="1" ref="J296" ca="1">INDIRECT("'"&amp;$C296&amp;"'!"&amp;"$"&amp;$D296&amp;$J$1&amp;"")</f>
        <v>6.7</v>
      </c>
      <c r="K296" s="288"/>
      <c r="L296" s="288">
        <v>0.92</v>
      </c>
      <c r="M296" s="289">
        <v>2.81</v>
      </c>
      <c r="N296" s="285" cm="1">
        <f t="array" aca="1" ref="N296" ca="1">INDIRECT("'"&amp;$C296&amp;"'!"&amp;"$"&amp;$D296&amp;$N$1&amp;"")</f>
        <v>6.7</v>
      </c>
      <c r="O296" s="288"/>
      <c r="P296" s="288">
        <v>0.92</v>
      </c>
      <c r="Q296" s="286">
        <v>2.81</v>
      </c>
      <c r="R296" s="469" cm="1">
        <f t="array" aca="1" ref="R296" ca="1">INDIRECT("'"&amp;$C296&amp;"'!"&amp;"$"&amp;$D296&amp;$R$1&amp;"")</f>
        <v>6.7</v>
      </c>
      <c r="S296" s="288"/>
      <c r="T296" s="288">
        <v>0.92</v>
      </c>
      <c r="U296" s="286">
        <v>2.81</v>
      </c>
      <c r="V296" s="287" t="str" cm="1">
        <f t="array" aca="1" ref="V296" ca="1">INDIRECT("'"&amp;$C296&amp;"'!"&amp;"$"&amp;$D296&amp;$V$1&amp;"")</f>
        <v>CMS</v>
      </c>
      <c r="W296" s="288" t="s">
        <v>1</v>
      </c>
      <c r="X296" s="288" t="s">
        <v>1</v>
      </c>
      <c r="Y296" s="289" t="s">
        <v>1</v>
      </c>
      <c r="Z296" s="285" cm="1">
        <f t="array" aca="1" ref="Z296" ca="1">INDIRECT("'"&amp;$C296&amp;"'!"&amp;"$"&amp;$D296&amp;$Z$1&amp;"")</f>
        <v>3</v>
      </c>
      <c r="AA296" s="288">
        <f>3.8*3.42</f>
        <v>12.995999999999999</v>
      </c>
      <c r="AB296" s="288">
        <v>0.9</v>
      </c>
      <c r="AC296" s="286">
        <v>1.48</v>
      </c>
      <c r="AD296" s="287" t="str" cm="1">
        <f t="array" aca="1" ref="AD296" ca="1">INDIRECT("'"&amp;$C296&amp;"'!"&amp;"$"&amp;$D296&amp;$AD$1&amp;"")</f>
        <v>CMS</v>
      </c>
      <c r="AE296" s="288" t="s">
        <v>1</v>
      </c>
      <c r="AF296" s="288" t="s">
        <v>1</v>
      </c>
      <c r="AG296" s="289" t="s">
        <v>1</v>
      </c>
      <c r="AH296" s="285" cm="1">
        <f t="array" aca="1" ref="AH296" ca="1">INDIRECT("'"&amp;$C296&amp;"'!"&amp;"$"&amp;$D296&amp;$AH$1&amp;"")</f>
        <v>3.8</v>
      </c>
      <c r="AI296" s="288">
        <v>14</v>
      </c>
      <c r="AJ296" s="288">
        <v>0.99</v>
      </c>
      <c r="AK296" s="286">
        <v>0.41799999999999998</v>
      </c>
      <c r="AL296" s="285">
        <v>11.6</v>
      </c>
      <c r="AM296" s="289">
        <v>70.599999999999994</v>
      </c>
      <c r="AN296" s="285" cm="1">
        <f t="array" aca="1" ref="AN296" ca="1">INDIRECT("'"&amp;$C296&amp;"'!"&amp;"$"&amp;$D296&amp;$AL$1&amp;"")</f>
        <v>0</v>
      </c>
      <c r="AO296" s="288" t="s">
        <v>1</v>
      </c>
      <c r="AP296" s="286" t="s">
        <v>1</v>
      </c>
      <c r="AQ296" s="287" cm="1">
        <f t="array" aca="1" ref="AQ296" ca="1">INDIRECT("'"&amp;$C296&amp;"'!"&amp;"$"&amp;$D296&amp;$AQ$1&amp;"")</f>
        <v>3.8</v>
      </c>
      <c r="AR296" s="288">
        <v>0.95</v>
      </c>
      <c r="AS296" s="286">
        <v>1.29</v>
      </c>
      <c r="AT296" s="285">
        <v>13.9</v>
      </c>
      <c r="AU296" s="289">
        <v>70.2</v>
      </c>
      <c r="AV296" s="288" cm="1">
        <f t="array" aca="1" ref="AV296" ca="1">INDIRECT("'"&amp;$C296&amp;"'!"&amp;"$"&amp;$D296&amp;$AV$1&amp;"")</f>
        <v>0</v>
      </c>
      <c r="AW296" s="287" t="s">
        <v>1</v>
      </c>
      <c r="AX296" s="288" t="s">
        <v>1</v>
      </c>
      <c r="AY296" s="286" t="s">
        <v>1</v>
      </c>
      <c r="AZ296" s="288" cm="1">
        <f t="array" aca="1" ref="AZ296" ca="1">INDIRECT("'"&amp;$C296&amp;"'!"&amp;"$"&amp;$D296&amp;$AZ$1&amp;"")</f>
        <v>7</v>
      </c>
      <c r="BA296" s="287" t="s">
        <v>1</v>
      </c>
      <c r="BB296" s="288">
        <v>0.96</v>
      </c>
      <c r="BC296" s="286">
        <v>2</v>
      </c>
      <c r="BD296" s="290">
        <v>14.22</v>
      </c>
      <c r="BE296" s="289">
        <v>71.64</v>
      </c>
      <c r="BF296" s="290" cm="1">
        <f t="array" aca="1" ref="BF296" ca="1">INDIRECT("'"&amp;$C296&amp;"'!"&amp;"$"&amp;$D296&amp;$BF$1&amp;"")</f>
        <v>14.23</v>
      </c>
      <c r="BG296" s="288">
        <v>0.98</v>
      </c>
      <c r="BH296" s="286">
        <v>3.4</v>
      </c>
      <c r="BI296" s="525">
        <v>67.5</v>
      </c>
      <c r="BJ296" s="285" cm="1">
        <f t="array" aca="1" ref="BJ296" ca="1">INDIRECT("'"&amp;$C296&amp;"'!"&amp;"$"&amp;$D296&amp;$BI$1&amp;"")</f>
        <v>0</v>
      </c>
      <c r="BK296" s="287" t="s">
        <v>1</v>
      </c>
      <c r="BL296" s="286" t="s">
        <v>1</v>
      </c>
      <c r="BM296" s="290" cm="1">
        <f t="array" aca="1" ref="BM296" ca="1">INDIRECT("'"&amp;$C296&amp;"'!"&amp;"$"&amp;$D296&amp;$BM$1&amp;"")</f>
        <v>1.19</v>
      </c>
      <c r="BN296" s="288"/>
      <c r="BO296" s="288">
        <v>0.99</v>
      </c>
      <c r="BP296" s="286">
        <v>0.18</v>
      </c>
      <c r="BQ296" s="291" cm="1">
        <f t="array" aca="1" ref="BQ296" ca="1">INDIRECT("'"&amp;$C296&amp;"'!"&amp;"$"&amp;$D296&amp;$BQ$1&amp;"")</f>
        <v>0.78</v>
      </c>
      <c r="BR296" s="288"/>
      <c r="BS296" s="288">
        <v>0.96</v>
      </c>
      <c r="BT296" s="286">
        <v>0.21</v>
      </c>
      <c r="BU296" s="291" cm="1">
        <f t="array" aca="1" ref="BU296" ca="1">INDIRECT("'"&amp;$C296&amp;"'!"&amp;"$"&amp;$D296&amp;74&amp;"")</f>
        <v>0</v>
      </c>
      <c r="BV296" s="288"/>
      <c r="BW296" s="288" t="s">
        <v>1</v>
      </c>
      <c r="BX296" s="286" t="s">
        <v>1</v>
      </c>
    </row>
    <row r="297" spans="1:76">
      <c r="A297" s="459">
        <v>45850</v>
      </c>
      <c r="B297" s="345">
        <v>0.70833333333333404</v>
      </c>
      <c r="C297" s="305">
        <v>12</v>
      </c>
      <c r="D297" s="306" t="s">
        <v>159</v>
      </c>
      <c r="E297" s="278">
        <v>14.2</v>
      </c>
      <c r="F297" s="279">
        <v>69.08</v>
      </c>
      <c r="G297" s="280" t="str" cm="1">
        <f t="array" aca="1" ref="G297" ca="1">INDIRECT("'"&amp;$C297&amp;"'!"&amp;"$"&amp;$D297&amp;$E$1&amp;"")</f>
        <v>CMS</v>
      </c>
      <c r="H297" s="281" t="s">
        <v>1</v>
      </c>
      <c r="I297" s="279" t="s">
        <v>1</v>
      </c>
      <c r="J297" s="280" cm="1">
        <f t="array" aca="1" ref="J297" ca="1">INDIRECT("'"&amp;$C297&amp;"'!"&amp;"$"&amp;$D297&amp;$J$1&amp;"")</f>
        <v>6.4</v>
      </c>
      <c r="K297" s="281"/>
      <c r="L297" s="281">
        <v>0.92</v>
      </c>
      <c r="M297" s="282">
        <v>2.69</v>
      </c>
      <c r="N297" s="278" cm="1">
        <f t="array" aca="1" ref="N297" ca="1">INDIRECT("'"&amp;$C297&amp;"'!"&amp;"$"&amp;$D297&amp;$N$1&amp;"")</f>
        <v>6.4</v>
      </c>
      <c r="O297" s="281"/>
      <c r="P297" s="281">
        <v>0.92</v>
      </c>
      <c r="Q297" s="279">
        <v>2.69</v>
      </c>
      <c r="R297" s="468" cm="1">
        <f t="array" aca="1" ref="R297" ca="1">INDIRECT("'"&amp;$C297&amp;"'!"&amp;"$"&amp;$D297&amp;$R$1&amp;"")</f>
        <v>6.4</v>
      </c>
      <c r="S297" s="281"/>
      <c r="T297" s="281">
        <v>0.92</v>
      </c>
      <c r="U297" s="279">
        <v>2.69</v>
      </c>
      <c r="V297" s="280" t="str" cm="1">
        <f t="array" aca="1" ref="V297" ca="1">INDIRECT("'"&amp;$C297&amp;"'!"&amp;"$"&amp;$D297&amp;$V$1&amp;"")</f>
        <v>CMS</v>
      </c>
      <c r="W297" s="281" t="s">
        <v>1</v>
      </c>
      <c r="X297" s="281" t="s">
        <v>1</v>
      </c>
      <c r="Y297" s="282" t="s">
        <v>1</v>
      </c>
      <c r="Z297" s="278" cm="1">
        <f t="array" aca="1" ref="Z297" ca="1">INDIRECT("'"&amp;$C297&amp;"'!"&amp;"$"&amp;$D297&amp;$Z$1&amp;"")</f>
        <v>3</v>
      </c>
      <c r="AA297" s="281">
        <f>3.8*3.55</f>
        <v>13.489999999999998</v>
      </c>
      <c r="AB297" s="281">
        <v>0.9</v>
      </c>
      <c r="AC297" s="279">
        <v>1.49</v>
      </c>
      <c r="AD297" s="280" t="str" cm="1">
        <f t="array" aca="1" ref="AD297" ca="1">INDIRECT("'"&amp;$C297&amp;"'!"&amp;"$"&amp;$D297&amp;$AD$1&amp;"")</f>
        <v>CMS</v>
      </c>
      <c r="AE297" s="281" t="s">
        <v>1</v>
      </c>
      <c r="AF297" s="281" t="s">
        <v>1</v>
      </c>
      <c r="AG297" s="282" t="s">
        <v>1</v>
      </c>
      <c r="AH297" s="278" cm="1">
        <f t="array" aca="1" ref="AH297" ca="1">INDIRECT("'"&amp;$C297&amp;"'!"&amp;"$"&amp;$D297&amp;$AH$1&amp;"")</f>
        <v>3</v>
      </c>
      <c r="AI297" s="281">
        <v>14</v>
      </c>
      <c r="AJ297" s="281">
        <v>0.99</v>
      </c>
      <c r="AK297" s="279">
        <v>0.52600000000000002</v>
      </c>
      <c r="AL297" s="278">
        <v>11.6</v>
      </c>
      <c r="AM297" s="282">
        <v>70.5</v>
      </c>
      <c r="AN297" s="278" cm="1">
        <f t="array" aca="1" ref="AN297" ca="1">INDIRECT("'"&amp;$C297&amp;"'!"&amp;"$"&amp;$D297&amp;$AL$1&amp;"")</f>
        <v>0</v>
      </c>
      <c r="AO297" s="281" t="s">
        <v>1</v>
      </c>
      <c r="AP297" s="279" t="s">
        <v>1</v>
      </c>
      <c r="AQ297" s="280" cm="1">
        <f t="array" aca="1" ref="AQ297" ca="1">INDIRECT("'"&amp;$C297&amp;"'!"&amp;"$"&amp;$D297&amp;$AQ$1&amp;"")</f>
        <v>2.2999999999999998</v>
      </c>
      <c r="AR297" s="281">
        <v>0.94</v>
      </c>
      <c r="AS297" s="279">
        <v>0.82</v>
      </c>
      <c r="AT297" s="278">
        <v>13.8</v>
      </c>
      <c r="AU297" s="282">
        <v>70.2</v>
      </c>
      <c r="AV297" s="281" cm="1">
        <f t="array" aca="1" ref="AV297" ca="1">INDIRECT("'"&amp;$C297&amp;"'!"&amp;"$"&amp;$D297&amp;$AV$1&amp;"")</f>
        <v>0</v>
      </c>
      <c r="AW297" s="280" t="s">
        <v>1</v>
      </c>
      <c r="AX297" s="281" t="s">
        <v>1</v>
      </c>
      <c r="AY297" s="279" t="s">
        <v>1</v>
      </c>
      <c r="AZ297" s="281" cm="1">
        <f t="array" aca="1" ref="AZ297" ca="1">INDIRECT("'"&amp;$C297&amp;"'!"&amp;"$"&amp;$D297&amp;$AZ$1&amp;"")</f>
        <v>7</v>
      </c>
      <c r="BA297" s="280" t="s">
        <v>1</v>
      </c>
      <c r="BB297" s="281">
        <v>0.96</v>
      </c>
      <c r="BC297" s="279">
        <v>2</v>
      </c>
      <c r="BD297" s="283">
        <v>14.11</v>
      </c>
      <c r="BE297" s="282">
        <v>71.430000000000007</v>
      </c>
      <c r="BF297" s="283" cm="1">
        <f t="array" aca="1" ref="BF297" ca="1">INDIRECT("'"&amp;$C297&amp;"'!"&amp;"$"&amp;$D297&amp;$BF$1&amp;"")</f>
        <v>14.24</v>
      </c>
      <c r="BG297" s="281">
        <v>0.99</v>
      </c>
      <c r="BH297" s="279">
        <v>2.2999999999999998</v>
      </c>
      <c r="BI297" s="524">
        <v>67.8</v>
      </c>
      <c r="BJ297" s="278" cm="1">
        <f t="array" aca="1" ref="BJ297" ca="1">INDIRECT("'"&amp;$C297&amp;"'!"&amp;"$"&amp;$D297&amp;$BI$1&amp;"")</f>
        <v>0</v>
      </c>
      <c r="BK297" s="280" t="s">
        <v>1</v>
      </c>
      <c r="BL297" s="279" t="s">
        <v>1</v>
      </c>
      <c r="BM297" s="283" cm="1">
        <f t="array" aca="1" ref="BM297" ca="1">INDIRECT("'"&amp;$C297&amp;"'!"&amp;"$"&amp;$D297&amp;$BM$1&amp;"")</f>
        <v>1.22</v>
      </c>
      <c r="BN297" s="281"/>
      <c r="BO297" s="281">
        <v>0.99</v>
      </c>
      <c r="BP297" s="279">
        <v>0.18</v>
      </c>
      <c r="BQ297" s="284" cm="1">
        <f t="array" aca="1" ref="BQ297" ca="1">INDIRECT("'"&amp;$C297&amp;"'!"&amp;"$"&amp;$D297&amp;$BQ$1&amp;"")</f>
        <v>0.8</v>
      </c>
      <c r="BR297" s="281"/>
      <c r="BS297" s="281">
        <v>0.96</v>
      </c>
      <c r="BT297" s="279">
        <v>0.22</v>
      </c>
      <c r="BU297" s="284" cm="1">
        <f t="array" aca="1" ref="BU297" ca="1">INDIRECT("'"&amp;$C297&amp;"'!"&amp;"$"&amp;$D297&amp;74&amp;"")</f>
        <v>0</v>
      </c>
      <c r="BV297" s="281"/>
      <c r="BW297" s="281" t="s">
        <v>1</v>
      </c>
      <c r="BX297" s="279" t="s">
        <v>1</v>
      </c>
    </row>
    <row r="298" spans="1:76">
      <c r="A298" s="459">
        <v>45850</v>
      </c>
      <c r="B298" s="345">
        <v>0.750000000000001</v>
      </c>
      <c r="C298" s="305">
        <v>12</v>
      </c>
      <c r="D298" s="306" t="s">
        <v>160</v>
      </c>
      <c r="E298" s="285">
        <v>14.2</v>
      </c>
      <c r="F298" s="286">
        <v>69.28</v>
      </c>
      <c r="G298" s="287" t="str" cm="1">
        <f t="array" aca="1" ref="G298" ca="1">INDIRECT("'"&amp;$C298&amp;"'!"&amp;"$"&amp;$D298&amp;$E$1&amp;"")</f>
        <v>CMS</v>
      </c>
      <c r="H298" s="288" t="s">
        <v>1</v>
      </c>
      <c r="I298" s="286" t="s">
        <v>1</v>
      </c>
      <c r="J298" s="287" cm="1">
        <f t="array" aca="1" ref="J298" ca="1">INDIRECT("'"&amp;$C298&amp;"'!"&amp;"$"&amp;$D298&amp;$J$1&amp;"")</f>
        <v>6.6</v>
      </c>
      <c r="K298" s="288"/>
      <c r="L298" s="288">
        <v>0.92</v>
      </c>
      <c r="M298" s="289">
        <v>2.77</v>
      </c>
      <c r="N298" s="285" cm="1">
        <f t="array" aca="1" ref="N298" ca="1">INDIRECT("'"&amp;$C298&amp;"'!"&amp;"$"&amp;$D298&amp;$N$1&amp;"")</f>
        <v>6.6</v>
      </c>
      <c r="O298" s="288"/>
      <c r="P298" s="288">
        <v>0.92</v>
      </c>
      <c r="Q298" s="286">
        <v>2.77</v>
      </c>
      <c r="R298" s="285" cm="1">
        <f t="array" aca="1" ref="R298" ca="1">INDIRECT("'"&amp;$C298&amp;"'!"&amp;"$"&amp;$D298&amp;$R$1&amp;"")</f>
        <v>6.6</v>
      </c>
      <c r="S298" s="288"/>
      <c r="T298" s="288">
        <v>0.92</v>
      </c>
      <c r="U298" s="286">
        <v>2.77</v>
      </c>
      <c r="V298" s="287" t="str" cm="1">
        <f t="array" aca="1" ref="V298" ca="1">INDIRECT("'"&amp;$C298&amp;"'!"&amp;"$"&amp;$D298&amp;$V$1&amp;"")</f>
        <v>CMS</v>
      </c>
      <c r="W298" s="288" t="s">
        <v>1</v>
      </c>
      <c r="X298" s="288" t="s">
        <v>1</v>
      </c>
      <c r="Y298" s="289" t="s">
        <v>1</v>
      </c>
      <c r="Z298" s="285" cm="1">
        <f t="array" aca="1" ref="Z298" ca="1">INDIRECT("'"&amp;$C298&amp;"'!"&amp;"$"&amp;$D298&amp;$Z$1&amp;"")</f>
        <v>3.1</v>
      </c>
      <c r="AA298" s="288">
        <f>3.8*3.46</f>
        <v>13.148</v>
      </c>
      <c r="AB298" s="288">
        <v>0.91</v>
      </c>
      <c r="AC298" s="286">
        <v>0.51</v>
      </c>
      <c r="AD298" s="287" t="str" cm="1">
        <f t="array" aca="1" ref="AD298" ca="1">INDIRECT("'"&amp;$C298&amp;"'!"&amp;"$"&amp;$D298&amp;$AD$1&amp;"")</f>
        <v>CMS</v>
      </c>
      <c r="AE298" s="288" t="s">
        <v>1</v>
      </c>
      <c r="AF298" s="288" t="s">
        <v>1</v>
      </c>
      <c r="AG298" s="289" t="s">
        <v>1</v>
      </c>
      <c r="AH298" s="285" cm="1">
        <f t="array" aca="1" ref="AH298" ca="1">INDIRECT("'"&amp;$C298&amp;"'!"&amp;"$"&amp;$D298&amp;$AH$1&amp;"")</f>
        <v>3</v>
      </c>
      <c r="AI298" s="288">
        <v>14</v>
      </c>
      <c r="AJ298" s="288">
        <v>0.98</v>
      </c>
      <c r="AK298" s="286">
        <v>0.57199999999999995</v>
      </c>
      <c r="AL298" s="285">
        <v>11.6</v>
      </c>
      <c r="AM298" s="289">
        <v>70.599999999999994</v>
      </c>
      <c r="AN298" s="285" cm="1">
        <f t="array" aca="1" ref="AN298" ca="1">INDIRECT("'"&amp;$C298&amp;"'!"&amp;"$"&amp;$D298&amp;$AL$1&amp;"")</f>
        <v>0</v>
      </c>
      <c r="AO298" s="288" t="s">
        <v>1</v>
      </c>
      <c r="AP298" s="286" t="s">
        <v>1</v>
      </c>
      <c r="AQ298" s="287" cm="1">
        <f t="array" aca="1" ref="AQ298" ca="1">INDIRECT("'"&amp;$C298&amp;"'!"&amp;"$"&amp;$D298&amp;$AQ$1&amp;"")</f>
        <v>2</v>
      </c>
      <c r="AR298" s="288">
        <v>0.94</v>
      </c>
      <c r="AS298" s="286">
        <v>0.83</v>
      </c>
      <c r="AT298" s="285">
        <v>13.8</v>
      </c>
      <c r="AU298" s="289">
        <v>70.099999999999994</v>
      </c>
      <c r="AV298" s="288" cm="1">
        <f t="array" aca="1" ref="AV298" ca="1">INDIRECT("'"&amp;$C298&amp;"'!"&amp;"$"&amp;$D298&amp;$AV$1&amp;"")</f>
        <v>0</v>
      </c>
      <c r="AW298" s="287" t="s">
        <v>1</v>
      </c>
      <c r="AX298" s="288" t="s">
        <v>1</v>
      </c>
      <c r="AY298" s="286" t="s">
        <v>1</v>
      </c>
      <c r="AZ298" s="288" cm="1">
        <f t="array" aca="1" ref="AZ298" ca="1">INDIRECT("'"&amp;$C298&amp;"'!"&amp;"$"&amp;$D298&amp;$AZ$1&amp;"")</f>
        <v>6.5</v>
      </c>
      <c r="BA298" s="287" t="s">
        <v>1</v>
      </c>
      <c r="BB298" s="288">
        <v>0.96</v>
      </c>
      <c r="BC298" s="286">
        <v>2</v>
      </c>
      <c r="BD298" s="290">
        <v>14.11</v>
      </c>
      <c r="BE298" s="289">
        <v>71.489999999999995</v>
      </c>
      <c r="BF298" s="290" cm="1">
        <f t="array" aca="1" ref="BF298" ca="1">INDIRECT("'"&amp;$C298&amp;"'!"&amp;"$"&amp;$D298&amp;$BF$1&amp;"")</f>
        <v>14.28</v>
      </c>
      <c r="BG298" s="288">
        <v>0.99</v>
      </c>
      <c r="BH298" s="286">
        <v>2.2999999999999998</v>
      </c>
      <c r="BI298" s="525">
        <v>68.2</v>
      </c>
      <c r="BJ298" s="285" cm="1">
        <f t="array" aca="1" ref="BJ298" ca="1">INDIRECT("'"&amp;$C298&amp;"'!"&amp;"$"&amp;$D298&amp;$BI$1&amp;"")</f>
        <v>0</v>
      </c>
      <c r="BK298" s="287" t="s">
        <v>1</v>
      </c>
      <c r="BL298" s="286" t="s">
        <v>1</v>
      </c>
      <c r="BM298" s="290" cm="1">
        <f t="array" aca="1" ref="BM298" ca="1">INDIRECT("'"&amp;$C298&amp;"'!"&amp;"$"&amp;$D298&amp;$BM$1&amp;"")</f>
        <v>1.2</v>
      </c>
      <c r="BN298" s="288"/>
      <c r="BO298" s="288">
        <v>0.99</v>
      </c>
      <c r="BP298" s="286">
        <v>0.18</v>
      </c>
      <c r="BQ298" s="291" cm="1">
        <f t="array" aca="1" ref="BQ298" ca="1">INDIRECT("'"&amp;$C298&amp;"'!"&amp;"$"&amp;$D298&amp;$BQ$1&amp;"")</f>
        <v>0.79</v>
      </c>
      <c r="BR298" s="288"/>
      <c r="BS298" s="288">
        <v>0.96</v>
      </c>
      <c r="BT298" s="286">
        <v>0.22</v>
      </c>
      <c r="BU298" s="291" cm="1">
        <f t="array" aca="1" ref="BU298" ca="1">INDIRECT("'"&amp;$C298&amp;"'!"&amp;"$"&amp;$D298&amp;74&amp;"")</f>
        <v>0</v>
      </c>
      <c r="BV298" s="288"/>
      <c r="BW298" s="288" t="s">
        <v>1</v>
      </c>
      <c r="BX298" s="286" t="s">
        <v>1</v>
      </c>
    </row>
    <row r="299" spans="1:76">
      <c r="A299" s="459">
        <v>45850</v>
      </c>
      <c r="B299" s="345">
        <v>0.79166666666666696</v>
      </c>
      <c r="C299" s="305">
        <v>12</v>
      </c>
      <c r="D299" s="306" t="s">
        <v>161</v>
      </c>
      <c r="E299" s="278">
        <v>14.3</v>
      </c>
      <c r="F299" s="279">
        <v>69.650000000000006</v>
      </c>
      <c r="G299" s="280" t="str" cm="1">
        <f t="array" aca="1" ref="G299" ca="1">INDIRECT("'"&amp;$C299&amp;"'!"&amp;"$"&amp;$D299&amp;$E$1&amp;"")</f>
        <v>CMS</v>
      </c>
      <c r="H299" s="281" t="s">
        <v>1</v>
      </c>
      <c r="I299" s="279" t="s">
        <v>1</v>
      </c>
      <c r="J299" s="280" cm="1">
        <f t="array" aca="1" ref="J299" ca="1">INDIRECT("'"&amp;$C299&amp;"'!"&amp;"$"&amp;$D299&amp;$J$1&amp;"")</f>
        <v>6.7</v>
      </c>
      <c r="K299" s="292"/>
      <c r="L299" s="281">
        <v>0.93</v>
      </c>
      <c r="M299" s="282">
        <v>2.67</v>
      </c>
      <c r="N299" s="278" cm="1">
        <f t="array" aca="1" ref="N299" ca="1">INDIRECT("'"&amp;$C299&amp;"'!"&amp;"$"&amp;$D299&amp;$N$1&amp;"")</f>
        <v>6.7</v>
      </c>
      <c r="O299" s="281"/>
      <c r="P299" s="281">
        <v>0.93</v>
      </c>
      <c r="Q299" s="279">
        <v>2.67</v>
      </c>
      <c r="R299" s="468" cm="1">
        <f t="array" aca="1" ref="R299" ca="1">INDIRECT("'"&amp;$C299&amp;"'!"&amp;"$"&amp;$D299&amp;$R$1&amp;"")</f>
        <v>6.7</v>
      </c>
      <c r="S299" s="281"/>
      <c r="T299" s="281">
        <v>0.93</v>
      </c>
      <c r="U299" s="279">
        <v>2.67</v>
      </c>
      <c r="V299" s="280" cm="1">
        <f t="array" aca="1" ref="V299" ca="1">INDIRECT("'"&amp;$C299&amp;"'!"&amp;"$"&amp;$D299&amp;$V$1&amp;"")</f>
        <v>0</v>
      </c>
      <c r="W299" s="281" t="s">
        <v>1</v>
      </c>
      <c r="X299" s="281" t="s">
        <v>1</v>
      </c>
      <c r="Y299" s="282" t="s">
        <v>1</v>
      </c>
      <c r="Z299" s="278" cm="1">
        <f t="array" aca="1" ref="Z299" ca="1">INDIRECT("'"&amp;$C299&amp;"'!"&amp;"$"&amp;$D299&amp;$Z$1&amp;"")</f>
        <v>3.3</v>
      </c>
      <c r="AA299" s="281">
        <f>3.8*3.48</f>
        <v>13.224</v>
      </c>
      <c r="AB299" s="281">
        <v>0.9</v>
      </c>
      <c r="AC299" s="279">
        <v>1.53</v>
      </c>
      <c r="AD299" s="280" t="str" cm="1">
        <f t="array" aca="1" ref="AD299" ca="1">INDIRECT("'"&amp;$C299&amp;"'!"&amp;"$"&amp;$D299&amp;$AD$1&amp;"")</f>
        <v>CMS</v>
      </c>
      <c r="AE299" s="281" t="s">
        <v>1</v>
      </c>
      <c r="AF299" s="281" t="s">
        <v>1</v>
      </c>
      <c r="AG299" s="282" t="s">
        <v>1</v>
      </c>
      <c r="AH299" s="278" cm="1">
        <f t="array" aca="1" ref="AH299" ca="1">INDIRECT("'"&amp;$C299&amp;"'!"&amp;"$"&amp;$D299&amp;$AH$1&amp;"")</f>
        <v>3.8</v>
      </c>
      <c r="AI299" s="281">
        <v>14</v>
      </c>
      <c r="AJ299" s="281">
        <v>0.99</v>
      </c>
      <c r="AK299" s="279">
        <v>0.56499999999999995</v>
      </c>
      <c r="AL299" s="278">
        <v>11.6</v>
      </c>
      <c r="AM299" s="282">
        <v>70.900000000000006</v>
      </c>
      <c r="AN299" s="278" cm="1">
        <f t="array" aca="1" ref="AN299" ca="1">INDIRECT("'"&amp;$C299&amp;"'!"&amp;"$"&amp;$D299&amp;$AL$1&amp;"")</f>
        <v>0</v>
      </c>
      <c r="AO299" s="281" t="s">
        <v>1</v>
      </c>
      <c r="AP299" s="279" t="s">
        <v>1</v>
      </c>
      <c r="AQ299" s="280" cm="1">
        <f t="array" aca="1" ref="AQ299" ca="1">INDIRECT("'"&amp;$C299&amp;"'!"&amp;"$"&amp;$D299&amp;$AQ$1&amp;"")</f>
        <v>3.8</v>
      </c>
      <c r="AR299" s="281">
        <v>0.96</v>
      </c>
      <c r="AS299" s="279">
        <v>1.03</v>
      </c>
      <c r="AT299" s="278">
        <v>13.9</v>
      </c>
      <c r="AU299" s="282">
        <v>70.3</v>
      </c>
      <c r="AV299" s="281" cm="1">
        <f t="array" aca="1" ref="AV299" ca="1">INDIRECT("'"&amp;$C299&amp;"'!"&amp;"$"&amp;$D299&amp;$AV$1&amp;"")</f>
        <v>0</v>
      </c>
      <c r="AW299" s="280">
        <v>13.7</v>
      </c>
      <c r="AX299" s="281" t="s">
        <v>1</v>
      </c>
      <c r="AY299" s="279" t="s">
        <v>1</v>
      </c>
      <c r="AZ299" s="281" cm="1">
        <f t="array" aca="1" ref="AZ299" ca="1">INDIRECT("'"&amp;$C299&amp;"'!"&amp;"$"&amp;$D299&amp;$AZ$1&amp;"")</f>
        <v>7</v>
      </c>
      <c r="BA299" s="280">
        <v>13.7</v>
      </c>
      <c r="BB299" s="281">
        <v>0.98</v>
      </c>
      <c r="BC299" s="279">
        <v>1.5</v>
      </c>
      <c r="BD299" s="283">
        <v>14.11</v>
      </c>
      <c r="BE299" s="282">
        <v>71.39</v>
      </c>
      <c r="BF299" s="283" cm="1">
        <f t="array" aca="1" ref="BF299" ca="1">INDIRECT("'"&amp;$C299&amp;"'!"&amp;"$"&amp;$D299&amp;$BF$1&amp;"")</f>
        <v>14.26</v>
      </c>
      <c r="BG299" s="281">
        <v>0.99</v>
      </c>
      <c r="BH299" s="279">
        <v>2.2999999999999998</v>
      </c>
      <c r="BI299" s="524">
        <v>68.599999999999994</v>
      </c>
      <c r="BJ299" s="278" cm="1">
        <f t="array" aca="1" ref="BJ299" ca="1">INDIRECT("'"&amp;$C299&amp;"'!"&amp;"$"&amp;$D299&amp;$BI$1&amp;"")</f>
        <v>3.2</v>
      </c>
      <c r="BK299" s="280">
        <v>0.98</v>
      </c>
      <c r="BL299" s="279">
        <v>0.64</v>
      </c>
      <c r="BM299" s="283" cm="1">
        <f t="array" aca="1" ref="BM299" ca="1">INDIRECT("'"&amp;$C299&amp;"'!"&amp;"$"&amp;$D299&amp;$BM$1&amp;"")</f>
        <v>1.44</v>
      </c>
      <c r="BN299" s="281"/>
      <c r="BO299" s="281">
        <v>0.99</v>
      </c>
      <c r="BP299" s="279">
        <v>0.18</v>
      </c>
      <c r="BQ299" s="284" cm="1">
        <f t="array" aca="1" ref="BQ299" ca="1">INDIRECT("'"&amp;$C299&amp;"'!"&amp;"$"&amp;$D299&amp;$BQ$1&amp;"")</f>
        <v>0.91</v>
      </c>
      <c r="BR299" s="281"/>
      <c r="BS299" s="281">
        <v>0.97</v>
      </c>
      <c r="BT299" s="279">
        <v>0.22</v>
      </c>
      <c r="BU299" s="284" cm="1">
        <f t="array" aca="1" ref="BU299" ca="1">INDIRECT("'"&amp;$C299&amp;"'!"&amp;"$"&amp;$D299&amp;74&amp;"")</f>
        <v>0</v>
      </c>
      <c r="BV299" s="281"/>
      <c r="BW299" s="281" t="s">
        <v>1</v>
      </c>
      <c r="BX299" s="279" t="s">
        <v>1</v>
      </c>
    </row>
    <row r="300" spans="1:76">
      <c r="A300" s="459">
        <v>45850</v>
      </c>
      <c r="B300" s="345">
        <v>0.83333333333333337</v>
      </c>
      <c r="C300" s="305">
        <v>12</v>
      </c>
      <c r="D300" s="306" t="s">
        <v>162</v>
      </c>
      <c r="E300" s="285">
        <v>14.3</v>
      </c>
      <c r="F300" s="286">
        <v>70.12</v>
      </c>
      <c r="G300" s="287" t="str" cm="1">
        <f t="array" aca="1" ref="G300" ca="1">INDIRECT("'"&amp;$C300&amp;"'!"&amp;"$"&amp;$D300&amp;$E$1&amp;"")</f>
        <v>CMS</v>
      </c>
      <c r="H300" s="288" t="s">
        <v>1</v>
      </c>
      <c r="I300" s="286" t="s">
        <v>1</v>
      </c>
      <c r="J300" s="287" cm="1">
        <f t="array" aca="1" ref="J300" ca="1">INDIRECT("'"&amp;$C300&amp;"'!"&amp;"$"&amp;$D300&amp;$J$1&amp;"")</f>
        <v>6.7</v>
      </c>
      <c r="K300" s="288"/>
      <c r="L300" s="288">
        <v>0.94</v>
      </c>
      <c r="M300" s="289">
        <v>2.4</v>
      </c>
      <c r="N300" s="285" cm="1">
        <f t="array" aca="1" ref="N300" ca="1">INDIRECT("'"&amp;$C300&amp;"'!"&amp;"$"&amp;$D300&amp;$N$1&amp;"")</f>
        <v>6.7</v>
      </c>
      <c r="O300" s="288"/>
      <c r="P300" s="288">
        <v>0.94</v>
      </c>
      <c r="Q300" s="286">
        <v>2.42</v>
      </c>
      <c r="R300" s="285" cm="1">
        <f t="array" aca="1" ref="R300" ca="1">INDIRECT("'"&amp;$C300&amp;"'!"&amp;"$"&amp;$D300&amp;$R$1&amp;"")</f>
        <v>6.7</v>
      </c>
      <c r="S300" s="288"/>
      <c r="T300" s="288">
        <v>0.97</v>
      </c>
      <c r="U300" s="286">
        <v>1.76</v>
      </c>
      <c r="V300" s="287" cm="1">
        <f t="array" aca="1" ref="V300" ca="1">INDIRECT("'"&amp;$C300&amp;"'!"&amp;"$"&amp;$D300&amp;$V$1&amp;"")</f>
        <v>0</v>
      </c>
      <c r="W300" s="288" t="s">
        <v>1</v>
      </c>
      <c r="X300" s="288" t="s">
        <v>1</v>
      </c>
      <c r="Y300" s="289" t="s">
        <v>1</v>
      </c>
      <c r="Z300" s="285" cm="1">
        <f t="array" aca="1" ref="Z300" ca="1">INDIRECT("'"&amp;$C300&amp;"'!"&amp;"$"&amp;$D300&amp;$Z$1&amp;"")</f>
        <v>3.3</v>
      </c>
      <c r="AA300" s="288">
        <f>3.8*3.51</f>
        <v>13.337999999999999</v>
      </c>
      <c r="AB300" s="288">
        <v>0.91</v>
      </c>
      <c r="AC300" s="286">
        <v>1.41</v>
      </c>
      <c r="AD300" s="287" t="str" cm="1">
        <f t="array" aca="1" ref="AD300" ca="1">INDIRECT("'"&amp;$C300&amp;"'!"&amp;"$"&amp;$D300&amp;$AD$1&amp;"")</f>
        <v>CMS</v>
      </c>
      <c r="AE300" s="288" t="s">
        <v>1</v>
      </c>
      <c r="AF300" s="288" t="s">
        <v>1</v>
      </c>
      <c r="AG300" s="289" t="s">
        <v>1</v>
      </c>
      <c r="AH300" s="285" cm="1">
        <f t="array" aca="1" ref="AH300" ca="1">INDIRECT("'"&amp;$C300&amp;"'!"&amp;"$"&amp;$D300&amp;$AH$1&amp;"")</f>
        <v>3.8</v>
      </c>
      <c r="AI300" s="288">
        <v>14</v>
      </c>
      <c r="AJ300" s="288">
        <v>0.99</v>
      </c>
      <c r="AK300" s="286">
        <v>0.42099999999999999</v>
      </c>
      <c r="AL300" s="285">
        <v>11.6</v>
      </c>
      <c r="AM300" s="289">
        <v>70.900000000000006</v>
      </c>
      <c r="AN300" s="285" cm="1">
        <f t="array" aca="1" ref="AN300" ca="1">INDIRECT("'"&amp;$C300&amp;"'!"&amp;"$"&amp;$D300&amp;$AL$1&amp;"")</f>
        <v>0</v>
      </c>
      <c r="AO300" s="288" t="s">
        <v>1</v>
      </c>
      <c r="AP300" s="286" t="s">
        <v>1</v>
      </c>
      <c r="AQ300" s="287" cm="1">
        <f t="array" aca="1" ref="AQ300" ca="1">INDIRECT("'"&amp;$C300&amp;"'!"&amp;"$"&amp;$D300&amp;$AQ$1&amp;"")</f>
        <v>3.8</v>
      </c>
      <c r="AR300" s="288">
        <v>0.97</v>
      </c>
      <c r="AS300" s="286">
        <v>0.88</v>
      </c>
      <c r="AT300" s="285">
        <v>13.9</v>
      </c>
      <c r="AU300" s="289">
        <v>70.3</v>
      </c>
      <c r="AV300" s="288" cm="1">
        <f t="array" aca="1" ref="AV300" ca="1">INDIRECT("'"&amp;$C300&amp;"'!"&amp;"$"&amp;$D300&amp;$AV$1&amp;"")</f>
        <v>0</v>
      </c>
      <c r="AW300" s="287" t="s">
        <v>1</v>
      </c>
      <c r="AX300" s="288" t="s">
        <v>1</v>
      </c>
      <c r="AY300" s="286" t="s">
        <v>1</v>
      </c>
      <c r="AZ300" s="288" cm="1">
        <f t="array" aca="1" ref="AZ300" ca="1">INDIRECT("'"&amp;$C300&amp;"'!"&amp;"$"&amp;$D300&amp;$AZ$1&amp;"")</f>
        <v>7</v>
      </c>
      <c r="BA300" s="287" t="s">
        <v>1</v>
      </c>
      <c r="BB300" s="288">
        <v>0.98</v>
      </c>
      <c r="BC300" s="286">
        <v>1.5</v>
      </c>
      <c r="BD300" s="290">
        <v>14.14</v>
      </c>
      <c r="BE300" s="289">
        <v>71.67</v>
      </c>
      <c r="BF300" s="290" cm="1">
        <f t="array" aca="1" ref="BF300" ca="1">INDIRECT("'"&amp;$C300&amp;"'!"&amp;"$"&amp;$D300&amp;$BF$1&amp;"")</f>
        <v>14.27</v>
      </c>
      <c r="BG300" s="288">
        <v>0.99</v>
      </c>
      <c r="BH300" s="286">
        <v>2.2999999999999998</v>
      </c>
      <c r="BI300" s="525">
        <v>68.5</v>
      </c>
      <c r="BJ300" s="285" cm="1">
        <f t="array" aca="1" ref="BJ300" ca="1">INDIRECT("'"&amp;$C300&amp;"'!"&amp;"$"&amp;$D300&amp;$BI$1&amp;"")</f>
        <v>0</v>
      </c>
      <c r="BK300" s="287" t="s">
        <v>1</v>
      </c>
      <c r="BL300" s="286" t="s">
        <v>1</v>
      </c>
      <c r="BM300" s="290" cm="1">
        <f t="array" aca="1" ref="BM300" ca="1">INDIRECT("'"&amp;$C300&amp;"'!"&amp;"$"&amp;$D300&amp;$BM$1&amp;"")</f>
        <v>1.52</v>
      </c>
      <c r="BN300" s="288"/>
      <c r="BO300" s="288">
        <v>0.99</v>
      </c>
      <c r="BP300" s="286">
        <v>0.19</v>
      </c>
      <c r="BQ300" s="291" cm="1">
        <f t="array" aca="1" ref="BQ300" ca="1">INDIRECT("'"&amp;$C300&amp;"'!"&amp;"$"&amp;$D300&amp;$BQ$1&amp;"")</f>
        <v>0.94</v>
      </c>
      <c r="BR300" s="288"/>
      <c r="BS300" s="288">
        <v>0.97</v>
      </c>
      <c r="BT300" s="286">
        <v>0.23</v>
      </c>
      <c r="BU300" s="291" cm="1">
        <f t="array" aca="1" ref="BU300" ca="1">INDIRECT("'"&amp;$C300&amp;"'!"&amp;"$"&amp;$D300&amp;74&amp;"")</f>
        <v>0</v>
      </c>
      <c r="BV300" s="288"/>
      <c r="BW300" s="288" t="s">
        <v>1</v>
      </c>
      <c r="BX300" s="286" t="s">
        <v>1</v>
      </c>
    </row>
    <row r="301" spans="1:76">
      <c r="A301" s="459">
        <v>45850</v>
      </c>
      <c r="B301" s="345">
        <v>0.875000000000001</v>
      </c>
      <c r="C301" s="305">
        <v>12</v>
      </c>
      <c r="D301" s="306" t="s">
        <v>163</v>
      </c>
      <c r="E301" s="278">
        <v>14.1</v>
      </c>
      <c r="F301" s="279">
        <v>69.45</v>
      </c>
      <c r="G301" s="280" t="str" cm="1">
        <f t="array" aca="1" ref="G301" ca="1">INDIRECT("'"&amp;$C301&amp;"'!"&amp;"$"&amp;$D301&amp;$E$1&amp;"")</f>
        <v>CMS</v>
      </c>
      <c r="H301" s="281" t="s">
        <v>1</v>
      </c>
      <c r="I301" s="279" t="s">
        <v>1</v>
      </c>
      <c r="J301" s="280" cm="1">
        <f t="array" aca="1" ref="J301" ca="1">INDIRECT("'"&amp;$C301&amp;"'!"&amp;"$"&amp;$D301&amp;$J$1&amp;"")</f>
        <v>6.6</v>
      </c>
      <c r="K301" s="281"/>
      <c r="L301" s="281">
        <v>0.95</v>
      </c>
      <c r="M301" s="282">
        <v>2.2400000000000002</v>
      </c>
      <c r="N301" s="278" cm="1">
        <f t="array" aca="1" ref="N301" ca="1">INDIRECT("'"&amp;$C301&amp;"'!"&amp;"$"&amp;$D301&amp;$N$1&amp;"")</f>
        <v>6.6</v>
      </c>
      <c r="O301" s="281"/>
      <c r="P301" s="281">
        <v>0.95</v>
      </c>
      <c r="Q301" s="279">
        <v>2.25</v>
      </c>
      <c r="R301" s="468" cm="1">
        <f t="array" aca="1" ref="R301" ca="1">INDIRECT("'"&amp;$C301&amp;"'!"&amp;"$"&amp;$D301&amp;$R$1&amp;"")</f>
        <v>6.6</v>
      </c>
      <c r="S301" s="281"/>
      <c r="T301" s="281">
        <v>0.95</v>
      </c>
      <c r="U301" s="279">
        <v>2.23</v>
      </c>
      <c r="V301" s="280" cm="1">
        <f t="array" aca="1" ref="V301" ca="1">INDIRECT("'"&amp;$C301&amp;"'!"&amp;"$"&amp;$D301&amp;$V$1&amp;"")</f>
        <v>0</v>
      </c>
      <c r="W301" s="281" t="s">
        <v>1</v>
      </c>
      <c r="X301" s="281" t="s">
        <v>1</v>
      </c>
      <c r="Y301" s="282" t="s">
        <v>1</v>
      </c>
      <c r="Z301" s="278" cm="1">
        <f t="array" aca="1" ref="Z301" ca="1">INDIRECT("'"&amp;$C301&amp;"'!"&amp;"$"&amp;$D301&amp;$Z$1&amp;"")</f>
        <v>3</v>
      </c>
      <c r="AA301" s="281">
        <f>3.8*3.49</f>
        <v>13.262</v>
      </c>
      <c r="AB301" s="281">
        <v>0.95</v>
      </c>
      <c r="AC301" s="279">
        <v>0.88</v>
      </c>
      <c r="AD301" s="280" t="str" cm="1">
        <f t="array" aca="1" ref="AD301" ca="1">INDIRECT("'"&amp;$C301&amp;"'!"&amp;"$"&amp;$D301&amp;$AD$1&amp;"")</f>
        <v>CMS</v>
      </c>
      <c r="AE301" s="281" t="s">
        <v>1</v>
      </c>
      <c r="AF301" s="281" t="s">
        <v>1</v>
      </c>
      <c r="AG301" s="282" t="s">
        <v>1</v>
      </c>
      <c r="AH301" s="278" cm="1">
        <f t="array" aca="1" ref="AH301" ca="1">INDIRECT("'"&amp;$C301&amp;"'!"&amp;"$"&amp;$D301&amp;$AH$1&amp;"")</f>
        <v>3</v>
      </c>
      <c r="AI301" s="281">
        <v>14</v>
      </c>
      <c r="AJ301" s="281">
        <v>0.99</v>
      </c>
      <c r="AK301" s="279">
        <v>0.45100000000000001</v>
      </c>
      <c r="AL301" s="278">
        <v>11.6</v>
      </c>
      <c r="AM301" s="282">
        <v>70.599999999999994</v>
      </c>
      <c r="AN301" s="278" cm="1">
        <f t="array" aca="1" ref="AN301" ca="1">INDIRECT("'"&amp;$C301&amp;"'!"&amp;"$"&amp;$D301&amp;$AL$1&amp;"")</f>
        <v>0</v>
      </c>
      <c r="AO301" s="281" t="s">
        <v>1</v>
      </c>
      <c r="AP301" s="279" t="s">
        <v>1</v>
      </c>
      <c r="AQ301" s="280" cm="1">
        <f t="array" aca="1" ref="AQ301" ca="1">INDIRECT("'"&amp;$C301&amp;"'!"&amp;"$"&amp;$D301&amp;$AQ$1&amp;"")</f>
        <v>2.2999999999999998</v>
      </c>
      <c r="AR301" s="281">
        <v>0.93</v>
      </c>
      <c r="AS301" s="279">
        <v>1.01</v>
      </c>
      <c r="AT301" s="278">
        <v>13.9</v>
      </c>
      <c r="AU301" s="282">
        <v>70.3</v>
      </c>
      <c r="AV301" s="281" cm="1">
        <f t="array" aca="1" ref="AV301" ca="1">INDIRECT("'"&amp;$C301&amp;"'!"&amp;"$"&amp;$D301&amp;$AV$1&amp;"")</f>
        <v>0</v>
      </c>
      <c r="AW301" s="280" t="s">
        <v>1</v>
      </c>
      <c r="AX301" s="281" t="s">
        <v>1</v>
      </c>
      <c r="AY301" s="279" t="s">
        <v>1</v>
      </c>
      <c r="AZ301" s="281" cm="1">
        <f t="array" aca="1" ref="AZ301" ca="1">INDIRECT("'"&amp;$C301&amp;"'!"&amp;"$"&amp;$D301&amp;$AZ$1&amp;"")</f>
        <v>7</v>
      </c>
      <c r="BA301" s="280" t="s">
        <v>1</v>
      </c>
      <c r="BB301" s="281">
        <v>0.97</v>
      </c>
      <c r="BC301" s="279">
        <v>1.88</v>
      </c>
      <c r="BD301" s="283">
        <v>14.15</v>
      </c>
      <c r="BE301" s="282">
        <v>71.72</v>
      </c>
      <c r="BF301" s="283" cm="1">
        <f t="array" aca="1" ref="BF301" ca="1">INDIRECT("'"&amp;$C301&amp;"'!"&amp;"$"&amp;$D301&amp;$BF$1&amp;"")</f>
        <v>14.26</v>
      </c>
      <c r="BG301" s="281">
        <v>0.99</v>
      </c>
      <c r="BH301" s="279">
        <v>2.2999999999999998</v>
      </c>
      <c r="BI301" s="524">
        <v>68</v>
      </c>
      <c r="BJ301" s="278" cm="1">
        <f t="array" aca="1" ref="BJ301" ca="1">INDIRECT("'"&amp;$C301&amp;"'!"&amp;"$"&amp;$D301&amp;$BI$1&amp;"")</f>
        <v>0</v>
      </c>
      <c r="BK301" s="280" t="s">
        <v>1</v>
      </c>
      <c r="BL301" s="279" t="s">
        <v>1</v>
      </c>
      <c r="BM301" s="283" cm="1">
        <f t="array" aca="1" ref="BM301" ca="1">INDIRECT("'"&amp;$C301&amp;"'!"&amp;"$"&amp;$D301&amp;$BM$1&amp;"")</f>
        <v>1.41</v>
      </c>
      <c r="BN301" s="281"/>
      <c r="BO301" s="281">
        <v>0.99</v>
      </c>
      <c r="BP301" s="279">
        <v>0.16</v>
      </c>
      <c r="BQ301" s="284" cm="1">
        <f t="array" aca="1" ref="BQ301" ca="1">INDIRECT("'"&amp;$C301&amp;"'!"&amp;"$"&amp;$D301&amp;$BQ$1&amp;"")</f>
        <v>0.92</v>
      </c>
      <c r="BR301" s="281"/>
      <c r="BS301" s="281">
        <v>0.97</v>
      </c>
      <c r="BT301" s="279">
        <v>0.23</v>
      </c>
      <c r="BU301" s="284" cm="1">
        <f t="array" aca="1" ref="BU301" ca="1">INDIRECT("'"&amp;$C301&amp;"'!"&amp;"$"&amp;$D301&amp;74&amp;"")</f>
        <v>0</v>
      </c>
      <c r="BV301" s="281"/>
      <c r="BW301" s="281" t="s">
        <v>1</v>
      </c>
      <c r="BX301" s="279" t="s">
        <v>1</v>
      </c>
    </row>
    <row r="302" spans="1:76">
      <c r="A302" s="459">
        <v>45850</v>
      </c>
      <c r="B302" s="345">
        <v>0.91666666666666696</v>
      </c>
      <c r="C302" s="305">
        <v>12</v>
      </c>
      <c r="D302" s="306" t="s">
        <v>164</v>
      </c>
      <c r="E302" s="285">
        <v>14.1</v>
      </c>
      <c r="F302" s="286">
        <v>69.75</v>
      </c>
      <c r="G302" s="287" t="str" cm="1">
        <f t="array" aca="1" ref="G302" ca="1">INDIRECT("'"&amp;$C302&amp;"'!"&amp;"$"&amp;$D302&amp;$E$1&amp;"")</f>
        <v>CMS</v>
      </c>
      <c r="H302" s="288" t="s">
        <v>1</v>
      </c>
      <c r="I302" s="286" t="s">
        <v>1</v>
      </c>
      <c r="J302" s="287" cm="1">
        <f t="array" aca="1" ref="J302" ca="1">INDIRECT("'"&amp;$C302&amp;"'!"&amp;"$"&amp;$D302&amp;$J$1&amp;"")</f>
        <v>5.7</v>
      </c>
      <c r="K302" s="288"/>
      <c r="L302" s="288">
        <v>0.98</v>
      </c>
      <c r="M302" s="289">
        <v>1.5</v>
      </c>
      <c r="N302" s="285" t="str" cm="1">
        <f t="array" aca="1" ref="N302" ca="1">INDIRECT("'"&amp;$C302&amp;"'!"&amp;"$"&amp;$D302&amp;$N$1&amp;"")</f>
        <v>CMS</v>
      </c>
      <c r="O302" s="288"/>
      <c r="P302" s="288" t="s">
        <v>1</v>
      </c>
      <c r="Q302" s="286" t="s">
        <v>1</v>
      </c>
      <c r="R302" s="285" cm="1">
        <f t="array" aca="1" ref="R302" ca="1">INDIRECT("'"&amp;$C302&amp;"'!"&amp;"$"&amp;$D302&amp;$R$1&amp;"")</f>
        <v>5.8</v>
      </c>
      <c r="S302" s="288"/>
      <c r="T302" s="288">
        <v>0.97</v>
      </c>
      <c r="U302" s="286">
        <v>1.62</v>
      </c>
      <c r="V302" s="287" cm="1">
        <f t="array" aca="1" ref="V302" ca="1">INDIRECT("'"&amp;$C302&amp;"'!"&amp;"$"&amp;$D302&amp;$V$1&amp;"")</f>
        <v>2.5</v>
      </c>
      <c r="W302" s="288">
        <f>3.8*3.54</f>
        <v>13.452</v>
      </c>
      <c r="X302" s="288">
        <v>0.96</v>
      </c>
      <c r="Y302" s="289">
        <v>0.66</v>
      </c>
      <c r="Z302" s="285" cm="1">
        <f t="array" aca="1" ref="Z302" ca="1">INDIRECT("'"&amp;$C302&amp;"'!"&amp;"$"&amp;$D302&amp;$Z$1&amp;"")</f>
        <v>3</v>
      </c>
      <c r="AA302" s="288">
        <v>13.45</v>
      </c>
      <c r="AB302" s="288">
        <v>0.96599999999999997</v>
      </c>
      <c r="AC302" s="286">
        <v>0.81</v>
      </c>
      <c r="AD302" s="287" t="str" cm="1">
        <f t="array" aca="1" ref="AD302" ca="1">INDIRECT("'"&amp;$C302&amp;"'!"&amp;"$"&amp;$D302&amp;$AD$1&amp;"")</f>
        <v>CMS</v>
      </c>
      <c r="AE302" s="288" t="s">
        <v>1</v>
      </c>
      <c r="AF302" s="288" t="s">
        <v>1</v>
      </c>
      <c r="AG302" s="289" t="s">
        <v>1</v>
      </c>
      <c r="AH302" s="285" cm="1">
        <f t="array" aca="1" ref="AH302" ca="1">INDIRECT("'"&amp;$C302&amp;"'!"&amp;"$"&amp;$D302&amp;$AH$1&amp;"")</f>
        <v>3</v>
      </c>
      <c r="AI302" s="288">
        <v>14.04</v>
      </c>
      <c r="AJ302" s="288">
        <v>0.99</v>
      </c>
      <c r="AK302" s="286">
        <v>0.28100000000000003</v>
      </c>
      <c r="AL302" s="285">
        <v>11.6</v>
      </c>
      <c r="AM302" s="289">
        <v>71</v>
      </c>
      <c r="AN302" s="285" cm="1">
        <f t="array" aca="1" ref="AN302" ca="1">INDIRECT("'"&amp;$C302&amp;"'!"&amp;"$"&amp;$D302&amp;$AL$1&amp;"")</f>
        <v>0</v>
      </c>
      <c r="AO302" s="288" t="s">
        <v>1</v>
      </c>
      <c r="AP302" s="286" t="s">
        <v>1</v>
      </c>
      <c r="AQ302" s="287" cm="1">
        <f t="array" aca="1" ref="AQ302" ca="1">INDIRECT("'"&amp;$C302&amp;"'!"&amp;"$"&amp;$D302&amp;$AQ$1&amp;"")</f>
        <v>3.2</v>
      </c>
      <c r="AR302" s="288">
        <v>0.97</v>
      </c>
      <c r="AS302" s="286">
        <v>0.71</v>
      </c>
      <c r="AT302" s="285">
        <v>13.9</v>
      </c>
      <c r="AU302" s="289">
        <v>70.3</v>
      </c>
      <c r="AV302" s="288" cm="1">
        <f t="array" aca="1" ref="AV302" ca="1">INDIRECT("'"&amp;$C302&amp;"'!"&amp;"$"&amp;$D302&amp;$AV$1&amp;"")</f>
        <v>0</v>
      </c>
      <c r="AW302" s="287" t="s">
        <v>1</v>
      </c>
      <c r="AX302" s="288" t="s">
        <v>1</v>
      </c>
      <c r="AY302" s="286" t="s">
        <v>1</v>
      </c>
      <c r="AZ302" s="288" cm="1">
        <f t="array" aca="1" ref="AZ302" ca="1">INDIRECT("'"&amp;$C302&amp;"'!"&amp;"$"&amp;$D302&amp;$AZ$1&amp;"")</f>
        <v>7</v>
      </c>
      <c r="BA302" s="287" t="s">
        <v>1</v>
      </c>
      <c r="BB302" s="288">
        <v>0.97</v>
      </c>
      <c r="BC302" s="286">
        <v>1.88</v>
      </c>
      <c r="BD302" s="290">
        <v>14.21</v>
      </c>
      <c r="BE302" s="289">
        <v>71.900000000000006</v>
      </c>
      <c r="BF302" s="290" cm="1">
        <f t="array" aca="1" ref="BF302" ca="1">INDIRECT("'"&amp;$C302&amp;"'!"&amp;"$"&amp;$D302&amp;$BF$1&amp;"")</f>
        <v>14.29</v>
      </c>
      <c r="BG302" s="288">
        <v>0.99</v>
      </c>
      <c r="BH302" s="286">
        <v>2.2999999999999998</v>
      </c>
      <c r="BI302" s="525">
        <v>68.3</v>
      </c>
      <c r="BJ302" s="285" cm="1">
        <f t="array" aca="1" ref="BJ302" ca="1">INDIRECT("'"&amp;$C302&amp;"'!"&amp;"$"&amp;$D302&amp;$BI$1&amp;"")</f>
        <v>0</v>
      </c>
      <c r="BK302" s="287" t="s">
        <v>1</v>
      </c>
      <c r="BL302" s="286" t="s">
        <v>1</v>
      </c>
      <c r="BM302" s="290" cm="1">
        <f t="array" aca="1" ref="BM302" ca="1">INDIRECT("'"&amp;$C302&amp;"'!"&amp;"$"&amp;$D302&amp;$BM$1&amp;"")</f>
        <v>1.29</v>
      </c>
      <c r="BN302" s="288"/>
      <c r="BO302" s="288">
        <v>0.99</v>
      </c>
      <c r="BP302" s="286">
        <v>0.14000000000000001</v>
      </c>
      <c r="BQ302" s="291" cm="1">
        <f t="array" aca="1" ref="BQ302" ca="1">INDIRECT("'"&amp;$C302&amp;"'!"&amp;"$"&amp;$D302&amp;$BQ$1&amp;"")</f>
        <v>0.86</v>
      </c>
      <c r="BR302" s="288"/>
      <c r="BS302" s="288">
        <v>0.97</v>
      </c>
      <c r="BT302" s="286">
        <v>0.2</v>
      </c>
      <c r="BU302" s="291" cm="1">
        <f t="array" aca="1" ref="BU302" ca="1">INDIRECT("'"&amp;$C302&amp;"'!"&amp;"$"&amp;$D302&amp;74&amp;"")</f>
        <v>0</v>
      </c>
      <c r="BV302" s="288"/>
      <c r="BW302" s="288" t="s">
        <v>1</v>
      </c>
      <c r="BX302" s="286" t="s">
        <v>1</v>
      </c>
    </row>
    <row r="303" spans="1:76" ht="14.45" thickBot="1">
      <c r="A303" s="460">
        <v>45850</v>
      </c>
      <c r="B303" s="346">
        <v>0.95833333333333404</v>
      </c>
      <c r="C303" s="307">
        <v>12</v>
      </c>
      <c r="D303" s="308" t="s">
        <v>165</v>
      </c>
      <c r="E303" s="293">
        <v>14.1</v>
      </c>
      <c r="F303" s="294">
        <v>70.16</v>
      </c>
      <c r="G303" s="295" t="str" cm="1">
        <f t="array" aca="1" ref="G303" ca="1">INDIRECT("'"&amp;$C303&amp;"'!"&amp;"$"&amp;$D303&amp;$E$1&amp;"")</f>
        <v>CMS</v>
      </c>
      <c r="H303" s="296" t="s">
        <v>1</v>
      </c>
      <c r="I303" s="294" t="s">
        <v>1</v>
      </c>
      <c r="J303" s="295" cm="1">
        <f t="array" aca="1" ref="J303" ca="1">INDIRECT("'"&amp;$C303&amp;"'!"&amp;"$"&amp;$D303&amp;$J$1&amp;"")</f>
        <v>6.7</v>
      </c>
      <c r="K303" s="296"/>
      <c r="L303" s="296">
        <v>0.98</v>
      </c>
      <c r="M303" s="297">
        <v>1.4</v>
      </c>
      <c r="N303" s="293" t="str" cm="1">
        <f t="array" aca="1" ref="N303" ca="1">INDIRECT("'"&amp;$C303&amp;"'!"&amp;"$"&amp;$D303&amp;$N$1&amp;"")</f>
        <v>CMS</v>
      </c>
      <c r="O303" s="296"/>
      <c r="P303" s="296" t="s">
        <v>1</v>
      </c>
      <c r="Q303" s="294" t="s">
        <v>1</v>
      </c>
      <c r="R303" s="470" cm="1">
        <f t="array" aca="1" ref="R303" ca="1">INDIRECT("'"&amp;$C303&amp;"'!"&amp;"$"&amp;$D303&amp;$R$1&amp;"")</f>
        <v>6.7</v>
      </c>
      <c r="S303" s="296"/>
      <c r="T303" s="296">
        <v>0.98</v>
      </c>
      <c r="U303" s="294">
        <v>1.38</v>
      </c>
      <c r="V303" s="295" cm="1">
        <f t="array" aca="1" ref="V303" ca="1">INDIRECT("'"&amp;$C303&amp;"'!"&amp;"$"&amp;$D303&amp;$V$1&amp;"")</f>
        <v>2.8</v>
      </c>
      <c r="W303" s="296">
        <f>3.8*3.56</f>
        <v>13.527999999999999</v>
      </c>
      <c r="X303" s="296">
        <v>0.98</v>
      </c>
      <c r="Y303" s="297">
        <v>0.54</v>
      </c>
      <c r="Z303" s="293" cm="1">
        <f t="array" aca="1" ref="Z303" ca="1">INDIRECT("'"&amp;$C303&amp;"'!"&amp;"$"&amp;$D303&amp;$Z$1&amp;"")</f>
        <v>2.8</v>
      </c>
      <c r="AA303" s="296">
        <v>13.53</v>
      </c>
      <c r="AB303" s="296">
        <v>0.98</v>
      </c>
      <c r="AC303" s="294">
        <v>0.53</v>
      </c>
      <c r="AD303" s="295" t="str" cm="1">
        <f t="array" aca="1" ref="AD303" ca="1">INDIRECT("'"&amp;$C303&amp;"'!"&amp;"$"&amp;$D303&amp;$AD$1&amp;"")</f>
        <v>CMS</v>
      </c>
      <c r="AE303" s="296" t="s">
        <v>1</v>
      </c>
      <c r="AF303" s="296" t="s">
        <v>1</v>
      </c>
      <c r="AG303" s="297" t="s">
        <v>1</v>
      </c>
      <c r="AH303" s="293" cm="1">
        <f t="array" aca="1" ref="AH303" ca="1">INDIRECT("'"&amp;$C303&amp;"'!"&amp;"$"&amp;$D303&amp;$AH$1&amp;"")</f>
        <v>0</v>
      </c>
      <c r="AI303" s="296" t="s">
        <v>1</v>
      </c>
      <c r="AJ303" s="296" t="s">
        <v>1</v>
      </c>
      <c r="AK303" s="294" t="s">
        <v>1</v>
      </c>
      <c r="AL303" s="293">
        <v>11.6</v>
      </c>
      <c r="AM303" s="297">
        <v>71</v>
      </c>
      <c r="AN303" s="293" cm="1">
        <f t="array" aca="1" ref="AN303" ca="1">INDIRECT("'"&amp;$C303&amp;"'!"&amp;"$"&amp;$D303&amp;$AL$1&amp;"")</f>
        <v>0</v>
      </c>
      <c r="AO303" s="296" t="s">
        <v>1</v>
      </c>
      <c r="AP303" s="294" t="s">
        <v>1</v>
      </c>
      <c r="AQ303" s="295" cm="1">
        <f t="array" aca="1" ref="AQ303" ca="1">INDIRECT("'"&amp;$C303&amp;"'!"&amp;"$"&amp;$D303&amp;$AQ$1&amp;"")</f>
        <v>2.5</v>
      </c>
      <c r="AR303" s="296">
        <v>0.93</v>
      </c>
      <c r="AS303" s="294">
        <v>0.81</v>
      </c>
      <c r="AT303" s="293">
        <v>13.9</v>
      </c>
      <c r="AU303" s="297">
        <v>70.3</v>
      </c>
      <c r="AV303" s="296" cm="1">
        <f t="array" aca="1" ref="AV303" ca="1">INDIRECT("'"&amp;$C303&amp;"'!"&amp;"$"&amp;$D303&amp;$AV$1&amp;"")</f>
        <v>0</v>
      </c>
      <c r="AW303" s="295" t="s">
        <v>1</v>
      </c>
      <c r="AX303" s="296" t="s">
        <v>1</v>
      </c>
      <c r="AY303" s="294" t="s">
        <v>1</v>
      </c>
      <c r="AZ303" s="296" cm="1">
        <f t="array" aca="1" ref="AZ303" ca="1">INDIRECT("'"&amp;$C303&amp;"'!"&amp;"$"&amp;$D303&amp;$AZ$1&amp;"")</f>
        <v>6.8</v>
      </c>
      <c r="BA303" s="295" t="s">
        <v>1</v>
      </c>
      <c r="BB303" s="296">
        <v>0.99</v>
      </c>
      <c r="BC303" s="294">
        <v>1.2</v>
      </c>
      <c r="BD303" s="298">
        <v>14.16</v>
      </c>
      <c r="BE303" s="297">
        <v>71.88</v>
      </c>
      <c r="BF303" s="298" cm="1">
        <f t="array" aca="1" ref="BF303" ca="1">INDIRECT("'"&amp;$C303&amp;"'!"&amp;"$"&amp;$D303&amp;$BF$1&amp;"")</f>
        <v>14.28</v>
      </c>
      <c r="BG303" s="296">
        <v>0.99</v>
      </c>
      <c r="BH303" s="294">
        <v>2.2999999999999998</v>
      </c>
      <c r="BI303" s="526">
        <v>68.900000000000006</v>
      </c>
      <c r="BJ303" s="293" cm="1">
        <f t="array" aca="1" ref="BJ303" ca="1">INDIRECT("'"&amp;$C303&amp;"'!"&amp;"$"&amp;$D303&amp;$BI$1&amp;"")</f>
        <v>0</v>
      </c>
      <c r="BK303" s="295" t="s">
        <v>1</v>
      </c>
      <c r="BL303" s="294" t="s">
        <v>1</v>
      </c>
      <c r="BM303" s="298" cm="1">
        <f t="array" aca="1" ref="BM303" ca="1">INDIRECT("'"&amp;$C303&amp;"'!"&amp;"$"&amp;$D303&amp;$BM$1&amp;"")</f>
        <v>1.18</v>
      </c>
      <c r="BN303" s="296"/>
      <c r="BO303" s="296">
        <v>0.99</v>
      </c>
      <c r="BP303" s="294">
        <v>0.14000000000000001</v>
      </c>
      <c r="BQ303" s="299" cm="1">
        <f t="array" aca="1" ref="BQ303" ca="1">INDIRECT("'"&amp;$C303&amp;"'!"&amp;"$"&amp;$D303&amp;$BQ$1&amp;"")</f>
        <v>0.8</v>
      </c>
      <c r="BR303" s="296"/>
      <c r="BS303" s="296">
        <v>0.97</v>
      </c>
      <c r="BT303" s="294">
        <v>0.19</v>
      </c>
      <c r="BU303" s="299" cm="1">
        <f t="array" aca="1" ref="BU303" ca="1">INDIRECT("'"&amp;$C303&amp;"'!"&amp;"$"&amp;$D303&amp;74&amp;"")</f>
        <v>0</v>
      </c>
      <c r="BV303" s="296"/>
      <c r="BW303" s="296" t="s">
        <v>1</v>
      </c>
      <c r="BX303" s="294" t="s">
        <v>1</v>
      </c>
    </row>
    <row r="304" spans="1:76" ht="14.45" thickBot="1"/>
    <row r="305" spans="1:76">
      <c r="A305" s="347">
        <v>45851</v>
      </c>
      <c r="B305" s="344">
        <v>0</v>
      </c>
      <c r="C305" s="302">
        <v>13</v>
      </c>
      <c r="D305" s="303" t="s">
        <v>142</v>
      </c>
      <c r="E305" s="272">
        <v>14.1</v>
      </c>
      <c r="F305" s="273">
        <v>70</v>
      </c>
      <c r="G305" s="274" t="str" cm="1">
        <f t="array" aca="1" ref="G305" ca="1">INDIRECT("'"&amp;$C305&amp;"'!"&amp;"$"&amp;$D305&amp;$E$1&amp;"")</f>
        <v>CMS</v>
      </c>
      <c r="H305" s="275" t="s">
        <v>1</v>
      </c>
      <c r="I305" s="273" t="s">
        <v>1</v>
      </c>
      <c r="J305" s="274" cm="1">
        <f t="array" aca="1" ref="J305" ca="1">INDIRECT("'"&amp;$C305&amp;"'!"&amp;"$"&amp;$D305&amp;$J$1&amp;"")</f>
        <v>6.7</v>
      </c>
      <c r="K305" s="275"/>
      <c r="L305" s="275">
        <v>0.98</v>
      </c>
      <c r="M305" s="276">
        <v>1.4</v>
      </c>
      <c r="N305" s="272" t="str" cm="1">
        <f t="array" aca="1" ref="N305" ca="1">INDIRECT("'"&amp;$C305&amp;"'!"&amp;"$"&amp;$D305&amp;$N$1&amp;"")</f>
        <v>CMS</v>
      </c>
      <c r="O305" s="275"/>
      <c r="P305" s="275" t="s">
        <v>1</v>
      </c>
      <c r="Q305" s="273" t="s">
        <v>1</v>
      </c>
      <c r="R305" s="467" cm="1">
        <f t="array" aca="1" ref="R305" ca="1">INDIRECT("'"&amp;$C305&amp;"'!"&amp;"$"&amp;$D305&amp;$R$1&amp;"")</f>
        <v>6.7</v>
      </c>
      <c r="S305" s="275"/>
      <c r="T305" s="275">
        <v>0.98</v>
      </c>
      <c r="U305" s="273">
        <v>1.44</v>
      </c>
      <c r="V305" s="274" cm="1">
        <f t="array" aca="1" ref="V305" ca="1">INDIRECT("'"&amp;$C305&amp;"'!"&amp;"$"&amp;$D305&amp;$V$1&amp;"")</f>
        <v>2.6</v>
      </c>
      <c r="W305" s="275">
        <f>3.8*3.54</f>
        <v>13.452</v>
      </c>
      <c r="X305" s="275">
        <v>0.99</v>
      </c>
      <c r="Y305" s="276">
        <v>0.28000000000000003</v>
      </c>
      <c r="Z305" s="272" cm="1">
        <f t="array" aca="1" ref="Z305" ca="1">INDIRECT("'"&amp;$C305&amp;"'!"&amp;"$"&amp;$D305&amp;$Z$1&amp;"")</f>
        <v>0</v>
      </c>
      <c r="AA305" s="275" t="s">
        <v>1</v>
      </c>
      <c r="AB305" s="275" t="s">
        <v>1</v>
      </c>
      <c r="AC305" s="273" t="s">
        <v>1</v>
      </c>
      <c r="AD305" s="274" t="str" cm="1">
        <f t="array" aca="1" ref="AD305" ca="1">INDIRECT("'"&amp;$C305&amp;"'!"&amp;"$"&amp;$D305&amp;$AD$1&amp;"")</f>
        <v>CMS</v>
      </c>
      <c r="AE305" s="275" t="s">
        <v>1</v>
      </c>
      <c r="AF305" s="275" t="s">
        <v>1</v>
      </c>
      <c r="AG305" s="273" t="s">
        <v>1</v>
      </c>
      <c r="AH305" s="272" cm="1">
        <f t="array" aca="1" ref="AH305" ca="1">INDIRECT("'"&amp;$C305&amp;"'!"&amp;"$"&amp;$D305&amp;$AH$1&amp;"")</f>
        <v>0</v>
      </c>
      <c r="AI305" s="275" t="s">
        <v>1</v>
      </c>
      <c r="AJ305" s="275" t="s">
        <v>1</v>
      </c>
      <c r="AK305" s="273" t="s">
        <v>1</v>
      </c>
      <c r="AL305" s="272">
        <v>11.6</v>
      </c>
      <c r="AM305" s="276">
        <v>71.2</v>
      </c>
      <c r="AN305" s="272" cm="1">
        <f t="array" aca="1" ref="AN305" ca="1">INDIRECT("'"&amp;$C305&amp;"'!"&amp;"$"&amp;$D305&amp;$AL$1&amp;"")</f>
        <v>0</v>
      </c>
      <c r="AO305" s="275" t="s">
        <v>1</v>
      </c>
      <c r="AP305" s="273" t="s">
        <v>1</v>
      </c>
      <c r="AQ305" s="274" cm="1">
        <f t="array" aca="1" ref="AQ305" ca="1">INDIRECT("'"&amp;$C305&amp;"'!"&amp;"$"&amp;$D305&amp;$AQ$1&amp;"")</f>
        <v>2</v>
      </c>
      <c r="AR305" s="275">
        <v>0.95</v>
      </c>
      <c r="AS305" s="273">
        <v>0.82</v>
      </c>
      <c r="AT305" s="272">
        <v>13.9</v>
      </c>
      <c r="AU305" s="276">
        <v>70.3</v>
      </c>
      <c r="AV305" s="275" cm="1">
        <f t="array" aca="1" ref="AV305" ca="1">INDIRECT("'"&amp;$C305&amp;"'!"&amp;"$"&amp;$D305&amp;$AV$1&amp;"")</f>
        <v>0</v>
      </c>
      <c r="AW305" s="274" t="s">
        <v>1</v>
      </c>
      <c r="AX305" s="275" t="s">
        <v>1</v>
      </c>
      <c r="AY305" s="273" t="s">
        <v>1</v>
      </c>
      <c r="AZ305" s="275" cm="1">
        <f t="array" aca="1" ref="AZ305" ca="1">INDIRECT("'"&amp;$C305&amp;"'!"&amp;"$"&amp;$D305&amp;$AZ$1&amp;"")</f>
        <v>7</v>
      </c>
      <c r="BA305" s="274" t="s">
        <v>1</v>
      </c>
      <c r="BB305" s="275">
        <v>0.99</v>
      </c>
      <c r="BC305" s="273">
        <v>1.2</v>
      </c>
      <c r="BD305" s="277">
        <v>14.26</v>
      </c>
      <c r="BE305" s="276">
        <v>72.23</v>
      </c>
      <c r="BF305" s="277" cm="1">
        <f t="array" aca="1" ref="BF305" ca="1">INDIRECT("'"&amp;$C305&amp;"'!"&amp;"$"&amp;$D305&amp;$BF$1&amp;"")</f>
        <v>14.32</v>
      </c>
      <c r="BG305" s="275">
        <v>0.99</v>
      </c>
      <c r="BH305" s="273">
        <v>2.2999999999999998</v>
      </c>
      <c r="BI305" s="523">
        <v>69</v>
      </c>
      <c r="BJ305" s="272" cm="1">
        <f t="array" aca="1" ref="BJ305" ca="1">INDIRECT("'"&amp;$C305&amp;"'!"&amp;"$"&amp;$D305&amp;$BI$1&amp;"")</f>
        <v>0</v>
      </c>
      <c r="BK305" s="274" t="s">
        <v>1</v>
      </c>
      <c r="BL305" s="273" t="s">
        <v>1</v>
      </c>
      <c r="BM305" s="277" cm="1">
        <f t="array" aca="1" ref="BM305" ca="1">INDIRECT("'"&amp;$C305&amp;"'!"&amp;"$"&amp;$D305&amp;$BM$1&amp;"")</f>
        <v>1.0900000000000001</v>
      </c>
      <c r="BN305" s="275"/>
      <c r="BO305" s="275">
        <v>0.99</v>
      </c>
      <c r="BP305" s="273">
        <v>0.13</v>
      </c>
      <c r="BQ305" s="277" cm="1">
        <f t="array" aca="1" ref="BQ305" ca="1">INDIRECT("'"&amp;$C305&amp;"'!"&amp;"$"&amp;$D305&amp;$BQ$1&amp;"")</f>
        <v>0.75</v>
      </c>
      <c r="BR305" s="275"/>
      <c r="BS305" s="275">
        <v>0.97</v>
      </c>
      <c r="BT305" s="273">
        <v>0.18</v>
      </c>
      <c r="BU305" s="358" cm="1">
        <f t="array" aca="1" ref="BU305" ca="1">INDIRECT("'"&amp;$C305&amp;"'!"&amp;"$"&amp;$D305&amp;74&amp;"")</f>
        <v>0</v>
      </c>
      <c r="BV305" s="275"/>
      <c r="BW305" s="275" t="s">
        <v>1</v>
      </c>
      <c r="BX305" s="273" t="s">
        <v>1</v>
      </c>
    </row>
    <row r="306" spans="1:76">
      <c r="A306" s="459">
        <v>45851</v>
      </c>
      <c r="B306" s="345">
        <v>4.1666666666666699E-2</v>
      </c>
      <c r="C306" s="305">
        <v>13</v>
      </c>
      <c r="D306" s="306" t="s">
        <v>143</v>
      </c>
      <c r="E306" s="278">
        <v>14.1</v>
      </c>
      <c r="F306" s="279">
        <v>69.790000000000006</v>
      </c>
      <c r="G306" s="280" t="str" cm="1">
        <f t="array" aca="1" ref="G306" ca="1">INDIRECT("'"&amp;$C306&amp;"'!"&amp;"$"&amp;$D306&amp;$E$1&amp;"")</f>
        <v>CMS</v>
      </c>
      <c r="H306" s="281" t="s">
        <v>1</v>
      </c>
      <c r="I306" s="279" t="s">
        <v>1</v>
      </c>
      <c r="J306" s="280" cm="1">
        <f t="array" aca="1" ref="J306" ca="1">INDIRECT("'"&amp;$C306&amp;"'!"&amp;"$"&amp;$D306&amp;$J$1&amp;"")</f>
        <v>4.5</v>
      </c>
      <c r="K306" s="281"/>
      <c r="L306" s="281">
        <v>0.98</v>
      </c>
      <c r="M306" s="282">
        <v>0.83</v>
      </c>
      <c r="N306" s="278" cm="1">
        <f t="array" aca="1" ref="N306" ca="1">INDIRECT("'"&amp;$C306&amp;"'!"&amp;"$"&amp;$D306&amp;$N$1&amp;"")</f>
        <v>2.5</v>
      </c>
      <c r="O306" s="281"/>
      <c r="P306" s="281">
        <v>0.98</v>
      </c>
      <c r="Q306" s="279">
        <v>0.48</v>
      </c>
      <c r="R306" s="468" cm="1">
        <f t="array" aca="1" ref="R306" ca="1">INDIRECT("'"&amp;$C306&amp;"'!"&amp;"$"&amp;$D306&amp;$R$1&amp;"")</f>
        <v>6.3</v>
      </c>
      <c r="S306" s="281"/>
      <c r="T306" s="281">
        <v>0.98</v>
      </c>
      <c r="U306" s="279">
        <v>0.63</v>
      </c>
      <c r="V306" s="280" cm="1">
        <f t="array" aca="1" ref="V306" ca="1">INDIRECT("'"&amp;$C306&amp;"'!"&amp;"$"&amp;$D306&amp;$V$1&amp;"")</f>
        <v>0</v>
      </c>
      <c r="W306" s="281" t="s">
        <v>1</v>
      </c>
      <c r="X306" s="281" t="s">
        <v>1</v>
      </c>
      <c r="Y306" s="282" t="s">
        <v>1</v>
      </c>
      <c r="Z306" s="278" cm="1">
        <f t="array" aca="1" ref="Z306" ca="1">INDIRECT("'"&amp;$C306&amp;"'!"&amp;"$"&amp;$D306&amp;$Z$1&amp;"")</f>
        <v>0</v>
      </c>
      <c r="AA306" s="281" t="s">
        <v>1</v>
      </c>
      <c r="AB306" s="281" t="s">
        <v>1</v>
      </c>
      <c r="AC306" s="279" t="s">
        <v>1</v>
      </c>
      <c r="AD306" s="280" t="str" cm="1">
        <f t="array" aca="1" ref="AD306" ca="1">INDIRECT("'"&amp;$C306&amp;"'!"&amp;"$"&amp;$D306&amp;$AD$1&amp;"")</f>
        <v>CMS</v>
      </c>
      <c r="AE306" s="281" t="s">
        <v>1</v>
      </c>
      <c r="AF306" s="281" t="s">
        <v>1</v>
      </c>
      <c r="AG306" s="282" t="s">
        <v>1</v>
      </c>
      <c r="AH306" s="278" cm="1">
        <f t="array" aca="1" ref="AH306" ca="1">INDIRECT("'"&amp;$C306&amp;"'!"&amp;"$"&amp;$D306&amp;$AH$1&amp;"")</f>
        <v>0</v>
      </c>
      <c r="AI306" s="281" t="s">
        <v>1</v>
      </c>
      <c r="AJ306" s="281" t="s">
        <v>1</v>
      </c>
      <c r="AK306" s="279" t="s">
        <v>1</v>
      </c>
      <c r="AL306" s="278">
        <v>11.6</v>
      </c>
      <c r="AM306" s="282">
        <v>70.7</v>
      </c>
      <c r="AN306" s="278" cm="1">
        <f t="array" aca="1" ref="AN306" ca="1">INDIRECT("'"&amp;$C306&amp;"'!"&amp;"$"&amp;$D306&amp;$AL$1&amp;"")</f>
        <v>0</v>
      </c>
      <c r="AO306" s="281" t="s">
        <v>1</v>
      </c>
      <c r="AP306" s="279" t="s">
        <v>1</v>
      </c>
      <c r="AQ306" s="280" cm="1">
        <f t="array" aca="1" ref="AQ306" ca="1">INDIRECT("'"&amp;$C306&amp;"'!"&amp;"$"&amp;$D306&amp;$AQ$1&amp;"")</f>
        <v>2</v>
      </c>
      <c r="AR306" s="281">
        <v>0.94</v>
      </c>
      <c r="AS306" s="279">
        <v>0.73</v>
      </c>
      <c r="AT306" s="278">
        <v>13.9</v>
      </c>
      <c r="AU306" s="282">
        <v>70.3</v>
      </c>
      <c r="AV306" s="281" cm="1">
        <f t="array" aca="1" ref="AV306" ca="1">INDIRECT("'"&amp;$C306&amp;"'!"&amp;"$"&amp;$D306&amp;$AV$1&amp;"")</f>
        <v>0</v>
      </c>
      <c r="AW306" s="280" t="s">
        <v>1</v>
      </c>
      <c r="AX306" s="281" t="s">
        <v>1</v>
      </c>
      <c r="AY306" s="279" t="s">
        <v>1</v>
      </c>
      <c r="AZ306" s="281" cm="1">
        <f t="array" aca="1" ref="AZ306" ca="1">INDIRECT("'"&amp;$C306&amp;"'!"&amp;"$"&amp;$D306&amp;$AZ$1&amp;"")</f>
        <v>7</v>
      </c>
      <c r="BA306" s="280" t="s">
        <v>1</v>
      </c>
      <c r="BB306" s="281">
        <v>0.99</v>
      </c>
      <c r="BC306" s="279">
        <v>1.1000000000000001</v>
      </c>
      <c r="BD306" s="283">
        <v>14.06</v>
      </c>
      <c r="BE306" s="282">
        <v>71.55</v>
      </c>
      <c r="BF306" s="283" cm="1">
        <f t="array" aca="1" ref="BF306" ca="1">INDIRECT("'"&amp;$C306&amp;"'!"&amp;"$"&amp;$D306&amp;$BF$1&amp;"")</f>
        <v>14.26</v>
      </c>
      <c r="BG306" s="281">
        <v>1</v>
      </c>
      <c r="BH306" s="279">
        <v>1.2</v>
      </c>
      <c r="BI306" s="524">
        <v>68.5</v>
      </c>
      <c r="BJ306" s="278" cm="1">
        <f t="array" aca="1" ref="BJ306" ca="1">INDIRECT("'"&amp;$C306&amp;"'!"&amp;"$"&amp;$D306&amp;$BI$1&amp;"")</f>
        <v>0</v>
      </c>
      <c r="BK306" s="280" t="s">
        <v>1</v>
      </c>
      <c r="BL306" s="279" t="s">
        <v>1</v>
      </c>
      <c r="BM306" s="283" cm="1">
        <f t="array" aca="1" ref="BM306" ca="1">INDIRECT("'"&amp;$C306&amp;"'!"&amp;"$"&amp;$D306&amp;$BM$1&amp;"")</f>
        <v>1.01</v>
      </c>
      <c r="BN306" s="281"/>
      <c r="BO306" s="281">
        <v>0.99</v>
      </c>
      <c r="BP306" s="279">
        <v>0.12</v>
      </c>
      <c r="BQ306" s="283" cm="1">
        <f t="array" aca="1" ref="BQ306" ca="1">INDIRECT("'"&amp;$C306&amp;"'!"&amp;"$"&amp;$D306&amp;$BQ$1&amp;"")</f>
        <v>0.71</v>
      </c>
      <c r="BR306" s="281"/>
      <c r="BS306" s="281">
        <v>0.97</v>
      </c>
      <c r="BT306" s="279">
        <v>0.15</v>
      </c>
      <c r="BU306" s="284" cm="1">
        <f t="array" aca="1" ref="BU306" ca="1">INDIRECT("'"&amp;$C306&amp;"'!"&amp;"$"&amp;$D306&amp;74&amp;"")</f>
        <v>0</v>
      </c>
      <c r="BV306" s="281"/>
      <c r="BW306" s="281" t="s">
        <v>1</v>
      </c>
      <c r="BX306" s="279" t="s">
        <v>1</v>
      </c>
    </row>
    <row r="307" spans="1:76">
      <c r="A307" s="459">
        <v>45851</v>
      </c>
      <c r="B307" s="345">
        <v>8.3333333333333301E-2</v>
      </c>
      <c r="C307" s="305">
        <v>13</v>
      </c>
      <c r="D307" s="306" t="s">
        <v>144</v>
      </c>
      <c r="E307" s="285">
        <v>14.1</v>
      </c>
      <c r="F307" s="286">
        <v>70.11</v>
      </c>
      <c r="G307" s="287" t="str" cm="1">
        <f t="array" aca="1" ref="G307" ca="1">INDIRECT("'"&amp;$C307&amp;"'!"&amp;"$"&amp;$D307&amp;$E$1&amp;"")</f>
        <v>CMS</v>
      </c>
      <c r="H307" s="288" t="s">
        <v>1</v>
      </c>
      <c r="I307" s="286" t="s">
        <v>1</v>
      </c>
      <c r="J307" s="287" t="str" cm="1">
        <f t="array" aca="1" ref="J307" ca="1">INDIRECT("'"&amp;$C307&amp;"'!"&amp;"$"&amp;$D307&amp;$J$1&amp;"")</f>
        <v>CMS</v>
      </c>
      <c r="K307" s="288"/>
      <c r="L307" s="288" t="s">
        <v>1</v>
      </c>
      <c r="M307" s="289" t="s">
        <v>1</v>
      </c>
      <c r="N307" s="285" cm="1">
        <f t="array" aca="1" ref="N307" ca="1">INDIRECT("'"&amp;$C307&amp;"'!"&amp;"$"&amp;$D307&amp;$N$1&amp;"")</f>
        <v>6.7</v>
      </c>
      <c r="O307" s="288"/>
      <c r="P307" s="288">
        <v>0.98</v>
      </c>
      <c r="Q307" s="286">
        <v>1.25</v>
      </c>
      <c r="R307" s="285" cm="1">
        <f t="array" aca="1" ref="R307" ca="1">INDIRECT("'"&amp;$C307&amp;"'!"&amp;"$"&amp;$D307&amp;$R$1&amp;"")</f>
        <v>6.7</v>
      </c>
      <c r="S307" s="288"/>
      <c r="T307" s="288">
        <v>0.98</v>
      </c>
      <c r="U307" s="286">
        <v>1.27</v>
      </c>
      <c r="V307" s="287" cm="1">
        <f t="array" aca="1" ref="V307" ca="1">INDIRECT("'"&amp;$C307&amp;"'!"&amp;"$"&amp;$D307&amp;$V$1&amp;"")</f>
        <v>0</v>
      </c>
      <c r="W307" s="288" t="s">
        <v>1</v>
      </c>
      <c r="X307" s="288" t="s">
        <v>1</v>
      </c>
      <c r="Y307" s="289" t="s">
        <v>1</v>
      </c>
      <c r="Z307" s="278" cm="1">
        <f t="array" aca="1" ref="Z307" ca="1">INDIRECT("'"&amp;$C307&amp;"'!"&amp;"$"&amp;$D307&amp;$Z$1&amp;"")</f>
        <v>0</v>
      </c>
      <c r="AA307" s="288" t="s">
        <v>1</v>
      </c>
      <c r="AB307" s="288" t="s">
        <v>1</v>
      </c>
      <c r="AC307" s="286" t="s">
        <v>1</v>
      </c>
      <c r="AD307" s="287" t="str" cm="1">
        <f t="array" aca="1" ref="AD307" ca="1">INDIRECT("'"&amp;$C307&amp;"'!"&amp;"$"&amp;$D307&amp;$AD$1&amp;"")</f>
        <v>CMS</v>
      </c>
      <c r="AE307" s="288" t="s">
        <v>1</v>
      </c>
      <c r="AF307" s="288" t="s">
        <v>1</v>
      </c>
      <c r="AG307" s="289" t="s">
        <v>1</v>
      </c>
      <c r="AH307" s="285" cm="1">
        <f t="array" aca="1" ref="AH307" ca="1">INDIRECT("'"&amp;$C307&amp;"'!"&amp;"$"&amp;$D307&amp;$AH$1&amp;"")</f>
        <v>0</v>
      </c>
      <c r="AI307" s="288" t="s">
        <v>1</v>
      </c>
      <c r="AJ307" s="288" t="s">
        <v>1</v>
      </c>
      <c r="AK307" s="289" t="s">
        <v>1</v>
      </c>
      <c r="AL307" s="285">
        <v>11.6</v>
      </c>
      <c r="AM307" s="289">
        <v>70.900000000000006</v>
      </c>
      <c r="AN307" s="285" cm="1">
        <f t="array" aca="1" ref="AN307" ca="1">INDIRECT("'"&amp;$C307&amp;"'!"&amp;"$"&amp;$D307&amp;$AL$1&amp;"")</f>
        <v>0</v>
      </c>
      <c r="AO307" s="288" t="s">
        <v>1</v>
      </c>
      <c r="AP307" s="286" t="s">
        <v>1</v>
      </c>
      <c r="AQ307" s="287" cm="1">
        <f t="array" aca="1" ref="AQ307" ca="1">INDIRECT("'"&amp;$C307&amp;"'!"&amp;"$"&amp;$D307&amp;$AQ$1&amp;"")</f>
        <v>1.5</v>
      </c>
      <c r="AR307" s="288">
        <v>0.96</v>
      </c>
      <c r="AS307" s="286">
        <v>0.47</v>
      </c>
      <c r="AT307" s="285">
        <v>13.9</v>
      </c>
      <c r="AU307" s="289">
        <v>70.3</v>
      </c>
      <c r="AV307" s="288" cm="1">
        <f t="array" aca="1" ref="AV307" ca="1">INDIRECT("'"&amp;$C307&amp;"'!"&amp;"$"&amp;$D307&amp;$AV$1&amp;"")</f>
        <v>0</v>
      </c>
      <c r="AW307" s="287" t="s">
        <v>1</v>
      </c>
      <c r="AX307" s="288" t="s">
        <v>1</v>
      </c>
      <c r="AY307" s="286" t="s">
        <v>1</v>
      </c>
      <c r="AZ307" s="288" cm="1">
        <f t="array" aca="1" ref="AZ307" ca="1">INDIRECT("'"&amp;$C307&amp;"'!"&amp;"$"&amp;$D307&amp;$AZ$1&amp;"")</f>
        <v>5.8</v>
      </c>
      <c r="BA307" s="287" t="s">
        <v>1</v>
      </c>
      <c r="BB307" s="288">
        <v>0.99</v>
      </c>
      <c r="BC307" s="286">
        <v>0.9</v>
      </c>
      <c r="BD307" s="290">
        <v>14.06</v>
      </c>
      <c r="BE307" s="289">
        <v>71.67</v>
      </c>
      <c r="BF307" s="290" cm="1">
        <f t="array" aca="1" ref="BF307" ca="1">INDIRECT("'"&amp;$C307&amp;"'!"&amp;"$"&amp;$D307&amp;$BF$1&amp;"")</f>
        <v>14.29</v>
      </c>
      <c r="BG307" s="288">
        <v>1</v>
      </c>
      <c r="BH307" s="286">
        <v>1.2</v>
      </c>
      <c r="BI307" s="525">
        <v>68.8</v>
      </c>
      <c r="BJ307" s="285" cm="1">
        <f t="array" aca="1" ref="BJ307" ca="1">INDIRECT("'"&amp;$C307&amp;"'!"&amp;"$"&amp;$D307&amp;$BI$1&amp;"")</f>
        <v>0</v>
      </c>
      <c r="BK307" s="287" t="s">
        <v>1</v>
      </c>
      <c r="BL307" s="286" t="s">
        <v>1</v>
      </c>
      <c r="BM307" s="290" cm="1">
        <f t="array" aca="1" ref="BM307" ca="1">INDIRECT("'"&amp;$C307&amp;"'!"&amp;"$"&amp;$D307&amp;$BM$1&amp;"")</f>
        <v>0.98</v>
      </c>
      <c r="BN307" s="288"/>
      <c r="BO307" s="288">
        <v>0.99</v>
      </c>
      <c r="BP307" s="286">
        <v>0.1</v>
      </c>
      <c r="BQ307" s="290" cm="1">
        <f t="array" aca="1" ref="BQ307" ca="1">INDIRECT("'"&amp;$C307&amp;"'!"&amp;"$"&amp;$D307&amp;$BQ$1&amp;"")</f>
        <v>0.69</v>
      </c>
      <c r="BR307" s="288"/>
      <c r="BS307" s="288">
        <v>0.97</v>
      </c>
      <c r="BT307" s="286">
        <v>0.18</v>
      </c>
      <c r="BU307" s="291" cm="1">
        <f t="array" aca="1" ref="BU307" ca="1">INDIRECT("'"&amp;$C307&amp;"'!"&amp;"$"&amp;$D307&amp;74&amp;"")</f>
        <v>0</v>
      </c>
      <c r="BV307" s="288"/>
      <c r="BW307" s="288" t="s">
        <v>1</v>
      </c>
      <c r="BX307" s="286" t="s">
        <v>1</v>
      </c>
    </row>
    <row r="308" spans="1:76">
      <c r="A308" s="459">
        <v>45851</v>
      </c>
      <c r="B308" s="345">
        <v>0.125</v>
      </c>
      <c r="C308" s="305">
        <v>13</v>
      </c>
      <c r="D308" s="306" t="s">
        <v>145</v>
      </c>
      <c r="E308" s="278">
        <v>14.1</v>
      </c>
      <c r="F308" s="279">
        <v>70.17</v>
      </c>
      <c r="G308" s="280" t="str" cm="1">
        <f t="array" aca="1" ref="G308" ca="1">INDIRECT("'"&amp;$C308&amp;"'!"&amp;"$"&amp;$D308&amp;$E$1&amp;"")</f>
        <v>CMS</v>
      </c>
      <c r="H308" s="281" t="s">
        <v>1</v>
      </c>
      <c r="I308" s="279" t="s">
        <v>1</v>
      </c>
      <c r="J308" s="280" t="str" cm="1">
        <f t="array" aca="1" ref="J308" ca="1">INDIRECT("'"&amp;$C308&amp;"'!"&amp;"$"&amp;$D308&amp;$J$1&amp;"")</f>
        <v>CMS</v>
      </c>
      <c r="K308" s="281"/>
      <c r="L308" s="281" t="s">
        <v>1</v>
      </c>
      <c r="M308" s="282" t="s">
        <v>1</v>
      </c>
      <c r="N308" s="278" cm="1">
        <f t="array" aca="1" ref="N308" ca="1">INDIRECT("'"&amp;$C308&amp;"'!"&amp;"$"&amp;$D308&amp;$N$1&amp;"")</f>
        <v>6.7</v>
      </c>
      <c r="O308" s="281"/>
      <c r="P308" s="281">
        <v>0.98</v>
      </c>
      <c r="Q308" s="279">
        <v>1.27</v>
      </c>
      <c r="R308" s="468" cm="1">
        <f t="array" aca="1" ref="R308" ca="1">INDIRECT("'"&amp;$C308&amp;"'!"&amp;"$"&amp;$D308&amp;$R$1&amp;"")</f>
        <v>6.7</v>
      </c>
      <c r="S308" s="281"/>
      <c r="T308" s="281">
        <v>0.99</v>
      </c>
      <c r="U308" s="279">
        <v>1</v>
      </c>
      <c r="V308" s="280" cm="1">
        <f t="array" aca="1" ref="V308" ca="1">INDIRECT("'"&amp;$C308&amp;"'!"&amp;"$"&amp;$D308&amp;$V$1&amp;"")</f>
        <v>0</v>
      </c>
      <c r="W308" s="281" t="s">
        <v>1</v>
      </c>
      <c r="X308" s="281" t="s">
        <v>1</v>
      </c>
      <c r="Y308" s="282" t="s">
        <v>1</v>
      </c>
      <c r="Z308" s="278" cm="1">
        <f t="array" aca="1" ref="Z308" ca="1">INDIRECT("'"&amp;$C308&amp;"'!"&amp;"$"&amp;$D308&amp;$Z$1&amp;"")</f>
        <v>0</v>
      </c>
      <c r="AA308" s="281" t="s">
        <v>1</v>
      </c>
      <c r="AB308" s="281" t="s">
        <v>1</v>
      </c>
      <c r="AC308" s="279" t="s">
        <v>1</v>
      </c>
      <c r="AD308" s="280" t="str" cm="1">
        <f t="array" aca="1" ref="AD308" ca="1">INDIRECT("'"&amp;$C308&amp;"'!"&amp;"$"&amp;$D308&amp;$AD$1&amp;"")</f>
        <v>CMS</v>
      </c>
      <c r="AE308" s="281" t="s">
        <v>1</v>
      </c>
      <c r="AF308" s="281" t="s">
        <v>1</v>
      </c>
      <c r="AG308" s="282" t="s">
        <v>1</v>
      </c>
      <c r="AH308" s="278" cm="1">
        <f t="array" aca="1" ref="AH308" ca="1">INDIRECT("'"&amp;$C308&amp;"'!"&amp;"$"&amp;$D308&amp;$AH$1&amp;"")</f>
        <v>0</v>
      </c>
      <c r="AI308" s="281" t="s">
        <v>1</v>
      </c>
      <c r="AJ308" s="281" t="s">
        <v>1</v>
      </c>
      <c r="AK308" s="279" t="s">
        <v>1</v>
      </c>
      <c r="AL308" s="278">
        <v>0</v>
      </c>
      <c r="AM308" s="282">
        <v>70.8</v>
      </c>
      <c r="AN308" s="278" cm="1">
        <f t="array" aca="1" ref="AN308" ca="1">INDIRECT("'"&amp;$C308&amp;"'!"&amp;"$"&amp;$D308&amp;$AL$1&amp;"")</f>
        <v>0</v>
      </c>
      <c r="AO308" s="281" t="s">
        <v>1</v>
      </c>
      <c r="AP308" s="279" t="s">
        <v>1</v>
      </c>
      <c r="AQ308" s="280" cm="1">
        <f t="array" aca="1" ref="AQ308" ca="1">INDIRECT("'"&amp;$C308&amp;"'!"&amp;"$"&amp;$D308&amp;$AQ$1&amp;"")</f>
        <v>0</v>
      </c>
      <c r="AR308" s="281" t="s">
        <v>1</v>
      </c>
      <c r="AS308" s="279" t="s">
        <v>1</v>
      </c>
      <c r="AT308" s="278">
        <v>13.9</v>
      </c>
      <c r="AU308" s="282">
        <v>70.3</v>
      </c>
      <c r="AV308" s="281" cm="1">
        <f t="array" aca="1" ref="AV308" ca="1">INDIRECT("'"&amp;$C308&amp;"'!"&amp;"$"&amp;$D308&amp;$AV$1&amp;"")</f>
        <v>0</v>
      </c>
      <c r="AW308" s="280" t="s">
        <v>1</v>
      </c>
      <c r="AX308" s="281" t="s">
        <v>1</v>
      </c>
      <c r="AY308" s="279" t="s">
        <v>1</v>
      </c>
      <c r="AZ308" s="281" cm="1">
        <f t="array" aca="1" ref="AZ308" ca="1">INDIRECT("'"&amp;$C308&amp;"'!"&amp;"$"&amp;$D308&amp;$AZ$1&amp;"")</f>
        <v>6</v>
      </c>
      <c r="BA308" s="280" t="s">
        <v>1</v>
      </c>
      <c r="BB308" s="281">
        <v>0.98</v>
      </c>
      <c r="BC308" s="279">
        <v>1.4</v>
      </c>
      <c r="BD308" s="283">
        <v>14.05</v>
      </c>
      <c r="BE308" s="282">
        <v>71.58</v>
      </c>
      <c r="BF308" s="283" cm="1">
        <f t="array" aca="1" ref="BF308" ca="1">INDIRECT("'"&amp;$C308&amp;"'!"&amp;"$"&amp;$D308&amp;$BF$1&amp;"")</f>
        <v>14.3</v>
      </c>
      <c r="BG308" s="281">
        <v>1</v>
      </c>
      <c r="BH308" s="279">
        <v>1.2</v>
      </c>
      <c r="BI308" s="524">
        <v>68.900000000000006</v>
      </c>
      <c r="BJ308" s="278" cm="1">
        <f t="array" aca="1" ref="BJ308" ca="1">INDIRECT("'"&amp;$C308&amp;"'!"&amp;"$"&amp;$D308&amp;$BI$1&amp;"")</f>
        <v>0</v>
      </c>
      <c r="BK308" s="280" t="s">
        <v>1</v>
      </c>
      <c r="BL308" s="279" t="s">
        <v>1</v>
      </c>
      <c r="BM308" s="283" cm="1">
        <f t="array" aca="1" ref="BM308" ca="1">INDIRECT("'"&amp;$C308&amp;"'!"&amp;"$"&amp;$D308&amp;$BM$1&amp;"")</f>
        <v>0.88</v>
      </c>
      <c r="BN308" s="281"/>
      <c r="BO308" s="281">
        <v>0.99</v>
      </c>
      <c r="BP308" s="279">
        <v>0.1</v>
      </c>
      <c r="BQ308" s="283" cm="1">
        <f t="array" aca="1" ref="BQ308" ca="1">INDIRECT("'"&amp;$C308&amp;"'!"&amp;"$"&amp;$D308&amp;$BQ$1&amp;"")</f>
        <v>0.66</v>
      </c>
      <c r="BR308" s="281"/>
      <c r="BS308" s="281">
        <v>0.97</v>
      </c>
      <c r="BT308" s="279">
        <v>0.16</v>
      </c>
      <c r="BU308" s="284" cm="1">
        <f t="array" aca="1" ref="BU308" ca="1">INDIRECT("'"&amp;$C308&amp;"'!"&amp;"$"&amp;$D308&amp;74&amp;"")</f>
        <v>0</v>
      </c>
      <c r="BV308" s="281"/>
      <c r="BW308" s="281" t="s">
        <v>1</v>
      </c>
      <c r="BX308" s="279" t="s">
        <v>1</v>
      </c>
    </row>
    <row r="309" spans="1:76">
      <c r="A309" s="459">
        <v>45851</v>
      </c>
      <c r="B309" s="345">
        <v>0.16666666666666699</v>
      </c>
      <c r="C309" s="305">
        <v>13</v>
      </c>
      <c r="D309" s="306" t="s">
        <v>146</v>
      </c>
      <c r="E309" s="285">
        <v>14.1</v>
      </c>
      <c r="F309" s="286">
        <v>70.17</v>
      </c>
      <c r="G309" s="287" t="str" cm="1">
        <f t="array" aca="1" ref="G309" ca="1">INDIRECT("'"&amp;$C309&amp;"'!"&amp;"$"&amp;$D309&amp;$E$1&amp;"")</f>
        <v>CMS</v>
      </c>
      <c r="H309" s="288" t="s">
        <v>1</v>
      </c>
      <c r="I309" s="286" t="s">
        <v>1</v>
      </c>
      <c r="J309" s="287" t="str" cm="1">
        <f t="array" aca="1" ref="J309" ca="1">INDIRECT("'"&amp;$C309&amp;"'!"&amp;"$"&amp;$D309&amp;$J$1&amp;"")</f>
        <v>CMS</v>
      </c>
      <c r="K309" s="288"/>
      <c r="L309" s="288" t="s">
        <v>1</v>
      </c>
      <c r="M309" s="286" t="s">
        <v>1</v>
      </c>
      <c r="N309" s="285" cm="1">
        <f t="array" aca="1" ref="N309" ca="1">INDIRECT("'"&amp;$C309&amp;"'!"&amp;"$"&amp;$D309&amp;$N$1&amp;"")</f>
        <v>6.8</v>
      </c>
      <c r="O309" s="288"/>
      <c r="P309" s="288">
        <v>0.98</v>
      </c>
      <c r="Q309" s="286">
        <v>1.28</v>
      </c>
      <c r="R309" s="285" cm="1">
        <f t="array" aca="1" ref="R309" ca="1">INDIRECT("'"&amp;$C309&amp;"'!"&amp;"$"&amp;$D309&amp;$R$1&amp;"")</f>
        <v>6.8</v>
      </c>
      <c r="S309" s="288"/>
      <c r="T309" s="288">
        <v>0.98</v>
      </c>
      <c r="U309" s="286">
        <v>1.26</v>
      </c>
      <c r="V309" s="287" cm="1">
        <f t="array" aca="1" ref="V309" ca="1">INDIRECT("'"&amp;$C309&amp;"'!"&amp;"$"&amp;$D309&amp;$V$1&amp;"")</f>
        <v>0</v>
      </c>
      <c r="W309" s="288" t="s">
        <v>1</v>
      </c>
      <c r="X309" s="288" t="s">
        <v>1</v>
      </c>
      <c r="Y309" s="289" t="s">
        <v>1</v>
      </c>
      <c r="Z309" s="285" cm="1">
        <f t="array" aca="1" ref="Z309" ca="1">INDIRECT("'"&amp;$C309&amp;"'!"&amp;"$"&amp;$D309&amp;$Z$1&amp;"")</f>
        <v>0</v>
      </c>
      <c r="AA309" s="288" t="s">
        <v>1</v>
      </c>
      <c r="AB309" s="288" t="s">
        <v>1</v>
      </c>
      <c r="AC309" s="286" t="s">
        <v>1</v>
      </c>
      <c r="AD309" s="287" t="str" cm="1">
        <f t="array" aca="1" ref="AD309" ca="1">INDIRECT("'"&amp;$C309&amp;"'!"&amp;"$"&amp;$D309&amp;$AD$1&amp;"")</f>
        <v>CMS</v>
      </c>
      <c r="AE309" s="288" t="s">
        <v>1</v>
      </c>
      <c r="AF309" s="288" t="s">
        <v>1</v>
      </c>
      <c r="AG309" s="289" t="s">
        <v>1</v>
      </c>
      <c r="AH309" s="285" cm="1">
        <f t="array" aca="1" ref="AH309" ca="1">INDIRECT("'"&amp;$C309&amp;"'!"&amp;"$"&amp;$D309&amp;$AH$1&amp;"")</f>
        <v>0</v>
      </c>
      <c r="AI309" s="288" t="s">
        <v>1</v>
      </c>
      <c r="AJ309" s="288" t="s">
        <v>1</v>
      </c>
      <c r="AK309" s="286" t="s">
        <v>1</v>
      </c>
      <c r="AL309" s="285">
        <v>0</v>
      </c>
      <c r="AM309" s="289">
        <v>70.7</v>
      </c>
      <c r="AN309" s="285" cm="1">
        <f t="array" aca="1" ref="AN309" ca="1">INDIRECT("'"&amp;$C309&amp;"'!"&amp;"$"&amp;$D309&amp;$AL$1&amp;"")</f>
        <v>0</v>
      </c>
      <c r="AO309" s="288" t="s">
        <v>1</v>
      </c>
      <c r="AP309" s="286" t="s">
        <v>1</v>
      </c>
      <c r="AQ309" s="287" cm="1">
        <f t="array" aca="1" ref="AQ309" ca="1">INDIRECT("'"&amp;$C309&amp;"'!"&amp;"$"&amp;$D309&amp;$AQ$1&amp;"")</f>
        <v>0</v>
      </c>
      <c r="AR309" s="288" t="s">
        <v>1</v>
      </c>
      <c r="AS309" s="286" t="s">
        <v>1</v>
      </c>
      <c r="AT309" s="285">
        <v>13.9</v>
      </c>
      <c r="AU309" s="289">
        <v>70.3</v>
      </c>
      <c r="AV309" s="288" cm="1">
        <f t="array" aca="1" ref="AV309" ca="1">INDIRECT("'"&amp;$C309&amp;"'!"&amp;"$"&amp;$D309&amp;$AV$1&amp;"")</f>
        <v>0</v>
      </c>
      <c r="AW309" s="287" t="s">
        <v>1</v>
      </c>
      <c r="AX309" s="288" t="s">
        <v>1</v>
      </c>
      <c r="AY309" s="286" t="s">
        <v>1</v>
      </c>
      <c r="AZ309" s="288" cm="1">
        <f t="array" aca="1" ref="AZ309" ca="1">INDIRECT("'"&amp;$C309&amp;"'!"&amp;"$"&amp;$D309&amp;$AZ$1&amp;"")</f>
        <v>5.5</v>
      </c>
      <c r="BA309" s="287" t="s">
        <v>1</v>
      </c>
      <c r="BB309" s="288">
        <v>0.95</v>
      </c>
      <c r="BC309" s="286">
        <v>1.8</v>
      </c>
      <c r="BD309" s="290">
        <v>14.05</v>
      </c>
      <c r="BE309" s="289">
        <v>71.58</v>
      </c>
      <c r="BF309" s="290" cm="1">
        <f t="array" aca="1" ref="BF309" ca="1">INDIRECT("'"&amp;$C309&amp;"'!"&amp;"$"&amp;$D309&amp;$BF$1&amp;"")</f>
        <v>14.26</v>
      </c>
      <c r="BG309" s="288">
        <v>1</v>
      </c>
      <c r="BH309" s="286">
        <v>1.2</v>
      </c>
      <c r="BI309" s="525">
        <v>68.8</v>
      </c>
      <c r="BJ309" s="285" cm="1">
        <f t="array" aca="1" ref="BJ309" ca="1">INDIRECT("'"&amp;$C309&amp;"'!"&amp;"$"&amp;$D309&amp;$BI$1&amp;"")</f>
        <v>0</v>
      </c>
      <c r="BK309" s="287" t="s">
        <v>1</v>
      </c>
      <c r="BL309" s="286" t="s">
        <v>1</v>
      </c>
      <c r="BM309" s="290" cm="1">
        <f t="array" aca="1" ref="BM309" ca="1">INDIRECT("'"&amp;$C309&amp;"'!"&amp;"$"&amp;$D309&amp;$BM$1&amp;"")</f>
        <v>0.9</v>
      </c>
      <c r="BN309" s="288"/>
      <c r="BO309" s="288">
        <v>0.99</v>
      </c>
      <c r="BP309" s="286">
        <v>0.12</v>
      </c>
      <c r="BQ309" s="290" cm="1">
        <f t="array" aca="1" ref="BQ309" ca="1">INDIRECT("'"&amp;$C309&amp;"'!"&amp;"$"&amp;$D309&amp;$BQ$1&amp;"")</f>
        <v>0.65</v>
      </c>
      <c r="BR309" s="288"/>
      <c r="BS309" s="288">
        <v>0.97</v>
      </c>
      <c r="BT309" s="286">
        <v>0.16</v>
      </c>
      <c r="BU309" s="291" cm="1">
        <f t="array" aca="1" ref="BU309" ca="1">INDIRECT("'"&amp;$C309&amp;"'!"&amp;"$"&amp;$D309&amp;74&amp;"")</f>
        <v>0</v>
      </c>
      <c r="BV309" s="288"/>
      <c r="BW309" s="288" t="s">
        <v>1</v>
      </c>
      <c r="BX309" s="286" t="s">
        <v>1</v>
      </c>
    </row>
    <row r="310" spans="1:76">
      <c r="A310" s="459">
        <v>45851</v>
      </c>
      <c r="B310" s="345">
        <v>0.20833333333333301</v>
      </c>
      <c r="C310" s="305">
        <v>13</v>
      </c>
      <c r="D310" s="306" t="s">
        <v>147</v>
      </c>
      <c r="E310" s="278">
        <v>14.1</v>
      </c>
      <c r="F310" s="279">
        <v>70.16</v>
      </c>
      <c r="G310" s="280" t="str" cm="1">
        <f t="array" aca="1" ref="G310" ca="1">INDIRECT("'"&amp;$C310&amp;"'!"&amp;"$"&amp;$D310&amp;$E$1&amp;"")</f>
        <v>CMS</v>
      </c>
      <c r="H310" s="281" t="s">
        <v>1</v>
      </c>
      <c r="I310" s="279" t="s">
        <v>1</v>
      </c>
      <c r="J310" s="280" t="str" cm="1">
        <f t="array" aca="1" ref="J310" ca="1">INDIRECT("'"&amp;$C310&amp;"'!"&amp;"$"&amp;$D310&amp;$J$1&amp;"")</f>
        <v>CMS</v>
      </c>
      <c r="K310" s="281"/>
      <c r="L310" s="281" t="s">
        <v>1</v>
      </c>
      <c r="M310" s="279" t="s">
        <v>1</v>
      </c>
      <c r="N310" s="278" cm="1">
        <f t="array" aca="1" ref="N310" ca="1">INDIRECT("'"&amp;$C310&amp;"'!"&amp;"$"&amp;$D310&amp;$N$1&amp;"")</f>
        <v>6.8</v>
      </c>
      <c r="O310" s="281"/>
      <c r="P310" s="281">
        <v>0.98</v>
      </c>
      <c r="Q310" s="279">
        <v>1.3</v>
      </c>
      <c r="R310" s="468" cm="1">
        <f t="array" aca="1" ref="R310" ca="1">INDIRECT("'"&amp;$C310&amp;"'!"&amp;"$"&amp;$D310&amp;$R$1&amp;"")</f>
        <v>6.8</v>
      </c>
      <c r="S310" s="281"/>
      <c r="T310" s="281">
        <v>0.98</v>
      </c>
      <c r="U310" s="279">
        <v>1.35</v>
      </c>
      <c r="V310" s="280" cm="1">
        <f t="array" aca="1" ref="V310" ca="1">INDIRECT("'"&amp;$C310&amp;"'!"&amp;"$"&amp;$D310&amp;$V$1&amp;"")</f>
        <v>0</v>
      </c>
      <c r="W310" s="281" t="s">
        <v>1</v>
      </c>
      <c r="X310" s="281" t="s">
        <v>1</v>
      </c>
      <c r="Y310" s="282" t="s">
        <v>1</v>
      </c>
      <c r="Z310" s="278" cm="1">
        <f t="array" aca="1" ref="Z310" ca="1">INDIRECT("'"&amp;$C310&amp;"'!"&amp;"$"&amp;$D310&amp;$Z$1&amp;"")</f>
        <v>0</v>
      </c>
      <c r="AA310" s="281" t="s">
        <v>1</v>
      </c>
      <c r="AB310" s="281" t="s">
        <v>1</v>
      </c>
      <c r="AC310" s="279" t="s">
        <v>1</v>
      </c>
      <c r="AD310" s="280" t="str" cm="1">
        <f t="array" aca="1" ref="AD310" ca="1">INDIRECT("'"&amp;$C310&amp;"'!"&amp;"$"&amp;$D310&amp;$AD$1&amp;"")</f>
        <v>CMS</v>
      </c>
      <c r="AE310" s="281" t="s">
        <v>1</v>
      </c>
      <c r="AF310" s="281" t="s">
        <v>1</v>
      </c>
      <c r="AG310" s="282" t="s">
        <v>1</v>
      </c>
      <c r="AH310" s="278" cm="1">
        <f t="array" aca="1" ref="AH310" ca="1">INDIRECT("'"&amp;$C310&amp;"'!"&amp;"$"&amp;$D310&amp;$AH$1&amp;"")</f>
        <v>0</v>
      </c>
      <c r="AI310" s="281" t="s">
        <v>1</v>
      </c>
      <c r="AJ310" s="281" t="s">
        <v>1</v>
      </c>
      <c r="AK310" s="279" t="s">
        <v>1</v>
      </c>
      <c r="AL310" s="278">
        <v>0</v>
      </c>
      <c r="AM310" s="282">
        <v>70.7</v>
      </c>
      <c r="AN310" s="278" cm="1">
        <f t="array" aca="1" ref="AN310" ca="1">INDIRECT("'"&amp;$C310&amp;"'!"&amp;"$"&amp;$D310&amp;$AL$1&amp;"")</f>
        <v>0</v>
      </c>
      <c r="AO310" s="281" t="s">
        <v>1</v>
      </c>
      <c r="AP310" s="279" t="s">
        <v>1</v>
      </c>
      <c r="AQ310" s="280" cm="1">
        <f t="array" aca="1" ref="AQ310" ca="1">INDIRECT("'"&amp;$C310&amp;"'!"&amp;"$"&amp;$D310&amp;$AQ$1&amp;"")</f>
        <v>0</v>
      </c>
      <c r="AR310" s="281" t="s">
        <v>1</v>
      </c>
      <c r="AS310" s="279" t="s">
        <v>1</v>
      </c>
      <c r="AT310" s="278">
        <v>13.9</v>
      </c>
      <c r="AU310" s="282">
        <v>70.3</v>
      </c>
      <c r="AV310" s="281" cm="1">
        <f t="array" aca="1" ref="AV310" ca="1">INDIRECT("'"&amp;$C310&amp;"'!"&amp;"$"&amp;$D310&amp;$AV$1&amp;"")</f>
        <v>0</v>
      </c>
      <c r="AW310" s="280" t="s">
        <v>1</v>
      </c>
      <c r="AX310" s="281" t="s">
        <v>1</v>
      </c>
      <c r="AY310" s="279" t="s">
        <v>1</v>
      </c>
      <c r="AZ310" s="281" cm="1">
        <f t="array" aca="1" ref="AZ310" ca="1">INDIRECT("'"&amp;$C310&amp;"'!"&amp;"$"&amp;$D310&amp;$AZ$1&amp;"")</f>
        <v>5.5</v>
      </c>
      <c r="BA310" s="280" t="s">
        <v>1</v>
      </c>
      <c r="BB310" s="281">
        <v>0.95</v>
      </c>
      <c r="BC310" s="279">
        <v>1.9</v>
      </c>
      <c r="BD310" s="283">
        <v>14.01</v>
      </c>
      <c r="BE310" s="282">
        <v>71.47</v>
      </c>
      <c r="BF310" s="283" cm="1">
        <f t="array" aca="1" ref="BF310" ca="1">INDIRECT("'"&amp;$C310&amp;"'!"&amp;"$"&amp;$D310&amp;$BF$1&amp;"")</f>
        <v>14.32</v>
      </c>
      <c r="BG310" s="281">
        <v>1</v>
      </c>
      <c r="BH310" s="279">
        <v>1.2</v>
      </c>
      <c r="BI310" s="524">
        <v>68.900000000000006</v>
      </c>
      <c r="BJ310" s="278" cm="1">
        <f t="array" aca="1" ref="BJ310" ca="1">INDIRECT("'"&amp;$C310&amp;"'!"&amp;"$"&amp;$D310&amp;$BI$1&amp;"")</f>
        <v>0</v>
      </c>
      <c r="BK310" s="280" t="s">
        <v>1</v>
      </c>
      <c r="BL310" s="279" t="s">
        <v>1</v>
      </c>
      <c r="BM310" s="283" cm="1">
        <f t="array" aca="1" ref="BM310" ca="1">INDIRECT("'"&amp;$C310&amp;"'!"&amp;"$"&amp;$D310&amp;$BM$1&amp;"")</f>
        <v>0.89</v>
      </c>
      <c r="BN310" s="281"/>
      <c r="BO310" s="281">
        <v>0.99</v>
      </c>
      <c r="BP310" s="279">
        <v>0.1</v>
      </c>
      <c r="BQ310" s="283" cm="1">
        <f t="array" aca="1" ref="BQ310" ca="1">INDIRECT("'"&amp;$C310&amp;"'!"&amp;"$"&amp;$D310&amp;$BQ$1&amp;"")</f>
        <v>0.65</v>
      </c>
      <c r="BR310" s="281"/>
      <c r="BS310" s="281">
        <v>0.97</v>
      </c>
      <c r="BT310" s="279">
        <v>0.16</v>
      </c>
      <c r="BU310" s="284" cm="1">
        <f t="array" aca="1" ref="BU310" ca="1">INDIRECT("'"&amp;$C310&amp;"'!"&amp;"$"&amp;$D310&amp;74&amp;"")</f>
        <v>0</v>
      </c>
      <c r="BV310" s="281"/>
      <c r="BW310" s="281" t="s">
        <v>1</v>
      </c>
      <c r="BX310" s="279" t="s">
        <v>1</v>
      </c>
    </row>
    <row r="311" spans="1:76">
      <c r="A311" s="459">
        <v>45851</v>
      </c>
      <c r="B311" s="345">
        <v>0.25</v>
      </c>
      <c r="C311" s="305">
        <v>13</v>
      </c>
      <c r="D311" s="306" t="s">
        <v>148</v>
      </c>
      <c r="E311" s="285">
        <v>14</v>
      </c>
      <c r="F311" s="286">
        <v>69.86</v>
      </c>
      <c r="G311" s="287" t="str" cm="1">
        <f t="array" aca="1" ref="G311" ca="1">INDIRECT("'"&amp;$C311&amp;"'!"&amp;"$"&amp;$D311&amp;$E$1&amp;"")</f>
        <v>CMS</v>
      </c>
      <c r="H311" s="288" t="s">
        <v>1</v>
      </c>
      <c r="I311" s="286" t="s">
        <v>1</v>
      </c>
      <c r="J311" s="287" t="str" cm="1">
        <f t="array" aca="1" ref="J311" ca="1">INDIRECT("'"&amp;$C311&amp;"'!"&amp;"$"&amp;$D311&amp;$J$1&amp;"")</f>
        <v>CMS</v>
      </c>
      <c r="K311" s="288"/>
      <c r="L311" s="288" t="s">
        <v>1</v>
      </c>
      <c r="M311" s="286" t="s">
        <v>1</v>
      </c>
      <c r="N311" s="285" cm="1">
        <f t="array" aca="1" ref="N311" ca="1">INDIRECT("'"&amp;$C311&amp;"'!"&amp;"$"&amp;$D311&amp;$N$1&amp;"")</f>
        <v>6.8</v>
      </c>
      <c r="O311" s="288"/>
      <c r="P311" s="288">
        <v>0.97</v>
      </c>
      <c r="Q311" s="286">
        <v>1.58</v>
      </c>
      <c r="R311" s="285" cm="1">
        <f t="array" aca="1" ref="R311" ca="1">INDIRECT("'"&amp;$C311&amp;"'!"&amp;"$"&amp;$D311&amp;$R$1&amp;"")</f>
        <v>6.8</v>
      </c>
      <c r="S311" s="288"/>
      <c r="T311" s="288">
        <v>0.97</v>
      </c>
      <c r="U311" s="286">
        <v>1.55</v>
      </c>
      <c r="V311" s="287" cm="1">
        <f t="array" aca="1" ref="V311" ca="1">INDIRECT("'"&amp;$C311&amp;"'!"&amp;"$"&amp;$D311&amp;$V$1&amp;"")</f>
        <v>0</v>
      </c>
      <c r="W311" s="288" t="s">
        <v>1</v>
      </c>
      <c r="X311" s="288" t="s">
        <v>1</v>
      </c>
      <c r="Y311" s="289" t="s">
        <v>1</v>
      </c>
      <c r="Z311" s="285" cm="1">
        <f t="array" aca="1" ref="Z311" ca="1">INDIRECT("'"&amp;$C311&amp;"'!"&amp;"$"&amp;$D311&amp;$Z$1&amp;"")</f>
        <v>0</v>
      </c>
      <c r="AA311" s="288" t="s">
        <v>1</v>
      </c>
      <c r="AB311" s="288" t="s">
        <v>1</v>
      </c>
      <c r="AC311" s="286" t="s">
        <v>1</v>
      </c>
      <c r="AD311" s="287" t="str" cm="1">
        <f t="array" aca="1" ref="AD311" ca="1">INDIRECT("'"&amp;$C311&amp;"'!"&amp;"$"&amp;$D311&amp;$AD$1&amp;"")</f>
        <v>CMS</v>
      </c>
      <c r="AE311" s="288" t="s">
        <v>1</v>
      </c>
      <c r="AF311" s="288" t="s">
        <v>1</v>
      </c>
      <c r="AG311" s="289" t="s">
        <v>1</v>
      </c>
      <c r="AH311" s="285" cm="1">
        <f t="array" aca="1" ref="AH311" ca="1">INDIRECT("'"&amp;$C311&amp;"'!"&amp;"$"&amp;$D311&amp;$AH$1&amp;"")</f>
        <v>0</v>
      </c>
      <c r="AI311" s="288" t="s">
        <v>1</v>
      </c>
      <c r="AJ311" s="288" t="s">
        <v>1</v>
      </c>
      <c r="AK311" s="286" t="s">
        <v>1</v>
      </c>
      <c r="AL311" s="285">
        <v>0</v>
      </c>
      <c r="AM311" s="289">
        <v>70.5</v>
      </c>
      <c r="AN311" s="285" cm="1">
        <f t="array" aca="1" ref="AN311" ca="1">INDIRECT("'"&amp;$C311&amp;"'!"&amp;"$"&amp;$D311&amp;$AL$1&amp;"")</f>
        <v>0</v>
      </c>
      <c r="AO311" s="288" t="s">
        <v>1</v>
      </c>
      <c r="AP311" s="286" t="s">
        <v>1</v>
      </c>
      <c r="AQ311" s="287" cm="1">
        <f t="array" aca="1" ref="AQ311" ca="1">INDIRECT("'"&amp;$C311&amp;"'!"&amp;"$"&amp;$D311&amp;$AQ$1&amp;"")</f>
        <v>0</v>
      </c>
      <c r="AR311" s="288" t="s">
        <v>1</v>
      </c>
      <c r="AS311" s="286" t="s">
        <v>1</v>
      </c>
      <c r="AT311" s="285">
        <v>13.9</v>
      </c>
      <c r="AU311" s="289">
        <v>70.3</v>
      </c>
      <c r="AV311" s="288" cm="1">
        <f t="array" aca="1" ref="AV311" ca="1">INDIRECT("'"&amp;$C311&amp;"'!"&amp;"$"&amp;$D311&amp;$AV$1&amp;"")</f>
        <v>0</v>
      </c>
      <c r="AW311" s="287" t="s">
        <v>1</v>
      </c>
      <c r="AX311" s="288" t="s">
        <v>1</v>
      </c>
      <c r="AY311" s="286" t="s">
        <v>1</v>
      </c>
      <c r="AZ311" s="288" cm="1">
        <f t="array" aca="1" ref="AZ311" ca="1">INDIRECT("'"&amp;$C311&amp;"'!"&amp;"$"&amp;$D311&amp;$AZ$1&amp;"")</f>
        <v>7</v>
      </c>
      <c r="BA311" s="287" t="s">
        <v>1</v>
      </c>
      <c r="BB311" s="288">
        <v>0.96</v>
      </c>
      <c r="BC311" s="286">
        <v>2.1</v>
      </c>
      <c r="BD311" s="290">
        <v>13.98</v>
      </c>
      <c r="BE311" s="289">
        <v>71.424999999999997</v>
      </c>
      <c r="BF311" s="290" cm="1">
        <f t="array" aca="1" ref="BF311" ca="1">INDIRECT("'"&amp;$C311&amp;"'!"&amp;"$"&amp;$D311&amp;$BF$1&amp;"")</f>
        <v>14.29</v>
      </c>
      <c r="BG311" s="288">
        <v>1</v>
      </c>
      <c r="BH311" s="286">
        <v>1.2</v>
      </c>
      <c r="BI311" s="525">
        <v>68.5</v>
      </c>
      <c r="BJ311" s="285" cm="1">
        <f t="array" aca="1" ref="BJ311" ca="1">INDIRECT("'"&amp;$C311&amp;"'!"&amp;"$"&amp;$D311&amp;$BI$1&amp;"")</f>
        <v>0</v>
      </c>
      <c r="BK311" s="287" t="s">
        <v>1</v>
      </c>
      <c r="BL311" s="286" t="s">
        <v>1</v>
      </c>
      <c r="BM311" s="290" cm="1">
        <f t="array" aca="1" ref="BM311" ca="1">INDIRECT("'"&amp;$C311&amp;"'!"&amp;"$"&amp;$D311&amp;$BM$1&amp;"")</f>
        <v>0.95</v>
      </c>
      <c r="BN311" s="288"/>
      <c r="BO311" s="288">
        <v>0.99</v>
      </c>
      <c r="BP311" s="286">
        <v>0.13</v>
      </c>
      <c r="BQ311" s="290" cm="1">
        <f t="array" aca="1" ref="BQ311" ca="1">INDIRECT("'"&amp;$C311&amp;"'!"&amp;"$"&amp;$D311&amp;$BQ$1&amp;"")</f>
        <v>0.67</v>
      </c>
      <c r="BR311" s="288"/>
      <c r="BS311" s="288">
        <v>0.97</v>
      </c>
      <c r="BT311" s="286">
        <v>0.16</v>
      </c>
      <c r="BU311" s="291" cm="1">
        <f t="array" aca="1" ref="BU311" ca="1">INDIRECT("'"&amp;$C311&amp;"'!"&amp;"$"&amp;$D311&amp;74&amp;"")</f>
        <v>0</v>
      </c>
      <c r="BV311" s="288"/>
      <c r="BW311" s="288" t="s">
        <v>1</v>
      </c>
      <c r="BX311" s="286" t="s">
        <v>1</v>
      </c>
    </row>
    <row r="312" spans="1:76">
      <c r="A312" s="459">
        <v>45851</v>
      </c>
      <c r="B312" s="345">
        <v>0.29166666666666702</v>
      </c>
      <c r="C312" s="305">
        <v>13</v>
      </c>
      <c r="D312" s="306" t="s">
        <v>149</v>
      </c>
      <c r="E312" s="278">
        <v>14</v>
      </c>
      <c r="F312" s="279">
        <v>69.5</v>
      </c>
      <c r="G312" s="280" t="str" cm="1">
        <f t="array" aca="1" ref="G312" ca="1">INDIRECT("'"&amp;$C312&amp;"'!"&amp;"$"&amp;$D312&amp;$E$1&amp;"")</f>
        <v>CMS</v>
      </c>
      <c r="H312" s="281" t="s">
        <v>1</v>
      </c>
      <c r="I312" s="279" t="s">
        <v>1</v>
      </c>
      <c r="J312" s="280" t="str" cm="1">
        <f t="array" aca="1" ref="J312" ca="1">INDIRECT("'"&amp;$C312&amp;"'!"&amp;"$"&amp;$D312&amp;$J$1&amp;"")</f>
        <v>CMS</v>
      </c>
      <c r="K312" s="281"/>
      <c r="L312" s="281" t="s">
        <v>1</v>
      </c>
      <c r="M312" s="282" t="s">
        <v>1</v>
      </c>
      <c r="N312" s="278" cm="1">
        <f t="array" aca="1" ref="N312" ca="1">INDIRECT("'"&amp;$C312&amp;"'!"&amp;"$"&amp;$D312&amp;$N$1&amp;"")</f>
        <v>6.5</v>
      </c>
      <c r="O312" s="281"/>
      <c r="P312" s="281">
        <v>0.97</v>
      </c>
      <c r="Q312" s="279">
        <v>1.7</v>
      </c>
      <c r="R312" s="468" cm="1">
        <f t="array" aca="1" ref="R312" ca="1">INDIRECT("'"&amp;$C312&amp;"'!"&amp;"$"&amp;$D312&amp;$R$1&amp;"")</f>
        <v>6.5</v>
      </c>
      <c r="S312" s="281"/>
      <c r="T312" s="281">
        <v>0.97</v>
      </c>
      <c r="U312" s="279">
        <v>1.7</v>
      </c>
      <c r="V312" s="280" cm="1">
        <f t="array" aca="1" ref="V312" ca="1">INDIRECT("'"&amp;$C312&amp;"'!"&amp;"$"&amp;$D312&amp;$V$1&amp;"")</f>
        <v>0</v>
      </c>
      <c r="W312" s="281" t="s">
        <v>1</v>
      </c>
      <c r="X312" s="281" t="s">
        <v>1</v>
      </c>
      <c r="Y312" s="282" t="s">
        <v>1</v>
      </c>
      <c r="Z312" s="278" cm="1">
        <f t="array" aca="1" ref="Z312" ca="1">INDIRECT("'"&amp;$C312&amp;"'!"&amp;"$"&amp;$D312&amp;$Z$1&amp;"")</f>
        <v>0</v>
      </c>
      <c r="AA312" s="281" t="s">
        <v>1</v>
      </c>
      <c r="AB312" s="281" t="s">
        <v>1</v>
      </c>
      <c r="AC312" s="279" t="s">
        <v>1</v>
      </c>
      <c r="AD312" s="280" t="str" cm="1">
        <f t="array" aca="1" ref="AD312" ca="1">INDIRECT("'"&amp;$C312&amp;"'!"&amp;"$"&amp;$D312&amp;$AD$1&amp;"")</f>
        <v>CMS</v>
      </c>
      <c r="AE312" s="281" t="s">
        <v>1</v>
      </c>
      <c r="AF312" s="281" t="s">
        <v>1</v>
      </c>
      <c r="AG312" s="282" t="s">
        <v>1</v>
      </c>
      <c r="AH312" s="278" cm="1">
        <f t="array" aca="1" ref="AH312" ca="1">INDIRECT("'"&amp;$C312&amp;"'!"&amp;"$"&amp;$D312&amp;$AH$1&amp;"")</f>
        <v>0</v>
      </c>
      <c r="AI312" s="281" t="s">
        <v>1</v>
      </c>
      <c r="AJ312" s="281" t="s">
        <v>1</v>
      </c>
      <c r="AK312" s="279" t="s">
        <v>1</v>
      </c>
      <c r="AL312" s="278">
        <v>11.5</v>
      </c>
      <c r="AM312" s="282">
        <v>70.599999999999994</v>
      </c>
      <c r="AN312" s="278" cm="1">
        <f t="array" aca="1" ref="AN312" ca="1">INDIRECT("'"&amp;$C312&amp;"'!"&amp;"$"&amp;$D312&amp;$AL$1&amp;"")</f>
        <v>1.7</v>
      </c>
      <c r="AO312" s="281">
        <v>0.98</v>
      </c>
      <c r="AP312" s="279">
        <v>0.4</v>
      </c>
      <c r="AQ312" s="280" cm="1">
        <f t="array" aca="1" ref="AQ312" ca="1">INDIRECT("'"&amp;$C312&amp;"'!"&amp;"$"&amp;$D312&amp;$AQ$1&amp;"")</f>
        <v>0</v>
      </c>
      <c r="AR312" s="281" t="s">
        <v>1</v>
      </c>
      <c r="AS312" s="279" t="s">
        <v>1</v>
      </c>
      <c r="AT312" s="278">
        <v>13.9</v>
      </c>
      <c r="AU312" s="282">
        <v>70.3</v>
      </c>
      <c r="AV312" s="281" cm="1">
        <f t="array" aca="1" ref="AV312" ca="1">INDIRECT("'"&amp;$C312&amp;"'!"&amp;"$"&amp;$D312&amp;$AV$1&amp;"")</f>
        <v>0</v>
      </c>
      <c r="AW312" s="280" t="s">
        <v>1</v>
      </c>
      <c r="AX312" s="281" t="s">
        <v>1</v>
      </c>
      <c r="AY312" s="279" t="s">
        <v>1</v>
      </c>
      <c r="AZ312" s="281" cm="1">
        <f t="array" aca="1" ref="AZ312" ca="1">INDIRECT("'"&amp;$C312&amp;"'!"&amp;"$"&amp;$D312&amp;$AZ$1&amp;"")</f>
        <v>6.5</v>
      </c>
      <c r="BA312" s="280" t="s">
        <v>1</v>
      </c>
      <c r="BB312" s="281">
        <v>0.94</v>
      </c>
      <c r="BC312" s="279">
        <v>2.4</v>
      </c>
      <c r="BD312" s="283">
        <v>13.97</v>
      </c>
      <c r="BE312" s="282">
        <v>71.19</v>
      </c>
      <c r="BF312" s="283" cm="1">
        <f t="array" aca="1" ref="BF312" ca="1">INDIRECT("'"&amp;$C312&amp;"'!"&amp;"$"&amp;$D312&amp;$BF$1&amp;"")</f>
        <v>14.26</v>
      </c>
      <c r="BG312" s="281">
        <v>1</v>
      </c>
      <c r="BH312" s="279">
        <v>1.3</v>
      </c>
      <c r="BI312" s="524">
        <v>68.3</v>
      </c>
      <c r="BJ312" s="278" cm="1">
        <f t="array" aca="1" ref="BJ312" ca="1">INDIRECT("'"&amp;$C312&amp;"'!"&amp;"$"&amp;$D312&amp;$BI$1&amp;"")</f>
        <v>0</v>
      </c>
      <c r="BK312" s="280" t="s">
        <v>1</v>
      </c>
      <c r="BL312" s="279" t="s">
        <v>1</v>
      </c>
      <c r="BM312" s="283" cm="1">
        <f t="array" aca="1" ref="BM312" ca="1">INDIRECT("'"&amp;$C312&amp;"'!"&amp;"$"&amp;$D312&amp;$BM$1&amp;"")</f>
        <v>1.1000000000000001</v>
      </c>
      <c r="BN312" s="281"/>
      <c r="BO312" s="281">
        <v>0.99</v>
      </c>
      <c r="BP312" s="279">
        <v>0.11</v>
      </c>
      <c r="BQ312" s="284" cm="1">
        <f t="array" aca="1" ref="BQ312" ca="1">INDIRECT("'"&amp;$C312&amp;"'!"&amp;"$"&amp;$D312&amp;$BQ$1&amp;"")</f>
        <v>0.71</v>
      </c>
      <c r="BR312" s="281"/>
      <c r="BS312" s="281">
        <v>0.97</v>
      </c>
      <c r="BT312" s="279">
        <v>0.18</v>
      </c>
      <c r="BU312" s="284" cm="1">
        <f t="array" aca="1" ref="BU312" ca="1">INDIRECT("'"&amp;$C312&amp;"'!"&amp;"$"&amp;$D312&amp;74&amp;"")</f>
        <v>0</v>
      </c>
      <c r="BV312" s="281"/>
      <c r="BW312" s="281" t="s">
        <v>1</v>
      </c>
      <c r="BX312" s="279" t="s">
        <v>1</v>
      </c>
    </row>
    <row r="313" spans="1:76">
      <c r="A313" s="459">
        <v>45851</v>
      </c>
      <c r="B313" s="345">
        <v>0.33333333333333398</v>
      </c>
      <c r="C313" s="305">
        <v>13</v>
      </c>
      <c r="D313" s="306" t="s">
        <v>150</v>
      </c>
      <c r="E313" s="285">
        <v>13.9</v>
      </c>
      <c r="F313" s="286">
        <v>68.959999999999994</v>
      </c>
      <c r="G313" s="287" t="str" cm="1">
        <f t="array" aca="1" ref="G313" ca="1">INDIRECT("'"&amp;$C313&amp;"'!"&amp;"$"&amp;$D313&amp;$E$1&amp;"")</f>
        <v>CMS</v>
      </c>
      <c r="H313" s="288" t="s">
        <v>1</v>
      </c>
      <c r="I313" s="286" t="s">
        <v>1</v>
      </c>
      <c r="J313" s="287" t="str" cm="1">
        <f t="array" aca="1" ref="J313" ca="1">INDIRECT("'"&amp;$C313&amp;"'!"&amp;"$"&amp;$D313&amp;$J$1&amp;"")</f>
        <v>CMS</v>
      </c>
      <c r="K313" s="288"/>
      <c r="L313" s="288" t="s">
        <v>1</v>
      </c>
      <c r="M313" s="289" t="s">
        <v>1</v>
      </c>
      <c r="N313" s="285" cm="1">
        <f t="array" aca="1" ref="N313" ca="1">INDIRECT("'"&amp;$C313&amp;"'!"&amp;"$"&amp;$D313&amp;$N$1&amp;"")</f>
        <v>6.7</v>
      </c>
      <c r="O313" s="288"/>
      <c r="P313" s="288">
        <v>0.98</v>
      </c>
      <c r="Q313" s="286">
        <v>1.2</v>
      </c>
      <c r="R313" s="285" cm="1">
        <f t="array" aca="1" ref="R313" ca="1">INDIRECT("'"&amp;$C313&amp;"'!"&amp;"$"&amp;$D313&amp;$R$1&amp;"")</f>
        <v>6.7</v>
      </c>
      <c r="S313" s="288"/>
      <c r="T313" s="288">
        <v>0.92</v>
      </c>
      <c r="U313" s="286">
        <v>2.4700000000000002</v>
      </c>
      <c r="V313" s="287" cm="1">
        <f t="array" aca="1" ref="V313" ca="1">INDIRECT("'"&amp;$C313&amp;"'!"&amp;"$"&amp;$D313&amp;$V$1&amp;"")</f>
        <v>0</v>
      </c>
      <c r="W313" s="288" t="s">
        <v>1</v>
      </c>
      <c r="X313" s="288" t="s">
        <v>1</v>
      </c>
      <c r="Y313" s="289" t="s">
        <v>1</v>
      </c>
      <c r="Z313" s="285" cm="1">
        <f t="array" aca="1" ref="Z313" ca="1">INDIRECT("'"&amp;$C313&amp;"'!"&amp;"$"&amp;$D313&amp;$Z$1&amp;"")</f>
        <v>0</v>
      </c>
      <c r="AA313" s="288" t="s">
        <v>1</v>
      </c>
      <c r="AB313" s="288" t="s">
        <v>1</v>
      </c>
      <c r="AC313" s="286" t="s">
        <v>1</v>
      </c>
      <c r="AD313" s="287" t="str" cm="1">
        <f t="array" aca="1" ref="AD313" ca="1">INDIRECT("'"&amp;$C313&amp;"'!"&amp;"$"&amp;$D313&amp;$AD$1&amp;"")</f>
        <v>CMS</v>
      </c>
      <c r="AE313" s="288" t="s">
        <v>1</v>
      </c>
      <c r="AF313" s="288" t="s">
        <v>1</v>
      </c>
      <c r="AG313" s="289" t="s">
        <v>1</v>
      </c>
      <c r="AH313" s="285" cm="1">
        <f t="array" aca="1" ref="AH313" ca="1">INDIRECT("'"&amp;$C313&amp;"'!"&amp;"$"&amp;$D313&amp;$AH$1&amp;"")</f>
        <v>0</v>
      </c>
      <c r="AI313" s="288" t="s">
        <v>1</v>
      </c>
      <c r="AJ313" s="288" t="s">
        <v>1</v>
      </c>
      <c r="AK313" s="286" t="s">
        <v>1</v>
      </c>
      <c r="AL313" s="285">
        <v>11.5</v>
      </c>
      <c r="AM313" s="289">
        <v>70.400000000000006</v>
      </c>
      <c r="AN313" s="285" cm="1">
        <f t="array" aca="1" ref="AN313" ca="1">INDIRECT("'"&amp;$C313&amp;"'!"&amp;"$"&amp;$D313&amp;$AL$1&amp;"")</f>
        <v>3.8</v>
      </c>
      <c r="AO313" s="288">
        <v>0.99</v>
      </c>
      <c r="AP313" s="286">
        <v>0.52</v>
      </c>
      <c r="AQ313" s="287" cm="1">
        <f t="array" aca="1" ref="AQ313" ca="1">INDIRECT("'"&amp;$C313&amp;"'!"&amp;"$"&amp;$D313&amp;$AQ$1&amp;"")</f>
        <v>0</v>
      </c>
      <c r="AR313" s="288" t="s">
        <v>1</v>
      </c>
      <c r="AS313" s="286" t="s">
        <v>1</v>
      </c>
      <c r="AT313" s="285">
        <v>13.9</v>
      </c>
      <c r="AU313" s="289">
        <v>70.3</v>
      </c>
      <c r="AV313" s="288" cm="1">
        <f t="array" aca="1" ref="AV313" ca="1">INDIRECT("'"&amp;$C313&amp;"'!"&amp;"$"&amp;$D313&amp;$AV$1&amp;"")</f>
        <v>0</v>
      </c>
      <c r="AW313" s="287" t="s">
        <v>1</v>
      </c>
      <c r="AX313" s="288" t="s">
        <v>1</v>
      </c>
      <c r="AY313" s="286" t="s">
        <v>1</v>
      </c>
      <c r="AZ313" s="288" cm="1">
        <f t="array" aca="1" ref="AZ313" ca="1">INDIRECT("'"&amp;$C313&amp;"'!"&amp;"$"&amp;$D313&amp;$AZ$1&amp;"")</f>
        <v>7</v>
      </c>
      <c r="BA313" s="287" t="s">
        <v>1</v>
      </c>
      <c r="BB313" s="288">
        <v>0.95</v>
      </c>
      <c r="BC313" s="286">
        <v>2.5</v>
      </c>
      <c r="BD313" s="290">
        <v>14.13</v>
      </c>
      <c r="BE313" s="289">
        <v>71.44</v>
      </c>
      <c r="BF313" s="290" cm="1">
        <f t="array" aca="1" ref="BF313" ca="1">INDIRECT("'"&amp;$C313&amp;"'!"&amp;"$"&amp;$D313&amp;$BF$1&amp;"")</f>
        <v>14.31</v>
      </c>
      <c r="BG313" s="288">
        <v>0.99</v>
      </c>
      <c r="BH313" s="286">
        <v>2.2999999999999998</v>
      </c>
      <c r="BI313" s="525">
        <v>67.8</v>
      </c>
      <c r="BJ313" s="285" cm="1">
        <f t="array" aca="1" ref="BJ313" ca="1">INDIRECT("'"&amp;$C313&amp;"'!"&amp;"$"&amp;$D313&amp;$BI$1&amp;"")</f>
        <v>0</v>
      </c>
      <c r="BK313" s="287" t="s">
        <v>1</v>
      </c>
      <c r="BL313" s="286" t="s">
        <v>1</v>
      </c>
      <c r="BM313" s="290" cm="1">
        <f t="array" aca="1" ref="BM313" ca="1">INDIRECT("'"&amp;$C313&amp;"'!"&amp;"$"&amp;$D313&amp;$BM$1&amp;"")</f>
        <v>1.1200000000000001</v>
      </c>
      <c r="BN313" s="288"/>
      <c r="BO313" s="288">
        <v>0.99</v>
      </c>
      <c r="BP313" s="286">
        <v>0.14000000000000001</v>
      </c>
      <c r="BQ313" s="291" cm="1">
        <f t="array" aca="1" ref="BQ313" ca="1">INDIRECT("'"&amp;$C313&amp;"'!"&amp;"$"&amp;$D313&amp;$BQ$1&amp;"")</f>
        <v>0.73</v>
      </c>
      <c r="BR313" s="288"/>
      <c r="BS313" s="288">
        <v>0.97</v>
      </c>
      <c r="BT313" s="286">
        <v>0.19</v>
      </c>
      <c r="BU313" s="291" cm="1">
        <f t="array" aca="1" ref="BU313" ca="1">INDIRECT("'"&amp;$C313&amp;"'!"&amp;"$"&amp;$D313&amp;74&amp;"")</f>
        <v>0</v>
      </c>
      <c r="BV313" s="288"/>
      <c r="BW313" s="288" t="s">
        <v>1</v>
      </c>
      <c r="BX313" s="286" t="s">
        <v>1</v>
      </c>
    </row>
    <row r="314" spans="1:76">
      <c r="A314" s="459">
        <v>45851</v>
      </c>
      <c r="B314" s="345">
        <v>0.375</v>
      </c>
      <c r="C314" s="305">
        <v>13</v>
      </c>
      <c r="D314" s="306" t="s">
        <v>151</v>
      </c>
      <c r="E314" s="278">
        <v>14</v>
      </c>
      <c r="F314" s="279">
        <v>68.650000000000006</v>
      </c>
      <c r="G314" s="280" t="str" cm="1">
        <f t="array" aca="1" ref="G314" ca="1">INDIRECT("'"&amp;$C314&amp;"'!"&amp;"$"&amp;$D314&amp;$E$1&amp;"")</f>
        <v>CMS</v>
      </c>
      <c r="H314" s="281" t="s">
        <v>1</v>
      </c>
      <c r="I314" s="279" t="s">
        <v>1</v>
      </c>
      <c r="J314" s="280" t="str" cm="1">
        <f t="array" aca="1" ref="J314" ca="1">INDIRECT("'"&amp;$C314&amp;"'!"&amp;"$"&amp;$D314&amp;$J$1&amp;"")</f>
        <v>CMS</v>
      </c>
      <c r="K314" s="281"/>
      <c r="L314" s="281" t="s">
        <v>1</v>
      </c>
      <c r="M314" s="282" t="s">
        <v>1</v>
      </c>
      <c r="N314" s="278" cm="1">
        <f t="array" aca="1" ref="N314" ca="1">INDIRECT("'"&amp;$C314&amp;"'!"&amp;"$"&amp;$D314&amp;$N$1&amp;"")</f>
        <v>6.9</v>
      </c>
      <c r="O314" s="281"/>
      <c r="P314" s="281">
        <v>0.94</v>
      </c>
      <c r="Q314" s="279">
        <v>2.62</v>
      </c>
      <c r="R314" s="468" cm="1">
        <f t="array" aca="1" ref="R314" ca="1">INDIRECT("'"&amp;$C314&amp;"'!"&amp;"$"&amp;$D314&amp;$R$1&amp;"")</f>
        <v>6.9</v>
      </c>
      <c r="S314" s="281"/>
      <c r="T314" s="281">
        <v>0.94</v>
      </c>
      <c r="U314" s="279">
        <v>2.62</v>
      </c>
      <c r="V314" s="280" cm="1">
        <f t="array" aca="1" ref="V314" ca="1">INDIRECT("'"&amp;$C314&amp;"'!"&amp;"$"&amp;$D314&amp;$V$1&amp;"")</f>
        <v>0</v>
      </c>
      <c r="W314" s="281" t="s">
        <v>1</v>
      </c>
      <c r="X314" s="281" t="s">
        <v>1</v>
      </c>
      <c r="Y314" s="282" t="s">
        <v>1</v>
      </c>
      <c r="Z314" s="278" cm="1">
        <f t="array" aca="1" ref="Z314" ca="1">INDIRECT("'"&amp;$C314&amp;"'!"&amp;"$"&amp;$D314&amp;$Z$1&amp;"")</f>
        <v>0</v>
      </c>
      <c r="AA314" s="281" t="s">
        <v>1</v>
      </c>
      <c r="AB314" s="281" t="s">
        <v>1</v>
      </c>
      <c r="AC314" s="279" t="s">
        <v>1</v>
      </c>
      <c r="AD314" s="280" t="str" cm="1">
        <f t="array" aca="1" ref="AD314" ca="1">INDIRECT("'"&amp;$C314&amp;"'!"&amp;"$"&amp;$D314&amp;$AD$1&amp;"")</f>
        <v>CMS</v>
      </c>
      <c r="AE314" s="281" t="s">
        <v>1</v>
      </c>
      <c r="AF314" s="281" t="s">
        <v>1</v>
      </c>
      <c r="AG314" s="282" t="s">
        <v>1</v>
      </c>
      <c r="AH314" s="278" cm="1">
        <f t="array" aca="1" ref="AH314" ca="1">INDIRECT("'"&amp;$C314&amp;"'!"&amp;"$"&amp;$D314&amp;$AH$1&amp;"")</f>
        <v>0</v>
      </c>
      <c r="AI314" s="281" t="s">
        <v>1</v>
      </c>
      <c r="AJ314" s="281" t="s">
        <v>1</v>
      </c>
      <c r="AK314" s="279" t="s">
        <v>1</v>
      </c>
      <c r="AL314" s="278">
        <v>11.6</v>
      </c>
      <c r="AM314" s="282">
        <v>70.400000000000006</v>
      </c>
      <c r="AN314" s="278" cm="1">
        <f t="array" aca="1" ref="AN314" ca="1">INDIRECT("'"&amp;$C314&amp;"'!"&amp;"$"&amp;$D314&amp;$AL$1&amp;"")</f>
        <v>3.8</v>
      </c>
      <c r="AO314" s="281">
        <v>0.95</v>
      </c>
      <c r="AP314" s="279">
        <v>1.3</v>
      </c>
      <c r="AQ314" s="280" cm="1">
        <f t="array" aca="1" ref="AQ314" ca="1">INDIRECT("'"&amp;$C314&amp;"'!"&amp;"$"&amp;$D314&amp;$AQ$1&amp;"")</f>
        <v>0</v>
      </c>
      <c r="AR314" s="281" t="s">
        <v>1</v>
      </c>
      <c r="AS314" s="279" t="s">
        <v>1</v>
      </c>
      <c r="AT314" s="278">
        <v>13.98</v>
      </c>
      <c r="AU314" s="282">
        <v>70.5</v>
      </c>
      <c r="AV314" s="281" cm="1">
        <f t="array" aca="1" ref="AV314" ca="1">INDIRECT("'"&amp;$C314&amp;"'!"&amp;"$"&amp;$D314&amp;$AV$1&amp;"")</f>
        <v>0</v>
      </c>
      <c r="AW314" s="280" t="s">
        <v>1</v>
      </c>
      <c r="AX314" s="281" t="s">
        <v>1</v>
      </c>
      <c r="AY314" s="279" t="s">
        <v>1</v>
      </c>
      <c r="AZ314" s="281" cm="1">
        <f t="array" aca="1" ref="AZ314" ca="1">INDIRECT("'"&amp;$C314&amp;"'!"&amp;"$"&amp;$D314&amp;$AZ$1&amp;"")</f>
        <v>7</v>
      </c>
      <c r="BA314" s="280" t="s">
        <v>1</v>
      </c>
      <c r="BB314" s="281">
        <v>0.96</v>
      </c>
      <c r="BC314" s="279">
        <v>2</v>
      </c>
      <c r="BD314" s="283">
        <v>14.08</v>
      </c>
      <c r="BE314" s="282">
        <v>71.34</v>
      </c>
      <c r="BF314" s="283" cm="1">
        <f t="array" aca="1" ref="BF314" ca="1">INDIRECT("'"&amp;$C314&amp;"'!"&amp;"$"&amp;$D314&amp;$BF$1&amp;"")</f>
        <v>14.24</v>
      </c>
      <c r="BG314" s="281">
        <v>0.99</v>
      </c>
      <c r="BH314" s="279">
        <v>2.2999999999999998</v>
      </c>
      <c r="BI314" s="524">
        <v>67.8</v>
      </c>
      <c r="BJ314" s="278" cm="1">
        <f t="array" aca="1" ref="BJ314" ca="1">INDIRECT("'"&amp;$C314&amp;"'!"&amp;"$"&amp;$D314&amp;$BI$1&amp;"")</f>
        <v>2.2999999999999998</v>
      </c>
      <c r="BK314" s="280">
        <v>0.96</v>
      </c>
      <c r="BL314" s="279">
        <v>0.67</v>
      </c>
      <c r="BM314" s="283" cm="1">
        <f t="array" aca="1" ref="BM314" ca="1">INDIRECT("'"&amp;$C314&amp;"'!"&amp;"$"&amp;$D314&amp;$BM$1&amp;"")</f>
        <v>1.1200000000000001</v>
      </c>
      <c r="BN314" s="281"/>
      <c r="BO314" s="281">
        <v>0.99</v>
      </c>
      <c r="BP314" s="279">
        <v>0.15</v>
      </c>
      <c r="BQ314" s="284" cm="1">
        <f t="array" aca="1" ref="BQ314" ca="1">INDIRECT("'"&amp;$C314&amp;"'!"&amp;"$"&amp;$D314&amp;$BQ$1&amp;"")</f>
        <v>0.77</v>
      </c>
      <c r="BR314" s="281"/>
      <c r="BS314" s="281">
        <v>0.96</v>
      </c>
      <c r="BT314" s="279">
        <v>0.2</v>
      </c>
      <c r="BU314" s="284" cm="1">
        <f t="array" aca="1" ref="BU314" ca="1">INDIRECT("'"&amp;$C314&amp;"'!"&amp;"$"&amp;$D314&amp;74&amp;"")</f>
        <v>0</v>
      </c>
      <c r="BV314" s="281"/>
      <c r="BW314" s="281" t="s">
        <v>1</v>
      </c>
      <c r="BX314" s="279" t="s">
        <v>1</v>
      </c>
    </row>
    <row r="315" spans="1:76">
      <c r="A315" s="459">
        <v>45851</v>
      </c>
      <c r="B315" s="345">
        <v>0.41666666666666702</v>
      </c>
      <c r="C315" s="305">
        <v>13</v>
      </c>
      <c r="D315" s="306" t="s">
        <v>152</v>
      </c>
      <c r="E315" s="285">
        <v>14</v>
      </c>
      <c r="F315" s="286">
        <v>68.92</v>
      </c>
      <c r="G315" s="287" t="str" cm="1">
        <f t="array" aca="1" ref="G315" ca="1">INDIRECT("'"&amp;$C315&amp;"'!"&amp;"$"&amp;$D315&amp;$E$1&amp;"")</f>
        <v>CMS</v>
      </c>
      <c r="H315" s="288" t="s">
        <v>1</v>
      </c>
      <c r="I315" s="286" t="s">
        <v>1</v>
      </c>
      <c r="J315" s="287" t="str" cm="1">
        <f t="array" aca="1" ref="J315" ca="1">INDIRECT("'"&amp;$C315&amp;"'!"&amp;"$"&amp;$D315&amp;$J$1&amp;"")</f>
        <v>CMS</v>
      </c>
      <c r="K315" s="288"/>
      <c r="L315" s="288" t="s">
        <v>1</v>
      </c>
      <c r="M315" s="289" t="s">
        <v>1</v>
      </c>
      <c r="N315" s="285" cm="1">
        <f t="array" aca="1" ref="N315" ca="1">INDIRECT("'"&amp;$C315&amp;"'!"&amp;"$"&amp;$D315&amp;$N$1&amp;"")</f>
        <v>6.7</v>
      </c>
      <c r="O315" s="288"/>
      <c r="P315" s="288">
        <v>0.94</v>
      </c>
      <c r="Q315" s="286">
        <v>2.54</v>
      </c>
      <c r="R315" s="285" cm="1">
        <f t="array" aca="1" ref="R315" ca="1">INDIRECT("'"&amp;$C315&amp;"'!"&amp;"$"&amp;$D315&amp;$R$1&amp;"")</f>
        <v>6.7</v>
      </c>
      <c r="S315" s="288"/>
      <c r="T315" s="288">
        <v>0.94</v>
      </c>
      <c r="U315" s="286">
        <v>2.54</v>
      </c>
      <c r="V315" s="287" cm="1">
        <f t="array" aca="1" ref="V315" ca="1">INDIRECT("'"&amp;$C315&amp;"'!"&amp;"$"&amp;$D315&amp;$V$1&amp;"")</f>
        <v>1.2</v>
      </c>
      <c r="W315" s="288">
        <f>3.8*3.47</f>
        <v>13.186</v>
      </c>
      <c r="X315" s="288">
        <v>0.98</v>
      </c>
      <c r="Y315" s="289">
        <v>0.30099999999999999</v>
      </c>
      <c r="Z315" s="285" cm="1">
        <f t="array" aca="1" ref="Z315" ca="1">INDIRECT("'"&amp;$C315&amp;"'!"&amp;"$"&amp;$D315&amp;$Z$1&amp;"")</f>
        <v>3.5</v>
      </c>
      <c r="AA315" s="288">
        <f>3.8*3.47</f>
        <v>13.186</v>
      </c>
      <c r="AB315" s="288">
        <v>0.94</v>
      </c>
      <c r="AC315" s="286">
        <v>1.17</v>
      </c>
      <c r="AD315" s="287" t="str" cm="1">
        <f t="array" aca="1" ref="AD315" ca="1">INDIRECT("'"&amp;$C315&amp;"'!"&amp;"$"&amp;$D315&amp;$AD$1&amp;"")</f>
        <v>CMS</v>
      </c>
      <c r="AE315" s="288" t="s">
        <v>1</v>
      </c>
      <c r="AF315" s="288" t="s">
        <v>1</v>
      </c>
      <c r="AG315" s="289" t="s">
        <v>1</v>
      </c>
      <c r="AH315" s="285" cm="1">
        <f t="array" aca="1" ref="AH315" ca="1">INDIRECT("'"&amp;$C315&amp;"'!"&amp;"$"&amp;$D315&amp;$AH$1&amp;"")</f>
        <v>0</v>
      </c>
      <c r="AI315" s="288" t="s">
        <v>1</v>
      </c>
      <c r="AJ315" s="288" t="s">
        <v>1</v>
      </c>
      <c r="AK315" s="286" t="s">
        <v>1</v>
      </c>
      <c r="AL315" s="285">
        <v>11.6</v>
      </c>
      <c r="AM315" s="289">
        <v>70.5</v>
      </c>
      <c r="AN315" s="285" cm="1">
        <f t="array" aca="1" ref="AN315" ca="1">INDIRECT("'"&amp;$C315&amp;"'!"&amp;"$"&amp;$D315&amp;$AL$1&amp;"")</f>
        <v>3.7</v>
      </c>
      <c r="AO315" s="288">
        <v>0.95</v>
      </c>
      <c r="AP315" s="286">
        <v>1.3</v>
      </c>
      <c r="AQ315" s="287" cm="1">
        <f t="array" aca="1" ref="AQ315" ca="1">INDIRECT("'"&amp;$C315&amp;"'!"&amp;"$"&amp;$D315&amp;$AQ$1&amp;"")</f>
        <v>0</v>
      </c>
      <c r="AR315" s="288" t="s">
        <v>1</v>
      </c>
      <c r="AS315" s="286" t="s">
        <v>1</v>
      </c>
      <c r="AT315" s="285">
        <v>13.98</v>
      </c>
      <c r="AU315" s="289">
        <v>70.5</v>
      </c>
      <c r="AV315" s="288" cm="1">
        <f t="array" aca="1" ref="AV315" ca="1">INDIRECT("'"&amp;$C315&amp;"'!"&amp;"$"&amp;$D315&amp;$AV$1&amp;"")</f>
        <v>0</v>
      </c>
      <c r="AW315" s="287" t="s">
        <v>1</v>
      </c>
      <c r="AX315" s="288" t="s">
        <v>1</v>
      </c>
      <c r="AY315" s="286" t="s">
        <v>1</v>
      </c>
      <c r="AZ315" s="288" cm="1">
        <f t="array" aca="1" ref="AZ315" ca="1">INDIRECT("'"&amp;$C315&amp;"'!"&amp;"$"&amp;$D315&amp;$AZ$1&amp;"")</f>
        <v>7</v>
      </c>
      <c r="BA315" s="287" t="s">
        <v>1</v>
      </c>
      <c r="BB315" s="288">
        <v>0.97</v>
      </c>
      <c r="BC315" s="286">
        <v>1.93</v>
      </c>
      <c r="BD315" s="290">
        <v>14.07</v>
      </c>
      <c r="BE315" s="289">
        <v>71.239999999999995</v>
      </c>
      <c r="BF315" s="290" cm="1">
        <f t="array" aca="1" ref="BF315" ca="1">INDIRECT("'"&amp;$C315&amp;"'!"&amp;"$"&amp;$D315&amp;$BF$1&amp;"")</f>
        <v>14.25</v>
      </c>
      <c r="BG315" s="288">
        <v>0.99</v>
      </c>
      <c r="BH315" s="286">
        <v>2.2999999999999998</v>
      </c>
      <c r="BI315" s="525">
        <v>67.900000000000006</v>
      </c>
      <c r="BJ315" s="285" cm="1">
        <f t="array" aca="1" ref="BJ315" ca="1">INDIRECT("'"&amp;$C315&amp;"'!"&amp;"$"&amp;$D315&amp;$BI$1&amp;"")</f>
        <v>0.8</v>
      </c>
      <c r="BK315" s="287">
        <v>0.96</v>
      </c>
      <c r="BL315" s="286">
        <v>0.22</v>
      </c>
      <c r="BM315" s="290" cm="1">
        <f t="array" aca="1" ref="BM315" ca="1">INDIRECT("'"&amp;$C315&amp;"'!"&amp;"$"&amp;$D315&amp;$BM$1&amp;"")</f>
        <v>1.18</v>
      </c>
      <c r="BN315" s="288"/>
      <c r="BO315" s="288">
        <v>0.99</v>
      </c>
      <c r="BP315" s="286">
        <v>0.17</v>
      </c>
      <c r="BQ315" s="291" cm="1">
        <f t="array" aca="1" ref="BQ315" ca="1">INDIRECT("'"&amp;$C315&amp;"'!"&amp;"$"&amp;$D315&amp;$BQ$1&amp;"")</f>
        <v>0.8</v>
      </c>
      <c r="BR315" s="288"/>
      <c r="BS315" s="288">
        <v>0.96</v>
      </c>
      <c r="BT315" s="286">
        <v>0.22</v>
      </c>
      <c r="BU315" s="291" cm="1">
        <f t="array" aca="1" ref="BU315" ca="1">INDIRECT("'"&amp;$C315&amp;"'!"&amp;"$"&amp;$D315&amp;74&amp;"")</f>
        <v>0</v>
      </c>
      <c r="BV315" s="288"/>
      <c r="BW315" s="288" t="s">
        <v>1</v>
      </c>
      <c r="BX315" s="286" t="s">
        <v>1</v>
      </c>
    </row>
    <row r="316" spans="1:76">
      <c r="A316" s="459">
        <v>45851</v>
      </c>
      <c r="B316" s="345">
        <v>0.45833333333333398</v>
      </c>
      <c r="C316" s="305">
        <v>13</v>
      </c>
      <c r="D316" s="306" t="s">
        <v>153</v>
      </c>
      <c r="E316" s="278">
        <v>14</v>
      </c>
      <c r="F316" s="279">
        <v>69.08</v>
      </c>
      <c r="G316" s="280" t="str" cm="1">
        <f t="array" aca="1" ref="G316" ca="1">INDIRECT("'"&amp;$C316&amp;"'!"&amp;"$"&amp;$D316&amp;$E$1&amp;"")</f>
        <v>CMS</v>
      </c>
      <c r="H316" s="281" t="s">
        <v>1</v>
      </c>
      <c r="I316" s="279" t="s">
        <v>1</v>
      </c>
      <c r="J316" s="280" t="str" cm="1">
        <f t="array" aca="1" ref="J316" ca="1">INDIRECT("'"&amp;$C316&amp;"'!"&amp;"$"&amp;$D316&amp;$J$1&amp;"")</f>
        <v>CMS</v>
      </c>
      <c r="K316" s="281"/>
      <c r="L316" s="281" t="s">
        <v>1</v>
      </c>
      <c r="M316" s="282" t="s">
        <v>1</v>
      </c>
      <c r="N316" s="278" cm="1">
        <f t="array" aca="1" ref="N316" ca="1">INDIRECT("'"&amp;$C316&amp;"'!"&amp;"$"&amp;$D316&amp;$N$1&amp;"")</f>
        <v>6.8</v>
      </c>
      <c r="O316" s="281"/>
      <c r="P316" s="281">
        <v>0.93</v>
      </c>
      <c r="Q316" s="279">
        <v>2.63</v>
      </c>
      <c r="R316" s="468" cm="1">
        <f t="array" aca="1" ref="R316" ca="1">INDIRECT("'"&amp;$C316&amp;"'!"&amp;"$"&amp;$D316&amp;$R$1&amp;"")</f>
        <v>6.8</v>
      </c>
      <c r="S316" s="281"/>
      <c r="T316" s="281">
        <v>0.93</v>
      </c>
      <c r="U316" s="279">
        <v>2.63</v>
      </c>
      <c r="V316" s="280" cm="1">
        <f t="array" aca="1" ref="V316" ca="1">INDIRECT("'"&amp;$C316&amp;"'!"&amp;"$"&amp;$D316&amp;$V$1&amp;"")</f>
        <v>2.8</v>
      </c>
      <c r="W316" s="281">
        <f>3.8*3.48</f>
        <v>13.224</v>
      </c>
      <c r="X316" s="281">
        <v>0.94</v>
      </c>
      <c r="Y316" s="282">
        <v>0.92600000000000005</v>
      </c>
      <c r="Z316" s="278" cm="1">
        <f t="array" aca="1" ref="Z316" ca="1">INDIRECT("'"&amp;$C316&amp;"'!"&amp;"$"&amp;$D316&amp;$Z$1&amp;"")</f>
        <v>3.5</v>
      </c>
      <c r="AA316" s="281">
        <f>3.8*3.48</f>
        <v>13.224</v>
      </c>
      <c r="AB316" s="281">
        <v>0.94</v>
      </c>
      <c r="AC316" s="279">
        <v>1.17</v>
      </c>
      <c r="AD316" s="280" t="str" cm="1">
        <f t="array" aca="1" ref="AD316" ca="1">INDIRECT("'"&amp;$C316&amp;"'!"&amp;"$"&amp;$D316&amp;$AD$1&amp;"")</f>
        <v>CMS</v>
      </c>
      <c r="AE316" s="281" t="s">
        <v>1</v>
      </c>
      <c r="AF316" s="281" t="s">
        <v>1</v>
      </c>
      <c r="AG316" s="282" t="s">
        <v>1</v>
      </c>
      <c r="AH316" s="278" cm="1">
        <f t="array" aca="1" ref="AH316" ca="1">INDIRECT("'"&amp;$C316&amp;"'!"&amp;"$"&amp;$D316&amp;$AH$1&amp;"")</f>
        <v>0</v>
      </c>
      <c r="AI316" s="281" t="s">
        <v>1</v>
      </c>
      <c r="AJ316" s="281" t="s">
        <v>1</v>
      </c>
      <c r="AK316" s="279" t="s">
        <v>1</v>
      </c>
      <c r="AL316" s="278">
        <v>11.6</v>
      </c>
      <c r="AM316" s="282">
        <v>70.8</v>
      </c>
      <c r="AN316" s="278" cm="1">
        <f t="array" aca="1" ref="AN316" ca="1">INDIRECT("'"&amp;$C316&amp;"'!"&amp;"$"&amp;$D316&amp;$AL$1&amp;"")</f>
        <v>3.8</v>
      </c>
      <c r="AO316" s="281">
        <v>0.94</v>
      </c>
      <c r="AP316" s="279">
        <v>1.45</v>
      </c>
      <c r="AQ316" s="280" cm="1">
        <f t="array" aca="1" ref="AQ316" ca="1">INDIRECT("'"&amp;$C316&amp;"'!"&amp;"$"&amp;$D316&amp;$AQ$1&amp;"")</f>
        <v>0</v>
      </c>
      <c r="AR316" s="281" t="s">
        <v>1</v>
      </c>
      <c r="AS316" s="279" t="s">
        <v>1</v>
      </c>
      <c r="AT316" s="278">
        <v>13.98</v>
      </c>
      <c r="AU316" s="282">
        <v>70.599999999999994</v>
      </c>
      <c r="AV316" s="281" cm="1">
        <f t="array" aca="1" ref="AV316" ca="1">INDIRECT("'"&amp;$C316&amp;"'!"&amp;"$"&amp;$D316&amp;$AV$1&amp;"")</f>
        <v>0</v>
      </c>
      <c r="AW316" s="280" t="s">
        <v>1</v>
      </c>
      <c r="AX316" s="281" t="s">
        <v>1</v>
      </c>
      <c r="AY316" s="279" t="s">
        <v>1</v>
      </c>
      <c r="AZ316" s="281" cm="1">
        <f t="array" aca="1" ref="AZ316" ca="1">INDIRECT("'"&amp;$C316&amp;"'!"&amp;"$"&amp;$D316&amp;$AZ$1&amp;"")</f>
        <v>7</v>
      </c>
      <c r="BA316" s="280" t="s">
        <v>1</v>
      </c>
      <c r="BB316" s="281">
        <v>0.97</v>
      </c>
      <c r="BC316" s="279">
        <v>1.7</v>
      </c>
      <c r="BD316" s="283">
        <v>14.14</v>
      </c>
      <c r="BE316" s="282">
        <v>71.489999999999995</v>
      </c>
      <c r="BF316" s="283" cm="1">
        <f t="array" aca="1" ref="BF316" ca="1">INDIRECT("'"&amp;$C316&amp;"'!"&amp;"$"&amp;$D316&amp;$BF$1&amp;"")</f>
        <v>14.26</v>
      </c>
      <c r="BG316" s="281">
        <v>0.99</v>
      </c>
      <c r="BH316" s="279">
        <v>2.2999999999999998</v>
      </c>
      <c r="BI316" s="524">
        <v>68.099999999999994</v>
      </c>
      <c r="BJ316" s="278" cm="1">
        <f t="array" aca="1" ref="BJ316" ca="1">INDIRECT("'"&amp;$C316&amp;"'!"&amp;"$"&amp;$D316&amp;$BI$1&amp;"")</f>
        <v>0.8</v>
      </c>
      <c r="BK316" s="280">
        <v>0.96</v>
      </c>
      <c r="BL316" s="279">
        <v>0.23</v>
      </c>
      <c r="BM316" s="283" cm="1">
        <f t="array" aca="1" ref="BM316" ca="1">INDIRECT("'"&amp;$C316&amp;"'!"&amp;"$"&amp;$D316&amp;$BM$1&amp;"")</f>
        <v>1.2</v>
      </c>
      <c r="BN316" s="281"/>
      <c r="BO316" s="281">
        <v>0.99</v>
      </c>
      <c r="BP316" s="279">
        <v>0.17</v>
      </c>
      <c r="BQ316" s="284" cm="1">
        <f t="array" aca="1" ref="BQ316" ca="1">INDIRECT("'"&amp;$C316&amp;"'!"&amp;"$"&amp;$D316&amp;$BQ$1&amp;"")</f>
        <v>0.83</v>
      </c>
      <c r="BR316" s="281"/>
      <c r="BS316" s="281">
        <v>0.96</v>
      </c>
      <c r="BT316" s="279">
        <v>0.23</v>
      </c>
      <c r="BU316" s="284" cm="1">
        <f t="array" aca="1" ref="BU316" ca="1">INDIRECT("'"&amp;$C316&amp;"'!"&amp;"$"&amp;$D316&amp;74&amp;"")</f>
        <v>0</v>
      </c>
      <c r="BV316" s="281"/>
      <c r="BW316" s="281" t="s">
        <v>1</v>
      </c>
      <c r="BX316" s="279" t="s">
        <v>1</v>
      </c>
    </row>
    <row r="317" spans="1:76">
      <c r="A317" s="459">
        <v>45851</v>
      </c>
      <c r="B317" s="345">
        <v>0.5</v>
      </c>
      <c r="C317" s="305">
        <v>13</v>
      </c>
      <c r="D317" s="306" t="s">
        <v>154</v>
      </c>
      <c r="E317" s="285">
        <v>14.1</v>
      </c>
      <c r="F317" s="286">
        <v>69.34</v>
      </c>
      <c r="G317" s="287" t="str" cm="1">
        <f t="array" aca="1" ref="G317" ca="1">INDIRECT("'"&amp;$C317&amp;"'!"&amp;"$"&amp;$D317&amp;$E$1&amp;"")</f>
        <v>CMS</v>
      </c>
      <c r="H317" s="288" t="s">
        <v>1</v>
      </c>
      <c r="I317" s="286" t="s">
        <v>1</v>
      </c>
      <c r="J317" s="287" t="str" cm="1">
        <f t="array" aca="1" ref="J317" ca="1">INDIRECT("'"&amp;$C317&amp;"'!"&amp;"$"&amp;$D317&amp;$J$1&amp;"")</f>
        <v>CMS</v>
      </c>
      <c r="K317" s="288"/>
      <c r="L317" s="288" t="s">
        <v>1</v>
      </c>
      <c r="M317" s="289" t="s">
        <v>1</v>
      </c>
      <c r="N317" s="285" cm="1">
        <f t="array" aca="1" ref="N317" ca="1">INDIRECT("'"&amp;$C317&amp;"'!"&amp;"$"&amp;$D317&amp;$N$1&amp;"")</f>
        <v>6.6</v>
      </c>
      <c r="O317" s="288"/>
      <c r="P317" s="288">
        <v>0.93</v>
      </c>
      <c r="Q317" s="289">
        <v>2.52</v>
      </c>
      <c r="R317" s="285" cm="1">
        <f t="array" aca="1" ref="R317" ca="1">INDIRECT("'"&amp;$C317&amp;"'!"&amp;"$"&amp;$D317&amp;$R$1&amp;"")</f>
        <v>6.6</v>
      </c>
      <c r="S317" s="288"/>
      <c r="T317" s="288">
        <v>0.93</v>
      </c>
      <c r="U317" s="286">
        <v>2.52</v>
      </c>
      <c r="V317" s="287" cm="1">
        <f t="array" aca="1" ref="V317" ca="1">INDIRECT("'"&amp;$C317&amp;"'!"&amp;"$"&amp;$D317&amp;$V$1&amp;"")</f>
        <v>2.8</v>
      </c>
      <c r="W317" s="288">
        <f>3.8*3.48</f>
        <v>13.224</v>
      </c>
      <c r="X317" s="288">
        <v>0.94</v>
      </c>
      <c r="Y317" s="289">
        <v>0.95399999999999996</v>
      </c>
      <c r="Z317" s="285" cm="1">
        <f t="array" aca="1" ref="Z317" ca="1">INDIRECT("'"&amp;$C317&amp;"'!"&amp;"$"&amp;$D317&amp;$Z$1&amp;"")</f>
        <v>3.5</v>
      </c>
      <c r="AA317" s="288">
        <f>3.8*3.48</f>
        <v>13.224</v>
      </c>
      <c r="AB317" s="288">
        <v>0.94</v>
      </c>
      <c r="AC317" s="286">
        <v>1.1599999999999999</v>
      </c>
      <c r="AD317" s="287" t="str" cm="1">
        <f t="array" aca="1" ref="AD317" ca="1">INDIRECT("'"&amp;$C317&amp;"'!"&amp;"$"&amp;$D317&amp;$AD$1&amp;"")</f>
        <v>CMS</v>
      </c>
      <c r="AE317" s="288" t="s">
        <v>1</v>
      </c>
      <c r="AF317" s="288" t="s">
        <v>1</v>
      </c>
      <c r="AG317" s="289" t="s">
        <v>1</v>
      </c>
      <c r="AH317" s="285" cm="1">
        <f t="array" aca="1" ref="AH317" ca="1">INDIRECT("'"&amp;$C317&amp;"'!"&amp;"$"&amp;$D317&amp;$AH$1&amp;"")</f>
        <v>0</v>
      </c>
      <c r="AI317" s="288" t="s">
        <v>1</v>
      </c>
      <c r="AJ317" s="288" t="s">
        <v>1</v>
      </c>
      <c r="AK317" s="286" t="s">
        <v>1</v>
      </c>
      <c r="AL317" s="285">
        <v>11.6</v>
      </c>
      <c r="AM317" s="289">
        <v>70.8</v>
      </c>
      <c r="AN317" s="285" cm="1">
        <f t="array" aca="1" ref="AN317" ca="1">INDIRECT("'"&amp;$C317&amp;"'!"&amp;"$"&amp;$D317&amp;$AL$1&amp;"")</f>
        <v>3.7</v>
      </c>
      <c r="AO317" s="288">
        <v>0.94</v>
      </c>
      <c r="AP317" s="286">
        <v>1.4</v>
      </c>
      <c r="AQ317" s="287" cm="1">
        <f t="array" aca="1" ref="AQ317" ca="1">INDIRECT("'"&amp;$C317&amp;"'!"&amp;"$"&amp;$D317&amp;$AQ$1&amp;"")</f>
        <v>0</v>
      </c>
      <c r="AR317" s="288" t="s">
        <v>1</v>
      </c>
      <c r="AS317" s="286" t="s">
        <v>1</v>
      </c>
      <c r="AT317" s="285">
        <v>13.98</v>
      </c>
      <c r="AU317" s="289">
        <v>70.599999999999994</v>
      </c>
      <c r="AV317" s="288" cm="1">
        <f t="array" aca="1" ref="AV317" ca="1">INDIRECT("'"&amp;$C317&amp;"'!"&amp;"$"&amp;$D317&amp;$AV$1&amp;"")</f>
        <v>0</v>
      </c>
      <c r="AW317" s="287" t="s">
        <v>1</v>
      </c>
      <c r="AX317" s="288" t="s">
        <v>1</v>
      </c>
      <c r="AY317" s="286" t="s">
        <v>1</v>
      </c>
      <c r="AZ317" s="288" cm="1">
        <f t="array" aca="1" ref="AZ317" ca="1">INDIRECT("'"&amp;$C317&amp;"'!"&amp;"$"&amp;$D317&amp;$AZ$1&amp;"")</f>
        <v>7</v>
      </c>
      <c r="BA317" s="287" t="s">
        <v>1</v>
      </c>
      <c r="BB317" s="288">
        <v>0.98</v>
      </c>
      <c r="BC317" s="286">
        <v>1.65</v>
      </c>
      <c r="BD317" s="290">
        <v>14.06</v>
      </c>
      <c r="BE317" s="289">
        <v>71.25</v>
      </c>
      <c r="BF317" s="290" cm="1">
        <f t="array" aca="1" ref="BF317" ca="1">INDIRECT("'"&amp;$C317&amp;"'!"&amp;"$"&amp;$D317&amp;$BF$1&amp;"")</f>
        <v>14.29</v>
      </c>
      <c r="BG317" s="288">
        <v>0.99</v>
      </c>
      <c r="BH317" s="286">
        <v>2.2999999999999998</v>
      </c>
      <c r="BI317" s="525">
        <v>68.3</v>
      </c>
      <c r="BJ317" s="285" cm="1">
        <f t="array" aca="1" ref="BJ317" ca="1">INDIRECT("'"&amp;$C317&amp;"'!"&amp;"$"&amp;$D317&amp;$BI$1&amp;"")</f>
        <v>3.1</v>
      </c>
      <c r="BK317" s="287">
        <v>0.95</v>
      </c>
      <c r="BL317" s="286">
        <v>1</v>
      </c>
      <c r="BM317" s="290" cm="1">
        <f t="array" aca="1" ref="BM317" ca="1">INDIRECT("'"&amp;$C317&amp;"'!"&amp;"$"&amp;$D317&amp;$BM$1&amp;"")</f>
        <v>1.21</v>
      </c>
      <c r="BN317" s="288"/>
      <c r="BO317" s="288">
        <v>0.99</v>
      </c>
      <c r="BP317" s="286">
        <v>0.18</v>
      </c>
      <c r="BQ317" s="291" cm="1">
        <f t="array" aca="1" ref="BQ317" ca="1">INDIRECT("'"&amp;$C317&amp;"'!"&amp;"$"&amp;$D317&amp;$BQ$1&amp;"")</f>
        <v>0.82</v>
      </c>
      <c r="BR317" s="288"/>
      <c r="BS317" s="288">
        <v>0.96</v>
      </c>
      <c r="BT317" s="286">
        <v>0.23</v>
      </c>
      <c r="BU317" s="291" cm="1">
        <f t="array" aca="1" ref="BU317" ca="1">INDIRECT("'"&amp;$C317&amp;"'!"&amp;"$"&amp;$D317&amp;74&amp;"")</f>
        <v>0</v>
      </c>
      <c r="BV317" s="288"/>
      <c r="BW317" s="288" t="s">
        <v>1</v>
      </c>
      <c r="BX317" s="286" t="s">
        <v>1</v>
      </c>
    </row>
    <row r="318" spans="1:76">
      <c r="A318" s="459">
        <v>45851</v>
      </c>
      <c r="B318" s="345">
        <v>0.54166666666666696</v>
      </c>
      <c r="C318" s="305">
        <v>13</v>
      </c>
      <c r="D318" s="306" t="s">
        <v>155</v>
      </c>
      <c r="E318" s="278">
        <v>14</v>
      </c>
      <c r="F318" s="279">
        <v>68.489999999999995</v>
      </c>
      <c r="G318" s="280" t="str" cm="1">
        <f t="array" aca="1" ref="G318" ca="1">INDIRECT("'"&amp;$C318&amp;"'!"&amp;"$"&amp;$D318&amp;$E$1&amp;"")</f>
        <v>CMS</v>
      </c>
      <c r="H318" s="281" t="s">
        <v>1</v>
      </c>
      <c r="I318" s="279" t="s">
        <v>1</v>
      </c>
      <c r="J318" s="280" cm="1">
        <f t="array" aca="1" ref="J318" ca="1">INDIRECT("'"&amp;$C318&amp;"'!"&amp;"$"&amp;$D318&amp;$J$1&amp;"")</f>
        <v>6.7</v>
      </c>
      <c r="K318" s="281"/>
      <c r="L318" s="281">
        <v>0.92</v>
      </c>
      <c r="M318" s="279">
        <v>2.88</v>
      </c>
      <c r="N318" s="278" cm="1">
        <f t="array" aca="1" ref="N318" ca="1">INDIRECT("'"&amp;$C318&amp;"'!"&amp;"$"&amp;$D318&amp;$N$1&amp;"")</f>
        <v>5.2</v>
      </c>
      <c r="O318" s="281"/>
      <c r="P318" s="281">
        <v>0.92</v>
      </c>
      <c r="Q318" s="279">
        <v>2.19</v>
      </c>
      <c r="R318" s="468" cm="1">
        <f t="array" aca="1" ref="R318" ca="1">INDIRECT("'"&amp;$C318&amp;"'!"&amp;"$"&amp;$D318&amp;$R$1&amp;"")</f>
        <v>5.2</v>
      </c>
      <c r="S318" s="281"/>
      <c r="T318" s="281">
        <v>0.92</v>
      </c>
      <c r="U318" s="279">
        <v>2.19</v>
      </c>
      <c r="V318" s="280" cm="1">
        <f t="array" aca="1" ref="V318" ca="1">INDIRECT("'"&amp;$C318&amp;"'!"&amp;"$"&amp;$D318&amp;$V$1&amp;"")</f>
        <v>2.8</v>
      </c>
      <c r="W318" s="281">
        <f>3.8*3.42</f>
        <v>12.995999999999999</v>
      </c>
      <c r="X318" s="281">
        <v>0.93</v>
      </c>
      <c r="Y318" s="282">
        <v>1.04</v>
      </c>
      <c r="Z318" s="278" t="str" cm="1">
        <f t="array" aca="1" ref="Z318" ca="1">INDIRECT("'"&amp;$C318&amp;"'!"&amp;"$"&amp;$D318&amp;$Z$1&amp;"")</f>
        <v>CMS</v>
      </c>
      <c r="AA318" s="281" t="s">
        <v>1</v>
      </c>
      <c r="AB318" s="281" t="s">
        <v>1</v>
      </c>
      <c r="AC318" s="279" t="s">
        <v>1</v>
      </c>
      <c r="AD318" s="280" t="str" cm="1">
        <f t="array" aca="1" ref="AD318" ca="1">INDIRECT("'"&amp;$C318&amp;"'!"&amp;"$"&amp;$D318&amp;$AD$1&amp;"")</f>
        <v>CMS</v>
      </c>
      <c r="AE318" s="281" t="s">
        <v>1</v>
      </c>
      <c r="AF318" s="281" t="s">
        <v>1</v>
      </c>
      <c r="AG318" s="282" t="s">
        <v>1</v>
      </c>
      <c r="AH318" s="278" cm="1">
        <f t="array" aca="1" ref="AH318" ca="1">INDIRECT("'"&amp;$C318&amp;"'!"&amp;"$"&amp;$D318&amp;$AH$1&amp;"")</f>
        <v>3</v>
      </c>
      <c r="AI318" s="281">
        <v>14.04</v>
      </c>
      <c r="AJ318" s="281">
        <v>0.99</v>
      </c>
      <c r="AK318" s="279">
        <v>0.34599999999999997</v>
      </c>
      <c r="AL318" s="278">
        <v>11.6</v>
      </c>
      <c r="AM318" s="282">
        <v>70.8</v>
      </c>
      <c r="AN318" s="278" cm="1">
        <f t="array" aca="1" ref="AN318" ca="1">INDIRECT("'"&amp;$C318&amp;"'!"&amp;"$"&amp;$D318&amp;$AL$1&amp;"")</f>
        <v>3.7</v>
      </c>
      <c r="AO318" s="281">
        <v>0.94</v>
      </c>
      <c r="AP318" s="279">
        <v>1.57</v>
      </c>
      <c r="AQ318" s="280" cm="1">
        <f t="array" aca="1" ref="AQ318" ca="1">INDIRECT("'"&amp;$C318&amp;"'!"&amp;"$"&amp;$D318&amp;$AQ$1&amp;"")</f>
        <v>0</v>
      </c>
      <c r="AR318" s="281" t="s">
        <v>1</v>
      </c>
      <c r="AS318" s="279" t="s">
        <v>1</v>
      </c>
      <c r="AT318" s="278">
        <v>13.98</v>
      </c>
      <c r="AU318" s="282">
        <v>70.599999999999994</v>
      </c>
      <c r="AV318" s="281" cm="1">
        <f t="array" aca="1" ref="AV318" ca="1">INDIRECT("'"&amp;$C318&amp;"'!"&amp;"$"&amp;$D318&amp;$AV$1&amp;"")</f>
        <v>0</v>
      </c>
      <c r="AW318" s="280">
        <v>13.7</v>
      </c>
      <c r="AX318" s="281" t="s">
        <v>1</v>
      </c>
      <c r="AY318" s="279" t="s">
        <v>1</v>
      </c>
      <c r="AZ318" s="281" cm="1">
        <f t="array" aca="1" ref="AZ318" ca="1">INDIRECT("'"&amp;$C318&amp;"'!"&amp;"$"&amp;$D318&amp;$AZ$1&amp;"")</f>
        <v>7</v>
      </c>
      <c r="BA318" s="280">
        <v>13.7</v>
      </c>
      <c r="BB318" s="281">
        <v>0.97</v>
      </c>
      <c r="BC318" s="279">
        <v>1.81</v>
      </c>
      <c r="BD318" s="283">
        <v>14.34</v>
      </c>
      <c r="BE318" s="282">
        <v>72.03</v>
      </c>
      <c r="BF318" s="283" cm="1">
        <f t="array" aca="1" ref="BF318" ca="1">INDIRECT("'"&amp;$C318&amp;"'!"&amp;"$"&amp;$D318&amp;$BF$1&amp;"")</f>
        <v>14.29</v>
      </c>
      <c r="BG318" s="281">
        <v>0.98</v>
      </c>
      <c r="BH318" s="279">
        <v>3.4</v>
      </c>
      <c r="BI318" s="524">
        <v>67.3</v>
      </c>
      <c r="BJ318" s="278" cm="1">
        <f t="array" aca="1" ref="BJ318" ca="1">INDIRECT("'"&amp;$C318&amp;"'!"&amp;"$"&amp;$D318&amp;$BI$1&amp;"")</f>
        <v>0</v>
      </c>
      <c r="BK318" s="280" t="s">
        <v>1</v>
      </c>
      <c r="BL318" s="279" t="s">
        <v>1</v>
      </c>
      <c r="BM318" s="283" cm="1">
        <f t="array" aca="1" ref="BM318" ca="1">INDIRECT("'"&amp;$C318&amp;"'!"&amp;"$"&amp;$D318&amp;$BM$1&amp;"")</f>
        <v>1.22</v>
      </c>
      <c r="BN318" s="281"/>
      <c r="BO318" s="281">
        <v>0.99</v>
      </c>
      <c r="BP318" s="279">
        <v>0.19</v>
      </c>
      <c r="BQ318" s="284" cm="1">
        <f t="array" aca="1" ref="BQ318" ca="1">INDIRECT("'"&amp;$C318&amp;"'!"&amp;"$"&amp;$D318&amp;$BQ$1&amp;"")</f>
        <v>0.87</v>
      </c>
      <c r="BR318" s="281"/>
      <c r="BS318" s="281">
        <v>0.96</v>
      </c>
      <c r="BT318" s="279">
        <v>0.24</v>
      </c>
      <c r="BU318" s="284" cm="1">
        <f t="array" aca="1" ref="BU318" ca="1">INDIRECT("'"&amp;$C318&amp;"'!"&amp;"$"&amp;$D318&amp;74&amp;"")</f>
        <v>0</v>
      </c>
      <c r="BV318" s="281"/>
      <c r="BW318" s="281" t="s">
        <v>1</v>
      </c>
      <c r="BX318" s="279" t="s">
        <v>1</v>
      </c>
    </row>
    <row r="319" spans="1:76">
      <c r="A319" s="459">
        <v>45851</v>
      </c>
      <c r="B319" s="345">
        <v>0.58333333333333404</v>
      </c>
      <c r="C319" s="305">
        <v>13</v>
      </c>
      <c r="D319" s="306" t="s">
        <v>156</v>
      </c>
      <c r="E319" s="285">
        <v>14.1</v>
      </c>
      <c r="F319" s="286">
        <v>68.86</v>
      </c>
      <c r="G319" s="287" t="str" cm="1">
        <f t="array" aca="1" ref="G319" ca="1">INDIRECT("'"&amp;$C319&amp;"'!"&amp;"$"&amp;$D319&amp;$E$1&amp;"")</f>
        <v>CMS</v>
      </c>
      <c r="H319" s="288" t="s">
        <v>1</v>
      </c>
      <c r="I319" s="286" t="s">
        <v>1</v>
      </c>
      <c r="J319" s="287" cm="1">
        <f t="array" aca="1" ref="J319" ca="1">INDIRECT("'"&amp;$C319&amp;"'!"&amp;"$"&amp;$D319&amp;$J$1&amp;"")</f>
        <v>6.4</v>
      </c>
      <c r="K319" s="288"/>
      <c r="L319" s="288">
        <v>0.92</v>
      </c>
      <c r="M319" s="289">
        <v>2.76</v>
      </c>
      <c r="N319" s="285" cm="1">
        <f t="array" aca="1" ref="N319" ca="1">INDIRECT("'"&amp;$C319&amp;"'!"&amp;"$"&amp;$D319&amp;$N$1&amp;"")</f>
        <v>6.4</v>
      </c>
      <c r="O319" s="288"/>
      <c r="P319" s="288">
        <v>0.92</v>
      </c>
      <c r="Q319" s="286">
        <v>2.76</v>
      </c>
      <c r="R319" s="285" cm="1">
        <f t="array" aca="1" ref="R319" ca="1">INDIRECT("'"&amp;$C319&amp;"'!"&amp;"$"&amp;$D319&amp;$R$1&amp;"")</f>
        <v>6.4</v>
      </c>
      <c r="S319" s="288"/>
      <c r="T319" s="288">
        <v>0.92</v>
      </c>
      <c r="U319" s="286">
        <v>2.76</v>
      </c>
      <c r="V319" s="287" cm="1">
        <f t="array" aca="1" ref="V319" ca="1">INDIRECT("'"&amp;$C319&amp;"'!"&amp;"$"&amp;$D319&amp;$V$1&amp;"")</f>
        <v>2</v>
      </c>
      <c r="W319" s="288">
        <f>3.44*3.8</f>
        <v>13.071999999999999</v>
      </c>
      <c r="X319" s="288">
        <v>0.93</v>
      </c>
      <c r="Y319" s="289">
        <v>1.03</v>
      </c>
      <c r="Z319" s="285" t="str" cm="1">
        <f t="array" aca="1" ref="Z319" ca="1">INDIRECT("'"&amp;$C319&amp;"'!"&amp;"$"&amp;$D319&amp;$Z$1&amp;"")</f>
        <v>CMS</v>
      </c>
      <c r="AA319" s="288" t="s">
        <v>1</v>
      </c>
      <c r="AB319" s="288" t="s">
        <v>1</v>
      </c>
      <c r="AC319" s="286" t="s">
        <v>1</v>
      </c>
      <c r="AD319" s="287" t="str" cm="1">
        <f t="array" aca="1" ref="AD319" ca="1">INDIRECT("'"&amp;$C319&amp;"'!"&amp;"$"&amp;$D319&amp;$AD$1&amp;"")</f>
        <v>CMS</v>
      </c>
      <c r="AE319" s="288" t="s">
        <v>1</v>
      </c>
      <c r="AF319" s="288" t="s">
        <v>1</v>
      </c>
      <c r="AG319" s="289" t="s">
        <v>1</v>
      </c>
      <c r="AH319" s="285" cm="1">
        <f t="array" aca="1" ref="AH319" ca="1">INDIRECT("'"&amp;$C319&amp;"'!"&amp;"$"&amp;$D319&amp;$AH$1&amp;"")</f>
        <v>3</v>
      </c>
      <c r="AI319" s="288">
        <v>14.04</v>
      </c>
      <c r="AJ319" s="288">
        <v>0.99</v>
      </c>
      <c r="AK319" s="286">
        <v>0.35299999999999998</v>
      </c>
      <c r="AL319" s="285">
        <v>11.6</v>
      </c>
      <c r="AM319" s="289">
        <v>70.599999999999994</v>
      </c>
      <c r="AN319" s="285" cm="1">
        <f t="array" aca="1" ref="AN319" ca="1">INDIRECT("'"&amp;$C319&amp;"'!"&amp;"$"&amp;$D319&amp;$AL$1&amp;"")</f>
        <v>0</v>
      </c>
      <c r="AO319" s="288" t="s">
        <v>1</v>
      </c>
      <c r="AP319" s="286" t="s">
        <v>1</v>
      </c>
      <c r="AQ319" s="287" cm="1">
        <f t="array" aca="1" ref="AQ319" ca="1">INDIRECT("'"&amp;$C319&amp;"'!"&amp;"$"&amp;$D319&amp;$AQ$1&amp;"")</f>
        <v>2</v>
      </c>
      <c r="AR319" s="288">
        <v>0.92</v>
      </c>
      <c r="AS319" s="286">
        <v>0.8</v>
      </c>
      <c r="AT319" s="285">
        <v>13.98</v>
      </c>
      <c r="AU319" s="289">
        <v>70.599999999999994</v>
      </c>
      <c r="AV319" s="288" cm="1">
        <f t="array" aca="1" ref="AV319" ca="1">INDIRECT("'"&amp;$C319&amp;"'!"&amp;"$"&amp;$D319&amp;$AV$1&amp;"")</f>
        <v>0</v>
      </c>
      <c r="AW319" s="287">
        <v>13.7</v>
      </c>
      <c r="AX319" s="288" t="s">
        <v>1</v>
      </c>
      <c r="AY319" s="286" t="s">
        <v>1</v>
      </c>
      <c r="AZ319" s="288" cm="1">
        <f t="array" aca="1" ref="AZ319" ca="1">INDIRECT("'"&amp;$C319&amp;"'!"&amp;"$"&amp;$D319&amp;$AZ$1&amp;"")</f>
        <v>7</v>
      </c>
      <c r="BA319" s="287">
        <v>13.7</v>
      </c>
      <c r="BB319" s="288">
        <v>0.97</v>
      </c>
      <c r="BC319" s="286">
        <v>1.87</v>
      </c>
      <c r="BD319" s="290">
        <v>14.29</v>
      </c>
      <c r="BE319" s="289">
        <v>71.88</v>
      </c>
      <c r="BF319" s="290" cm="1">
        <f t="array" aca="1" ref="BF319" ca="1">INDIRECT("'"&amp;$C319&amp;"'!"&amp;"$"&amp;$D319&amp;$BF$1&amp;"")</f>
        <v>14.28</v>
      </c>
      <c r="BG319" s="288">
        <v>0.98</v>
      </c>
      <c r="BH319" s="286">
        <v>3.4</v>
      </c>
      <c r="BI319" s="525">
        <v>67.7</v>
      </c>
      <c r="BJ319" s="285" cm="1">
        <f t="array" aca="1" ref="BJ319" ca="1">INDIRECT("'"&amp;$C319&amp;"'!"&amp;"$"&amp;$D319&amp;$BI$1&amp;"")</f>
        <v>0</v>
      </c>
      <c r="BK319" s="287" t="s">
        <v>1</v>
      </c>
      <c r="BL319" s="286" t="s">
        <v>1</v>
      </c>
      <c r="BM319" s="290" cm="1">
        <f t="array" aca="1" ref="BM319" ca="1">INDIRECT("'"&amp;$C319&amp;"'!"&amp;"$"&amp;$D319&amp;$BM$1&amp;"")</f>
        <v>1.2</v>
      </c>
      <c r="BN319" s="288"/>
      <c r="BO319" s="288">
        <v>0.99</v>
      </c>
      <c r="BP319" s="286">
        <v>0.19</v>
      </c>
      <c r="BQ319" s="291" cm="1">
        <f t="array" aca="1" ref="BQ319" ca="1">INDIRECT("'"&amp;$C319&amp;"'!"&amp;"$"&amp;$D319&amp;$BQ$1&amp;"")</f>
        <v>0.85</v>
      </c>
      <c r="BR319" s="288"/>
      <c r="BS319" s="288">
        <v>0.96</v>
      </c>
      <c r="BT319" s="286">
        <v>0.25</v>
      </c>
      <c r="BU319" s="291" cm="1">
        <f t="array" aca="1" ref="BU319" ca="1">INDIRECT("'"&amp;$C319&amp;"'!"&amp;"$"&amp;$D319&amp;74&amp;"")</f>
        <v>0</v>
      </c>
      <c r="BV319" s="288"/>
      <c r="BW319" s="288" t="s">
        <v>1</v>
      </c>
      <c r="BX319" s="286" t="s">
        <v>1</v>
      </c>
    </row>
    <row r="320" spans="1:76">
      <c r="A320" s="459">
        <v>45851</v>
      </c>
      <c r="B320" s="345">
        <v>0.625</v>
      </c>
      <c r="C320" s="305">
        <v>13</v>
      </c>
      <c r="D320" s="306" t="s">
        <v>157</v>
      </c>
      <c r="E320" s="278">
        <v>14.2</v>
      </c>
      <c r="F320" s="279">
        <v>68.97</v>
      </c>
      <c r="G320" s="280" t="str" cm="1">
        <f t="array" aca="1" ref="G320" ca="1">INDIRECT("'"&amp;$C320&amp;"'!"&amp;"$"&amp;$D320&amp;$E$1&amp;"")</f>
        <v>CMS</v>
      </c>
      <c r="H320" s="281" t="s">
        <v>1</v>
      </c>
      <c r="I320" s="279" t="s">
        <v>1</v>
      </c>
      <c r="J320" s="280" cm="1">
        <f t="array" aca="1" ref="J320" ca="1">INDIRECT("'"&amp;$C320&amp;"'!"&amp;"$"&amp;$D320&amp;$J$1&amp;"")</f>
        <v>6.7</v>
      </c>
      <c r="K320" s="281"/>
      <c r="L320" s="281">
        <v>0.91</v>
      </c>
      <c r="M320" s="282">
        <v>3.01</v>
      </c>
      <c r="N320" s="278" cm="1">
        <f t="array" aca="1" ref="N320" ca="1">INDIRECT("'"&amp;$C320&amp;"'!"&amp;"$"&amp;$D320&amp;$N$1&amp;"")</f>
        <v>6.7</v>
      </c>
      <c r="O320" s="281"/>
      <c r="P320" s="281">
        <v>0.91</v>
      </c>
      <c r="Q320" s="279">
        <v>3.01</v>
      </c>
      <c r="R320" s="468" cm="1">
        <f t="array" aca="1" ref="R320" ca="1">INDIRECT("'"&amp;$C320&amp;"'!"&amp;"$"&amp;$D320&amp;$R$1&amp;"")</f>
        <v>6.7</v>
      </c>
      <c r="S320" s="281"/>
      <c r="T320" s="281">
        <v>0.91</v>
      </c>
      <c r="U320" s="279">
        <v>3.01</v>
      </c>
      <c r="V320" s="280" cm="1">
        <f t="array" aca="1" ref="V320" ca="1">INDIRECT("'"&amp;$C320&amp;"'!"&amp;"$"&amp;$D320&amp;$V$1&amp;"")</f>
        <v>0</v>
      </c>
      <c r="W320" s="281" t="s">
        <v>1</v>
      </c>
      <c r="X320" s="281" t="s">
        <v>1</v>
      </c>
      <c r="Y320" s="282" t="s">
        <v>1</v>
      </c>
      <c r="Z320" s="278" t="str" cm="1">
        <f t="array" aca="1" ref="Z320" ca="1">INDIRECT("'"&amp;$C320&amp;"'!"&amp;"$"&amp;$D320&amp;$Z$1&amp;"")</f>
        <v>CMS</v>
      </c>
      <c r="AA320" s="281" t="s">
        <v>1</v>
      </c>
      <c r="AB320" s="281" t="s">
        <v>1</v>
      </c>
      <c r="AC320" s="279" t="s">
        <v>1</v>
      </c>
      <c r="AD320" s="280" t="str" cm="1">
        <f t="array" aca="1" ref="AD320" ca="1">INDIRECT("'"&amp;$C320&amp;"'!"&amp;"$"&amp;$D320&amp;$AD$1&amp;"")</f>
        <v>CMS</v>
      </c>
      <c r="AE320" s="281" t="s">
        <v>1</v>
      </c>
      <c r="AF320" s="281" t="s">
        <v>1</v>
      </c>
      <c r="AG320" s="279" t="s">
        <v>1</v>
      </c>
      <c r="AH320" s="278" cm="1">
        <f t="array" aca="1" ref="AH320" ca="1">INDIRECT("'"&amp;$C320&amp;"'!"&amp;"$"&amp;$D320&amp;$AH$1&amp;"")</f>
        <v>3</v>
      </c>
      <c r="AI320" s="281">
        <v>14.04</v>
      </c>
      <c r="AJ320" s="281">
        <v>0.99</v>
      </c>
      <c r="AK320" s="279">
        <v>0.28100000000000003</v>
      </c>
      <c r="AL320" s="278">
        <v>11.6</v>
      </c>
      <c r="AM320" s="282">
        <v>70.900000000000006</v>
      </c>
      <c r="AN320" s="278" cm="1">
        <f t="array" aca="1" ref="AN320" ca="1">INDIRECT("'"&amp;$C320&amp;"'!"&amp;"$"&amp;$D320&amp;$AL$1&amp;"")</f>
        <v>0</v>
      </c>
      <c r="AO320" s="281" t="s">
        <v>1</v>
      </c>
      <c r="AP320" s="279" t="s">
        <v>1</v>
      </c>
      <c r="AQ320" s="280" cm="1">
        <f t="array" aca="1" ref="AQ320" ca="1">INDIRECT("'"&amp;$C320&amp;"'!"&amp;"$"&amp;$D320&amp;$AQ$1&amp;"")</f>
        <v>2</v>
      </c>
      <c r="AR320" s="281">
        <v>0.93</v>
      </c>
      <c r="AS320" s="279">
        <v>1.1000000000000001</v>
      </c>
      <c r="AT320" s="278">
        <v>13.98</v>
      </c>
      <c r="AU320" s="282">
        <v>70.599999999999994</v>
      </c>
      <c r="AV320" s="281" cm="1">
        <f t="array" aca="1" ref="AV320" ca="1">INDIRECT("'"&amp;$C320&amp;"'!"&amp;"$"&amp;$D320&amp;$AV$1&amp;"")</f>
        <v>0</v>
      </c>
      <c r="AW320" s="280">
        <v>13.7</v>
      </c>
      <c r="AX320" s="281" t="s">
        <v>1</v>
      </c>
      <c r="AY320" s="279" t="s">
        <v>1</v>
      </c>
      <c r="AZ320" s="281" cm="1">
        <f t="array" aca="1" ref="AZ320" ca="1">INDIRECT("'"&amp;$C320&amp;"'!"&amp;"$"&amp;$D320&amp;$AZ$1&amp;"")</f>
        <v>7</v>
      </c>
      <c r="BA320" s="280">
        <v>13.7</v>
      </c>
      <c r="BB320" s="281">
        <v>0.93</v>
      </c>
      <c r="BC320" s="279">
        <v>2.29</v>
      </c>
      <c r="BD320" s="283">
        <v>14.24</v>
      </c>
      <c r="BE320" s="282">
        <v>72.010000000000005</v>
      </c>
      <c r="BF320" s="283" cm="1">
        <f t="array" aca="1" ref="BF320" ca="1">INDIRECT("'"&amp;$C320&amp;"'!"&amp;"$"&amp;$D320&amp;$BF$1&amp;"")</f>
        <v>14.27</v>
      </c>
      <c r="BG320" s="281">
        <v>0.99</v>
      </c>
      <c r="BH320" s="279">
        <v>2.4</v>
      </c>
      <c r="BI320" s="524">
        <v>67.7</v>
      </c>
      <c r="BJ320" s="278" cm="1">
        <f t="array" aca="1" ref="BJ320" ca="1">INDIRECT("'"&amp;$C320&amp;"'!"&amp;"$"&amp;$D320&amp;$BI$1&amp;"")</f>
        <v>0.8</v>
      </c>
      <c r="BK320" s="280">
        <v>0.95</v>
      </c>
      <c r="BL320" s="279">
        <v>0.49</v>
      </c>
      <c r="BM320" s="283" cm="1">
        <f t="array" aca="1" ref="BM320" ca="1">INDIRECT("'"&amp;$C320&amp;"'!"&amp;"$"&amp;$D320&amp;$BM$1&amp;"")</f>
        <v>1.24</v>
      </c>
      <c r="BN320" s="281"/>
      <c r="BO320" s="281">
        <v>0.99</v>
      </c>
      <c r="BP320" s="279">
        <v>0.19</v>
      </c>
      <c r="BQ320" s="284" cm="1">
        <f t="array" aca="1" ref="BQ320" ca="1">INDIRECT("'"&amp;$C320&amp;"'!"&amp;"$"&amp;$D320&amp;$BQ$1&amp;"")</f>
        <v>0.83</v>
      </c>
      <c r="BR320" s="281"/>
      <c r="BS320" s="281">
        <v>0.96</v>
      </c>
      <c r="BT320" s="279">
        <v>0.24</v>
      </c>
      <c r="BU320" s="284" cm="1">
        <f t="array" aca="1" ref="BU320" ca="1">INDIRECT("'"&amp;$C320&amp;"'!"&amp;"$"&amp;$D320&amp;74&amp;"")</f>
        <v>0</v>
      </c>
      <c r="BV320" s="281"/>
      <c r="BW320" s="281" t="s">
        <v>1</v>
      </c>
      <c r="BX320" s="279" t="s">
        <v>1</v>
      </c>
    </row>
    <row r="321" spans="1:76">
      <c r="A321" s="459">
        <v>45851</v>
      </c>
      <c r="B321" s="345">
        <v>0.66666666666666696</v>
      </c>
      <c r="C321" s="305">
        <v>13</v>
      </c>
      <c r="D321" s="306" t="s">
        <v>158</v>
      </c>
      <c r="E321" s="285">
        <v>14.3</v>
      </c>
      <c r="F321" s="286">
        <v>69.45</v>
      </c>
      <c r="G321" s="287" t="str" cm="1">
        <f t="array" aca="1" ref="G321" ca="1">INDIRECT("'"&amp;$C321&amp;"'!"&amp;"$"&amp;$D321&amp;$E$1&amp;"")</f>
        <v>CMS</v>
      </c>
      <c r="H321" s="288" t="s">
        <v>1</v>
      </c>
      <c r="I321" s="286" t="s">
        <v>1</v>
      </c>
      <c r="J321" s="287" cm="1">
        <f t="array" aca="1" ref="J321" ca="1">INDIRECT("'"&amp;$C321&amp;"'!"&amp;"$"&amp;$D321&amp;$J$1&amp;"")</f>
        <v>6.6</v>
      </c>
      <c r="K321" s="288"/>
      <c r="L321" s="288">
        <v>0.91</v>
      </c>
      <c r="M321" s="289">
        <v>2.94</v>
      </c>
      <c r="N321" s="285" cm="1">
        <f t="array" aca="1" ref="N321" ca="1">INDIRECT("'"&amp;$C321&amp;"'!"&amp;"$"&amp;$D321&amp;$N$1&amp;"")</f>
        <v>6.6</v>
      </c>
      <c r="O321" s="288"/>
      <c r="P321" s="288">
        <v>0.91</v>
      </c>
      <c r="Q321" s="286">
        <v>2.94</v>
      </c>
      <c r="R321" s="469" cm="1">
        <f t="array" aca="1" ref="R321" ca="1">INDIRECT("'"&amp;$C321&amp;"'!"&amp;"$"&amp;$D321&amp;$R$1&amp;"")</f>
        <v>6.6</v>
      </c>
      <c r="S321" s="288"/>
      <c r="T321" s="288">
        <v>0.91</v>
      </c>
      <c r="U321" s="286">
        <v>2.94</v>
      </c>
      <c r="V321" s="287" cm="1">
        <f t="array" aca="1" ref="V321" ca="1">INDIRECT("'"&amp;$C321&amp;"'!"&amp;"$"&amp;$D321&amp;$V$1&amp;"")</f>
        <v>0</v>
      </c>
      <c r="W321" s="288" t="s">
        <v>1</v>
      </c>
      <c r="X321" s="288" t="s">
        <v>1</v>
      </c>
      <c r="Y321" s="289" t="s">
        <v>1</v>
      </c>
      <c r="Z321" s="285" t="str" cm="1">
        <f t="array" aca="1" ref="Z321" ca="1">INDIRECT("'"&amp;$C321&amp;"'!"&amp;"$"&amp;$D321&amp;$Z$1&amp;"")</f>
        <v>CMS</v>
      </c>
      <c r="AA321" s="288" t="s">
        <v>1</v>
      </c>
      <c r="AB321" s="288" t="s">
        <v>1</v>
      </c>
      <c r="AC321" s="286" t="s">
        <v>1</v>
      </c>
      <c r="AD321" s="287" cm="1">
        <f t="array" aca="1" ref="AD321" ca="1">INDIRECT("'"&amp;$C321&amp;"'!"&amp;"$"&amp;$D321&amp;$AD$1&amp;"")</f>
        <v>1.5</v>
      </c>
      <c r="AE321" s="288">
        <f>3.8*3.48</f>
        <v>13.224</v>
      </c>
      <c r="AF321" s="288">
        <v>0.95</v>
      </c>
      <c r="AG321" s="289">
        <v>0.68799999999999994</v>
      </c>
      <c r="AH321" s="285" cm="1">
        <f t="array" aca="1" ref="AH321" ca="1">INDIRECT("'"&amp;$C321&amp;"'!"&amp;"$"&amp;$D321&amp;$AH$1&amp;"")</f>
        <v>1.5</v>
      </c>
      <c r="AI321" s="288">
        <v>14.08</v>
      </c>
      <c r="AJ321" s="288">
        <v>0.98</v>
      </c>
      <c r="AK321" s="286">
        <v>0.34</v>
      </c>
      <c r="AL321" s="285">
        <v>11.6</v>
      </c>
      <c r="AM321" s="289">
        <v>71.099999999999994</v>
      </c>
      <c r="AN321" s="285" cm="1">
        <f t="array" aca="1" ref="AN321" ca="1">INDIRECT("'"&amp;$C321&amp;"'!"&amp;"$"&amp;$D321&amp;$AL$1&amp;"")</f>
        <v>0</v>
      </c>
      <c r="AO321" s="288" t="s">
        <v>1</v>
      </c>
      <c r="AP321" s="286" t="s">
        <v>1</v>
      </c>
      <c r="AQ321" s="287" cm="1">
        <f t="array" aca="1" ref="AQ321" ca="1">INDIRECT("'"&amp;$C321&amp;"'!"&amp;"$"&amp;$D321&amp;$AQ$1&amp;"")</f>
        <v>2.2999999999999998</v>
      </c>
      <c r="AR321" s="288">
        <v>0.95</v>
      </c>
      <c r="AS321" s="286">
        <v>0.8</v>
      </c>
      <c r="AT321" s="285">
        <v>14</v>
      </c>
      <c r="AU321" s="289">
        <v>70.8</v>
      </c>
      <c r="AV321" s="288" cm="1">
        <f t="array" aca="1" ref="AV321" ca="1">INDIRECT("'"&amp;$C321&amp;"'!"&amp;"$"&amp;$D321&amp;$AV$1&amp;"")</f>
        <v>0</v>
      </c>
      <c r="AW321" s="287" t="s">
        <v>1</v>
      </c>
      <c r="AX321" s="288" t="s">
        <v>1</v>
      </c>
      <c r="AY321" s="286" t="s">
        <v>1</v>
      </c>
      <c r="AZ321" s="288" cm="1">
        <f t="array" aca="1" ref="AZ321" ca="1">INDIRECT("'"&amp;$C321&amp;"'!"&amp;"$"&amp;$D321&amp;$AZ$1&amp;"")</f>
        <v>7</v>
      </c>
      <c r="BA321" s="287" t="s">
        <v>1</v>
      </c>
      <c r="BB321" s="288">
        <v>0.94</v>
      </c>
      <c r="BC321" s="286">
        <v>2.63</v>
      </c>
      <c r="BD321" s="290">
        <v>14.28</v>
      </c>
      <c r="BE321" s="289">
        <v>72.17</v>
      </c>
      <c r="BF321" s="290" cm="1">
        <f t="array" aca="1" ref="BF321" ca="1">INDIRECT("'"&amp;$C321&amp;"'!"&amp;"$"&amp;$D321&amp;$BF$1&amp;"")</f>
        <v>14.3</v>
      </c>
      <c r="BG321" s="288">
        <v>0.99</v>
      </c>
      <c r="BH321" s="286">
        <v>2.4300000000000002</v>
      </c>
      <c r="BI321" s="525">
        <v>68</v>
      </c>
      <c r="BJ321" s="285" cm="1">
        <f t="array" aca="1" ref="BJ321" ca="1">INDIRECT("'"&amp;$C321&amp;"'!"&amp;"$"&amp;$D321&amp;$BI$1&amp;"")</f>
        <v>0</v>
      </c>
      <c r="BK321" s="287" t="s">
        <v>1</v>
      </c>
      <c r="BL321" s="286" t="s">
        <v>1</v>
      </c>
      <c r="BM321" s="290" cm="1">
        <f t="array" aca="1" ref="BM321" ca="1">INDIRECT("'"&amp;$C321&amp;"'!"&amp;"$"&amp;$D321&amp;$BM$1&amp;"")</f>
        <v>1.22</v>
      </c>
      <c r="BN321" s="288"/>
      <c r="BO321" s="288">
        <v>0.99</v>
      </c>
      <c r="BP321" s="286">
        <v>0.18</v>
      </c>
      <c r="BQ321" s="291" cm="1">
        <f t="array" aca="1" ref="BQ321" ca="1">INDIRECT("'"&amp;$C321&amp;"'!"&amp;"$"&amp;$D321&amp;$BQ$1&amp;"")</f>
        <v>0.84</v>
      </c>
      <c r="BR321" s="288"/>
      <c r="BS321" s="288">
        <v>0.96</v>
      </c>
      <c r="BT321" s="286">
        <v>0.24</v>
      </c>
      <c r="BU321" s="291" cm="1">
        <f t="array" aca="1" ref="BU321" ca="1">INDIRECT("'"&amp;$C321&amp;"'!"&amp;"$"&amp;$D321&amp;74&amp;"")</f>
        <v>0</v>
      </c>
      <c r="BV321" s="288"/>
      <c r="BW321" s="288" t="s">
        <v>1</v>
      </c>
      <c r="BX321" s="286" t="s">
        <v>1</v>
      </c>
    </row>
    <row r="322" spans="1:76">
      <c r="A322" s="459">
        <v>45851</v>
      </c>
      <c r="B322" s="345">
        <v>0.70833333333333404</v>
      </c>
      <c r="C322" s="305">
        <v>13</v>
      </c>
      <c r="D322" s="306" t="s">
        <v>159</v>
      </c>
      <c r="E322" s="278">
        <v>14.2</v>
      </c>
      <c r="F322" s="279">
        <v>69.540000000000006</v>
      </c>
      <c r="G322" s="280" t="str" cm="1">
        <f t="array" aca="1" ref="G322" ca="1">INDIRECT("'"&amp;$C322&amp;"'!"&amp;"$"&amp;$D322&amp;$E$1&amp;"")</f>
        <v>CMS</v>
      </c>
      <c r="H322" s="281" t="s">
        <v>1</v>
      </c>
      <c r="I322" s="279" t="s">
        <v>1</v>
      </c>
      <c r="J322" s="280" cm="1">
        <f t="array" aca="1" ref="J322" ca="1">INDIRECT("'"&amp;$C322&amp;"'!"&amp;"$"&amp;$D322&amp;$J$1&amp;"")</f>
        <v>6.6</v>
      </c>
      <c r="K322" s="281"/>
      <c r="L322" s="281">
        <v>0.93</v>
      </c>
      <c r="M322" s="282">
        <v>2.5099999999999998</v>
      </c>
      <c r="N322" s="278" cm="1">
        <f t="array" aca="1" ref="N322" ca="1">INDIRECT("'"&amp;$C322&amp;"'!"&amp;"$"&amp;$D322&amp;$N$1&amp;"")</f>
        <v>6.6</v>
      </c>
      <c r="O322" s="281"/>
      <c r="P322" s="281">
        <v>0.93</v>
      </c>
      <c r="Q322" s="279">
        <v>2.5099999999999998</v>
      </c>
      <c r="R322" s="468" cm="1">
        <f t="array" aca="1" ref="R322" ca="1">INDIRECT("'"&amp;$C322&amp;"'!"&amp;"$"&amp;$D322&amp;$R$1&amp;"")</f>
        <v>6.6</v>
      </c>
      <c r="S322" s="281"/>
      <c r="T322" s="281">
        <v>0.93</v>
      </c>
      <c r="U322" s="279">
        <v>2.5099999999999998</v>
      </c>
      <c r="V322" s="280" cm="1">
        <f t="array" aca="1" ref="V322" ca="1">INDIRECT("'"&amp;$C322&amp;"'!"&amp;"$"&amp;$D322&amp;$V$1&amp;"")</f>
        <v>0</v>
      </c>
      <c r="W322" s="281" t="s">
        <v>1</v>
      </c>
      <c r="X322" s="281" t="s">
        <v>1</v>
      </c>
      <c r="Y322" s="282" t="s">
        <v>1</v>
      </c>
      <c r="Z322" s="278" t="str" cm="1">
        <f t="array" aca="1" ref="Z322" ca="1">INDIRECT("'"&amp;$C322&amp;"'!"&amp;"$"&amp;$D322&amp;$Z$1&amp;"")</f>
        <v>CMS</v>
      </c>
      <c r="AA322" s="281" t="s">
        <v>1</v>
      </c>
      <c r="AB322" s="281" t="s">
        <v>1</v>
      </c>
      <c r="AC322" s="279" t="s">
        <v>1</v>
      </c>
      <c r="AD322" s="280" cm="1">
        <f t="array" aca="1" ref="AD322" ca="1">INDIRECT("'"&amp;$C322&amp;"'!"&amp;"$"&amp;$D322&amp;$AD$1&amp;"")</f>
        <v>3.6</v>
      </c>
      <c r="AE322" s="281">
        <f>3.8*3.54</f>
        <v>13.452</v>
      </c>
      <c r="AF322" s="281">
        <v>0.93</v>
      </c>
      <c r="AG322" s="282">
        <v>1.21</v>
      </c>
      <c r="AH322" s="278" cm="1">
        <f t="array" aca="1" ref="AH322" ca="1">INDIRECT("'"&amp;$C322&amp;"'!"&amp;"$"&amp;$D322&amp;$AH$1&amp;"")</f>
        <v>0</v>
      </c>
      <c r="AI322" s="281" t="s">
        <v>1</v>
      </c>
      <c r="AJ322" s="281" t="s">
        <v>1</v>
      </c>
      <c r="AK322" s="279" t="s">
        <v>1</v>
      </c>
      <c r="AL322" s="278">
        <v>11.6</v>
      </c>
      <c r="AM322" s="282">
        <v>71</v>
      </c>
      <c r="AN322" s="278" cm="1">
        <f t="array" aca="1" ref="AN322" ca="1">INDIRECT("'"&amp;$C322&amp;"'!"&amp;"$"&amp;$D322&amp;$AL$1&amp;"")</f>
        <v>0</v>
      </c>
      <c r="AO322" s="281" t="s">
        <v>1</v>
      </c>
      <c r="AP322" s="279" t="s">
        <v>1</v>
      </c>
      <c r="AQ322" s="280" cm="1">
        <f t="array" aca="1" ref="AQ322" ca="1">INDIRECT("'"&amp;$C322&amp;"'!"&amp;"$"&amp;$D322&amp;$AQ$1&amp;"")</f>
        <v>3.7</v>
      </c>
      <c r="AR322" s="281">
        <v>0.95</v>
      </c>
      <c r="AS322" s="279">
        <v>0.85</v>
      </c>
      <c r="AT322" s="278">
        <v>14</v>
      </c>
      <c r="AU322" s="282">
        <v>70.8</v>
      </c>
      <c r="AV322" s="281" cm="1">
        <f t="array" aca="1" ref="AV322" ca="1">INDIRECT("'"&amp;$C322&amp;"'!"&amp;"$"&amp;$D322&amp;$AV$1&amp;"")</f>
        <v>0</v>
      </c>
      <c r="AW322" s="280" t="s">
        <v>1</v>
      </c>
      <c r="AX322" s="281" t="s">
        <v>1</v>
      </c>
      <c r="AY322" s="279" t="s">
        <v>1</v>
      </c>
      <c r="AZ322" s="281" cm="1">
        <f t="array" aca="1" ref="AZ322" ca="1">INDIRECT("'"&amp;$C322&amp;"'!"&amp;"$"&amp;$D322&amp;$AZ$1&amp;"")</f>
        <v>7</v>
      </c>
      <c r="BA322" s="280" t="s">
        <v>1</v>
      </c>
      <c r="BB322" s="281">
        <v>0.94</v>
      </c>
      <c r="BC322" s="279">
        <v>2.64</v>
      </c>
      <c r="BD322" s="283">
        <v>14.19</v>
      </c>
      <c r="BE322" s="282">
        <v>71.819999999999993</v>
      </c>
      <c r="BF322" s="283" cm="1">
        <f t="array" aca="1" ref="BF322" ca="1">INDIRECT("'"&amp;$C322&amp;"'!"&amp;"$"&amp;$D322&amp;$BF$1&amp;"")</f>
        <v>14.26</v>
      </c>
      <c r="BG322" s="281">
        <v>0.99</v>
      </c>
      <c r="BH322" s="279">
        <v>2.2999999999999998</v>
      </c>
      <c r="BI322" s="524">
        <v>68.400000000000006</v>
      </c>
      <c r="BJ322" s="278" cm="1">
        <f t="array" aca="1" ref="BJ322" ca="1">INDIRECT("'"&amp;$C322&amp;"'!"&amp;"$"&amp;$D322&amp;$BI$1&amp;"")</f>
        <v>0</v>
      </c>
      <c r="BK322" s="280" t="s">
        <v>1</v>
      </c>
      <c r="BL322" s="279" t="s">
        <v>1</v>
      </c>
      <c r="BM322" s="283" cm="1">
        <f t="array" aca="1" ref="BM322" ca="1">INDIRECT("'"&amp;$C322&amp;"'!"&amp;"$"&amp;$D322&amp;$BM$1&amp;"")</f>
        <v>1.2</v>
      </c>
      <c r="BN322" s="281"/>
      <c r="BO322" s="281">
        <v>0.99</v>
      </c>
      <c r="BP322" s="279">
        <v>0.18</v>
      </c>
      <c r="BQ322" s="284" cm="1">
        <f t="array" aca="1" ref="BQ322" ca="1">INDIRECT("'"&amp;$C322&amp;"'!"&amp;"$"&amp;$D322&amp;$BQ$1&amp;"")</f>
        <v>0.84</v>
      </c>
      <c r="BR322" s="281"/>
      <c r="BS322" s="281">
        <v>0.96</v>
      </c>
      <c r="BT322" s="279">
        <v>0.24</v>
      </c>
      <c r="BU322" s="284" cm="1">
        <f t="array" aca="1" ref="BU322" ca="1">INDIRECT("'"&amp;$C322&amp;"'!"&amp;"$"&amp;$D322&amp;74&amp;"")</f>
        <v>0</v>
      </c>
      <c r="BV322" s="281"/>
      <c r="BW322" s="281" t="s">
        <v>1</v>
      </c>
      <c r="BX322" s="279" t="s">
        <v>1</v>
      </c>
    </row>
    <row r="323" spans="1:76">
      <c r="A323" s="459">
        <v>45851</v>
      </c>
      <c r="B323" s="345">
        <v>0.750000000000001</v>
      </c>
      <c r="C323" s="305">
        <v>13</v>
      </c>
      <c r="D323" s="306" t="s">
        <v>160</v>
      </c>
      <c r="E323" s="285">
        <v>14.2</v>
      </c>
      <c r="F323" s="286">
        <v>69.59</v>
      </c>
      <c r="G323" s="287" t="str" cm="1">
        <f t="array" aca="1" ref="G323" ca="1">INDIRECT("'"&amp;$C323&amp;"'!"&amp;"$"&amp;$D323&amp;$E$1&amp;"")</f>
        <v>CMS</v>
      </c>
      <c r="H323" s="288" t="s">
        <v>1</v>
      </c>
      <c r="I323" s="286" t="s">
        <v>1</v>
      </c>
      <c r="J323" s="287" cm="1">
        <f t="array" aca="1" ref="J323" ca="1">INDIRECT("'"&amp;$C323&amp;"'!"&amp;"$"&amp;$D323&amp;$J$1&amp;"")</f>
        <v>6.7</v>
      </c>
      <c r="K323" s="288"/>
      <c r="L323" s="288">
        <v>0.94</v>
      </c>
      <c r="M323" s="289">
        <v>2.48</v>
      </c>
      <c r="N323" s="285" cm="1">
        <f t="array" aca="1" ref="N323" ca="1">INDIRECT("'"&amp;$C323&amp;"'!"&amp;"$"&amp;$D323&amp;$N$1&amp;"")</f>
        <v>6.7</v>
      </c>
      <c r="O323" s="288"/>
      <c r="P323" s="288">
        <v>0.94</v>
      </c>
      <c r="Q323" s="286">
        <v>2.48</v>
      </c>
      <c r="R323" s="285" cm="1">
        <f t="array" aca="1" ref="R323" ca="1">INDIRECT("'"&amp;$C323&amp;"'!"&amp;"$"&amp;$D323&amp;$R$1&amp;"")</f>
        <v>6.7</v>
      </c>
      <c r="S323" s="288"/>
      <c r="T323" s="288">
        <v>0.94</v>
      </c>
      <c r="U323" s="286">
        <v>2.48</v>
      </c>
      <c r="V323" s="287" cm="1">
        <f t="array" aca="1" ref="V323" ca="1">INDIRECT("'"&amp;$C323&amp;"'!"&amp;"$"&amp;$D323&amp;$V$1&amp;"")</f>
        <v>0</v>
      </c>
      <c r="W323" s="288" t="s">
        <v>1</v>
      </c>
      <c r="X323" s="288" t="s">
        <v>1</v>
      </c>
      <c r="Y323" s="289" t="s">
        <v>1</v>
      </c>
      <c r="Z323" s="285" t="str" cm="1">
        <f t="array" aca="1" ref="Z323" ca="1">INDIRECT("'"&amp;$C323&amp;"'!"&amp;"$"&amp;$D323&amp;$Z$1&amp;"")</f>
        <v>CMS</v>
      </c>
      <c r="AA323" s="288" t="s">
        <v>1</v>
      </c>
      <c r="AB323" s="288" t="s">
        <v>1</v>
      </c>
      <c r="AC323" s="286" t="s">
        <v>1</v>
      </c>
      <c r="AD323" s="287" cm="1">
        <f t="array" aca="1" ref="AD323" ca="1">INDIRECT("'"&amp;$C323&amp;"'!"&amp;"$"&amp;$D323&amp;$AD$1&amp;"")</f>
        <v>3.8</v>
      </c>
      <c r="AE323" s="288">
        <f>3.8*3.54</f>
        <v>13.452</v>
      </c>
      <c r="AF323" s="288">
        <v>0.93</v>
      </c>
      <c r="AG323" s="289">
        <v>1.32</v>
      </c>
      <c r="AH323" s="285" cm="1">
        <f t="array" aca="1" ref="AH323" ca="1">INDIRECT("'"&amp;$C323&amp;"'!"&amp;"$"&amp;$D323&amp;$AH$1&amp;"")</f>
        <v>0</v>
      </c>
      <c r="AI323" s="288" t="s">
        <v>1</v>
      </c>
      <c r="AJ323" s="288" t="s">
        <v>1</v>
      </c>
      <c r="AK323" s="286" t="s">
        <v>1</v>
      </c>
      <c r="AL323" s="285">
        <v>11.6</v>
      </c>
      <c r="AM323" s="289">
        <v>71.099999999999994</v>
      </c>
      <c r="AN323" s="285" cm="1">
        <f t="array" aca="1" ref="AN323" ca="1">INDIRECT("'"&amp;$C323&amp;"'!"&amp;"$"&amp;$D323&amp;$AL$1&amp;"")</f>
        <v>0</v>
      </c>
      <c r="AO323" s="288" t="s">
        <v>1</v>
      </c>
      <c r="AP323" s="286" t="s">
        <v>1</v>
      </c>
      <c r="AQ323" s="287" cm="1">
        <f t="array" aca="1" ref="AQ323" ca="1">INDIRECT("'"&amp;$C323&amp;"'!"&amp;"$"&amp;$D323&amp;$AQ$1&amp;"")</f>
        <v>3.7</v>
      </c>
      <c r="AR323" s="288">
        <v>0.97</v>
      </c>
      <c r="AS323" s="286">
        <v>0.85</v>
      </c>
      <c r="AT323" s="285">
        <v>14</v>
      </c>
      <c r="AU323" s="289">
        <v>70.8</v>
      </c>
      <c r="AV323" s="288" cm="1">
        <f t="array" aca="1" ref="AV323" ca="1">INDIRECT("'"&amp;$C323&amp;"'!"&amp;"$"&amp;$D323&amp;$AV$1&amp;"")</f>
        <v>0</v>
      </c>
      <c r="AW323" s="287" t="s">
        <v>1</v>
      </c>
      <c r="AX323" s="288" t="s">
        <v>1</v>
      </c>
      <c r="AY323" s="286" t="s">
        <v>1</v>
      </c>
      <c r="AZ323" s="288" cm="1">
        <f t="array" aca="1" ref="AZ323" ca="1">INDIRECT("'"&amp;$C323&amp;"'!"&amp;"$"&amp;$D323&amp;$AZ$1&amp;"")</f>
        <v>7</v>
      </c>
      <c r="BA323" s="287" t="s">
        <v>1</v>
      </c>
      <c r="BB323" s="288">
        <v>0.95</v>
      </c>
      <c r="BC323" s="286">
        <v>2.57</v>
      </c>
      <c r="BD323" s="290">
        <v>14.17</v>
      </c>
      <c r="BE323" s="289">
        <v>71.760000000000005</v>
      </c>
      <c r="BF323" s="290" cm="1">
        <f t="array" aca="1" ref="BF323" ca="1">INDIRECT("'"&amp;$C323&amp;"'!"&amp;"$"&amp;$D323&amp;$BF$1&amp;"")</f>
        <v>14.28</v>
      </c>
      <c r="BG323" s="288">
        <v>0.99</v>
      </c>
      <c r="BH323" s="286">
        <v>2.2999999999999998</v>
      </c>
      <c r="BI323" s="525">
        <v>68.400000000000006</v>
      </c>
      <c r="BJ323" s="285" cm="1">
        <f t="array" aca="1" ref="BJ323" ca="1">INDIRECT("'"&amp;$C323&amp;"'!"&amp;"$"&amp;$D323&amp;$BI$1&amp;"")</f>
        <v>0</v>
      </c>
      <c r="BK323" s="287" t="s">
        <v>1</v>
      </c>
      <c r="BL323" s="286" t="s">
        <v>1</v>
      </c>
      <c r="BM323" s="290" cm="1">
        <f t="array" aca="1" ref="BM323" ca="1">INDIRECT("'"&amp;$C323&amp;"'!"&amp;"$"&amp;$D323&amp;$BM$1&amp;"")</f>
        <v>1.27</v>
      </c>
      <c r="BN323" s="288"/>
      <c r="BO323" s="288">
        <v>0.99</v>
      </c>
      <c r="BP323" s="286">
        <v>0.17</v>
      </c>
      <c r="BQ323" s="291" cm="1">
        <f t="array" aca="1" ref="BQ323" ca="1">INDIRECT("'"&amp;$C323&amp;"'!"&amp;"$"&amp;$D323&amp;$BQ$1&amp;"")</f>
        <v>0.82</v>
      </c>
      <c r="BR323" s="288"/>
      <c r="BS323" s="288">
        <v>0.96</v>
      </c>
      <c r="BT323" s="286">
        <v>0.24</v>
      </c>
      <c r="BU323" s="291" cm="1">
        <f t="array" aca="1" ref="BU323" ca="1">INDIRECT("'"&amp;$C323&amp;"'!"&amp;"$"&amp;$D323&amp;74&amp;"")</f>
        <v>0</v>
      </c>
      <c r="BV323" s="288"/>
      <c r="BW323" s="288" t="s">
        <v>1</v>
      </c>
      <c r="BX323" s="286" t="s">
        <v>1</v>
      </c>
    </row>
    <row r="324" spans="1:76">
      <c r="A324" s="459">
        <v>45851</v>
      </c>
      <c r="B324" s="345">
        <v>0.79166666666666696</v>
      </c>
      <c r="C324" s="305">
        <v>13</v>
      </c>
      <c r="D324" s="306" t="s">
        <v>161</v>
      </c>
      <c r="E324" s="278">
        <v>14.3</v>
      </c>
      <c r="F324" s="279">
        <v>70.06</v>
      </c>
      <c r="G324" s="280" t="str" cm="1">
        <f t="array" aca="1" ref="G324" ca="1">INDIRECT("'"&amp;$C324&amp;"'!"&amp;"$"&amp;$D324&amp;$E$1&amp;"")</f>
        <v>CMS</v>
      </c>
      <c r="H324" s="281" t="s">
        <v>1</v>
      </c>
      <c r="I324" s="279" t="s">
        <v>1</v>
      </c>
      <c r="J324" s="280" cm="1">
        <f t="array" aca="1" ref="J324" ca="1">INDIRECT("'"&amp;$C324&amp;"'!"&amp;"$"&amp;$D324&amp;$J$1&amp;"")</f>
        <v>6.7</v>
      </c>
      <c r="K324" s="292"/>
      <c r="L324" s="281">
        <v>0.96</v>
      </c>
      <c r="M324" s="282">
        <v>1.88</v>
      </c>
      <c r="N324" s="278" cm="1">
        <f t="array" aca="1" ref="N324" ca="1">INDIRECT("'"&amp;$C324&amp;"'!"&amp;"$"&amp;$D324&amp;$N$1&amp;"")</f>
        <v>6.7</v>
      </c>
      <c r="O324" s="281"/>
      <c r="P324" s="281">
        <v>0.96</v>
      </c>
      <c r="Q324" s="279">
        <v>1.88</v>
      </c>
      <c r="R324" s="468" cm="1">
        <f t="array" aca="1" ref="R324" ca="1">INDIRECT("'"&amp;$C324&amp;"'!"&amp;"$"&amp;$D324&amp;$R$1&amp;"")</f>
        <v>6.7</v>
      </c>
      <c r="S324" s="281"/>
      <c r="T324" s="281">
        <v>0.96</v>
      </c>
      <c r="U324" s="279">
        <v>1.88</v>
      </c>
      <c r="V324" s="280" cm="1">
        <f t="array" aca="1" ref="V324" ca="1">INDIRECT("'"&amp;$C324&amp;"'!"&amp;"$"&amp;$D324&amp;$V$1&amp;"")</f>
        <v>2.8</v>
      </c>
      <c r="W324" s="281">
        <v>13.337999999999999</v>
      </c>
      <c r="X324" s="281">
        <v>0.93</v>
      </c>
      <c r="Y324" s="282">
        <v>1.05</v>
      </c>
      <c r="Z324" s="278" t="str" cm="1">
        <f t="array" aca="1" ref="Z324" ca="1">INDIRECT("'"&amp;$C324&amp;"'!"&amp;"$"&amp;$D324&amp;$Z$1&amp;"")</f>
        <v>CMS</v>
      </c>
      <c r="AA324" s="281" t="s">
        <v>1</v>
      </c>
      <c r="AB324" s="281" t="s">
        <v>1</v>
      </c>
      <c r="AC324" s="279" t="s">
        <v>1</v>
      </c>
      <c r="AD324" s="280" cm="1">
        <f t="array" aca="1" ref="AD324" ca="1">INDIRECT("'"&amp;$C324&amp;"'!"&amp;"$"&amp;$D324&amp;$AD$1&amp;"")</f>
        <v>3.8</v>
      </c>
      <c r="AE324" s="281">
        <v>13.337999999999999</v>
      </c>
      <c r="AF324" s="281">
        <v>0.93</v>
      </c>
      <c r="AG324" s="282">
        <v>1.41</v>
      </c>
      <c r="AH324" s="278" cm="1">
        <f t="array" aca="1" ref="AH324" ca="1">INDIRECT("'"&amp;$C324&amp;"'!"&amp;"$"&amp;$D324&amp;$AH$1&amp;"")</f>
        <v>0</v>
      </c>
      <c r="AI324" s="281" t="s">
        <v>1</v>
      </c>
      <c r="AJ324" s="281" t="s">
        <v>1</v>
      </c>
      <c r="AK324" s="279" t="s">
        <v>1</v>
      </c>
      <c r="AL324" s="278">
        <v>11.7</v>
      </c>
      <c r="AM324" s="282">
        <v>71.3</v>
      </c>
      <c r="AN324" s="278" cm="1">
        <f t="array" aca="1" ref="AN324" ca="1">INDIRECT("'"&amp;$C324&amp;"'!"&amp;"$"&amp;$D324&amp;$AL$1&amp;"")</f>
        <v>0</v>
      </c>
      <c r="AO324" s="281" t="s">
        <v>1</v>
      </c>
      <c r="AP324" s="279" t="s">
        <v>1</v>
      </c>
      <c r="AQ324" s="280" cm="1">
        <f t="array" aca="1" ref="AQ324" ca="1">INDIRECT("'"&amp;$C324&amp;"'!"&amp;"$"&amp;$D324&amp;$AQ$1&amp;"")</f>
        <v>3.7</v>
      </c>
      <c r="AR324" s="281">
        <v>0.99</v>
      </c>
      <c r="AS324" s="279">
        <v>0.66</v>
      </c>
      <c r="AT324" s="278">
        <v>13.9</v>
      </c>
      <c r="AU324" s="282">
        <v>70.8</v>
      </c>
      <c r="AV324" s="281" cm="1">
        <f t="array" aca="1" ref="AV324" ca="1">INDIRECT("'"&amp;$C324&amp;"'!"&amp;"$"&amp;$D324&amp;$AV$1&amp;"")</f>
        <v>0</v>
      </c>
      <c r="AW324" s="280">
        <v>13.7</v>
      </c>
      <c r="AX324" s="281" t="s">
        <v>1</v>
      </c>
      <c r="AY324" s="279" t="s">
        <v>1</v>
      </c>
      <c r="AZ324" s="281" cm="1">
        <f t="array" aca="1" ref="AZ324" ca="1">INDIRECT("'"&amp;$C324&amp;"'!"&amp;"$"&amp;$D324&amp;$AZ$1&amp;"")</f>
        <v>7</v>
      </c>
      <c r="BA324" s="280">
        <v>13.7</v>
      </c>
      <c r="BB324" s="281">
        <v>0.96</v>
      </c>
      <c r="BC324" s="279">
        <v>2.17</v>
      </c>
      <c r="BD324" s="283">
        <v>13.9</v>
      </c>
      <c r="BE324" s="282">
        <v>70.8</v>
      </c>
      <c r="BF324" s="283" cm="1">
        <f t="array" aca="1" ref="BF324" ca="1">INDIRECT("'"&amp;$C324&amp;"'!"&amp;"$"&amp;$D324&amp;$BF$1&amp;"")</f>
        <v>14.24</v>
      </c>
      <c r="BG324" s="281">
        <v>0.99</v>
      </c>
      <c r="BH324" s="279">
        <v>2.2999999999999998</v>
      </c>
      <c r="BI324" s="524">
        <v>69.3</v>
      </c>
      <c r="BJ324" s="278" cm="1">
        <f t="array" aca="1" ref="BJ324" ca="1">INDIRECT("'"&amp;$C324&amp;"'!"&amp;"$"&amp;$D324&amp;$BI$1&amp;"")</f>
        <v>3.7</v>
      </c>
      <c r="BK324" s="280">
        <v>0.97</v>
      </c>
      <c r="BL324" s="279">
        <v>0.92</v>
      </c>
      <c r="BM324" s="283" cm="1">
        <f t="array" aca="1" ref="BM324" ca="1">INDIRECT("'"&amp;$C324&amp;"'!"&amp;"$"&amp;$D324&amp;$BM$1&amp;"")</f>
        <v>1.45</v>
      </c>
      <c r="BN324" s="281"/>
      <c r="BO324" s="281">
        <v>0.99</v>
      </c>
      <c r="BP324" s="279">
        <v>0.18</v>
      </c>
      <c r="BQ324" s="284" cm="1">
        <f t="array" aca="1" ref="BQ324" ca="1">INDIRECT("'"&amp;$C324&amp;"'!"&amp;"$"&amp;$D324&amp;$BQ$1&amp;"")</f>
        <v>0.93</v>
      </c>
      <c r="BR324" s="281"/>
      <c r="BS324" s="281">
        <v>0.97</v>
      </c>
      <c r="BT324" s="279">
        <v>0.24</v>
      </c>
      <c r="BU324" s="284" cm="1">
        <f t="array" aca="1" ref="BU324" ca="1">INDIRECT("'"&amp;$C324&amp;"'!"&amp;"$"&amp;$D324&amp;74&amp;"")</f>
        <v>0</v>
      </c>
      <c r="BV324" s="281"/>
      <c r="BW324" s="281" t="s">
        <v>1</v>
      </c>
      <c r="BX324" s="279" t="s">
        <v>1</v>
      </c>
    </row>
    <row r="325" spans="1:76">
      <c r="A325" s="459">
        <v>45851</v>
      </c>
      <c r="B325" s="345">
        <v>0.83333333333333337</v>
      </c>
      <c r="C325" s="305">
        <v>13</v>
      </c>
      <c r="D325" s="306" t="s">
        <v>162</v>
      </c>
      <c r="E325" s="285">
        <v>14.2</v>
      </c>
      <c r="F325" s="286">
        <v>69.77</v>
      </c>
      <c r="G325" s="287" t="str" cm="1">
        <f t="array" aca="1" ref="G325" ca="1">INDIRECT("'"&amp;$C325&amp;"'!"&amp;"$"&amp;$D325&amp;$E$1&amp;"")</f>
        <v>CMS</v>
      </c>
      <c r="H325" s="288" t="s">
        <v>1</v>
      </c>
      <c r="I325" s="286" t="s">
        <v>1</v>
      </c>
      <c r="J325" s="287" cm="1">
        <f t="array" aca="1" ref="J325" ca="1">INDIRECT("'"&amp;$C325&amp;"'!"&amp;"$"&amp;$D325&amp;$J$1&amp;"")</f>
        <v>6.7</v>
      </c>
      <c r="K325" s="288"/>
      <c r="L325" s="288">
        <v>0.98</v>
      </c>
      <c r="M325" s="289">
        <v>1.51</v>
      </c>
      <c r="N325" s="285" cm="1">
        <f t="array" aca="1" ref="N325" ca="1">INDIRECT("'"&amp;$C325&amp;"'!"&amp;"$"&amp;$D325&amp;$N$1&amp;"")</f>
        <v>6.7</v>
      </c>
      <c r="O325" s="288"/>
      <c r="P325" s="288">
        <v>0.98</v>
      </c>
      <c r="Q325" s="286">
        <v>1.42</v>
      </c>
      <c r="R325" s="285" cm="1">
        <f t="array" aca="1" ref="R325" ca="1">INDIRECT("'"&amp;$C325&amp;"'!"&amp;"$"&amp;$D325&amp;$R$1&amp;"")</f>
        <v>6.7</v>
      </c>
      <c r="S325" s="288"/>
      <c r="T325" s="288">
        <v>0.96</v>
      </c>
      <c r="U325" s="286">
        <v>1.94</v>
      </c>
      <c r="V325" s="287" cm="1">
        <f t="array" aca="1" ref="V325" ca="1">INDIRECT("'"&amp;$C325&amp;"'!"&amp;"$"&amp;$D325&amp;$V$1&amp;"")</f>
        <v>2.8</v>
      </c>
      <c r="W325" s="288">
        <v>13.565999999999999</v>
      </c>
      <c r="X325" s="288">
        <v>0.95</v>
      </c>
      <c r="Y325" s="289">
        <v>0.81</v>
      </c>
      <c r="Z325" s="285" t="str" cm="1">
        <f t="array" aca="1" ref="Z325" ca="1">INDIRECT("'"&amp;$C325&amp;"'!"&amp;"$"&amp;$D325&amp;$Z$1&amp;"")</f>
        <v>CMS</v>
      </c>
      <c r="AA325" s="288" t="s">
        <v>1</v>
      </c>
      <c r="AB325" s="288" t="s">
        <v>1</v>
      </c>
      <c r="AC325" s="286" t="s">
        <v>1</v>
      </c>
      <c r="AD325" s="287" cm="1">
        <f t="array" aca="1" ref="AD325" ca="1">INDIRECT("'"&amp;$C325&amp;"'!"&amp;"$"&amp;$D325&amp;$AD$1&amp;"")</f>
        <v>3.8</v>
      </c>
      <c r="AE325" s="288">
        <v>13.565999999999999</v>
      </c>
      <c r="AF325" s="288">
        <v>0.95</v>
      </c>
      <c r="AG325" s="289">
        <v>1.17</v>
      </c>
      <c r="AH325" s="285" cm="1">
        <f t="array" aca="1" ref="AH325" ca="1">INDIRECT("'"&amp;$C325&amp;"'!"&amp;"$"&amp;$D325&amp;$AH$1&amp;"")</f>
        <v>0</v>
      </c>
      <c r="AI325" s="288" t="s">
        <v>1</v>
      </c>
      <c r="AJ325" s="288" t="s">
        <v>1</v>
      </c>
      <c r="AK325" s="286" t="s">
        <v>1</v>
      </c>
      <c r="AL325" s="285">
        <v>11.7</v>
      </c>
      <c r="AM325" s="289">
        <v>71</v>
      </c>
      <c r="AN325" s="285" cm="1">
        <f t="array" aca="1" ref="AN325" ca="1">INDIRECT("'"&amp;$C325&amp;"'!"&amp;"$"&amp;$D325&amp;$AL$1&amp;"")</f>
        <v>0</v>
      </c>
      <c r="AO325" s="288" t="s">
        <v>1</v>
      </c>
      <c r="AP325" s="286" t="s">
        <v>1</v>
      </c>
      <c r="AQ325" s="287" cm="1">
        <f t="array" aca="1" ref="AQ325" ca="1">INDIRECT("'"&amp;$C325&amp;"'!"&amp;"$"&amp;$D325&amp;$AQ$1&amp;"")</f>
        <v>3.8</v>
      </c>
      <c r="AR325" s="288">
        <v>0.97</v>
      </c>
      <c r="AS325" s="286">
        <v>0.88</v>
      </c>
      <c r="AT325" s="285">
        <v>13.9</v>
      </c>
      <c r="AU325" s="289">
        <v>70.8</v>
      </c>
      <c r="AV325" s="288" cm="1">
        <f t="array" aca="1" ref="AV325" ca="1">INDIRECT("'"&amp;$C325&amp;"'!"&amp;"$"&amp;$D325&amp;$AV$1&amp;"")</f>
        <v>0</v>
      </c>
      <c r="AW325" s="287" t="s">
        <v>1</v>
      </c>
      <c r="AX325" s="288" t="s">
        <v>1</v>
      </c>
      <c r="AY325" s="286" t="s">
        <v>1</v>
      </c>
      <c r="AZ325" s="288" cm="1">
        <f t="array" aca="1" ref="AZ325" ca="1">INDIRECT("'"&amp;$C325&amp;"'!"&amp;"$"&amp;$D325&amp;$AZ$1&amp;"")</f>
        <v>7</v>
      </c>
      <c r="BA325" s="287" t="s">
        <v>1</v>
      </c>
      <c r="BB325" s="288">
        <v>0.95</v>
      </c>
      <c r="BC325" s="286">
        <v>2.33</v>
      </c>
      <c r="BD325" s="290">
        <v>14.18</v>
      </c>
      <c r="BE325" s="289">
        <v>71.709999999999994</v>
      </c>
      <c r="BF325" s="290" cm="1">
        <f t="array" aca="1" ref="BF325" ca="1">INDIRECT("'"&amp;$C325&amp;"'!"&amp;"$"&amp;$D325&amp;$BF$1&amp;"")</f>
        <v>14.22</v>
      </c>
      <c r="BG325" s="288">
        <v>0.99</v>
      </c>
      <c r="BH325" s="286">
        <v>2.2999999999999998</v>
      </c>
      <c r="BI325" s="525">
        <v>68.8</v>
      </c>
      <c r="BJ325" s="285" cm="1">
        <f t="array" aca="1" ref="BJ325" ca="1">INDIRECT("'"&amp;$C325&amp;"'!"&amp;"$"&amp;$D325&amp;$BI$1&amp;"")</f>
        <v>0.8</v>
      </c>
      <c r="BK325" s="287">
        <v>0.97</v>
      </c>
      <c r="BL325" s="286">
        <v>0.2</v>
      </c>
      <c r="BM325" s="290" cm="1">
        <f t="array" aca="1" ref="BM325" ca="1">INDIRECT("'"&amp;$C325&amp;"'!"&amp;"$"&amp;$D325&amp;$BM$1&amp;"")</f>
        <v>1.56</v>
      </c>
      <c r="BN325" s="288"/>
      <c r="BO325" s="288">
        <v>0.99</v>
      </c>
      <c r="BP325" s="286">
        <v>0.19</v>
      </c>
      <c r="BQ325" s="291" cm="1">
        <f t="array" aca="1" ref="BQ325" ca="1">INDIRECT("'"&amp;$C325&amp;"'!"&amp;"$"&amp;$D325&amp;$BQ$1&amp;"")</f>
        <v>0.98</v>
      </c>
      <c r="BR325" s="288"/>
      <c r="BS325" s="288">
        <v>0.97</v>
      </c>
      <c r="BT325" s="286">
        <v>0.25</v>
      </c>
      <c r="BU325" s="291" cm="1">
        <f t="array" aca="1" ref="BU325" ca="1">INDIRECT("'"&amp;$C325&amp;"'!"&amp;"$"&amp;$D325&amp;74&amp;"")</f>
        <v>0</v>
      </c>
      <c r="BV325" s="288"/>
      <c r="BW325" s="288" t="s">
        <v>1</v>
      </c>
      <c r="BX325" s="286" t="s">
        <v>1</v>
      </c>
    </row>
    <row r="326" spans="1:76">
      <c r="A326" s="459">
        <v>45851</v>
      </c>
      <c r="B326" s="345">
        <v>0.875000000000001</v>
      </c>
      <c r="C326" s="305">
        <v>13</v>
      </c>
      <c r="D326" s="306" t="s">
        <v>163</v>
      </c>
      <c r="E326" s="278">
        <v>14.1</v>
      </c>
      <c r="F326" s="279">
        <v>69.64</v>
      </c>
      <c r="G326" s="280" t="str" cm="1">
        <f t="array" aca="1" ref="G326" ca="1">INDIRECT("'"&amp;$C326&amp;"'!"&amp;"$"&amp;$D326&amp;$E$1&amp;"")</f>
        <v>CMS</v>
      </c>
      <c r="H326" s="281" t="s">
        <v>1</v>
      </c>
      <c r="I326" s="279" t="s">
        <v>1</v>
      </c>
      <c r="J326" s="280" cm="1">
        <f t="array" aca="1" ref="J326" ca="1">INDIRECT("'"&amp;$C326&amp;"'!"&amp;"$"&amp;$D326&amp;$J$1&amp;"")</f>
        <v>6.4</v>
      </c>
      <c r="K326" s="281"/>
      <c r="L326" s="281">
        <v>0.98</v>
      </c>
      <c r="M326" s="282">
        <v>1.42</v>
      </c>
      <c r="N326" s="278" cm="1">
        <f t="array" aca="1" ref="N326" ca="1">INDIRECT("'"&amp;$C326&amp;"'!"&amp;"$"&amp;$D326&amp;$N$1&amp;"")</f>
        <v>6.4</v>
      </c>
      <c r="O326" s="281"/>
      <c r="P326" s="281">
        <v>0.98</v>
      </c>
      <c r="Q326" s="279">
        <v>1.35</v>
      </c>
      <c r="R326" s="468" cm="1">
        <f t="array" aca="1" ref="R326" ca="1">INDIRECT("'"&amp;$C326&amp;"'!"&amp;"$"&amp;$D326&amp;$R$1&amp;"")</f>
        <v>6.4</v>
      </c>
      <c r="S326" s="281"/>
      <c r="T326" s="281">
        <v>0.96</v>
      </c>
      <c r="U326" s="279">
        <v>1.86</v>
      </c>
      <c r="V326" s="280" cm="1">
        <f t="array" aca="1" ref="V326" ca="1">INDIRECT("'"&amp;$C326&amp;"'!"&amp;"$"&amp;$D326&amp;$V$1&amp;"")</f>
        <v>2.8</v>
      </c>
      <c r="W326" s="281">
        <v>13.489999999999998</v>
      </c>
      <c r="X326" s="281">
        <v>0.98</v>
      </c>
      <c r="Y326" s="282">
        <v>0.51</v>
      </c>
      <c r="Z326" s="278" t="str" cm="1">
        <f t="array" aca="1" ref="Z326" ca="1">INDIRECT("'"&amp;$C326&amp;"'!"&amp;"$"&amp;$D326&amp;$Z$1&amp;"")</f>
        <v>CMS</v>
      </c>
      <c r="AA326" s="281" t="s">
        <v>1</v>
      </c>
      <c r="AB326" s="281" t="s">
        <v>1</v>
      </c>
      <c r="AC326" s="279" t="s">
        <v>1</v>
      </c>
      <c r="AD326" s="280" cm="1">
        <f t="array" aca="1" ref="AD326" ca="1">INDIRECT("'"&amp;$C326&amp;"'!"&amp;"$"&amp;$D326&amp;$AD$1&amp;"")</f>
        <v>3</v>
      </c>
      <c r="AE326" s="281">
        <v>13.489999999999998</v>
      </c>
      <c r="AF326" s="281">
        <v>0.98</v>
      </c>
      <c r="AG326" s="282">
        <v>0.55000000000000004</v>
      </c>
      <c r="AH326" s="278" cm="1">
        <f t="array" aca="1" ref="AH326" ca="1">INDIRECT("'"&amp;$C326&amp;"'!"&amp;"$"&amp;$D326&amp;$AH$1&amp;"")</f>
        <v>0</v>
      </c>
      <c r="AI326" s="281" t="s">
        <v>1</v>
      </c>
      <c r="AJ326" s="281" t="s">
        <v>1</v>
      </c>
      <c r="AK326" s="279" t="s">
        <v>1</v>
      </c>
      <c r="AL326" s="278">
        <v>11.7</v>
      </c>
      <c r="AM326" s="282">
        <v>71.099999999999994</v>
      </c>
      <c r="AN326" s="278" cm="1">
        <f t="array" aca="1" ref="AN326" ca="1">INDIRECT("'"&amp;$C326&amp;"'!"&amp;"$"&amp;$D326&amp;$AL$1&amp;"")</f>
        <v>0</v>
      </c>
      <c r="AO326" s="281" t="s">
        <v>1</v>
      </c>
      <c r="AP326" s="279" t="s">
        <v>1</v>
      </c>
      <c r="AQ326" s="280" cm="1">
        <f t="array" aca="1" ref="AQ326" ca="1">INDIRECT("'"&amp;$C326&amp;"'!"&amp;"$"&amp;$D326&amp;$AQ$1&amp;"")</f>
        <v>3.8</v>
      </c>
      <c r="AR326" s="281">
        <v>0.97</v>
      </c>
      <c r="AS326" s="279">
        <v>0.92</v>
      </c>
      <c r="AT326" s="278">
        <v>13.97</v>
      </c>
      <c r="AU326" s="282">
        <v>70.8</v>
      </c>
      <c r="AV326" s="281" cm="1">
        <f t="array" aca="1" ref="AV326" ca="1">INDIRECT("'"&amp;$C326&amp;"'!"&amp;"$"&amp;$D326&amp;$AV$1&amp;"")</f>
        <v>0</v>
      </c>
      <c r="AW326" s="280" t="s">
        <v>1</v>
      </c>
      <c r="AX326" s="281" t="s">
        <v>1</v>
      </c>
      <c r="AY326" s="279" t="s">
        <v>1</v>
      </c>
      <c r="AZ326" s="281" cm="1">
        <f t="array" aca="1" ref="AZ326" ca="1">INDIRECT("'"&amp;$C326&amp;"'!"&amp;"$"&amp;$D326&amp;$AZ$1&amp;"")</f>
        <v>6.91</v>
      </c>
      <c r="BA326" s="280" t="s">
        <v>1</v>
      </c>
      <c r="BB326" s="281">
        <v>0.96</v>
      </c>
      <c r="BC326" s="279">
        <v>2.14</v>
      </c>
      <c r="BD326" s="283">
        <v>14.15</v>
      </c>
      <c r="BE326" s="282">
        <v>71.62</v>
      </c>
      <c r="BF326" s="283" cm="1">
        <f t="array" aca="1" ref="BF326" ca="1">INDIRECT("'"&amp;$C326&amp;"'!"&amp;"$"&amp;$D326&amp;$BF$1&amp;"")</f>
        <v>14.24</v>
      </c>
      <c r="BG326" s="281">
        <v>0.99</v>
      </c>
      <c r="BH326" s="279">
        <v>2.2999999999999998</v>
      </c>
      <c r="BI326" s="524">
        <v>68.599999999999994</v>
      </c>
      <c r="BJ326" s="278" cm="1">
        <f t="array" aca="1" ref="BJ326" ca="1">INDIRECT("'"&amp;$C326&amp;"'!"&amp;"$"&amp;$D326&amp;$BI$1&amp;"")</f>
        <v>0</v>
      </c>
      <c r="BK326" s="280" t="s">
        <v>1</v>
      </c>
      <c r="BL326" s="279" t="s">
        <v>1</v>
      </c>
      <c r="BM326" s="283" cm="1">
        <f t="array" aca="1" ref="BM326" ca="1">INDIRECT("'"&amp;$C326&amp;"'!"&amp;"$"&amp;$D326&amp;$BM$1&amp;"")</f>
        <v>1.5</v>
      </c>
      <c r="BN326" s="281"/>
      <c r="BO326" s="281">
        <v>0.99</v>
      </c>
      <c r="BP326" s="279">
        <v>0.17</v>
      </c>
      <c r="BQ326" s="284" cm="1">
        <f t="array" aca="1" ref="BQ326" ca="1">INDIRECT("'"&amp;$C326&amp;"'!"&amp;"$"&amp;$D326&amp;$BQ$1&amp;"")</f>
        <v>0.94</v>
      </c>
      <c r="BR326" s="281"/>
      <c r="BS326" s="281">
        <v>0.97</v>
      </c>
      <c r="BT326" s="279">
        <v>0.23</v>
      </c>
      <c r="BU326" s="284" cm="1">
        <f t="array" aca="1" ref="BU326" ca="1">INDIRECT("'"&amp;$C326&amp;"'!"&amp;"$"&amp;$D326&amp;74&amp;"")</f>
        <v>0</v>
      </c>
      <c r="BV326" s="281"/>
      <c r="BW326" s="281" t="s">
        <v>1</v>
      </c>
      <c r="BX326" s="279" t="s">
        <v>1</v>
      </c>
    </row>
    <row r="327" spans="1:76">
      <c r="A327" s="459">
        <v>45851</v>
      </c>
      <c r="B327" s="345">
        <v>0.91666666666666696</v>
      </c>
      <c r="C327" s="305">
        <v>13</v>
      </c>
      <c r="D327" s="306" t="s">
        <v>164</v>
      </c>
      <c r="E327" s="285">
        <v>14.1</v>
      </c>
      <c r="F327" s="286">
        <v>69.900000000000006</v>
      </c>
      <c r="G327" s="287" t="str" cm="1">
        <f t="array" aca="1" ref="G327" ca="1">INDIRECT("'"&amp;$C327&amp;"'!"&amp;"$"&amp;$D327&amp;$E$1&amp;"")</f>
        <v>CMS</v>
      </c>
      <c r="H327" s="288" t="s">
        <v>1</v>
      </c>
      <c r="I327" s="286" t="s">
        <v>1</v>
      </c>
      <c r="J327" s="287" cm="1">
        <f t="array" aca="1" ref="J327" ca="1">INDIRECT("'"&amp;$C327&amp;"'!"&amp;"$"&amp;$D327&amp;$J$1&amp;"")</f>
        <v>6.4</v>
      </c>
      <c r="K327" s="288"/>
      <c r="L327" s="288">
        <v>0.98</v>
      </c>
      <c r="M327" s="289">
        <v>1.37</v>
      </c>
      <c r="N327" s="285" t="str" cm="1">
        <f t="array" aca="1" ref="N327" ca="1">INDIRECT("'"&amp;$C327&amp;"'!"&amp;"$"&amp;$D327&amp;$N$1&amp;"")</f>
        <v>CMS</v>
      </c>
      <c r="O327" s="288"/>
      <c r="P327" s="288" t="s">
        <v>1</v>
      </c>
      <c r="Q327" s="286" t="s">
        <v>1</v>
      </c>
      <c r="R327" s="285" cm="1">
        <f t="array" aca="1" ref="R327" ca="1">INDIRECT("'"&amp;$C327&amp;"'!"&amp;"$"&amp;$D327&amp;$R$1&amp;"")</f>
        <v>6.4</v>
      </c>
      <c r="S327" s="288"/>
      <c r="T327" s="288">
        <v>0.96</v>
      </c>
      <c r="U327" s="286">
        <v>1.83</v>
      </c>
      <c r="V327" s="287" cm="1">
        <f t="array" aca="1" ref="V327" ca="1">INDIRECT("'"&amp;$C327&amp;"'!"&amp;"$"&amp;$D327&amp;$V$1&amp;"")</f>
        <v>2.8</v>
      </c>
      <c r="W327" s="288">
        <f>3.59*3.8</f>
        <v>13.641999999999999</v>
      </c>
      <c r="X327" s="288">
        <v>0.98</v>
      </c>
      <c r="Y327" s="289">
        <v>0.49</v>
      </c>
      <c r="Z327" s="285" t="str" cm="1">
        <f t="array" aca="1" ref="Z327" ca="1">INDIRECT("'"&amp;$C327&amp;"'!"&amp;"$"&amp;$D327&amp;$Z$1&amp;"")</f>
        <v>CMS</v>
      </c>
      <c r="AA327" s="288" t="s">
        <v>1</v>
      </c>
      <c r="AB327" s="288" t="s">
        <v>1</v>
      </c>
      <c r="AC327" s="286" t="s">
        <v>1</v>
      </c>
      <c r="AD327" s="287" cm="1">
        <f t="array" aca="1" ref="AD327" ca="1">INDIRECT("'"&amp;$C327&amp;"'!"&amp;"$"&amp;$D327&amp;$AD$1&amp;"")</f>
        <v>3.5</v>
      </c>
      <c r="AE327" s="288">
        <v>13.64</v>
      </c>
      <c r="AF327" s="288">
        <v>0.98</v>
      </c>
      <c r="AG327" s="289">
        <v>0.63</v>
      </c>
      <c r="AH327" s="285" cm="1">
        <f t="array" aca="1" ref="AH327" ca="1">INDIRECT("'"&amp;$C327&amp;"'!"&amp;"$"&amp;$D327&amp;$AH$1&amp;"")</f>
        <v>0</v>
      </c>
      <c r="AI327" s="288" t="s">
        <v>1</v>
      </c>
      <c r="AJ327" s="288" t="s">
        <v>1</v>
      </c>
      <c r="AK327" s="286" t="s">
        <v>1</v>
      </c>
      <c r="AL327" s="285">
        <v>11.6</v>
      </c>
      <c r="AM327" s="289">
        <v>70.900000000000006</v>
      </c>
      <c r="AN327" s="285" cm="1">
        <f t="array" aca="1" ref="AN327" ca="1">INDIRECT("'"&amp;$C327&amp;"'!"&amp;"$"&amp;$D327&amp;$AL$1&amp;"")</f>
        <v>0</v>
      </c>
      <c r="AO327" s="288" t="s">
        <v>1</v>
      </c>
      <c r="AP327" s="286" t="s">
        <v>1</v>
      </c>
      <c r="AQ327" s="287" cm="1">
        <f t="array" aca="1" ref="AQ327" ca="1">INDIRECT("'"&amp;$C327&amp;"'!"&amp;"$"&amp;$D327&amp;$AQ$1&amp;"")</f>
        <v>3.8</v>
      </c>
      <c r="AR327" s="288">
        <v>0.97</v>
      </c>
      <c r="AS327" s="286">
        <v>0.9</v>
      </c>
      <c r="AT327" s="285">
        <v>13.93</v>
      </c>
      <c r="AU327" s="289">
        <v>70.8</v>
      </c>
      <c r="AV327" s="288" cm="1">
        <f t="array" aca="1" ref="AV327" ca="1">INDIRECT("'"&amp;$C327&amp;"'!"&amp;"$"&amp;$D327&amp;$AV$1&amp;"")</f>
        <v>0</v>
      </c>
      <c r="AW327" s="287" t="s">
        <v>1</v>
      </c>
      <c r="AX327" s="288" t="s">
        <v>1</v>
      </c>
      <c r="AY327" s="286" t="s">
        <v>1</v>
      </c>
      <c r="AZ327" s="288" cm="1">
        <f t="array" aca="1" ref="AZ327" ca="1">INDIRECT("'"&amp;$C327&amp;"'!"&amp;"$"&amp;$D327&amp;$AZ$1&amp;"")</f>
        <v>7</v>
      </c>
      <c r="BA327" s="287" t="s">
        <v>1</v>
      </c>
      <c r="BB327" s="288">
        <v>0.98</v>
      </c>
      <c r="BC327" s="286">
        <v>1.54</v>
      </c>
      <c r="BD327" s="290">
        <v>14.03</v>
      </c>
      <c r="BE327" s="289">
        <v>71.430000000000007</v>
      </c>
      <c r="BF327" s="290" cm="1">
        <f t="array" aca="1" ref="BF327" ca="1">INDIRECT("'"&amp;$C327&amp;"'!"&amp;"$"&amp;$D327&amp;$BF$1&amp;"")</f>
        <v>14.27</v>
      </c>
      <c r="BG327" s="288">
        <v>1</v>
      </c>
      <c r="BH327" s="286">
        <v>1.25</v>
      </c>
      <c r="BI327" s="525">
        <v>69</v>
      </c>
      <c r="BJ327" s="285" cm="1">
        <f t="array" aca="1" ref="BJ327" ca="1">INDIRECT("'"&amp;$C327&amp;"'!"&amp;"$"&amp;$D327&amp;$BI$1&amp;"")</f>
        <v>2.2000000000000002</v>
      </c>
      <c r="BK327" s="287">
        <v>0.98</v>
      </c>
      <c r="BL327" s="286">
        <v>0.44</v>
      </c>
      <c r="BM327" s="290" cm="1">
        <f t="array" aca="1" ref="BM327" ca="1">INDIRECT("'"&amp;$C327&amp;"'!"&amp;"$"&amp;$D327&amp;$BM$1&amp;"")</f>
        <v>1.38</v>
      </c>
      <c r="BN327" s="288"/>
      <c r="BO327" s="288">
        <v>0.99</v>
      </c>
      <c r="BP327" s="286">
        <v>0.16</v>
      </c>
      <c r="BQ327" s="291" cm="1">
        <f t="array" aca="1" ref="BQ327" ca="1">INDIRECT("'"&amp;$C327&amp;"'!"&amp;"$"&amp;$D327&amp;$BQ$1&amp;"")</f>
        <v>0.89</v>
      </c>
      <c r="BR327" s="288"/>
      <c r="BS327" s="288">
        <v>0.97</v>
      </c>
      <c r="BT327" s="286">
        <v>0.22</v>
      </c>
      <c r="BU327" s="291" cm="1">
        <f t="array" aca="1" ref="BU327" ca="1">INDIRECT("'"&amp;$C327&amp;"'!"&amp;"$"&amp;$D327&amp;74&amp;"")</f>
        <v>0</v>
      </c>
      <c r="BV327" s="288"/>
      <c r="BW327" s="288" t="s">
        <v>1</v>
      </c>
      <c r="BX327" s="286" t="s">
        <v>1</v>
      </c>
    </row>
    <row r="328" spans="1:76" ht="14.45" thickBot="1">
      <c r="A328" s="460">
        <v>45851</v>
      </c>
      <c r="B328" s="346">
        <v>0.95833333333333404</v>
      </c>
      <c r="C328" s="307">
        <v>13</v>
      </c>
      <c r="D328" s="308" t="s">
        <v>165</v>
      </c>
      <c r="E328" s="293">
        <v>14.1</v>
      </c>
      <c r="F328" s="294">
        <v>69.78</v>
      </c>
      <c r="G328" s="295" t="str" cm="1">
        <f t="array" aca="1" ref="G328" ca="1">INDIRECT("'"&amp;$C328&amp;"'!"&amp;"$"&amp;$D328&amp;$E$1&amp;"")</f>
        <v>CMS</v>
      </c>
      <c r="H328" s="296" t="s">
        <v>1</v>
      </c>
      <c r="I328" s="294" t="s">
        <v>1</v>
      </c>
      <c r="J328" s="295" cm="1">
        <f t="array" aca="1" ref="J328" ca="1">INDIRECT("'"&amp;$C328&amp;"'!"&amp;"$"&amp;$D328&amp;$J$1&amp;"")</f>
        <v>4.3</v>
      </c>
      <c r="K328" s="296"/>
      <c r="L328" s="296">
        <v>0.98</v>
      </c>
      <c r="M328" s="297">
        <v>0.85</v>
      </c>
      <c r="N328" s="293" cm="1">
        <f t="array" aca="1" ref="N328" ca="1">INDIRECT("'"&amp;$C328&amp;"'!"&amp;"$"&amp;$D328&amp;$N$1&amp;"")</f>
        <v>2.4</v>
      </c>
      <c r="O328" s="296"/>
      <c r="P328" s="296">
        <v>0.93</v>
      </c>
      <c r="Q328" s="294">
        <v>1.94</v>
      </c>
      <c r="R328" s="470" cm="1">
        <f t="array" aca="1" ref="R328" ca="1">INDIRECT("'"&amp;$C328&amp;"'!"&amp;"$"&amp;$D328&amp;$R$1&amp;"")</f>
        <v>6.3</v>
      </c>
      <c r="S328" s="296"/>
      <c r="T328" s="296">
        <v>0.97</v>
      </c>
      <c r="U328" s="294">
        <v>1.69</v>
      </c>
      <c r="V328" s="295" cm="1">
        <f t="array" aca="1" ref="V328" ca="1">INDIRECT("'"&amp;$C328&amp;"'!"&amp;"$"&amp;$D328&amp;$V$1&amp;"")</f>
        <v>0</v>
      </c>
      <c r="W328" s="296" t="s">
        <v>1</v>
      </c>
      <c r="X328" s="296" t="s">
        <v>1</v>
      </c>
      <c r="Y328" s="297" t="s">
        <v>1</v>
      </c>
      <c r="Z328" s="293" t="str" cm="1">
        <f t="array" aca="1" ref="Z328" ca="1">INDIRECT("'"&amp;$C328&amp;"'!"&amp;"$"&amp;$D328&amp;$Z$1&amp;"")</f>
        <v>CMS</v>
      </c>
      <c r="AA328" s="296" t="s">
        <v>1</v>
      </c>
      <c r="AB328" s="296" t="s">
        <v>1</v>
      </c>
      <c r="AC328" s="294" t="s">
        <v>1</v>
      </c>
      <c r="AD328" s="295" cm="1">
        <f t="array" aca="1" ref="AD328" ca="1">INDIRECT("'"&amp;$C328&amp;"'!"&amp;"$"&amp;$D328&amp;$AD$1&amp;"")</f>
        <v>3.8</v>
      </c>
      <c r="AE328" s="296">
        <f>3.58*3.8</f>
        <v>13.603999999999999</v>
      </c>
      <c r="AF328" s="296">
        <v>0.98</v>
      </c>
      <c r="AG328" s="297">
        <v>0.71</v>
      </c>
      <c r="AH328" s="293" cm="1">
        <f t="array" aca="1" ref="AH328" ca="1">INDIRECT("'"&amp;$C328&amp;"'!"&amp;"$"&amp;$D328&amp;$AH$1&amp;"")</f>
        <v>0</v>
      </c>
      <c r="AI328" s="296" t="s">
        <v>1</v>
      </c>
      <c r="AJ328" s="296" t="s">
        <v>1</v>
      </c>
      <c r="AK328" s="294" t="s">
        <v>1</v>
      </c>
      <c r="AL328" s="293">
        <v>11.6</v>
      </c>
      <c r="AM328" s="297">
        <v>70.900000000000006</v>
      </c>
      <c r="AN328" s="293" cm="1">
        <f t="array" aca="1" ref="AN328" ca="1">INDIRECT("'"&amp;$C328&amp;"'!"&amp;"$"&amp;$D328&amp;$AL$1&amp;"")</f>
        <v>0</v>
      </c>
      <c r="AO328" s="296" t="s">
        <v>1</v>
      </c>
      <c r="AP328" s="294" t="s">
        <v>1</v>
      </c>
      <c r="AQ328" s="295" cm="1">
        <f t="array" aca="1" ref="AQ328" ca="1">INDIRECT("'"&amp;$C328&amp;"'!"&amp;"$"&amp;$D328&amp;$AQ$1&amp;"")</f>
        <v>3.8</v>
      </c>
      <c r="AR328" s="296">
        <v>0.97</v>
      </c>
      <c r="AS328" s="294">
        <v>0.89</v>
      </c>
      <c r="AT328" s="293">
        <v>13.94</v>
      </c>
      <c r="AU328" s="297">
        <v>70.8</v>
      </c>
      <c r="AV328" s="296" cm="1">
        <f t="array" aca="1" ref="AV328" ca="1">INDIRECT("'"&amp;$C328&amp;"'!"&amp;"$"&amp;$D328&amp;$AV$1&amp;"")</f>
        <v>0</v>
      </c>
      <c r="AW328" s="295" t="s">
        <v>1</v>
      </c>
      <c r="AX328" s="296" t="s">
        <v>1</v>
      </c>
      <c r="AY328" s="294" t="s">
        <v>1</v>
      </c>
      <c r="AZ328" s="296" cm="1">
        <f t="array" aca="1" ref="AZ328" ca="1">INDIRECT("'"&amp;$C328&amp;"'!"&amp;"$"&amp;$D328&amp;$AZ$1&amp;"")</f>
        <v>7</v>
      </c>
      <c r="BA328" s="295" t="s">
        <v>1</v>
      </c>
      <c r="BB328" s="296">
        <v>0.98</v>
      </c>
      <c r="BC328" s="294">
        <v>1.48</v>
      </c>
      <c r="BD328" s="298">
        <v>14.05</v>
      </c>
      <c r="BE328" s="297">
        <v>71.64</v>
      </c>
      <c r="BF328" s="298" cm="1">
        <f t="array" aca="1" ref="BF328" ca="1">INDIRECT("'"&amp;$C328&amp;"'!"&amp;"$"&amp;$D328&amp;$BF$1&amp;"")</f>
        <v>14.26</v>
      </c>
      <c r="BG328" s="296">
        <v>1</v>
      </c>
      <c r="BH328" s="294">
        <v>1.23</v>
      </c>
      <c r="BI328" s="526">
        <v>69</v>
      </c>
      <c r="BJ328" s="293" cm="1">
        <f t="array" aca="1" ref="BJ328" ca="1">INDIRECT("'"&amp;$C328&amp;"'!"&amp;"$"&amp;$D328&amp;$BI$1&amp;"")</f>
        <v>0</v>
      </c>
      <c r="BK328" s="295" t="s">
        <v>1</v>
      </c>
      <c r="BL328" s="294" t="s">
        <v>1</v>
      </c>
      <c r="BM328" s="298" cm="1">
        <f t="array" aca="1" ref="BM328" ca="1">INDIRECT("'"&amp;$C328&amp;"'!"&amp;"$"&amp;$D328&amp;$BM$1&amp;"")</f>
        <v>1.1599999999999999</v>
      </c>
      <c r="BN328" s="296"/>
      <c r="BO328" s="296">
        <v>0.99</v>
      </c>
      <c r="BP328" s="294">
        <v>0.14000000000000001</v>
      </c>
      <c r="BQ328" s="299" cm="1">
        <f t="array" aca="1" ref="BQ328" ca="1">INDIRECT("'"&amp;$C328&amp;"'!"&amp;"$"&amp;$D328&amp;$BQ$1&amp;"")</f>
        <v>0.85</v>
      </c>
      <c r="BR328" s="296"/>
      <c r="BS328" s="296">
        <v>0.97</v>
      </c>
      <c r="BT328" s="294">
        <v>0.22</v>
      </c>
      <c r="BU328" s="299" cm="1">
        <f t="array" aca="1" ref="BU328" ca="1">INDIRECT("'"&amp;$C328&amp;"'!"&amp;"$"&amp;$D328&amp;74&amp;"")</f>
        <v>0</v>
      </c>
      <c r="BV328" s="296"/>
      <c r="BW328" s="296" t="s">
        <v>1</v>
      </c>
      <c r="BX328" s="294" t="s">
        <v>1</v>
      </c>
    </row>
    <row r="329" spans="1:76" ht="14.45" thickBot="1"/>
    <row r="330" spans="1:76">
      <c r="A330" s="347">
        <v>45852</v>
      </c>
      <c r="B330" s="344">
        <v>0</v>
      </c>
      <c r="C330" s="302">
        <v>14</v>
      </c>
      <c r="D330" s="303" t="s">
        <v>142</v>
      </c>
      <c r="E330" s="272">
        <v>14.1</v>
      </c>
      <c r="F330" s="273">
        <v>70.010000000000005</v>
      </c>
      <c r="G330" s="274" t="str" cm="1">
        <f t="array" aca="1" ref="G330" ca="1">INDIRECT("'"&amp;$C330&amp;"'!"&amp;"$"&amp;$D330&amp;$E$1&amp;"")</f>
        <v>CMS</v>
      </c>
      <c r="H330" s="275" t="s">
        <v>1</v>
      </c>
      <c r="I330" s="273" t="s">
        <v>1</v>
      </c>
      <c r="J330" s="274" t="str" cm="1">
        <f t="array" aca="1" ref="J330" ca="1">INDIRECT("'"&amp;$C330&amp;"'!"&amp;"$"&amp;$D330&amp;$J$1&amp;"")</f>
        <v>CMS</v>
      </c>
      <c r="K330" s="275"/>
      <c r="L330" s="275" t="s">
        <v>1</v>
      </c>
      <c r="M330" s="273" t="s">
        <v>1</v>
      </c>
      <c r="N330" s="272" cm="1">
        <f t="array" aca="1" ref="N330" ca="1">INDIRECT("'"&amp;$C330&amp;"'!"&amp;"$"&amp;$D330&amp;$N$1&amp;"")</f>
        <v>6.4</v>
      </c>
      <c r="O330" s="275"/>
      <c r="P330" s="275">
        <v>0.98</v>
      </c>
      <c r="Q330" s="273">
        <v>1.17</v>
      </c>
      <c r="R330" s="467" cm="1">
        <f t="array" aca="1" ref="R330" ca="1">INDIRECT("'"&amp;$C330&amp;"'!"&amp;"$"&amp;$D330&amp;$R$1&amp;"")</f>
        <v>6.6</v>
      </c>
      <c r="S330" s="275"/>
      <c r="T330" s="275">
        <v>0.97</v>
      </c>
      <c r="U330" s="273">
        <v>1.56</v>
      </c>
      <c r="V330" s="274" cm="1">
        <f t="array" aca="1" ref="V330" ca="1">INDIRECT("'"&amp;$C330&amp;"'!"&amp;"$"&amp;$D330&amp;$V$1&amp;"")</f>
        <v>0</v>
      </c>
      <c r="W330" s="275" t="s">
        <v>1</v>
      </c>
      <c r="X330" s="275" t="s">
        <v>1</v>
      </c>
      <c r="Y330" s="276" t="s">
        <v>1</v>
      </c>
      <c r="Z330" s="272" t="str" cm="1">
        <f t="array" aca="1" ref="Z330" ca="1">INDIRECT("'"&amp;$C330&amp;"'!"&amp;"$"&amp;$D330&amp;$Z$1&amp;"")</f>
        <v>CMS</v>
      </c>
      <c r="AA330" s="275" t="s">
        <v>1</v>
      </c>
      <c r="AB330" s="275" t="s">
        <v>1</v>
      </c>
      <c r="AC330" s="273" t="s">
        <v>1</v>
      </c>
      <c r="AD330" s="274" cm="1">
        <f t="array" aca="1" ref="AD330" ca="1">INDIRECT("'"&amp;$C330&amp;"'!"&amp;"$"&amp;$D330&amp;$AD$1&amp;"")</f>
        <v>2.8</v>
      </c>
      <c r="AE330" s="275">
        <f>3.8*3.59</f>
        <v>13.641999999999999</v>
      </c>
      <c r="AF330" s="275">
        <v>0.99</v>
      </c>
      <c r="AG330" s="273">
        <v>0.41</v>
      </c>
      <c r="AH330" s="272" cm="1">
        <f t="array" aca="1" ref="AH330" ca="1">INDIRECT("'"&amp;$C330&amp;"'!"&amp;"$"&amp;$D330&amp;$AH$1&amp;"")</f>
        <v>0</v>
      </c>
      <c r="AI330" s="275" t="s">
        <v>1</v>
      </c>
      <c r="AJ330" s="275" t="s">
        <v>1</v>
      </c>
      <c r="AK330" s="273" t="s">
        <v>1</v>
      </c>
      <c r="AL330" s="272">
        <v>11.6</v>
      </c>
      <c r="AM330" s="276">
        <v>71.099999999999994</v>
      </c>
      <c r="AN330" s="272" cm="1">
        <f t="array" aca="1" ref="AN330" ca="1">INDIRECT("'"&amp;$C330&amp;"'!"&amp;"$"&amp;$D330&amp;$AL$1&amp;"")</f>
        <v>0</v>
      </c>
      <c r="AO330" s="275" t="s">
        <v>1</v>
      </c>
      <c r="AP330" s="273" t="s">
        <v>1</v>
      </c>
      <c r="AQ330" s="274" cm="1">
        <f t="array" aca="1" ref="AQ330" ca="1">INDIRECT("'"&amp;$C330&amp;"'!"&amp;"$"&amp;$D330&amp;$AQ$1&amp;"")</f>
        <v>1.5</v>
      </c>
      <c r="AR330" s="275">
        <v>0.93</v>
      </c>
      <c r="AS330" s="273">
        <v>0.64</v>
      </c>
      <c r="AT330" s="272">
        <v>13.95</v>
      </c>
      <c r="AU330" s="276">
        <v>70.8</v>
      </c>
      <c r="AV330" s="275" cm="1">
        <f t="array" aca="1" ref="AV330" ca="1">INDIRECT("'"&amp;$C330&amp;"'!"&amp;"$"&amp;$D330&amp;$AV$1&amp;"")</f>
        <v>0</v>
      </c>
      <c r="AW330" s="274" t="s">
        <v>1</v>
      </c>
      <c r="AX330" s="275" t="s">
        <v>1</v>
      </c>
      <c r="AY330" s="273" t="s">
        <v>1</v>
      </c>
      <c r="AZ330" s="275" cm="1">
        <f t="array" aca="1" ref="AZ330" ca="1">INDIRECT("'"&amp;$C330&amp;"'!"&amp;"$"&amp;$D330&amp;$AZ$1&amp;"")</f>
        <v>7</v>
      </c>
      <c r="BA330" s="274" t="s">
        <v>1</v>
      </c>
      <c r="BB330" s="275">
        <v>0.98</v>
      </c>
      <c r="BC330" s="273">
        <v>1.2</v>
      </c>
      <c r="BD330" s="277">
        <v>14.12</v>
      </c>
      <c r="BE330" s="276">
        <v>71.95</v>
      </c>
      <c r="BF330" s="277" cm="1">
        <f t="array" aca="1" ref="BF330" ca="1">INDIRECT("'"&amp;$C330&amp;"'!"&amp;"$"&amp;$D330&amp;$BF$1&amp;"")</f>
        <v>14.27</v>
      </c>
      <c r="BG330" s="275">
        <v>1</v>
      </c>
      <c r="BH330" s="273">
        <v>1.28</v>
      </c>
      <c r="BI330" s="523">
        <v>69.400000000000006</v>
      </c>
      <c r="BJ330" s="272" cm="1">
        <f t="array" aca="1" ref="BJ330" ca="1">INDIRECT("'"&amp;$C330&amp;"'!"&amp;"$"&amp;$D330&amp;$BI$1&amp;"")</f>
        <v>0</v>
      </c>
      <c r="BK330" s="274" t="s">
        <v>1</v>
      </c>
      <c r="BL330" s="273" t="s">
        <v>1</v>
      </c>
      <c r="BM330" s="277" cm="1">
        <f t="array" aca="1" ref="BM330" ca="1">INDIRECT("'"&amp;$C330&amp;"'!"&amp;"$"&amp;$D330&amp;$BM$1&amp;"")</f>
        <v>1.1000000000000001</v>
      </c>
      <c r="BN330" s="275"/>
      <c r="BO330" s="275">
        <v>0.99</v>
      </c>
      <c r="BP330" s="273">
        <v>0.13</v>
      </c>
      <c r="BQ330" s="277" cm="1">
        <f t="array" aca="1" ref="BQ330" ca="1">INDIRECT("'"&amp;$C330&amp;"'!"&amp;"$"&amp;$D330&amp;$BQ$1&amp;"")</f>
        <v>0.77</v>
      </c>
      <c r="BR330" s="275"/>
      <c r="BS330" s="275">
        <v>0.97</v>
      </c>
      <c r="BT330" s="273">
        <v>0.19</v>
      </c>
      <c r="BU330" s="358" cm="1">
        <f t="array" aca="1" ref="BU330" ca="1">INDIRECT("'"&amp;$C330&amp;"'!"&amp;"$"&amp;$D330&amp;74&amp;"")</f>
        <v>0</v>
      </c>
      <c r="BV330" s="275"/>
      <c r="BW330" s="275" t="s">
        <v>1</v>
      </c>
      <c r="BX330" s="273" t="s">
        <v>1</v>
      </c>
    </row>
    <row r="331" spans="1:76">
      <c r="A331" s="459">
        <v>45852</v>
      </c>
      <c r="B331" s="345">
        <v>4.1666666666666699E-2</v>
      </c>
      <c r="C331" s="305">
        <v>14</v>
      </c>
      <c r="D331" s="306" t="s">
        <v>143</v>
      </c>
      <c r="E331" s="278">
        <v>14.1</v>
      </c>
      <c r="F331" s="279">
        <v>70.12</v>
      </c>
      <c r="G331" s="280" t="str" cm="1">
        <f t="array" aca="1" ref="G331" ca="1">INDIRECT("'"&amp;$C331&amp;"'!"&amp;"$"&amp;$D331&amp;$E$1&amp;"")</f>
        <v>CMS</v>
      </c>
      <c r="H331" s="281" t="s">
        <v>1</v>
      </c>
      <c r="I331" s="279" t="s">
        <v>1</v>
      </c>
      <c r="J331" s="280" t="str" cm="1">
        <f t="array" aca="1" ref="J331" ca="1">INDIRECT("'"&amp;$C331&amp;"'!"&amp;"$"&amp;$D331&amp;$J$1&amp;"")</f>
        <v>CMS</v>
      </c>
      <c r="K331" s="281"/>
      <c r="L331" s="281" t="s">
        <v>1</v>
      </c>
      <c r="M331" s="279" t="s">
        <v>1</v>
      </c>
      <c r="N331" s="278" cm="1">
        <f t="array" aca="1" ref="N331" ca="1">INDIRECT("'"&amp;$C331&amp;"'!"&amp;"$"&amp;$D331&amp;$N$1&amp;"")</f>
        <v>6.7</v>
      </c>
      <c r="O331" s="281"/>
      <c r="P331" s="281">
        <v>0.98</v>
      </c>
      <c r="Q331" s="279">
        <v>1.22</v>
      </c>
      <c r="R331" s="468" cm="1">
        <f t="array" aca="1" ref="R331" ca="1">INDIRECT("'"&amp;$C331&amp;"'!"&amp;"$"&amp;$D331&amp;$R$1&amp;"")</f>
        <v>6.7</v>
      </c>
      <c r="S331" s="281"/>
      <c r="T331" s="281">
        <v>98</v>
      </c>
      <c r="U331" s="279">
        <v>1.55</v>
      </c>
      <c r="V331" s="280" cm="1">
        <f t="array" aca="1" ref="V331" ca="1">INDIRECT("'"&amp;$C331&amp;"'!"&amp;"$"&amp;$D331&amp;$V$1&amp;"")</f>
        <v>0</v>
      </c>
      <c r="W331" s="281" t="s">
        <v>1</v>
      </c>
      <c r="X331" s="281" t="s">
        <v>1</v>
      </c>
      <c r="Y331" s="282" t="s">
        <v>1</v>
      </c>
      <c r="Z331" s="278" t="str" cm="1">
        <f t="array" aca="1" ref="Z331" ca="1">INDIRECT("'"&amp;$C331&amp;"'!"&amp;"$"&amp;$D331&amp;$Z$1&amp;"")</f>
        <v>CMS</v>
      </c>
      <c r="AA331" s="281" t="s">
        <v>1</v>
      </c>
      <c r="AB331" s="281" t="s">
        <v>1</v>
      </c>
      <c r="AC331" s="279" t="s">
        <v>1</v>
      </c>
      <c r="AD331" s="280" cm="1">
        <f t="array" aca="1" ref="AD331" ca="1">INDIRECT("'"&amp;$C331&amp;"'!"&amp;"$"&amp;$D331&amp;$AD$1&amp;"")</f>
        <v>0</v>
      </c>
      <c r="AE331" s="281" t="s">
        <v>1</v>
      </c>
      <c r="AF331" s="281" t="s">
        <v>1</v>
      </c>
      <c r="AG331" s="279" t="s">
        <v>1</v>
      </c>
      <c r="AH331" s="278" cm="1">
        <f t="array" aca="1" ref="AH331" ca="1">INDIRECT("'"&amp;$C331&amp;"'!"&amp;"$"&amp;$D331&amp;$AH$1&amp;"")</f>
        <v>0</v>
      </c>
      <c r="AI331" s="281" t="s">
        <v>1</v>
      </c>
      <c r="AJ331" s="281" t="s">
        <v>1</v>
      </c>
      <c r="AK331" s="279" t="s">
        <v>1</v>
      </c>
      <c r="AL331" s="278">
        <v>11.6</v>
      </c>
      <c r="AM331" s="282">
        <v>71</v>
      </c>
      <c r="AN331" s="278" cm="1">
        <f t="array" aca="1" ref="AN331" ca="1">INDIRECT("'"&amp;$C331&amp;"'!"&amp;"$"&amp;$D331&amp;$AL$1&amp;"")</f>
        <v>0</v>
      </c>
      <c r="AO331" s="281" t="s">
        <v>1</v>
      </c>
      <c r="AP331" s="279" t="s">
        <v>1</v>
      </c>
      <c r="AQ331" s="280" cm="1">
        <f t="array" aca="1" ref="AQ331" ca="1">INDIRECT("'"&amp;$C331&amp;"'!"&amp;"$"&amp;$D331&amp;$AQ$1&amp;"")</f>
        <v>1.5</v>
      </c>
      <c r="AR331" s="281">
        <v>0.93</v>
      </c>
      <c r="AS331" s="279">
        <v>0.6</v>
      </c>
      <c r="AT331" s="278">
        <v>13.95</v>
      </c>
      <c r="AU331" s="282">
        <v>70.8</v>
      </c>
      <c r="AV331" s="281" cm="1">
        <f t="array" aca="1" ref="AV331" ca="1">INDIRECT("'"&amp;$C331&amp;"'!"&amp;"$"&amp;$D331&amp;$AV$1&amp;"")</f>
        <v>0</v>
      </c>
      <c r="AW331" s="280" t="s">
        <v>1</v>
      </c>
      <c r="AX331" s="281" t="s">
        <v>1</v>
      </c>
      <c r="AY331" s="279" t="s">
        <v>1</v>
      </c>
      <c r="AZ331" s="281" cm="1">
        <f t="array" aca="1" ref="AZ331" ca="1">INDIRECT("'"&amp;$C331&amp;"'!"&amp;"$"&amp;$D331&amp;$AZ$1&amp;"")</f>
        <v>6.5</v>
      </c>
      <c r="BA331" s="280" t="s">
        <v>1</v>
      </c>
      <c r="BB331" s="281">
        <v>0.98</v>
      </c>
      <c r="BC331" s="279">
        <v>1.35</v>
      </c>
      <c r="BD331" s="283">
        <v>14.11</v>
      </c>
      <c r="BE331" s="282">
        <v>71.83</v>
      </c>
      <c r="BF331" s="283" cm="1">
        <f t="array" aca="1" ref="BF331" ca="1">INDIRECT("'"&amp;$C331&amp;"'!"&amp;"$"&amp;$D331&amp;$BF$1&amp;"")</f>
        <v>14.27</v>
      </c>
      <c r="BG331" s="281">
        <v>1</v>
      </c>
      <c r="BH331" s="279">
        <v>1.22</v>
      </c>
      <c r="BI331" s="524">
        <v>69.099999999999994</v>
      </c>
      <c r="BJ331" s="278" cm="1">
        <f t="array" aca="1" ref="BJ331" ca="1">INDIRECT("'"&amp;$C331&amp;"'!"&amp;"$"&amp;$D331&amp;$BI$1&amp;"")</f>
        <v>0</v>
      </c>
      <c r="BK331" s="280" t="s">
        <v>1</v>
      </c>
      <c r="BL331" s="279" t="s">
        <v>1</v>
      </c>
      <c r="BM331" s="283" cm="1">
        <f t="array" aca="1" ref="BM331" ca="1">INDIRECT("'"&amp;$C331&amp;"'!"&amp;"$"&amp;$D331&amp;$BM$1&amp;"")</f>
        <v>1.0150000000000001</v>
      </c>
      <c r="BN331" s="281"/>
      <c r="BO331" s="281">
        <v>0.99</v>
      </c>
      <c r="BP331" s="279">
        <v>0.12</v>
      </c>
      <c r="BQ331" s="283" cm="1">
        <f t="array" aca="1" ref="BQ331" ca="1">INDIRECT("'"&amp;$C331&amp;"'!"&amp;"$"&amp;$D331&amp;$BQ$1&amp;"")</f>
        <v>0.76</v>
      </c>
      <c r="BR331" s="281"/>
      <c r="BS331" s="281">
        <v>0.97</v>
      </c>
      <c r="BT331" s="279">
        <v>0.19</v>
      </c>
      <c r="BU331" s="284" cm="1">
        <f t="array" aca="1" ref="BU331" ca="1">INDIRECT("'"&amp;$C331&amp;"'!"&amp;"$"&amp;$D331&amp;74&amp;"")</f>
        <v>0</v>
      </c>
      <c r="BV331" s="281"/>
      <c r="BW331" s="281" t="s">
        <v>1</v>
      </c>
      <c r="BX331" s="279" t="s">
        <v>1</v>
      </c>
    </row>
    <row r="332" spans="1:76">
      <c r="A332" s="459">
        <v>45852</v>
      </c>
      <c r="B332" s="345">
        <v>8.3333333333333301E-2</v>
      </c>
      <c r="C332" s="305">
        <v>14</v>
      </c>
      <c r="D332" s="306" t="s">
        <v>144</v>
      </c>
      <c r="E332" s="285">
        <v>14.2</v>
      </c>
      <c r="F332" s="286">
        <v>70.11</v>
      </c>
      <c r="G332" s="287" t="str" cm="1">
        <f t="array" aca="1" ref="G332" ca="1">INDIRECT("'"&amp;$C332&amp;"'!"&amp;"$"&amp;$D332&amp;$E$1&amp;"")</f>
        <v>CMS</v>
      </c>
      <c r="H332" s="288" t="s">
        <v>1</v>
      </c>
      <c r="I332" s="286" t="s">
        <v>1</v>
      </c>
      <c r="J332" s="287" t="str" cm="1">
        <f t="array" aca="1" ref="J332" ca="1">INDIRECT("'"&amp;$C332&amp;"'!"&amp;"$"&amp;$D332&amp;$J$1&amp;"")</f>
        <v>CMS</v>
      </c>
      <c r="K332" s="288"/>
      <c r="L332" s="288" t="s">
        <v>1</v>
      </c>
      <c r="M332" s="286" t="s">
        <v>1</v>
      </c>
      <c r="N332" s="285" cm="1">
        <f t="array" aca="1" ref="N332" ca="1">INDIRECT("'"&amp;$C332&amp;"'!"&amp;"$"&amp;$D332&amp;$N$1&amp;"")</f>
        <v>6.7</v>
      </c>
      <c r="O332" s="288"/>
      <c r="P332" s="288">
        <v>0.98</v>
      </c>
      <c r="Q332" s="286">
        <v>1.2330000000000001</v>
      </c>
      <c r="R332" s="285" cm="1">
        <f t="array" aca="1" ref="R332" ca="1">INDIRECT("'"&amp;$C332&amp;"'!"&amp;"$"&amp;$D332&amp;$R$1&amp;"")</f>
        <v>6.7</v>
      </c>
      <c r="S332" s="288"/>
      <c r="T332" s="288">
        <v>0.98</v>
      </c>
      <c r="U332" s="286">
        <v>1.25</v>
      </c>
      <c r="V332" s="287" cm="1">
        <f t="array" aca="1" ref="V332" ca="1">INDIRECT("'"&amp;$C332&amp;"'!"&amp;"$"&amp;$D332&amp;$V$1&amp;"")</f>
        <v>0</v>
      </c>
      <c r="W332" s="288" t="s">
        <v>1</v>
      </c>
      <c r="X332" s="288" t="s">
        <v>1</v>
      </c>
      <c r="Y332" s="289" t="s">
        <v>1</v>
      </c>
      <c r="Z332" s="278" t="str" cm="1">
        <f t="array" aca="1" ref="Z332" ca="1">INDIRECT("'"&amp;$C332&amp;"'!"&amp;"$"&amp;$D332&amp;$Z$1&amp;"")</f>
        <v>CMS</v>
      </c>
      <c r="AA332" s="288" t="s">
        <v>1</v>
      </c>
      <c r="AB332" s="288" t="s">
        <v>1</v>
      </c>
      <c r="AC332" s="286" t="s">
        <v>1</v>
      </c>
      <c r="AD332" s="287" cm="1">
        <f t="array" aca="1" ref="AD332" ca="1">INDIRECT("'"&amp;$C332&amp;"'!"&amp;"$"&amp;$D332&amp;$AD$1&amp;"")</f>
        <v>0</v>
      </c>
      <c r="AE332" s="288" t="s">
        <v>1</v>
      </c>
      <c r="AF332" s="288" t="s">
        <v>1</v>
      </c>
      <c r="AG332" s="289" t="s">
        <v>1</v>
      </c>
      <c r="AH332" s="285" cm="1">
        <f t="array" aca="1" ref="AH332" ca="1">INDIRECT("'"&amp;$C332&amp;"'!"&amp;"$"&amp;$D332&amp;$AH$1&amp;"")</f>
        <v>0</v>
      </c>
      <c r="AI332" s="288" t="s">
        <v>1</v>
      </c>
      <c r="AJ332" s="288" t="s">
        <v>1</v>
      </c>
      <c r="AK332" s="289" t="s">
        <v>1</v>
      </c>
      <c r="AL332" s="285">
        <v>11.5</v>
      </c>
      <c r="AM332" s="289">
        <v>70.8</v>
      </c>
      <c r="AN332" s="285" cm="1">
        <f t="array" aca="1" ref="AN332" ca="1">INDIRECT("'"&amp;$C332&amp;"'!"&amp;"$"&amp;$D332&amp;$AL$1&amp;"")</f>
        <v>0</v>
      </c>
      <c r="AO332" s="288" t="s">
        <v>1</v>
      </c>
      <c r="AP332" s="286" t="s">
        <v>1</v>
      </c>
      <c r="AQ332" s="287" cm="1">
        <f t="array" aca="1" ref="AQ332" ca="1">INDIRECT("'"&amp;$C332&amp;"'!"&amp;"$"&amp;$D332&amp;$AQ$1&amp;"")</f>
        <v>1.5</v>
      </c>
      <c r="AR332" s="288">
        <v>1</v>
      </c>
      <c r="AS332" s="286">
        <v>0</v>
      </c>
      <c r="AT332" s="285">
        <v>13.95</v>
      </c>
      <c r="AU332" s="289">
        <v>70.8</v>
      </c>
      <c r="AV332" s="288" cm="1">
        <f t="array" aca="1" ref="AV332" ca="1">INDIRECT("'"&amp;$C332&amp;"'!"&amp;"$"&amp;$D332&amp;$AV$1&amp;"")</f>
        <v>0</v>
      </c>
      <c r="AW332" s="287" t="s">
        <v>1</v>
      </c>
      <c r="AX332" s="288" t="s">
        <v>1</v>
      </c>
      <c r="AY332" s="286" t="s">
        <v>1</v>
      </c>
      <c r="AZ332" s="288" cm="1">
        <f t="array" aca="1" ref="AZ332" ca="1">INDIRECT("'"&amp;$C332&amp;"'!"&amp;"$"&amp;$D332&amp;$AZ$1&amp;"")</f>
        <v>5.04</v>
      </c>
      <c r="BA332" s="287" t="s">
        <v>1</v>
      </c>
      <c r="BB332" s="288">
        <v>0.97</v>
      </c>
      <c r="BC332" s="286">
        <v>1.32</v>
      </c>
      <c r="BD332" s="290">
        <v>14.05</v>
      </c>
      <c r="BE332" s="289">
        <v>71.56</v>
      </c>
      <c r="BF332" s="290" cm="1">
        <f t="array" aca="1" ref="BF332" ca="1">INDIRECT("'"&amp;$C332&amp;"'!"&amp;"$"&amp;$D332&amp;$BF$1&amp;"")</f>
        <v>14.27</v>
      </c>
      <c r="BG332" s="288">
        <v>1</v>
      </c>
      <c r="BH332" s="286">
        <v>1.26</v>
      </c>
      <c r="BI332" s="525">
        <v>69.3</v>
      </c>
      <c r="BJ332" s="285" cm="1">
        <f t="array" aca="1" ref="BJ332" ca="1">INDIRECT("'"&amp;$C332&amp;"'!"&amp;"$"&amp;$D332&amp;$BI$1&amp;"")</f>
        <v>0</v>
      </c>
      <c r="BK332" s="287" t="s">
        <v>1</v>
      </c>
      <c r="BL332" s="286" t="s">
        <v>1</v>
      </c>
      <c r="BM332" s="290" cm="1">
        <f t="array" aca="1" ref="BM332" ca="1">INDIRECT("'"&amp;$C332&amp;"'!"&amp;"$"&amp;$D332&amp;$BM$1&amp;"")</f>
        <v>0.99</v>
      </c>
      <c r="BN332" s="288"/>
      <c r="BO332" s="288">
        <v>0.99</v>
      </c>
      <c r="BP332" s="286">
        <v>0.13</v>
      </c>
      <c r="BQ332" s="290" cm="1">
        <f t="array" aca="1" ref="BQ332" ca="1">INDIRECT("'"&amp;$C332&amp;"'!"&amp;"$"&amp;$D332&amp;$BQ$1&amp;"")</f>
        <v>0.73</v>
      </c>
      <c r="BR332" s="288"/>
      <c r="BS332" s="288">
        <v>0.97</v>
      </c>
      <c r="BT332" s="286">
        <v>0.18</v>
      </c>
      <c r="BU332" s="291" cm="1">
        <f t="array" aca="1" ref="BU332" ca="1">INDIRECT("'"&amp;$C332&amp;"'!"&amp;"$"&amp;$D332&amp;74&amp;"")</f>
        <v>0</v>
      </c>
      <c r="BV332" s="288"/>
      <c r="BW332" s="288" t="s">
        <v>1</v>
      </c>
      <c r="BX332" s="286" t="s">
        <v>1</v>
      </c>
    </row>
    <row r="333" spans="1:76">
      <c r="A333" s="459">
        <v>45852</v>
      </c>
      <c r="B333" s="345">
        <v>0.125</v>
      </c>
      <c r="C333" s="305">
        <v>14</v>
      </c>
      <c r="D333" s="306" t="s">
        <v>145</v>
      </c>
      <c r="E333" s="278">
        <v>14.1</v>
      </c>
      <c r="F333" s="279">
        <v>70.040000000000006</v>
      </c>
      <c r="G333" s="280" t="str" cm="1">
        <f t="array" aca="1" ref="G333" ca="1">INDIRECT("'"&amp;$C333&amp;"'!"&amp;"$"&amp;$D333&amp;$E$1&amp;"")</f>
        <v>CMS</v>
      </c>
      <c r="H333" s="281" t="s">
        <v>1</v>
      </c>
      <c r="I333" s="279" t="s">
        <v>1</v>
      </c>
      <c r="J333" s="280" t="str" cm="1">
        <f t="array" aca="1" ref="J333" ca="1">INDIRECT("'"&amp;$C333&amp;"'!"&amp;"$"&amp;$D333&amp;$J$1&amp;"")</f>
        <v>CMS</v>
      </c>
      <c r="K333" s="281"/>
      <c r="L333" s="281" t="s">
        <v>1</v>
      </c>
      <c r="M333" s="279" t="s">
        <v>1</v>
      </c>
      <c r="N333" s="278" cm="1">
        <f t="array" aca="1" ref="N333" ca="1">INDIRECT("'"&amp;$C333&amp;"'!"&amp;"$"&amp;$D333&amp;$N$1&amp;"")</f>
        <v>6.8</v>
      </c>
      <c r="O333" s="281"/>
      <c r="P333" s="281">
        <v>0.98</v>
      </c>
      <c r="Q333" s="279">
        <v>1.28</v>
      </c>
      <c r="R333" s="468" cm="1">
        <f t="array" aca="1" ref="R333" ca="1">INDIRECT("'"&amp;$C333&amp;"'!"&amp;"$"&amp;$D333&amp;$R$1&amp;"")</f>
        <v>6.8</v>
      </c>
      <c r="S333" s="281"/>
      <c r="T333" s="281">
        <v>0.98</v>
      </c>
      <c r="U333" s="279">
        <v>1.3</v>
      </c>
      <c r="V333" s="280" cm="1">
        <f t="array" aca="1" ref="V333" ca="1">INDIRECT("'"&amp;$C333&amp;"'!"&amp;"$"&amp;$D333&amp;$V$1&amp;"")</f>
        <v>0</v>
      </c>
      <c r="W333" s="281" t="s">
        <v>1</v>
      </c>
      <c r="X333" s="281" t="s">
        <v>1</v>
      </c>
      <c r="Y333" s="282" t="s">
        <v>1</v>
      </c>
      <c r="Z333" s="278" t="str" cm="1">
        <f t="array" aca="1" ref="Z333" ca="1">INDIRECT("'"&amp;$C333&amp;"'!"&amp;"$"&amp;$D333&amp;$Z$1&amp;"")</f>
        <v>CMS</v>
      </c>
      <c r="AA333" s="281" t="s">
        <v>1</v>
      </c>
      <c r="AB333" s="281" t="s">
        <v>1</v>
      </c>
      <c r="AC333" s="279" t="s">
        <v>1</v>
      </c>
      <c r="AD333" s="280" cm="1">
        <f t="array" aca="1" ref="AD333" ca="1">INDIRECT("'"&amp;$C333&amp;"'!"&amp;"$"&amp;$D333&amp;$AD$1&amp;"")</f>
        <v>0</v>
      </c>
      <c r="AE333" s="281" t="s">
        <v>1</v>
      </c>
      <c r="AF333" s="281" t="s">
        <v>1</v>
      </c>
      <c r="AG333" s="279" t="s">
        <v>1</v>
      </c>
      <c r="AH333" s="278" cm="1">
        <f t="array" aca="1" ref="AH333" ca="1">INDIRECT("'"&amp;$C333&amp;"'!"&amp;"$"&amp;$D333&amp;$AH$1&amp;"")</f>
        <v>0</v>
      </c>
      <c r="AI333" s="281" t="s">
        <v>1</v>
      </c>
      <c r="AJ333" s="281" t="s">
        <v>1</v>
      </c>
      <c r="AK333" s="279" t="s">
        <v>1</v>
      </c>
      <c r="AL333" s="278" t="s">
        <v>1</v>
      </c>
      <c r="AM333" s="282">
        <v>70.7</v>
      </c>
      <c r="AN333" s="278" cm="1">
        <f t="array" aca="1" ref="AN333" ca="1">INDIRECT("'"&amp;$C333&amp;"'!"&amp;"$"&amp;$D333&amp;$AL$1&amp;"")</f>
        <v>0</v>
      </c>
      <c r="AO333" s="281" t="s">
        <v>1</v>
      </c>
      <c r="AP333" s="279" t="s">
        <v>1</v>
      </c>
      <c r="AQ333" s="280" cm="1">
        <f t="array" aca="1" ref="AQ333" ca="1">INDIRECT("'"&amp;$C333&amp;"'!"&amp;"$"&amp;$D333&amp;$AQ$1&amp;"")</f>
        <v>0</v>
      </c>
      <c r="AR333" s="281" t="s">
        <v>1</v>
      </c>
      <c r="AS333" s="279" t="s">
        <v>1</v>
      </c>
      <c r="AT333" s="278">
        <v>13.91</v>
      </c>
      <c r="AU333" s="282">
        <v>70.7</v>
      </c>
      <c r="AV333" s="281" cm="1">
        <f t="array" aca="1" ref="AV333" ca="1">INDIRECT("'"&amp;$C333&amp;"'!"&amp;"$"&amp;$D333&amp;$AV$1&amp;"")</f>
        <v>0</v>
      </c>
      <c r="AW333" s="280" t="s">
        <v>1</v>
      </c>
      <c r="AX333" s="281" t="s">
        <v>1</v>
      </c>
      <c r="AY333" s="279" t="s">
        <v>1</v>
      </c>
      <c r="AZ333" s="281" cm="1">
        <f t="array" aca="1" ref="AZ333" ca="1">INDIRECT("'"&amp;$C333&amp;"'!"&amp;"$"&amp;$D333&amp;$AZ$1&amp;"")</f>
        <v>6.1</v>
      </c>
      <c r="BA333" s="280" t="s">
        <v>1</v>
      </c>
      <c r="BB333" s="281">
        <v>0.97</v>
      </c>
      <c r="BC333" s="279">
        <v>1.48</v>
      </c>
      <c r="BD333" s="283">
        <v>14.06</v>
      </c>
      <c r="BE333" s="282">
        <v>71.64</v>
      </c>
      <c r="BF333" s="283" cm="1">
        <f t="array" aca="1" ref="BF333" ca="1">INDIRECT("'"&amp;$C333&amp;"'!"&amp;"$"&amp;$D333&amp;$BF$1&amp;"")</f>
        <v>14.26</v>
      </c>
      <c r="BG333" s="281">
        <v>1</v>
      </c>
      <c r="BH333" s="279">
        <v>1.21</v>
      </c>
      <c r="BI333" s="524">
        <v>69</v>
      </c>
      <c r="BJ333" s="278" cm="1">
        <f t="array" aca="1" ref="BJ333" ca="1">INDIRECT("'"&amp;$C333&amp;"'!"&amp;"$"&amp;$D333&amp;$BI$1&amp;"")</f>
        <v>0</v>
      </c>
      <c r="BK333" s="280" t="s">
        <v>1</v>
      </c>
      <c r="BL333" s="279" t="s">
        <v>1</v>
      </c>
      <c r="BM333" s="283" cm="1">
        <f t="array" aca="1" ref="BM333" ca="1">INDIRECT("'"&amp;$C333&amp;"'!"&amp;"$"&amp;$D333&amp;$BM$1&amp;"")</f>
        <v>0.98</v>
      </c>
      <c r="BN333" s="281"/>
      <c r="BO333" s="281">
        <v>0.99</v>
      </c>
      <c r="BP333" s="279">
        <v>0.13</v>
      </c>
      <c r="BQ333" s="283" cm="1">
        <f t="array" aca="1" ref="BQ333" ca="1">INDIRECT("'"&amp;$C333&amp;"'!"&amp;"$"&amp;$D333&amp;$BQ$1&amp;"")</f>
        <v>0.72</v>
      </c>
      <c r="BR333" s="281"/>
      <c r="BS333" s="281">
        <v>0.97</v>
      </c>
      <c r="BT333" s="279">
        <v>0.18</v>
      </c>
      <c r="BU333" s="284" cm="1">
        <f t="array" aca="1" ref="BU333" ca="1">INDIRECT("'"&amp;$C333&amp;"'!"&amp;"$"&amp;$D333&amp;74&amp;"")</f>
        <v>0</v>
      </c>
      <c r="BV333" s="281"/>
      <c r="BW333" s="281" t="s">
        <v>1</v>
      </c>
      <c r="BX333" s="279" t="s">
        <v>1</v>
      </c>
    </row>
    <row r="334" spans="1:76">
      <c r="A334" s="459">
        <v>45852</v>
      </c>
      <c r="B334" s="345">
        <v>0.16666666666666699</v>
      </c>
      <c r="C334" s="305">
        <v>14</v>
      </c>
      <c r="D334" s="306" t="s">
        <v>146</v>
      </c>
      <c r="E334" s="285">
        <v>14.1</v>
      </c>
      <c r="F334" s="286">
        <v>70.040000000000006</v>
      </c>
      <c r="G334" s="287" t="str" cm="1">
        <f t="array" aca="1" ref="G334" ca="1">INDIRECT("'"&amp;$C334&amp;"'!"&amp;"$"&amp;$D334&amp;$E$1&amp;"")</f>
        <v>CMS</v>
      </c>
      <c r="H334" s="288" t="s">
        <v>1</v>
      </c>
      <c r="I334" s="286" t="s">
        <v>1</v>
      </c>
      <c r="J334" s="287" t="str" cm="1">
        <f t="array" aca="1" ref="J334" ca="1">INDIRECT("'"&amp;$C334&amp;"'!"&amp;"$"&amp;$D334&amp;$J$1&amp;"")</f>
        <v>CMS</v>
      </c>
      <c r="K334" s="288"/>
      <c r="L334" s="288" t="s">
        <v>1</v>
      </c>
      <c r="M334" s="286" t="s">
        <v>1</v>
      </c>
      <c r="N334" s="285" cm="1">
        <f t="array" aca="1" ref="N334" ca="1">INDIRECT("'"&amp;$C334&amp;"'!"&amp;"$"&amp;$D334&amp;$N$1&amp;"")</f>
        <v>6.8</v>
      </c>
      <c r="O334" s="288"/>
      <c r="P334" s="288">
        <v>0.98</v>
      </c>
      <c r="Q334" s="286">
        <v>1.29</v>
      </c>
      <c r="R334" s="285" cm="1">
        <f t="array" aca="1" ref="R334" ca="1">INDIRECT("'"&amp;$C334&amp;"'!"&amp;"$"&amp;$D334&amp;$R$1&amp;"")</f>
        <v>6.8</v>
      </c>
      <c r="S334" s="288"/>
      <c r="T334" s="288">
        <v>0.98</v>
      </c>
      <c r="U334" s="286">
        <v>1.3</v>
      </c>
      <c r="V334" s="287" cm="1">
        <f t="array" aca="1" ref="V334" ca="1">INDIRECT("'"&amp;$C334&amp;"'!"&amp;"$"&amp;$D334&amp;$V$1&amp;"")</f>
        <v>0</v>
      </c>
      <c r="W334" s="288" t="s">
        <v>1</v>
      </c>
      <c r="X334" s="288" t="s">
        <v>1</v>
      </c>
      <c r="Y334" s="289" t="s">
        <v>1</v>
      </c>
      <c r="Z334" s="285" t="str" cm="1">
        <f t="array" aca="1" ref="Z334" ca="1">INDIRECT("'"&amp;$C334&amp;"'!"&amp;"$"&amp;$D334&amp;$Z$1&amp;"")</f>
        <v>CMS</v>
      </c>
      <c r="AA334" s="288" t="s">
        <v>1</v>
      </c>
      <c r="AB334" s="288" t="s">
        <v>1</v>
      </c>
      <c r="AC334" s="286" t="s">
        <v>1</v>
      </c>
      <c r="AD334" s="287" cm="1">
        <f t="array" aca="1" ref="AD334" ca="1">INDIRECT("'"&amp;$C334&amp;"'!"&amp;"$"&amp;$D334&amp;$AD$1&amp;"")</f>
        <v>0</v>
      </c>
      <c r="AE334" s="288" t="s">
        <v>1</v>
      </c>
      <c r="AF334" s="288" t="s">
        <v>1</v>
      </c>
      <c r="AG334" s="289" t="s">
        <v>1</v>
      </c>
      <c r="AH334" s="285" cm="1">
        <f t="array" aca="1" ref="AH334" ca="1">INDIRECT("'"&amp;$C334&amp;"'!"&amp;"$"&amp;$D334&amp;$AH$1&amp;"")</f>
        <v>0</v>
      </c>
      <c r="AI334" s="288" t="s">
        <v>1</v>
      </c>
      <c r="AJ334" s="288" t="s">
        <v>1</v>
      </c>
      <c r="AK334" s="289" t="s">
        <v>1</v>
      </c>
      <c r="AL334" s="285" t="s">
        <v>1</v>
      </c>
      <c r="AM334" s="289">
        <v>70.7</v>
      </c>
      <c r="AN334" s="285" cm="1">
        <f t="array" aca="1" ref="AN334" ca="1">INDIRECT("'"&amp;$C334&amp;"'!"&amp;"$"&amp;$D334&amp;$AL$1&amp;"")</f>
        <v>0</v>
      </c>
      <c r="AO334" s="288" t="s">
        <v>1</v>
      </c>
      <c r="AP334" s="286" t="s">
        <v>1</v>
      </c>
      <c r="AQ334" s="287" cm="1">
        <f t="array" aca="1" ref="AQ334" ca="1">INDIRECT("'"&amp;$C334&amp;"'!"&amp;"$"&amp;$D334&amp;$AQ$1&amp;"")</f>
        <v>0</v>
      </c>
      <c r="AR334" s="288" t="s">
        <v>1</v>
      </c>
      <c r="AS334" s="286" t="s">
        <v>1</v>
      </c>
      <c r="AT334" s="285">
        <v>13.89</v>
      </c>
      <c r="AU334" s="289">
        <v>70.7</v>
      </c>
      <c r="AV334" s="288" cm="1">
        <f t="array" aca="1" ref="AV334" ca="1">INDIRECT("'"&amp;$C334&amp;"'!"&amp;"$"&amp;$D334&amp;$AV$1&amp;"")</f>
        <v>0</v>
      </c>
      <c r="AW334" s="287" t="s">
        <v>1</v>
      </c>
      <c r="AX334" s="288" t="s">
        <v>1</v>
      </c>
      <c r="AY334" s="286" t="s">
        <v>1</v>
      </c>
      <c r="AZ334" s="288" cm="1">
        <f t="array" aca="1" ref="AZ334" ca="1">INDIRECT("'"&amp;$C334&amp;"'!"&amp;"$"&amp;$D334&amp;$AZ$1&amp;"")</f>
        <v>5.7</v>
      </c>
      <c r="BA334" s="287" t="s">
        <v>1</v>
      </c>
      <c r="BB334" s="288">
        <v>0.97</v>
      </c>
      <c r="BC334" s="286">
        <v>1.43</v>
      </c>
      <c r="BD334" s="290">
        <v>14.06</v>
      </c>
      <c r="BE334" s="289">
        <v>71.709999999999994</v>
      </c>
      <c r="BF334" s="290" cm="1">
        <f t="array" aca="1" ref="BF334" ca="1">INDIRECT("'"&amp;$C334&amp;"'!"&amp;"$"&amp;$D334&amp;$BF$1&amp;"")</f>
        <v>14.26</v>
      </c>
      <c r="BG334" s="288">
        <v>1</v>
      </c>
      <c r="BH334" s="286">
        <v>1.23</v>
      </c>
      <c r="BI334" s="525">
        <v>69</v>
      </c>
      <c r="BJ334" s="285" cm="1">
        <f t="array" aca="1" ref="BJ334" ca="1">INDIRECT("'"&amp;$C334&amp;"'!"&amp;"$"&amp;$D334&amp;$BI$1&amp;"")</f>
        <v>0</v>
      </c>
      <c r="BK334" s="287" t="s">
        <v>1</v>
      </c>
      <c r="BL334" s="286" t="s">
        <v>1</v>
      </c>
      <c r="BM334" s="290" cm="1">
        <f t="array" aca="1" ref="BM334" ca="1">INDIRECT("'"&amp;$C334&amp;"'!"&amp;"$"&amp;$D334&amp;$BM$1&amp;"")</f>
        <v>0.8</v>
      </c>
      <c r="BN334" s="288"/>
      <c r="BO334" s="288">
        <v>0.99</v>
      </c>
      <c r="BP334" s="286">
        <v>0.1</v>
      </c>
      <c r="BQ334" s="290" cm="1">
        <f t="array" aca="1" ref="BQ334" ca="1">INDIRECT("'"&amp;$C334&amp;"'!"&amp;"$"&amp;$D334&amp;$BQ$1&amp;"")</f>
        <v>0.7</v>
      </c>
      <c r="BR334" s="288"/>
      <c r="BS334" s="288">
        <v>0.96</v>
      </c>
      <c r="BT334" s="286">
        <v>0.18</v>
      </c>
      <c r="BU334" s="291" cm="1">
        <f t="array" aca="1" ref="BU334" ca="1">INDIRECT("'"&amp;$C334&amp;"'!"&amp;"$"&amp;$D334&amp;74&amp;"")</f>
        <v>0</v>
      </c>
      <c r="BV334" s="288"/>
      <c r="BW334" s="288" t="s">
        <v>1</v>
      </c>
      <c r="BX334" s="286" t="s">
        <v>1</v>
      </c>
    </row>
    <row r="335" spans="1:76">
      <c r="A335" s="459">
        <v>45852</v>
      </c>
      <c r="B335" s="345">
        <v>0.20833333333333301</v>
      </c>
      <c r="C335" s="305">
        <v>14</v>
      </c>
      <c r="D335" s="306" t="s">
        <v>147</v>
      </c>
      <c r="E335" s="278">
        <v>14.1</v>
      </c>
      <c r="F335" s="279">
        <v>69.25</v>
      </c>
      <c r="G335" s="280" t="str" cm="1">
        <f t="array" aca="1" ref="G335" ca="1">INDIRECT("'"&amp;$C335&amp;"'!"&amp;"$"&amp;$D335&amp;$E$1&amp;"")</f>
        <v>CMS</v>
      </c>
      <c r="H335" s="281" t="s">
        <v>1</v>
      </c>
      <c r="I335" s="279" t="s">
        <v>1</v>
      </c>
      <c r="J335" s="280" t="str" cm="1">
        <f t="array" aca="1" ref="J335" ca="1">INDIRECT("'"&amp;$C335&amp;"'!"&amp;"$"&amp;$D335&amp;$J$1&amp;"")</f>
        <v>CMS</v>
      </c>
      <c r="K335" s="281"/>
      <c r="L335" s="281" t="s">
        <v>1</v>
      </c>
      <c r="M335" s="279" t="s">
        <v>1</v>
      </c>
      <c r="N335" s="278" cm="1">
        <f t="array" aca="1" ref="N335" ca="1">INDIRECT("'"&amp;$C335&amp;"'!"&amp;"$"&amp;$D335&amp;$N$1&amp;"")</f>
        <v>6.9</v>
      </c>
      <c r="O335" s="281"/>
      <c r="P335" s="281">
        <v>0.98</v>
      </c>
      <c r="Q335" s="279">
        <v>1.3</v>
      </c>
      <c r="R335" s="468" cm="1">
        <f t="array" aca="1" ref="R335" ca="1">INDIRECT("'"&amp;$C335&amp;"'!"&amp;"$"&amp;$D335&amp;$R$1&amp;"")</f>
        <v>6.7</v>
      </c>
      <c r="S335" s="281"/>
      <c r="T335" s="281">
        <v>0.96</v>
      </c>
      <c r="U335" s="279">
        <v>1.85</v>
      </c>
      <c r="V335" s="280" cm="1">
        <f t="array" aca="1" ref="V335" ca="1">INDIRECT("'"&amp;$C335&amp;"'!"&amp;"$"&amp;$D335&amp;$V$1&amp;"")</f>
        <v>0</v>
      </c>
      <c r="W335" s="281" t="s">
        <v>1</v>
      </c>
      <c r="X335" s="281" t="s">
        <v>1</v>
      </c>
      <c r="Y335" s="282" t="s">
        <v>1</v>
      </c>
      <c r="Z335" s="278" t="str" cm="1">
        <f t="array" aca="1" ref="Z335" ca="1">INDIRECT("'"&amp;$C335&amp;"'!"&amp;"$"&amp;$D335&amp;$Z$1&amp;"")</f>
        <v>CMS</v>
      </c>
      <c r="AA335" s="281" t="s">
        <v>1</v>
      </c>
      <c r="AB335" s="281" t="s">
        <v>1</v>
      </c>
      <c r="AC335" s="279" t="s">
        <v>1</v>
      </c>
      <c r="AD335" s="280" cm="1">
        <f t="array" aca="1" ref="AD335" ca="1">INDIRECT("'"&amp;$C335&amp;"'!"&amp;"$"&amp;$D335&amp;$AD$1&amp;"")</f>
        <v>0</v>
      </c>
      <c r="AE335" s="281" t="s">
        <v>1</v>
      </c>
      <c r="AF335" s="281" t="s">
        <v>1</v>
      </c>
      <c r="AG335" s="279" t="s">
        <v>1</v>
      </c>
      <c r="AH335" s="278" cm="1">
        <f t="array" aca="1" ref="AH335" ca="1">INDIRECT("'"&amp;$C335&amp;"'!"&amp;"$"&amp;$D335&amp;$AH$1&amp;"")</f>
        <v>0</v>
      </c>
      <c r="AI335" s="281" t="s">
        <v>1</v>
      </c>
      <c r="AJ335" s="281" t="s">
        <v>1</v>
      </c>
      <c r="AK335" s="279" t="s">
        <v>1</v>
      </c>
      <c r="AL335" s="278" t="s">
        <v>1</v>
      </c>
      <c r="AM335" s="282">
        <v>70.599999999999994</v>
      </c>
      <c r="AN335" s="278" cm="1">
        <f t="array" aca="1" ref="AN335" ca="1">INDIRECT("'"&amp;$C335&amp;"'!"&amp;"$"&amp;$D335&amp;$AL$1&amp;"")</f>
        <v>0</v>
      </c>
      <c r="AO335" s="281" t="s">
        <v>1</v>
      </c>
      <c r="AP335" s="279" t="s">
        <v>1</v>
      </c>
      <c r="AQ335" s="280" cm="1">
        <f t="array" aca="1" ref="AQ335" ca="1">INDIRECT("'"&amp;$C335&amp;"'!"&amp;"$"&amp;$D335&amp;$AQ$1&amp;"")</f>
        <v>0</v>
      </c>
      <c r="AR335" s="281" t="s">
        <v>1</v>
      </c>
      <c r="AS335" s="279" t="s">
        <v>1</v>
      </c>
      <c r="AT335" s="278">
        <v>13.89</v>
      </c>
      <c r="AU335" s="282">
        <v>70.7</v>
      </c>
      <c r="AV335" s="281" cm="1">
        <f t="array" aca="1" ref="AV335" ca="1">INDIRECT("'"&amp;$C335&amp;"'!"&amp;"$"&amp;$D335&amp;$AV$1&amp;"")</f>
        <v>0</v>
      </c>
      <c r="AW335" s="280" t="s">
        <v>1</v>
      </c>
      <c r="AX335" s="281" t="s">
        <v>1</v>
      </c>
      <c r="AY335" s="279" t="s">
        <v>1</v>
      </c>
      <c r="AZ335" s="281" cm="1">
        <f t="array" aca="1" ref="AZ335" ca="1">INDIRECT("'"&amp;$C335&amp;"'!"&amp;"$"&amp;$D335&amp;$AZ$1&amp;"")</f>
        <v>7.4</v>
      </c>
      <c r="BA335" s="280" t="s">
        <v>1</v>
      </c>
      <c r="BB335" s="281">
        <v>0.98</v>
      </c>
      <c r="BC335" s="279">
        <v>1.61</v>
      </c>
      <c r="BD335" s="283">
        <v>14.01</v>
      </c>
      <c r="BE335" s="282">
        <v>71.73</v>
      </c>
      <c r="BF335" s="283" cm="1">
        <f t="array" aca="1" ref="BF335" ca="1">INDIRECT("'"&amp;$C335&amp;"'!"&amp;"$"&amp;$D335&amp;$BF$1&amp;"")</f>
        <v>14.25</v>
      </c>
      <c r="BG335" s="281">
        <v>1</v>
      </c>
      <c r="BH335" s="279">
        <v>1.19</v>
      </c>
      <c r="BI335" s="524">
        <v>68.900000000000006</v>
      </c>
      <c r="BJ335" s="278" cm="1">
        <f t="array" aca="1" ref="BJ335" ca="1">INDIRECT("'"&amp;$C335&amp;"'!"&amp;"$"&amp;$D335&amp;$BI$1&amp;"")</f>
        <v>0.8</v>
      </c>
      <c r="BK335" s="280">
        <v>0.98</v>
      </c>
      <c r="BL335" s="279">
        <v>0.16</v>
      </c>
      <c r="BM335" s="283" cm="1">
        <f t="array" aca="1" ref="BM335" ca="1">INDIRECT("'"&amp;$C335&amp;"'!"&amp;"$"&amp;$D335&amp;$BM$1&amp;"")</f>
        <v>0.91</v>
      </c>
      <c r="BN335" s="281"/>
      <c r="BO335" s="281">
        <v>0.99</v>
      </c>
      <c r="BP335" s="279">
        <v>0.13</v>
      </c>
      <c r="BQ335" s="283" cm="1">
        <f t="array" aca="1" ref="BQ335" ca="1">INDIRECT("'"&amp;$C335&amp;"'!"&amp;"$"&amp;$D335&amp;$BQ$1&amp;"")</f>
        <v>0.69</v>
      </c>
      <c r="BR335" s="281"/>
      <c r="BS335" s="281">
        <v>0.96</v>
      </c>
      <c r="BT335" s="279">
        <v>0.18</v>
      </c>
      <c r="BU335" s="284" cm="1">
        <f t="array" aca="1" ref="BU335" ca="1">INDIRECT("'"&amp;$C335&amp;"'!"&amp;"$"&amp;$D335&amp;74&amp;"")</f>
        <v>0</v>
      </c>
      <c r="BV335" s="281"/>
      <c r="BW335" s="281" t="s">
        <v>1</v>
      </c>
      <c r="BX335" s="279" t="s">
        <v>1</v>
      </c>
    </row>
    <row r="336" spans="1:76">
      <c r="A336" s="459">
        <v>45852</v>
      </c>
      <c r="B336" s="345">
        <v>0.25</v>
      </c>
      <c r="C336" s="305">
        <v>14</v>
      </c>
      <c r="D336" s="306" t="s">
        <v>148</v>
      </c>
      <c r="E336" s="285">
        <v>14.1</v>
      </c>
      <c r="F336" s="286">
        <v>69.72</v>
      </c>
      <c r="G336" s="287" t="str" cm="1">
        <f t="array" aca="1" ref="G336" ca="1">INDIRECT("'"&amp;$C336&amp;"'!"&amp;"$"&amp;$D336&amp;$E$1&amp;"")</f>
        <v>CMS</v>
      </c>
      <c r="H336" s="288" t="s">
        <v>1</v>
      </c>
      <c r="I336" s="286" t="s">
        <v>1</v>
      </c>
      <c r="J336" s="287" cm="1">
        <f t="array" aca="1" ref="J336" ca="1">INDIRECT("'"&amp;$C336&amp;"'!"&amp;"$"&amp;$D336&amp;$J$1&amp;"")</f>
        <v>1.5</v>
      </c>
      <c r="K336" s="288"/>
      <c r="L336" s="288">
        <v>0.95</v>
      </c>
      <c r="M336" s="286">
        <v>0.49</v>
      </c>
      <c r="N336" s="285" cm="1">
        <f t="array" aca="1" ref="N336" ca="1">INDIRECT("'"&amp;$C336&amp;"'!"&amp;"$"&amp;$D336&amp;$N$1&amp;"")</f>
        <v>6.1</v>
      </c>
      <c r="O336" s="288"/>
      <c r="P336" s="288">
        <v>0.97</v>
      </c>
      <c r="Q336" s="286">
        <v>1.57</v>
      </c>
      <c r="R336" s="285" cm="1">
        <f t="array" aca="1" ref="R336" ca="1">INDIRECT("'"&amp;$C336&amp;"'!"&amp;"$"&amp;$D336&amp;$R$1&amp;"")</f>
        <v>6.1</v>
      </c>
      <c r="S336" s="288"/>
      <c r="T336" s="288">
        <v>0.97</v>
      </c>
      <c r="U336" s="286">
        <v>1.58</v>
      </c>
      <c r="V336" s="287" cm="1">
        <f t="array" aca="1" ref="V336" ca="1">INDIRECT("'"&amp;$C336&amp;"'!"&amp;"$"&amp;$D336&amp;$V$1&amp;"")</f>
        <v>0</v>
      </c>
      <c r="W336" s="288" t="s">
        <v>1</v>
      </c>
      <c r="X336" s="288" t="s">
        <v>1</v>
      </c>
      <c r="Y336" s="289" t="s">
        <v>1</v>
      </c>
      <c r="Z336" s="285" t="str" cm="1">
        <f t="array" aca="1" ref="Z336" ca="1">INDIRECT("'"&amp;$C336&amp;"'!"&amp;"$"&amp;$D336&amp;$Z$1&amp;"")</f>
        <v>CMS</v>
      </c>
      <c r="AA336" s="288" t="s">
        <v>1</v>
      </c>
      <c r="AB336" s="288" t="s">
        <v>1</v>
      </c>
      <c r="AC336" s="286" t="s">
        <v>1</v>
      </c>
      <c r="AD336" s="287" cm="1">
        <f t="array" aca="1" ref="AD336" ca="1">INDIRECT("'"&amp;$C336&amp;"'!"&amp;"$"&amp;$D336&amp;$AD$1&amp;"")</f>
        <v>0</v>
      </c>
      <c r="AE336" s="288" t="s">
        <v>1</v>
      </c>
      <c r="AF336" s="288" t="s">
        <v>1</v>
      </c>
      <c r="AG336" s="289" t="s">
        <v>1</v>
      </c>
      <c r="AH336" s="285" cm="1">
        <f t="array" aca="1" ref="AH336" ca="1">INDIRECT("'"&amp;$C336&amp;"'!"&amp;"$"&amp;$D336&amp;$AH$1&amp;"")</f>
        <v>0</v>
      </c>
      <c r="AI336" s="288" t="s">
        <v>1</v>
      </c>
      <c r="AJ336" s="288" t="s">
        <v>1</v>
      </c>
      <c r="AK336" s="286" t="s">
        <v>1</v>
      </c>
      <c r="AL336" s="285">
        <v>11.6</v>
      </c>
      <c r="AM336" s="289">
        <v>70.8</v>
      </c>
      <c r="AN336" s="285" cm="1">
        <f t="array" aca="1" ref="AN336" ca="1">INDIRECT("'"&amp;$C336&amp;"'!"&amp;"$"&amp;$D336&amp;$AL$1&amp;"")</f>
        <v>3.8</v>
      </c>
      <c r="AO336" s="288">
        <v>0.99</v>
      </c>
      <c r="AP336" s="286">
        <v>0.4</v>
      </c>
      <c r="AQ336" s="287" cm="1">
        <f t="array" aca="1" ref="AQ336" ca="1">INDIRECT("'"&amp;$C336&amp;"'!"&amp;"$"&amp;$D336&amp;$AQ$1&amp;"")</f>
        <v>0</v>
      </c>
      <c r="AR336" s="288" t="s">
        <v>1</v>
      </c>
      <c r="AS336" s="286" t="s">
        <v>1</v>
      </c>
      <c r="AT336" s="285">
        <v>13.93</v>
      </c>
      <c r="AU336" s="289">
        <v>70.7</v>
      </c>
      <c r="AV336" s="288" cm="1">
        <f t="array" aca="1" ref="AV336" ca="1">INDIRECT("'"&amp;$C336&amp;"'!"&amp;"$"&amp;$D336&amp;$AV$1&amp;"")</f>
        <v>0</v>
      </c>
      <c r="AW336" s="287" t="s">
        <v>1</v>
      </c>
      <c r="AX336" s="288" t="s">
        <v>1</v>
      </c>
      <c r="AY336" s="286" t="s">
        <v>1</v>
      </c>
      <c r="AZ336" s="288" cm="1">
        <f t="array" aca="1" ref="AZ336" ca="1">INDIRECT("'"&amp;$C336&amp;"'!"&amp;"$"&amp;$D336&amp;$AZ$1&amp;"")</f>
        <v>7.38</v>
      </c>
      <c r="BA336" s="287" t="s">
        <v>1</v>
      </c>
      <c r="BB336" s="288">
        <v>0.98</v>
      </c>
      <c r="BC336" s="286">
        <v>1.58</v>
      </c>
      <c r="BD336" s="290">
        <v>14.15</v>
      </c>
      <c r="BE336" s="289">
        <v>71.709999999999994</v>
      </c>
      <c r="BF336" s="290" cm="1">
        <f t="array" aca="1" ref="BF336" ca="1">INDIRECT("'"&amp;$C336&amp;"'!"&amp;"$"&amp;$D336&amp;$BF$1&amp;"")</f>
        <v>14.26</v>
      </c>
      <c r="BG336" s="288">
        <v>0.99</v>
      </c>
      <c r="BH336" s="286">
        <v>2.31</v>
      </c>
      <c r="BI336" s="525">
        <v>68.599999999999994</v>
      </c>
      <c r="BJ336" s="285" cm="1">
        <f t="array" aca="1" ref="BJ336" ca="1">INDIRECT("'"&amp;$C336&amp;"'!"&amp;"$"&amp;$D336&amp;$BI$1&amp;"")</f>
        <v>1.5</v>
      </c>
      <c r="BK336" s="287">
        <v>0.98</v>
      </c>
      <c r="BL336" s="286">
        <v>0.28999999999999998</v>
      </c>
      <c r="BM336" s="290" cm="1">
        <f t="array" aca="1" ref="BM336" ca="1">INDIRECT("'"&amp;$C336&amp;"'!"&amp;"$"&amp;$D336&amp;$BM$1&amp;"")</f>
        <v>1.1100000000000001</v>
      </c>
      <c r="BN336" s="288"/>
      <c r="BO336" s="288">
        <v>0.99</v>
      </c>
      <c r="BP336" s="286">
        <v>0.13</v>
      </c>
      <c r="BQ336" s="290" cm="1">
        <f t="array" aca="1" ref="BQ336" ca="1">INDIRECT("'"&amp;$C336&amp;"'!"&amp;"$"&amp;$D336&amp;$BQ$1&amp;"")</f>
        <v>0.79</v>
      </c>
      <c r="BR336" s="288"/>
      <c r="BS336" s="288">
        <v>0.97</v>
      </c>
      <c r="BT336" s="286">
        <v>0.18</v>
      </c>
      <c r="BU336" s="291" cm="1">
        <f t="array" aca="1" ref="BU336" ca="1">INDIRECT("'"&amp;$C336&amp;"'!"&amp;"$"&amp;$D336&amp;74&amp;"")</f>
        <v>0</v>
      </c>
      <c r="BV336" s="288"/>
      <c r="BW336" s="288" t="s">
        <v>1</v>
      </c>
      <c r="BX336" s="286" t="s">
        <v>1</v>
      </c>
    </row>
    <row r="337" spans="1:76">
      <c r="A337" s="459">
        <v>45852</v>
      </c>
      <c r="B337" s="345">
        <v>0.29166666666666702</v>
      </c>
      <c r="C337" s="305">
        <v>14</v>
      </c>
      <c r="D337" s="306" t="s">
        <v>149</v>
      </c>
      <c r="E337" s="278">
        <v>14.1</v>
      </c>
      <c r="F337" s="279">
        <v>69.400000000000006</v>
      </c>
      <c r="G337" s="280" t="str" cm="1">
        <f t="array" aca="1" ref="G337" ca="1">INDIRECT("'"&amp;$C337&amp;"'!"&amp;"$"&amp;$D337&amp;$E$1&amp;"")</f>
        <v>CMS</v>
      </c>
      <c r="H337" s="281" t="s">
        <v>1</v>
      </c>
      <c r="I337" s="279" t="s">
        <v>1</v>
      </c>
      <c r="J337" s="280" t="str" cm="1">
        <f t="array" aca="1" ref="J337" ca="1">INDIRECT("'"&amp;$C337&amp;"'!"&amp;"$"&amp;$D337&amp;$J$1&amp;"")</f>
        <v>CMS</v>
      </c>
      <c r="K337" s="281"/>
      <c r="L337" s="281" t="s">
        <v>1</v>
      </c>
      <c r="M337" s="282" t="s">
        <v>1</v>
      </c>
      <c r="N337" s="278" cm="1">
        <f t="array" aca="1" ref="N337" ca="1">INDIRECT("'"&amp;$C337&amp;"'!"&amp;"$"&amp;$D337&amp;$N$1&amp;"")</f>
        <v>6.5</v>
      </c>
      <c r="O337" s="281"/>
      <c r="P337" s="281">
        <v>0.96</v>
      </c>
      <c r="Q337" s="279">
        <v>1.75</v>
      </c>
      <c r="R337" s="468" cm="1">
        <f t="array" aca="1" ref="R337" ca="1">INDIRECT("'"&amp;$C337&amp;"'!"&amp;"$"&amp;$D337&amp;$R$1&amp;"")</f>
        <v>6.7</v>
      </c>
      <c r="S337" s="281"/>
      <c r="T337" s="281">
        <v>0.93</v>
      </c>
      <c r="U337" s="279">
        <v>2.5499999999999998</v>
      </c>
      <c r="V337" s="280" cm="1">
        <f t="array" aca="1" ref="V337" ca="1">INDIRECT("'"&amp;$C337&amp;"'!"&amp;"$"&amp;$D337&amp;$V$1&amp;"")</f>
        <v>0</v>
      </c>
      <c r="W337" s="281" t="s">
        <v>1</v>
      </c>
      <c r="X337" s="281" t="s">
        <v>1</v>
      </c>
      <c r="Y337" s="282" t="s">
        <v>1</v>
      </c>
      <c r="Z337" s="278" t="str" cm="1">
        <f t="array" aca="1" ref="Z337" ca="1">INDIRECT("'"&amp;$C337&amp;"'!"&amp;"$"&amp;$D337&amp;$Z$1&amp;"")</f>
        <v>CMS</v>
      </c>
      <c r="AA337" s="281" t="s">
        <v>1</v>
      </c>
      <c r="AB337" s="281" t="s">
        <v>1</v>
      </c>
      <c r="AC337" s="279" t="s">
        <v>1</v>
      </c>
      <c r="AD337" s="280" cm="1">
        <f t="array" aca="1" ref="AD337" ca="1">INDIRECT("'"&amp;$C337&amp;"'!"&amp;"$"&amp;$D337&amp;$AD$1&amp;"")</f>
        <v>0</v>
      </c>
      <c r="AE337" s="281" t="s">
        <v>1</v>
      </c>
      <c r="AF337" s="281" t="s">
        <v>1</v>
      </c>
      <c r="AG337" s="282" t="s">
        <v>1</v>
      </c>
      <c r="AH337" s="278" cm="1">
        <f t="array" aca="1" ref="AH337" ca="1">INDIRECT("'"&amp;$C337&amp;"'!"&amp;"$"&amp;$D337&amp;$AH$1&amp;"")</f>
        <v>0</v>
      </c>
      <c r="AI337" s="281" t="s">
        <v>1</v>
      </c>
      <c r="AJ337" s="281" t="s">
        <v>1</v>
      </c>
      <c r="AK337" s="279" t="s">
        <v>1</v>
      </c>
      <c r="AL337" s="278">
        <v>11.6</v>
      </c>
      <c r="AM337" s="282">
        <v>70.599999999999994</v>
      </c>
      <c r="AN337" s="278" cm="1">
        <f t="array" aca="1" ref="AN337" ca="1">INDIRECT("'"&amp;$C337&amp;"'!"&amp;"$"&amp;$D337&amp;$AL$1&amp;"")</f>
        <v>3</v>
      </c>
      <c r="AO337" s="281">
        <v>0.92</v>
      </c>
      <c r="AP337" s="279">
        <v>1.33</v>
      </c>
      <c r="AQ337" s="280" cm="1">
        <f t="array" aca="1" ref="AQ337" ca="1">INDIRECT("'"&amp;$C337&amp;"'!"&amp;"$"&amp;$D337&amp;$AQ$1&amp;"")</f>
        <v>0</v>
      </c>
      <c r="AR337" s="281" t="s">
        <v>1</v>
      </c>
      <c r="AS337" s="279" t="s">
        <v>1</v>
      </c>
      <c r="AT337" s="278">
        <v>13.93</v>
      </c>
      <c r="AU337" s="282">
        <v>70.7</v>
      </c>
      <c r="AV337" s="281" cm="1">
        <f t="array" aca="1" ref="AV337" ca="1">INDIRECT("'"&amp;$C337&amp;"'!"&amp;"$"&amp;$D337&amp;$AV$1&amp;"")</f>
        <v>0</v>
      </c>
      <c r="AW337" s="280" t="s">
        <v>1</v>
      </c>
      <c r="AX337" s="281" t="s">
        <v>1</v>
      </c>
      <c r="AY337" s="279" t="s">
        <v>1</v>
      </c>
      <c r="AZ337" s="281" cm="1">
        <f t="array" aca="1" ref="AZ337" ca="1">INDIRECT("'"&amp;$C337&amp;"'!"&amp;"$"&amp;$D337&amp;$AZ$1&amp;"")</f>
        <v>7</v>
      </c>
      <c r="BA337" s="280" t="s">
        <v>1</v>
      </c>
      <c r="BB337" s="281">
        <v>0.98</v>
      </c>
      <c r="BC337" s="279">
        <v>1.34</v>
      </c>
      <c r="BD337" s="283">
        <v>14</v>
      </c>
      <c r="BE337" s="282">
        <v>71.31</v>
      </c>
      <c r="BF337" s="283" cm="1">
        <f t="array" aca="1" ref="BF337" ca="1">INDIRECT("'"&amp;$C337&amp;"'!"&amp;"$"&amp;$D337&amp;$BF$1&amp;"")</f>
        <v>14.25</v>
      </c>
      <c r="BG337" s="281">
        <v>1</v>
      </c>
      <c r="BH337" s="279">
        <v>1.25</v>
      </c>
      <c r="BI337" s="524">
        <v>68.400000000000006</v>
      </c>
      <c r="BJ337" s="278" cm="1">
        <f t="array" aca="1" ref="BJ337" ca="1">INDIRECT("'"&amp;$C337&amp;"'!"&amp;"$"&amp;$D337&amp;$BI$1&amp;"")</f>
        <v>0</v>
      </c>
      <c r="BK337" s="280" t="s">
        <v>1</v>
      </c>
      <c r="BL337" s="279" t="s">
        <v>1</v>
      </c>
      <c r="BM337" s="283" cm="1">
        <f t="array" aca="1" ref="BM337" ca="1">INDIRECT("'"&amp;$C337&amp;"'!"&amp;"$"&amp;$D337&amp;$BM$1&amp;"")</f>
        <v>0.91</v>
      </c>
      <c r="BN337" s="281"/>
      <c r="BO337" s="281">
        <v>0.99</v>
      </c>
      <c r="BP337" s="279">
        <v>0.12</v>
      </c>
      <c r="BQ337" s="284" cm="1">
        <f t="array" aca="1" ref="BQ337" ca="1">INDIRECT("'"&amp;$C337&amp;"'!"&amp;"$"&amp;$D337&amp;$BQ$1&amp;"")</f>
        <v>0.73</v>
      </c>
      <c r="BR337" s="281"/>
      <c r="BS337" s="281">
        <v>0.97</v>
      </c>
      <c r="BT337" s="279">
        <v>0.18</v>
      </c>
      <c r="BU337" s="284" cm="1">
        <f t="array" aca="1" ref="BU337" ca="1">INDIRECT("'"&amp;$C337&amp;"'!"&amp;"$"&amp;$D337&amp;74&amp;"")</f>
        <v>0</v>
      </c>
      <c r="BV337" s="281"/>
      <c r="BW337" s="281" t="s">
        <v>1</v>
      </c>
      <c r="BX337" s="279" t="s">
        <v>1</v>
      </c>
    </row>
    <row r="338" spans="1:76">
      <c r="A338" s="459">
        <v>45852</v>
      </c>
      <c r="B338" s="345">
        <v>0.33333333333333398</v>
      </c>
      <c r="C338" s="305">
        <v>14</v>
      </c>
      <c r="D338" s="306" t="s">
        <v>150</v>
      </c>
      <c r="E338" s="285">
        <v>14.1</v>
      </c>
      <c r="F338" s="286">
        <v>69.2</v>
      </c>
      <c r="G338" s="287" t="str" cm="1">
        <f t="array" aca="1" ref="G338" ca="1">INDIRECT("'"&amp;$C338&amp;"'!"&amp;"$"&amp;$D338&amp;$E$1&amp;"")</f>
        <v>CMS</v>
      </c>
      <c r="H338" s="288" t="s">
        <v>1</v>
      </c>
      <c r="I338" s="286" t="s">
        <v>1</v>
      </c>
      <c r="J338" s="287" t="str" cm="1">
        <f t="array" aca="1" ref="J338" ca="1">INDIRECT("'"&amp;$C338&amp;"'!"&amp;"$"&amp;$D338&amp;$J$1&amp;"")</f>
        <v>CMS</v>
      </c>
      <c r="K338" s="288"/>
      <c r="L338" s="288" t="s">
        <v>1</v>
      </c>
      <c r="M338" s="289" t="s">
        <v>1</v>
      </c>
      <c r="N338" s="285" cm="1">
        <f t="array" aca="1" ref="N338" ca="1">INDIRECT("'"&amp;$C338&amp;"'!"&amp;"$"&amp;$D338&amp;$N$1&amp;"")</f>
        <v>7</v>
      </c>
      <c r="O338" s="288"/>
      <c r="P338" s="288">
        <v>0.96</v>
      </c>
      <c r="Q338" s="286">
        <v>2.04</v>
      </c>
      <c r="R338" s="285" cm="1">
        <f t="array" aca="1" ref="R338" ca="1">INDIRECT("'"&amp;$C338&amp;"'!"&amp;"$"&amp;$D338&amp;$R$1&amp;"")</f>
        <v>7</v>
      </c>
      <c r="S338" s="288"/>
      <c r="T338" s="288">
        <v>0.93</v>
      </c>
      <c r="U338" s="286">
        <v>2.9</v>
      </c>
      <c r="V338" s="287" cm="1">
        <f t="array" aca="1" ref="V338" ca="1">INDIRECT("'"&amp;$C338&amp;"'!"&amp;"$"&amp;$D338&amp;$V$1&amp;"")</f>
        <v>0</v>
      </c>
      <c r="W338" s="288" t="s">
        <v>1</v>
      </c>
      <c r="X338" s="288" t="s">
        <v>1</v>
      </c>
      <c r="Y338" s="289" t="s">
        <v>1</v>
      </c>
      <c r="Z338" s="285" t="str" cm="1">
        <f t="array" aca="1" ref="Z338" ca="1">INDIRECT("'"&amp;$C338&amp;"'!"&amp;"$"&amp;$D338&amp;$Z$1&amp;"")</f>
        <v>CMS</v>
      </c>
      <c r="AA338" s="288" t="s">
        <v>1</v>
      </c>
      <c r="AB338" s="288" t="s">
        <v>1</v>
      </c>
      <c r="AC338" s="286" t="s">
        <v>1</v>
      </c>
      <c r="AD338" s="287" cm="1">
        <f t="array" aca="1" ref="AD338" ca="1">INDIRECT("'"&amp;$C338&amp;"'!"&amp;"$"&amp;$D338&amp;$AD$1&amp;"")</f>
        <v>0</v>
      </c>
      <c r="AE338" s="288" t="s">
        <v>1</v>
      </c>
      <c r="AF338" s="288" t="s">
        <v>1</v>
      </c>
      <c r="AG338" s="289" t="s">
        <v>1</v>
      </c>
      <c r="AH338" s="285" cm="1">
        <f t="array" aca="1" ref="AH338" ca="1">INDIRECT("'"&amp;$C338&amp;"'!"&amp;"$"&amp;$D338&amp;$AH$1&amp;"")</f>
        <v>0</v>
      </c>
      <c r="AI338" s="288" t="s">
        <v>1</v>
      </c>
      <c r="AJ338" s="288" t="s">
        <v>1</v>
      </c>
      <c r="AK338" s="286" t="s">
        <v>1</v>
      </c>
      <c r="AL338" s="285">
        <v>11.6</v>
      </c>
      <c r="AM338" s="289">
        <v>70.7</v>
      </c>
      <c r="AN338" s="285" cm="1">
        <f t="array" aca="1" ref="AN338" ca="1">INDIRECT("'"&amp;$C338&amp;"'!"&amp;"$"&amp;$D338&amp;$AL$1&amp;"")</f>
        <v>3.8</v>
      </c>
      <c r="AO338" s="288">
        <v>0.96</v>
      </c>
      <c r="AP338" s="286">
        <v>1.1200000000000001</v>
      </c>
      <c r="AQ338" s="287" cm="1">
        <f t="array" aca="1" ref="AQ338" ca="1">INDIRECT("'"&amp;$C338&amp;"'!"&amp;"$"&amp;$D338&amp;$AQ$1&amp;"")</f>
        <v>0</v>
      </c>
      <c r="AR338" s="288" t="s">
        <v>1</v>
      </c>
      <c r="AS338" s="286" t="s">
        <v>1</v>
      </c>
      <c r="AT338" s="285">
        <v>13.9</v>
      </c>
      <c r="AU338" s="289">
        <v>70.7</v>
      </c>
      <c r="AV338" s="288" cm="1">
        <f t="array" aca="1" ref="AV338" ca="1">INDIRECT("'"&amp;$C338&amp;"'!"&amp;"$"&amp;$D338&amp;$AV$1&amp;"")</f>
        <v>0</v>
      </c>
      <c r="AW338" s="287" t="s">
        <v>1</v>
      </c>
      <c r="AX338" s="288" t="s">
        <v>1</v>
      </c>
      <c r="AY338" s="286" t="s">
        <v>1</v>
      </c>
      <c r="AZ338" s="288" cm="1">
        <f t="array" aca="1" ref="AZ338" ca="1">INDIRECT("'"&amp;$C338&amp;"'!"&amp;"$"&amp;$D338&amp;$AZ$1&amp;"")</f>
        <v>7</v>
      </c>
      <c r="BA338" s="287" t="s">
        <v>1</v>
      </c>
      <c r="BB338" s="288">
        <v>0.97</v>
      </c>
      <c r="BC338" s="286">
        <v>1.79</v>
      </c>
      <c r="BD338" s="290">
        <v>14.14</v>
      </c>
      <c r="BE338" s="289">
        <v>71.59</v>
      </c>
      <c r="BF338" s="290" cm="1">
        <f t="array" aca="1" ref="BF338" ca="1">INDIRECT("'"&amp;$C338&amp;"'!"&amp;"$"&amp;$D338&amp;$BF$1&amp;"")</f>
        <v>14.25</v>
      </c>
      <c r="BG338" s="288">
        <v>0.99</v>
      </c>
      <c r="BH338" s="286">
        <v>2.25</v>
      </c>
      <c r="BI338" s="525">
        <v>68.099999999999994</v>
      </c>
      <c r="BJ338" s="285" cm="1">
        <f t="array" aca="1" ref="BJ338" ca="1">INDIRECT("'"&amp;$C338&amp;"'!"&amp;"$"&amp;$D338&amp;$BI$1&amp;"")</f>
        <v>3.1</v>
      </c>
      <c r="BK338" s="287">
        <v>0.96</v>
      </c>
      <c r="BL338" s="286">
        <v>0.89</v>
      </c>
      <c r="BM338" s="290" cm="1">
        <f t="array" aca="1" ref="BM338" ca="1">INDIRECT("'"&amp;$C338&amp;"'!"&amp;"$"&amp;$D338&amp;$BM$1&amp;"")</f>
        <v>1</v>
      </c>
      <c r="BN338" s="288"/>
      <c r="BO338" s="288">
        <v>0.99</v>
      </c>
      <c r="BP338" s="286">
        <v>0.12</v>
      </c>
      <c r="BQ338" s="291" cm="1">
        <f t="array" aca="1" ref="BQ338" ca="1">INDIRECT("'"&amp;$C338&amp;"'!"&amp;"$"&amp;$D338&amp;$BQ$1&amp;"")</f>
        <v>0.7</v>
      </c>
      <c r="BR338" s="288"/>
      <c r="BS338" s="288">
        <v>0.96</v>
      </c>
      <c r="BT338" s="286">
        <v>0.2</v>
      </c>
      <c r="BU338" s="291" cm="1">
        <f t="array" aca="1" ref="BU338" ca="1">INDIRECT("'"&amp;$C338&amp;"'!"&amp;"$"&amp;$D338&amp;74&amp;"")</f>
        <v>0</v>
      </c>
      <c r="BV338" s="288"/>
      <c r="BW338" s="288" t="s">
        <v>1</v>
      </c>
      <c r="BX338" s="286" t="s">
        <v>1</v>
      </c>
    </row>
    <row r="339" spans="1:76">
      <c r="A339" s="459">
        <v>45852</v>
      </c>
      <c r="B339" s="345">
        <v>0.375</v>
      </c>
      <c r="C339" s="305">
        <v>14</v>
      </c>
      <c r="D339" s="306" t="s">
        <v>151</v>
      </c>
      <c r="E339" s="278">
        <v>13.8</v>
      </c>
      <c r="F339" s="279">
        <v>68.08</v>
      </c>
      <c r="G339" s="280" t="str" cm="1">
        <f t="array" aca="1" ref="G339" ca="1">INDIRECT("'"&amp;$C339&amp;"'!"&amp;"$"&amp;$D339&amp;$E$1&amp;"")</f>
        <v>CMS</v>
      </c>
      <c r="H339" s="281" t="s">
        <v>1</v>
      </c>
      <c r="I339" s="279" t="s">
        <v>1</v>
      </c>
      <c r="J339" s="280" t="str" cm="1">
        <f t="array" aca="1" ref="J339" ca="1">INDIRECT("'"&amp;$C339&amp;"'!"&amp;"$"&amp;$D339&amp;$J$1&amp;"")</f>
        <v>CMS</v>
      </c>
      <c r="K339" s="281"/>
      <c r="L339" s="281" t="s">
        <v>1</v>
      </c>
      <c r="M339" s="282" t="s">
        <v>1</v>
      </c>
      <c r="N339" s="278" cm="1">
        <f t="array" aca="1" ref="N339" ca="1">INDIRECT("'"&amp;$C339&amp;"'!"&amp;"$"&amp;$D339&amp;$N$1&amp;"")</f>
        <v>6.7</v>
      </c>
      <c r="O339" s="281"/>
      <c r="P339" s="281">
        <v>0.9</v>
      </c>
      <c r="Q339" s="279">
        <v>3.28</v>
      </c>
      <c r="R339" s="468" cm="1">
        <f t="array" aca="1" ref="R339" ca="1">INDIRECT("'"&amp;$C339&amp;"'!"&amp;"$"&amp;$D339&amp;$R$1&amp;"")</f>
        <v>6.7</v>
      </c>
      <c r="S339" s="281"/>
      <c r="T339" s="281">
        <v>0.9</v>
      </c>
      <c r="U339" s="279">
        <v>3.28</v>
      </c>
      <c r="V339" s="280" cm="1">
        <f t="array" aca="1" ref="V339" ca="1">INDIRECT("'"&amp;$C339&amp;"'!"&amp;"$"&amp;$D339&amp;$V$1&amp;"")</f>
        <v>2.8</v>
      </c>
      <c r="W339" s="281">
        <f>3.8*3.42</f>
        <v>12.995999999999999</v>
      </c>
      <c r="X339" s="281">
        <v>0.94</v>
      </c>
      <c r="Y339" s="282">
        <v>0.98</v>
      </c>
      <c r="Z339" s="278" t="str" cm="1">
        <f t="array" aca="1" ref="Z339" ca="1">INDIRECT("'"&amp;$C339&amp;"'!"&amp;"$"&amp;$D339&amp;$Z$1&amp;"")</f>
        <v>CMS</v>
      </c>
      <c r="AA339" s="281" t="s">
        <v>1</v>
      </c>
      <c r="AB339" s="281" t="s">
        <v>1</v>
      </c>
      <c r="AC339" s="279" t="s">
        <v>1</v>
      </c>
      <c r="AD339" s="280" t="str" cm="1">
        <f t="array" aca="1" ref="AD339" ca="1">INDIRECT("'"&amp;$C339&amp;"'!"&amp;"$"&amp;$D339&amp;$AD$1&amp;"")</f>
        <v>CMS</v>
      </c>
      <c r="AE339" s="281" t="s">
        <v>1</v>
      </c>
      <c r="AF339" s="281" t="s">
        <v>1</v>
      </c>
      <c r="AG339" s="282" t="s">
        <v>1</v>
      </c>
      <c r="AH339" s="278" cm="1">
        <f t="array" aca="1" ref="AH339" ca="1">INDIRECT("'"&amp;$C339&amp;"'!"&amp;"$"&amp;$D339&amp;$AH$1&amp;"")</f>
        <v>3.8</v>
      </c>
      <c r="AI339" s="281">
        <v>13.92</v>
      </c>
      <c r="AJ339" s="281">
        <v>0.99</v>
      </c>
      <c r="AK339" s="279">
        <v>0.441</v>
      </c>
      <c r="AL339" s="278">
        <v>11.6</v>
      </c>
      <c r="AM339" s="282">
        <v>70.7</v>
      </c>
      <c r="AN339" s="278" cm="1">
        <f t="array" aca="1" ref="AN339" ca="1">INDIRECT("'"&amp;$C339&amp;"'!"&amp;"$"&amp;$D339&amp;$AL$1&amp;"")</f>
        <v>3.7</v>
      </c>
      <c r="AO339" s="281">
        <v>0.95</v>
      </c>
      <c r="AP339" s="279">
        <v>1.3</v>
      </c>
      <c r="AQ339" s="280" cm="1">
        <f t="array" aca="1" ref="AQ339" ca="1">INDIRECT("'"&amp;$C339&amp;"'!"&amp;"$"&amp;$D339&amp;$AQ$1&amp;"")</f>
        <v>0</v>
      </c>
      <c r="AR339" s="281" t="s">
        <v>1</v>
      </c>
      <c r="AS339" s="279" t="s">
        <v>1</v>
      </c>
      <c r="AT339" s="278">
        <v>13.9</v>
      </c>
      <c r="AU339" s="282">
        <v>70.5</v>
      </c>
      <c r="AV339" s="281" cm="1">
        <f t="array" aca="1" ref="AV339" ca="1">INDIRECT("'"&amp;$C339&amp;"'!"&amp;"$"&amp;$D339&amp;$AV$1&amp;"")</f>
        <v>3.8</v>
      </c>
      <c r="AW339" s="280" t="s">
        <v>1</v>
      </c>
      <c r="AX339" s="281">
        <v>0.98</v>
      </c>
      <c r="AY339" s="279">
        <v>0.77</v>
      </c>
      <c r="AZ339" s="281" cm="1">
        <f t="array" aca="1" ref="AZ339" ca="1">INDIRECT("'"&amp;$C339&amp;"'!"&amp;"$"&amp;$D339&amp;$AZ$1&amp;"")</f>
        <v>7</v>
      </c>
      <c r="BA339" s="280" t="s">
        <v>1</v>
      </c>
      <c r="BB339" s="281">
        <v>0.95</v>
      </c>
      <c r="BC339" s="279">
        <v>2.2999999999999998</v>
      </c>
      <c r="BD339" s="283">
        <v>14.08</v>
      </c>
      <c r="BE339" s="282">
        <v>71.28</v>
      </c>
      <c r="BF339" s="283" cm="1">
        <f t="array" aca="1" ref="BF339" ca="1">INDIRECT("'"&amp;$C339&amp;"'!"&amp;"$"&amp;$D339&amp;$BF$1&amp;"")</f>
        <v>14.23</v>
      </c>
      <c r="BG339" s="281">
        <v>0.99</v>
      </c>
      <c r="BH339" s="279">
        <v>2.2999999999999998</v>
      </c>
      <c r="BI339" s="524">
        <v>67.099999999999994</v>
      </c>
      <c r="BJ339" s="278" cm="1">
        <f t="array" aca="1" ref="BJ339" ca="1">INDIRECT("'"&amp;$C339&amp;"'!"&amp;"$"&amp;$D339&amp;$BI$1&amp;"")</f>
        <v>2.92</v>
      </c>
      <c r="BK339" s="280">
        <v>0.96</v>
      </c>
      <c r="BL339" s="279">
        <v>0.85</v>
      </c>
      <c r="BM339" s="283" cm="1">
        <f t="array" aca="1" ref="BM339" ca="1">INDIRECT("'"&amp;$C339&amp;"'!"&amp;"$"&amp;$D339&amp;$BM$1&amp;"")</f>
        <v>1.1200000000000001</v>
      </c>
      <c r="BN339" s="281"/>
      <c r="BO339" s="281">
        <v>0.99</v>
      </c>
      <c r="BP339" s="279">
        <v>0.15</v>
      </c>
      <c r="BQ339" s="284" cm="1">
        <f t="array" aca="1" ref="BQ339" ca="1">INDIRECT("'"&amp;$C339&amp;"'!"&amp;"$"&amp;$D339&amp;$BQ$1&amp;"")</f>
        <v>0.76</v>
      </c>
      <c r="BR339" s="281"/>
      <c r="BS339" s="281">
        <v>0.96</v>
      </c>
      <c r="BT339" s="279">
        <v>0.22</v>
      </c>
      <c r="BU339" s="284" cm="1">
        <f t="array" aca="1" ref="BU339" ca="1">INDIRECT("'"&amp;$C339&amp;"'!"&amp;"$"&amp;$D339&amp;74&amp;"")</f>
        <v>0</v>
      </c>
      <c r="BV339" s="281"/>
      <c r="BW339" s="281" t="s">
        <v>1</v>
      </c>
      <c r="BX339" s="279" t="s">
        <v>1</v>
      </c>
    </row>
    <row r="340" spans="1:76">
      <c r="A340" s="459">
        <v>45852</v>
      </c>
      <c r="B340" s="345">
        <v>0.41666666666666702</v>
      </c>
      <c r="C340" s="305">
        <v>14</v>
      </c>
      <c r="D340" s="306" t="s">
        <v>152</v>
      </c>
      <c r="E340" s="285">
        <v>14</v>
      </c>
      <c r="F340" s="286">
        <v>68.38</v>
      </c>
      <c r="G340" s="287" t="str" cm="1">
        <f t="array" aca="1" ref="G340" ca="1">INDIRECT("'"&amp;$C340&amp;"'!"&amp;"$"&amp;$D340&amp;$E$1&amp;"")</f>
        <v>CMS</v>
      </c>
      <c r="H340" s="288" t="s">
        <v>1</v>
      </c>
      <c r="I340" s="286" t="s">
        <v>1</v>
      </c>
      <c r="J340" s="287" t="str" cm="1">
        <f t="array" aca="1" ref="J340" ca="1">INDIRECT("'"&amp;$C340&amp;"'!"&amp;"$"&amp;$D340&amp;$J$1&amp;"")</f>
        <v>CMS</v>
      </c>
      <c r="K340" s="288"/>
      <c r="L340" s="288" t="s">
        <v>1</v>
      </c>
      <c r="M340" s="289" t="s">
        <v>1</v>
      </c>
      <c r="N340" s="285" cm="1">
        <f t="array" aca="1" ref="N340" ca="1">INDIRECT("'"&amp;$C340&amp;"'!"&amp;"$"&amp;$D340&amp;$N$1&amp;"")</f>
        <v>6.8</v>
      </c>
      <c r="O340" s="288"/>
      <c r="P340" s="288">
        <v>0.9</v>
      </c>
      <c r="Q340" s="286">
        <v>3.39</v>
      </c>
      <c r="R340" s="285" cm="1">
        <f t="array" aca="1" ref="R340" ca="1">INDIRECT("'"&amp;$C340&amp;"'!"&amp;"$"&amp;$D340&amp;$R$1&amp;"")</f>
        <v>6.8</v>
      </c>
      <c r="S340" s="288"/>
      <c r="T340" s="288">
        <v>0.9</v>
      </c>
      <c r="U340" s="286">
        <v>3.39</v>
      </c>
      <c r="V340" s="287" cm="1">
        <f t="array" aca="1" ref="V340" ca="1">INDIRECT("'"&amp;$C340&amp;"'!"&amp;"$"&amp;$D340&amp;$V$1&amp;"")</f>
        <v>2.8</v>
      </c>
      <c r="W340" s="288">
        <f>3.39*3.8</f>
        <v>12.882</v>
      </c>
      <c r="X340" s="288">
        <v>0.9</v>
      </c>
      <c r="Y340" s="289">
        <v>1.35</v>
      </c>
      <c r="Z340" s="285" t="str" cm="1">
        <f t="array" aca="1" ref="Z340" ca="1">INDIRECT("'"&amp;$C340&amp;"'!"&amp;"$"&amp;$D340&amp;$Z$1&amp;"")</f>
        <v>CMS</v>
      </c>
      <c r="AA340" s="288" t="s">
        <v>1</v>
      </c>
      <c r="AB340" s="288" t="s">
        <v>1</v>
      </c>
      <c r="AC340" s="286" t="s">
        <v>1</v>
      </c>
      <c r="AD340" s="287" t="str" cm="1">
        <f t="array" aca="1" ref="AD340" ca="1">INDIRECT("'"&amp;$C340&amp;"'!"&amp;"$"&amp;$D340&amp;$AD$1&amp;"")</f>
        <v>CMS</v>
      </c>
      <c r="AE340" s="288" t="s">
        <v>1</v>
      </c>
      <c r="AF340" s="288" t="s">
        <v>1</v>
      </c>
      <c r="AG340" s="289" t="s">
        <v>1</v>
      </c>
      <c r="AH340" s="285" cm="1">
        <f t="array" aca="1" ref="AH340" ca="1">INDIRECT("'"&amp;$C340&amp;"'!"&amp;"$"&amp;$D340&amp;$AH$1&amp;"")</f>
        <v>3.8</v>
      </c>
      <c r="AI340" s="288">
        <v>14.16</v>
      </c>
      <c r="AJ340" s="288">
        <v>0.96</v>
      </c>
      <c r="AK340" s="286">
        <v>1.1299999999999999</v>
      </c>
      <c r="AL340" s="285">
        <v>11.7</v>
      </c>
      <c r="AM340" s="289">
        <v>70.900000000000006</v>
      </c>
      <c r="AN340" s="285" cm="1">
        <f t="array" aca="1" ref="AN340" ca="1">INDIRECT("'"&amp;$C340&amp;"'!"&amp;"$"&amp;$D340&amp;$AL$1&amp;"")</f>
        <v>3.7</v>
      </c>
      <c r="AO340" s="288">
        <v>0.92</v>
      </c>
      <c r="AP340" s="286">
        <v>1.7</v>
      </c>
      <c r="AQ340" s="287" cm="1">
        <f t="array" aca="1" ref="AQ340" ca="1">INDIRECT("'"&amp;$C340&amp;"'!"&amp;"$"&amp;$D340&amp;$AQ$1&amp;"")</f>
        <v>0</v>
      </c>
      <c r="AR340" s="288" t="s">
        <v>1</v>
      </c>
      <c r="AS340" s="286" t="s">
        <v>1</v>
      </c>
      <c r="AT340" s="285">
        <v>14.1</v>
      </c>
      <c r="AU340" s="289">
        <v>70.900000000000006</v>
      </c>
      <c r="AV340" s="288" cm="1">
        <f t="array" aca="1" ref="AV340" ca="1">INDIRECT("'"&amp;$C340&amp;"'!"&amp;"$"&amp;$D340&amp;$AV$1&amp;"")</f>
        <v>7.1</v>
      </c>
      <c r="AW340" s="287" t="s">
        <v>1</v>
      </c>
      <c r="AX340" s="288">
        <v>0.97</v>
      </c>
      <c r="AY340" s="286">
        <v>1.81</v>
      </c>
      <c r="AZ340" s="288" cm="1">
        <f t="array" aca="1" ref="AZ340" ca="1">INDIRECT("'"&amp;$C340&amp;"'!"&amp;"$"&amp;$D340&amp;$AZ$1&amp;"")</f>
        <v>7</v>
      </c>
      <c r="BA340" s="287" t="s">
        <v>1</v>
      </c>
      <c r="BB340" s="288">
        <v>0.97</v>
      </c>
      <c r="BC340" s="286">
        <v>1.85</v>
      </c>
      <c r="BD340" s="290">
        <v>14.25</v>
      </c>
      <c r="BE340" s="289">
        <v>71.75</v>
      </c>
      <c r="BF340" s="290" cm="1">
        <f t="array" aca="1" ref="BF340" ca="1">INDIRECT("'"&amp;$C340&amp;"'!"&amp;"$"&amp;$D340&amp;$BF$1&amp;"")</f>
        <v>14.27</v>
      </c>
      <c r="BG340" s="288">
        <v>0.98</v>
      </c>
      <c r="BH340" s="286">
        <v>3.4</v>
      </c>
      <c r="BI340" s="525">
        <v>67.3</v>
      </c>
      <c r="BJ340" s="285" cm="1">
        <f t="array" aca="1" ref="BJ340" ca="1">INDIRECT("'"&amp;$C340&amp;"'!"&amp;"$"&amp;$D340&amp;$BI$1&amp;"")</f>
        <v>4.5999999999999996</v>
      </c>
      <c r="BK340" s="287">
        <v>0.96</v>
      </c>
      <c r="BL340" s="286">
        <v>1.3</v>
      </c>
      <c r="BM340" s="290" cm="1">
        <f t="array" aca="1" ref="BM340" ca="1">INDIRECT("'"&amp;$C340&amp;"'!"&amp;"$"&amp;$D340&amp;$BM$1&amp;"")</f>
        <v>1.32</v>
      </c>
      <c r="BN340" s="288"/>
      <c r="BO340" s="288">
        <v>0.99</v>
      </c>
      <c r="BP340" s="286">
        <v>0.17</v>
      </c>
      <c r="BQ340" s="291" cm="1">
        <f t="array" aca="1" ref="BQ340" ca="1">INDIRECT("'"&amp;$C340&amp;"'!"&amp;"$"&amp;$D340&amp;$BQ$1&amp;"")</f>
        <v>0.82</v>
      </c>
      <c r="BR340" s="288"/>
      <c r="BS340" s="288">
        <v>0.96</v>
      </c>
      <c r="BT340" s="286">
        <v>0.23</v>
      </c>
      <c r="BU340" s="291" cm="1">
        <f t="array" aca="1" ref="BU340" ca="1">INDIRECT("'"&amp;$C340&amp;"'!"&amp;"$"&amp;$D340&amp;74&amp;"")</f>
        <v>0</v>
      </c>
      <c r="BV340" s="288"/>
      <c r="BW340" s="288" t="s">
        <v>1</v>
      </c>
      <c r="BX340" s="286" t="s">
        <v>1</v>
      </c>
    </row>
    <row r="341" spans="1:76">
      <c r="A341" s="459">
        <v>45852</v>
      </c>
      <c r="B341" s="345">
        <v>0.45833333333333398</v>
      </c>
      <c r="C341" s="305">
        <v>14</v>
      </c>
      <c r="D341" s="306" t="s">
        <v>153</v>
      </c>
      <c r="E341" s="278">
        <v>13.9</v>
      </c>
      <c r="F341" s="279">
        <v>68.19</v>
      </c>
      <c r="G341" s="280" t="str" cm="1">
        <f t="array" aca="1" ref="G341" ca="1">INDIRECT("'"&amp;$C341&amp;"'!"&amp;"$"&amp;$D341&amp;$E$1&amp;"")</f>
        <v>CMS</v>
      </c>
      <c r="H341" s="281" t="s">
        <v>1</v>
      </c>
      <c r="I341" s="279" t="s">
        <v>1</v>
      </c>
      <c r="J341" s="280" cm="1">
        <f t="array" aca="1" ref="J341" ca="1">INDIRECT("'"&amp;$C341&amp;"'!"&amp;"$"&amp;$D341&amp;$J$1&amp;"")</f>
        <v>1.2</v>
      </c>
      <c r="K341" s="281"/>
      <c r="L341" s="281">
        <v>0.96</v>
      </c>
      <c r="M341" s="282">
        <v>0.36</v>
      </c>
      <c r="N341" s="278" cm="1">
        <f t="array" aca="1" ref="N341" ca="1">INDIRECT("'"&amp;$C341&amp;"'!"&amp;"$"&amp;$D341&amp;$N$1&amp;"")</f>
        <v>6.2</v>
      </c>
      <c r="O341" s="281"/>
      <c r="P341" s="281">
        <v>0.89</v>
      </c>
      <c r="Q341" s="279">
        <v>3.17</v>
      </c>
      <c r="R341" s="468" cm="1">
        <f t="array" aca="1" ref="R341" ca="1">INDIRECT("'"&amp;$C341&amp;"'!"&amp;"$"&amp;$D341&amp;$R$1&amp;"")</f>
        <v>6.2</v>
      </c>
      <c r="S341" s="281"/>
      <c r="T341" s="281">
        <v>0.89</v>
      </c>
      <c r="U341" s="279">
        <v>3.17</v>
      </c>
      <c r="V341" s="280" cm="1">
        <f t="array" aca="1" ref="V341" ca="1">INDIRECT("'"&amp;$C341&amp;"'!"&amp;"$"&amp;$D341&amp;$V$1&amp;"")</f>
        <v>2.8</v>
      </c>
      <c r="W341" s="281">
        <f>3.38*3.8</f>
        <v>12.843999999999999</v>
      </c>
      <c r="X341" s="281">
        <v>0.9</v>
      </c>
      <c r="Y341" s="282">
        <v>1.36</v>
      </c>
      <c r="Z341" s="278" t="str" cm="1">
        <f t="array" aca="1" ref="Z341" ca="1">INDIRECT("'"&amp;$C341&amp;"'!"&amp;"$"&amp;$D341&amp;$Z$1&amp;"")</f>
        <v>CMS</v>
      </c>
      <c r="AA341" s="281" t="s">
        <v>1</v>
      </c>
      <c r="AB341" s="281" t="s">
        <v>1</v>
      </c>
      <c r="AC341" s="279" t="s">
        <v>1</v>
      </c>
      <c r="AD341" s="280" t="str" cm="1">
        <f t="array" aca="1" ref="AD341" ca="1">INDIRECT("'"&amp;$C341&amp;"'!"&amp;"$"&amp;$D341&amp;$AD$1&amp;"")</f>
        <v>CMS</v>
      </c>
      <c r="AE341" s="281" t="s">
        <v>1</v>
      </c>
      <c r="AF341" s="281" t="s">
        <v>1</v>
      </c>
      <c r="AG341" s="282" t="s">
        <v>1</v>
      </c>
      <c r="AH341" s="278" cm="1">
        <f t="array" aca="1" ref="AH341" ca="1">INDIRECT("'"&amp;$C341&amp;"'!"&amp;"$"&amp;$D341&amp;$AH$1&amp;"")</f>
        <v>3.8</v>
      </c>
      <c r="AI341" s="281">
        <v>14.16</v>
      </c>
      <c r="AJ341" s="281">
        <v>0.97</v>
      </c>
      <c r="AK341" s="279">
        <v>0.83899999999999997</v>
      </c>
      <c r="AL341" s="278">
        <v>11.7</v>
      </c>
      <c r="AM341" s="282">
        <v>70.900000000000006</v>
      </c>
      <c r="AN341" s="278" cm="1">
        <f t="array" aca="1" ref="AN341" ca="1">INDIRECT("'"&amp;$C341&amp;"'!"&amp;"$"&amp;$D341&amp;$AL$1&amp;"")</f>
        <v>2</v>
      </c>
      <c r="AO341" s="281">
        <v>0.92</v>
      </c>
      <c r="AP341" s="279">
        <v>0.95</v>
      </c>
      <c r="AQ341" s="280" cm="1">
        <f t="array" aca="1" ref="AQ341" ca="1">INDIRECT("'"&amp;$C341&amp;"'!"&amp;"$"&amp;$D341&amp;$AQ$1&amp;"")</f>
        <v>2</v>
      </c>
      <c r="AR341" s="281">
        <v>0.92</v>
      </c>
      <c r="AS341" s="279">
        <v>0.95</v>
      </c>
      <c r="AT341" s="278">
        <v>14.1</v>
      </c>
      <c r="AU341" s="282">
        <v>70.900000000000006</v>
      </c>
      <c r="AV341" s="281" cm="1">
        <f t="array" aca="1" ref="AV341" ca="1">INDIRECT("'"&amp;$C341&amp;"'!"&amp;"$"&amp;$D341&amp;$AV$1&amp;"")</f>
        <v>6.6</v>
      </c>
      <c r="AW341" s="280" t="s">
        <v>1</v>
      </c>
      <c r="AX341" s="281">
        <v>0.97</v>
      </c>
      <c r="AY341" s="279">
        <v>1.72</v>
      </c>
      <c r="AZ341" s="281" cm="1">
        <f t="array" aca="1" ref="AZ341" ca="1">INDIRECT("'"&amp;$C341&amp;"'!"&amp;"$"&amp;$D341&amp;$AZ$1&amp;"")</f>
        <v>7</v>
      </c>
      <c r="BA341" s="280" t="s">
        <v>1</v>
      </c>
      <c r="BB341" s="281">
        <v>0.97</v>
      </c>
      <c r="BC341" s="279">
        <v>1.51</v>
      </c>
      <c r="BD341" s="283">
        <v>14.31</v>
      </c>
      <c r="BE341" s="282">
        <v>71.98</v>
      </c>
      <c r="BF341" s="283" cm="1">
        <f t="array" aca="1" ref="BF341" ca="1">INDIRECT("'"&amp;$C341&amp;"'!"&amp;"$"&amp;$D341&amp;$BF$1&amp;"")</f>
        <v>14.23</v>
      </c>
      <c r="BG341" s="281">
        <v>0.98</v>
      </c>
      <c r="BH341" s="279">
        <v>3.3</v>
      </c>
      <c r="BI341" s="524">
        <v>67.5</v>
      </c>
      <c r="BJ341" s="278" cm="1">
        <f t="array" aca="1" ref="BJ341" ca="1">INDIRECT("'"&amp;$C341&amp;"'!"&amp;"$"&amp;$D341&amp;$BI$1&amp;"")</f>
        <v>5.4</v>
      </c>
      <c r="BK341" s="280">
        <v>0.96</v>
      </c>
      <c r="BL341" s="279">
        <v>1.5</v>
      </c>
      <c r="BM341" s="283" cm="1">
        <f t="array" aca="1" ref="BM341" ca="1">INDIRECT("'"&amp;$C341&amp;"'!"&amp;"$"&amp;$D341&amp;$BM$1&amp;"")</f>
        <v>1.49</v>
      </c>
      <c r="BN341" s="281"/>
      <c r="BO341" s="281">
        <v>0.99</v>
      </c>
      <c r="BP341" s="279">
        <v>0.2</v>
      </c>
      <c r="BQ341" s="284" cm="1">
        <f t="array" aca="1" ref="BQ341" ca="1">INDIRECT("'"&amp;$C341&amp;"'!"&amp;"$"&amp;$D341&amp;$BQ$1&amp;"")</f>
        <v>0.85</v>
      </c>
      <c r="BR341" s="281"/>
      <c r="BS341" s="281">
        <v>0.96</v>
      </c>
      <c r="BT341" s="279">
        <v>0.24</v>
      </c>
      <c r="BU341" s="284" cm="1">
        <f t="array" aca="1" ref="BU341" ca="1">INDIRECT("'"&amp;$C341&amp;"'!"&amp;"$"&amp;$D341&amp;74&amp;"")</f>
        <v>0</v>
      </c>
      <c r="BV341" s="281"/>
      <c r="BW341" s="281" t="s">
        <v>1</v>
      </c>
      <c r="BX341" s="279" t="s">
        <v>1</v>
      </c>
    </row>
    <row r="342" spans="1:76">
      <c r="A342" s="459">
        <v>45852</v>
      </c>
      <c r="B342" s="345">
        <v>0.5</v>
      </c>
      <c r="C342" s="305">
        <v>14</v>
      </c>
      <c r="D342" s="306" t="s">
        <v>154</v>
      </c>
      <c r="E342" s="285">
        <v>14</v>
      </c>
      <c r="F342" s="286">
        <v>68.430000000000007</v>
      </c>
      <c r="G342" s="287" t="str" cm="1">
        <f t="array" aca="1" ref="G342" ca="1">INDIRECT("'"&amp;$C342&amp;"'!"&amp;"$"&amp;$D342&amp;$E$1&amp;"")</f>
        <v>CMS</v>
      </c>
      <c r="H342" s="288" t="s">
        <v>1</v>
      </c>
      <c r="I342" s="286" t="s">
        <v>1</v>
      </c>
      <c r="J342" s="287" t="str" cm="1">
        <f t="array" aca="1" ref="J342" ca="1">INDIRECT("'"&amp;$C342&amp;"'!"&amp;"$"&amp;$D342&amp;$J$1&amp;"")</f>
        <v>CMS</v>
      </c>
      <c r="K342" s="288"/>
      <c r="L342" s="288" t="s">
        <v>1</v>
      </c>
      <c r="M342" s="289" t="s">
        <v>1</v>
      </c>
      <c r="N342" s="285" cm="1">
        <f t="array" aca="1" ref="N342" ca="1">INDIRECT("'"&amp;$C342&amp;"'!"&amp;"$"&amp;$D342&amp;$N$1&amp;"")</f>
        <v>6.5</v>
      </c>
      <c r="O342" s="288"/>
      <c r="P342" s="288">
        <v>0.9</v>
      </c>
      <c r="Q342" s="289">
        <v>3.18</v>
      </c>
      <c r="R342" s="285" cm="1">
        <f t="array" aca="1" ref="R342" ca="1">INDIRECT("'"&amp;$C342&amp;"'!"&amp;"$"&amp;$D342&amp;$R$1&amp;"")</f>
        <v>6.5</v>
      </c>
      <c r="S342" s="288"/>
      <c r="T342" s="288">
        <v>0.9</v>
      </c>
      <c r="U342" s="286">
        <v>3.18</v>
      </c>
      <c r="V342" s="287" cm="1">
        <f t="array" aca="1" ref="V342" ca="1">INDIRECT("'"&amp;$C342&amp;"'!"&amp;"$"&amp;$D342&amp;$V$1&amp;"")</f>
        <v>2.8</v>
      </c>
      <c r="W342" s="288">
        <f>3.4*3.8</f>
        <v>12.92</v>
      </c>
      <c r="X342" s="288">
        <v>0.89</v>
      </c>
      <c r="Y342" s="289">
        <v>1.37</v>
      </c>
      <c r="Z342" s="285" t="str" cm="1">
        <f t="array" aca="1" ref="Z342" ca="1">INDIRECT("'"&amp;$C342&amp;"'!"&amp;"$"&amp;$D342&amp;$Z$1&amp;"")</f>
        <v>CMS</v>
      </c>
      <c r="AA342" s="288" t="s">
        <v>1</v>
      </c>
      <c r="AB342" s="288" t="s">
        <v>1</v>
      </c>
      <c r="AC342" s="286" t="s">
        <v>1</v>
      </c>
      <c r="AD342" s="287" t="str" cm="1">
        <f t="array" aca="1" ref="AD342" ca="1">INDIRECT("'"&amp;$C342&amp;"'!"&amp;"$"&amp;$D342&amp;$AD$1&amp;"")</f>
        <v>CMS</v>
      </c>
      <c r="AE342" s="288" t="s">
        <v>1</v>
      </c>
      <c r="AF342" s="288" t="s">
        <v>1</v>
      </c>
      <c r="AG342" s="289" t="s">
        <v>1</v>
      </c>
      <c r="AH342" s="285" cm="1">
        <f t="array" aca="1" ref="AH342" ca="1">INDIRECT("'"&amp;$C342&amp;"'!"&amp;"$"&amp;$D342&amp;$AH$1&amp;"")</f>
        <v>3.8</v>
      </c>
      <c r="AI342" s="288">
        <v>14.16</v>
      </c>
      <c r="AJ342" s="288">
        <v>0.96</v>
      </c>
      <c r="AK342" s="286">
        <v>0.999</v>
      </c>
      <c r="AL342" s="285">
        <v>11.7</v>
      </c>
      <c r="AM342" s="289">
        <v>71</v>
      </c>
      <c r="AN342" s="285" cm="1">
        <f t="array" aca="1" ref="AN342" ca="1">INDIRECT("'"&amp;$C342&amp;"'!"&amp;"$"&amp;$D342&amp;$AL$1&amp;"")</f>
        <v>2</v>
      </c>
      <c r="AO342" s="288">
        <v>0.92</v>
      </c>
      <c r="AP342" s="286">
        <v>0.85</v>
      </c>
      <c r="AQ342" s="287" cm="1">
        <f t="array" aca="1" ref="AQ342" ca="1">INDIRECT("'"&amp;$C342&amp;"'!"&amp;"$"&amp;$D342&amp;$AQ$1&amp;"")</f>
        <v>2</v>
      </c>
      <c r="AR342" s="288">
        <v>0.92</v>
      </c>
      <c r="AS342" s="286">
        <v>0.85</v>
      </c>
      <c r="AT342" s="285">
        <v>14.1</v>
      </c>
      <c r="AU342" s="289">
        <v>70.900000000000006</v>
      </c>
      <c r="AV342" s="288" cm="1">
        <f t="array" aca="1" ref="AV342" ca="1">INDIRECT("'"&amp;$C342&amp;"'!"&amp;"$"&amp;$D342&amp;$AV$1&amp;"")</f>
        <v>6.9</v>
      </c>
      <c r="AW342" s="287" t="s">
        <v>1</v>
      </c>
      <c r="AX342" s="288">
        <v>0.97</v>
      </c>
      <c r="AY342" s="286">
        <v>1.75</v>
      </c>
      <c r="AZ342" s="288" cm="1">
        <f t="array" aca="1" ref="AZ342" ca="1">INDIRECT("'"&amp;$C342&amp;"'!"&amp;"$"&amp;$D342&amp;$AZ$1&amp;"")</f>
        <v>7</v>
      </c>
      <c r="BA342" s="287" t="s">
        <v>1</v>
      </c>
      <c r="BB342" s="288">
        <v>0.98</v>
      </c>
      <c r="BC342" s="286">
        <v>1.21</v>
      </c>
      <c r="BD342" s="290">
        <v>14.29</v>
      </c>
      <c r="BE342" s="289">
        <v>72.06</v>
      </c>
      <c r="BF342" s="290" cm="1">
        <f t="array" aca="1" ref="BF342" ca="1">INDIRECT("'"&amp;$C342&amp;"'!"&amp;"$"&amp;$D342&amp;$BF$1&amp;"")</f>
        <v>14.27</v>
      </c>
      <c r="BG342" s="288">
        <v>0.98</v>
      </c>
      <c r="BH342" s="286">
        <v>3.3</v>
      </c>
      <c r="BI342" s="525">
        <v>67.8</v>
      </c>
      <c r="BJ342" s="285" cm="1">
        <f t="array" aca="1" ref="BJ342" ca="1">INDIRECT("'"&amp;$C342&amp;"'!"&amp;"$"&amp;$D342&amp;$BI$1&amp;"")</f>
        <v>5.3</v>
      </c>
      <c r="BK342" s="287">
        <v>0.96</v>
      </c>
      <c r="BL342" s="286">
        <v>1.5</v>
      </c>
      <c r="BM342" s="290" cm="1">
        <f t="array" aca="1" ref="BM342" ca="1">INDIRECT("'"&amp;$C342&amp;"'!"&amp;"$"&amp;$D342&amp;$BM$1&amp;"")</f>
        <v>1.56</v>
      </c>
      <c r="BN342" s="288"/>
      <c r="BO342" s="288">
        <v>0.99</v>
      </c>
      <c r="BP342" s="286">
        <v>0.21</v>
      </c>
      <c r="BQ342" s="291" cm="1">
        <f t="array" aca="1" ref="BQ342" ca="1">INDIRECT("'"&amp;$C342&amp;"'!"&amp;"$"&amp;$D342&amp;$BQ$1&amp;"")</f>
        <v>0.86</v>
      </c>
      <c r="BR342" s="288"/>
      <c r="BS342" s="288">
        <v>0.96</v>
      </c>
      <c r="BT342" s="286">
        <v>0.23</v>
      </c>
      <c r="BU342" s="291" cm="1">
        <f t="array" aca="1" ref="BU342" ca="1">INDIRECT("'"&amp;$C342&amp;"'!"&amp;"$"&amp;$D342&amp;74&amp;"")</f>
        <v>0</v>
      </c>
      <c r="BV342" s="288"/>
      <c r="BW342" s="288" t="s">
        <v>1</v>
      </c>
      <c r="BX342" s="286" t="s">
        <v>1</v>
      </c>
    </row>
    <row r="343" spans="1:76">
      <c r="A343" s="459">
        <v>45852</v>
      </c>
      <c r="B343" s="345">
        <v>0.54166666666666696</v>
      </c>
      <c r="C343" s="305">
        <v>14</v>
      </c>
      <c r="D343" s="306" t="s">
        <v>155</v>
      </c>
      <c r="E343" s="278">
        <v>13.9</v>
      </c>
      <c r="F343" s="279">
        <v>67.91</v>
      </c>
      <c r="G343" s="280" t="str" cm="1">
        <f t="array" aca="1" ref="G343" ca="1">INDIRECT("'"&amp;$C343&amp;"'!"&amp;"$"&amp;$D343&amp;$E$1&amp;"")</f>
        <v>CMS</v>
      </c>
      <c r="H343" s="281" t="s">
        <v>1</v>
      </c>
      <c r="I343" s="279" t="s">
        <v>1</v>
      </c>
      <c r="J343" s="280" t="str" cm="1">
        <f t="array" aca="1" ref="J343" ca="1">INDIRECT("'"&amp;$C343&amp;"'!"&amp;"$"&amp;$D343&amp;$J$1&amp;"")</f>
        <v>CMS</v>
      </c>
      <c r="K343" s="281"/>
      <c r="L343" s="281" t="s">
        <v>1</v>
      </c>
      <c r="M343" s="279" t="s">
        <v>1</v>
      </c>
      <c r="N343" s="278" cm="1">
        <f t="array" aca="1" ref="N343" ca="1">INDIRECT("'"&amp;$C343&amp;"'!"&amp;"$"&amp;$D343&amp;$N$1&amp;"")</f>
        <v>6.9</v>
      </c>
      <c r="O343" s="281"/>
      <c r="P343" s="281">
        <v>0.89</v>
      </c>
      <c r="Q343" s="279">
        <v>3.55</v>
      </c>
      <c r="R343" s="468" cm="1">
        <f t="array" aca="1" ref="R343" ca="1">INDIRECT("'"&amp;$C343&amp;"'!"&amp;"$"&amp;$D343&amp;$R$1&amp;"")</f>
        <v>6.9</v>
      </c>
      <c r="S343" s="281"/>
      <c r="T343" s="281">
        <v>0.89</v>
      </c>
      <c r="U343" s="279">
        <v>3.55</v>
      </c>
      <c r="V343" s="280" cm="1">
        <f t="array" aca="1" ref="V343" ca="1">INDIRECT("'"&amp;$C343&amp;"'!"&amp;"$"&amp;$D343&amp;$V$1&amp;"")</f>
        <v>2.8</v>
      </c>
      <c r="W343" s="281">
        <f>3.37*3.8</f>
        <v>12.805999999999999</v>
      </c>
      <c r="X343" s="281">
        <v>0.89</v>
      </c>
      <c r="Y343" s="282">
        <v>1.38</v>
      </c>
      <c r="Z343" s="278" t="str" cm="1">
        <f t="array" aca="1" ref="Z343" ca="1">INDIRECT("'"&amp;$C343&amp;"'!"&amp;"$"&amp;$D343&amp;$Z$1&amp;"")</f>
        <v>CMS</v>
      </c>
      <c r="AA343" s="281" t="s">
        <v>1</v>
      </c>
      <c r="AB343" s="281" t="s">
        <v>1</v>
      </c>
      <c r="AC343" s="279" t="s">
        <v>1</v>
      </c>
      <c r="AD343" s="280" t="str" cm="1">
        <f t="array" aca="1" ref="AD343" ca="1">INDIRECT("'"&amp;$C343&amp;"'!"&amp;"$"&amp;$D343&amp;$AD$1&amp;"")</f>
        <v>CMS</v>
      </c>
      <c r="AE343" s="281" t="s">
        <v>1</v>
      </c>
      <c r="AF343" s="281" t="s">
        <v>1</v>
      </c>
      <c r="AG343" s="282" t="s">
        <v>1</v>
      </c>
      <c r="AH343" s="278" cm="1">
        <f t="array" aca="1" ref="AH343" ca="1">INDIRECT("'"&amp;$C343&amp;"'!"&amp;"$"&amp;$D343&amp;$AH$1&amp;"")</f>
        <v>3.8</v>
      </c>
      <c r="AI343" s="281">
        <v>14.16</v>
      </c>
      <c r="AJ343" s="281">
        <v>0.97</v>
      </c>
      <c r="AK343" s="279">
        <v>0.84599999999999997</v>
      </c>
      <c r="AL343" s="278">
        <v>11.8</v>
      </c>
      <c r="AM343" s="282">
        <v>71</v>
      </c>
      <c r="AN343" s="278" cm="1">
        <f t="array" aca="1" ref="AN343" ca="1">INDIRECT("'"&amp;$C343&amp;"'!"&amp;"$"&amp;$D343&amp;$AL$1&amp;"")</f>
        <v>2.7</v>
      </c>
      <c r="AO343" s="281">
        <v>0.89</v>
      </c>
      <c r="AP343" s="279">
        <v>1.1499999999999999</v>
      </c>
      <c r="AQ343" s="280" cm="1">
        <f t="array" aca="1" ref="AQ343" ca="1">INDIRECT("'"&amp;$C343&amp;"'!"&amp;"$"&amp;$D343&amp;$AQ$1&amp;"")</f>
        <v>2.7</v>
      </c>
      <c r="AR343" s="281">
        <v>0.89</v>
      </c>
      <c r="AS343" s="279">
        <v>1.1499999999999999</v>
      </c>
      <c r="AT343" s="278">
        <v>14.1</v>
      </c>
      <c r="AU343" s="282">
        <v>70.900000000000006</v>
      </c>
      <c r="AV343" s="281" cm="1">
        <f t="array" aca="1" ref="AV343" ca="1">INDIRECT("'"&amp;$C343&amp;"'!"&amp;"$"&amp;$D343&amp;$AV$1&amp;"")</f>
        <v>7</v>
      </c>
      <c r="AW343" s="280">
        <v>13.7</v>
      </c>
      <c r="AX343" s="281">
        <v>0.97</v>
      </c>
      <c r="AY343" s="279">
        <v>1.74</v>
      </c>
      <c r="AZ343" s="281" cm="1">
        <f t="array" aca="1" ref="AZ343" ca="1">INDIRECT("'"&amp;$C343&amp;"'!"&amp;"$"&amp;$D343&amp;$AZ$1&amp;"")</f>
        <v>7</v>
      </c>
      <c r="BA343" s="280">
        <v>13.7</v>
      </c>
      <c r="BB343" s="281">
        <v>0.97</v>
      </c>
      <c r="BC343" s="279">
        <v>1.25</v>
      </c>
      <c r="BD343" s="283">
        <v>14.31</v>
      </c>
      <c r="BE343" s="282">
        <v>71.959999999999994</v>
      </c>
      <c r="BF343" s="283" cm="1">
        <f t="array" aca="1" ref="BF343" ca="1">INDIRECT("'"&amp;$C343&amp;"'!"&amp;"$"&amp;$D343&amp;$BF$1&amp;"")</f>
        <v>14.29</v>
      </c>
      <c r="BG343" s="281">
        <v>0.98</v>
      </c>
      <c r="BH343" s="279">
        <v>3.4</v>
      </c>
      <c r="BI343" s="524">
        <v>67.2</v>
      </c>
      <c r="BJ343" s="278" cm="1">
        <f t="array" aca="1" ref="BJ343" ca="1">INDIRECT("'"&amp;$C343&amp;"'!"&amp;"$"&amp;$D343&amp;$BI$1&amp;"")</f>
        <v>5.5</v>
      </c>
      <c r="BK343" s="280">
        <v>0.95</v>
      </c>
      <c r="BL343" s="279">
        <v>1.8</v>
      </c>
      <c r="BM343" s="283" cm="1">
        <f t="array" aca="1" ref="BM343" ca="1">INDIRECT("'"&amp;$C343&amp;"'!"&amp;"$"&amp;$D343&amp;$BM$1&amp;"")</f>
        <v>1.5500000000000003</v>
      </c>
      <c r="BN343" s="281"/>
      <c r="BO343" s="281">
        <v>0.99</v>
      </c>
      <c r="BP343" s="279">
        <v>0.22</v>
      </c>
      <c r="BQ343" s="284" cm="1">
        <f t="array" aca="1" ref="BQ343" ca="1">INDIRECT("'"&amp;$C343&amp;"'!"&amp;"$"&amp;$D343&amp;$BQ$1&amp;"")</f>
        <v>0.88</v>
      </c>
      <c r="BR343" s="281"/>
      <c r="BS343" s="281">
        <v>0.96</v>
      </c>
      <c r="BT343" s="279">
        <v>0.24</v>
      </c>
      <c r="BU343" s="284" cm="1">
        <f t="array" aca="1" ref="BU343" ca="1">INDIRECT("'"&amp;$C343&amp;"'!"&amp;"$"&amp;$D343&amp;74&amp;"")</f>
        <v>0</v>
      </c>
      <c r="BV343" s="281"/>
      <c r="BW343" s="281" t="s">
        <v>1</v>
      </c>
      <c r="BX343" s="279" t="s">
        <v>1</v>
      </c>
    </row>
    <row r="344" spans="1:76">
      <c r="A344" s="459">
        <v>45852</v>
      </c>
      <c r="B344" s="345">
        <v>0.58333333333333404</v>
      </c>
      <c r="C344" s="305">
        <v>14</v>
      </c>
      <c r="D344" s="306" t="s">
        <v>156</v>
      </c>
      <c r="E344" s="285">
        <v>13.9</v>
      </c>
      <c r="F344" s="286">
        <v>67.83</v>
      </c>
      <c r="G344" s="287" t="str" cm="1">
        <f t="array" aca="1" ref="G344" ca="1">INDIRECT("'"&amp;$C344&amp;"'!"&amp;"$"&amp;$D344&amp;$E$1&amp;"")</f>
        <v>CMS</v>
      </c>
      <c r="H344" s="288" t="s">
        <v>1</v>
      </c>
      <c r="I344" s="286" t="s">
        <v>1</v>
      </c>
      <c r="J344" s="287" t="str" cm="1">
        <f t="array" aca="1" ref="J344" ca="1">INDIRECT("'"&amp;$C344&amp;"'!"&amp;"$"&amp;$D344&amp;$J$1&amp;"")</f>
        <v>CMS</v>
      </c>
      <c r="K344" s="288"/>
      <c r="L344" s="288" t="s">
        <v>1</v>
      </c>
      <c r="M344" s="289" t="s">
        <v>1</v>
      </c>
      <c r="N344" s="285" cm="1">
        <f t="array" aca="1" ref="N344" ca="1">INDIRECT("'"&amp;$C344&amp;"'!"&amp;"$"&amp;$D344&amp;$N$1&amp;"")</f>
        <v>6.7</v>
      </c>
      <c r="O344" s="288"/>
      <c r="P344" s="288">
        <v>0.89</v>
      </c>
      <c r="Q344" s="286">
        <v>3.39</v>
      </c>
      <c r="R344" s="285" cm="1">
        <f t="array" aca="1" ref="R344" ca="1">INDIRECT("'"&amp;$C344&amp;"'!"&amp;"$"&amp;$D344&amp;$R$1&amp;"")</f>
        <v>6.7</v>
      </c>
      <c r="S344" s="288"/>
      <c r="T344" s="288">
        <v>0.89</v>
      </c>
      <c r="U344" s="286">
        <v>3.39</v>
      </c>
      <c r="V344" s="287" cm="1">
        <f t="array" aca="1" ref="V344" ca="1">INDIRECT("'"&amp;$C344&amp;"'!"&amp;"$"&amp;$D344&amp;$V$1&amp;"")</f>
        <v>2.8</v>
      </c>
      <c r="W344" s="288">
        <f>3.8*3.57</f>
        <v>13.565999999999999</v>
      </c>
      <c r="X344" s="288">
        <v>0.89</v>
      </c>
      <c r="Y344" s="289">
        <v>1.39</v>
      </c>
      <c r="Z344" s="285" t="str" cm="1">
        <f t="array" aca="1" ref="Z344" ca="1">INDIRECT("'"&amp;$C344&amp;"'!"&amp;"$"&amp;$D344&amp;$Z$1&amp;"")</f>
        <v>CMS</v>
      </c>
      <c r="AA344" s="288" t="s">
        <v>1</v>
      </c>
      <c r="AB344" s="288" t="s">
        <v>1</v>
      </c>
      <c r="AC344" s="286" t="s">
        <v>1</v>
      </c>
      <c r="AD344" s="287" t="str" cm="1">
        <f t="array" aca="1" ref="AD344" ca="1">INDIRECT("'"&amp;$C344&amp;"'!"&amp;"$"&amp;$D344&amp;$AD$1&amp;"")</f>
        <v>CMS</v>
      </c>
      <c r="AE344" s="288" t="s">
        <v>1</v>
      </c>
      <c r="AF344" s="288" t="s">
        <v>1</v>
      </c>
      <c r="AG344" s="289" t="s">
        <v>1</v>
      </c>
      <c r="AH344" s="285" cm="1">
        <f t="array" aca="1" ref="AH344" ca="1">INDIRECT("'"&amp;$C344&amp;"'!"&amp;"$"&amp;$D344&amp;$AH$1&amp;"")</f>
        <v>3.8</v>
      </c>
      <c r="AI344" s="288">
        <v>14.16</v>
      </c>
      <c r="AJ344" s="288">
        <v>0.96</v>
      </c>
      <c r="AK344" s="286">
        <v>0.90800000000000003</v>
      </c>
      <c r="AL344" s="285">
        <v>11.8</v>
      </c>
      <c r="AM344" s="289">
        <v>71.2</v>
      </c>
      <c r="AN344" s="285" cm="1">
        <f t="array" aca="1" ref="AN344" ca="1">INDIRECT("'"&amp;$C344&amp;"'!"&amp;"$"&amp;$D344&amp;$AL$1&amp;"")</f>
        <v>3.5</v>
      </c>
      <c r="AO344" s="288">
        <v>0.89</v>
      </c>
      <c r="AP344" s="286">
        <v>1.5</v>
      </c>
      <c r="AQ344" s="287" cm="1">
        <f t="array" aca="1" ref="AQ344" ca="1">INDIRECT("'"&amp;$C344&amp;"'!"&amp;"$"&amp;$D344&amp;$AQ$1&amp;"")</f>
        <v>3.5</v>
      </c>
      <c r="AR344" s="288">
        <v>0.89</v>
      </c>
      <c r="AS344" s="286">
        <v>1.5</v>
      </c>
      <c r="AT344" s="285">
        <v>14.1</v>
      </c>
      <c r="AU344" s="289">
        <v>70.900000000000006</v>
      </c>
      <c r="AV344" s="288" cm="1">
        <f t="array" aca="1" ref="AV344" ca="1">INDIRECT("'"&amp;$C344&amp;"'!"&amp;"$"&amp;$D344&amp;$AV$1&amp;"")</f>
        <v>6.4</v>
      </c>
      <c r="AW344" s="287">
        <v>13.7</v>
      </c>
      <c r="AX344" s="288">
        <v>0.96</v>
      </c>
      <c r="AY344" s="286">
        <v>1.92</v>
      </c>
      <c r="AZ344" s="288" cm="1">
        <f t="array" aca="1" ref="AZ344" ca="1">INDIRECT("'"&amp;$C344&amp;"'!"&amp;"$"&amp;$D344&amp;$AZ$1&amp;"")</f>
        <v>7</v>
      </c>
      <c r="BA344" s="287">
        <v>13.7</v>
      </c>
      <c r="BB344" s="288">
        <v>0.96</v>
      </c>
      <c r="BC344" s="286">
        <v>1.49</v>
      </c>
      <c r="BD344" s="290">
        <v>14.32</v>
      </c>
      <c r="BE344" s="289">
        <v>72.02</v>
      </c>
      <c r="BF344" s="290" cm="1">
        <f t="array" aca="1" ref="BF344" ca="1">INDIRECT("'"&amp;$C344&amp;"'!"&amp;"$"&amp;$D344&amp;$BF$1&amp;"")</f>
        <v>14.24</v>
      </c>
      <c r="BG344" s="288">
        <v>0.98</v>
      </c>
      <c r="BH344" s="286">
        <v>3.4</v>
      </c>
      <c r="BI344" s="525">
        <v>66.900000000000006</v>
      </c>
      <c r="BJ344" s="285" cm="1">
        <f t="array" aca="1" ref="BJ344" ca="1">INDIRECT("'"&amp;$C344&amp;"'!"&amp;"$"&amp;$D344&amp;$BI$1&amp;"")</f>
        <v>5.4</v>
      </c>
      <c r="BK344" s="287">
        <v>0.95</v>
      </c>
      <c r="BL344" s="286">
        <v>1.7</v>
      </c>
      <c r="BM344" s="290" cm="1">
        <f t="array" aca="1" ref="BM344" ca="1">INDIRECT("'"&amp;$C344&amp;"'!"&amp;"$"&amp;$D344&amp;$BM$1&amp;"")</f>
        <v>1.56</v>
      </c>
      <c r="BN344" s="288"/>
      <c r="BO344" s="288">
        <v>0.99</v>
      </c>
      <c r="BP344" s="286">
        <v>0.22</v>
      </c>
      <c r="BQ344" s="291" cm="1">
        <f t="array" aca="1" ref="BQ344" ca="1">INDIRECT("'"&amp;$C344&amp;"'!"&amp;"$"&amp;$D344&amp;$BQ$1&amp;"")</f>
        <v>0.83</v>
      </c>
      <c r="BR344" s="288"/>
      <c r="BS344" s="288">
        <v>0.96</v>
      </c>
      <c r="BT344" s="286">
        <v>0.22</v>
      </c>
      <c r="BU344" s="291" cm="1">
        <f t="array" aca="1" ref="BU344" ca="1">INDIRECT("'"&amp;$C344&amp;"'!"&amp;"$"&amp;$D344&amp;74&amp;"")</f>
        <v>0</v>
      </c>
      <c r="BV344" s="288"/>
      <c r="BW344" s="288" t="s">
        <v>1</v>
      </c>
      <c r="BX344" s="286" t="s">
        <v>1</v>
      </c>
    </row>
    <row r="345" spans="1:76">
      <c r="A345" s="459">
        <v>45852</v>
      </c>
      <c r="B345" s="345">
        <v>0.625</v>
      </c>
      <c r="C345" s="305">
        <v>14</v>
      </c>
      <c r="D345" s="306" t="s">
        <v>157</v>
      </c>
      <c r="E345" s="278">
        <v>14</v>
      </c>
      <c r="F345" s="279">
        <v>68.36</v>
      </c>
      <c r="G345" s="280" t="str" cm="1">
        <f t="array" aca="1" ref="G345" ca="1">INDIRECT("'"&amp;$C345&amp;"'!"&amp;"$"&amp;$D345&amp;$E$1&amp;"")</f>
        <v>CMS</v>
      </c>
      <c r="H345" s="281" t="s">
        <v>1</v>
      </c>
      <c r="I345" s="279" t="s">
        <v>1</v>
      </c>
      <c r="J345" s="280" t="str" cm="1">
        <f t="array" aca="1" ref="J345" ca="1">INDIRECT("'"&amp;$C345&amp;"'!"&amp;"$"&amp;$D345&amp;$J$1&amp;"")</f>
        <v>CMS</v>
      </c>
      <c r="K345" s="281"/>
      <c r="L345" s="281" t="s">
        <v>1</v>
      </c>
      <c r="M345" s="282" t="s">
        <v>1</v>
      </c>
      <c r="N345" s="278" cm="1">
        <f t="array" aca="1" ref="N345" ca="1">INDIRECT("'"&amp;$C345&amp;"'!"&amp;"$"&amp;$D345&amp;$N$1&amp;"")</f>
        <v>6.8</v>
      </c>
      <c r="O345" s="281"/>
      <c r="P345" s="281">
        <v>0.89</v>
      </c>
      <c r="Q345" s="279">
        <v>3.43</v>
      </c>
      <c r="R345" s="468" cm="1">
        <f t="array" aca="1" ref="R345" ca="1">INDIRECT("'"&amp;$C345&amp;"'!"&amp;"$"&amp;$D345&amp;$R$1&amp;"")</f>
        <v>6.8</v>
      </c>
      <c r="S345" s="281"/>
      <c r="T345" s="281">
        <v>0.89</v>
      </c>
      <c r="U345" s="279">
        <v>3.43</v>
      </c>
      <c r="V345" s="280" cm="1">
        <f t="array" aca="1" ref="V345" ca="1">INDIRECT("'"&amp;$C345&amp;"'!"&amp;"$"&amp;$D345&amp;$V$1&amp;"")</f>
        <v>2.8</v>
      </c>
      <c r="W345" s="281">
        <f>3.8*3.39</f>
        <v>12.882</v>
      </c>
      <c r="X345" s="281">
        <v>0.89</v>
      </c>
      <c r="Y345" s="282">
        <v>1.41</v>
      </c>
      <c r="Z345" s="278" t="str" cm="1">
        <f t="array" aca="1" ref="Z345" ca="1">INDIRECT("'"&amp;$C345&amp;"'!"&amp;"$"&amp;$D345&amp;$Z$1&amp;"")</f>
        <v>CMS</v>
      </c>
      <c r="AA345" s="281" t="s">
        <v>1</v>
      </c>
      <c r="AB345" s="281" t="s">
        <v>1</v>
      </c>
      <c r="AC345" s="279" t="s">
        <v>1</v>
      </c>
      <c r="AD345" s="280" t="str" cm="1">
        <f t="array" aca="1" ref="AD345" ca="1">INDIRECT("'"&amp;$C345&amp;"'!"&amp;"$"&amp;$D345&amp;$AD$1&amp;"")</f>
        <v>CMS</v>
      </c>
      <c r="AE345" s="281" t="s">
        <v>1</v>
      </c>
      <c r="AF345" s="281" t="s">
        <v>1</v>
      </c>
      <c r="AG345" s="279" t="s">
        <v>1</v>
      </c>
      <c r="AH345" s="278" cm="1">
        <f t="array" aca="1" ref="AH345" ca="1">INDIRECT("'"&amp;$C345&amp;"'!"&amp;"$"&amp;$D345&amp;$AH$1&amp;"")</f>
        <v>3.8</v>
      </c>
      <c r="AI345" s="281">
        <v>14.12</v>
      </c>
      <c r="AJ345" s="281">
        <v>0.97</v>
      </c>
      <c r="AK345" s="279">
        <v>0.85899999999999999</v>
      </c>
      <c r="AL345" s="278">
        <v>11.8</v>
      </c>
      <c r="AM345" s="282">
        <v>71.099999999999994</v>
      </c>
      <c r="AN345" s="278" cm="1">
        <f t="array" aca="1" ref="AN345" ca="1">INDIRECT("'"&amp;$C345&amp;"'!"&amp;"$"&amp;$D345&amp;$AL$1&amp;"")</f>
        <v>3.2</v>
      </c>
      <c r="AO345" s="281">
        <v>0.89</v>
      </c>
      <c r="AP345" s="279">
        <v>1.3</v>
      </c>
      <c r="AQ345" s="280" cm="1">
        <f t="array" aca="1" ref="AQ345" ca="1">INDIRECT("'"&amp;$C345&amp;"'!"&amp;"$"&amp;$D345&amp;$AQ$1&amp;"")</f>
        <v>3.2</v>
      </c>
      <c r="AR345" s="281">
        <v>0.89</v>
      </c>
      <c r="AS345" s="279">
        <v>1.3</v>
      </c>
      <c r="AT345" s="278">
        <v>14.1</v>
      </c>
      <c r="AU345" s="282">
        <v>70.900000000000006</v>
      </c>
      <c r="AV345" s="281" cm="1">
        <f t="array" aca="1" ref="AV345" ca="1">INDIRECT("'"&amp;$C345&amp;"'!"&amp;"$"&amp;$D345&amp;$AV$1&amp;"")</f>
        <v>6</v>
      </c>
      <c r="AW345" s="280">
        <v>13.7</v>
      </c>
      <c r="AX345" s="281">
        <v>0.95</v>
      </c>
      <c r="AY345" s="279">
        <v>2</v>
      </c>
      <c r="AZ345" s="281" cm="1">
        <f t="array" aca="1" ref="AZ345" ca="1">INDIRECT("'"&amp;$C345&amp;"'!"&amp;"$"&amp;$D345&amp;$AZ$1&amp;"")</f>
        <v>7</v>
      </c>
      <c r="BA345" s="280">
        <v>13.7</v>
      </c>
      <c r="BB345" s="281">
        <v>0.98</v>
      </c>
      <c r="BC345" s="279">
        <v>1.2</v>
      </c>
      <c r="BD345" s="283">
        <v>14.33</v>
      </c>
      <c r="BE345" s="282">
        <v>72.22</v>
      </c>
      <c r="BF345" s="283" cm="1">
        <f t="array" aca="1" ref="BF345" ca="1">INDIRECT("'"&amp;$C345&amp;"'!"&amp;"$"&amp;$D345&amp;$BF$1&amp;"")</f>
        <v>14.28</v>
      </c>
      <c r="BG345" s="281">
        <v>0.98</v>
      </c>
      <c r="BH345" s="279">
        <v>3.4</v>
      </c>
      <c r="BI345" s="524">
        <v>67.400000000000006</v>
      </c>
      <c r="BJ345" s="278" cm="1">
        <f t="array" aca="1" ref="BJ345" ca="1">INDIRECT("'"&amp;$C345&amp;"'!"&amp;"$"&amp;$D345&amp;$BI$1&amp;"")</f>
        <v>5.5</v>
      </c>
      <c r="BK345" s="280">
        <v>0.95</v>
      </c>
      <c r="BL345" s="279">
        <v>1.8</v>
      </c>
      <c r="BM345" s="283" cm="1">
        <f t="array" aca="1" ref="BM345" ca="1">INDIRECT("'"&amp;$C345&amp;"'!"&amp;"$"&amp;$D345&amp;$BM$1&amp;"")</f>
        <v>1.56</v>
      </c>
      <c r="BN345" s="281"/>
      <c r="BO345" s="281">
        <v>0.99</v>
      </c>
      <c r="BP345" s="279">
        <v>0.21</v>
      </c>
      <c r="BQ345" s="284" cm="1">
        <f t="array" aca="1" ref="BQ345" ca="1">INDIRECT("'"&amp;$C345&amp;"'!"&amp;"$"&amp;$D345&amp;$BQ$1&amp;"")</f>
        <v>0.86</v>
      </c>
      <c r="BR345" s="281"/>
      <c r="BS345" s="281">
        <v>0.96</v>
      </c>
      <c r="BT345" s="279">
        <v>0.24</v>
      </c>
      <c r="BU345" s="284" cm="1">
        <f t="array" aca="1" ref="BU345" ca="1">INDIRECT("'"&amp;$C345&amp;"'!"&amp;"$"&amp;$D345&amp;74&amp;"")</f>
        <v>0</v>
      </c>
      <c r="BV345" s="281"/>
      <c r="BW345" s="281" t="s">
        <v>1</v>
      </c>
      <c r="BX345" s="279" t="s">
        <v>1</v>
      </c>
    </row>
    <row r="346" spans="1:76">
      <c r="A346" s="459">
        <v>45852</v>
      </c>
      <c r="B346" s="345">
        <v>0.66666666666666696</v>
      </c>
      <c r="C346" s="305">
        <v>14</v>
      </c>
      <c r="D346" s="306" t="s">
        <v>158</v>
      </c>
      <c r="E346" s="285">
        <v>13.9</v>
      </c>
      <c r="F346" s="286">
        <v>68.12</v>
      </c>
      <c r="G346" s="287" t="str" cm="1">
        <f t="array" aca="1" ref="G346" ca="1">INDIRECT("'"&amp;$C346&amp;"'!"&amp;"$"&amp;$D346&amp;$E$1&amp;"")</f>
        <v>CMS</v>
      </c>
      <c r="H346" s="288" t="s">
        <v>1</v>
      </c>
      <c r="I346" s="286" t="s">
        <v>1</v>
      </c>
      <c r="J346" s="287" t="str" cm="1">
        <f t="array" aca="1" ref="J346" ca="1">INDIRECT("'"&amp;$C346&amp;"'!"&amp;"$"&amp;$D346&amp;$J$1&amp;"")</f>
        <v>CMS</v>
      </c>
      <c r="K346" s="288"/>
      <c r="L346" s="288" t="s">
        <v>1</v>
      </c>
      <c r="M346" s="289" t="s">
        <v>1</v>
      </c>
      <c r="N346" s="285" cm="1">
        <f t="array" aca="1" ref="N346" ca="1">INDIRECT("'"&amp;$C346&amp;"'!"&amp;"$"&amp;$D346&amp;$N$1&amp;"")</f>
        <v>6.6</v>
      </c>
      <c r="O346" s="288"/>
      <c r="P346" s="288">
        <v>0.89</v>
      </c>
      <c r="Q346" s="286">
        <v>3.91</v>
      </c>
      <c r="R346" s="469" cm="1">
        <f t="array" aca="1" ref="R346" ca="1">INDIRECT("'"&amp;$C346&amp;"'!"&amp;"$"&amp;$D346&amp;$R$1&amp;"")</f>
        <v>6.6</v>
      </c>
      <c r="S346" s="288"/>
      <c r="T346" s="288">
        <v>0.89</v>
      </c>
      <c r="U346" s="286">
        <v>3.91</v>
      </c>
      <c r="V346" s="287" cm="1">
        <f t="array" aca="1" ref="V346" ca="1">INDIRECT("'"&amp;$C346&amp;"'!"&amp;"$"&amp;$D346&amp;$V$1&amp;"")</f>
        <v>2.8</v>
      </c>
      <c r="W346" s="288">
        <f>3.8*3.39</f>
        <v>12.882</v>
      </c>
      <c r="X346" s="288">
        <v>0.89</v>
      </c>
      <c r="Y346" s="289">
        <v>1.41</v>
      </c>
      <c r="Z346" s="285" t="str" cm="1">
        <f t="array" aca="1" ref="Z346" ca="1">INDIRECT("'"&amp;$C346&amp;"'!"&amp;"$"&amp;$D346&amp;$Z$1&amp;"")</f>
        <v>CMS</v>
      </c>
      <c r="AA346" s="288" t="s">
        <v>1</v>
      </c>
      <c r="AB346" s="288" t="s">
        <v>1</v>
      </c>
      <c r="AC346" s="286" t="s">
        <v>1</v>
      </c>
      <c r="AD346" s="287" t="str" cm="1">
        <f t="array" aca="1" ref="AD346" ca="1">INDIRECT("'"&amp;$C346&amp;"'!"&amp;"$"&amp;$D346&amp;$AD$1&amp;"")</f>
        <v>CMS</v>
      </c>
      <c r="AE346" s="288" t="s">
        <v>1</v>
      </c>
      <c r="AF346" s="288" t="s">
        <v>1</v>
      </c>
      <c r="AG346" s="289" t="s">
        <v>1</v>
      </c>
      <c r="AH346" s="285" cm="1">
        <f t="array" aca="1" ref="AH346" ca="1">INDIRECT("'"&amp;$C346&amp;"'!"&amp;"$"&amp;$D346&amp;$AH$1&amp;"")</f>
        <v>3.8</v>
      </c>
      <c r="AI346" s="288">
        <v>14.12</v>
      </c>
      <c r="AJ346" s="288">
        <v>0.97</v>
      </c>
      <c r="AK346" s="286">
        <v>0.93</v>
      </c>
      <c r="AL346" s="285">
        <v>11.8</v>
      </c>
      <c r="AM346" s="289">
        <v>71</v>
      </c>
      <c r="AN346" s="285" cm="1">
        <f t="array" aca="1" ref="AN346" ca="1">INDIRECT("'"&amp;$C346&amp;"'!"&amp;"$"&amp;$D346&amp;$AL$1&amp;"")</f>
        <v>3</v>
      </c>
      <c r="AO346" s="288">
        <v>0.89</v>
      </c>
      <c r="AP346" s="286">
        <v>1.2</v>
      </c>
      <c r="AQ346" s="287" cm="1">
        <f t="array" aca="1" ref="AQ346" ca="1">INDIRECT("'"&amp;$C346&amp;"'!"&amp;"$"&amp;$D346&amp;$AQ$1&amp;"")</f>
        <v>3</v>
      </c>
      <c r="AR346" s="288">
        <v>0.89</v>
      </c>
      <c r="AS346" s="286">
        <v>1.2</v>
      </c>
      <c r="AT346" s="285">
        <v>14.1</v>
      </c>
      <c r="AU346" s="289">
        <v>70.900000000000006</v>
      </c>
      <c r="AV346" s="288" cm="1">
        <f t="array" aca="1" ref="AV346" ca="1">INDIRECT("'"&amp;$C346&amp;"'!"&amp;"$"&amp;$D346&amp;$AV$1&amp;"")</f>
        <v>5.9</v>
      </c>
      <c r="AW346" s="287" t="s">
        <v>1</v>
      </c>
      <c r="AX346" s="288">
        <v>0.94</v>
      </c>
      <c r="AY346" s="286">
        <v>2.16</v>
      </c>
      <c r="AZ346" s="288" cm="1">
        <f t="array" aca="1" ref="AZ346" ca="1">INDIRECT("'"&amp;$C346&amp;"'!"&amp;"$"&amp;$D346&amp;$AZ$1&amp;"")</f>
        <v>7</v>
      </c>
      <c r="BA346" s="287" t="s">
        <v>1</v>
      </c>
      <c r="BB346" s="288">
        <v>0.98</v>
      </c>
      <c r="BC346" s="286">
        <v>1.18</v>
      </c>
      <c r="BD346" s="290">
        <v>14.19</v>
      </c>
      <c r="BE346" s="289">
        <v>71.77</v>
      </c>
      <c r="BF346" s="290" cm="1">
        <f t="array" aca="1" ref="BF346" ca="1">INDIRECT("'"&amp;$C346&amp;"'!"&amp;"$"&amp;$D346&amp;$BF$1&amp;"")</f>
        <v>14.26</v>
      </c>
      <c r="BG346" s="288">
        <v>0.99</v>
      </c>
      <c r="BH346" s="286">
        <v>2.2999999999999998</v>
      </c>
      <c r="BI346" s="525">
        <v>67</v>
      </c>
      <c r="BJ346" s="285" cm="1">
        <f t="array" aca="1" ref="BJ346" ca="1">INDIRECT("'"&amp;$C346&amp;"'!"&amp;"$"&amp;$D346&amp;$BI$1&amp;"")</f>
        <v>5.3</v>
      </c>
      <c r="BK346" s="287">
        <v>0.95</v>
      </c>
      <c r="BL346" s="286">
        <v>1.7</v>
      </c>
      <c r="BM346" s="290" cm="1">
        <f t="array" aca="1" ref="BM346" ca="1">INDIRECT("'"&amp;$C346&amp;"'!"&amp;"$"&amp;$D346&amp;$BM$1&amp;"")</f>
        <v>1.5</v>
      </c>
      <c r="BN346" s="288"/>
      <c r="BO346" s="288">
        <v>0.99</v>
      </c>
      <c r="BP346" s="286">
        <v>0.22</v>
      </c>
      <c r="BQ346" s="291" cm="1">
        <f t="array" aca="1" ref="BQ346" ca="1">INDIRECT("'"&amp;$C346&amp;"'!"&amp;"$"&amp;$D346&amp;$BQ$1&amp;"")</f>
        <v>0.87</v>
      </c>
      <c r="BR346" s="288"/>
      <c r="BS346" s="288">
        <v>0.96</v>
      </c>
      <c r="BT346" s="286">
        <v>0.24</v>
      </c>
      <c r="BU346" s="291" cm="1">
        <f t="array" aca="1" ref="BU346" ca="1">INDIRECT("'"&amp;$C346&amp;"'!"&amp;"$"&amp;$D346&amp;74&amp;"")</f>
        <v>0</v>
      </c>
      <c r="BV346" s="288"/>
      <c r="BW346" s="288" t="s">
        <v>1</v>
      </c>
      <c r="BX346" s="286" t="s">
        <v>1</v>
      </c>
    </row>
    <row r="347" spans="1:76">
      <c r="A347" s="459">
        <v>45852</v>
      </c>
      <c r="B347" s="345">
        <v>0.70833333333333404</v>
      </c>
      <c r="C347" s="305">
        <v>14</v>
      </c>
      <c r="D347" s="306" t="s">
        <v>159</v>
      </c>
      <c r="E347" s="278">
        <v>14</v>
      </c>
      <c r="F347" s="279">
        <v>68.59</v>
      </c>
      <c r="G347" s="280" t="str" cm="1">
        <f t="array" aca="1" ref="G347" ca="1">INDIRECT("'"&amp;$C347&amp;"'!"&amp;"$"&amp;$D347&amp;$E$1&amp;"")</f>
        <v>CMS</v>
      </c>
      <c r="H347" s="281" t="s">
        <v>1</v>
      </c>
      <c r="I347" s="279" t="s">
        <v>1</v>
      </c>
      <c r="J347" s="280" t="str" cm="1">
        <f t="array" aca="1" ref="J347" ca="1">INDIRECT("'"&amp;$C347&amp;"'!"&amp;"$"&amp;$D347&amp;$J$1&amp;"")</f>
        <v>CMS</v>
      </c>
      <c r="K347" s="281"/>
      <c r="L347" s="281" t="s">
        <v>1</v>
      </c>
      <c r="M347" s="282" t="s">
        <v>1</v>
      </c>
      <c r="N347" s="278" cm="1">
        <f t="array" aca="1" ref="N347" ca="1">INDIRECT("'"&amp;$C347&amp;"'!"&amp;"$"&amp;$D347&amp;$N$1&amp;"")</f>
        <v>6.6</v>
      </c>
      <c r="O347" s="281"/>
      <c r="P347" s="281">
        <v>0.89</v>
      </c>
      <c r="Q347" s="279">
        <v>3.35</v>
      </c>
      <c r="R347" s="468" cm="1">
        <f t="array" aca="1" ref="R347" ca="1">INDIRECT("'"&amp;$C347&amp;"'!"&amp;"$"&amp;$D347&amp;$R$1&amp;"")</f>
        <v>6.6</v>
      </c>
      <c r="S347" s="281"/>
      <c r="T347" s="281">
        <v>0.89</v>
      </c>
      <c r="U347" s="279">
        <v>3.35</v>
      </c>
      <c r="V347" s="280" cm="1">
        <f t="array" aca="1" ref="V347" ca="1">INDIRECT("'"&amp;$C347&amp;"'!"&amp;"$"&amp;$D347&amp;$V$1&amp;"")</f>
        <v>2.8</v>
      </c>
      <c r="W347" s="281">
        <f>3.8*3.41</f>
        <v>12.958</v>
      </c>
      <c r="X347" s="281">
        <v>0.89</v>
      </c>
      <c r="Y347" s="282">
        <v>1.39</v>
      </c>
      <c r="Z347" s="278" t="str" cm="1">
        <f t="array" aca="1" ref="Z347" ca="1">INDIRECT("'"&amp;$C347&amp;"'!"&amp;"$"&amp;$D347&amp;$Z$1&amp;"")</f>
        <v>CMS</v>
      </c>
      <c r="AA347" s="281" t="s">
        <v>1</v>
      </c>
      <c r="AB347" s="281" t="s">
        <v>1</v>
      </c>
      <c r="AC347" s="279" t="s">
        <v>1</v>
      </c>
      <c r="AD347" s="280" t="str" cm="1">
        <f t="array" aca="1" ref="AD347" ca="1">INDIRECT("'"&amp;$C347&amp;"'!"&amp;"$"&amp;$D347&amp;$AD$1&amp;"")</f>
        <v>CMS</v>
      </c>
      <c r="AE347" s="281" t="s">
        <v>1</v>
      </c>
      <c r="AF347" s="281" t="s">
        <v>1</v>
      </c>
      <c r="AG347" s="282" t="s">
        <v>1</v>
      </c>
      <c r="AH347" s="278" cm="1">
        <f t="array" aca="1" ref="AH347" ca="1">INDIRECT("'"&amp;$C347&amp;"'!"&amp;"$"&amp;$D347&amp;$AH$1&amp;"")</f>
        <v>3.8</v>
      </c>
      <c r="AI347" s="281">
        <v>14.16</v>
      </c>
      <c r="AJ347" s="281">
        <v>0.97</v>
      </c>
      <c r="AK347" s="279">
        <v>0.86399999999999999</v>
      </c>
      <c r="AL347" s="278">
        <v>11.8</v>
      </c>
      <c r="AM347" s="282">
        <v>71.2</v>
      </c>
      <c r="AN347" s="278" cm="1">
        <f t="array" aca="1" ref="AN347" ca="1">INDIRECT("'"&amp;$C347&amp;"'!"&amp;"$"&amp;$D347&amp;$AL$1&amp;"")</f>
        <v>2.9</v>
      </c>
      <c r="AO347" s="281">
        <v>0.89</v>
      </c>
      <c r="AP347" s="279">
        <v>1.1499999999999999</v>
      </c>
      <c r="AQ347" s="280" cm="1">
        <f t="array" aca="1" ref="AQ347" ca="1">INDIRECT("'"&amp;$C347&amp;"'!"&amp;"$"&amp;$D347&amp;$AQ$1&amp;"")</f>
        <v>2.9</v>
      </c>
      <c r="AR347" s="281">
        <v>0.89</v>
      </c>
      <c r="AS347" s="279">
        <v>1.1499999999999999</v>
      </c>
      <c r="AT347" s="278">
        <v>14.1</v>
      </c>
      <c r="AU347" s="282">
        <v>70.900000000000006</v>
      </c>
      <c r="AV347" s="281" cm="1">
        <f t="array" aca="1" ref="AV347" ca="1">INDIRECT("'"&amp;$C347&amp;"'!"&amp;"$"&amp;$D347&amp;$AV$1&amp;"")</f>
        <v>4.4000000000000004</v>
      </c>
      <c r="AW347" s="280" t="s">
        <v>1</v>
      </c>
      <c r="AX347" s="281">
        <v>0.92</v>
      </c>
      <c r="AY347" s="279">
        <v>1.91</v>
      </c>
      <c r="AZ347" s="281" cm="1">
        <f t="array" aca="1" ref="AZ347" ca="1">INDIRECT("'"&amp;$C347&amp;"'!"&amp;"$"&amp;$D347&amp;$AZ$1&amp;"")</f>
        <v>7</v>
      </c>
      <c r="BA347" s="280" t="s">
        <v>1</v>
      </c>
      <c r="BB347" s="281">
        <v>0.98</v>
      </c>
      <c r="BC347" s="279">
        <v>0.95</v>
      </c>
      <c r="BD347" s="283">
        <v>14.2</v>
      </c>
      <c r="BE347" s="282">
        <v>71.88</v>
      </c>
      <c r="BF347" s="283" cm="1">
        <f t="array" aca="1" ref="BF347" ca="1">INDIRECT("'"&amp;$C347&amp;"'!"&amp;"$"&amp;$D347&amp;$BF$1&amp;"")</f>
        <v>14.29</v>
      </c>
      <c r="BG347" s="281">
        <v>0.99</v>
      </c>
      <c r="BH347" s="279">
        <v>2.2999999999999998</v>
      </c>
      <c r="BI347" s="524">
        <v>67.400000000000006</v>
      </c>
      <c r="BJ347" s="278" cm="1">
        <f t="array" aca="1" ref="BJ347" ca="1">INDIRECT("'"&amp;$C347&amp;"'!"&amp;"$"&amp;$D347&amp;$BI$1&amp;"")</f>
        <v>5.2</v>
      </c>
      <c r="BK347" s="280">
        <v>0.95</v>
      </c>
      <c r="BL347" s="279">
        <v>1.7</v>
      </c>
      <c r="BM347" s="283" cm="1">
        <f t="array" aca="1" ref="BM347" ca="1">INDIRECT("'"&amp;$C347&amp;"'!"&amp;"$"&amp;$D347&amp;$BM$1&amp;"")</f>
        <v>1.43</v>
      </c>
      <c r="BN347" s="281"/>
      <c r="BO347" s="281">
        <v>0.99</v>
      </c>
      <c r="BP347" s="279">
        <v>0.2</v>
      </c>
      <c r="BQ347" s="284" cm="1">
        <f t="array" aca="1" ref="BQ347" ca="1">INDIRECT("'"&amp;$C347&amp;"'!"&amp;"$"&amp;$D347&amp;$BQ$1&amp;"")</f>
        <v>0.85</v>
      </c>
      <c r="BR347" s="281"/>
      <c r="BS347" s="281">
        <v>0.97</v>
      </c>
      <c r="BT347" s="279">
        <v>0.23</v>
      </c>
      <c r="BU347" s="284" cm="1">
        <f t="array" aca="1" ref="BU347" ca="1">INDIRECT("'"&amp;$C347&amp;"'!"&amp;"$"&amp;$D347&amp;74&amp;"")</f>
        <v>0</v>
      </c>
      <c r="BV347" s="281"/>
      <c r="BW347" s="281" t="s">
        <v>1</v>
      </c>
      <c r="BX347" s="279" t="s">
        <v>1</v>
      </c>
    </row>
    <row r="348" spans="1:76">
      <c r="A348" s="459">
        <v>45852</v>
      </c>
      <c r="B348" s="345">
        <v>0.750000000000001</v>
      </c>
      <c r="C348" s="305">
        <v>14</v>
      </c>
      <c r="D348" s="306" t="s">
        <v>160</v>
      </c>
      <c r="E348" s="285">
        <v>14</v>
      </c>
      <c r="F348" s="286">
        <v>68.540000000000006</v>
      </c>
      <c r="G348" s="287" t="str" cm="1">
        <f t="array" aca="1" ref="G348" ca="1">INDIRECT("'"&amp;$C348&amp;"'!"&amp;"$"&amp;$D348&amp;$E$1&amp;"")</f>
        <v>CMS</v>
      </c>
      <c r="H348" s="288" t="s">
        <v>1</v>
      </c>
      <c r="I348" s="286" t="s">
        <v>1</v>
      </c>
      <c r="J348" s="287" t="str" cm="1">
        <f t="array" aca="1" ref="J348" ca="1">INDIRECT("'"&amp;$C348&amp;"'!"&amp;"$"&amp;$D348&amp;$J$1&amp;"")</f>
        <v>CMS</v>
      </c>
      <c r="K348" s="288"/>
      <c r="L348" s="288" t="s">
        <v>1</v>
      </c>
      <c r="M348" s="289" t="s">
        <v>1</v>
      </c>
      <c r="N348" s="285" cm="1">
        <f t="array" aca="1" ref="N348" ca="1">INDIRECT("'"&amp;$C348&amp;"'!"&amp;"$"&amp;$D348&amp;$N$1&amp;"")</f>
        <v>6.6</v>
      </c>
      <c r="O348" s="288"/>
      <c r="P348" s="288">
        <v>0.9</v>
      </c>
      <c r="Q348" s="286">
        <v>3.28</v>
      </c>
      <c r="R348" s="285" cm="1">
        <f t="array" aca="1" ref="R348" ca="1">INDIRECT("'"&amp;$C348&amp;"'!"&amp;"$"&amp;$D348&amp;$R$1&amp;"")</f>
        <v>6.6</v>
      </c>
      <c r="S348" s="288"/>
      <c r="T348" s="288">
        <v>0.9</v>
      </c>
      <c r="U348" s="286">
        <v>3.28</v>
      </c>
      <c r="V348" s="287" cm="1">
        <f t="array" aca="1" ref="V348" ca="1">INDIRECT("'"&amp;$C348&amp;"'!"&amp;"$"&amp;$D348&amp;$V$1&amp;"")</f>
        <v>2.8</v>
      </c>
      <c r="W348" s="288">
        <f>3.8*3.42</f>
        <v>12.995999999999999</v>
      </c>
      <c r="X348" s="288">
        <v>0.89</v>
      </c>
      <c r="Y348" s="289">
        <v>1.4</v>
      </c>
      <c r="Z348" s="285" t="str" cm="1">
        <f t="array" aca="1" ref="Z348" ca="1">INDIRECT("'"&amp;$C348&amp;"'!"&amp;"$"&amp;$D348&amp;$Z$1&amp;"")</f>
        <v>CMS</v>
      </c>
      <c r="AA348" s="288" t="s">
        <v>1</v>
      </c>
      <c r="AB348" s="288" t="s">
        <v>1</v>
      </c>
      <c r="AC348" s="286" t="s">
        <v>1</v>
      </c>
      <c r="AD348" s="287" t="str" cm="1">
        <f t="array" aca="1" ref="AD348" ca="1">INDIRECT("'"&amp;$C348&amp;"'!"&amp;"$"&amp;$D348&amp;$AD$1&amp;"")</f>
        <v>CMS</v>
      </c>
      <c r="AE348" s="288" t="s">
        <v>1</v>
      </c>
      <c r="AF348" s="288" t="s">
        <v>1</v>
      </c>
      <c r="AG348" s="289" t="s">
        <v>1</v>
      </c>
      <c r="AH348" s="285" cm="1">
        <f t="array" aca="1" ref="AH348" ca="1">INDIRECT("'"&amp;$C348&amp;"'!"&amp;"$"&amp;$D348&amp;$AH$1&amp;"")</f>
        <v>3.8</v>
      </c>
      <c r="AI348" s="288">
        <v>14.12</v>
      </c>
      <c r="AJ348" s="288">
        <v>0.96</v>
      </c>
      <c r="AK348" s="286">
        <v>1.02</v>
      </c>
      <c r="AL348" s="285">
        <v>11.8</v>
      </c>
      <c r="AM348" s="289">
        <v>70.7</v>
      </c>
      <c r="AN348" s="285" cm="1">
        <f t="array" aca="1" ref="AN348" ca="1">INDIRECT("'"&amp;$C348&amp;"'!"&amp;"$"&amp;$D348&amp;$AL$1&amp;"")</f>
        <v>2</v>
      </c>
      <c r="AO348" s="288">
        <v>0.89</v>
      </c>
      <c r="AP348" s="286">
        <v>1.1499999999999999</v>
      </c>
      <c r="AQ348" s="287" cm="1">
        <f t="array" aca="1" ref="AQ348" ca="1">INDIRECT("'"&amp;$C348&amp;"'!"&amp;"$"&amp;$D348&amp;$AQ$1&amp;"")</f>
        <v>2.4</v>
      </c>
      <c r="AR348" s="288">
        <v>0.89</v>
      </c>
      <c r="AS348" s="286">
        <v>1.1499999999999999</v>
      </c>
      <c r="AT348" s="285">
        <v>13.9</v>
      </c>
      <c r="AU348" s="289">
        <v>70.8</v>
      </c>
      <c r="AV348" s="288" cm="1">
        <f t="array" aca="1" ref="AV348" ca="1">INDIRECT("'"&amp;$C348&amp;"'!"&amp;"$"&amp;$D348&amp;$AV$1&amp;"")</f>
        <v>5</v>
      </c>
      <c r="AW348" s="287" t="s">
        <v>1</v>
      </c>
      <c r="AX348" s="288">
        <v>0.97</v>
      </c>
      <c r="AY348" s="286">
        <v>1.27</v>
      </c>
      <c r="AZ348" s="288" cm="1">
        <f t="array" aca="1" ref="AZ348" ca="1">INDIRECT("'"&amp;$C348&amp;"'!"&amp;"$"&amp;$D348&amp;$AZ$1&amp;"")</f>
        <v>7</v>
      </c>
      <c r="BA348" s="287" t="s">
        <v>1</v>
      </c>
      <c r="BB348" s="288">
        <v>0.99</v>
      </c>
      <c r="BC348" s="286">
        <v>0.84</v>
      </c>
      <c r="BD348" s="290">
        <v>14.09</v>
      </c>
      <c r="BE348" s="289">
        <v>71.61</v>
      </c>
      <c r="BF348" s="290" cm="1">
        <f t="array" aca="1" ref="BF348" ca="1">INDIRECT("'"&amp;$C348&amp;"'!"&amp;"$"&amp;$D348&amp;$BF$1&amp;"")</f>
        <v>14.25</v>
      </c>
      <c r="BG348" s="288">
        <v>1</v>
      </c>
      <c r="BH348" s="286">
        <v>1.3</v>
      </c>
      <c r="BI348" s="525">
        <v>67.599999999999994</v>
      </c>
      <c r="BJ348" s="285" cm="1">
        <f t="array" aca="1" ref="BJ348" ca="1">INDIRECT("'"&amp;$C348&amp;"'!"&amp;"$"&amp;$D348&amp;$BI$1&amp;"")</f>
        <v>4.5</v>
      </c>
      <c r="BK348" s="287">
        <v>0.95</v>
      </c>
      <c r="BL348" s="286">
        <v>1.4</v>
      </c>
      <c r="BM348" s="290" cm="1">
        <f t="array" aca="1" ref="BM348" ca="1">INDIRECT("'"&amp;$C348&amp;"'!"&amp;"$"&amp;$D348&amp;$BM$1&amp;"")</f>
        <v>1.36</v>
      </c>
      <c r="BN348" s="288"/>
      <c r="BO348" s="288">
        <v>0.99</v>
      </c>
      <c r="BP348" s="286">
        <v>0.18</v>
      </c>
      <c r="BQ348" s="291" cm="1">
        <f t="array" aca="1" ref="BQ348" ca="1">INDIRECT("'"&amp;$C348&amp;"'!"&amp;"$"&amp;$D348&amp;$BQ$1&amp;"")</f>
        <v>0.85</v>
      </c>
      <c r="BR348" s="288"/>
      <c r="BS348" s="288">
        <v>0.96</v>
      </c>
      <c r="BT348" s="286">
        <v>0.23</v>
      </c>
      <c r="BU348" s="291" cm="1">
        <f t="array" aca="1" ref="BU348" ca="1">INDIRECT("'"&amp;$C348&amp;"'!"&amp;"$"&amp;$D348&amp;74&amp;"")</f>
        <v>0</v>
      </c>
      <c r="BV348" s="288"/>
      <c r="BW348" s="288" t="s">
        <v>1</v>
      </c>
      <c r="BX348" s="286" t="s">
        <v>1</v>
      </c>
    </row>
    <row r="349" spans="1:76">
      <c r="A349" s="459">
        <v>45852</v>
      </c>
      <c r="B349" s="345">
        <v>0.79166666666666696</v>
      </c>
      <c r="C349" s="305">
        <v>14</v>
      </c>
      <c r="D349" s="306" t="s">
        <v>161</v>
      </c>
      <c r="E349" s="278">
        <v>14</v>
      </c>
      <c r="F349" s="279">
        <v>68.38</v>
      </c>
      <c r="G349" s="280" t="str" cm="1">
        <f t="array" aca="1" ref="G349" ca="1">INDIRECT("'"&amp;$C349&amp;"'!"&amp;"$"&amp;$D349&amp;$E$1&amp;"")</f>
        <v>CMS</v>
      </c>
      <c r="H349" s="281" t="s">
        <v>1</v>
      </c>
      <c r="I349" s="279" t="s">
        <v>1</v>
      </c>
      <c r="J349" s="280" t="str" cm="1">
        <f t="array" aca="1" ref="J349" ca="1">INDIRECT("'"&amp;$C349&amp;"'!"&amp;"$"&amp;$D349&amp;$J$1&amp;"")</f>
        <v>CMS</v>
      </c>
      <c r="K349" s="292"/>
      <c r="L349" s="281" t="s">
        <v>1</v>
      </c>
      <c r="M349" s="282" t="s">
        <v>1</v>
      </c>
      <c r="N349" s="278" cm="1">
        <f t="array" aca="1" ref="N349" ca="1">INDIRECT("'"&amp;$C349&amp;"'!"&amp;"$"&amp;$D349&amp;$N$1&amp;"")</f>
        <v>6.6</v>
      </c>
      <c r="O349" s="281"/>
      <c r="P349" s="281">
        <v>0.9</v>
      </c>
      <c r="Q349" s="279">
        <v>3.39</v>
      </c>
      <c r="R349" s="468" cm="1">
        <f t="array" aca="1" ref="R349" ca="1">INDIRECT("'"&amp;$C349&amp;"'!"&amp;"$"&amp;$D349&amp;$R$1&amp;"")</f>
        <v>6.6</v>
      </c>
      <c r="S349" s="281"/>
      <c r="T349" s="281">
        <v>0.9</v>
      </c>
      <c r="U349" s="279">
        <v>3.39</v>
      </c>
      <c r="V349" s="280" cm="1">
        <f t="array" aca="1" ref="V349" ca="1">INDIRECT("'"&amp;$C349&amp;"'!"&amp;"$"&amp;$D349&amp;$V$1&amp;"")</f>
        <v>2.8</v>
      </c>
      <c r="W349" s="281">
        <f>3.8*3.42</f>
        <v>12.995999999999999</v>
      </c>
      <c r="X349" s="281">
        <v>0.89</v>
      </c>
      <c r="Y349" s="282">
        <v>1.4</v>
      </c>
      <c r="Z349" s="278" t="str" cm="1">
        <f t="array" aca="1" ref="Z349" ca="1">INDIRECT("'"&amp;$C349&amp;"'!"&amp;"$"&amp;$D349&amp;$Z$1&amp;"")</f>
        <v>CMS</v>
      </c>
      <c r="AA349" s="281" t="s">
        <v>1</v>
      </c>
      <c r="AB349" s="281" t="s">
        <v>1</v>
      </c>
      <c r="AC349" s="279" t="s">
        <v>1</v>
      </c>
      <c r="AD349" s="280" t="str" cm="1">
        <f t="array" aca="1" ref="AD349" ca="1">INDIRECT("'"&amp;$C349&amp;"'!"&amp;"$"&amp;$D349&amp;$AD$1&amp;"")</f>
        <v>CMS</v>
      </c>
      <c r="AE349" s="281" t="s">
        <v>1</v>
      </c>
      <c r="AF349" s="281" t="s">
        <v>1</v>
      </c>
      <c r="AG349" s="282" t="s">
        <v>1</v>
      </c>
      <c r="AH349" s="278" cm="1">
        <f t="array" aca="1" ref="AH349" ca="1">INDIRECT("'"&amp;$C349&amp;"'!"&amp;"$"&amp;$D349&amp;$AH$1&amp;"")</f>
        <v>3.8</v>
      </c>
      <c r="AI349" s="281">
        <v>14.12</v>
      </c>
      <c r="AJ349" s="281">
        <v>0.97</v>
      </c>
      <c r="AK349" s="279">
        <v>1</v>
      </c>
      <c r="AL349" s="278">
        <v>11.8</v>
      </c>
      <c r="AM349" s="282">
        <v>70.8</v>
      </c>
      <c r="AN349" s="278" cm="1">
        <f t="array" aca="1" ref="AN349" ca="1">INDIRECT("'"&amp;$C349&amp;"'!"&amp;"$"&amp;$D349&amp;$AL$1&amp;"")</f>
        <v>2</v>
      </c>
      <c r="AO349" s="281">
        <v>0.89</v>
      </c>
      <c r="AP349" s="279">
        <v>0.88</v>
      </c>
      <c r="AQ349" s="280" cm="1">
        <f t="array" aca="1" ref="AQ349" ca="1">INDIRECT("'"&amp;$C349&amp;"'!"&amp;"$"&amp;$D349&amp;$AQ$1&amp;"")</f>
        <v>2.4</v>
      </c>
      <c r="AR349" s="281">
        <v>0.89</v>
      </c>
      <c r="AS349" s="279">
        <v>0.88</v>
      </c>
      <c r="AT349" s="278">
        <v>13.9</v>
      </c>
      <c r="AU349" s="282">
        <v>70.8</v>
      </c>
      <c r="AV349" s="281" cm="1">
        <f t="array" aca="1" ref="AV349" ca="1">INDIRECT("'"&amp;$C349&amp;"'!"&amp;"$"&amp;$D349&amp;$AV$1&amp;"")</f>
        <v>6.5</v>
      </c>
      <c r="AW349" s="280">
        <v>13.7</v>
      </c>
      <c r="AX349" s="281">
        <v>0.98</v>
      </c>
      <c r="AY349" s="279">
        <v>1.4</v>
      </c>
      <c r="AZ349" s="281" cm="1">
        <f t="array" aca="1" ref="AZ349" ca="1">INDIRECT("'"&amp;$C349&amp;"'!"&amp;"$"&amp;$D349&amp;$AZ$1&amp;"")</f>
        <v>7</v>
      </c>
      <c r="BA349" s="280">
        <v>13.7</v>
      </c>
      <c r="BB349" s="281">
        <v>0.99</v>
      </c>
      <c r="BC349" s="279">
        <v>0.98</v>
      </c>
      <c r="BD349" s="283">
        <v>14.14</v>
      </c>
      <c r="BE349" s="282">
        <v>71.599999999999994</v>
      </c>
      <c r="BF349" s="283" cm="1">
        <f t="array" aca="1" ref="BF349" ca="1">INDIRECT("'"&amp;$C349&amp;"'!"&amp;"$"&amp;$D349&amp;$BF$1&amp;"")</f>
        <v>14.27</v>
      </c>
      <c r="BG349" s="281">
        <v>0.99</v>
      </c>
      <c r="BH349" s="279">
        <v>2.2999999999999998</v>
      </c>
      <c r="BI349" s="524">
        <v>67.7</v>
      </c>
      <c r="BJ349" s="278" cm="1">
        <f t="array" aca="1" ref="BJ349" ca="1">INDIRECT("'"&amp;$C349&amp;"'!"&amp;"$"&amp;$D349&amp;$BI$1&amp;"")</f>
        <v>4.4000000000000004</v>
      </c>
      <c r="BK349" s="280">
        <v>0.96</v>
      </c>
      <c r="BL349" s="279">
        <v>1.2</v>
      </c>
      <c r="BM349" s="283" cm="1">
        <f t="array" aca="1" ref="BM349" ca="1">INDIRECT("'"&amp;$C349&amp;"'!"&amp;"$"&amp;$D349&amp;$BM$1&amp;"")</f>
        <v>1.48</v>
      </c>
      <c r="BN349" s="281"/>
      <c r="BO349" s="281">
        <v>0.99</v>
      </c>
      <c r="BP349" s="279">
        <v>0.18</v>
      </c>
      <c r="BQ349" s="284" cm="1">
        <f t="array" aca="1" ref="BQ349" ca="1">INDIRECT("'"&amp;$C349&amp;"'!"&amp;"$"&amp;$D349&amp;$BQ$1&amp;"")</f>
        <v>0.93</v>
      </c>
      <c r="BR349" s="281"/>
      <c r="BS349" s="281">
        <v>0.97</v>
      </c>
      <c r="BT349" s="279">
        <v>0.23</v>
      </c>
      <c r="BU349" s="284" cm="1">
        <f t="array" aca="1" ref="BU349" ca="1">INDIRECT("'"&amp;$C349&amp;"'!"&amp;"$"&amp;$D349&amp;74&amp;"")</f>
        <v>0</v>
      </c>
      <c r="BV349" s="281"/>
      <c r="BW349" s="281" t="s">
        <v>1</v>
      </c>
      <c r="BX349" s="279" t="s">
        <v>1</v>
      </c>
    </row>
    <row r="350" spans="1:76">
      <c r="A350" s="459">
        <v>45852</v>
      </c>
      <c r="B350" s="345">
        <v>0.83333333333333337</v>
      </c>
      <c r="C350" s="305">
        <v>14</v>
      </c>
      <c r="D350" s="306" t="s">
        <v>162</v>
      </c>
      <c r="E350" s="285">
        <v>14</v>
      </c>
      <c r="F350" s="286">
        <v>69.3</v>
      </c>
      <c r="G350" s="287" t="str" cm="1">
        <f t="array" aca="1" ref="G350" ca="1">INDIRECT("'"&amp;$C350&amp;"'!"&amp;"$"&amp;$D350&amp;$E$1&amp;"")</f>
        <v>CMS</v>
      </c>
      <c r="H350" s="288" t="s">
        <v>1</v>
      </c>
      <c r="I350" s="286" t="s">
        <v>1</v>
      </c>
      <c r="J350" s="287" t="str" cm="1">
        <f t="array" aca="1" ref="J350" ca="1">INDIRECT("'"&amp;$C350&amp;"'!"&amp;"$"&amp;$D350&amp;$J$1&amp;"")</f>
        <v>CMS</v>
      </c>
      <c r="K350" s="288"/>
      <c r="L350" s="288" t="s">
        <v>1</v>
      </c>
      <c r="M350" s="289" t="s">
        <v>1</v>
      </c>
      <c r="N350" s="285" cm="1">
        <f t="array" aca="1" ref="N350" ca="1">INDIRECT("'"&amp;$C350&amp;"'!"&amp;"$"&amp;$D350&amp;$N$1&amp;"")</f>
        <v>6.7</v>
      </c>
      <c r="O350" s="288"/>
      <c r="P350" s="288">
        <v>0.92</v>
      </c>
      <c r="Q350" s="286">
        <v>2.92</v>
      </c>
      <c r="R350" s="285" cm="1">
        <f t="array" aca="1" ref="R350" ca="1">INDIRECT("'"&amp;$C350&amp;"'!"&amp;"$"&amp;$D350&amp;$R$1&amp;"")</f>
        <v>6.7</v>
      </c>
      <c r="S350" s="288"/>
      <c r="T350" s="288">
        <v>0.93</v>
      </c>
      <c r="U350" s="286">
        <v>2.57</v>
      </c>
      <c r="V350" s="287" cm="1">
        <f t="array" aca="1" ref="V350" ca="1">INDIRECT("'"&amp;$C350&amp;"'!"&amp;"$"&amp;$D350&amp;$V$1&amp;"")</f>
        <v>2.8</v>
      </c>
      <c r="W350" s="288">
        <f>3.8*3.46</f>
        <v>13.148</v>
      </c>
      <c r="X350" s="288">
        <v>0.91</v>
      </c>
      <c r="Y350" s="289">
        <v>1.21</v>
      </c>
      <c r="Z350" s="285" t="str" cm="1">
        <f t="array" aca="1" ref="Z350" ca="1">INDIRECT("'"&amp;$C350&amp;"'!"&amp;"$"&amp;$D350&amp;$Z$1&amp;"")</f>
        <v>CMS</v>
      </c>
      <c r="AA350" s="288" t="s">
        <v>1</v>
      </c>
      <c r="AB350" s="288" t="s">
        <v>1</v>
      </c>
      <c r="AC350" s="286" t="s">
        <v>1</v>
      </c>
      <c r="AD350" s="287" t="str" cm="1">
        <f t="array" aca="1" ref="AD350" ca="1">INDIRECT("'"&amp;$C350&amp;"'!"&amp;"$"&amp;$D350&amp;$AD$1&amp;"")</f>
        <v>CMS</v>
      </c>
      <c r="AE350" s="288" t="s">
        <v>1</v>
      </c>
      <c r="AF350" s="288" t="s">
        <v>1</v>
      </c>
      <c r="AG350" s="289" t="s">
        <v>1</v>
      </c>
      <c r="AH350" s="285" cm="1">
        <f t="array" aca="1" ref="AH350" ca="1">INDIRECT("'"&amp;$C350&amp;"'!"&amp;"$"&amp;$D350&amp;$AH$1&amp;"")</f>
        <v>3.8</v>
      </c>
      <c r="AI350" s="288">
        <v>14.04</v>
      </c>
      <c r="AJ350" s="288">
        <v>0.97</v>
      </c>
      <c r="AK350" s="286">
        <v>0.70199999999999996</v>
      </c>
      <c r="AL350" s="285">
        <v>11.8</v>
      </c>
      <c r="AM350" s="289">
        <v>70.900000000000006</v>
      </c>
      <c r="AN350" s="285" cm="1">
        <f t="array" aca="1" ref="AN350" ca="1">INDIRECT("'"&amp;$C350&amp;"'!"&amp;"$"&amp;$D350&amp;$AL$1&amp;"")</f>
        <v>2.5</v>
      </c>
      <c r="AO350" s="288">
        <v>0.9</v>
      </c>
      <c r="AP350" s="286">
        <v>0.88</v>
      </c>
      <c r="AQ350" s="287" cm="1">
        <f t="array" aca="1" ref="AQ350" ca="1">INDIRECT("'"&amp;$C350&amp;"'!"&amp;"$"&amp;$D350&amp;$AQ$1&amp;"")</f>
        <v>2.5</v>
      </c>
      <c r="AR350" s="288">
        <v>0.9</v>
      </c>
      <c r="AS350" s="286">
        <v>0.88</v>
      </c>
      <c r="AT350" s="285">
        <v>13.8</v>
      </c>
      <c r="AU350" s="289">
        <v>70.7</v>
      </c>
      <c r="AV350" s="288" cm="1">
        <f t="array" aca="1" ref="AV350" ca="1">INDIRECT("'"&amp;$C350&amp;"'!"&amp;"$"&amp;$D350&amp;$AV$1&amp;"")</f>
        <v>6.1</v>
      </c>
      <c r="AW350" s="287" t="s">
        <v>1</v>
      </c>
      <c r="AX350" s="288">
        <v>0.97</v>
      </c>
      <c r="AY350" s="286">
        <v>1.36</v>
      </c>
      <c r="AZ350" s="288" cm="1">
        <f t="array" aca="1" ref="AZ350" ca="1">INDIRECT("'"&amp;$C350&amp;"'!"&amp;"$"&amp;$D350&amp;$AZ$1&amp;"")</f>
        <v>7</v>
      </c>
      <c r="BA350" s="287" t="s">
        <v>1</v>
      </c>
      <c r="BB350" s="288">
        <v>0.99</v>
      </c>
      <c r="BC350" s="286">
        <v>0.94</v>
      </c>
      <c r="BD350" s="290">
        <v>14.17</v>
      </c>
      <c r="BE350" s="289">
        <v>71.58</v>
      </c>
      <c r="BF350" s="290" cm="1">
        <f t="array" aca="1" ref="BF350" ca="1">INDIRECT("'"&amp;$C350&amp;"'!"&amp;"$"&amp;$D350&amp;$BF$1&amp;"")</f>
        <v>14.29</v>
      </c>
      <c r="BG350" s="288">
        <v>0.99</v>
      </c>
      <c r="BH350" s="286">
        <v>2.2999999999999998</v>
      </c>
      <c r="BI350" s="525">
        <v>68</v>
      </c>
      <c r="BJ350" s="285" cm="1">
        <f t="array" aca="1" ref="BJ350" ca="1">INDIRECT("'"&amp;$C350&amp;"'!"&amp;"$"&amp;$D350&amp;$BI$1&amp;"")</f>
        <v>4.46</v>
      </c>
      <c r="BK350" s="287">
        <v>0.97</v>
      </c>
      <c r="BL350" s="286">
        <v>1.1000000000000001</v>
      </c>
      <c r="BM350" s="290" cm="1">
        <f t="array" aca="1" ref="BM350" ca="1">INDIRECT("'"&amp;$C350&amp;"'!"&amp;"$"&amp;$D350&amp;$BM$1&amp;"")</f>
        <v>1.62</v>
      </c>
      <c r="BN350" s="288"/>
      <c r="BO350" s="288">
        <v>0.99</v>
      </c>
      <c r="BP350" s="286">
        <v>0.2</v>
      </c>
      <c r="BQ350" s="291" cm="1">
        <f t="array" aca="1" ref="BQ350" ca="1">INDIRECT("'"&amp;$C350&amp;"'!"&amp;"$"&amp;$D350&amp;$BQ$1&amp;"")</f>
        <v>0.99</v>
      </c>
      <c r="BR350" s="288"/>
      <c r="BS350" s="288">
        <v>0.97</v>
      </c>
      <c r="BT350" s="286">
        <v>0.24</v>
      </c>
      <c r="BU350" s="291" cm="1">
        <f t="array" aca="1" ref="BU350" ca="1">INDIRECT("'"&amp;$C350&amp;"'!"&amp;"$"&amp;$D350&amp;74&amp;"")</f>
        <v>0</v>
      </c>
      <c r="BV350" s="288"/>
      <c r="BW350" s="288" t="s">
        <v>1</v>
      </c>
      <c r="BX350" s="286" t="s">
        <v>1</v>
      </c>
    </row>
    <row r="351" spans="1:76">
      <c r="A351" s="459">
        <v>45852</v>
      </c>
      <c r="B351" s="345">
        <v>0.875000000000001</v>
      </c>
      <c r="C351" s="305">
        <v>14</v>
      </c>
      <c r="D351" s="306" t="s">
        <v>163</v>
      </c>
      <c r="E351" s="278">
        <v>14.1</v>
      </c>
      <c r="F351" s="279">
        <v>69.38</v>
      </c>
      <c r="G351" s="280" t="str" cm="1">
        <f t="array" aca="1" ref="G351" ca="1">INDIRECT("'"&amp;$C351&amp;"'!"&amp;"$"&amp;$D351&amp;$E$1&amp;"")</f>
        <v>CMS</v>
      </c>
      <c r="H351" s="281" t="s">
        <v>1</v>
      </c>
      <c r="I351" s="279" t="s">
        <v>1</v>
      </c>
      <c r="J351" s="280" t="str" cm="1">
        <f t="array" aca="1" ref="J351" ca="1">INDIRECT("'"&amp;$C351&amp;"'!"&amp;"$"&amp;$D351&amp;$J$1&amp;"")</f>
        <v>CMS</v>
      </c>
      <c r="K351" s="281"/>
      <c r="L351" s="281" t="s">
        <v>1</v>
      </c>
      <c r="M351" s="282" t="s">
        <v>1</v>
      </c>
      <c r="N351" s="278" cm="1">
        <f t="array" aca="1" ref="N351" ca="1">INDIRECT("'"&amp;$C351&amp;"'!"&amp;"$"&amp;$D351&amp;$N$1&amp;"")</f>
        <v>6.6</v>
      </c>
      <c r="O351" s="281"/>
      <c r="P351" s="281">
        <v>0.94</v>
      </c>
      <c r="Q351" s="279">
        <v>2.4300000000000002</v>
      </c>
      <c r="R351" s="468" cm="1">
        <f t="array" aca="1" ref="R351" ca="1">INDIRECT("'"&amp;$C351&amp;"'!"&amp;"$"&amp;$D351&amp;$R$1&amp;"")</f>
        <v>6.6</v>
      </c>
      <c r="S351" s="281"/>
      <c r="T351" s="281">
        <v>0.94</v>
      </c>
      <c r="U351" s="279">
        <v>2.4900000000000002</v>
      </c>
      <c r="V351" s="280" cm="1">
        <f t="array" aca="1" ref="V351" ca="1">INDIRECT("'"&amp;$C351&amp;"'!"&amp;"$"&amp;$D351&amp;$V$1&amp;"")</f>
        <v>2.8</v>
      </c>
      <c r="W351" s="281">
        <f>3.8*3.49</f>
        <v>13.262</v>
      </c>
      <c r="X351" s="281">
        <v>0.94</v>
      </c>
      <c r="Y351" s="282">
        <v>0.98499999999999999</v>
      </c>
      <c r="Z351" s="278" t="str" cm="1">
        <f t="array" aca="1" ref="Z351" ca="1">INDIRECT("'"&amp;$C351&amp;"'!"&amp;"$"&amp;$D351&amp;$Z$1&amp;"")</f>
        <v>CMS</v>
      </c>
      <c r="AA351" s="281" t="s">
        <v>1</v>
      </c>
      <c r="AB351" s="281" t="s">
        <v>1</v>
      </c>
      <c r="AC351" s="279" t="s">
        <v>1</v>
      </c>
      <c r="AD351" s="280" t="str" cm="1">
        <f t="array" aca="1" ref="AD351" ca="1">INDIRECT("'"&amp;$C351&amp;"'!"&amp;"$"&amp;$D351&amp;$AD$1&amp;"")</f>
        <v>CMS</v>
      </c>
      <c r="AE351" s="281" t="s">
        <v>1</v>
      </c>
      <c r="AF351" s="281" t="s">
        <v>1</v>
      </c>
      <c r="AG351" s="282" t="s">
        <v>1</v>
      </c>
      <c r="AH351" s="278" cm="1">
        <f t="array" aca="1" ref="AH351" ca="1">INDIRECT("'"&amp;$C351&amp;"'!"&amp;"$"&amp;$D351&amp;$AH$1&amp;"")</f>
        <v>3.8</v>
      </c>
      <c r="AI351" s="281">
        <v>14.08</v>
      </c>
      <c r="AJ351" s="281">
        <v>0.98</v>
      </c>
      <c r="AK351" s="279">
        <v>0.60399999999999998</v>
      </c>
      <c r="AL351" s="278">
        <v>11.7</v>
      </c>
      <c r="AM351" s="282">
        <v>71</v>
      </c>
      <c r="AN351" s="278" cm="1">
        <f t="array" aca="1" ref="AN351" ca="1">INDIRECT("'"&amp;$C351&amp;"'!"&amp;"$"&amp;$D351&amp;$AL$1&amp;"")</f>
        <v>0</v>
      </c>
      <c r="AO351" s="281" t="s">
        <v>1</v>
      </c>
      <c r="AP351" s="279" t="s">
        <v>1</v>
      </c>
      <c r="AQ351" s="280" cm="1">
        <f t="array" aca="1" ref="AQ351" ca="1">INDIRECT("'"&amp;$C351&amp;"'!"&amp;"$"&amp;$D351&amp;$AQ$1&amp;"")</f>
        <v>3.8</v>
      </c>
      <c r="AR351" s="281">
        <v>0.96</v>
      </c>
      <c r="AS351" s="279">
        <v>1.22</v>
      </c>
      <c r="AT351" s="278">
        <v>13.96</v>
      </c>
      <c r="AU351" s="282">
        <v>70.7</v>
      </c>
      <c r="AV351" s="281" cm="1">
        <f t="array" aca="1" ref="AV351" ca="1">INDIRECT("'"&amp;$C351&amp;"'!"&amp;"$"&amp;$D351&amp;$AV$1&amp;"")</f>
        <v>2.8</v>
      </c>
      <c r="AW351" s="280" t="s">
        <v>1</v>
      </c>
      <c r="AX351" s="281">
        <v>0.98</v>
      </c>
      <c r="AY351" s="279">
        <v>0.43</v>
      </c>
      <c r="AZ351" s="281" cm="1">
        <f t="array" aca="1" ref="AZ351" ca="1">INDIRECT("'"&amp;$C351&amp;"'!"&amp;"$"&amp;$D351&amp;$AZ$1&amp;"")</f>
        <v>7</v>
      </c>
      <c r="BA351" s="280" t="s">
        <v>1</v>
      </c>
      <c r="BB351" s="281">
        <v>0.98</v>
      </c>
      <c r="BC351" s="279">
        <v>1.31</v>
      </c>
      <c r="BD351" s="283">
        <v>14.15</v>
      </c>
      <c r="BE351" s="282">
        <v>71.900000000000006</v>
      </c>
      <c r="BF351" s="283" cm="1">
        <f t="array" aca="1" ref="BF351" ca="1">INDIRECT("'"&amp;$C351&amp;"'!"&amp;"$"&amp;$D351&amp;$BF$1&amp;"")</f>
        <v>14.26</v>
      </c>
      <c r="BG351" s="281">
        <v>0.99</v>
      </c>
      <c r="BH351" s="279">
        <v>2.34</v>
      </c>
      <c r="BI351" s="524">
        <v>68.3</v>
      </c>
      <c r="BJ351" s="278" cm="1">
        <f t="array" aca="1" ref="BJ351" ca="1">INDIRECT("'"&amp;$C351&amp;"'!"&amp;"$"&amp;$D351&amp;$BI$1&amp;"")</f>
        <v>3.9000000000000004</v>
      </c>
      <c r="BK351" s="280">
        <v>0.98</v>
      </c>
      <c r="BL351" s="279">
        <v>0.79</v>
      </c>
      <c r="BM351" s="283" cm="1">
        <f t="array" aca="1" ref="BM351" ca="1">INDIRECT("'"&amp;$C351&amp;"'!"&amp;"$"&amp;$D351&amp;$BM$1&amp;"")</f>
        <v>1.53</v>
      </c>
      <c r="BN351" s="281"/>
      <c r="BO351" s="281">
        <v>0.99</v>
      </c>
      <c r="BP351" s="279">
        <v>0.18</v>
      </c>
      <c r="BQ351" s="284" cm="1">
        <f t="array" aca="1" ref="BQ351" ca="1">INDIRECT("'"&amp;$C351&amp;"'!"&amp;"$"&amp;$D351&amp;$BQ$1&amp;"")</f>
        <v>0.94</v>
      </c>
      <c r="BR351" s="281"/>
      <c r="BS351" s="281">
        <v>0.97</v>
      </c>
      <c r="BT351" s="279">
        <v>0.23</v>
      </c>
      <c r="BU351" s="284" cm="1">
        <f t="array" aca="1" ref="BU351" ca="1">INDIRECT("'"&amp;$C351&amp;"'!"&amp;"$"&amp;$D351&amp;74&amp;"")</f>
        <v>0</v>
      </c>
      <c r="BV351" s="281"/>
      <c r="BW351" s="281" t="s">
        <v>1</v>
      </c>
      <c r="BX351" s="279" t="s">
        <v>1</v>
      </c>
    </row>
    <row r="352" spans="1:76">
      <c r="A352" s="459">
        <v>45852</v>
      </c>
      <c r="B352" s="345">
        <v>0.91666666666666696</v>
      </c>
      <c r="C352" s="305">
        <v>14</v>
      </c>
      <c r="D352" s="306" t="s">
        <v>164</v>
      </c>
      <c r="E352" s="285">
        <v>13.9</v>
      </c>
      <c r="F352" s="286">
        <v>68.83</v>
      </c>
      <c r="G352" s="287" t="str" cm="1">
        <f t="array" aca="1" ref="G352" ca="1">INDIRECT("'"&amp;$C352&amp;"'!"&amp;"$"&amp;$D352&amp;$E$1&amp;"")</f>
        <v>CMS</v>
      </c>
      <c r="H352" s="288" t="s">
        <v>1</v>
      </c>
      <c r="I352" s="286" t="s">
        <v>1</v>
      </c>
      <c r="J352" s="287" t="str" cm="1">
        <f t="array" aca="1" ref="J352" ca="1">INDIRECT("'"&amp;$C352&amp;"'!"&amp;"$"&amp;$D352&amp;$J$1&amp;"")</f>
        <v>CMS</v>
      </c>
      <c r="K352" s="288"/>
      <c r="L352" s="288" t="s">
        <v>1</v>
      </c>
      <c r="M352" s="289" t="s">
        <v>1</v>
      </c>
      <c r="N352" s="285" cm="1">
        <f t="array" aca="1" ref="N352" ca="1">INDIRECT("'"&amp;$C352&amp;"'!"&amp;"$"&amp;$D352&amp;$N$1&amp;"")</f>
        <v>6.7</v>
      </c>
      <c r="O352" s="288"/>
      <c r="P352" s="288">
        <v>0.91</v>
      </c>
      <c r="Q352" s="286">
        <v>3.01</v>
      </c>
      <c r="R352" s="285" t="str" cm="1">
        <f t="array" aca="1" ref="R352" ca="1">INDIRECT("'"&amp;$C352&amp;"'!"&amp;"$"&amp;$D352&amp;$R$1&amp;"")</f>
        <v>CMS</v>
      </c>
      <c r="S352" s="288"/>
      <c r="T352" s="288" t="s">
        <v>1</v>
      </c>
      <c r="U352" s="286" t="s">
        <v>1</v>
      </c>
      <c r="V352" s="287" cm="1">
        <f t="array" aca="1" ref="V352" ca="1">INDIRECT("'"&amp;$C352&amp;"'!"&amp;"$"&amp;$D352&amp;$V$1&amp;"")</f>
        <v>2.8</v>
      </c>
      <c r="W352" s="288">
        <f>3.8*3.5</f>
        <v>13.299999999999999</v>
      </c>
      <c r="X352" s="288">
        <v>0.94</v>
      </c>
      <c r="Y352" s="289">
        <v>0.99</v>
      </c>
      <c r="Z352" s="285" t="str" cm="1">
        <f t="array" aca="1" ref="Z352" ca="1">INDIRECT("'"&amp;$C352&amp;"'!"&amp;"$"&amp;$D352&amp;$Z$1&amp;"")</f>
        <v>CMS</v>
      </c>
      <c r="AA352" s="288" t="s">
        <v>1</v>
      </c>
      <c r="AB352" s="288" t="s">
        <v>1</v>
      </c>
      <c r="AC352" s="286" t="s">
        <v>1</v>
      </c>
      <c r="AD352" s="287" t="str" cm="1">
        <f t="array" aca="1" ref="AD352" ca="1">INDIRECT("'"&amp;$C352&amp;"'!"&amp;"$"&amp;$D352&amp;$AD$1&amp;"")</f>
        <v>CMS</v>
      </c>
      <c r="AE352" s="288" t="s">
        <v>1</v>
      </c>
      <c r="AF352" s="288" t="s">
        <v>1</v>
      </c>
      <c r="AG352" s="286" t="s">
        <v>1</v>
      </c>
      <c r="AH352" s="285" cm="1">
        <f t="array" aca="1" ref="AH352" ca="1">INDIRECT("'"&amp;$C352&amp;"'!"&amp;"$"&amp;$D352&amp;$AH$1&amp;"")</f>
        <v>3.8</v>
      </c>
      <c r="AI352" s="288">
        <f>3.8*3.5</f>
        <v>13.299999999999999</v>
      </c>
      <c r="AJ352" s="288">
        <v>0.98</v>
      </c>
      <c r="AK352" s="286">
        <v>0.63400000000000001</v>
      </c>
      <c r="AL352" s="285">
        <v>11.7</v>
      </c>
      <c r="AM352" s="289">
        <v>70.8</v>
      </c>
      <c r="AN352" s="285" cm="1">
        <f t="array" aca="1" ref="AN352" ca="1">INDIRECT("'"&amp;$C352&amp;"'!"&amp;"$"&amp;$D352&amp;$AL$1&amp;"")</f>
        <v>0</v>
      </c>
      <c r="AO352" s="288" t="s">
        <v>1</v>
      </c>
      <c r="AP352" s="286" t="s">
        <v>1</v>
      </c>
      <c r="AQ352" s="287" cm="1">
        <f t="array" aca="1" ref="AQ352" ca="1">INDIRECT("'"&amp;$C352&amp;"'!"&amp;"$"&amp;$D352&amp;$AQ$1&amp;"")</f>
        <v>3.8</v>
      </c>
      <c r="AR352" s="288">
        <v>0.94</v>
      </c>
      <c r="AS352" s="286">
        <v>1.35</v>
      </c>
      <c r="AT352" s="285">
        <v>13.96</v>
      </c>
      <c r="AU352" s="289">
        <v>70.7</v>
      </c>
      <c r="AV352" s="288" cm="1">
        <f t="array" aca="1" ref="AV352" ca="1">INDIRECT("'"&amp;$C352&amp;"'!"&amp;"$"&amp;$D352&amp;$AV$1&amp;"")</f>
        <v>4.9000000000000004</v>
      </c>
      <c r="AW352" s="287" t="s">
        <v>1</v>
      </c>
      <c r="AX352" s="288">
        <v>0.98</v>
      </c>
      <c r="AY352" s="286">
        <v>1.1599999999999999</v>
      </c>
      <c r="AZ352" s="288" cm="1">
        <f t="array" aca="1" ref="AZ352" ca="1">INDIRECT("'"&amp;$C352&amp;"'!"&amp;"$"&amp;$D352&amp;$AZ$1&amp;"")</f>
        <v>7</v>
      </c>
      <c r="BA352" s="287" t="s">
        <v>1</v>
      </c>
      <c r="BB352" s="288">
        <v>0.98</v>
      </c>
      <c r="BC352" s="286">
        <v>1.27</v>
      </c>
      <c r="BD352" s="285">
        <v>14</v>
      </c>
      <c r="BE352" s="289">
        <v>71.319999999999993</v>
      </c>
      <c r="BF352" s="290" cm="1">
        <f t="array" aca="1" ref="BF352" ca="1">INDIRECT("'"&amp;$C352&amp;"'!"&amp;"$"&amp;$D352&amp;$BF$1&amp;"")</f>
        <v>14.26</v>
      </c>
      <c r="BG352" s="288">
        <v>1</v>
      </c>
      <c r="BH352" s="286">
        <v>1.22</v>
      </c>
      <c r="BI352" s="525">
        <v>68.099999999999994</v>
      </c>
      <c r="BJ352" s="285" cm="1">
        <f t="array" aca="1" ref="BJ352" ca="1">INDIRECT("'"&amp;$C352&amp;"'!"&amp;"$"&amp;$D352&amp;$BI$1&amp;"")</f>
        <v>4.5999999999999996</v>
      </c>
      <c r="BK352" s="287">
        <v>0.98</v>
      </c>
      <c r="BL352" s="286">
        <v>0.93</v>
      </c>
      <c r="BM352" s="290" cm="1">
        <f t="array" aca="1" ref="BM352" ca="1">INDIRECT("'"&amp;$C352&amp;"'!"&amp;"$"&amp;$D352&amp;$BM$1&amp;"")</f>
        <v>1.37</v>
      </c>
      <c r="BN352" s="288"/>
      <c r="BO352" s="288">
        <v>0.99</v>
      </c>
      <c r="BP352" s="286">
        <v>0.16</v>
      </c>
      <c r="BQ352" s="291" cm="1">
        <f t="array" aca="1" ref="BQ352" ca="1">INDIRECT("'"&amp;$C352&amp;"'!"&amp;"$"&amp;$D352&amp;$BQ$1&amp;"")</f>
        <v>0.9</v>
      </c>
      <c r="BR352" s="288"/>
      <c r="BS352" s="288">
        <v>0.97</v>
      </c>
      <c r="BT352" s="286">
        <v>0.23</v>
      </c>
      <c r="BU352" s="291" cm="1">
        <f t="array" aca="1" ref="BU352" ca="1">INDIRECT("'"&amp;$C352&amp;"'!"&amp;"$"&amp;$D352&amp;74&amp;"")</f>
        <v>0</v>
      </c>
      <c r="BV352" s="288"/>
      <c r="BW352" s="288" t="s">
        <v>1</v>
      </c>
      <c r="BX352" s="286" t="s">
        <v>1</v>
      </c>
    </row>
    <row r="353" spans="1:76" ht="14.45" thickBot="1">
      <c r="A353" s="460">
        <v>45852</v>
      </c>
      <c r="B353" s="346">
        <v>0.95833333333333404</v>
      </c>
      <c r="C353" s="307">
        <v>14</v>
      </c>
      <c r="D353" s="308" t="s">
        <v>165</v>
      </c>
      <c r="E353" s="293">
        <v>14.1</v>
      </c>
      <c r="F353" s="294">
        <v>69.599999999999994</v>
      </c>
      <c r="G353" s="295" t="str" cm="1">
        <f t="array" aca="1" ref="G353" ca="1">INDIRECT("'"&amp;$C353&amp;"'!"&amp;"$"&amp;$D353&amp;$E$1&amp;"")</f>
        <v>CMS</v>
      </c>
      <c r="H353" s="296" t="s">
        <v>1</v>
      </c>
      <c r="I353" s="294" t="s">
        <v>1</v>
      </c>
      <c r="J353" s="295" t="str" cm="1">
        <f t="array" aca="1" ref="J353" ca="1">INDIRECT("'"&amp;$C353&amp;"'!"&amp;"$"&amp;$D353&amp;$J$1&amp;"")</f>
        <v>CMS</v>
      </c>
      <c r="K353" s="296"/>
      <c r="L353" s="296" t="s">
        <v>1</v>
      </c>
      <c r="M353" s="297" t="s">
        <v>1</v>
      </c>
      <c r="N353" s="293" cm="1">
        <f t="array" aca="1" ref="N353" ca="1">INDIRECT("'"&amp;$C353&amp;"'!"&amp;"$"&amp;$D353&amp;$N$1&amp;"")</f>
        <v>6.7</v>
      </c>
      <c r="O353" s="296"/>
      <c r="P353" s="296">
        <v>0.96</v>
      </c>
      <c r="Q353" s="294">
        <v>1.88</v>
      </c>
      <c r="R353" s="470" cm="1">
        <f t="array" aca="1" ref="R353" ca="1">INDIRECT("'"&amp;$C353&amp;"'!"&amp;"$"&amp;$D353&amp;$R$1&amp;"")</f>
        <v>6.7</v>
      </c>
      <c r="S353" s="296"/>
      <c r="T353" s="296">
        <v>0.96</v>
      </c>
      <c r="U353" s="294">
        <v>1.89</v>
      </c>
      <c r="V353" s="295" cm="1">
        <f t="array" aca="1" ref="V353" ca="1">INDIRECT("'"&amp;$C353&amp;"'!"&amp;"$"&amp;$D353&amp;$V$1&amp;"")</f>
        <v>2</v>
      </c>
      <c r="W353" s="296">
        <f>3.8*3.52</f>
        <v>13.375999999999999</v>
      </c>
      <c r="X353" s="296">
        <v>0.96</v>
      </c>
      <c r="Y353" s="297">
        <v>0.76</v>
      </c>
      <c r="Z353" s="293" t="str" cm="1">
        <f t="array" aca="1" ref="Z353" ca="1">INDIRECT("'"&amp;$C353&amp;"'!"&amp;"$"&amp;$D353&amp;$Z$1&amp;"")</f>
        <v>CMS</v>
      </c>
      <c r="AA353" s="296" t="s">
        <v>1</v>
      </c>
      <c r="AB353" s="296" t="s">
        <v>1</v>
      </c>
      <c r="AC353" s="294" t="s">
        <v>1</v>
      </c>
      <c r="AD353" s="295" t="str" cm="1">
        <f t="array" aca="1" ref="AD353" ca="1">INDIRECT("'"&amp;$C353&amp;"'!"&amp;"$"&amp;$D353&amp;$AD$1&amp;"")</f>
        <v>CMS</v>
      </c>
      <c r="AE353" s="296" t="s">
        <v>1</v>
      </c>
      <c r="AF353" s="296" t="s">
        <v>1</v>
      </c>
      <c r="AG353" s="294" t="s">
        <v>1</v>
      </c>
      <c r="AH353" s="293" cm="1">
        <f t="array" aca="1" ref="AH353" ca="1">INDIRECT("'"&amp;$C353&amp;"'!"&amp;"$"&amp;$D353&amp;$AH$1&amp;"")</f>
        <v>3</v>
      </c>
      <c r="AI353" s="296">
        <f>3.8*3.52</f>
        <v>13.375999999999999</v>
      </c>
      <c r="AJ353" s="296">
        <v>0.98</v>
      </c>
      <c r="AK353" s="294">
        <v>0.48299999999999998</v>
      </c>
      <c r="AL353" s="293">
        <v>11.6</v>
      </c>
      <c r="AM353" s="297">
        <v>70.8</v>
      </c>
      <c r="AN353" s="293" cm="1">
        <f t="array" aca="1" ref="AN353" ca="1">INDIRECT("'"&amp;$C353&amp;"'!"&amp;"$"&amp;$D353&amp;$AL$1&amp;"")</f>
        <v>0</v>
      </c>
      <c r="AO353" s="296" t="s">
        <v>1</v>
      </c>
      <c r="AP353" s="294" t="s">
        <v>1</v>
      </c>
      <c r="AQ353" s="295" cm="1">
        <f t="array" aca="1" ref="AQ353" ca="1">INDIRECT("'"&amp;$C353&amp;"'!"&amp;"$"&amp;$D353&amp;$AQ$1&amp;"")</f>
        <v>3.8</v>
      </c>
      <c r="AR353" s="296">
        <v>0.93</v>
      </c>
      <c r="AS353" s="294">
        <v>1.35</v>
      </c>
      <c r="AT353" s="293">
        <v>13.92</v>
      </c>
      <c r="AU353" s="297">
        <v>70.7</v>
      </c>
      <c r="AV353" s="296" cm="1">
        <f t="array" aca="1" ref="AV353" ca="1">INDIRECT("'"&amp;$C353&amp;"'!"&amp;"$"&amp;$D353&amp;$AV$1&amp;"")</f>
        <v>0</v>
      </c>
      <c r="AW353" s="295" t="s">
        <v>1</v>
      </c>
      <c r="AX353" s="296" t="s">
        <v>1</v>
      </c>
      <c r="AY353" s="294" t="s">
        <v>1</v>
      </c>
      <c r="AZ353" s="296" cm="1">
        <f t="array" aca="1" ref="AZ353" ca="1">INDIRECT("'"&amp;$C353&amp;"'!"&amp;"$"&amp;$D353&amp;$AZ$1&amp;"")</f>
        <v>6.81</v>
      </c>
      <c r="BA353" s="295" t="s">
        <v>1</v>
      </c>
      <c r="BB353" s="296">
        <v>0.98</v>
      </c>
      <c r="BC353" s="294">
        <v>1.54</v>
      </c>
      <c r="BD353" s="293">
        <v>14.06</v>
      </c>
      <c r="BE353" s="297">
        <v>71.650000000000006</v>
      </c>
      <c r="BF353" s="298" cm="1">
        <f t="array" aca="1" ref="BF353" ca="1">INDIRECT("'"&amp;$C353&amp;"'!"&amp;"$"&amp;$D353&amp;$BF$1&amp;"")</f>
        <v>14.27</v>
      </c>
      <c r="BG353" s="296">
        <v>1</v>
      </c>
      <c r="BH353" s="294">
        <v>1.26</v>
      </c>
      <c r="BI353" s="526">
        <v>68.599999999999994</v>
      </c>
      <c r="BJ353" s="293" cm="1">
        <f t="array" aca="1" ref="BJ353" ca="1">INDIRECT("'"&amp;$C353&amp;"'!"&amp;"$"&amp;$D353&amp;$BI$1&amp;"")</f>
        <v>0</v>
      </c>
      <c r="BK353" s="295" t="s">
        <v>1</v>
      </c>
      <c r="BL353" s="294" t="s">
        <v>1</v>
      </c>
      <c r="BM353" s="298" cm="1">
        <f t="array" aca="1" ref="BM353" ca="1">INDIRECT("'"&amp;$C353&amp;"'!"&amp;"$"&amp;$D353&amp;$BM$1&amp;"")</f>
        <v>1.24</v>
      </c>
      <c r="BN353" s="296"/>
      <c r="BO353" s="296">
        <v>0.99</v>
      </c>
      <c r="BP353" s="294">
        <v>0.15</v>
      </c>
      <c r="BQ353" s="299" cm="1">
        <f t="array" aca="1" ref="BQ353" ca="1">INDIRECT("'"&amp;$C353&amp;"'!"&amp;"$"&amp;$D353&amp;$BQ$1&amp;"")</f>
        <v>0.89</v>
      </c>
      <c r="BR353" s="296"/>
      <c r="BS353" s="296">
        <v>0.97</v>
      </c>
      <c r="BT353" s="294">
        <v>0.22</v>
      </c>
      <c r="BU353" s="299" cm="1">
        <f t="array" aca="1" ref="BU353" ca="1">INDIRECT("'"&amp;$C353&amp;"'!"&amp;"$"&amp;$D353&amp;74&amp;"")</f>
        <v>0</v>
      </c>
      <c r="BV353" s="296"/>
      <c r="BW353" s="296" t="s">
        <v>1</v>
      </c>
      <c r="BX353" s="294" t="s">
        <v>1</v>
      </c>
    </row>
    <row r="354" spans="1:76" ht="14.45" thickBot="1"/>
    <row r="355" spans="1:76">
      <c r="A355" s="347">
        <v>45853</v>
      </c>
      <c r="B355" s="344">
        <v>0</v>
      </c>
      <c r="C355" s="302">
        <v>15</v>
      </c>
      <c r="D355" s="303" t="s">
        <v>142</v>
      </c>
      <c r="E355" s="272">
        <v>14.1</v>
      </c>
      <c r="F355" s="273">
        <v>69.62</v>
      </c>
      <c r="G355" s="274" t="str" cm="1">
        <f t="array" aca="1" ref="G355" ca="1">INDIRECT("'"&amp;$C355&amp;"'!"&amp;"$"&amp;$D355&amp;$E$1&amp;"")</f>
        <v>CMS</v>
      </c>
      <c r="H355" s="275" t="s">
        <v>1</v>
      </c>
      <c r="I355" s="273" t="s">
        <v>1</v>
      </c>
      <c r="J355" s="274" t="str" cm="1">
        <f t="array" aca="1" ref="J355" ca="1">INDIRECT("'"&amp;$C355&amp;"'!"&amp;"$"&amp;$D355&amp;$J$1&amp;"")</f>
        <v>CMS</v>
      </c>
      <c r="K355" s="275"/>
      <c r="L355" s="275" t="s">
        <v>1</v>
      </c>
      <c r="M355" s="273" t="s">
        <v>1</v>
      </c>
      <c r="N355" s="272" cm="1">
        <f t="array" aca="1" ref="N355" ca="1">INDIRECT("'"&amp;$C355&amp;"'!"&amp;"$"&amp;$D355&amp;$N$1&amp;"")</f>
        <v>6.8</v>
      </c>
      <c r="O355" s="275"/>
      <c r="P355" s="275">
        <v>0.96</v>
      </c>
      <c r="Q355" s="273">
        <v>1.93</v>
      </c>
      <c r="R355" s="467" cm="1">
        <f t="array" aca="1" ref="R355" ca="1">INDIRECT("'"&amp;$C355&amp;"'!"&amp;"$"&amp;$D355&amp;$R$1&amp;"")</f>
        <v>6.8</v>
      </c>
      <c r="S355" s="275"/>
      <c r="T355" s="275">
        <v>0.96</v>
      </c>
      <c r="U355" s="273">
        <v>1.92</v>
      </c>
      <c r="V355" s="274" cm="1">
        <f t="array" aca="1" ref="V355" ca="1">INDIRECT("'"&amp;$C355&amp;"'!"&amp;"$"&amp;$D355&amp;$V$1&amp;"")</f>
        <v>0</v>
      </c>
      <c r="W355" s="275" t="s">
        <v>1</v>
      </c>
      <c r="X355" s="275" t="s">
        <v>1</v>
      </c>
      <c r="Y355" s="273" t="s">
        <v>1</v>
      </c>
      <c r="Z355" s="272" t="str" cm="1">
        <f t="array" aca="1" ref="Z355" ca="1">INDIRECT("'"&amp;$C355&amp;"'!"&amp;"$"&amp;$D355&amp;$Z$1&amp;"")</f>
        <v>CMS</v>
      </c>
      <c r="AA355" s="275" t="s">
        <v>1</v>
      </c>
      <c r="AB355" s="275" t="s">
        <v>1</v>
      </c>
      <c r="AC355" s="273" t="s">
        <v>1</v>
      </c>
      <c r="AD355" s="274" t="str" cm="1">
        <f t="array" aca="1" ref="AD355" ca="1">INDIRECT("'"&amp;$C355&amp;"'!"&amp;"$"&amp;$D355&amp;$AD$1&amp;"")</f>
        <v>CMS</v>
      </c>
      <c r="AE355" s="288" t="s">
        <v>1</v>
      </c>
      <c r="AF355" s="288" t="s">
        <v>1</v>
      </c>
      <c r="AG355" s="289" t="s">
        <v>1</v>
      </c>
      <c r="AH355" s="272" cm="1">
        <f t="array" aca="1" ref="AH355" ca="1">INDIRECT("'"&amp;$C355&amp;"'!"&amp;"$"&amp;$D355&amp;$AH$1&amp;"")</f>
        <v>3</v>
      </c>
      <c r="AI355" s="275">
        <v>14</v>
      </c>
      <c r="AJ355" s="275">
        <v>0.98</v>
      </c>
      <c r="AK355" s="273">
        <v>0.441</v>
      </c>
      <c r="AL355" s="272">
        <v>11.6</v>
      </c>
      <c r="AM355" s="276">
        <v>70.7</v>
      </c>
      <c r="AN355" s="272" cm="1">
        <f t="array" aca="1" ref="AN355" ca="1">INDIRECT("'"&amp;$C355&amp;"'!"&amp;"$"&amp;$D355&amp;$AL$1&amp;"")</f>
        <v>0</v>
      </c>
      <c r="AO355" s="275" t="s">
        <v>1</v>
      </c>
      <c r="AP355" s="273" t="s">
        <v>1</v>
      </c>
      <c r="AQ355" s="274" cm="1">
        <f t="array" aca="1" ref="AQ355" ca="1">INDIRECT("'"&amp;$C355&amp;"'!"&amp;"$"&amp;$D355&amp;$AQ$1&amp;"")</f>
        <v>1.5</v>
      </c>
      <c r="AR355" s="275">
        <v>0.94</v>
      </c>
      <c r="AS355" s="273">
        <v>0.77</v>
      </c>
      <c r="AT355" s="272">
        <v>13.92</v>
      </c>
      <c r="AU355" s="276">
        <v>70.7</v>
      </c>
      <c r="AV355" s="275" cm="1">
        <f t="array" aca="1" ref="AV355" ca="1">INDIRECT("'"&amp;$C355&amp;"'!"&amp;"$"&amp;$D355&amp;$AV$1&amp;"")</f>
        <v>0</v>
      </c>
      <c r="AW355" s="274" t="s">
        <v>1</v>
      </c>
      <c r="AX355" s="275" t="s">
        <v>1</v>
      </c>
      <c r="AY355" s="273" t="s">
        <v>1</v>
      </c>
      <c r="AZ355" s="275" cm="1">
        <f t="array" aca="1" ref="AZ355" ca="1">INDIRECT("'"&amp;$C355&amp;"'!"&amp;"$"&amp;$D355&amp;$AZ$1&amp;"")</f>
        <v>6.5</v>
      </c>
      <c r="BA355" s="274" t="s">
        <v>1</v>
      </c>
      <c r="BB355" s="275">
        <v>0.97</v>
      </c>
      <c r="BC355" s="273">
        <v>1.82</v>
      </c>
      <c r="BD355" s="277">
        <v>14.04</v>
      </c>
      <c r="BE355" s="276">
        <v>71.53</v>
      </c>
      <c r="BF355" s="277" cm="1">
        <f t="array" aca="1" ref="BF355" ca="1">INDIRECT("'"&amp;$C355&amp;"'!"&amp;"$"&amp;$D355&amp;$BF$1&amp;"")</f>
        <v>14.26</v>
      </c>
      <c r="BG355" s="275">
        <v>1</v>
      </c>
      <c r="BH355" s="273">
        <v>1.22</v>
      </c>
      <c r="BI355" s="523">
        <v>68.8</v>
      </c>
      <c r="BJ355" s="272" cm="1">
        <f t="array" aca="1" ref="BJ355" ca="1">INDIRECT("'"&amp;$C355&amp;"'!"&amp;"$"&amp;$D355&amp;$BI$1&amp;"")</f>
        <v>0</v>
      </c>
      <c r="BK355" s="274" t="s">
        <v>1</v>
      </c>
      <c r="BL355" s="273" t="s">
        <v>1</v>
      </c>
      <c r="BM355" s="277" cm="1">
        <f t="array" aca="1" ref="BM355" ca="1">INDIRECT("'"&amp;$C355&amp;"'!"&amp;"$"&amp;$D355&amp;$BM$1&amp;"")</f>
        <v>1.1399999999999999</v>
      </c>
      <c r="BN355" s="275"/>
      <c r="BO355" s="275">
        <v>0.99</v>
      </c>
      <c r="BP355" s="273">
        <v>0.15</v>
      </c>
      <c r="BQ355" s="277" cm="1">
        <f t="array" aca="1" ref="BQ355" ca="1">INDIRECT("'"&amp;$C355&amp;"'!"&amp;"$"&amp;$D355&amp;$BQ$1&amp;"")</f>
        <v>0.87</v>
      </c>
      <c r="BR355" s="275"/>
      <c r="BS355" s="275">
        <v>0.97</v>
      </c>
      <c r="BT355" s="273">
        <v>0.21</v>
      </c>
      <c r="BU355" s="358" cm="1">
        <f t="array" aca="1" ref="BU355" ca="1">INDIRECT("'"&amp;$C355&amp;"'!"&amp;"$"&amp;$D355&amp;74&amp;"")</f>
        <v>0</v>
      </c>
      <c r="BV355" s="275"/>
      <c r="BW355" s="275" t="s">
        <v>1</v>
      </c>
      <c r="BX355" s="273" t="s">
        <v>1</v>
      </c>
    </row>
    <row r="356" spans="1:76">
      <c r="A356" s="459">
        <v>45853</v>
      </c>
      <c r="B356" s="345">
        <v>4.1666666666666699E-2</v>
      </c>
      <c r="C356" s="305">
        <v>15</v>
      </c>
      <c r="D356" s="306" t="s">
        <v>143</v>
      </c>
      <c r="E356" s="278">
        <v>14.1</v>
      </c>
      <c r="F356" s="279">
        <v>69.81</v>
      </c>
      <c r="G356" s="280" t="str" cm="1">
        <f t="array" aca="1" ref="G356" ca="1">INDIRECT("'"&amp;$C356&amp;"'!"&amp;"$"&amp;$D356&amp;$E$1&amp;"")</f>
        <v>CMS</v>
      </c>
      <c r="H356" s="281" t="s">
        <v>1</v>
      </c>
      <c r="I356" s="279" t="s">
        <v>1</v>
      </c>
      <c r="J356" s="280" t="str" cm="1">
        <f t="array" aca="1" ref="J356" ca="1">INDIRECT("'"&amp;$C356&amp;"'!"&amp;"$"&amp;$D356&amp;$J$1&amp;"")</f>
        <v>CMS</v>
      </c>
      <c r="K356" s="281"/>
      <c r="L356" s="281" t="s">
        <v>1</v>
      </c>
      <c r="M356" s="279" t="s">
        <v>1</v>
      </c>
      <c r="N356" s="278" cm="1">
        <f t="array" aca="1" ref="N356" ca="1">INDIRECT("'"&amp;$C356&amp;"'!"&amp;"$"&amp;$D356&amp;$N$1&amp;"")</f>
        <v>6.8</v>
      </c>
      <c r="O356" s="281"/>
      <c r="P356" s="281">
        <v>0.96</v>
      </c>
      <c r="Q356" s="279">
        <v>1.88</v>
      </c>
      <c r="R356" s="468" cm="1">
        <f t="array" aca="1" ref="R356" ca="1">INDIRECT("'"&amp;$C356&amp;"'!"&amp;"$"&amp;$D356&amp;$R$1&amp;"")</f>
        <v>6.7</v>
      </c>
      <c r="S356" s="281"/>
      <c r="T356" s="281">
        <v>0.97</v>
      </c>
      <c r="U356" s="279">
        <v>1.51</v>
      </c>
      <c r="V356" s="280" cm="1">
        <f t="array" aca="1" ref="V356" ca="1">INDIRECT("'"&amp;$C356&amp;"'!"&amp;"$"&amp;$D356&amp;$V$1&amp;"")</f>
        <v>0</v>
      </c>
      <c r="W356" s="281" t="s">
        <v>1</v>
      </c>
      <c r="X356" s="281" t="s">
        <v>1</v>
      </c>
      <c r="Y356" s="279" t="s">
        <v>1</v>
      </c>
      <c r="Z356" s="278" t="str" cm="1">
        <f t="array" aca="1" ref="Z356" ca="1">INDIRECT("'"&amp;$C356&amp;"'!"&amp;"$"&amp;$D356&amp;$Z$1&amp;"")</f>
        <v>CMS</v>
      </c>
      <c r="AA356" s="281" t="s">
        <v>1</v>
      </c>
      <c r="AB356" s="281" t="s">
        <v>1</v>
      </c>
      <c r="AC356" s="279" t="s">
        <v>1</v>
      </c>
      <c r="AD356" s="280" t="str" cm="1">
        <f t="array" aca="1" ref="AD356" ca="1">INDIRECT("'"&amp;$C356&amp;"'!"&amp;"$"&amp;$D356&amp;$AD$1&amp;"")</f>
        <v>CMS</v>
      </c>
      <c r="AE356" s="281" t="s">
        <v>1</v>
      </c>
      <c r="AF356" s="281" t="s">
        <v>1</v>
      </c>
      <c r="AG356" s="279" t="s">
        <v>1</v>
      </c>
      <c r="AH356" s="278" cm="1">
        <f t="array" aca="1" ref="AH356" ca="1">INDIRECT("'"&amp;$C356&amp;"'!"&amp;"$"&amp;$D356&amp;$AH$1&amp;"")</f>
        <v>0</v>
      </c>
      <c r="AI356" s="281" t="s">
        <v>1</v>
      </c>
      <c r="AJ356" s="281" t="s">
        <v>1</v>
      </c>
      <c r="AK356" s="279" t="s">
        <v>1</v>
      </c>
      <c r="AL356" s="278">
        <v>11.6</v>
      </c>
      <c r="AM356" s="282">
        <v>70.7</v>
      </c>
      <c r="AN356" s="278" cm="1">
        <f t="array" aca="1" ref="AN356" ca="1">INDIRECT("'"&amp;$C356&amp;"'!"&amp;"$"&amp;$D356&amp;$AL$1&amp;"")</f>
        <v>0</v>
      </c>
      <c r="AO356" s="281" t="s">
        <v>1</v>
      </c>
      <c r="AP356" s="279" t="s">
        <v>1</v>
      </c>
      <c r="AQ356" s="280" cm="1">
        <f t="array" aca="1" ref="AQ356" ca="1">INDIRECT("'"&amp;$C356&amp;"'!"&amp;"$"&amp;$D356&amp;$AQ$1&amp;"")</f>
        <v>2.5</v>
      </c>
      <c r="AR356" s="281">
        <v>0.95</v>
      </c>
      <c r="AS356" s="279">
        <v>0.71</v>
      </c>
      <c r="AT356" s="278">
        <v>13.9</v>
      </c>
      <c r="AU356" s="282">
        <v>70.7</v>
      </c>
      <c r="AV356" s="281" cm="1">
        <f t="array" aca="1" ref="AV356" ca="1">INDIRECT("'"&amp;$C356&amp;"'!"&amp;"$"&amp;$D356&amp;$AV$1&amp;"")</f>
        <v>0</v>
      </c>
      <c r="AW356" s="280" t="s">
        <v>1</v>
      </c>
      <c r="AX356" s="281" t="s">
        <v>1</v>
      </c>
      <c r="AY356" s="279" t="s">
        <v>1</v>
      </c>
      <c r="AZ356" s="281" cm="1">
        <f t="array" aca="1" ref="AZ356" ca="1">INDIRECT("'"&amp;$C356&amp;"'!"&amp;"$"&amp;$D356&amp;$AZ$1&amp;"")</f>
        <v>7</v>
      </c>
      <c r="BA356" s="280" t="s">
        <v>1</v>
      </c>
      <c r="BB356" s="281">
        <v>0.97</v>
      </c>
      <c r="BC356" s="279">
        <v>1.62</v>
      </c>
      <c r="BD356" s="283">
        <v>14</v>
      </c>
      <c r="BE356" s="282">
        <v>71.25</v>
      </c>
      <c r="BF356" s="283" cm="1">
        <f t="array" aca="1" ref="BF356" ca="1">INDIRECT("'"&amp;$C356&amp;"'!"&amp;"$"&amp;$D356&amp;$BF$1&amp;"")</f>
        <v>14.27</v>
      </c>
      <c r="BG356" s="281">
        <v>1</v>
      </c>
      <c r="BH356" s="279">
        <v>1.18</v>
      </c>
      <c r="BI356" s="524">
        <v>69</v>
      </c>
      <c r="BJ356" s="278" cm="1">
        <f t="array" aca="1" ref="BJ356" ca="1">INDIRECT("'"&amp;$C356&amp;"'!"&amp;"$"&amp;$D356&amp;$BI$1&amp;"")</f>
        <v>0</v>
      </c>
      <c r="BK356" s="280" t="s">
        <v>1</v>
      </c>
      <c r="BL356" s="279" t="s">
        <v>1</v>
      </c>
      <c r="BM356" s="283" cm="1">
        <f t="array" aca="1" ref="BM356" ca="1">INDIRECT("'"&amp;$C356&amp;"'!"&amp;"$"&amp;$D356&amp;$BM$1&amp;"")</f>
        <v>1.06</v>
      </c>
      <c r="BN356" s="281"/>
      <c r="BO356" s="281">
        <v>0.99</v>
      </c>
      <c r="BP356" s="279">
        <v>0.14000000000000001</v>
      </c>
      <c r="BQ356" s="283" cm="1">
        <f t="array" aca="1" ref="BQ356" ca="1">INDIRECT("'"&amp;$C356&amp;"'!"&amp;"$"&amp;$D356&amp;$BQ$1&amp;"")</f>
        <v>0.85</v>
      </c>
      <c r="BR356" s="281"/>
      <c r="BS356" s="281">
        <v>0.97</v>
      </c>
      <c r="BT356" s="279">
        <v>0.21</v>
      </c>
      <c r="BU356" s="284" cm="1">
        <f t="array" aca="1" ref="BU356" ca="1">INDIRECT("'"&amp;$C356&amp;"'!"&amp;"$"&amp;$D356&amp;74&amp;"")</f>
        <v>0</v>
      </c>
      <c r="BV356" s="281"/>
      <c r="BW356" s="281" t="s">
        <v>1</v>
      </c>
      <c r="BX356" s="279" t="s">
        <v>1</v>
      </c>
    </row>
    <row r="357" spans="1:76">
      <c r="A357" s="459">
        <v>45853</v>
      </c>
      <c r="B357" s="345">
        <v>8.3333333333333301E-2</v>
      </c>
      <c r="C357" s="305">
        <v>15</v>
      </c>
      <c r="D357" s="306" t="s">
        <v>144</v>
      </c>
      <c r="E357" s="285">
        <v>14.1</v>
      </c>
      <c r="F357" s="286">
        <v>70.010000000000005</v>
      </c>
      <c r="G357" s="287" t="str" cm="1">
        <f t="array" aca="1" ref="G357" ca="1">INDIRECT("'"&amp;$C357&amp;"'!"&amp;"$"&amp;$D357&amp;$E$1&amp;"")</f>
        <v>CMS</v>
      </c>
      <c r="H357" s="288" t="s">
        <v>1</v>
      </c>
      <c r="I357" s="286" t="s">
        <v>1</v>
      </c>
      <c r="J357" s="287" t="str" cm="1">
        <f t="array" aca="1" ref="J357" ca="1">INDIRECT("'"&amp;$C357&amp;"'!"&amp;"$"&amp;$D357&amp;$J$1&amp;"")</f>
        <v>CMS</v>
      </c>
      <c r="K357" s="288"/>
      <c r="L357" s="288" t="s">
        <v>1</v>
      </c>
      <c r="M357" s="286" t="s">
        <v>1</v>
      </c>
      <c r="N357" s="285" cm="1">
        <f t="array" aca="1" ref="N357" ca="1">INDIRECT("'"&amp;$C357&amp;"'!"&amp;"$"&amp;$D357&amp;$N$1&amp;"")</f>
        <v>6.7</v>
      </c>
      <c r="O357" s="288"/>
      <c r="P357" s="288">
        <v>0.98</v>
      </c>
      <c r="Q357" s="286">
        <v>1.45</v>
      </c>
      <c r="R357" s="285" cm="1">
        <f t="array" aca="1" ref="R357" ca="1">INDIRECT("'"&amp;$C357&amp;"'!"&amp;"$"&amp;$D357&amp;$R$1&amp;"")</f>
        <v>6.7</v>
      </c>
      <c r="S357" s="288"/>
      <c r="T357" s="288">
        <v>0.98</v>
      </c>
      <c r="U357" s="286">
        <v>1.46</v>
      </c>
      <c r="V357" s="287" cm="1">
        <f t="array" aca="1" ref="V357" ca="1">INDIRECT("'"&amp;$C357&amp;"'!"&amp;"$"&amp;$D357&amp;$V$1&amp;"")</f>
        <v>0</v>
      </c>
      <c r="W357" s="288" t="s">
        <v>1</v>
      </c>
      <c r="X357" s="288" t="s">
        <v>1</v>
      </c>
      <c r="Y357" s="286" t="s">
        <v>1</v>
      </c>
      <c r="Z357" s="278" t="str" cm="1">
        <f t="array" aca="1" ref="Z357" ca="1">INDIRECT("'"&amp;$C357&amp;"'!"&amp;"$"&amp;$D357&amp;$Z$1&amp;"")</f>
        <v>CMS</v>
      </c>
      <c r="AA357" s="288" t="s">
        <v>1</v>
      </c>
      <c r="AB357" s="288" t="s">
        <v>1</v>
      </c>
      <c r="AC357" s="286" t="s">
        <v>1</v>
      </c>
      <c r="AD357" s="287" t="str" cm="1">
        <f t="array" aca="1" ref="AD357" ca="1">INDIRECT("'"&amp;$C357&amp;"'!"&amp;"$"&amp;$D357&amp;$AD$1&amp;"")</f>
        <v>CMS</v>
      </c>
      <c r="AE357" s="288" t="s">
        <v>1</v>
      </c>
      <c r="AF357" s="288" t="s">
        <v>1</v>
      </c>
      <c r="AG357" s="289" t="s">
        <v>1</v>
      </c>
      <c r="AH357" s="285" cm="1">
        <f t="array" aca="1" ref="AH357" ca="1">INDIRECT("'"&amp;$C357&amp;"'!"&amp;"$"&amp;$D357&amp;$AH$1&amp;"")</f>
        <v>0</v>
      </c>
      <c r="AI357" s="288" t="s">
        <v>1</v>
      </c>
      <c r="AJ357" s="288" t="s">
        <v>1</v>
      </c>
      <c r="AK357" s="289" t="s">
        <v>1</v>
      </c>
      <c r="AL357" s="285">
        <v>11.6</v>
      </c>
      <c r="AM357" s="289">
        <v>70.8</v>
      </c>
      <c r="AN357" s="285" cm="1">
        <f t="array" aca="1" ref="AN357" ca="1">INDIRECT("'"&amp;$C357&amp;"'!"&amp;"$"&amp;$D357&amp;$AL$1&amp;"")</f>
        <v>0</v>
      </c>
      <c r="AO357" s="288" t="s">
        <v>1</v>
      </c>
      <c r="AP357" s="286" t="s">
        <v>1</v>
      </c>
      <c r="AQ357" s="287" cm="1">
        <f t="array" aca="1" ref="AQ357" ca="1">INDIRECT("'"&amp;$C357&amp;"'!"&amp;"$"&amp;$D357&amp;$AQ$1&amp;"")</f>
        <v>1.5</v>
      </c>
      <c r="AR357" s="288">
        <v>0.93</v>
      </c>
      <c r="AS357" s="286">
        <v>0.67</v>
      </c>
      <c r="AT357" s="285">
        <v>13.9</v>
      </c>
      <c r="AU357" s="289">
        <v>70.7</v>
      </c>
      <c r="AV357" s="288" cm="1">
        <f t="array" aca="1" ref="AV357" ca="1">INDIRECT("'"&amp;$C357&amp;"'!"&amp;"$"&amp;$D357&amp;$AV$1&amp;"")</f>
        <v>0</v>
      </c>
      <c r="AW357" s="287" t="s">
        <v>1</v>
      </c>
      <c r="AX357" s="288" t="s">
        <v>1</v>
      </c>
      <c r="AY357" s="286" t="s">
        <v>1</v>
      </c>
      <c r="AZ357" s="288" cm="1">
        <f t="array" aca="1" ref="AZ357" ca="1">INDIRECT("'"&amp;$C357&amp;"'!"&amp;"$"&amp;$D357&amp;$AZ$1&amp;"")</f>
        <v>6.4</v>
      </c>
      <c r="BA357" s="287" t="s">
        <v>1</v>
      </c>
      <c r="BB357" s="288">
        <v>0.97</v>
      </c>
      <c r="BC357" s="286">
        <v>1.58</v>
      </c>
      <c r="BD357" s="290">
        <v>14.02</v>
      </c>
      <c r="BE357" s="289">
        <v>71.349999999999994</v>
      </c>
      <c r="BF357" s="290" cm="1">
        <f t="array" aca="1" ref="BF357" ca="1">INDIRECT("'"&amp;$C357&amp;"'!"&amp;"$"&amp;$D357&amp;$BF$1&amp;"")</f>
        <v>14.27</v>
      </c>
      <c r="BG357" s="288">
        <v>1</v>
      </c>
      <c r="BH357" s="286">
        <v>1.21</v>
      </c>
      <c r="BI357" s="525">
        <v>69</v>
      </c>
      <c r="BJ357" s="285" cm="1">
        <f t="array" aca="1" ref="BJ357" ca="1">INDIRECT("'"&amp;$C357&amp;"'!"&amp;"$"&amp;$D357&amp;$BI$1&amp;"")</f>
        <v>0</v>
      </c>
      <c r="BK357" s="287" t="s">
        <v>1</v>
      </c>
      <c r="BL357" s="286" t="s">
        <v>1</v>
      </c>
      <c r="BM357" s="290" cm="1">
        <f t="array" aca="1" ref="BM357" ca="1">INDIRECT("'"&amp;$C357&amp;"'!"&amp;"$"&amp;$D357&amp;$BM$1&amp;"")</f>
        <v>1.03</v>
      </c>
      <c r="BN357" s="288"/>
      <c r="BO357" s="288">
        <v>0.99</v>
      </c>
      <c r="BP357" s="286">
        <v>0.14000000000000001</v>
      </c>
      <c r="BQ357" s="290" cm="1">
        <f t="array" aca="1" ref="BQ357" ca="1">INDIRECT("'"&amp;$C357&amp;"'!"&amp;"$"&amp;$D357&amp;$BQ$1&amp;"")</f>
        <v>0.8</v>
      </c>
      <c r="BR357" s="288"/>
      <c r="BS357" s="288">
        <v>0.96</v>
      </c>
      <c r="BT357" s="286">
        <v>0.21</v>
      </c>
      <c r="BU357" s="291" cm="1">
        <f t="array" aca="1" ref="BU357" ca="1">INDIRECT("'"&amp;$C357&amp;"'!"&amp;"$"&amp;$D357&amp;74&amp;"")</f>
        <v>0</v>
      </c>
      <c r="BV357" s="288"/>
      <c r="BW357" s="288" t="s">
        <v>1</v>
      </c>
      <c r="BX357" s="286" t="s">
        <v>1</v>
      </c>
    </row>
    <row r="358" spans="1:76">
      <c r="A358" s="459">
        <v>45853</v>
      </c>
      <c r="B358" s="345">
        <v>0.125</v>
      </c>
      <c r="C358" s="305">
        <v>15</v>
      </c>
      <c r="D358" s="306" t="s">
        <v>145</v>
      </c>
      <c r="E358" s="278">
        <v>14.1</v>
      </c>
      <c r="F358" s="279">
        <v>69.81</v>
      </c>
      <c r="G358" s="280" t="str" cm="1">
        <f t="array" aca="1" ref="G358" ca="1">INDIRECT("'"&amp;$C358&amp;"'!"&amp;"$"&amp;$D358&amp;$E$1&amp;"")</f>
        <v>CMS</v>
      </c>
      <c r="H358" s="281" t="s">
        <v>1</v>
      </c>
      <c r="I358" s="279" t="s">
        <v>1</v>
      </c>
      <c r="J358" s="280" t="str" cm="1">
        <f t="array" aca="1" ref="J358" ca="1">INDIRECT("'"&amp;$C358&amp;"'!"&amp;"$"&amp;$D358&amp;$J$1&amp;"")</f>
        <v>CMS</v>
      </c>
      <c r="K358" s="281"/>
      <c r="L358" s="281" t="s">
        <v>1</v>
      </c>
      <c r="M358" s="279" t="s">
        <v>1</v>
      </c>
      <c r="N358" s="278" cm="1">
        <f t="array" aca="1" ref="N358" ca="1">INDIRECT("'"&amp;$C358&amp;"'!"&amp;"$"&amp;$D358&amp;$N$1&amp;"")</f>
        <v>6.6</v>
      </c>
      <c r="O358" s="281"/>
      <c r="P358" s="281">
        <v>0.98</v>
      </c>
      <c r="Q358" s="279">
        <v>1.51</v>
      </c>
      <c r="R358" s="468" cm="1">
        <f t="array" aca="1" ref="R358" ca="1">INDIRECT("'"&amp;$C358&amp;"'!"&amp;"$"&amp;$D358&amp;$R$1&amp;"")</f>
        <v>6.6</v>
      </c>
      <c r="S358" s="281"/>
      <c r="T358" s="281">
        <v>0.97</v>
      </c>
      <c r="U358" s="279">
        <v>1.54</v>
      </c>
      <c r="V358" s="280" cm="1">
        <f t="array" aca="1" ref="V358" ca="1">INDIRECT("'"&amp;$C358&amp;"'!"&amp;"$"&amp;$D358&amp;$V$1&amp;"")</f>
        <v>0</v>
      </c>
      <c r="W358" s="281" t="s">
        <v>1</v>
      </c>
      <c r="X358" s="281" t="s">
        <v>1</v>
      </c>
      <c r="Y358" s="279" t="s">
        <v>1</v>
      </c>
      <c r="Z358" s="278" t="str" cm="1">
        <f t="array" aca="1" ref="Z358" ca="1">INDIRECT("'"&amp;$C358&amp;"'!"&amp;"$"&amp;$D358&amp;$Z$1&amp;"")</f>
        <v>CMS</v>
      </c>
      <c r="AA358" s="281" t="s">
        <v>1</v>
      </c>
      <c r="AB358" s="281" t="s">
        <v>1</v>
      </c>
      <c r="AC358" s="279" t="s">
        <v>1</v>
      </c>
      <c r="AD358" s="280" t="str" cm="1">
        <f t="array" aca="1" ref="AD358" ca="1">INDIRECT("'"&amp;$C358&amp;"'!"&amp;"$"&amp;$D358&amp;$AD$1&amp;"")</f>
        <v>CMS</v>
      </c>
      <c r="AE358" s="281" t="s">
        <v>1</v>
      </c>
      <c r="AF358" s="281" t="s">
        <v>1</v>
      </c>
      <c r="AG358" s="279" t="s">
        <v>1</v>
      </c>
      <c r="AH358" s="278" cm="1">
        <f t="array" aca="1" ref="AH358" ca="1">INDIRECT("'"&amp;$C358&amp;"'!"&amp;"$"&amp;$D358&amp;$AH$1&amp;"")</f>
        <v>0</v>
      </c>
      <c r="AI358" s="281" t="s">
        <v>1</v>
      </c>
      <c r="AJ358" s="281" t="s">
        <v>1</v>
      </c>
      <c r="AK358" s="279" t="s">
        <v>1</v>
      </c>
      <c r="AL358" s="278">
        <v>0</v>
      </c>
      <c r="AM358" s="282">
        <v>70.7</v>
      </c>
      <c r="AN358" s="278" cm="1">
        <f t="array" aca="1" ref="AN358" ca="1">INDIRECT("'"&amp;$C358&amp;"'!"&amp;"$"&amp;$D358&amp;$AL$1&amp;"")</f>
        <v>0</v>
      </c>
      <c r="AO358" s="281" t="s">
        <v>1</v>
      </c>
      <c r="AP358" s="279" t="s">
        <v>1</v>
      </c>
      <c r="AQ358" s="280" cm="1">
        <f t="array" aca="1" ref="AQ358" ca="1">INDIRECT("'"&amp;$C358&amp;"'!"&amp;"$"&amp;$D358&amp;$AQ$1&amp;"")</f>
        <v>0</v>
      </c>
      <c r="AR358" s="281" t="s">
        <v>1</v>
      </c>
      <c r="AS358" s="279" t="s">
        <v>1</v>
      </c>
      <c r="AT358" s="278">
        <v>13.9</v>
      </c>
      <c r="AU358" s="282">
        <v>70.7</v>
      </c>
      <c r="AV358" s="281" cm="1">
        <f t="array" aca="1" ref="AV358" ca="1">INDIRECT("'"&amp;$C358&amp;"'!"&amp;"$"&amp;$D358&amp;$AV$1&amp;"")</f>
        <v>0</v>
      </c>
      <c r="AW358" s="280" t="s">
        <v>1</v>
      </c>
      <c r="AX358" s="281" t="s">
        <v>1</v>
      </c>
      <c r="AY358" s="279" t="s">
        <v>1</v>
      </c>
      <c r="AZ358" s="281" cm="1">
        <f t="array" aca="1" ref="AZ358" ca="1">INDIRECT("'"&amp;$C358&amp;"'!"&amp;"$"&amp;$D358&amp;$AZ$1&amp;"")</f>
        <v>6.87</v>
      </c>
      <c r="BA358" s="280" t="s">
        <v>1</v>
      </c>
      <c r="BB358" s="281">
        <v>0.97</v>
      </c>
      <c r="BC358" s="279">
        <v>1.88</v>
      </c>
      <c r="BD358" s="283">
        <v>14.09</v>
      </c>
      <c r="BE358" s="282">
        <v>71.72</v>
      </c>
      <c r="BF358" s="283" cm="1">
        <f t="array" aca="1" ref="BF358" ca="1">INDIRECT("'"&amp;$C358&amp;"'!"&amp;"$"&amp;$D358&amp;$BF$1&amp;"")</f>
        <v>14.27</v>
      </c>
      <c r="BG358" s="281">
        <v>1</v>
      </c>
      <c r="BH358" s="279">
        <v>1.26</v>
      </c>
      <c r="BI358" s="524">
        <v>69.099999999999994</v>
      </c>
      <c r="BJ358" s="278" cm="1">
        <f t="array" aca="1" ref="BJ358" ca="1">INDIRECT("'"&amp;$C358&amp;"'!"&amp;"$"&amp;$D358&amp;$BI$1&amp;"")</f>
        <v>0</v>
      </c>
      <c r="BK358" s="280" t="s">
        <v>1</v>
      </c>
      <c r="BL358" s="279" t="s">
        <v>1</v>
      </c>
      <c r="BM358" s="283" cm="1">
        <f t="array" aca="1" ref="BM358" ca="1">INDIRECT("'"&amp;$C358&amp;"'!"&amp;"$"&amp;$D358&amp;$BM$1&amp;"")</f>
        <v>1.01</v>
      </c>
      <c r="BN358" s="281"/>
      <c r="BO358" s="281">
        <v>0.99</v>
      </c>
      <c r="BP358" s="279">
        <v>0.14000000000000001</v>
      </c>
      <c r="BQ358" s="283" cm="1">
        <f t="array" aca="1" ref="BQ358" ca="1">INDIRECT("'"&amp;$C358&amp;"'!"&amp;"$"&amp;$D358&amp;$BQ$1&amp;"")</f>
        <v>0.79</v>
      </c>
      <c r="BR358" s="281"/>
      <c r="BS358" s="281">
        <v>0.96</v>
      </c>
      <c r="BT358" s="279">
        <v>0.2</v>
      </c>
      <c r="BU358" s="284" cm="1">
        <f t="array" aca="1" ref="BU358" ca="1">INDIRECT("'"&amp;$C358&amp;"'!"&amp;"$"&amp;$D358&amp;74&amp;"")</f>
        <v>0</v>
      </c>
      <c r="BV358" s="281"/>
      <c r="BW358" s="281" t="s">
        <v>1</v>
      </c>
      <c r="BX358" s="279" t="s">
        <v>1</v>
      </c>
    </row>
    <row r="359" spans="1:76">
      <c r="A359" s="459">
        <v>45853</v>
      </c>
      <c r="B359" s="345">
        <v>0.16666666666666699</v>
      </c>
      <c r="C359" s="305">
        <v>15</v>
      </c>
      <c r="D359" s="306" t="s">
        <v>146</v>
      </c>
      <c r="E359" s="285">
        <v>14.1</v>
      </c>
      <c r="F359" s="286">
        <v>69.819999999999993</v>
      </c>
      <c r="G359" s="287" t="str" cm="1">
        <f t="array" aca="1" ref="G359" ca="1">INDIRECT("'"&amp;$C359&amp;"'!"&amp;"$"&amp;$D359&amp;$E$1&amp;"")</f>
        <v>CMS</v>
      </c>
      <c r="H359" s="288" t="s">
        <v>1</v>
      </c>
      <c r="I359" s="286" t="s">
        <v>1</v>
      </c>
      <c r="J359" s="287" t="str" cm="1">
        <f t="array" aca="1" ref="J359" ca="1">INDIRECT("'"&amp;$C359&amp;"'!"&amp;"$"&amp;$D359&amp;$J$1&amp;"")</f>
        <v>CMS</v>
      </c>
      <c r="K359" s="288"/>
      <c r="L359" s="288" t="s">
        <v>1</v>
      </c>
      <c r="M359" s="286" t="s">
        <v>1</v>
      </c>
      <c r="N359" s="285" cm="1">
        <f t="array" aca="1" ref="N359" ca="1">INDIRECT("'"&amp;$C359&amp;"'!"&amp;"$"&amp;$D359&amp;$N$1&amp;"")</f>
        <v>6.8</v>
      </c>
      <c r="O359" s="288"/>
      <c r="P359" s="288">
        <v>0.97</v>
      </c>
      <c r="Q359" s="286">
        <v>1.69</v>
      </c>
      <c r="R359" s="285" cm="1">
        <f t="array" aca="1" ref="R359" ca="1">INDIRECT("'"&amp;$C359&amp;"'!"&amp;"$"&amp;$D359&amp;$R$1&amp;"")</f>
        <v>6.8</v>
      </c>
      <c r="S359" s="288"/>
      <c r="T359" s="288">
        <v>0.97</v>
      </c>
      <c r="U359" s="286">
        <v>1.71</v>
      </c>
      <c r="V359" s="287" cm="1">
        <f t="array" aca="1" ref="V359" ca="1">INDIRECT("'"&amp;$C359&amp;"'!"&amp;"$"&amp;$D359&amp;$V$1&amp;"")</f>
        <v>0</v>
      </c>
      <c r="W359" s="288" t="s">
        <v>1</v>
      </c>
      <c r="X359" s="288" t="s">
        <v>1</v>
      </c>
      <c r="Y359" s="286" t="s">
        <v>1</v>
      </c>
      <c r="Z359" s="285" t="str" cm="1">
        <f t="array" aca="1" ref="Z359" ca="1">INDIRECT("'"&amp;$C359&amp;"'!"&amp;"$"&amp;$D359&amp;$Z$1&amp;"")</f>
        <v>CMS</v>
      </c>
      <c r="AA359" s="288" t="s">
        <v>1</v>
      </c>
      <c r="AB359" s="288" t="s">
        <v>1</v>
      </c>
      <c r="AC359" s="286" t="s">
        <v>1</v>
      </c>
      <c r="AD359" s="287" t="str" cm="1">
        <f t="array" aca="1" ref="AD359" ca="1">INDIRECT("'"&amp;$C359&amp;"'!"&amp;"$"&amp;$D359&amp;$AD$1&amp;"")</f>
        <v>CMS</v>
      </c>
      <c r="AE359" s="288" t="s">
        <v>1</v>
      </c>
      <c r="AF359" s="288" t="s">
        <v>1</v>
      </c>
      <c r="AG359" s="289" t="s">
        <v>1</v>
      </c>
      <c r="AH359" s="285" cm="1">
        <f t="array" aca="1" ref="AH359" ca="1">INDIRECT("'"&amp;$C359&amp;"'!"&amp;"$"&amp;$D359&amp;$AH$1&amp;"")</f>
        <v>0</v>
      </c>
      <c r="AI359" s="288" t="s">
        <v>1</v>
      </c>
      <c r="AJ359" s="288" t="s">
        <v>1</v>
      </c>
      <c r="AK359" s="289" t="s">
        <v>1</v>
      </c>
      <c r="AL359" s="285">
        <v>0</v>
      </c>
      <c r="AM359" s="289">
        <v>70.599999999999994</v>
      </c>
      <c r="AN359" s="285" cm="1">
        <f t="array" aca="1" ref="AN359" ca="1">INDIRECT("'"&amp;$C359&amp;"'!"&amp;"$"&amp;$D359&amp;$AL$1&amp;"")</f>
        <v>0</v>
      </c>
      <c r="AO359" s="288" t="s">
        <v>1</v>
      </c>
      <c r="AP359" s="286" t="s">
        <v>1</v>
      </c>
      <c r="AQ359" s="287" cm="1">
        <f t="array" aca="1" ref="AQ359" ca="1">INDIRECT("'"&amp;$C359&amp;"'!"&amp;"$"&amp;$D359&amp;$AQ$1&amp;"")</f>
        <v>0</v>
      </c>
      <c r="AR359" s="288" t="s">
        <v>1</v>
      </c>
      <c r="AS359" s="286" t="s">
        <v>1</v>
      </c>
      <c r="AT359" s="285">
        <v>13.9</v>
      </c>
      <c r="AU359" s="289">
        <v>70.7</v>
      </c>
      <c r="AV359" s="288" cm="1">
        <f t="array" aca="1" ref="AV359" ca="1">INDIRECT("'"&amp;$C359&amp;"'!"&amp;"$"&amp;$D359&amp;$AV$1&amp;"")</f>
        <v>0</v>
      </c>
      <c r="AW359" s="287" t="s">
        <v>1</v>
      </c>
      <c r="AX359" s="288" t="s">
        <v>1</v>
      </c>
      <c r="AY359" s="286" t="s">
        <v>1</v>
      </c>
      <c r="AZ359" s="288" cm="1">
        <f t="array" aca="1" ref="AZ359" ca="1">INDIRECT("'"&amp;$C359&amp;"'!"&amp;"$"&amp;$D359&amp;$AZ$1&amp;"")</f>
        <v>6.2</v>
      </c>
      <c r="BA359" s="287" t="s">
        <v>1</v>
      </c>
      <c r="BB359" s="288">
        <v>0.96</v>
      </c>
      <c r="BC359" s="286">
        <v>1.8</v>
      </c>
      <c r="BD359" s="290">
        <v>14.02</v>
      </c>
      <c r="BE359" s="289">
        <v>71.42</v>
      </c>
      <c r="BF359" s="290" cm="1">
        <f t="array" aca="1" ref="BF359" ca="1">INDIRECT("'"&amp;$C359&amp;"'!"&amp;"$"&amp;$D359&amp;$BF$1&amp;"")</f>
        <v>14.26</v>
      </c>
      <c r="BG359" s="288">
        <v>1</v>
      </c>
      <c r="BH359" s="286">
        <v>1.19</v>
      </c>
      <c r="BI359" s="525">
        <v>69</v>
      </c>
      <c r="BJ359" s="285" cm="1">
        <f t="array" aca="1" ref="BJ359" ca="1">INDIRECT("'"&amp;$C359&amp;"'!"&amp;"$"&amp;$D359&amp;$BI$1&amp;"")</f>
        <v>0</v>
      </c>
      <c r="BK359" s="287" t="s">
        <v>1</v>
      </c>
      <c r="BL359" s="286" t="s">
        <v>1</v>
      </c>
      <c r="BM359" s="290" cm="1">
        <f t="array" aca="1" ref="BM359" ca="1">INDIRECT("'"&amp;$C359&amp;"'!"&amp;"$"&amp;$D359&amp;$BM$1&amp;"")</f>
        <v>0.97</v>
      </c>
      <c r="BN359" s="288"/>
      <c r="BO359" s="288">
        <v>0.99</v>
      </c>
      <c r="BP359" s="286">
        <v>0.14000000000000001</v>
      </c>
      <c r="BQ359" s="290" cm="1">
        <f t="array" aca="1" ref="BQ359" ca="1">INDIRECT("'"&amp;$C359&amp;"'!"&amp;"$"&amp;$D359&amp;$BQ$1&amp;"")</f>
        <v>0.76</v>
      </c>
      <c r="BR359" s="288"/>
      <c r="BS359" s="288">
        <v>0.96</v>
      </c>
      <c r="BT359" s="286">
        <v>0.18</v>
      </c>
      <c r="BU359" s="291" cm="1">
        <f t="array" aca="1" ref="BU359" ca="1">INDIRECT("'"&amp;$C359&amp;"'!"&amp;"$"&amp;$D359&amp;74&amp;"")</f>
        <v>0</v>
      </c>
      <c r="BV359" s="288"/>
      <c r="BW359" s="288" t="s">
        <v>1</v>
      </c>
      <c r="BX359" s="286" t="s">
        <v>1</v>
      </c>
    </row>
    <row r="360" spans="1:76">
      <c r="A360" s="459">
        <v>45853</v>
      </c>
      <c r="B360" s="345">
        <v>0.20833333333333301</v>
      </c>
      <c r="C360" s="305">
        <v>15</v>
      </c>
      <c r="D360" s="306" t="s">
        <v>147</v>
      </c>
      <c r="E360" s="278">
        <v>14.1</v>
      </c>
      <c r="F360" s="279">
        <v>69.81</v>
      </c>
      <c r="G360" s="280" t="str" cm="1">
        <f t="array" aca="1" ref="G360" ca="1">INDIRECT("'"&amp;$C360&amp;"'!"&amp;"$"&amp;$D360&amp;$E$1&amp;"")</f>
        <v>CMS</v>
      </c>
      <c r="H360" s="281" t="s">
        <v>1</v>
      </c>
      <c r="I360" s="279" t="s">
        <v>1</v>
      </c>
      <c r="J360" s="280" t="str" cm="1">
        <f t="array" aca="1" ref="J360" ca="1">INDIRECT("'"&amp;$C360&amp;"'!"&amp;"$"&amp;$D360&amp;$J$1&amp;"")</f>
        <v>CMS</v>
      </c>
      <c r="K360" s="281"/>
      <c r="L360" s="281" t="s">
        <v>1</v>
      </c>
      <c r="M360" s="282" t="s">
        <v>1</v>
      </c>
      <c r="N360" s="278" cm="1">
        <f t="array" aca="1" ref="N360" ca="1">INDIRECT("'"&amp;$C360&amp;"'!"&amp;"$"&amp;$D360&amp;$N$1&amp;"")</f>
        <v>6.6</v>
      </c>
      <c r="O360" s="281"/>
      <c r="P360" s="281">
        <v>0.97</v>
      </c>
      <c r="Q360" s="279">
        <v>1.58</v>
      </c>
      <c r="R360" s="468" cm="1">
        <f t="array" aca="1" ref="R360" ca="1">INDIRECT("'"&amp;$C360&amp;"'!"&amp;"$"&amp;$D360&amp;$R$1&amp;"")</f>
        <v>6.7</v>
      </c>
      <c r="S360" s="281"/>
      <c r="T360" s="281">
        <v>0.98</v>
      </c>
      <c r="U360" s="279">
        <v>2.0099999999999998</v>
      </c>
      <c r="V360" s="280" cm="1">
        <f t="array" aca="1" ref="V360" ca="1">INDIRECT("'"&amp;$C360&amp;"'!"&amp;"$"&amp;$D360&amp;$V$1&amp;"")</f>
        <v>0</v>
      </c>
      <c r="W360" s="281" t="s">
        <v>1</v>
      </c>
      <c r="X360" s="281" t="s">
        <v>1</v>
      </c>
      <c r="Y360" s="279" t="s">
        <v>1</v>
      </c>
      <c r="Z360" s="278" t="str" cm="1">
        <f t="array" aca="1" ref="Z360" ca="1">INDIRECT("'"&amp;$C360&amp;"'!"&amp;"$"&amp;$D360&amp;$Z$1&amp;"")</f>
        <v>CMS</v>
      </c>
      <c r="AA360" s="281" t="s">
        <v>1</v>
      </c>
      <c r="AB360" s="281" t="s">
        <v>1</v>
      </c>
      <c r="AC360" s="279" t="s">
        <v>1</v>
      </c>
      <c r="AD360" s="280" t="str" cm="1">
        <f t="array" aca="1" ref="AD360" ca="1">INDIRECT("'"&amp;$C360&amp;"'!"&amp;"$"&amp;$D360&amp;$AD$1&amp;"")</f>
        <v>CMS</v>
      </c>
      <c r="AE360" s="281" t="s">
        <v>1</v>
      </c>
      <c r="AF360" s="281" t="s">
        <v>1</v>
      </c>
      <c r="AG360" s="282" t="s">
        <v>1</v>
      </c>
      <c r="AH360" s="278" cm="1">
        <f t="array" aca="1" ref="AH360" ca="1">INDIRECT("'"&amp;$C360&amp;"'!"&amp;"$"&amp;$D360&amp;$AH$1&amp;"")</f>
        <v>0</v>
      </c>
      <c r="AI360" s="281" t="s">
        <v>1</v>
      </c>
      <c r="AJ360" s="281" t="s">
        <v>1</v>
      </c>
      <c r="AK360" s="282" t="s">
        <v>1</v>
      </c>
      <c r="AL360" s="278">
        <v>11.5</v>
      </c>
      <c r="AM360" s="282">
        <v>70.7</v>
      </c>
      <c r="AN360" s="278" cm="1">
        <f t="array" aca="1" ref="AN360" ca="1">INDIRECT("'"&amp;$C360&amp;"'!"&amp;"$"&amp;$D360&amp;$AL$1&amp;"")</f>
        <v>1.8</v>
      </c>
      <c r="AO360" s="281">
        <v>0.98</v>
      </c>
      <c r="AP360" s="279">
        <v>0.39</v>
      </c>
      <c r="AQ360" s="280" cm="1">
        <f t="array" aca="1" ref="AQ360" ca="1">INDIRECT("'"&amp;$C360&amp;"'!"&amp;"$"&amp;$D360&amp;$AQ$1&amp;"")</f>
        <v>0</v>
      </c>
      <c r="AR360" s="281" t="s">
        <v>1</v>
      </c>
      <c r="AS360" s="279" t="s">
        <v>1</v>
      </c>
      <c r="AT360" s="278">
        <v>13.9</v>
      </c>
      <c r="AU360" s="282">
        <v>70.7</v>
      </c>
      <c r="AV360" s="281" cm="1">
        <f t="array" aca="1" ref="AV360" ca="1">INDIRECT("'"&amp;$C360&amp;"'!"&amp;"$"&amp;$D360&amp;$AV$1&amp;"")</f>
        <v>0</v>
      </c>
      <c r="AW360" s="280" t="s">
        <v>1</v>
      </c>
      <c r="AX360" s="281" t="s">
        <v>1</v>
      </c>
      <c r="AY360" s="279" t="s">
        <v>1</v>
      </c>
      <c r="AZ360" s="281" cm="1">
        <f t="array" aca="1" ref="AZ360" ca="1">INDIRECT("'"&amp;$C360&amp;"'!"&amp;"$"&amp;$D360&amp;$AZ$1&amp;"")</f>
        <v>6.23</v>
      </c>
      <c r="BA360" s="280" t="s">
        <v>1</v>
      </c>
      <c r="BB360" s="281">
        <v>0.98</v>
      </c>
      <c r="BC360" s="279">
        <v>1.48</v>
      </c>
      <c r="BD360" s="283">
        <v>14.02</v>
      </c>
      <c r="BE360" s="282">
        <v>71.37</v>
      </c>
      <c r="BF360" s="283" cm="1">
        <f t="array" aca="1" ref="BF360" ca="1">INDIRECT("'"&amp;$C360&amp;"'!"&amp;"$"&amp;$D360&amp;$BF$1&amp;"")</f>
        <v>14.26</v>
      </c>
      <c r="BG360" s="281">
        <v>1</v>
      </c>
      <c r="BH360" s="279">
        <v>1.27</v>
      </c>
      <c r="BI360" s="524">
        <v>68.900000000000006</v>
      </c>
      <c r="BJ360" s="278" cm="1">
        <f t="array" aca="1" ref="BJ360" ca="1">INDIRECT("'"&amp;$C360&amp;"'!"&amp;"$"&amp;$D360&amp;$BI$1&amp;"")</f>
        <v>0</v>
      </c>
      <c r="BK360" s="280" t="s">
        <v>1</v>
      </c>
      <c r="BL360" s="279" t="s">
        <v>1</v>
      </c>
      <c r="BM360" s="283" cm="1">
        <f t="array" aca="1" ref="BM360" ca="1">INDIRECT("'"&amp;$C360&amp;"'!"&amp;"$"&amp;$D360&amp;$BM$1&amp;"")</f>
        <v>1</v>
      </c>
      <c r="BN360" s="281"/>
      <c r="BO360" s="281">
        <v>0.99</v>
      </c>
      <c r="BP360" s="279">
        <v>0.15</v>
      </c>
      <c r="BQ360" s="283" cm="1">
        <f t="array" aca="1" ref="BQ360" ca="1">INDIRECT("'"&amp;$C360&amp;"'!"&amp;"$"&amp;$D360&amp;$BQ$1&amp;"")</f>
        <v>0.73</v>
      </c>
      <c r="BR360" s="281"/>
      <c r="BS360" s="281">
        <v>0.96</v>
      </c>
      <c r="BT360" s="279">
        <v>0.19</v>
      </c>
      <c r="BU360" s="284" cm="1">
        <f t="array" aca="1" ref="BU360" ca="1">INDIRECT("'"&amp;$C360&amp;"'!"&amp;"$"&amp;$D360&amp;74&amp;"")</f>
        <v>0</v>
      </c>
      <c r="BV360" s="281"/>
      <c r="BW360" s="281" t="s">
        <v>1</v>
      </c>
      <c r="BX360" s="279" t="s">
        <v>1</v>
      </c>
    </row>
    <row r="361" spans="1:76">
      <c r="A361" s="459">
        <v>45853</v>
      </c>
      <c r="B361" s="345">
        <v>0.25</v>
      </c>
      <c r="C361" s="305">
        <v>15</v>
      </c>
      <c r="D361" s="306" t="s">
        <v>148</v>
      </c>
      <c r="E361" s="285">
        <v>14.1</v>
      </c>
      <c r="F361" s="286">
        <v>69.92</v>
      </c>
      <c r="G361" s="287" t="str" cm="1">
        <f t="array" aca="1" ref="G361" ca="1">INDIRECT("'"&amp;$C361&amp;"'!"&amp;"$"&amp;$D361&amp;$E$1&amp;"")</f>
        <v>CMS</v>
      </c>
      <c r="H361" s="288" t="s">
        <v>1</v>
      </c>
      <c r="I361" s="286" t="s">
        <v>1</v>
      </c>
      <c r="J361" s="287" t="str" cm="1">
        <f t="array" aca="1" ref="J361" ca="1">INDIRECT("'"&amp;$C361&amp;"'!"&amp;"$"&amp;$D361&amp;$J$1&amp;"")</f>
        <v>CMS</v>
      </c>
      <c r="K361" s="288"/>
      <c r="L361" s="288" t="s">
        <v>1</v>
      </c>
      <c r="M361" s="289" t="s">
        <v>1</v>
      </c>
      <c r="N361" s="285" cm="1">
        <f t="array" aca="1" ref="N361" ca="1">INDIRECT("'"&amp;$C361&amp;"'!"&amp;"$"&amp;$D361&amp;$N$1&amp;"")</f>
        <v>6.5</v>
      </c>
      <c r="O361" s="288"/>
      <c r="P361" s="288">
        <v>0.97</v>
      </c>
      <c r="Q361" s="286">
        <v>1.55</v>
      </c>
      <c r="R361" s="285" cm="1">
        <f t="array" aca="1" ref="R361" ca="1">INDIRECT("'"&amp;$C361&amp;"'!"&amp;"$"&amp;$D361&amp;$R$1&amp;"")</f>
        <v>6.6</v>
      </c>
      <c r="S361" s="288"/>
      <c r="T361" s="288">
        <v>0.97</v>
      </c>
      <c r="U361" s="286">
        <v>1.74</v>
      </c>
      <c r="V361" s="287" cm="1">
        <f t="array" aca="1" ref="V361" ca="1">INDIRECT("'"&amp;$C361&amp;"'!"&amp;"$"&amp;$D361&amp;$V$1&amp;"")</f>
        <v>1.2</v>
      </c>
      <c r="W361" s="288">
        <f>3.55*3.8</f>
        <v>13.489999999999998</v>
      </c>
      <c r="X361" s="288">
        <v>0.98</v>
      </c>
      <c r="Y361" s="289">
        <v>0.16</v>
      </c>
      <c r="Z361" s="285" t="str" cm="1">
        <f t="array" aca="1" ref="Z361" ca="1">INDIRECT("'"&amp;$C361&amp;"'!"&amp;"$"&amp;$D361&amp;$Z$1&amp;"")</f>
        <v>CMS</v>
      </c>
      <c r="AA361" s="288" t="s">
        <v>1</v>
      </c>
      <c r="AB361" s="288" t="s">
        <v>1</v>
      </c>
      <c r="AC361" s="286" t="s">
        <v>1</v>
      </c>
      <c r="AD361" s="287" t="str" cm="1">
        <f t="array" aca="1" ref="AD361" ca="1">INDIRECT("'"&amp;$C361&amp;"'!"&amp;"$"&amp;$D361&amp;$AD$1&amp;"")</f>
        <v>CMS</v>
      </c>
      <c r="AE361" s="288" t="s">
        <v>1</v>
      </c>
      <c r="AF361" s="288" t="s">
        <v>1</v>
      </c>
      <c r="AG361" s="289" t="s">
        <v>1</v>
      </c>
      <c r="AH361" s="285" cm="1">
        <f t="array" aca="1" ref="AH361" ca="1">INDIRECT("'"&amp;$C361&amp;"'!"&amp;"$"&amp;$D361&amp;$AH$1&amp;"")</f>
        <v>0</v>
      </c>
      <c r="AI361" s="288" t="s">
        <v>1</v>
      </c>
      <c r="AJ361" s="288" t="s">
        <v>1</v>
      </c>
      <c r="AK361" s="289" t="s">
        <v>1</v>
      </c>
      <c r="AL361" s="285">
        <v>11.6</v>
      </c>
      <c r="AM361" s="289">
        <v>71</v>
      </c>
      <c r="AN361" s="285" cm="1">
        <f t="array" aca="1" ref="AN361" ca="1">INDIRECT("'"&amp;$C361&amp;"'!"&amp;"$"&amp;$D361&amp;$AL$1&amp;"")</f>
        <v>3.8</v>
      </c>
      <c r="AO361" s="288">
        <v>0.98</v>
      </c>
      <c r="AP361" s="286">
        <v>0.82</v>
      </c>
      <c r="AQ361" s="287" cm="1">
        <f t="array" aca="1" ref="AQ361" ca="1">INDIRECT("'"&amp;$C361&amp;"'!"&amp;"$"&amp;$D361&amp;$AQ$1&amp;"")</f>
        <v>0</v>
      </c>
      <c r="AR361" s="288" t="s">
        <v>1</v>
      </c>
      <c r="AS361" s="286" t="s">
        <v>1</v>
      </c>
      <c r="AT361" s="285">
        <v>13.92</v>
      </c>
      <c r="AU361" s="289">
        <v>70.7</v>
      </c>
      <c r="AV361" s="288" cm="1">
        <f t="array" aca="1" ref="AV361" ca="1">INDIRECT("'"&amp;$C361&amp;"'!"&amp;"$"&amp;$D361&amp;$AV$1&amp;"")</f>
        <v>0</v>
      </c>
      <c r="AW361" s="287" t="s">
        <v>1</v>
      </c>
      <c r="AX361" s="288" t="s">
        <v>1</v>
      </c>
      <c r="AY361" s="286" t="s">
        <v>1</v>
      </c>
      <c r="AZ361" s="288" cm="1">
        <f t="array" aca="1" ref="AZ361" ca="1">INDIRECT("'"&amp;$C361&amp;"'!"&amp;"$"&amp;$D361&amp;$AZ$1&amp;"")</f>
        <v>7</v>
      </c>
      <c r="BA361" s="287" t="s">
        <v>1</v>
      </c>
      <c r="BB361" s="288">
        <v>0.99</v>
      </c>
      <c r="BC361" s="286">
        <v>1.06</v>
      </c>
      <c r="BD361" s="290">
        <v>14.12</v>
      </c>
      <c r="BE361" s="289">
        <v>71.5</v>
      </c>
      <c r="BF361" s="290" cm="1">
        <f t="array" aca="1" ref="BF361" ca="1">INDIRECT("'"&amp;$C361&amp;"'!"&amp;"$"&amp;$D361&amp;$BF$1&amp;"")</f>
        <v>14.24</v>
      </c>
      <c r="BG361" s="288">
        <v>0.99</v>
      </c>
      <c r="BH361" s="286">
        <v>2.31</v>
      </c>
      <c r="BI361" s="525">
        <v>69</v>
      </c>
      <c r="BJ361" s="285" cm="1">
        <f t="array" aca="1" ref="BJ361" ca="1">INDIRECT("'"&amp;$C361&amp;"'!"&amp;"$"&amp;$D361&amp;$BI$1&amp;"")</f>
        <v>2.2000000000000002</v>
      </c>
      <c r="BK361" s="287">
        <v>0.98</v>
      </c>
      <c r="BL361" s="286">
        <v>0.44</v>
      </c>
      <c r="BM361" s="290" cm="1">
        <f t="array" aca="1" ref="BM361" ca="1">INDIRECT("'"&amp;$C361&amp;"'!"&amp;"$"&amp;$D361&amp;$BM$1&amp;"")</f>
        <v>1.29</v>
      </c>
      <c r="BN361" s="288"/>
      <c r="BO361" s="288">
        <v>0.99</v>
      </c>
      <c r="BP361" s="286">
        <v>0.12</v>
      </c>
      <c r="BQ361" s="290" cm="1">
        <f t="array" aca="1" ref="BQ361" ca="1">INDIRECT("'"&amp;$C361&amp;"'!"&amp;"$"&amp;$D361&amp;$BQ$1&amp;"")</f>
        <v>0.71</v>
      </c>
      <c r="BR361" s="288"/>
      <c r="BS361" s="288">
        <v>0.96</v>
      </c>
      <c r="BT361" s="286">
        <v>0.17</v>
      </c>
      <c r="BU361" s="291" cm="1">
        <f t="array" aca="1" ref="BU361" ca="1">INDIRECT("'"&amp;$C361&amp;"'!"&amp;"$"&amp;$D361&amp;74&amp;"")</f>
        <v>0</v>
      </c>
      <c r="BV361" s="288"/>
      <c r="BW361" s="288" t="s">
        <v>1</v>
      </c>
      <c r="BX361" s="286" t="s">
        <v>1</v>
      </c>
    </row>
    <row r="362" spans="1:76">
      <c r="A362" s="459">
        <v>45853</v>
      </c>
      <c r="B362" s="345">
        <v>0.29166666666666702</v>
      </c>
      <c r="C362" s="305">
        <v>15</v>
      </c>
      <c r="D362" s="306" t="s">
        <v>149</v>
      </c>
      <c r="E362" s="278">
        <v>14.1</v>
      </c>
      <c r="F362" s="279">
        <v>69.67</v>
      </c>
      <c r="G362" s="280" t="str" cm="1">
        <f t="array" aca="1" ref="G362" ca="1">INDIRECT("'"&amp;$C362&amp;"'!"&amp;"$"&amp;$D362&amp;$E$1&amp;"")</f>
        <v>CMS</v>
      </c>
      <c r="H362" s="281" t="s">
        <v>1</v>
      </c>
      <c r="I362" s="279" t="s">
        <v>1</v>
      </c>
      <c r="J362" s="280" t="str" cm="1">
        <f t="array" aca="1" ref="J362" ca="1">INDIRECT("'"&amp;$C362&amp;"'!"&amp;"$"&amp;$D362&amp;$J$1&amp;"")</f>
        <v>CMS</v>
      </c>
      <c r="K362" s="281"/>
      <c r="L362" s="281" t="s">
        <v>1</v>
      </c>
      <c r="M362" s="282" t="s">
        <v>1</v>
      </c>
      <c r="N362" s="278" cm="1">
        <f t="array" aca="1" ref="N362" ca="1">INDIRECT("'"&amp;$C362&amp;"'!"&amp;"$"&amp;$D362&amp;$N$1&amp;"")</f>
        <v>6.6</v>
      </c>
      <c r="O362" s="281"/>
      <c r="P362" s="281">
        <v>0.97</v>
      </c>
      <c r="Q362" s="279">
        <v>1.61</v>
      </c>
      <c r="R362" s="468" cm="1">
        <f t="array" aca="1" ref="R362" ca="1">INDIRECT("'"&amp;$C362&amp;"'!"&amp;"$"&amp;$D362&amp;$R$1&amp;"")</f>
        <v>6.6</v>
      </c>
      <c r="S362" s="281"/>
      <c r="T362" s="281">
        <v>0.97</v>
      </c>
      <c r="U362" s="279">
        <v>1.58</v>
      </c>
      <c r="V362" s="280" cm="1">
        <f t="array" aca="1" ref="V362" ca="1">INDIRECT("'"&amp;$C362&amp;"'!"&amp;"$"&amp;$D362&amp;$V$1&amp;"")</f>
        <v>1.5</v>
      </c>
      <c r="W362" s="281">
        <f>3.52*3.8</f>
        <v>13.375999999999999</v>
      </c>
      <c r="X362" s="281">
        <v>0.98</v>
      </c>
      <c r="Y362" s="282">
        <v>0.25</v>
      </c>
      <c r="Z362" s="278" t="str" cm="1">
        <f t="array" aca="1" ref="Z362" ca="1">INDIRECT("'"&amp;$C362&amp;"'!"&amp;"$"&amp;$D362&amp;$Z$1&amp;"")</f>
        <v>CMS</v>
      </c>
      <c r="AA362" s="281" t="s">
        <v>1</v>
      </c>
      <c r="AB362" s="281" t="s">
        <v>1</v>
      </c>
      <c r="AC362" s="279" t="s">
        <v>1</v>
      </c>
      <c r="AD362" s="280" t="str" cm="1">
        <f t="array" aca="1" ref="AD362" ca="1">INDIRECT("'"&amp;$C362&amp;"'!"&amp;"$"&amp;$D362&amp;$AD$1&amp;"")</f>
        <v>CMS</v>
      </c>
      <c r="AE362" s="281" t="s">
        <v>1</v>
      </c>
      <c r="AF362" s="281" t="s">
        <v>1</v>
      </c>
      <c r="AG362" s="282" t="s">
        <v>1</v>
      </c>
      <c r="AH362" s="278" cm="1">
        <f t="array" aca="1" ref="AH362" ca="1">INDIRECT("'"&amp;$C362&amp;"'!"&amp;"$"&amp;$D362&amp;$AH$1&amp;"")</f>
        <v>0</v>
      </c>
      <c r="AI362" s="281" t="s">
        <v>1</v>
      </c>
      <c r="AJ362" s="281" t="s">
        <v>1</v>
      </c>
      <c r="AK362" s="279" t="s">
        <v>1</v>
      </c>
      <c r="AL362" s="278">
        <v>11.6</v>
      </c>
      <c r="AM362" s="282">
        <v>70.8</v>
      </c>
      <c r="AN362" s="278" cm="1">
        <f t="array" aca="1" ref="AN362" ca="1">INDIRECT("'"&amp;$C362&amp;"'!"&amp;"$"&amp;$D362&amp;$AL$1&amp;"")</f>
        <v>3</v>
      </c>
      <c r="AO362" s="281">
        <v>0.97</v>
      </c>
      <c r="AP362" s="279">
        <v>0.79</v>
      </c>
      <c r="AQ362" s="280" cm="1">
        <f t="array" aca="1" ref="AQ362" ca="1">INDIRECT("'"&amp;$C362&amp;"'!"&amp;"$"&amp;$D362&amp;$AQ$1&amp;"")</f>
        <v>0</v>
      </c>
      <c r="AR362" s="281" t="s">
        <v>1</v>
      </c>
      <c r="AS362" s="279" t="s">
        <v>1</v>
      </c>
      <c r="AT362" s="278">
        <v>13.93</v>
      </c>
      <c r="AU362" s="282">
        <v>70.7</v>
      </c>
      <c r="AV362" s="281" cm="1">
        <f t="array" aca="1" ref="AV362" ca="1">INDIRECT("'"&amp;$C362&amp;"'!"&amp;"$"&amp;$D362&amp;$AV$1&amp;"")</f>
        <v>0</v>
      </c>
      <c r="AW362" s="280" t="s">
        <v>1</v>
      </c>
      <c r="AX362" s="281" t="s">
        <v>1</v>
      </c>
      <c r="AY362" s="279" t="s">
        <v>1</v>
      </c>
      <c r="AZ362" s="281" cm="1">
        <f t="array" aca="1" ref="AZ362" ca="1">INDIRECT("'"&amp;$C362&amp;"'!"&amp;"$"&amp;$D362&amp;$AZ$1&amp;"")</f>
        <v>6.8</v>
      </c>
      <c r="BA362" s="280" t="s">
        <v>1</v>
      </c>
      <c r="BB362" s="281">
        <v>0.98</v>
      </c>
      <c r="BC362" s="279">
        <v>1.61</v>
      </c>
      <c r="BD362" s="283">
        <v>14.13</v>
      </c>
      <c r="BE362" s="282">
        <v>71.540000000000006</v>
      </c>
      <c r="BF362" s="283" cm="1">
        <f t="array" aca="1" ref="BF362" ca="1">INDIRECT("'"&amp;$C362&amp;"'!"&amp;"$"&amp;$D362&amp;$BF$1&amp;"")</f>
        <v>14.26</v>
      </c>
      <c r="BG362" s="281">
        <v>0.99</v>
      </c>
      <c r="BH362" s="279">
        <v>2.33</v>
      </c>
      <c r="BI362" s="524">
        <v>68.7</v>
      </c>
      <c r="BJ362" s="278" cm="1">
        <f t="array" aca="1" ref="BJ362" ca="1">INDIRECT("'"&amp;$C362&amp;"'!"&amp;"$"&amp;$D362&amp;$BI$1&amp;"")</f>
        <v>0</v>
      </c>
      <c r="BK362" s="280" t="s">
        <v>1</v>
      </c>
      <c r="BL362" s="279" t="s">
        <v>1</v>
      </c>
      <c r="BM362" s="283" cm="1">
        <f t="array" aca="1" ref="BM362" ca="1">INDIRECT("'"&amp;$C362&amp;"'!"&amp;"$"&amp;$D362&amp;$BM$1&amp;"")</f>
        <v>1.17</v>
      </c>
      <c r="BN362" s="281"/>
      <c r="BO362" s="281">
        <v>0.99</v>
      </c>
      <c r="BP362" s="279">
        <v>0.14000000000000001</v>
      </c>
      <c r="BQ362" s="284" cm="1">
        <f t="array" aca="1" ref="BQ362" ca="1">INDIRECT("'"&amp;$C362&amp;"'!"&amp;"$"&amp;$D362&amp;$BQ$1&amp;"")</f>
        <v>0.72</v>
      </c>
      <c r="BR362" s="281"/>
      <c r="BS362" s="281">
        <v>0.96</v>
      </c>
      <c r="BT362" s="279">
        <v>0.19</v>
      </c>
      <c r="BU362" s="284" cm="1">
        <f t="array" aca="1" ref="BU362" ca="1">INDIRECT("'"&amp;$C362&amp;"'!"&amp;"$"&amp;$D362&amp;74&amp;"")</f>
        <v>0</v>
      </c>
      <c r="BV362" s="281"/>
      <c r="BW362" s="281" t="s">
        <v>1</v>
      </c>
      <c r="BX362" s="279" t="s">
        <v>1</v>
      </c>
    </row>
    <row r="363" spans="1:76">
      <c r="A363" s="459">
        <v>45853</v>
      </c>
      <c r="B363" s="345">
        <v>0.33333333333333398</v>
      </c>
      <c r="C363" s="305">
        <v>15</v>
      </c>
      <c r="D363" s="306" t="s">
        <v>150</v>
      </c>
      <c r="E363" s="285">
        <v>14</v>
      </c>
      <c r="F363" s="286">
        <v>69.42</v>
      </c>
      <c r="G363" s="287" t="str" cm="1">
        <f t="array" aca="1" ref="G363" ca="1">INDIRECT("'"&amp;$C363&amp;"'!"&amp;"$"&amp;$D363&amp;$E$1&amp;"")</f>
        <v>CMS</v>
      </c>
      <c r="H363" s="288" t="s">
        <v>1</v>
      </c>
      <c r="I363" s="286" t="s">
        <v>1</v>
      </c>
      <c r="J363" s="287" t="str" cm="1">
        <f t="array" aca="1" ref="J363" ca="1">INDIRECT("'"&amp;$C363&amp;"'!"&amp;"$"&amp;$D363&amp;$J$1&amp;"")</f>
        <v>CMS</v>
      </c>
      <c r="K363" s="288"/>
      <c r="L363" s="288" t="s">
        <v>1</v>
      </c>
      <c r="M363" s="289" t="s">
        <v>1</v>
      </c>
      <c r="N363" s="285" cm="1">
        <f t="array" aca="1" ref="N363" ca="1">INDIRECT("'"&amp;$C363&amp;"'!"&amp;"$"&amp;$D363&amp;$N$1&amp;"")</f>
        <v>6.9</v>
      </c>
      <c r="O363" s="288"/>
      <c r="P363" s="288">
        <v>0.96</v>
      </c>
      <c r="Q363" s="286">
        <v>2</v>
      </c>
      <c r="R363" s="285" cm="1">
        <f t="array" aca="1" ref="R363" ca="1">INDIRECT("'"&amp;$C363&amp;"'!"&amp;"$"&amp;$D363&amp;$R$1&amp;"")</f>
        <v>6.9</v>
      </c>
      <c r="S363" s="288"/>
      <c r="T363" s="288">
        <v>0.94</v>
      </c>
      <c r="U363" s="286">
        <v>2.5</v>
      </c>
      <c r="V363" s="287" cm="1">
        <f t="array" aca="1" ref="V363" ca="1">INDIRECT("'"&amp;$C363&amp;"'!"&amp;"$"&amp;$D363&amp;$V$1&amp;"")</f>
        <v>2.8</v>
      </c>
      <c r="W363" s="288">
        <f>3.49*3.8</f>
        <v>13.262</v>
      </c>
      <c r="X363" s="288">
        <v>0.97</v>
      </c>
      <c r="Y363" s="289">
        <v>0.65</v>
      </c>
      <c r="Z363" s="285" t="str" cm="1">
        <f t="array" aca="1" ref="Z363" ca="1">INDIRECT("'"&amp;$C363&amp;"'!"&amp;"$"&amp;$D363&amp;$Z$1&amp;"")</f>
        <v>CMS</v>
      </c>
      <c r="AA363" s="288" t="s">
        <v>1</v>
      </c>
      <c r="AB363" s="288" t="s">
        <v>1</v>
      </c>
      <c r="AC363" s="286" t="s">
        <v>1</v>
      </c>
      <c r="AD363" s="287" t="str" cm="1">
        <f t="array" aca="1" ref="AD363" ca="1">INDIRECT("'"&amp;$C363&amp;"'!"&amp;"$"&amp;$D363&amp;$AD$1&amp;"")</f>
        <v>CMS</v>
      </c>
      <c r="AE363" s="288" t="s">
        <v>1</v>
      </c>
      <c r="AF363" s="288" t="s">
        <v>1</v>
      </c>
      <c r="AG363" s="289" t="s">
        <v>1</v>
      </c>
      <c r="AH363" s="285" cm="1">
        <f t="array" aca="1" ref="AH363" ca="1">INDIRECT("'"&amp;$C363&amp;"'!"&amp;"$"&amp;$D363&amp;$AH$1&amp;"")</f>
        <v>0.5</v>
      </c>
      <c r="AI363" s="288">
        <f>13.84</f>
        <v>13.84</v>
      </c>
      <c r="AJ363" s="288">
        <v>0.99</v>
      </c>
      <c r="AK363" s="286">
        <v>0.98</v>
      </c>
      <c r="AL363" s="285">
        <v>11.6</v>
      </c>
      <c r="AM363" s="289">
        <v>70.7</v>
      </c>
      <c r="AN363" s="285" cm="1">
        <f t="array" aca="1" ref="AN363" ca="1">INDIRECT("'"&amp;$C363&amp;"'!"&amp;"$"&amp;$D363&amp;$AL$1&amp;"")</f>
        <v>3.8</v>
      </c>
      <c r="AO363" s="288">
        <v>0.97</v>
      </c>
      <c r="AP363" s="286">
        <v>0.91</v>
      </c>
      <c r="AQ363" s="287" cm="1">
        <f t="array" aca="1" ref="AQ363" ca="1">INDIRECT("'"&amp;$C363&amp;"'!"&amp;"$"&amp;$D363&amp;$AQ$1&amp;"")</f>
        <v>0</v>
      </c>
      <c r="AR363" s="288" t="s">
        <v>1</v>
      </c>
      <c r="AS363" s="286" t="s">
        <v>1</v>
      </c>
      <c r="AT363" s="285">
        <v>13.92</v>
      </c>
      <c r="AU363" s="289">
        <v>70.7</v>
      </c>
      <c r="AV363" s="288" cm="1">
        <f t="array" aca="1" ref="AV363" ca="1">INDIRECT("'"&amp;$C363&amp;"'!"&amp;"$"&amp;$D363&amp;$AV$1&amp;"")</f>
        <v>0</v>
      </c>
      <c r="AW363" s="287" t="s">
        <v>1</v>
      </c>
      <c r="AX363" s="288" t="s">
        <v>1</v>
      </c>
      <c r="AY363" s="286" t="s">
        <v>1</v>
      </c>
      <c r="AZ363" s="288" cm="1">
        <f t="array" aca="1" ref="AZ363" ca="1">INDIRECT("'"&amp;$C363&amp;"'!"&amp;"$"&amp;$D363&amp;$AZ$1&amp;"")</f>
        <v>7</v>
      </c>
      <c r="BA363" s="287" t="s">
        <v>1</v>
      </c>
      <c r="BB363" s="288">
        <v>0.97</v>
      </c>
      <c r="BC363" s="286">
        <v>1.78</v>
      </c>
      <c r="BD363" s="290">
        <v>14.06</v>
      </c>
      <c r="BE363" s="289">
        <v>71.180000000000007</v>
      </c>
      <c r="BF363" s="290" cm="1">
        <f t="array" aca="1" ref="BF363" ca="1">INDIRECT("'"&amp;$C363&amp;"'!"&amp;"$"&amp;$D363&amp;$BF$1&amp;"")</f>
        <v>14.26</v>
      </c>
      <c r="BG363" s="288">
        <v>0.99</v>
      </c>
      <c r="BH363" s="286">
        <v>2.29</v>
      </c>
      <c r="BI363" s="525">
        <v>68.400000000000006</v>
      </c>
      <c r="BJ363" s="285" cm="1">
        <f t="array" aca="1" ref="BJ363" ca="1">INDIRECT("'"&amp;$C363&amp;"'!"&amp;"$"&amp;$D363&amp;$BI$1&amp;"")</f>
        <v>2.2000000000000002</v>
      </c>
      <c r="BK363" s="287">
        <v>0.96</v>
      </c>
      <c r="BL363" s="286">
        <v>0.64</v>
      </c>
      <c r="BM363" s="290" cm="1">
        <f t="array" aca="1" ref="BM363" ca="1">INDIRECT("'"&amp;$C363&amp;"'!"&amp;"$"&amp;$D363&amp;$BM$1&amp;"")</f>
        <v>1.2</v>
      </c>
      <c r="BN363" s="288"/>
      <c r="BO363" s="288">
        <v>0.99</v>
      </c>
      <c r="BP363" s="286">
        <v>0.17</v>
      </c>
      <c r="BQ363" s="291" cm="1">
        <f t="array" aca="1" ref="BQ363" ca="1">INDIRECT("'"&amp;$C363&amp;"'!"&amp;"$"&amp;$D363&amp;$BQ$1&amp;"")</f>
        <v>0.74</v>
      </c>
      <c r="BR363" s="288"/>
      <c r="BS363" s="288">
        <v>0.96</v>
      </c>
      <c r="BT363" s="286">
        <v>0.2</v>
      </c>
      <c r="BU363" s="291" cm="1">
        <f t="array" aca="1" ref="BU363" ca="1">INDIRECT("'"&amp;$C363&amp;"'!"&amp;"$"&amp;$D363&amp;74&amp;"")</f>
        <v>0</v>
      </c>
      <c r="BV363" s="288"/>
      <c r="BW363" s="288" t="s">
        <v>1</v>
      </c>
      <c r="BX363" s="286" t="s">
        <v>1</v>
      </c>
    </row>
    <row r="364" spans="1:76">
      <c r="A364" s="459">
        <v>45853</v>
      </c>
      <c r="B364" s="345">
        <v>0.375</v>
      </c>
      <c r="C364" s="305">
        <v>15</v>
      </c>
      <c r="D364" s="306" t="s">
        <v>151</v>
      </c>
      <c r="E364" s="278">
        <v>14.1</v>
      </c>
      <c r="F364" s="279">
        <v>69.099999999999994</v>
      </c>
      <c r="G364" s="280" t="str" cm="1">
        <f t="array" aca="1" ref="G364" ca="1">INDIRECT("'"&amp;$C364&amp;"'!"&amp;"$"&amp;$D364&amp;$E$1&amp;"")</f>
        <v>CMS</v>
      </c>
      <c r="H364" s="281" t="s">
        <v>1</v>
      </c>
      <c r="I364" s="279" t="s">
        <v>1</v>
      </c>
      <c r="J364" s="280" t="str" cm="1">
        <f t="array" aca="1" ref="J364" ca="1">INDIRECT("'"&amp;$C364&amp;"'!"&amp;"$"&amp;$D364&amp;$J$1&amp;"")</f>
        <v>CMS</v>
      </c>
      <c r="K364" s="281"/>
      <c r="L364" s="281" t="s">
        <v>1</v>
      </c>
      <c r="M364" s="282" t="s">
        <v>1</v>
      </c>
      <c r="N364" s="278" cm="1">
        <f t="array" aca="1" ref="N364" ca="1">INDIRECT("'"&amp;$C364&amp;"'!"&amp;"$"&amp;$D364&amp;$N$1&amp;"")</f>
        <v>6.8</v>
      </c>
      <c r="O364" s="281"/>
      <c r="P364" s="281">
        <v>0.91</v>
      </c>
      <c r="Q364" s="279">
        <v>3.1</v>
      </c>
      <c r="R364" s="468" cm="1">
        <f t="array" aca="1" ref="R364" ca="1">INDIRECT("'"&amp;$C364&amp;"'!"&amp;"$"&amp;$D364&amp;$R$1&amp;"")</f>
        <v>6.8</v>
      </c>
      <c r="S364" s="281"/>
      <c r="T364" s="281">
        <v>0.91</v>
      </c>
      <c r="U364" s="279">
        <v>3.1</v>
      </c>
      <c r="V364" s="280" cm="1">
        <f t="array" aca="1" ref="V364" ca="1">INDIRECT("'"&amp;$C364&amp;"'!"&amp;"$"&amp;$D364&amp;$V$1&amp;"")</f>
        <v>2.8</v>
      </c>
      <c r="W364" s="281">
        <f>3.45*3.8</f>
        <v>13.11</v>
      </c>
      <c r="X364" s="281">
        <v>0.91</v>
      </c>
      <c r="Y364" s="282">
        <v>1.23</v>
      </c>
      <c r="Z364" s="278" t="str" cm="1">
        <f t="array" aca="1" ref="Z364" ca="1">INDIRECT("'"&amp;$C364&amp;"'!"&amp;"$"&amp;$D364&amp;$Z$1&amp;"")</f>
        <v>CMS</v>
      </c>
      <c r="AA364" s="281" t="s">
        <v>1</v>
      </c>
      <c r="AB364" s="281" t="s">
        <v>1</v>
      </c>
      <c r="AC364" s="279" t="s">
        <v>1</v>
      </c>
      <c r="AD364" s="280" t="str" cm="1">
        <f t="array" aca="1" ref="AD364" ca="1">INDIRECT("'"&amp;$C364&amp;"'!"&amp;"$"&amp;$D364&amp;$AD$1&amp;"")</f>
        <v>CMS</v>
      </c>
      <c r="AE364" s="281" t="s">
        <v>1</v>
      </c>
      <c r="AF364" s="281" t="s">
        <v>1</v>
      </c>
      <c r="AG364" s="282" t="s">
        <v>1</v>
      </c>
      <c r="AH364" s="278" cm="1">
        <f t="array" aca="1" ref="AH364" ca="1">INDIRECT("'"&amp;$C364&amp;"'!"&amp;"$"&amp;$D364&amp;$AH$1&amp;"")</f>
        <v>3.8</v>
      </c>
      <c r="AI364" s="281">
        <f>13.96</f>
        <v>13.96</v>
      </c>
      <c r="AJ364" s="281">
        <v>0.99</v>
      </c>
      <c r="AK364" s="279">
        <v>0.47</v>
      </c>
      <c r="AL364" s="278">
        <v>11.6</v>
      </c>
      <c r="AM364" s="282">
        <v>70.7</v>
      </c>
      <c r="AN364" s="278" cm="1">
        <f t="array" aca="1" ref="AN364" ca="1">INDIRECT("'"&amp;$C364&amp;"'!"&amp;"$"&amp;$D364&amp;$AL$1&amp;"")</f>
        <v>3.8</v>
      </c>
      <c r="AO364" s="281">
        <v>0.98</v>
      </c>
      <c r="AP364" s="279">
        <v>0.75</v>
      </c>
      <c r="AQ364" s="280" cm="1">
        <f t="array" aca="1" ref="AQ364" ca="1">INDIRECT("'"&amp;$C364&amp;"'!"&amp;"$"&amp;$D364&amp;$AQ$1&amp;"")</f>
        <v>1.5</v>
      </c>
      <c r="AR364" s="281">
        <v>0.97</v>
      </c>
      <c r="AS364" s="279">
        <v>0.48</v>
      </c>
      <c r="AT364" s="278">
        <v>13.92</v>
      </c>
      <c r="AU364" s="282">
        <v>70.7</v>
      </c>
      <c r="AV364" s="281" t="str" cm="1">
        <f t="array" aca="1" ref="AV364" ca="1">INDIRECT("'"&amp;$C364&amp;"'!"&amp;"$"&amp;$D364&amp;$AV$1&amp;"")</f>
        <v>CMS</v>
      </c>
      <c r="AW364" s="280" t="s">
        <v>1</v>
      </c>
      <c r="AX364" s="281" t="s">
        <v>1</v>
      </c>
      <c r="AY364" s="279" t="s">
        <v>1</v>
      </c>
      <c r="AZ364" s="281" cm="1">
        <f t="array" aca="1" ref="AZ364" ca="1">INDIRECT("'"&amp;$C364&amp;"'!"&amp;"$"&amp;$D364&amp;$AZ$1&amp;"")</f>
        <v>7</v>
      </c>
      <c r="BA364" s="280" t="s">
        <v>1</v>
      </c>
      <c r="BB364" s="281">
        <v>0.96</v>
      </c>
      <c r="BC364" s="279">
        <v>1.27</v>
      </c>
      <c r="BD364" s="283">
        <v>14.09</v>
      </c>
      <c r="BE364" s="282">
        <v>71.2</v>
      </c>
      <c r="BF364" s="283" cm="1">
        <f t="array" aca="1" ref="BF364" ca="1">INDIRECT("'"&amp;$C364&amp;"'!"&amp;"$"&amp;$D364&amp;$BF$1&amp;"")</f>
        <v>14.29</v>
      </c>
      <c r="BG364" s="281">
        <v>0.99</v>
      </c>
      <c r="BH364" s="279">
        <v>2.2999999999999998</v>
      </c>
      <c r="BI364" s="524">
        <v>68</v>
      </c>
      <c r="BJ364" s="278" cm="1">
        <f t="array" aca="1" ref="BJ364" ca="1">INDIRECT("'"&amp;$C364&amp;"'!"&amp;"$"&amp;$D364&amp;$BI$1&amp;"")</f>
        <v>5.3999999999999995</v>
      </c>
      <c r="BK364" s="280">
        <v>0.96</v>
      </c>
      <c r="BL364" s="279">
        <v>1.5</v>
      </c>
      <c r="BM364" s="283" cm="1">
        <f t="array" aca="1" ref="BM364" ca="1">INDIRECT("'"&amp;$C364&amp;"'!"&amp;"$"&amp;$D364&amp;$BM$1&amp;"")</f>
        <v>1.26</v>
      </c>
      <c r="BN364" s="281"/>
      <c r="BO364" s="281">
        <v>0.99</v>
      </c>
      <c r="BP364" s="279">
        <v>0.15</v>
      </c>
      <c r="BQ364" s="284" cm="1">
        <f t="array" aca="1" ref="BQ364" ca="1">INDIRECT("'"&amp;$C364&amp;"'!"&amp;"$"&amp;$D364&amp;$BQ$1&amp;"")</f>
        <v>0.79</v>
      </c>
      <c r="BR364" s="281"/>
      <c r="BS364" s="281">
        <v>0.96</v>
      </c>
      <c r="BT364" s="279">
        <v>0.21</v>
      </c>
      <c r="BU364" s="284" cm="1">
        <f t="array" aca="1" ref="BU364" ca="1">INDIRECT("'"&amp;$C364&amp;"'!"&amp;"$"&amp;$D364&amp;74&amp;"")</f>
        <v>0</v>
      </c>
      <c r="BV364" s="281"/>
      <c r="BW364" s="281" t="s">
        <v>1</v>
      </c>
      <c r="BX364" s="279" t="s">
        <v>1</v>
      </c>
    </row>
    <row r="365" spans="1:76">
      <c r="A365" s="459">
        <v>45853</v>
      </c>
      <c r="B365" s="345">
        <v>0.41666666666666702</v>
      </c>
      <c r="C365" s="305">
        <v>15</v>
      </c>
      <c r="D365" s="306" t="s">
        <v>152</v>
      </c>
      <c r="E365" s="285">
        <v>13.9</v>
      </c>
      <c r="F365" s="286">
        <v>68.61</v>
      </c>
      <c r="G365" s="287" t="str" cm="1">
        <f t="array" aca="1" ref="G365" ca="1">INDIRECT("'"&amp;$C365&amp;"'!"&amp;"$"&amp;$D365&amp;$E$1&amp;"")</f>
        <v>CMS</v>
      </c>
      <c r="H365" s="288" t="s">
        <v>1</v>
      </c>
      <c r="I365" s="286" t="s">
        <v>1</v>
      </c>
      <c r="J365" s="287" cm="1">
        <f t="array" aca="1" ref="J365" ca="1">INDIRECT("'"&amp;$C365&amp;"'!"&amp;"$"&amp;$D365&amp;$J$1&amp;"")</f>
        <v>6.5</v>
      </c>
      <c r="K365" s="288"/>
      <c r="L365" s="288">
        <v>0.9</v>
      </c>
      <c r="M365" s="289">
        <v>2.4</v>
      </c>
      <c r="N365" s="285" cm="1">
        <f t="array" aca="1" ref="N365" ca="1">INDIRECT("'"&amp;$C365&amp;"'!"&amp;"$"&amp;$D365&amp;$N$1&amp;"")</f>
        <v>3.6</v>
      </c>
      <c r="O365" s="288"/>
      <c r="P365" s="288">
        <v>0.9</v>
      </c>
      <c r="Q365" s="286">
        <v>1.7</v>
      </c>
      <c r="R365" s="285" cm="1">
        <f t="array" aca="1" ref="R365" ca="1">INDIRECT("'"&amp;$C365&amp;"'!"&amp;"$"&amp;$D365&amp;$R$1&amp;"")</f>
        <v>3.6</v>
      </c>
      <c r="S365" s="288"/>
      <c r="T365" s="288">
        <v>0.86</v>
      </c>
      <c r="U365" s="286">
        <v>2.2000000000000002</v>
      </c>
      <c r="V365" s="287" cm="1">
        <f t="array" aca="1" ref="V365" ca="1">INDIRECT("'"&amp;$C365&amp;"'!"&amp;"$"&amp;$D365&amp;$V$1&amp;"")</f>
        <v>2.8</v>
      </c>
      <c r="W365" s="288">
        <f>3.8*3.41</f>
        <v>12.958</v>
      </c>
      <c r="X365" s="288">
        <v>0.9</v>
      </c>
      <c r="Y365" s="289">
        <v>1.31</v>
      </c>
      <c r="Z365" s="285" t="str" cm="1">
        <f t="array" aca="1" ref="Z365" ca="1">INDIRECT("'"&amp;$C365&amp;"'!"&amp;"$"&amp;$D365&amp;$Z$1&amp;"")</f>
        <v>CMS</v>
      </c>
      <c r="AA365" s="288" t="s">
        <v>1</v>
      </c>
      <c r="AB365" s="288" t="s">
        <v>1</v>
      </c>
      <c r="AC365" s="286" t="s">
        <v>1</v>
      </c>
      <c r="AD365" s="287" t="str" cm="1">
        <f t="array" aca="1" ref="AD365" ca="1">INDIRECT("'"&amp;$C365&amp;"'!"&amp;"$"&amp;$D365&amp;$AD$1&amp;"")</f>
        <v>CMS</v>
      </c>
      <c r="AE365" s="288" t="s">
        <v>1</v>
      </c>
      <c r="AF365" s="288" t="s">
        <v>1</v>
      </c>
      <c r="AG365" s="289" t="s">
        <v>1</v>
      </c>
      <c r="AH365" s="285" cm="1">
        <f t="array" aca="1" ref="AH365" ca="1">INDIRECT("'"&amp;$C365&amp;"'!"&amp;"$"&amp;$D365&amp;$AH$1&amp;"")</f>
        <v>3.8</v>
      </c>
      <c r="AI365" s="288">
        <v>14.08</v>
      </c>
      <c r="AJ365" s="288">
        <v>0.97</v>
      </c>
      <c r="AK365" s="286">
        <v>0.93</v>
      </c>
      <c r="AL365" s="285">
        <v>11.8</v>
      </c>
      <c r="AM365" s="289">
        <v>70.7</v>
      </c>
      <c r="AN365" s="285" cm="1">
        <f t="array" aca="1" ref="AN365" ca="1">INDIRECT("'"&amp;$C365&amp;"'!"&amp;"$"&amp;$D365&amp;$AL$1&amp;"")</f>
        <v>3.9</v>
      </c>
      <c r="AO365" s="288">
        <v>0.93</v>
      </c>
      <c r="AP365" s="286">
        <v>1.5</v>
      </c>
      <c r="AQ365" s="287" cm="1">
        <f t="array" aca="1" ref="AQ365" ca="1">INDIRECT("'"&amp;$C365&amp;"'!"&amp;"$"&amp;$D365&amp;$AQ$1&amp;"")</f>
        <v>3.9</v>
      </c>
      <c r="AR365" s="288">
        <v>0.93</v>
      </c>
      <c r="AS365" s="286">
        <v>1.5</v>
      </c>
      <c r="AT365" s="285">
        <v>13.92</v>
      </c>
      <c r="AU365" s="289">
        <v>70.7</v>
      </c>
      <c r="AV365" s="288" t="str" cm="1">
        <f t="array" aca="1" ref="AV365" ca="1">INDIRECT("'"&amp;$C365&amp;"'!"&amp;"$"&amp;$D365&amp;$AV$1&amp;"")</f>
        <v>CMS</v>
      </c>
      <c r="AW365" s="287" t="s">
        <v>1</v>
      </c>
      <c r="AX365" s="288" t="s">
        <v>1</v>
      </c>
      <c r="AY365" s="286" t="s">
        <v>1</v>
      </c>
      <c r="AZ365" s="288" cm="1">
        <f t="array" aca="1" ref="AZ365" ca="1">INDIRECT("'"&amp;$C365&amp;"'!"&amp;"$"&amp;$D365&amp;$AZ$1&amp;"")</f>
        <v>7</v>
      </c>
      <c r="BA365" s="287" t="s">
        <v>1</v>
      </c>
      <c r="BB365" s="288">
        <v>0.97</v>
      </c>
      <c r="BC365" s="286">
        <v>1.75</v>
      </c>
      <c r="BD365" s="290">
        <v>14.11</v>
      </c>
      <c r="BE365" s="289">
        <v>71.349999999999994</v>
      </c>
      <c r="BF365" s="290" cm="1">
        <f t="array" aca="1" ref="BF365" ca="1">INDIRECT("'"&amp;$C365&amp;"'!"&amp;"$"&amp;$D365&amp;$BF$1&amp;"")</f>
        <v>14.23</v>
      </c>
      <c r="BG365" s="288">
        <v>0.99</v>
      </c>
      <c r="BH365" s="286">
        <v>2.2999999999999998</v>
      </c>
      <c r="BI365" s="525">
        <v>67.5</v>
      </c>
      <c r="BJ365" s="285" cm="1">
        <f t="array" aca="1" ref="BJ365" ca="1">INDIRECT("'"&amp;$C365&amp;"'!"&amp;"$"&amp;$D365&amp;$BI$1&amp;"")</f>
        <v>5.3999999999999995</v>
      </c>
      <c r="BK365" s="287">
        <v>0.95</v>
      </c>
      <c r="BL365" s="286">
        <v>1.7</v>
      </c>
      <c r="BM365" s="290" cm="1">
        <f t="array" aca="1" ref="BM365" ca="1">INDIRECT("'"&amp;$C365&amp;"'!"&amp;"$"&amp;$D365&amp;$BM$1&amp;"")</f>
        <v>1.27</v>
      </c>
      <c r="BN365" s="288"/>
      <c r="BO365" s="288">
        <v>0.99</v>
      </c>
      <c r="BP365" s="286">
        <v>0.15</v>
      </c>
      <c r="BQ365" s="291" cm="1">
        <f t="array" aca="1" ref="BQ365" ca="1">INDIRECT("'"&amp;$C365&amp;"'!"&amp;"$"&amp;$D365&amp;$BQ$1&amp;"")</f>
        <v>0.73</v>
      </c>
      <c r="BR365" s="288"/>
      <c r="BS365" s="288">
        <v>0.96</v>
      </c>
      <c r="BT365" s="286">
        <v>0.2</v>
      </c>
      <c r="BU365" s="291" cm="1">
        <f t="array" aca="1" ref="BU365" ca="1">INDIRECT("'"&amp;$C365&amp;"'!"&amp;"$"&amp;$D365&amp;74&amp;"")</f>
        <v>0</v>
      </c>
      <c r="BV365" s="288"/>
      <c r="BW365" s="288" t="s">
        <v>1</v>
      </c>
      <c r="BX365" s="286" t="s">
        <v>1</v>
      </c>
    </row>
    <row r="366" spans="1:76">
      <c r="A366" s="459">
        <v>45853</v>
      </c>
      <c r="B366" s="345">
        <v>0.45833333333333398</v>
      </c>
      <c r="C366" s="305">
        <v>15</v>
      </c>
      <c r="D366" s="306" t="s">
        <v>153</v>
      </c>
      <c r="E366" s="278">
        <v>14.1</v>
      </c>
      <c r="F366" s="279">
        <v>69.64</v>
      </c>
      <c r="G366" s="280" t="str" cm="1">
        <f t="array" aca="1" ref="G366" ca="1">INDIRECT("'"&amp;$C366&amp;"'!"&amp;"$"&amp;$D366&amp;$E$1&amp;"")</f>
        <v>CMS</v>
      </c>
      <c r="H366" s="281" t="s">
        <v>1</v>
      </c>
      <c r="I366" s="279" t="s">
        <v>1</v>
      </c>
      <c r="J366" s="280" cm="1">
        <f t="array" aca="1" ref="J366" ca="1">INDIRECT("'"&amp;$C366&amp;"'!"&amp;"$"&amp;$D366&amp;$J$1&amp;"")</f>
        <v>6</v>
      </c>
      <c r="K366" s="281"/>
      <c r="L366" s="281">
        <v>0.9</v>
      </c>
      <c r="M366" s="282">
        <v>3</v>
      </c>
      <c r="N366" s="278" cm="1">
        <f t="array" aca="1" ref="N366" ca="1">INDIRECT("'"&amp;$C366&amp;"'!"&amp;"$"&amp;$D366&amp;$N$1&amp;"")</f>
        <v>6</v>
      </c>
      <c r="O366" s="281"/>
      <c r="P366" s="281">
        <v>0.9</v>
      </c>
      <c r="Q366" s="279">
        <v>3</v>
      </c>
      <c r="R366" s="468" cm="1">
        <f t="array" aca="1" ref="R366" ca="1">INDIRECT("'"&amp;$C366&amp;"'!"&amp;"$"&amp;$D366&amp;$R$1&amp;"")</f>
        <v>6</v>
      </c>
      <c r="S366" s="281"/>
      <c r="T366" s="281">
        <v>0.9</v>
      </c>
      <c r="U366" s="279">
        <v>3</v>
      </c>
      <c r="V366" s="280" cm="1">
        <f t="array" aca="1" ref="V366" ca="1">INDIRECT("'"&amp;$C366&amp;"'!"&amp;"$"&amp;$D366&amp;$V$1&amp;"")</f>
        <v>2.6</v>
      </c>
      <c r="W366" s="281">
        <f>3.8*3.45</f>
        <v>13.11</v>
      </c>
      <c r="X366" s="281">
        <v>0.9</v>
      </c>
      <c r="Y366" s="282">
        <v>1.29</v>
      </c>
      <c r="Z366" s="278" t="str" cm="1">
        <f t="array" aca="1" ref="Z366" ca="1">INDIRECT("'"&amp;$C366&amp;"'!"&amp;"$"&amp;$D366&amp;$Z$1&amp;"")</f>
        <v>CMS</v>
      </c>
      <c r="AA366" s="281" t="s">
        <v>1</v>
      </c>
      <c r="AB366" s="281" t="s">
        <v>1</v>
      </c>
      <c r="AC366" s="279" t="s">
        <v>1</v>
      </c>
      <c r="AD366" s="280" t="str" cm="1">
        <f t="array" aca="1" ref="AD366" ca="1">INDIRECT("'"&amp;$C366&amp;"'!"&amp;"$"&amp;$D366&amp;$AD$1&amp;"")</f>
        <v>CMS</v>
      </c>
      <c r="AE366" s="281" t="s">
        <v>1</v>
      </c>
      <c r="AF366" s="281" t="s">
        <v>1</v>
      </c>
      <c r="AG366" s="282" t="s">
        <v>1</v>
      </c>
      <c r="AH366" s="278" cm="1">
        <f t="array" aca="1" ref="AH366" ca="1">INDIRECT("'"&amp;$C366&amp;"'!"&amp;"$"&amp;$D366&amp;$AH$1&amp;"")</f>
        <v>3.8</v>
      </c>
      <c r="AI366" s="281">
        <v>14.16</v>
      </c>
      <c r="AJ366" s="281">
        <v>0.96</v>
      </c>
      <c r="AK366" s="279">
        <v>0.93700000000000006</v>
      </c>
      <c r="AL366" s="278">
        <v>11.8</v>
      </c>
      <c r="AM366" s="282">
        <v>71.099999999999994</v>
      </c>
      <c r="AN366" s="278" cm="1">
        <f t="array" aca="1" ref="AN366" ca="1">INDIRECT("'"&amp;$C366&amp;"'!"&amp;"$"&amp;$D366&amp;$AL$1&amp;"")</f>
        <v>0</v>
      </c>
      <c r="AO366" s="281" t="s">
        <v>1</v>
      </c>
      <c r="AP366" s="279" t="s">
        <v>1</v>
      </c>
      <c r="AQ366" s="280" cm="1">
        <f t="array" aca="1" ref="AQ366" ca="1">INDIRECT("'"&amp;$C366&amp;"'!"&amp;"$"&amp;$D366&amp;$AQ$1&amp;"")</f>
        <v>3.7</v>
      </c>
      <c r="AR366" s="281">
        <v>0.93</v>
      </c>
      <c r="AS366" s="279">
        <v>1.2</v>
      </c>
      <c r="AT366" s="278">
        <v>14</v>
      </c>
      <c r="AU366" s="282">
        <v>70.900000000000006</v>
      </c>
      <c r="AV366" s="281" cm="1">
        <f t="array" aca="1" ref="AV366" ca="1">INDIRECT("'"&amp;$C366&amp;"'!"&amp;"$"&amp;$D366&amp;$AV$1&amp;"")</f>
        <v>3</v>
      </c>
      <c r="AW366" s="280" t="s">
        <v>1</v>
      </c>
      <c r="AX366" s="281">
        <v>0.97</v>
      </c>
      <c r="AY366" s="279">
        <v>0.75</v>
      </c>
      <c r="AZ366" s="281" cm="1">
        <f t="array" aca="1" ref="AZ366" ca="1">INDIRECT("'"&amp;$C366&amp;"'!"&amp;"$"&amp;$D366&amp;$AZ$1&amp;"")</f>
        <v>7</v>
      </c>
      <c r="BA366" s="280" t="s">
        <v>1</v>
      </c>
      <c r="BB366" s="281">
        <v>0.97</v>
      </c>
      <c r="BC366" s="279">
        <v>1.75</v>
      </c>
      <c r="BD366" s="283">
        <v>14.31</v>
      </c>
      <c r="BE366" s="282">
        <v>72.05</v>
      </c>
      <c r="BF366" s="283" cm="1">
        <f t="array" aca="1" ref="BF366" ca="1">INDIRECT("'"&amp;$C366&amp;"'!"&amp;"$"&amp;$D366&amp;$BF$1&amp;"")</f>
        <v>14.19</v>
      </c>
      <c r="BG366" s="281">
        <v>0.98</v>
      </c>
      <c r="BH366" s="279">
        <v>3.4</v>
      </c>
      <c r="BI366" s="524">
        <v>68.2</v>
      </c>
      <c r="BJ366" s="278" cm="1">
        <f t="array" aca="1" ref="BJ366" ca="1">INDIRECT("'"&amp;$C366&amp;"'!"&amp;"$"&amp;$D366&amp;$BI$1&amp;"")</f>
        <v>3.1</v>
      </c>
      <c r="BK366" s="280">
        <v>0.95</v>
      </c>
      <c r="BL366" s="279">
        <v>1</v>
      </c>
      <c r="BM366" s="283" cm="1">
        <f t="array" aca="1" ref="BM366" ca="1">INDIRECT("'"&amp;$C366&amp;"'!"&amp;"$"&amp;$D366&amp;$BM$1&amp;"")</f>
        <v>1.38</v>
      </c>
      <c r="BN366" s="281"/>
      <c r="BO366" s="281">
        <v>0.99</v>
      </c>
      <c r="BP366" s="279">
        <v>0.18</v>
      </c>
      <c r="BQ366" s="284" cm="1">
        <f t="array" aca="1" ref="BQ366" ca="1">INDIRECT("'"&amp;$C366&amp;"'!"&amp;"$"&amp;$D366&amp;$BQ$1&amp;"")</f>
        <v>0.76</v>
      </c>
      <c r="BR366" s="281"/>
      <c r="BS366" s="281">
        <v>0.97</v>
      </c>
      <c r="BT366" s="279">
        <v>0.2</v>
      </c>
      <c r="BU366" s="284" cm="1">
        <f t="array" aca="1" ref="BU366" ca="1">INDIRECT("'"&amp;$C366&amp;"'!"&amp;"$"&amp;$D366&amp;74&amp;"")</f>
        <v>0</v>
      </c>
      <c r="BV366" s="281"/>
      <c r="BW366" s="281" t="s">
        <v>1</v>
      </c>
      <c r="BX366" s="279" t="s">
        <v>1</v>
      </c>
    </row>
    <row r="367" spans="1:76">
      <c r="A367" s="459">
        <v>45853</v>
      </c>
      <c r="B367" s="345">
        <v>0.5</v>
      </c>
      <c r="C367" s="305">
        <v>15</v>
      </c>
      <c r="D367" s="306" t="s">
        <v>154</v>
      </c>
      <c r="E367" s="285">
        <v>14.1</v>
      </c>
      <c r="F367" s="286">
        <v>69.72</v>
      </c>
      <c r="G367" s="287" t="str" cm="1">
        <f t="array" aca="1" ref="G367" ca="1">INDIRECT("'"&amp;$C367&amp;"'!"&amp;"$"&amp;$D367&amp;$E$1&amp;"")</f>
        <v>CMS</v>
      </c>
      <c r="H367" s="288" t="s">
        <v>1</v>
      </c>
      <c r="I367" s="286" t="s">
        <v>1</v>
      </c>
      <c r="J367" s="287" cm="1">
        <f t="array" aca="1" ref="J367" ca="1">INDIRECT("'"&amp;$C367&amp;"'!"&amp;"$"&amp;$D367&amp;$J$1&amp;"")</f>
        <v>6</v>
      </c>
      <c r="K367" s="288"/>
      <c r="L367" s="288">
        <v>0.9</v>
      </c>
      <c r="M367" s="289">
        <v>2.7</v>
      </c>
      <c r="N367" s="285" cm="1">
        <f t="array" aca="1" ref="N367" ca="1">INDIRECT("'"&amp;$C367&amp;"'!"&amp;"$"&amp;$D367&amp;$N$1&amp;"")</f>
        <v>6.5</v>
      </c>
      <c r="O367" s="288"/>
      <c r="P367" s="288">
        <v>0.9</v>
      </c>
      <c r="Q367" s="289">
        <v>3.1</v>
      </c>
      <c r="R367" s="285" cm="1">
        <f t="array" aca="1" ref="R367" ca="1">INDIRECT("'"&amp;$C367&amp;"'!"&amp;"$"&amp;$D367&amp;$R$1&amp;"")</f>
        <v>6.5</v>
      </c>
      <c r="S367" s="288"/>
      <c r="T367" s="288">
        <v>0.9</v>
      </c>
      <c r="U367" s="286">
        <v>3.1</v>
      </c>
      <c r="V367" s="287" cm="1">
        <f t="array" aca="1" ref="V367" ca="1">INDIRECT("'"&amp;$C367&amp;"'!"&amp;"$"&amp;$D367&amp;$V$1&amp;"")</f>
        <v>2.8</v>
      </c>
      <c r="W367" s="288">
        <f>3.8*3.46</f>
        <v>13.148</v>
      </c>
      <c r="X367" s="288">
        <v>0.9</v>
      </c>
      <c r="Y367" s="289">
        <v>1.34</v>
      </c>
      <c r="Z367" s="285" t="str" cm="1">
        <f t="array" aca="1" ref="Z367" ca="1">INDIRECT("'"&amp;$C367&amp;"'!"&amp;"$"&amp;$D367&amp;$Z$1&amp;"")</f>
        <v>CMS</v>
      </c>
      <c r="AA367" s="288" t="s">
        <v>1</v>
      </c>
      <c r="AB367" s="288" t="s">
        <v>1</v>
      </c>
      <c r="AC367" s="286" t="s">
        <v>1</v>
      </c>
      <c r="AD367" s="287" t="str" cm="1">
        <f t="array" aca="1" ref="AD367" ca="1">INDIRECT("'"&amp;$C367&amp;"'!"&amp;"$"&amp;$D367&amp;$AD$1&amp;"")</f>
        <v>CMS</v>
      </c>
      <c r="AE367" s="288" t="s">
        <v>1</v>
      </c>
      <c r="AF367" s="288" t="s">
        <v>1</v>
      </c>
      <c r="AG367" s="289" t="s">
        <v>1</v>
      </c>
      <c r="AH367" s="285" cm="1">
        <f t="array" aca="1" ref="AH367" ca="1">INDIRECT("'"&amp;$C367&amp;"'!"&amp;"$"&amp;$D367&amp;$AH$1&amp;"")</f>
        <v>3.8</v>
      </c>
      <c r="AI367" s="288">
        <v>14.16</v>
      </c>
      <c r="AJ367" s="288">
        <v>0.97</v>
      </c>
      <c r="AK367" s="286">
        <v>0.83599999999999997</v>
      </c>
      <c r="AL367" s="285">
        <v>11.8</v>
      </c>
      <c r="AM367" s="289">
        <v>71.3</v>
      </c>
      <c r="AN367" s="285" cm="1">
        <f t="array" aca="1" ref="AN367" ca="1">INDIRECT("'"&amp;$C367&amp;"'!"&amp;"$"&amp;$D367&amp;$AL$1&amp;"")</f>
        <v>0</v>
      </c>
      <c r="AO367" s="288" t="s">
        <v>1</v>
      </c>
      <c r="AP367" s="286" t="s">
        <v>1</v>
      </c>
      <c r="AQ367" s="287" cm="1">
        <f t="array" aca="1" ref="AQ367" ca="1">INDIRECT("'"&amp;$C367&amp;"'!"&amp;"$"&amp;$D367&amp;$AQ$1&amp;"")</f>
        <v>3.7</v>
      </c>
      <c r="AR367" s="288">
        <v>0.93</v>
      </c>
      <c r="AS367" s="286">
        <v>1.3</v>
      </c>
      <c r="AT367" s="285">
        <v>14</v>
      </c>
      <c r="AU367" s="289">
        <v>70.900000000000006</v>
      </c>
      <c r="AV367" s="288" cm="1">
        <f t="array" aca="1" ref="AV367" ca="1">INDIRECT("'"&amp;$C367&amp;"'!"&amp;"$"&amp;$D367&amp;$AV$1&amp;"")</f>
        <v>3.3</v>
      </c>
      <c r="AW367" s="287" t="s">
        <v>1</v>
      </c>
      <c r="AX367" s="288">
        <v>0.98</v>
      </c>
      <c r="AY367" s="286">
        <v>0.66</v>
      </c>
      <c r="AZ367" s="288" cm="1">
        <f t="array" aca="1" ref="AZ367" ca="1">INDIRECT("'"&amp;$C367&amp;"'!"&amp;"$"&amp;$D367&amp;$AZ$1&amp;"")</f>
        <v>7</v>
      </c>
      <c r="BA367" s="287" t="s">
        <v>1</v>
      </c>
      <c r="BB367" s="288">
        <v>0.98</v>
      </c>
      <c r="BC367" s="286">
        <v>0.87</v>
      </c>
      <c r="BD367" s="290">
        <v>14.35</v>
      </c>
      <c r="BE367" s="289">
        <v>72.209999999999994</v>
      </c>
      <c r="BF367" s="290" cm="1">
        <f t="array" aca="1" ref="BF367" ca="1">INDIRECT("'"&amp;$C367&amp;"'!"&amp;"$"&amp;$D367&amp;$BF$1&amp;"")</f>
        <v>14.28</v>
      </c>
      <c r="BG367" s="288">
        <v>0.98</v>
      </c>
      <c r="BH367" s="286">
        <v>3.4</v>
      </c>
      <c r="BI367" s="525">
        <v>68.3</v>
      </c>
      <c r="BJ367" s="285" cm="1">
        <f t="array" aca="1" ref="BJ367" ca="1">INDIRECT("'"&amp;$C367&amp;"'!"&amp;"$"&amp;$D367&amp;$BI$1&amp;"")</f>
        <v>1.5</v>
      </c>
      <c r="BK367" s="287">
        <v>0.95</v>
      </c>
      <c r="BL367" s="286">
        <v>0.5</v>
      </c>
      <c r="BM367" s="290" cm="1">
        <f t="array" aca="1" ref="BM367" ca="1">INDIRECT("'"&amp;$C367&amp;"'!"&amp;"$"&amp;$D367&amp;$BM$1&amp;"")</f>
        <v>1.38</v>
      </c>
      <c r="BN367" s="288"/>
      <c r="BO367" s="288">
        <v>0.99</v>
      </c>
      <c r="BP367" s="286">
        <v>0.17</v>
      </c>
      <c r="BQ367" s="291" cm="1">
        <f t="array" aca="1" ref="BQ367" ca="1">INDIRECT("'"&amp;$C367&amp;"'!"&amp;"$"&amp;$D367&amp;$BQ$1&amp;"")</f>
        <v>0.76</v>
      </c>
      <c r="BR367" s="288"/>
      <c r="BS367" s="288">
        <v>0.96</v>
      </c>
      <c r="BT367" s="286">
        <v>0.21</v>
      </c>
      <c r="BU367" s="291" cm="1">
        <f t="array" aca="1" ref="BU367" ca="1">INDIRECT("'"&amp;$C367&amp;"'!"&amp;"$"&amp;$D367&amp;74&amp;"")</f>
        <v>0</v>
      </c>
      <c r="BV367" s="288"/>
      <c r="BW367" s="288" t="s">
        <v>1</v>
      </c>
      <c r="BX367" s="286" t="s">
        <v>1</v>
      </c>
    </row>
    <row r="368" spans="1:76">
      <c r="A368" s="459">
        <v>45853</v>
      </c>
      <c r="B368" s="345">
        <v>0.54166666666666696</v>
      </c>
      <c r="C368" s="305">
        <v>15</v>
      </c>
      <c r="D368" s="306" t="s">
        <v>155</v>
      </c>
      <c r="E368" s="278">
        <v>14.1</v>
      </c>
      <c r="F368" s="279">
        <v>69.38</v>
      </c>
      <c r="G368" s="280" t="str" cm="1">
        <f t="array" aca="1" ref="G368" ca="1">INDIRECT("'"&amp;$C368&amp;"'!"&amp;"$"&amp;$D368&amp;$E$1&amp;"")</f>
        <v>CMS</v>
      </c>
      <c r="H368" s="281" t="s">
        <v>1</v>
      </c>
      <c r="I368" s="279" t="s">
        <v>1</v>
      </c>
      <c r="J368" s="280" cm="1">
        <f t="array" aca="1" ref="J368" ca="1">INDIRECT("'"&amp;$C368&amp;"'!"&amp;"$"&amp;$D368&amp;$J$1&amp;"")</f>
        <v>5.8</v>
      </c>
      <c r="K368" s="281"/>
      <c r="L368" s="281">
        <v>0.91</v>
      </c>
      <c r="M368" s="279">
        <v>2.6</v>
      </c>
      <c r="N368" s="278" cm="1">
        <f t="array" aca="1" ref="N368" ca="1">INDIRECT("'"&amp;$C368&amp;"'!"&amp;"$"&amp;$D368&amp;$N$1&amp;"")</f>
        <v>6.6</v>
      </c>
      <c r="O368" s="281"/>
      <c r="P368" s="281">
        <v>0.89</v>
      </c>
      <c r="Q368" s="279">
        <v>3.5</v>
      </c>
      <c r="R368" s="468" cm="1">
        <f t="array" aca="1" ref="R368" ca="1">INDIRECT("'"&amp;$C368&amp;"'!"&amp;"$"&amp;$D368&amp;$R$1&amp;"")</f>
        <v>6.6</v>
      </c>
      <c r="S368" s="281"/>
      <c r="T368" s="281">
        <v>0.89</v>
      </c>
      <c r="U368" s="279">
        <v>3.5</v>
      </c>
      <c r="V368" s="280" cm="1">
        <f t="array" aca="1" ref="V368" ca="1">INDIRECT("'"&amp;$C368&amp;"'!"&amp;"$"&amp;$D368&amp;$V$1&amp;"")</f>
        <v>2.8</v>
      </c>
      <c r="W368" s="281">
        <f>3.8*3.43</f>
        <v>13.034000000000001</v>
      </c>
      <c r="X368" s="281">
        <v>0.9</v>
      </c>
      <c r="Y368" s="282">
        <v>1.32</v>
      </c>
      <c r="Z368" s="278" t="str" cm="1">
        <f t="array" aca="1" ref="Z368" ca="1">INDIRECT("'"&amp;$C368&amp;"'!"&amp;"$"&amp;$D368&amp;$Z$1&amp;"")</f>
        <v>CMS</v>
      </c>
      <c r="AA368" s="281" t="s">
        <v>1</v>
      </c>
      <c r="AB368" s="281" t="s">
        <v>1</v>
      </c>
      <c r="AC368" s="279" t="s">
        <v>1</v>
      </c>
      <c r="AD368" s="280" t="str" cm="1">
        <f t="array" aca="1" ref="AD368" ca="1">INDIRECT("'"&amp;$C368&amp;"'!"&amp;"$"&amp;$D368&amp;$AD$1&amp;"")</f>
        <v>CMS</v>
      </c>
      <c r="AE368" s="281" t="s">
        <v>1</v>
      </c>
      <c r="AF368" s="281" t="s">
        <v>1</v>
      </c>
      <c r="AG368" s="282" t="s">
        <v>1</v>
      </c>
      <c r="AH368" s="278" cm="1">
        <f t="array" aca="1" ref="AH368" ca="1">INDIRECT("'"&amp;$C368&amp;"'!"&amp;"$"&amp;$D368&amp;$AH$1&amp;"")</f>
        <v>3.8</v>
      </c>
      <c r="AI368" s="281">
        <v>14.16</v>
      </c>
      <c r="AJ368" s="281">
        <v>0.98</v>
      </c>
      <c r="AK368" s="279">
        <v>0.61099999999999999</v>
      </c>
      <c r="AL368" s="278">
        <v>11.8</v>
      </c>
      <c r="AM368" s="282">
        <v>71.400000000000006</v>
      </c>
      <c r="AN368" s="278" cm="1">
        <f t="array" aca="1" ref="AN368" ca="1">INDIRECT("'"&amp;$C368&amp;"'!"&amp;"$"&amp;$D368&amp;$AL$1&amp;"")</f>
        <v>0</v>
      </c>
      <c r="AO368" s="281" t="s">
        <v>1</v>
      </c>
      <c r="AP368" s="279" t="s">
        <v>1</v>
      </c>
      <c r="AQ368" s="280" cm="1">
        <f t="array" aca="1" ref="AQ368" ca="1">INDIRECT("'"&amp;$C368&amp;"'!"&amp;"$"&amp;$D368&amp;$AQ$1&amp;"")</f>
        <v>3.7</v>
      </c>
      <c r="AR368" s="281">
        <v>0.9</v>
      </c>
      <c r="AS368" s="279">
        <v>1.8</v>
      </c>
      <c r="AT368" s="278">
        <v>14</v>
      </c>
      <c r="AU368" s="282">
        <v>70.900000000000006</v>
      </c>
      <c r="AV368" s="281" cm="1">
        <f t="array" aca="1" ref="AV368" ca="1">INDIRECT("'"&amp;$C368&amp;"'!"&amp;"$"&amp;$D368&amp;$AV$1&amp;"")</f>
        <v>5.0999999999999996</v>
      </c>
      <c r="AW368" s="280">
        <v>13.7</v>
      </c>
      <c r="AX368" s="281">
        <v>0.98</v>
      </c>
      <c r="AY368" s="279">
        <v>1.08</v>
      </c>
      <c r="AZ368" s="281" cm="1">
        <f t="array" aca="1" ref="AZ368" ca="1">INDIRECT("'"&amp;$C368&amp;"'!"&amp;"$"&amp;$D368&amp;$AZ$1&amp;"")</f>
        <v>7</v>
      </c>
      <c r="BA368" s="280">
        <v>13.7</v>
      </c>
      <c r="BB368" s="281">
        <v>0.97</v>
      </c>
      <c r="BC368" s="279">
        <v>1.87</v>
      </c>
      <c r="BD368" s="283">
        <v>14.38</v>
      </c>
      <c r="BE368" s="282">
        <v>72.34</v>
      </c>
      <c r="BF368" s="283" cm="1">
        <f t="array" aca="1" ref="BF368" ca="1">INDIRECT("'"&amp;$C368&amp;"'!"&amp;"$"&amp;$D368&amp;$BF$1&amp;"")</f>
        <v>14.26</v>
      </c>
      <c r="BG368" s="281">
        <v>0.98</v>
      </c>
      <c r="BH368" s="279">
        <v>3.4</v>
      </c>
      <c r="BI368" s="524">
        <v>68.099999999999994</v>
      </c>
      <c r="BJ368" s="278" cm="1">
        <f t="array" aca="1" ref="BJ368" ca="1">INDIRECT("'"&amp;$C368&amp;"'!"&amp;"$"&amp;$D368&amp;$BI$1&amp;"")</f>
        <v>0.8</v>
      </c>
      <c r="BK368" s="280">
        <v>0.95</v>
      </c>
      <c r="BL368" s="279">
        <v>0.25</v>
      </c>
      <c r="BM368" s="283" cm="1">
        <f t="array" aca="1" ref="BM368" ca="1">INDIRECT("'"&amp;$C368&amp;"'!"&amp;"$"&amp;$D368&amp;$BM$1&amp;"")</f>
        <v>1.39</v>
      </c>
      <c r="BN368" s="281"/>
      <c r="BO368" s="281">
        <v>0.99</v>
      </c>
      <c r="BP368" s="279">
        <v>0.16</v>
      </c>
      <c r="BQ368" s="284" cm="1">
        <f t="array" aca="1" ref="BQ368" ca="1">INDIRECT("'"&amp;$C368&amp;"'!"&amp;"$"&amp;$D368&amp;$BQ$1&amp;"")</f>
        <v>0.78</v>
      </c>
      <c r="BR368" s="281"/>
      <c r="BS368" s="281">
        <v>0.96</v>
      </c>
      <c r="BT368" s="279">
        <v>0.2</v>
      </c>
      <c r="BU368" s="284" cm="1">
        <f t="array" aca="1" ref="BU368" ca="1">INDIRECT("'"&amp;$C368&amp;"'!"&amp;"$"&amp;$D368&amp;74&amp;"")</f>
        <v>0</v>
      </c>
      <c r="BV368" s="281"/>
      <c r="BW368" s="281" t="s">
        <v>1</v>
      </c>
      <c r="BX368" s="279" t="s">
        <v>1</v>
      </c>
    </row>
    <row r="369" spans="1:76">
      <c r="A369" s="459">
        <v>45853</v>
      </c>
      <c r="B369" s="345">
        <v>0.58333333333333404</v>
      </c>
      <c r="C369" s="305">
        <v>15</v>
      </c>
      <c r="D369" s="306" t="s">
        <v>156</v>
      </c>
      <c r="E369" s="285">
        <v>14.1</v>
      </c>
      <c r="F369" s="286">
        <v>69.61</v>
      </c>
      <c r="G369" s="287" t="str" cm="1">
        <f t="array" aca="1" ref="G369" ca="1">INDIRECT("'"&amp;$C369&amp;"'!"&amp;"$"&amp;$D369&amp;$E$1&amp;"")</f>
        <v>CMS</v>
      </c>
      <c r="H369" s="288" t="s">
        <v>1</v>
      </c>
      <c r="I369" s="286" t="s">
        <v>1</v>
      </c>
      <c r="J369" s="287" cm="1">
        <f t="array" aca="1" ref="J369" ca="1">INDIRECT("'"&amp;$C369&amp;"'!"&amp;"$"&amp;$D369&amp;$J$1&amp;"")</f>
        <v>5.5</v>
      </c>
      <c r="K369" s="288"/>
      <c r="L369" s="288">
        <v>0.9</v>
      </c>
      <c r="M369" s="289">
        <v>2.4</v>
      </c>
      <c r="N369" s="285" cm="1">
        <f t="array" aca="1" ref="N369" ca="1">INDIRECT("'"&amp;$C369&amp;"'!"&amp;"$"&amp;$D369&amp;$N$1&amp;"")</f>
        <v>6.4</v>
      </c>
      <c r="O369" s="288"/>
      <c r="P369" s="288">
        <v>0.9</v>
      </c>
      <c r="Q369" s="286">
        <v>3.18</v>
      </c>
      <c r="R369" s="285" cm="1">
        <f t="array" aca="1" ref="R369" ca="1">INDIRECT("'"&amp;$C369&amp;"'!"&amp;"$"&amp;$D369&amp;$R$1&amp;"")</f>
        <v>6.4</v>
      </c>
      <c r="S369" s="288"/>
      <c r="T369" s="288">
        <v>0.9</v>
      </c>
      <c r="U369" s="286">
        <v>3.18</v>
      </c>
      <c r="V369" s="287" cm="1">
        <f t="array" aca="1" ref="V369" ca="1">INDIRECT("'"&amp;$C369&amp;"'!"&amp;"$"&amp;$D369&amp;$V$1&amp;"")</f>
        <v>2.8</v>
      </c>
      <c r="W369" s="288">
        <f>3.8*3.44</f>
        <v>13.071999999999999</v>
      </c>
      <c r="X369" s="288">
        <v>0.9</v>
      </c>
      <c r="Y369" s="289">
        <v>1.33</v>
      </c>
      <c r="Z369" s="285" t="str" cm="1">
        <f t="array" aca="1" ref="Z369" ca="1">INDIRECT("'"&amp;$C369&amp;"'!"&amp;"$"&amp;$D369&amp;$Z$1&amp;"")</f>
        <v>CMS</v>
      </c>
      <c r="AA369" s="288" t="s">
        <v>1</v>
      </c>
      <c r="AB369" s="288" t="s">
        <v>1</v>
      </c>
      <c r="AC369" s="286" t="s">
        <v>1</v>
      </c>
      <c r="AD369" s="287" t="str" cm="1">
        <f t="array" aca="1" ref="AD369" ca="1">INDIRECT("'"&amp;$C369&amp;"'!"&amp;"$"&amp;$D369&amp;$AD$1&amp;"")</f>
        <v>CMS</v>
      </c>
      <c r="AE369" s="288" t="s">
        <v>1</v>
      </c>
      <c r="AF369" s="288" t="s">
        <v>1</v>
      </c>
      <c r="AG369" s="289" t="s">
        <v>1</v>
      </c>
      <c r="AH369" s="285" cm="1">
        <f t="array" aca="1" ref="AH369" ca="1">INDIRECT("'"&amp;$C369&amp;"'!"&amp;"$"&amp;$D369&amp;$AH$1&amp;"")</f>
        <v>3.8</v>
      </c>
      <c r="AI369" s="288">
        <v>14.16</v>
      </c>
      <c r="AJ369" s="288">
        <v>0.98</v>
      </c>
      <c r="AK369" s="286">
        <v>0.754</v>
      </c>
      <c r="AL369" s="285">
        <v>11.8</v>
      </c>
      <c r="AM369" s="289">
        <v>71.400000000000006</v>
      </c>
      <c r="AN369" s="285" cm="1">
        <f t="array" aca="1" ref="AN369" ca="1">INDIRECT("'"&amp;$C369&amp;"'!"&amp;"$"&amp;$D369&amp;$AL$1&amp;"")</f>
        <v>0</v>
      </c>
      <c r="AO369" s="288" t="s">
        <v>1</v>
      </c>
      <c r="AP369" s="286" t="s">
        <v>1</v>
      </c>
      <c r="AQ369" s="287" cm="1">
        <f t="array" aca="1" ref="AQ369" ca="1">INDIRECT("'"&amp;$C369&amp;"'!"&amp;"$"&amp;$D369&amp;$AQ$1&amp;"")</f>
        <v>3.7</v>
      </c>
      <c r="AR369" s="288">
        <v>0.89</v>
      </c>
      <c r="AS369" s="286">
        <v>1.75</v>
      </c>
      <c r="AT369" s="285">
        <v>14.36</v>
      </c>
      <c r="AU369" s="289">
        <v>72.31</v>
      </c>
      <c r="AV369" s="288" cm="1">
        <f t="array" aca="1" ref="AV369" ca="1">INDIRECT("'"&amp;$C369&amp;"'!"&amp;"$"&amp;$D369&amp;$AV$1&amp;"")</f>
        <v>5</v>
      </c>
      <c r="AW369" s="287">
        <v>13.7</v>
      </c>
      <c r="AX369" s="288">
        <v>0.98</v>
      </c>
      <c r="AY369" s="286">
        <v>1.01</v>
      </c>
      <c r="AZ369" s="288" cm="1">
        <f t="array" aca="1" ref="AZ369" ca="1">INDIRECT("'"&amp;$C369&amp;"'!"&amp;"$"&amp;$D369&amp;$AZ$1&amp;"")</f>
        <v>7</v>
      </c>
      <c r="BA369" s="287">
        <v>13.7</v>
      </c>
      <c r="BB369" s="288">
        <v>0.98</v>
      </c>
      <c r="BC369" s="286">
        <v>1.86</v>
      </c>
      <c r="BD369" s="290">
        <v>14.36</v>
      </c>
      <c r="BE369" s="289">
        <v>72.31</v>
      </c>
      <c r="BF369" s="290" cm="1">
        <f t="array" aca="1" ref="BF369" ca="1">INDIRECT("'"&amp;$C369&amp;"'!"&amp;"$"&amp;$D369&amp;$BF$1&amp;"")</f>
        <v>14.3</v>
      </c>
      <c r="BG369" s="288">
        <v>0.98</v>
      </c>
      <c r="BH369" s="286">
        <v>3.4</v>
      </c>
      <c r="BI369" s="525">
        <v>68.2</v>
      </c>
      <c r="BJ369" s="285" cm="1">
        <f t="array" aca="1" ref="BJ369" ca="1">INDIRECT("'"&amp;$C369&amp;"'!"&amp;"$"&amp;$D369&amp;$BI$1&amp;"")</f>
        <v>3.1</v>
      </c>
      <c r="BK369" s="287">
        <v>0.95</v>
      </c>
      <c r="BL369" s="286">
        <v>1</v>
      </c>
      <c r="BM369" s="290" cm="1">
        <f t="array" aca="1" ref="BM369" ca="1">INDIRECT("'"&amp;$C369&amp;"'!"&amp;"$"&amp;$D369&amp;$BM$1&amp;"")</f>
        <v>1.42</v>
      </c>
      <c r="BN369" s="288"/>
      <c r="BO369" s="288">
        <v>0.99</v>
      </c>
      <c r="BP369" s="286">
        <v>0.18</v>
      </c>
      <c r="BQ369" s="291" cm="1">
        <f t="array" aca="1" ref="BQ369" ca="1">INDIRECT("'"&amp;$C369&amp;"'!"&amp;"$"&amp;$D369&amp;$BQ$1&amp;"")</f>
        <v>0.79</v>
      </c>
      <c r="BR369" s="288"/>
      <c r="BS369" s="288">
        <v>0.96</v>
      </c>
      <c r="BT369" s="286">
        <v>0.22</v>
      </c>
      <c r="BU369" s="291" cm="1">
        <f t="array" aca="1" ref="BU369" ca="1">INDIRECT("'"&amp;$C369&amp;"'!"&amp;"$"&amp;$D369&amp;74&amp;"")</f>
        <v>0</v>
      </c>
      <c r="BV369" s="288"/>
      <c r="BW369" s="288" t="s">
        <v>1</v>
      </c>
      <c r="BX369" s="286" t="s">
        <v>1</v>
      </c>
    </row>
    <row r="370" spans="1:76">
      <c r="A370" s="459">
        <v>45853</v>
      </c>
      <c r="B370" s="345">
        <v>0.625</v>
      </c>
      <c r="C370" s="305">
        <v>15</v>
      </c>
      <c r="D370" s="306" t="s">
        <v>157</v>
      </c>
      <c r="E370" s="278">
        <v>14.1</v>
      </c>
      <c r="F370" s="279">
        <v>68.8</v>
      </c>
      <c r="G370" s="280" t="str" cm="1">
        <f t="array" aca="1" ref="G370" ca="1">INDIRECT("'"&amp;$C370&amp;"'!"&amp;"$"&amp;$D370&amp;$E$1&amp;"")</f>
        <v>CMS</v>
      </c>
      <c r="H370" s="281" t="s">
        <v>1</v>
      </c>
      <c r="I370" s="279" t="s">
        <v>1</v>
      </c>
      <c r="J370" s="280" cm="1">
        <f t="array" aca="1" ref="J370" ca="1">INDIRECT("'"&amp;$C370&amp;"'!"&amp;"$"&amp;$D370&amp;$J$1&amp;"")</f>
        <v>4.0999999999999996</v>
      </c>
      <c r="K370" s="281"/>
      <c r="L370" s="281">
        <v>0.89</v>
      </c>
      <c r="M370" s="282">
        <v>2</v>
      </c>
      <c r="N370" s="278" cm="1">
        <f t="array" aca="1" ref="N370" ca="1">INDIRECT("'"&amp;$C370&amp;"'!"&amp;"$"&amp;$D370&amp;$N$1&amp;"")</f>
        <v>6.5</v>
      </c>
      <c r="O370" s="281"/>
      <c r="P370" s="281">
        <v>0.89</v>
      </c>
      <c r="Q370" s="279">
        <v>3.3</v>
      </c>
      <c r="R370" s="468" cm="1">
        <f t="array" aca="1" ref="R370" ca="1">INDIRECT("'"&amp;$C370&amp;"'!"&amp;"$"&amp;$D370&amp;$R$1&amp;"")</f>
        <v>6.5</v>
      </c>
      <c r="S370" s="281"/>
      <c r="T370" s="281">
        <v>0.89</v>
      </c>
      <c r="U370" s="279">
        <v>3.3</v>
      </c>
      <c r="V370" s="280" cm="1">
        <f t="array" aca="1" ref="V370" ca="1">INDIRECT("'"&amp;$C370&amp;"'!"&amp;"$"&amp;$D370&amp;$V$1&amp;"")</f>
        <v>2.8</v>
      </c>
      <c r="W370" s="281">
        <f>3.8*3.41</f>
        <v>12.958</v>
      </c>
      <c r="X370" s="281">
        <v>0.9</v>
      </c>
      <c r="Y370" s="282">
        <v>1.32</v>
      </c>
      <c r="Z370" s="278" t="str" cm="1">
        <f t="array" aca="1" ref="Z370" ca="1">INDIRECT("'"&amp;$C370&amp;"'!"&amp;"$"&amp;$D370&amp;$Z$1&amp;"")</f>
        <v>CMS</v>
      </c>
      <c r="AA370" s="281" t="s">
        <v>1</v>
      </c>
      <c r="AB370" s="281" t="s">
        <v>1</v>
      </c>
      <c r="AC370" s="279" t="s">
        <v>1</v>
      </c>
      <c r="AD370" s="280" t="str" cm="1">
        <f t="array" aca="1" ref="AD370" ca="1">INDIRECT("'"&amp;$C370&amp;"'!"&amp;"$"&amp;$D370&amp;$AD$1&amp;"")</f>
        <v>CMS</v>
      </c>
      <c r="AE370" s="281" t="s">
        <v>1</v>
      </c>
      <c r="AF370" s="281" t="s">
        <v>1</v>
      </c>
      <c r="AG370" s="279" t="s">
        <v>1</v>
      </c>
      <c r="AH370" s="278" cm="1">
        <f t="array" aca="1" ref="AH370" ca="1">INDIRECT("'"&amp;$C370&amp;"'!"&amp;"$"&amp;$D370&amp;$AH$1&amp;"")</f>
        <v>3.8</v>
      </c>
      <c r="AI370" s="281">
        <v>14.16</v>
      </c>
      <c r="AJ370" s="281">
        <v>0.96</v>
      </c>
      <c r="AK370" s="279">
        <v>0.90500000000000003</v>
      </c>
      <c r="AL370" s="278">
        <v>11.8</v>
      </c>
      <c r="AM370" s="282">
        <v>71.2</v>
      </c>
      <c r="AN370" s="278" cm="1">
        <f t="array" aca="1" ref="AN370" ca="1">INDIRECT("'"&amp;$C370&amp;"'!"&amp;"$"&amp;$D370&amp;$AL$1&amp;"")</f>
        <v>0</v>
      </c>
      <c r="AO370" s="281" t="s">
        <v>1</v>
      </c>
      <c r="AP370" s="279" t="s">
        <v>1</v>
      </c>
      <c r="AQ370" s="280" cm="1">
        <f t="array" aca="1" ref="AQ370" ca="1">INDIRECT("'"&amp;$C370&amp;"'!"&amp;"$"&amp;$D370&amp;$AQ$1&amp;"")</f>
        <v>3.7</v>
      </c>
      <c r="AR370" s="281">
        <v>0.89</v>
      </c>
      <c r="AS370" s="279">
        <v>1.9</v>
      </c>
      <c r="AT370" s="278">
        <v>14.23</v>
      </c>
      <c r="AU370" s="282">
        <v>71.91</v>
      </c>
      <c r="AV370" s="281" cm="1">
        <f t="array" aca="1" ref="AV370" ca="1">INDIRECT("'"&amp;$C370&amp;"'!"&amp;"$"&amp;$D370&amp;$AV$1&amp;"")</f>
        <v>6.8</v>
      </c>
      <c r="AW370" s="280">
        <v>13.7</v>
      </c>
      <c r="AX370" s="281">
        <v>0.97</v>
      </c>
      <c r="AY370" s="279">
        <v>1.28</v>
      </c>
      <c r="AZ370" s="281" cm="1">
        <f t="array" aca="1" ref="AZ370" ca="1">INDIRECT("'"&amp;$C370&amp;"'!"&amp;"$"&amp;$D370&amp;$AZ$1&amp;"")</f>
        <v>7</v>
      </c>
      <c r="BA370" s="280">
        <v>13.7</v>
      </c>
      <c r="BB370" s="281">
        <v>0.98</v>
      </c>
      <c r="BC370" s="279">
        <v>1.1399999999999999</v>
      </c>
      <c r="BD370" s="283">
        <v>14.23</v>
      </c>
      <c r="BE370" s="282">
        <v>71.91</v>
      </c>
      <c r="BF370" s="283" cm="1">
        <f t="array" aca="1" ref="BF370" ca="1">INDIRECT("'"&amp;$C370&amp;"'!"&amp;"$"&amp;$D370&amp;$BF$1&amp;"")</f>
        <v>14.25</v>
      </c>
      <c r="BG370" s="281">
        <v>0.99</v>
      </c>
      <c r="BH370" s="279">
        <v>2.2999999999999998</v>
      </c>
      <c r="BI370" s="524">
        <v>67.900000000000006</v>
      </c>
      <c r="BJ370" s="278" cm="1">
        <f t="array" aca="1" ref="BJ370" ca="1">INDIRECT("'"&amp;$C370&amp;"'!"&amp;"$"&amp;$D370&amp;$BI$1&amp;"")</f>
        <v>3.1</v>
      </c>
      <c r="BK370" s="280">
        <v>0.95</v>
      </c>
      <c r="BL370" s="279">
        <v>1</v>
      </c>
      <c r="BM370" s="283" cm="1">
        <f t="array" aca="1" ref="BM370" ca="1">INDIRECT("'"&amp;$C370&amp;"'!"&amp;"$"&amp;$D370&amp;$BM$1&amp;"")</f>
        <v>1.39</v>
      </c>
      <c r="BN370" s="281"/>
      <c r="BO370" s="281">
        <v>0.99</v>
      </c>
      <c r="BP370" s="279">
        <v>0.16</v>
      </c>
      <c r="BQ370" s="284" cm="1">
        <f t="array" aca="1" ref="BQ370" ca="1">INDIRECT("'"&amp;$C370&amp;"'!"&amp;"$"&amp;$D370&amp;$BQ$1&amp;"")</f>
        <v>0.83</v>
      </c>
      <c r="BR370" s="281"/>
      <c r="BS370" s="281">
        <v>0.97</v>
      </c>
      <c r="BT370" s="279">
        <v>0.22</v>
      </c>
      <c r="BU370" s="284" cm="1">
        <f t="array" aca="1" ref="BU370" ca="1">INDIRECT("'"&amp;$C370&amp;"'!"&amp;"$"&amp;$D370&amp;74&amp;"")</f>
        <v>0</v>
      </c>
      <c r="BV370" s="281"/>
      <c r="BW370" s="281" t="s">
        <v>1</v>
      </c>
      <c r="BX370" s="279" t="s">
        <v>1</v>
      </c>
    </row>
    <row r="371" spans="1:76">
      <c r="A371" s="459">
        <v>45853</v>
      </c>
      <c r="B371" s="345">
        <v>0.66666666666666696</v>
      </c>
      <c r="C371" s="305">
        <v>15</v>
      </c>
      <c r="D371" s="306" t="s">
        <v>158</v>
      </c>
      <c r="E371" s="285">
        <v>13.9</v>
      </c>
      <c r="F371" s="286">
        <v>68.09</v>
      </c>
      <c r="G371" s="287" t="str" cm="1">
        <f t="array" aca="1" ref="G371" ca="1">INDIRECT("'"&amp;$C371&amp;"'!"&amp;"$"&amp;$D371&amp;$E$1&amp;"")</f>
        <v>CMS</v>
      </c>
      <c r="H371" s="288" t="s">
        <v>1</v>
      </c>
      <c r="I371" s="286" t="s">
        <v>1</v>
      </c>
      <c r="J371" s="287" t="str" cm="1">
        <f t="array" aca="1" ref="J371" ca="1">INDIRECT("'"&amp;$C371&amp;"'!"&amp;"$"&amp;$D371&amp;$J$1&amp;"")</f>
        <v>CMS</v>
      </c>
      <c r="K371" s="288"/>
      <c r="L371" s="288" t="s">
        <v>1</v>
      </c>
      <c r="M371" s="289" t="s">
        <v>1</v>
      </c>
      <c r="N371" s="285" cm="1">
        <f t="array" aca="1" ref="N371" ca="1">INDIRECT("'"&amp;$C371&amp;"'!"&amp;"$"&amp;$D371&amp;$N$1&amp;"")</f>
        <v>6.6</v>
      </c>
      <c r="O371" s="288"/>
      <c r="P371" s="288">
        <v>0.88</v>
      </c>
      <c r="Q371" s="286">
        <v>3.57</v>
      </c>
      <c r="R371" s="469" cm="1">
        <f t="array" aca="1" ref="R371" ca="1">INDIRECT("'"&amp;$C371&amp;"'!"&amp;"$"&amp;$D371&amp;$R$1&amp;"")</f>
        <v>6.6</v>
      </c>
      <c r="S371" s="288"/>
      <c r="T371" s="288">
        <v>0.84</v>
      </c>
      <c r="U371" s="286">
        <v>4.29</v>
      </c>
      <c r="V371" s="287" cm="1">
        <f t="array" aca="1" ref="V371" ca="1">INDIRECT("'"&amp;$C371&amp;"'!"&amp;"$"&amp;$D371&amp;$V$1&amp;"")</f>
        <v>2.8</v>
      </c>
      <c r="W371" s="288">
        <f>3.8*3.41</f>
        <v>12.958</v>
      </c>
      <c r="X371" s="288">
        <v>0.91</v>
      </c>
      <c r="Y371" s="289">
        <v>0.57999999999999996</v>
      </c>
      <c r="Z371" s="285" t="str" cm="1">
        <f t="array" aca="1" ref="Z371" ca="1">INDIRECT("'"&amp;$C371&amp;"'!"&amp;"$"&amp;$D371&amp;$Z$1&amp;"")</f>
        <v>CMS</v>
      </c>
      <c r="AA371" s="288" t="s">
        <v>1</v>
      </c>
      <c r="AB371" s="288" t="s">
        <v>1</v>
      </c>
      <c r="AC371" s="286" t="s">
        <v>1</v>
      </c>
      <c r="AD371" s="287" cm="1">
        <f t="array" aca="1" ref="AD371" ca="1">INDIRECT("'"&amp;$C371&amp;"'!"&amp;"$"&amp;$D371&amp;$AD$1&amp;"")</f>
        <v>1</v>
      </c>
      <c r="AE371" s="288">
        <f>3.8*3.41</f>
        <v>12.958</v>
      </c>
      <c r="AF371" s="288">
        <v>0.91</v>
      </c>
      <c r="AG371" s="289">
        <v>0.49</v>
      </c>
      <c r="AH371" s="285" cm="1">
        <f t="array" aca="1" ref="AH371" ca="1">INDIRECT("'"&amp;$C371&amp;"'!"&amp;"$"&amp;$D371&amp;$AH$1&amp;"")</f>
        <v>3.8</v>
      </c>
      <c r="AI371" s="288">
        <v>14.12</v>
      </c>
      <c r="AJ371" s="288">
        <v>0.96</v>
      </c>
      <c r="AK371" s="286">
        <v>0.97</v>
      </c>
      <c r="AL371" s="285">
        <v>11.8</v>
      </c>
      <c r="AM371" s="289">
        <v>71</v>
      </c>
      <c r="AN371" s="285" cm="1">
        <f t="array" aca="1" ref="AN371" ca="1">INDIRECT("'"&amp;$C371&amp;"'!"&amp;"$"&amp;$D371&amp;$AL$1&amp;"")</f>
        <v>3.3</v>
      </c>
      <c r="AO371" s="288">
        <v>0.92</v>
      </c>
      <c r="AP371" s="286">
        <v>1.1200000000000001</v>
      </c>
      <c r="AQ371" s="287" cm="1">
        <f t="array" aca="1" ref="AQ371" ca="1">INDIRECT("'"&amp;$C371&amp;"'!"&amp;"$"&amp;$D371&amp;$AQ$1&amp;"")</f>
        <v>3.3</v>
      </c>
      <c r="AR371" s="288">
        <v>0.92</v>
      </c>
      <c r="AS371" s="286">
        <v>1.1200000000000001</v>
      </c>
      <c r="AT371" s="285">
        <v>14</v>
      </c>
      <c r="AU371" s="289">
        <v>70.900000000000006</v>
      </c>
      <c r="AV371" s="288" cm="1">
        <f t="array" aca="1" ref="AV371" ca="1">INDIRECT("'"&amp;$C371&amp;"'!"&amp;"$"&amp;$D371&amp;$AV$1&amp;"")</f>
        <v>6.8</v>
      </c>
      <c r="AW371" s="287" t="s">
        <v>1</v>
      </c>
      <c r="AX371" s="288">
        <v>0.97</v>
      </c>
      <c r="AY371" s="286">
        <v>1.66</v>
      </c>
      <c r="AZ371" s="288" cm="1">
        <f t="array" aca="1" ref="AZ371" ca="1">INDIRECT("'"&amp;$C371&amp;"'!"&amp;"$"&amp;$D371&amp;$AZ$1&amp;"")</f>
        <v>7</v>
      </c>
      <c r="BA371" s="287" t="s">
        <v>1</v>
      </c>
      <c r="BB371" s="288">
        <v>0.98</v>
      </c>
      <c r="BC371" s="286">
        <v>1.51</v>
      </c>
      <c r="BD371" s="290">
        <v>14.16</v>
      </c>
      <c r="BE371" s="289">
        <v>71.56</v>
      </c>
      <c r="BF371" s="290" cm="1">
        <f t="array" aca="1" ref="BF371" ca="1">INDIRECT("'"&amp;$C371&amp;"'!"&amp;"$"&amp;$D371&amp;$BF$1&amp;"")</f>
        <v>14.29</v>
      </c>
      <c r="BG371" s="288">
        <v>0.99</v>
      </c>
      <c r="BH371" s="286">
        <v>2.2999999999999998</v>
      </c>
      <c r="BI371" s="525">
        <v>66.8</v>
      </c>
      <c r="BJ371" s="285" cm="1">
        <f t="array" aca="1" ref="BJ371" ca="1">INDIRECT("'"&amp;$C371&amp;"'!"&amp;"$"&amp;$D371&amp;$BI$1&amp;"")</f>
        <v>4.8</v>
      </c>
      <c r="BK371" s="287">
        <v>0.95</v>
      </c>
      <c r="BL371" s="286">
        <v>1.5</v>
      </c>
      <c r="BM371" s="290" cm="1">
        <f t="array" aca="1" ref="BM371" ca="1">INDIRECT("'"&amp;$C371&amp;"'!"&amp;"$"&amp;$D371&amp;$BM$1&amp;"")</f>
        <v>1.39</v>
      </c>
      <c r="BN371" s="288"/>
      <c r="BO371" s="288">
        <v>0.99</v>
      </c>
      <c r="BP371" s="286">
        <v>0.17</v>
      </c>
      <c r="BQ371" s="291" cm="1">
        <f t="array" aca="1" ref="BQ371" ca="1">INDIRECT("'"&amp;$C371&amp;"'!"&amp;"$"&amp;$D371&amp;$BQ$1&amp;"")</f>
        <v>0.84</v>
      </c>
      <c r="BR371" s="288"/>
      <c r="BS371" s="288">
        <v>0.97</v>
      </c>
      <c r="BT371" s="286">
        <v>0.22</v>
      </c>
      <c r="BU371" s="291" cm="1">
        <f t="array" aca="1" ref="BU371" ca="1">INDIRECT("'"&amp;$C371&amp;"'!"&amp;"$"&amp;$D371&amp;74&amp;"")</f>
        <v>0</v>
      </c>
      <c r="BV371" s="288"/>
      <c r="BW371" s="288" t="s">
        <v>1</v>
      </c>
      <c r="BX371" s="286" t="s">
        <v>1</v>
      </c>
    </row>
    <row r="372" spans="1:76">
      <c r="A372" s="459">
        <v>45853</v>
      </c>
      <c r="B372" s="345">
        <v>0.70833333333333404</v>
      </c>
      <c r="C372" s="305">
        <v>15</v>
      </c>
      <c r="D372" s="306" t="s">
        <v>159</v>
      </c>
      <c r="E372" s="278">
        <v>14</v>
      </c>
      <c r="F372" s="279">
        <v>68.97</v>
      </c>
      <c r="G372" s="280" t="str" cm="1">
        <f t="array" aca="1" ref="G372" ca="1">INDIRECT("'"&amp;$C372&amp;"'!"&amp;"$"&amp;$D372&amp;$E$1&amp;"")</f>
        <v>CMS</v>
      </c>
      <c r="H372" s="281" t="s">
        <v>1</v>
      </c>
      <c r="I372" s="279" t="s">
        <v>1</v>
      </c>
      <c r="J372" s="280" t="str" cm="1">
        <f t="array" aca="1" ref="J372" ca="1">INDIRECT("'"&amp;$C372&amp;"'!"&amp;"$"&amp;$D372&amp;$J$1&amp;"")</f>
        <v>CMS</v>
      </c>
      <c r="K372" s="281"/>
      <c r="L372" s="281" t="s">
        <v>1</v>
      </c>
      <c r="M372" s="282" t="s">
        <v>1</v>
      </c>
      <c r="N372" s="278" cm="1">
        <f t="array" aca="1" ref="N372" ca="1">INDIRECT("'"&amp;$C372&amp;"'!"&amp;"$"&amp;$D372&amp;$N$1&amp;"")</f>
        <v>6.4</v>
      </c>
      <c r="O372" s="281"/>
      <c r="P372" s="281">
        <v>0.89</v>
      </c>
      <c r="Q372" s="279">
        <v>3.35</v>
      </c>
      <c r="R372" s="468" cm="1">
        <f t="array" aca="1" ref="R372" ca="1">INDIRECT("'"&amp;$C372&amp;"'!"&amp;"$"&amp;$D372&amp;$R$1&amp;"")</f>
        <v>6.4</v>
      </c>
      <c r="S372" s="281"/>
      <c r="T372" s="281">
        <v>0.89</v>
      </c>
      <c r="U372" s="279">
        <v>3.35</v>
      </c>
      <c r="V372" s="280" cm="1">
        <f t="array" aca="1" ref="V372" ca="1">INDIRECT("'"&amp;$C372&amp;"'!"&amp;"$"&amp;$D372&amp;$V$1&amp;"")</f>
        <v>1.5</v>
      </c>
      <c r="W372" s="281">
        <f>3.8*3.51</f>
        <v>13.337999999999999</v>
      </c>
      <c r="X372" s="281">
        <v>0.91</v>
      </c>
      <c r="Y372" s="282">
        <v>0.62</v>
      </c>
      <c r="Z372" s="278" t="str" cm="1">
        <f t="array" aca="1" ref="Z372" ca="1">INDIRECT("'"&amp;$C372&amp;"'!"&amp;"$"&amp;$D372&amp;$Z$1&amp;"")</f>
        <v>CMS</v>
      </c>
      <c r="AA372" s="281" t="s">
        <v>1</v>
      </c>
      <c r="AB372" s="281" t="s">
        <v>1</v>
      </c>
      <c r="AC372" s="279" t="s">
        <v>1</v>
      </c>
      <c r="AD372" s="280" cm="1">
        <f t="array" aca="1" ref="AD372" ca="1">INDIRECT("'"&amp;$C372&amp;"'!"&amp;"$"&amp;$D372&amp;$AD$1&amp;"")</f>
        <v>2.2999999999999998</v>
      </c>
      <c r="AE372" s="281">
        <f>3.8*3.51</f>
        <v>13.337999999999999</v>
      </c>
      <c r="AF372" s="281">
        <v>0.91</v>
      </c>
      <c r="AG372" s="282">
        <v>1.25</v>
      </c>
      <c r="AH372" s="278" cm="1">
        <f t="array" aca="1" ref="AH372" ca="1">INDIRECT("'"&amp;$C372&amp;"'!"&amp;"$"&amp;$D372&amp;$AH$1&amp;"")</f>
        <v>2.9</v>
      </c>
      <c r="AI372" s="281">
        <v>14.16</v>
      </c>
      <c r="AJ372" s="281">
        <v>0.96</v>
      </c>
      <c r="AK372" s="279">
        <v>0.82299999999999995</v>
      </c>
      <c r="AL372" s="278">
        <v>11.8</v>
      </c>
      <c r="AM372" s="282">
        <v>71.3</v>
      </c>
      <c r="AN372" s="278" cm="1">
        <f t="array" aca="1" ref="AN372" ca="1">INDIRECT("'"&amp;$C372&amp;"'!"&amp;"$"&amp;$D372&amp;$AL$1&amp;"")</f>
        <v>3</v>
      </c>
      <c r="AO372" s="281">
        <v>0.92</v>
      </c>
      <c r="AP372" s="279">
        <v>0.85</v>
      </c>
      <c r="AQ372" s="280" cm="1">
        <f t="array" aca="1" ref="AQ372" ca="1">INDIRECT("'"&amp;$C372&amp;"'!"&amp;"$"&amp;$D372&amp;$AQ$1&amp;"")</f>
        <v>3</v>
      </c>
      <c r="AR372" s="281">
        <v>0.92</v>
      </c>
      <c r="AS372" s="279">
        <v>0.85</v>
      </c>
      <c r="AT372" s="278">
        <v>14</v>
      </c>
      <c r="AU372" s="282">
        <v>70.900000000000006</v>
      </c>
      <c r="AV372" s="281" cm="1">
        <f t="array" aca="1" ref="AV372" ca="1">INDIRECT("'"&amp;$C372&amp;"'!"&amp;"$"&amp;$D372&amp;$AV$1&amp;"")</f>
        <v>4.5</v>
      </c>
      <c r="AW372" s="280" t="s">
        <v>1</v>
      </c>
      <c r="AX372" s="281">
        <v>0.97</v>
      </c>
      <c r="AY372" s="279">
        <v>1.31</v>
      </c>
      <c r="AZ372" s="281" cm="1">
        <f t="array" aca="1" ref="AZ372" ca="1">INDIRECT("'"&amp;$C372&amp;"'!"&amp;"$"&amp;$D372&amp;$AZ$1&amp;"")</f>
        <v>7</v>
      </c>
      <c r="BA372" s="280" t="s">
        <v>1</v>
      </c>
      <c r="BB372" s="281">
        <v>0.99</v>
      </c>
      <c r="BC372" s="279">
        <v>1.1499999999999999</v>
      </c>
      <c r="BD372" s="283">
        <v>14.22</v>
      </c>
      <c r="BE372" s="282">
        <v>71.930000000000007</v>
      </c>
      <c r="BF372" s="283" cm="1">
        <f t="array" aca="1" ref="BF372" ca="1">INDIRECT("'"&amp;$C372&amp;"'!"&amp;"$"&amp;$D372&amp;$BF$1&amp;"")</f>
        <v>14.2</v>
      </c>
      <c r="BG372" s="281">
        <v>0.99</v>
      </c>
      <c r="BH372" s="279">
        <v>2.2999999999999998</v>
      </c>
      <c r="BI372" s="524">
        <v>67.599999999999994</v>
      </c>
      <c r="BJ372" s="278" cm="1">
        <f t="array" aca="1" ref="BJ372" ca="1">INDIRECT("'"&amp;$C372&amp;"'!"&amp;"$"&amp;$D372&amp;$BI$1&amp;"")</f>
        <v>3.8</v>
      </c>
      <c r="BK372" s="280">
        <v>0.95</v>
      </c>
      <c r="BL372" s="279">
        <v>1.2</v>
      </c>
      <c r="BM372" s="283" cm="1">
        <f t="array" aca="1" ref="BM372" ca="1">INDIRECT("'"&amp;$C372&amp;"'!"&amp;"$"&amp;$D372&amp;$BM$1&amp;"")</f>
        <v>1.32</v>
      </c>
      <c r="BN372" s="281"/>
      <c r="BO372" s="281">
        <v>0.99</v>
      </c>
      <c r="BP372" s="279">
        <v>0.16</v>
      </c>
      <c r="BQ372" s="284" cm="1">
        <f t="array" aca="1" ref="BQ372" ca="1">INDIRECT("'"&amp;$C372&amp;"'!"&amp;"$"&amp;$D372&amp;$BQ$1&amp;"")</f>
        <v>0.84</v>
      </c>
      <c r="BR372" s="281"/>
      <c r="BS372" s="281">
        <v>0.96</v>
      </c>
      <c r="BT372" s="279">
        <v>0.22</v>
      </c>
      <c r="BU372" s="284" cm="1">
        <f t="array" aca="1" ref="BU372" ca="1">INDIRECT("'"&amp;$C372&amp;"'!"&amp;"$"&amp;$D372&amp;74&amp;"")</f>
        <v>0</v>
      </c>
      <c r="BV372" s="281"/>
      <c r="BW372" s="281" t="s">
        <v>1</v>
      </c>
      <c r="BX372" s="279" t="s">
        <v>1</v>
      </c>
    </row>
    <row r="373" spans="1:76">
      <c r="A373" s="459">
        <v>45853</v>
      </c>
      <c r="B373" s="345">
        <v>0.750000000000001</v>
      </c>
      <c r="C373" s="305">
        <v>15</v>
      </c>
      <c r="D373" s="306" t="s">
        <v>160</v>
      </c>
      <c r="E373" s="285">
        <v>14</v>
      </c>
      <c r="F373" s="286">
        <v>69.319999999999993</v>
      </c>
      <c r="G373" s="287" t="str" cm="1">
        <f t="array" aca="1" ref="G373" ca="1">INDIRECT("'"&amp;$C373&amp;"'!"&amp;"$"&amp;$D373&amp;$E$1&amp;"")</f>
        <v>CMS</v>
      </c>
      <c r="H373" s="288" t="s">
        <v>1</v>
      </c>
      <c r="I373" s="286" t="s">
        <v>1</v>
      </c>
      <c r="J373" s="287" t="str" cm="1">
        <f t="array" aca="1" ref="J373" ca="1">INDIRECT("'"&amp;$C373&amp;"'!"&amp;"$"&amp;$D373&amp;$J$1&amp;"")</f>
        <v>CMS</v>
      </c>
      <c r="K373" s="288"/>
      <c r="L373" s="288" t="s">
        <v>1</v>
      </c>
      <c r="M373" s="289" t="s">
        <v>1</v>
      </c>
      <c r="N373" s="285" cm="1">
        <f t="array" aca="1" ref="N373" ca="1">INDIRECT("'"&amp;$C373&amp;"'!"&amp;"$"&amp;$D373&amp;$N$1&amp;"")</f>
        <v>6.5</v>
      </c>
      <c r="O373" s="288"/>
      <c r="P373" s="288">
        <v>0.92</v>
      </c>
      <c r="Q373" s="286">
        <v>2.83</v>
      </c>
      <c r="R373" s="285" cm="1">
        <f t="array" aca="1" ref="R373" ca="1">INDIRECT("'"&amp;$C373&amp;"'!"&amp;"$"&amp;$D373&amp;$R$1&amp;"")</f>
        <v>6.5</v>
      </c>
      <c r="S373" s="288"/>
      <c r="T373" s="288">
        <v>0.92</v>
      </c>
      <c r="U373" s="286">
        <v>2.83</v>
      </c>
      <c r="V373" s="287" cm="1">
        <f t="array" aca="1" ref="V373" ca="1">INDIRECT("'"&amp;$C373&amp;"'!"&amp;"$"&amp;$D373&amp;$V$1&amp;"")</f>
        <v>2.8</v>
      </c>
      <c r="W373" s="288">
        <v>13.489999999999998</v>
      </c>
      <c r="X373" s="288">
        <v>0.9</v>
      </c>
      <c r="Y373" s="289">
        <v>1.32</v>
      </c>
      <c r="Z373" s="285" t="str" cm="1">
        <f t="array" aca="1" ref="Z373" ca="1">INDIRECT("'"&amp;$C373&amp;"'!"&amp;"$"&amp;$D373&amp;$Z$1&amp;"")</f>
        <v>CMS</v>
      </c>
      <c r="AA373" s="288" t="s">
        <v>1</v>
      </c>
      <c r="AB373" s="288" t="s">
        <v>1</v>
      </c>
      <c r="AC373" s="286" t="s">
        <v>1</v>
      </c>
      <c r="AD373" s="287" cm="1">
        <f t="array" aca="1" ref="AD373" ca="1">INDIRECT("'"&amp;$C373&amp;"'!"&amp;"$"&amp;$D373&amp;$AD$1&amp;"")</f>
        <v>3.8</v>
      </c>
      <c r="AE373" s="288">
        <v>13.49</v>
      </c>
      <c r="AF373" s="288">
        <v>0.9</v>
      </c>
      <c r="AG373" s="289">
        <v>1.71</v>
      </c>
      <c r="AH373" s="285" cm="1">
        <f t="array" aca="1" ref="AH373" ca="1">INDIRECT("'"&amp;$C373&amp;"'!"&amp;"$"&amp;$D373&amp;$AH$1&amp;"")</f>
        <v>3</v>
      </c>
      <c r="AI373" s="288">
        <v>14.16</v>
      </c>
      <c r="AJ373" s="288">
        <v>0.98</v>
      </c>
      <c r="AK373" s="286">
        <v>0.66300000000000003</v>
      </c>
      <c r="AL373" s="285">
        <v>11.8</v>
      </c>
      <c r="AM373" s="289">
        <v>71.3</v>
      </c>
      <c r="AN373" s="285" cm="1">
        <f t="array" aca="1" ref="AN373" ca="1">INDIRECT("'"&amp;$C373&amp;"'!"&amp;"$"&amp;$D373&amp;$AL$1&amp;"")</f>
        <v>0</v>
      </c>
      <c r="AO373" s="288" t="s">
        <v>1</v>
      </c>
      <c r="AP373" s="286" t="s">
        <v>1</v>
      </c>
      <c r="AQ373" s="287" cm="1">
        <f t="array" aca="1" ref="AQ373" ca="1">INDIRECT("'"&amp;$C373&amp;"'!"&amp;"$"&amp;$D373&amp;$AQ$1&amp;"")</f>
        <v>3.7</v>
      </c>
      <c r="AR373" s="288">
        <v>0.97</v>
      </c>
      <c r="AS373" s="286">
        <v>0.77</v>
      </c>
      <c r="AT373" s="285">
        <v>14</v>
      </c>
      <c r="AU373" s="289">
        <v>70.900000000000006</v>
      </c>
      <c r="AV373" s="288" cm="1">
        <f t="array" aca="1" ref="AV373" ca="1">INDIRECT("'"&amp;$C373&amp;"'!"&amp;"$"&amp;$D373&amp;$AV$1&amp;"")</f>
        <v>3.9</v>
      </c>
      <c r="AW373" s="287" t="s">
        <v>1</v>
      </c>
      <c r="AX373" s="288">
        <v>0.96</v>
      </c>
      <c r="AY373" s="286">
        <v>1.18</v>
      </c>
      <c r="AZ373" s="288" cm="1">
        <f t="array" aca="1" ref="AZ373" ca="1">INDIRECT("'"&amp;$C373&amp;"'!"&amp;"$"&amp;$D373&amp;$AZ$1&amp;"")</f>
        <v>7</v>
      </c>
      <c r="BA373" s="287" t="s">
        <v>1</v>
      </c>
      <c r="BB373" s="288">
        <v>0.99</v>
      </c>
      <c r="BC373" s="286">
        <v>1.02</v>
      </c>
      <c r="BD373" s="290">
        <v>14.27</v>
      </c>
      <c r="BE373" s="289">
        <v>72.14</v>
      </c>
      <c r="BF373" s="290" cm="1">
        <f t="array" aca="1" ref="BF373" ca="1">INDIRECT("'"&amp;$C373&amp;"'!"&amp;"$"&amp;$D373&amp;$BF$1&amp;"")</f>
        <v>14.26</v>
      </c>
      <c r="BG373" s="288">
        <v>0.99</v>
      </c>
      <c r="BH373" s="286">
        <v>2.2999999999999998</v>
      </c>
      <c r="BI373" s="525">
        <v>68.2</v>
      </c>
      <c r="BJ373" s="285" cm="1">
        <f t="array" aca="1" ref="BJ373" ca="1">INDIRECT("'"&amp;$C373&amp;"'!"&amp;"$"&amp;$D373&amp;$BI$1&amp;"")</f>
        <v>1.5</v>
      </c>
      <c r="BK373" s="287">
        <v>0.96</v>
      </c>
      <c r="BL373" s="286">
        <v>0.45</v>
      </c>
      <c r="BM373" s="290" cm="1">
        <f t="array" aca="1" ref="BM373" ca="1">INDIRECT("'"&amp;$C373&amp;"'!"&amp;"$"&amp;$D373&amp;$BM$1&amp;"")</f>
        <v>1.4</v>
      </c>
      <c r="BN373" s="288"/>
      <c r="BO373" s="288">
        <v>0.99</v>
      </c>
      <c r="BP373" s="286">
        <v>0.14000000000000001</v>
      </c>
      <c r="BQ373" s="291" cm="1">
        <f t="array" aca="1" ref="BQ373" ca="1">INDIRECT("'"&amp;$C373&amp;"'!"&amp;"$"&amp;$D373&amp;$BQ$1&amp;"")</f>
        <v>0.83</v>
      </c>
      <c r="BR373" s="288"/>
      <c r="BS373" s="288">
        <v>0.97</v>
      </c>
      <c r="BT373" s="286">
        <v>0.22</v>
      </c>
      <c r="BU373" s="291" cm="1">
        <f t="array" aca="1" ref="BU373" ca="1">INDIRECT("'"&amp;$C373&amp;"'!"&amp;"$"&amp;$D373&amp;74&amp;"")</f>
        <v>0</v>
      </c>
      <c r="BV373" s="288"/>
      <c r="BW373" s="288" t="s">
        <v>1</v>
      </c>
      <c r="BX373" s="286" t="s">
        <v>1</v>
      </c>
    </row>
    <row r="374" spans="1:76">
      <c r="A374" s="459">
        <v>45853</v>
      </c>
      <c r="B374" s="345">
        <v>0.79166666666666696</v>
      </c>
      <c r="C374" s="305">
        <v>15</v>
      </c>
      <c r="D374" s="306" t="s">
        <v>161</v>
      </c>
      <c r="E374" s="278">
        <v>14</v>
      </c>
      <c r="F374" s="279">
        <v>69.23</v>
      </c>
      <c r="G374" s="280" t="str" cm="1">
        <f t="array" aca="1" ref="G374" ca="1">INDIRECT("'"&amp;$C374&amp;"'!"&amp;"$"&amp;$D374&amp;$E$1&amp;"")</f>
        <v>CMS</v>
      </c>
      <c r="H374" s="281" t="s">
        <v>1</v>
      </c>
      <c r="I374" s="279" t="s">
        <v>1</v>
      </c>
      <c r="J374" s="280" t="str" cm="1">
        <f t="array" aca="1" ref="J374" ca="1">INDIRECT("'"&amp;$C374&amp;"'!"&amp;"$"&amp;$D374&amp;$J$1&amp;"")</f>
        <v>CMS</v>
      </c>
      <c r="K374" s="292"/>
      <c r="L374" s="281" t="s">
        <v>1</v>
      </c>
      <c r="M374" s="282" t="s">
        <v>1</v>
      </c>
      <c r="N374" s="278" cm="1">
        <f t="array" aca="1" ref="N374" ca="1">INDIRECT("'"&amp;$C374&amp;"'!"&amp;"$"&amp;$D374&amp;$N$1&amp;"")</f>
        <v>6.8</v>
      </c>
      <c r="O374" s="281"/>
      <c r="P374" s="281">
        <v>0.91</v>
      </c>
      <c r="Q374" s="279">
        <v>2.7</v>
      </c>
      <c r="R374" s="468" cm="1">
        <f t="array" aca="1" ref="R374" ca="1">INDIRECT("'"&amp;$C374&amp;"'!"&amp;"$"&amp;$D374&amp;$R$1&amp;"")</f>
        <v>6.8</v>
      </c>
      <c r="S374" s="281"/>
      <c r="T374" s="281">
        <v>0.91</v>
      </c>
      <c r="U374" s="279">
        <v>2.7</v>
      </c>
      <c r="V374" s="280" cm="1">
        <f t="array" aca="1" ref="V374" ca="1">INDIRECT("'"&amp;$C374&amp;"'!"&amp;"$"&amp;$D374&amp;$V$1&amp;"")</f>
        <v>2.8</v>
      </c>
      <c r="W374" s="281">
        <v>13.489999999999998</v>
      </c>
      <c r="X374" s="281">
        <v>0.9</v>
      </c>
      <c r="Y374" s="282">
        <v>1.31</v>
      </c>
      <c r="Z374" s="278" t="str" cm="1">
        <f t="array" aca="1" ref="Z374" ca="1">INDIRECT("'"&amp;$C374&amp;"'!"&amp;"$"&amp;$D374&amp;$Z$1&amp;"")</f>
        <v>CMS</v>
      </c>
      <c r="AA374" s="281" t="s">
        <v>1</v>
      </c>
      <c r="AB374" s="281" t="s">
        <v>1</v>
      </c>
      <c r="AC374" s="279" t="s">
        <v>1</v>
      </c>
      <c r="AD374" s="280" cm="1">
        <f t="array" aca="1" ref="AD374" ca="1">INDIRECT("'"&amp;$C374&amp;"'!"&amp;"$"&amp;$D374&amp;$AD$1&amp;"")</f>
        <v>3.8</v>
      </c>
      <c r="AE374" s="281">
        <v>13.489999999999998</v>
      </c>
      <c r="AF374" s="281">
        <v>0.9</v>
      </c>
      <c r="AG374" s="282">
        <v>1.68</v>
      </c>
      <c r="AH374" s="278" cm="1">
        <f t="array" aca="1" ref="AH374" ca="1">INDIRECT("'"&amp;$C374&amp;"'!"&amp;"$"&amp;$D374&amp;$AH$1&amp;"")</f>
        <v>3.8</v>
      </c>
      <c r="AI374" s="281">
        <v>14.12</v>
      </c>
      <c r="AJ374" s="281">
        <v>0.97</v>
      </c>
      <c r="AK374" s="279">
        <v>0.82299999999999995</v>
      </c>
      <c r="AL374" s="278">
        <v>11.8</v>
      </c>
      <c r="AM374" s="282">
        <v>71.2</v>
      </c>
      <c r="AN374" s="278" cm="1">
        <f t="array" aca="1" ref="AN374" ca="1">INDIRECT("'"&amp;$C374&amp;"'!"&amp;"$"&amp;$D374&amp;$AL$1&amp;"")</f>
        <v>0</v>
      </c>
      <c r="AO374" s="281" t="s">
        <v>1</v>
      </c>
      <c r="AP374" s="279" t="s">
        <v>1</v>
      </c>
      <c r="AQ374" s="280" cm="1">
        <f t="array" aca="1" ref="AQ374" ca="1">INDIRECT("'"&amp;$C374&amp;"'!"&amp;"$"&amp;$D374&amp;$AQ$1&amp;"")</f>
        <v>3.7</v>
      </c>
      <c r="AR374" s="281">
        <v>0.98</v>
      </c>
      <c r="AS374" s="279">
        <v>1.34</v>
      </c>
      <c r="AT374" s="278">
        <v>14</v>
      </c>
      <c r="AU374" s="282">
        <v>70.900000000000006</v>
      </c>
      <c r="AV374" s="281" cm="1">
        <f t="array" aca="1" ref="AV374" ca="1">INDIRECT("'"&amp;$C374&amp;"'!"&amp;"$"&amp;$D374&amp;$AV$1&amp;"")</f>
        <v>7.1</v>
      </c>
      <c r="AW374" s="280">
        <v>13.7</v>
      </c>
      <c r="AX374" s="281">
        <v>0.93</v>
      </c>
      <c r="AY374" s="279">
        <v>1.4</v>
      </c>
      <c r="AZ374" s="281" cm="1">
        <f t="array" aca="1" ref="AZ374" ca="1">INDIRECT("'"&amp;$C374&amp;"'!"&amp;"$"&amp;$D374&amp;$AZ$1&amp;"")</f>
        <v>7</v>
      </c>
      <c r="BA374" s="280">
        <v>13.7</v>
      </c>
      <c r="BB374" s="281">
        <v>0.99</v>
      </c>
      <c r="BC374" s="279">
        <v>1.07</v>
      </c>
      <c r="BD374" s="283">
        <v>14.22</v>
      </c>
      <c r="BE374" s="282">
        <v>71.900000000000006</v>
      </c>
      <c r="BF374" s="283" cm="1">
        <f t="array" aca="1" ref="BF374" ca="1">INDIRECT("'"&amp;$C374&amp;"'!"&amp;"$"&amp;$D374&amp;$BF$1&amp;"")</f>
        <v>14.31</v>
      </c>
      <c r="BG374" s="281">
        <v>0.99</v>
      </c>
      <c r="BH374" s="279">
        <v>2.2999999999999998</v>
      </c>
      <c r="BI374" s="524">
        <v>68.2</v>
      </c>
      <c r="BJ374" s="278" cm="1">
        <f t="array" aca="1" ref="BJ374" ca="1">INDIRECT("'"&amp;$C374&amp;"'!"&amp;"$"&amp;$D374&amp;$BI$1&amp;"")</f>
        <v>2.2000000000000002</v>
      </c>
      <c r="BK374" s="280">
        <v>0.97</v>
      </c>
      <c r="BL374" s="279">
        <v>0.55000000000000004</v>
      </c>
      <c r="BM374" s="283" cm="1">
        <f t="array" aca="1" ref="BM374" ca="1">INDIRECT("'"&amp;$C374&amp;"'!"&amp;"$"&amp;$D374&amp;$BM$1&amp;"")</f>
        <v>1.39</v>
      </c>
      <c r="BN374" s="281"/>
      <c r="BO374" s="281">
        <v>0.99</v>
      </c>
      <c r="BP374" s="279">
        <v>0.17</v>
      </c>
      <c r="BQ374" s="284" cm="1">
        <f t="array" aca="1" ref="BQ374" ca="1">INDIRECT("'"&amp;$C374&amp;"'!"&amp;"$"&amp;$D374&amp;$BQ$1&amp;"")</f>
        <v>0.91</v>
      </c>
      <c r="BR374" s="281"/>
      <c r="BS374" s="281">
        <v>0.97</v>
      </c>
      <c r="BT374" s="279">
        <v>0.23</v>
      </c>
      <c r="BU374" s="284" cm="1">
        <f t="array" aca="1" ref="BU374" ca="1">INDIRECT("'"&amp;$C374&amp;"'!"&amp;"$"&amp;$D374&amp;74&amp;"")</f>
        <v>0</v>
      </c>
      <c r="BV374" s="281"/>
      <c r="BW374" s="281" t="s">
        <v>1</v>
      </c>
      <c r="BX374" s="279" t="s">
        <v>1</v>
      </c>
    </row>
    <row r="375" spans="1:76">
      <c r="A375" s="459">
        <v>45853</v>
      </c>
      <c r="B375" s="345">
        <v>0.83333333333333337</v>
      </c>
      <c r="C375" s="305">
        <v>15</v>
      </c>
      <c r="D375" s="306" t="s">
        <v>162</v>
      </c>
      <c r="E375" s="285">
        <v>14.1</v>
      </c>
      <c r="F375" s="286">
        <v>69.39</v>
      </c>
      <c r="G375" s="287" t="str" cm="1">
        <f t="array" aca="1" ref="G375" ca="1">INDIRECT("'"&amp;$C375&amp;"'!"&amp;"$"&amp;$D375&amp;$E$1&amp;"")</f>
        <v>CMS</v>
      </c>
      <c r="H375" s="288" t="s">
        <v>1</v>
      </c>
      <c r="I375" s="286" t="s">
        <v>1</v>
      </c>
      <c r="J375" s="287" t="str" cm="1">
        <f t="array" aca="1" ref="J375" ca="1">INDIRECT("'"&amp;$C375&amp;"'!"&amp;"$"&amp;$D375&amp;$J$1&amp;"")</f>
        <v>CMS</v>
      </c>
      <c r="K375" s="288"/>
      <c r="L375" s="288" t="s">
        <v>1</v>
      </c>
      <c r="M375" s="289" t="s">
        <v>1</v>
      </c>
      <c r="N375" s="285" cm="1">
        <f t="array" aca="1" ref="N375" ca="1">INDIRECT("'"&amp;$C375&amp;"'!"&amp;"$"&amp;$D375&amp;$N$1&amp;"")</f>
        <v>6.6</v>
      </c>
      <c r="O375" s="288"/>
      <c r="P375" s="288">
        <v>0.93</v>
      </c>
      <c r="Q375" s="286">
        <v>2.5499999999999998</v>
      </c>
      <c r="R375" s="285" cm="1">
        <f t="array" aca="1" ref="R375" ca="1">INDIRECT("'"&amp;$C375&amp;"'!"&amp;"$"&amp;$D375&amp;$R$1&amp;"")</f>
        <v>6.6</v>
      </c>
      <c r="S375" s="288"/>
      <c r="T375" s="288">
        <v>0.93</v>
      </c>
      <c r="U375" s="286">
        <v>2.5499999999999998</v>
      </c>
      <c r="V375" s="287" cm="1">
        <f t="array" aca="1" ref="V375" ca="1">INDIRECT("'"&amp;$C375&amp;"'!"&amp;"$"&amp;$D375&amp;$V$1&amp;"")</f>
        <v>2.8</v>
      </c>
      <c r="W375" s="288">
        <f>3.8*3.55</f>
        <v>13.489999999999998</v>
      </c>
      <c r="X375" s="288">
        <v>0.94</v>
      </c>
      <c r="Y375" s="289">
        <v>0.93</v>
      </c>
      <c r="Z375" s="285" t="str" cm="1">
        <f t="array" aca="1" ref="Z375" ca="1">INDIRECT("'"&amp;$C375&amp;"'!"&amp;"$"&amp;$D375&amp;$Z$1&amp;"")</f>
        <v>CMS</v>
      </c>
      <c r="AA375" s="288" t="s">
        <v>1</v>
      </c>
      <c r="AB375" s="288" t="s">
        <v>1</v>
      </c>
      <c r="AC375" s="286" t="s">
        <v>1</v>
      </c>
      <c r="AD375" s="287" cm="1">
        <f t="array" aca="1" ref="AD375" ca="1">INDIRECT("'"&amp;$C375&amp;"'!"&amp;"$"&amp;$D375&amp;$AD$1&amp;"")</f>
        <v>3.5</v>
      </c>
      <c r="AE375" s="288">
        <v>13.49</v>
      </c>
      <c r="AF375" s="288">
        <v>0.94</v>
      </c>
      <c r="AG375" s="289">
        <v>1.25</v>
      </c>
      <c r="AH375" s="285" cm="1">
        <f t="array" aca="1" ref="AH375" ca="1">INDIRECT("'"&amp;$C375&amp;"'!"&amp;"$"&amp;$D375&amp;$AH$1&amp;"")</f>
        <v>3.8</v>
      </c>
      <c r="AI375" s="288">
        <v>14.08</v>
      </c>
      <c r="AJ375" s="288">
        <v>0.98</v>
      </c>
      <c r="AK375" s="286">
        <v>0.46100000000000002</v>
      </c>
      <c r="AL375" s="285">
        <v>11.8</v>
      </c>
      <c r="AM375" s="289">
        <v>71.2</v>
      </c>
      <c r="AN375" s="285" cm="1">
        <f t="array" aca="1" ref="AN375" ca="1">INDIRECT("'"&amp;$C375&amp;"'!"&amp;"$"&amp;$D375&amp;$AL$1&amp;"")</f>
        <v>0</v>
      </c>
      <c r="AO375" s="288" t="s">
        <v>1</v>
      </c>
      <c r="AP375" s="286" t="s">
        <v>1</v>
      </c>
      <c r="AQ375" s="287" cm="1">
        <f t="array" aca="1" ref="AQ375" ca="1">INDIRECT("'"&amp;$C375&amp;"'!"&amp;"$"&amp;$D375&amp;$AQ$1&amp;"")</f>
        <v>3.7</v>
      </c>
      <c r="AR375" s="288">
        <v>0.97</v>
      </c>
      <c r="AS375" s="286">
        <v>1.29</v>
      </c>
      <c r="AT375" s="285">
        <v>14</v>
      </c>
      <c r="AU375" s="289">
        <v>70.900000000000006</v>
      </c>
      <c r="AV375" s="288" cm="1">
        <f t="array" aca="1" ref="AV375" ca="1">INDIRECT("'"&amp;$C375&amp;"'!"&amp;"$"&amp;$D375&amp;$AV$1&amp;"")</f>
        <v>5.5</v>
      </c>
      <c r="AW375" s="287" t="s">
        <v>1</v>
      </c>
      <c r="AX375" s="288">
        <v>0.97</v>
      </c>
      <c r="AY375" s="286">
        <v>1.29</v>
      </c>
      <c r="AZ375" s="288" cm="1">
        <f t="array" aca="1" ref="AZ375" ca="1">INDIRECT("'"&amp;$C375&amp;"'!"&amp;"$"&amp;$D375&amp;$AZ$1&amp;"")</f>
        <v>7</v>
      </c>
      <c r="BA375" s="287" t="s">
        <v>1</v>
      </c>
      <c r="BB375" s="288">
        <v>0.99</v>
      </c>
      <c r="BC375" s="286">
        <v>1.1499999999999999</v>
      </c>
      <c r="BD375" s="290">
        <v>14.2</v>
      </c>
      <c r="BE375" s="289">
        <v>71.89</v>
      </c>
      <c r="BF375" s="290" cm="1">
        <f t="array" aca="1" ref="BF375" ca="1">INDIRECT("'"&amp;$C375&amp;"'!"&amp;"$"&amp;$D375&amp;$BF$1&amp;"")</f>
        <v>14.27</v>
      </c>
      <c r="BG375" s="288">
        <v>0.99</v>
      </c>
      <c r="BH375" s="286">
        <v>2.2999999999999998</v>
      </c>
      <c r="BI375" s="525">
        <v>68.2</v>
      </c>
      <c r="BJ375" s="285" cm="1">
        <f t="array" aca="1" ref="BJ375" ca="1">INDIRECT("'"&amp;$C375&amp;"'!"&amp;"$"&amp;$D375&amp;$BI$1&amp;"")</f>
        <v>1.5</v>
      </c>
      <c r="BK375" s="287">
        <v>0.99</v>
      </c>
      <c r="BL375" s="286">
        <v>0.37</v>
      </c>
      <c r="BM375" s="290" cm="1">
        <f t="array" aca="1" ref="BM375" ca="1">INDIRECT("'"&amp;$C375&amp;"'!"&amp;"$"&amp;$D375&amp;$BM$1&amp;"")</f>
        <v>1.43</v>
      </c>
      <c r="BN375" s="288"/>
      <c r="BO375" s="288">
        <v>0.99</v>
      </c>
      <c r="BP375" s="286">
        <v>0.18</v>
      </c>
      <c r="BQ375" s="291" cm="1">
        <f t="array" aca="1" ref="BQ375" ca="1">INDIRECT("'"&amp;$C375&amp;"'!"&amp;"$"&amp;$D375&amp;$BQ$1&amp;"")</f>
        <v>0.93</v>
      </c>
      <c r="BR375" s="288"/>
      <c r="BS375" s="288">
        <v>0.97</v>
      </c>
      <c r="BT375" s="286">
        <v>0.24</v>
      </c>
      <c r="BU375" s="291" cm="1">
        <f t="array" aca="1" ref="BU375" ca="1">INDIRECT("'"&amp;$C375&amp;"'!"&amp;"$"&amp;$D375&amp;74&amp;"")</f>
        <v>0</v>
      </c>
      <c r="BV375" s="288"/>
      <c r="BW375" s="288" t="s">
        <v>1</v>
      </c>
      <c r="BX375" s="286" t="s">
        <v>1</v>
      </c>
    </row>
    <row r="376" spans="1:76">
      <c r="A376" s="459">
        <v>45853</v>
      </c>
      <c r="B376" s="345">
        <v>0.875000000000001</v>
      </c>
      <c r="C376" s="305">
        <v>15</v>
      </c>
      <c r="D376" s="306" t="s">
        <v>163</v>
      </c>
      <c r="E376" s="278">
        <v>14.1</v>
      </c>
      <c r="F376" s="279">
        <v>69.33</v>
      </c>
      <c r="G376" s="280" t="str" cm="1">
        <f t="array" aca="1" ref="G376" ca="1">INDIRECT("'"&amp;$C376&amp;"'!"&amp;"$"&amp;$D376&amp;$E$1&amp;"")</f>
        <v>CMS</v>
      </c>
      <c r="H376" s="281" t="s">
        <v>1</v>
      </c>
      <c r="I376" s="279" t="s">
        <v>1</v>
      </c>
      <c r="J376" s="280" t="str" cm="1">
        <f t="array" aca="1" ref="J376" ca="1">INDIRECT("'"&amp;$C376&amp;"'!"&amp;"$"&amp;$D376&amp;$J$1&amp;"")</f>
        <v>CMS</v>
      </c>
      <c r="K376" s="281"/>
      <c r="L376" s="281" t="s">
        <v>1</v>
      </c>
      <c r="M376" s="282" t="s">
        <v>1</v>
      </c>
      <c r="N376" s="278" cm="1">
        <f t="array" aca="1" ref="N376" ca="1">INDIRECT("'"&amp;$C376&amp;"'!"&amp;"$"&amp;$D376&amp;$N$1&amp;"")</f>
        <v>6.6</v>
      </c>
      <c r="O376" s="281"/>
      <c r="P376" s="281">
        <v>0.93</v>
      </c>
      <c r="Q376" s="279">
        <v>2.48</v>
      </c>
      <c r="R376" s="468" cm="1">
        <f t="array" aca="1" ref="R376" ca="1">INDIRECT("'"&amp;$C376&amp;"'!"&amp;"$"&amp;$D376&amp;$R$1&amp;"")</f>
        <v>6.6</v>
      </c>
      <c r="S376" s="281"/>
      <c r="T376" s="281">
        <v>0.93</v>
      </c>
      <c r="U376" s="279">
        <v>2.48</v>
      </c>
      <c r="V376" s="280" cm="1">
        <f t="array" aca="1" ref="V376" ca="1">INDIRECT("'"&amp;$C376&amp;"'!"&amp;"$"&amp;$D376&amp;$V$1&amp;"")</f>
        <v>2.8</v>
      </c>
      <c r="W376" s="281">
        <f>3.8*3.55</f>
        <v>13.489999999999998</v>
      </c>
      <c r="X376" s="281">
        <v>0.97</v>
      </c>
      <c r="Y376" s="282">
        <v>0.61</v>
      </c>
      <c r="Z376" s="278" t="str" cm="1">
        <f t="array" aca="1" ref="Z376" ca="1">INDIRECT("'"&amp;$C376&amp;"'!"&amp;"$"&amp;$D376&amp;$Z$1&amp;"")</f>
        <v>CMS</v>
      </c>
      <c r="AA376" s="281" t="s">
        <v>1</v>
      </c>
      <c r="AB376" s="281" t="s">
        <v>1</v>
      </c>
      <c r="AC376" s="279" t="s">
        <v>1</v>
      </c>
      <c r="AD376" s="280" cm="1">
        <f t="array" aca="1" ref="AD376" ca="1">INDIRECT("'"&amp;$C376&amp;"'!"&amp;"$"&amp;$D376&amp;$AD$1&amp;"")</f>
        <v>3.8</v>
      </c>
      <c r="AE376" s="281">
        <v>13.49</v>
      </c>
      <c r="AF376" s="281">
        <v>0.97</v>
      </c>
      <c r="AG376" s="282">
        <v>0.84</v>
      </c>
      <c r="AH376" s="278" cm="1">
        <f t="array" aca="1" ref="AH376" ca="1">INDIRECT("'"&amp;$C376&amp;"'!"&amp;"$"&amp;$D376&amp;$AH$1&amp;"")</f>
        <v>3.8</v>
      </c>
      <c r="AI376" s="281">
        <v>14.08</v>
      </c>
      <c r="AJ376" s="281">
        <v>0.98</v>
      </c>
      <c r="AK376" s="279">
        <v>0.51600000000000001</v>
      </c>
      <c r="AL376" s="278">
        <v>11.7</v>
      </c>
      <c r="AM376" s="282">
        <v>71</v>
      </c>
      <c r="AN376" s="278" cm="1">
        <f t="array" aca="1" ref="AN376" ca="1">INDIRECT("'"&amp;$C376&amp;"'!"&amp;"$"&amp;$D376&amp;$AL$1&amp;"")</f>
        <v>0</v>
      </c>
      <c r="AO376" s="281" t="s">
        <v>1</v>
      </c>
      <c r="AP376" s="279" t="s">
        <v>1</v>
      </c>
      <c r="AQ376" s="280" cm="1">
        <f t="array" aca="1" ref="AQ376" ca="1">INDIRECT("'"&amp;$C376&amp;"'!"&amp;"$"&amp;$D376&amp;$AQ$1&amp;"")</f>
        <v>3.7</v>
      </c>
      <c r="AR376" s="281">
        <v>0.94</v>
      </c>
      <c r="AS376" s="279">
        <v>1.31</v>
      </c>
      <c r="AT376" s="278">
        <v>14</v>
      </c>
      <c r="AU376" s="282">
        <v>70.900000000000006</v>
      </c>
      <c r="AV376" s="281" cm="1">
        <f t="array" aca="1" ref="AV376" ca="1">INDIRECT("'"&amp;$C376&amp;"'!"&amp;"$"&amp;$D376&amp;$AV$1&amp;"")</f>
        <v>3.8</v>
      </c>
      <c r="AW376" s="280" t="s">
        <v>1</v>
      </c>
      <c r="AX376" s="281">
        <v>0.93</v>
      </c>
      <c r="AY376" s="279">
        <v>1.51</v>
      </c>
      <c r="AZ376" s="281" cm="1">
        <f t="array" aca="1" ref="AZ376" ca="1">INDIRECT("'"&amp;$C376&amp;"'!"&amp;"$"&amp;$D376&amp;$AZ$1&amp;"")</f>
        <v>7</v>
      </c>
      <c r="BA376" s="280" t="s">
        <v>1</v>
      </c>
      <c r="BB376" s="281">
        <v>0.98</v>
      </c>
      <c r="BC376" s="279">
        <v>1.35</v>
      </c>
      <c r="BD376" s="283">
        <v>14.04</v>
      </c>
      <c r="BE376" s="282">
        <v>71.400000000000006</v>
      </c>
      <c r="BF376" s="283" cm="1">
        <f t="array" aca="1" ref="BF376" ca="1">INDIRECT("'"&amp;$C376&amp;"'!"&amp;"$"&amp;$D376&amp;$BF$1&amp;"")</f>
        <v>14.26</v>
      </c>
      <c r="BG376" s="281">
        <v>1</v>
      </c>
      <c r="BH376" s="279">
        <v>1.25</v>
      </c>
      <c r="BI376" s="524">
        <v>68.2</v>
      </c>
      <c r="BJ376" s="278" cm="1">
        <f t="array" aca="1" ref="BJ376" ca="1">INDIRECT("'"&amp;$C376&amp;"'!"&amp;"$"&amp;$D376&amp;$BI$1&amp;"")</f>
        <v>0</v>
      </c>
      <c r="BK376" s="280" t="s">
        <v>1</v>
      </c>
      <c r="BL376" s="279" t="s">
        <v>1</v>
      </c>
      <c r="BM376" s="283" cm="1">
        <f t="array" aca="1" ref="BM376" ca="1">INDIRECT("'"&amp;$C376&amp;"'!"&amp;"$"&amp;$D376&amp;$BM$1&amp;"")</f>
        <v>1.35</v>
      </c>
      <c r="BN376" s="281"/>
      <c r="BO376" s="281">
        <v>0.99</v>
      </c>
      <c r="BP376" s="279">
        <v>0.17</v>
      </c>
      <c r="BQ376" s="284" cm="1">
        <f t="array" aca="1" ref="BQ376" ca="1">INDIRECT("'"&amp;$C376&amp;"'!"&amp;"$"&amp;$D376&amp;$BQ$1&amp;"")</f>
        <v>0.91</v>
      </c>
      <c r="BR376" s="281"/>
      <c r="BS376" s="281">
        <v>0.97</v>
      </c>
      <c r="BT376" s="279">
        <v>0.23</v>
      </c>
      <c r="BU376" s="284" cm="1">
        <f t="array" aca="1" ref="BU376" ca="1">INDIRECT("'"&amp;$C376&amp;"'!"&amp;"$"&amp;$D376&amp;74&amp;"")</f>
        <v>0</v>
      </c>
      <c r="BV376" s="281"/>
      <c r="BW376" s="281" t="s">
        <v>1</v>
      </c>
      <c r="BX376" s="279" t="s">
        <v>1</v>
      </c>
    </row>
    <row r="377" spans="1:76">
      <c r="A377" s="459">
        <v>45853</v>
      </c>
      <c r="B377" s="345">
        <v>0.91666666666666696</v>
      </c>
      <c r="C377" s="305">
        <v>15</v>
      </c>
      <c r="D377" s="306" t="s">
        <v>164</v>
      </c>
      <c r="E377" s="285">
        <v>14.1</v>
      </c>
      <c r="F377" s="286">
        <v>69.959999999999994</v>
      </c>
      <c r="G377" s="287" t="str" cm="1">
        <f t="array" aca="1" ref="G377" ca="1">INDIRECT("'"&amp;$C377&amp;"'!"&amp;"$"&amp;$D377&amp;$E$1&amp;"")</f>
        <v>CMS</v>
      </c>
      <c r="H377" s="288" t="s">
        <v>1</v>
      </c>
      <c r="I377" s="286" t="s">
        <v>1</v>
      </c>
      <c r="J377" s="287" t="str" cm="1">
        <f t="array" aca="1" ref="J377" ca="1">INDIRECT("'"&amp;$C377&amp;"'!"&amp;"$"&amp;$D377&amp;$J$1&amp;"")</f>
        <v>CMS</v>
      </c>
      <c r="K377" s="288"/>
      <c r="L377" s="288" t="s">
        <v>1</v>
      </c>
      <c r="M377" s="289" t="s">
        <v>1</v>
      </c>
      <c r="N377" s="285" cm="1">
        <f t="array" aca="1" ref="N377" ca="1">INDIRECT("'"&amp;$C377&amp;"'!"&amp;"$"&amp;$D377&amp;$N$1&amp;"")</f>
        <v>6.6</v>
      </c>
      <c r="O377" s="288"/>
      <c r="P377" s="288">
        <v>0.94</v>
      </c>
      <c r="Q377" s="286">
        <v>0.49</v>
      </c>
      <c r="R377" s="285" cm="1">
        <f t="array" aca="1" ref="R377" ca="1">INDIRECT("'"&amp;$C377&amp;"'!"&amp;"$"&amp;$D377&amp;$R$1&amp;"")</f>
        <v>6.6</v>
      </c>
      <c r="S377" s="288"/>
      <c r="T377" s="288">
        <v>0.94</v>
      </c>
      <c r="U377" s="286">
        <v>0.49</v>
      </c>
      <c r="V377" s="287" cm="1">
        <f t="array" aca="1" ref="V377" ca="1">INDIRECT("'"&amp;$C377&amp;"'!"&amp;"$"&amp;$D377&amp;$V$1&amp;"")</f>
        <v>2.8</v>
      </c>
      <c r="W377" s="288">
        <f>3.8*3.59</f>
        <v>13.641999999999999</v>
      </c>
      <c r="X377" s="288">
        <v>0.98</v>
      </c>
      <c r="Y377" s="289">
        <v>0.53</v>
      </c>
      <c r="Z377" s="285" t="str" cm="1">
        <f t="array" aca="1" ref="Z377" ca="1">INDIRECT("'"&amp;$C377&amp;"'!"&amp;"$"&amp;$D377&amp;$Z$1&amp;"")</f>
        <v>CMS</v>
      </c>
      <c r="AA377" s="288" t="s">
        <v>1</v>
      </c>
      <c r="AB377" s="288" t="s">
        <v>1</v>
      </c>
      <c r="AC377" s="286" t="s">
        <v>1</v>
      </c>
      <c r="AD377" s="287" cm="1">
        <f t="array" aca="1" ref="AD377" ca="1">INDIRECT("'"&amp;$C377&amp;"'!"&amp;"$"&amp;$D377&amp;$AD$1&amp;"")</f>
        <v>3</v>
      </c>
      <c r="AE377" s="288">
        <f>3.8*3.59</f>
        <v>13.641999999999999</v>
      </c>
      <c r="AF377" s="288">
        <v>0.98</v>
      </c>
      <c r="AG377" s="289">
        <v>0.55000000000000004</v>
      </c>
      <c r="AH377" s="285" cm="1">
        <f t="array" aca="1" ref="AH377" ca="1">INDIRECT("'"&amp;$C377&amp;"'!"&amp;"$"&amp;$D377&amp;$AH$1&amp;"")</f>
        <v>3</v>
      </c>
      <c r="AI377" s="288">
        <v>14.04</v>
      </c>
      <c r="AJ377" s="288">
        <v>0.98</v>
      </c>
      <c r="AK377" s="286">
        <v>0.49</v>
      </c>
      <c r="AL377" s="285">
        <v>11.7</v>
      </c>
      <c r="AM377" s="289">
        <v>71.099999999999994</v>
      </c>
      <c r="AN377" s="285" cm="1">
        <f t="array" aca="1" ref="AN377" ca="1">INDIRECT("'"&amp;$C377&amp;"'!"&amp;"$"&amp;$D377&amp;$AL$1&amp;"")</f>
        <v>0</v>
      </c>
      <c r="AO377" s="288" t="s">
        <v>1</v>
      </c>
      <c r="AP377" s="286" t="s">
        <v>1</v>
      </c>
      <c r="AQ377" s="287" cm="1">
        <f t="array" aca="1" ref="AQ377" ca="1">INDIRECT("'"&amp;$C377&amp;"'!"&amp;"$"&amp;$D377&amp;$AQ$1&amp;"")</f>
        <v>3.2</v>
      </c>
      <c r="AR377" s="288">
        <v>0.94</v>
      </c>
      <c r="AS377" s="286">
        <v>1</v>
      </c>
      <c r="AT377" s="285">
        <v>13.98</v>
      </c>
      <c r="AU377" s="289">
        <v>70.900000000000006</v>
      </c>
      <c r="AV377" s="288" cm="1">
        <f t="array" aca="1" ref="AV377" ca="1">INDIRECT("'"&amp;$C377&amp;"'!"&amp;"$"&amp;$D377&amp;$AV$1&amp;"")</f>
        <v>0</v>
      </c>
      <c r="AW377" s="287" t="s">
        <v>1</v>
      </c>
      <c r="AX377" s="288" t="s">
        <v>1</v>
      </c>
      <c r="AY377" s="286" t="s">
        <v>1</v>
      </c>
      <c r="AZ377" s="288" cm="1">
        <f t="array" aca="1" ref="AZ377" ca="1">INDIRECT("'"&amp;$C377&amp;"'!"&amp;"$"&amp;$D377&amp;$AZ$1&amp;"")</f>
        <v>6.72</v>
      </c>
      <c r="BA377" s="287" t="s">
        <v>1</v>
      </c>
      <c r="BB377" s="288">
        <v>0.9</v>
      </c>
      <c r="BC377" s="286">
        <v>1.71</v>
      </c>
      <c r="BD377" s="290">
        <v>14.08</v>
      </c>
      <c r="BE377" s="289">
        <v>71.739999999999995</v>
      </c>
      <c r="BF377" s="290" cm="1">
        <f t="array" aca="1" ref="BF377" ca="1">INDIRECT("'"&amp;$C377&amp;"'!"&amp;"$"&amp;$D377&amp;$BF$1&amp;"")</f>
        <v>14.25</v>
      </c>
      <c r="BG377" s="288">
        <v>1</v>
      </c>
      <c r="BH377" s="286">
        <v>1.28</v>
      </c>
      <c r="BI377" s="525">
        <v>69.099999999999994</v>
      </c>
      <c r="BJ377" s="285" cm="1">
        <f t="array" aca="1" ref="BJ377" ca="1">INDIRECT("'"&amp;$C377&amp;"'!"&amp;"$"&amp;$D377&amp;$BI$1&amp;"")</f>
        <v>0</v>
      </c>
      <c r="BK377" s="287" t="s">
        <v>1</v>
      </c>
      <c r="BL377" s="286" t="s">
        <v>1</v>
      </c>
      <c r="BM377" s="290" cm="1">
        <f t="array" aca="1" ref="BM377" ca="1">INDIRECT("'"&amp;$C377&amp;"'!"&amp;"$"&amp;$D377&amp;$BM$1&amp;"")</f>
        <v>1.22</v>
      </c>
      <c r="BN377" s="288"/>
      <c r="BO377" s="288">
        <v>0.99</v>
      </c>
      <c r="BP377" s="286">
        <v>0.16</v>
      </c>
      <c r="BQ377" s="291" cm="1">
        <f t="array" aca="1" ref="BQ377" ca="1">INDIRECT("'"&amp;$C377&amp;"'!"&amp;"$"&amp;$D377&amp;$BQ$1&amp;"")</f>
        <v>0.85</v>
      </c>
      <c r="BR377" s="288"/>
      <c r="BS377" s="288">
        <v>0.97</v>
      </c>
      <c r="BT377" s="286">
        <v>0.22</v>
      </c>
      <c r="BU377" s="291" cm="1">
        <f t="array" aca="1" ref="BU377" ca="1">INDIRECT("'"&amp;$C377&amp;"'!"&amp;"$"&amp;$D377&amp;74&amp;"")</f>
        <v>0</v>
      </c>
      <c r="BV377" s="288"/>
      <c r="BW377" s="288" t="s">
        <v>1</v>
      </c>
      <c r="BX377" s="286" t="s">
        <v>1</v>
      </c>
    </row>
    <row r="378" spans="1:76" ht="14.45" thickBot="1">
      <c r="A378" s="460">
        <v>45853</v>
      </c>
      <c r="B378" s="346">
        <v>0.95833333333333404</v>
      </c>
      <c r="C378" s="307">
        <v>15</v>
      </c>
      <c r="D378" s="308" t="s">
        <v>165</v>
      </c>
      <c r="E378" s="293">
        <v>14.1</v>
      </c>
      <c r="F378" s="294">
        <v>69.819999999999993</v>
      </c>
      <c r="G378" s="295" t="str" cm="1">
        <f t="array" aca="1" ref="G378" ca="1">INDIRECT("'"&amp;$C378&amp;"'!"&amp;"$"&amp;$D378&amp;$E$1&amp;"")</f>
        <v>CMS</v>
      </c>
      <c r="H378" s="296" t="s">
        <v>1</v>
      </c>
      <c r="I378" s="294" t="s">
        <v>1</v>
      </c>
      <c r="J378" s="295" t="str" cm="1">
        <f t="array" aca="1" ref="J378" ca="1">INDIRECT("'"&amp;$C378&amp;"'!"&amp;"$"&amp;$D378&amp;$J$1&amp;"")</f>
        <v>CMS</v>
      </c>
      <c r="K378" s="296"/>
      <c r="L378" s="296" t="s">
        <v>1</v>
      </c>
      <c r="M378" s="297" t="s">
        <v>1</v>
      </c>
      <c r="N378" s="293" cm="1">
        <f t="array" aca="1" ref="N378" ca="1">INDIRECT("'"&amp;$C378&amp;"'!"&amp;"$"&amp;$D378&amp;$N$1&amp;"")</f>
        <v>6.8</v>
      </c>
      <c r="O378" s="296"/>
      <c r="P378" s="296">
        <v>0.96</v>
      </c>
      <c r="Q378" s="294">
        <v>2.02</v>
      </c>
      <c r="R378" s="470" cm="1">
        <f t="array" aca="1" ref="R378" ca="1">INDIRECT("'"&amp;$C378&amp;"'!"&amp;"$"&amp;$D378&amp;$R$1&amp;"")</f>
        <v>6.8</v>
      </c>
      <c r="S378" s="296"/>
      <c r="T378" s="296">
        <v>0.96</v>
      </c>
      <c r="U378" s="294">
        <v>2.02</v>
      </c>
      <c r="V378" s="295" cm="1">
        <f t="array" aca="1" ref="V378" ca="1">INDIRECT("'"&amp;$C378&amp;"'!"&amp;"$"&amp;$D378&amp;$V$1&amp;"")</f>
        <v>0</v>
      </c>
      <c r="W378" s="296" t="s">
        <v>1</v>
      </c>
      <c r="X378" s="296" t="s">
        <v>1</v>
      </c>
      <c r="Y378" s="297" t="s">
        <v>1</v>
      </c>
      <c r="Z378" s="293" t="str" cm="1">
        <f t="array" aca="1" ref="Z378" ca="1">INDIRECT("'"&amp;$C378&amp;"'!"&amp;"$"&amp;$D378&amp;$Z$1&amp;"")</f>
        <v>CMS</v>
      </c>
      <c r="AA378" s="296" t="s">
        <v>1</v>
      </c>
      <c r="AB378" s="296" t="s">
        <v>1</v>
      </c>
      <c r="AC378" s="294" t="s">
        <v>1</v>
      </c>
      <c r="AD378" s="295" cm="1">
        <f t="array" aca="1" ref="AD378" ca="1">INDIRECT("'"&amp;$C378&amp;"'!"&amp;"$"&amp;$D378&amp;$AD$1&amp;"")</f>
        <v>3.5</v>
      </c>
      <c r="AE378" s="296">
        <f>3.8*3.58</f>
        <v>13.603999999999999</v>
      </c>
      <c r="AF378" s="296">
        <v>0.98</v>
      </c>
      <c r="AG378" s="297">
        <v>0.64</v>
      </c>
      <c r="AH378" s="293" cm="1">
        <f t="array" aca="1" ref="AH378" ca="1">INDIRECT("'"&amp;$C378&amp;"'!"&amp;"$"&amp;$D378&amp;$AH$1&amp;"")</f>
        <v>3</v>
      </c>
      <c r="AI378" s="296">
        <v>14.04</v>
      </c>
      <c r="AJ378" s="296">
        <v>0.98</v>
      </c>
      <c r="AK378" s="294">
        <v>0.55200000000000005</v>
      </c>
      <c r="AL378" s="293">
        <v>11.6</v>
      </c>
      <c r="AM378" s="297">
        <v>70.900000000000006</v>
      </c>
      <c r="AN378" s="293" cm="1">
        <f t="array" aca="1" ref="AN378" ca="1">INDIRECT("'"&amp;$C378&amp;"'!"&amp;"$"&amp;$D378&amp;$AL$1&amp;"")</f>
        <v>0</v>
      </c>
      <c r="AO378" s="296" t="s">
        <v>1</v>
      </c>
      <c r="AP378" s="294" t="s">
        <v>1</v>
      </c>
      <c r="AQ378" s="295" cm="1">
        <f t="array" aca="1" ref="AQ378" ca="1">INDIRECT("'"&amp;$C378&amp;"'!"&amp;"$"&amp;$D378&amp;$AQ$1&amp;"")</f>
        <v>1.7</v>
      </c>
      <c r="AR378" s="296">
        <v>0.9</v>
      </c>
      <c r="AS378" s="294">
        <v>0.61</v>
      </c>
      <c r="AT378" s="293">
        <v>13.94</v>
      </c>
      <c r="AU378" s="297">
        <v>70.900000000000006</v>
      </c>
      <c r="AV378" s="296" cm="1">
        <f t="array" aca="1" ref="AV378" ca="1">INDIRECT("'"&amp;$C378&amp;"'!"&amp;"$"&amp;$D378&amp;$AV$1&amp;"")</f>
        <v>0</v>
      </c>
      <c r="AW378" s="295" t="s">
        <v>1</v>
      </c>
      <c r="AX378" s="296" t="s">
        <v>1</v>
      </c>
      <c r="AY378" s="294" t="s">
        <v>1</v>
      </c>
      <c r="AZ378" s="296" cm="1">
        <f t="array" aca="1" ref="AZ378" ca="1">INDIRECT("'"&amp;$C378&amp;"'!"&amp;"$"&amp;$D378&amp;$AZ$1&amp;"")</f>
        <v>7</v>
      </c>
      <c r="BA378" s="295" t="s">
        <v>1</v>
      </c>
      <c r="BB378" s="296">
        <v>0.97</v>
      </c>
      <c r="BC378" s="294">
        <v>1.74</v>
      </c>
      <c r="BD378" s="298">
        <v>14.05</v>
      </c>
      <c r="BE378" s="297">
        <v>71.569999999999993</v>
      </c>
      <c r="BF378" s="298" cm="1">
        <f t="array" aca="1" ref="BF378" ca="1">INDIRECT("'"&amp;$C378&amp;"'!"&amp;"$"&amp;$D378&amp;$BF$1&amp;"")</f>
        <v>14.27</v>
      </c>
      <c r="BG378" s="296">
        <v>1</v>
      </c>
      <c r="BH378" s="294">
        <v>1.25</v>
      </c>
      <c r="BI378" s="526">
        <v>69</v>
      </c>
      <c r="BJ378" s="293" cm="1">
        <f t="array" aca="1" ref="BJ378" ca="1">INDIRECT("'"&amp;$C378&amp;"'!"&amp;"$"&amp;$D378&amp;$BI$1&amp;"")</f>
        <v>0</v>
      </c>
      <c r="BK378" s="295" t="s">
        <v>1</v>
      </c>
      <c r="BL378" s="294" t="s">
        <v>1</v>
      </c>
      <c r="BM378" s="298" cm="1">
        <f t="array" aca="1" ref="BM378" ca="1">INDIRECT("'"&amp;$C378&amp;"'!"&amp;"$"&amp;$D378&amp;$BM$1&amp;"")</f>
        <v>0.96</v>
      </c>
      <c r="BN378" s="296"/>
      <c r="BO378" s="296">
        <v>0.99</v>
      </c>
      <c r="BP378" s="294">
        <v>0.12</v>
      </c>
      <c r="BQ378" s="299" cm="1">
        <f t="array" aca="1" ref="BQ378" ca="1">INDIRECT("'"&amp;$C378&amp;"'!"&amp;"$"&amp;$D378&amp;$BQ$1&amp;"")</f>
        <v>0.84</v>
      </c>
      <c r="BR378" s="296"/>
      <c r="BS378" s="296">
        <v>0.97</v>
      </c>
      <c r="BT378" s="294">
        <v>0.2</v>
      </c>
      <c r="BU378" s="299" cm="1">
        <f t="array" aca="1" ref="BU378" ca="1">INDIRECT("'"&amp;$C378&amp;"'!"&amp;"$"&amp;$D378&amp;74&amp;"")</f>
        <v>0</v>
      </c>
      <c r="BV378" s="296"/>
      <c r="BW378" s="296" t="s">
        <v>1</v>
      </c>
      <c r="BX378" s="294" t="s">
        <v>1</v>
      </c>
    </row>
    <row r="379" spans="1:76" ht="14.45" thickBot="1"/>
    <row r="380" spans="1:76">
      <c r="A380" s="347">
        <v>45854</v>
      </c>
      <c r="B380" s="344">
        <v>0</v>
      </c>
      <c r="C380" s="302">
        <v>16</v>
      </c>
      <c r="D380" s="303" t="s">
        <v>142</v>
      </c>
      <c r="E380" s="272">
        <v>14.1</v>
      </c>
      <c r="F380" s="273">
        <v>69.819999999999993</v>
      </c>
      <c r="G380" s="274" t="str" cm="1">
        <f t="array" aca="1" ref="G380" ca="1">INDIRECT("'"&amp;$C380&amp;"'!"&amp;"$"&amp;$D380&amp;$E$1&amp;"")</f>
        <v>CMS</v>
      </c>
      <c r="H380" s="275" t="s">
        <v>1</v>
      </c>
      <c r="I380" s="273" t="s">
        <v>1</v>
      </c>
      <c r="J380" s="274" t="str" cm="1">
        <f t="array" aca="1" ref="J380" ca="1">INDIRECT("'"&amp;$C380&amp;"'!"&amp;"$"&amp;$D380&amp;$J$1&amp;"")</f>
        <v>CMS</v>
      </c>
      <c r="K380" s="275"/>
      <c r="L380" s="275" t="s">
        <v>1</v>
      </c>
      <c r="M380" s="276" t="s">
        <v>1</v>
      </c>
      <c r="N380" s="272" cm="1">
        <f t="array" aca="1" ref="N380" ca="1">INDIRECT("'"&amp;$C380&amp;"'!"&amp;"$"&amp;$D380&amp;$N$1&amp;"")</f>
        <v>6.6</v>
      </c>
      <c r="O380" s="275"/>
      <c r="P380" s="275">
        <v>0.98</v>
      </c>
      <c r="Q380" s="273">
        <v>1.53</v>
      </c>
      <c r="R380" s="467" cm="1">
        <f t="array" aca="1" ref="R380" ca="1">INDIRECT("'"&amp;$C380&amp;"'!"&amp;"$"&amp;$D380&amp;$R$1&amp;"")</f>
        <v>6.6</v>
      </c>
      <c r="S380" s="275"/>
      <c r="T380" s="275">
        <v>0.98</v>
      </c>
      <c r="U380" s="273">
        <v>1.53</v>
      </c>
      <c r="V380" s="274" cm="1">
        <f t="array" aca="1" ref="V380" ca="1">INDIRECT("'"&amp;$C380&amp;"'!"&amp;"$"&amp;$D380&amp;$V$1&amp;"")</f>
        <v>0</v>
      </c>
      <c r="W380" s="275" t="s">
        <v>1</v>
      </c>
      <c r="X380" s="275" t="s">
        <v>1</v>
      </c>
      <c r="Y380" s="276" t="s">
        <v>1</v>
      </c>
      <c r="Z380" s="272" t="str" cm="1">
        <f t="array" aca="1" ref="Z380" ca="1">INDIRECT("'"&amp;$C380&amp;"'!"&amp;"$"&amp;$D380&amp;$Z$1&amp;"")</f>
        <v>CMS</v>
      </c>
      <c r="AA380" s="275" t="s">
        <v>1</v>
      </c>
      <c r="AB380" s="275" t="s">
        <v>1</v>
      </c>
      <c r="AC380" s="273" t="s">
        <v>1</v>
      </c>
      <c r="AD380" s="274" cm="1">
        <f t="array" aca="1" ref="AD380" ca="1">INDIRECT("'"&amp;$C380&amp;"'!"&amp;"$"&amp;$D380&amp;$AD$1&amp;"")</f>
        <v>0</v>
      </c>
      <c r="AE380" s="275" t="s">
        <v>1</v>
      </c>
      <c r="AF380" s="275" t="s">
        <v>1</v>
      </c>
      <c r="AG380" s="273" t="s">
        <v>1</v>
      </c>
      <c r="AH380" s="272" cm="1">
        <f t="array" aca="1" ref="AH380" ca="1">INDIRECT("'"&amp;$C380&amp;"'!"&amp;"$"&amp;$D380&amp;$AH$1&amp;"")</f>
        <v>0</v>
      </c>
      <c r="AI380" s="275" t="s">
        <v>1</v>
      </c>
      <c r="AJ380" s="275" t="s">
        <v>1</v>
      </c>
      <c r="AK380" s="273" t="s">
        <v>1</v>
      </c>
      <c r="AL380" s="272">
        <v>11.6</v>
      </c>
      <c r="AM380" s="276">
        <v>70.8</v>
      </c>
      <c r="AN380" s="272" cm="1">
        <f t="array" aca="1" ref="AN380" ca="1">INDIRECT("'"&amp;$C380&amp;"'!"&amp;"$"&amp;$D380&amp;$AL$1&amp;"")</f>
        <v>0</v>
      </c>
      <c r="AO380" s="275" t="s">
        <v>1</v>
      </c>
      <c r="AP380" s="273" t="s">
        <v>1</v>
      </c>
      <c r="AQ380" s="274" cm="1">
        <f t="array" aca="1" ref="AQ380" ca="1">INDIRECT("'"&amp;$C380&amp;"'!"&amp;"$"&amp;$D380&amp;$AQ$1&amp;"")</f>
        <v>3.8</v>
      </c>
      <c r="AR380" s="275">
        <v>0.98</v>
      </c>
      <c r="AS380" s="273">
        <v>0.79</v>
      </c>
      <c r="AT380" s="272">
        <v>13.92</v>
      </c>
      <c r="AU380" s="276">
        <v>70.900000000000006</v>
      </c>
      <c r="AV380" s="275" cm="1">
        <f t="array" aca="1" ref="AV380" ca="1">INDIRECT("'"&amp;$C380&amp;"'!"&amp;"$"&amp;$D380&amp;$AV$1&amp;"")</f>
        <v>0</v>
      </c>
      <c r="AW380" s="274" t="s">
        <v>1</v>
      </c>
      <c r="AX380" s="275" t="s">
        <v>1</v>
      </c>
      <c r="AY380" s="273" t="s">
        <v>1</v>
      </c>
      <c r="AZ380" s="275" cm="1">
        <f t="array" aca="1" ref="AZ380" ca="1">INDIRECT("'"&amp;$C380&amp;"'!"&amp;"$"&amp;$D380&amp;$AZ$1&amp;"")</f>
        <v>7</v>
      </c>
      <c r="BA380" s="274" t="s">
        <v>1</v>
      </c>
      <c r="BB380" s="275">
        <v>0.97</v>
      </c>
      <c r="BC380" s="273">
        <v>1.78</v>
      </c>
      <c r="BD380" s="277">
        <v>13.96</v>
      </c>
      <c r="BE380" s="276">
        <v>71.14</v>
      </c>
      <c r="BF380" s="277" cm="1">
        <f t="array" aca="1" ref="BF380" ca="1">INDIRECT("'"&amp;$C380&amp;"'!"&amp;"$"&amp;$D380&amp;$BF$1&amp;"")</f>
        <v>14.27</v>
      </c>
      <c r="BG380" s="275">
        <v>1</v>
      </c>
      <c r="BH380" s="273">
        <v>1.24</v>
      </c>
      <c r="BI380" s="523">
        <v>69.099999999999994</v>
      </c>
      <c r="BJ380" s="272" cm="1">
        <f t="array" aca="1" ref="BJ380" ca="1">INDIRECT("'"&amp;$C380&amp;"'!"&amp;"$"&amp;$D380&amp;$BI$1&amp;"")</f>
        <v>1.4</v>
      </c>
      <c r="BK380" s="274">
        <v>0.98</v>
      </c>
      <c r="BL380" s="273">
        <v>0.28000000000000003</v>
      </c>
      <c r="BM380" s="277" cm="1">
        <f t="array" aca="1" ref="BM380" ca="1">INDIRECT("'"&amp;$C380&amp;"'!"&amp;"$"&amp;$D380&amp;$BM$1&amp;"")</f>
        <v>0.89</v>
      </c>
      <c r="BN380" s="275"/>
      <c r="BO380" s="275">
        <v>0.99</v>
      </c>
      <c r="BP380" s="273">
        <v>0.09</v>
      </c>
      <c r="BQ380" s="277" cm="1">
        <f t="array" aca="1" ref="BQ380" ca="1">INDIRECT("'"&amp;$C380&amp;"'!"&amp;"$"&amp;$D380&amp;$BQ$1&amp;"")</f>
        <v>0.76</v>
      </c>
      <c r="BR380" s="275"/>
      <c r="BS380" s="275">
        <v>0.97</v>
      </c>
      <c r="BT380" s="273">
        <v>0.18</v>
      </c>
      <c r="BU380" s="358" cm="1">
        <f t="array" aca="1" ref="BU380" ca="1">INDIRECT("'"&amp;$C380&amp;"'!"&amp;"$"&amp;$D380&amp;74&amp;"")</f>
        <v>0</v>
      </c>
      <c r="BV380" s="275"/>
      <c r="BW380" s="275" t="s">
        <v>1</v>
      </c>
      <c r="BX380" s="273" t="s">
        <v>1</v>
      </c>
    </row>
    <row r="381" spans="1:76">
      <c r="A381" s="459">
        <v>45854</v>
      </c>
      <c r="B381" s="345">
        <v>4.1666666666666699E-2</v>
      </c>
      <c r="C381" s="305">
        <v>16</v>
      </c>
      <c r="D381" s="306" t="s">
        <v>143</v>
      </c>
      <c r="E381" s="278">
        <v>14.1</v>
      </c>
      <c r="F381" s="279">
        <v>69.95</v>
      </c>
      <c r="G381" s="280" t="str" cm="1">
        <f t="array" aca="1" ref="G381" ca="1">INDIRECT("'"&amp;$C381&amp;"'!"&amp;"$"&amp;$D381&amp;$E$1&amp;"")</f>
        <v>CMS</v>
      </c>
      <c r="H381" s="281" t="s">
        <v>1</v>
      </c>
      <c r="I381" s="279" t="s">
        <v>1</v>
      </c>
      <c r="J381" s="280" t="str" cm="1">
        <f t="array" aca="1" ref="J381" ca="1">INDIRECT("'"&amp;$C381&amp;"'!"&amp;"$"&amp;$D381&amp;$J$1&amp;"")</f>
        <v>CMS</v>
      </c>
      <c r="K381" s="281"/>
      <c r="L381" s="281" t="s">
        <v>1</v>
      </c>
      <c r="M381" s="282" t="s">
        <v>1</v>
      </c>
      <c r="N381" s="278" cm="1">
        <f t="array" aca="1" ref="N381" ca="1">INDIRECT("'"&amp;$C381&amp;"'!"&amp;"$"&amp;$D381&amp;$N$1&amp;"")</f>
        <v>6.6</v>
      </c>
      <c r="O381" s="281"/>
      <c r="P381" s="281">
        <v>0.98</v>
      </c>
      <c r="Q381" s="279">
        <v>1.44</v>
      </c>
      <c r="R381" s="468" cm="1">
        <f t="array" aca="1" ref="R381" ca="1">INDIRECT("'"&amp;$C381&amp;"'!"&amp;"$"&amp;$D381&amp;$R$1&amp;"")</f>
        <v>6.6</v>
      </c>
      <c r="S381" s="281"/>
      <c r="T381" s="281">
        <v>0.98</v>
      </c>
      <c r="U381" s="279">
        <v>1.44</v>
      </c>
      <c r="V381" s="280" cm="1">
        <f t="array" aca="1" ref="V381" ca="1">INDIRECT("'"&amp;$C381&amp;"'!"&amp;"$"&amp;$D381&amp;$V$1&amp;"")</f>
        <v>0</v>
      </c>
      <c r="W381" s="281" t="s">
        <v>1</v>
      </c>
      <c r="X381" s="281" t="s">
        <v>1</v>
      </c>
      <c r="Y381" s="282" t="s">
        <v>1</v>
      </c>
      <c r="Z381" s="278" t="str" cm="1">
        <f t="array" aca="1" ref="Z381" ca="1">INDIRECT("'"&amp;$C381&amp;"'!"&amp;"$"&amp;$D381&amp;$Z$1&amp;"")</f>
        <v>CMS</v>
      </c>
      <c r="AA381" s="281" t="s">
        <v>1</v>
      </c>
      <c r="AB381" s="281" t="s">
        <v>1</v>
      </c>
      <c r="AC381" s="279" t="s">
        <v>1</v>
      </c>
      <c r="AD381" s="280" cm="1">
        <f t="array" aca="1" ref="AD381" ca="1">INDIRECT("'"&amp;$C381&amp;"'!"&amp;"$"&amp;$D381&amp;$AD$1&amp;"")</f>
        <v>0</v>
      </c>
      <c r="AE381" s="281" t="s">
        <v>1</v>
      </c>
      <c r="AF381" s="281" t="s">
        <v>1</v>
      </c>
      <c r="AG381" s="282" t="s">
        <v>1</v>
      </c>
      <c r="AH381" s="278" cm="1">
        <f t="array" aca="1" ref="AH381" ca="1">INDIRECT("'"&amp;$C381&amp;"'!"&amp;"$"&amp;$D381&amp;$AH$1&amp;"")</f>
        <v>0</v>
      </c>
      <c r="AI381" s="281" t="s">
        <v>1</v>
      </c>
      <c r="AJ381" s="281" t="s">
        <v>1</v>
      </c>
      <c r="AK381" s="279" t="s">
        <v>1</v>
      </c>
      <c r="AL381" s="278">
        <v>11.6</v>
      </c>
      <c r="AM381" s="282">
        <v>70.8</v>
      </c>
      <c r="AN381" s="278" cm="1">
        <f t="array" aca="1" ref="AN381" ca="1">INDIRECT("'"&amp;$C381&amp;"'!"&amp;"$"&amp;$D381&amp;$AL$1&amp;"")</f>
        <v>0</v>
      </c>
      <c r="AO381" s="281" t="s">
        <v>1</v>
      </c>
      <c r="AP381" s="279" t="s">
        <v>1</v>
      </c>
      <c r="AQ381" s="280" cm="1">
        <f t="array" aca="1" ref="AQ381" ca="1">INDIRECT("'"&amp;$C381&amp;"'!"&amp;"$"&amp;$D381&amp;$AQ$1&amp;"")</f>
        <v>2.7</v>
      </c>
      <c r="AR381" s="281">
        <v>0.97</v>
      </c>
      <c r="AS381" s="279">
        <v>0.71</v>
      </c>
      <c r="AT381" s="278">
        <v>13.92</v>
      </c>
      <c r="AU381" s="282">
        <v>70.900000000000006</v>
      </c>
      <c r="AV381" s="281" cm="1">
        <f t="array" aca="1" ref="AV381" ca="1">INDIRECT("'"&amp;$C381&amp;"'!"&amp;"$"&amp;$D381&amp;$AV$1&amp;"")</f>
        <v>0</v>
      </c>
      <c r="AW381" s="280" t="s">
        <v>1</v>
      </c>
      <c r="AX381" s="281" t="s">
        <v>1</v>
      </c>
      <c r="AY381" s="279" t="s">
        <v>1</v>
      </c>
      <c r="AZ381" s="281" cm="1">
        <f t="array" aca="1" ref="AZ381" ca="1">INDIRECT("'"&amp;$C381&amp;"'!"&amp;"$"&amp;$D381&amp;$AZ$1&amp;"")</f>
        <v>7</v>
      </c>
      <c r="BA381" s="280" t="s">
        <v>1</v>
      </c>
      <c r="BB381" s="281">
        <v>0.97</v>
      </c>
      <c r="BC381" s="279">
        <v>1.72</v>
      </c>
      <c r="BD381" s="283">
        <v>14.05</v>
      </c>
      <c r="BE381" s="282">
        <v>71.47</v>
      </c>
      <c r="BF381" s="283" cm="1">
        <f t="array" aca="1" ref="BF381" ca="1">INDIRECT("'"&amp;$C381&amp;"'!"&amp;"$"&amp;$D381&amp;$BF$1&amp;"")</f>
        <v>14.28</v>
      </c>
      <c r="BG381" s="281">
        <v>1</v>
      </c>
      <c r="BH381" s="279">
        <v>1.22</v>
      </c>
      <c r="BI381" s="524">
        <v>69.099999999999994</v>
      </c>
      <c r="BJ381" s="278" cm="1">
        <f t="array" aca="1" ref="BJ381" ca="1">INDIRECT("'"&amp;$C381&amp;"'!"&amp;"$"&amp;$D381&amp;$BI$1&amp;"")</f>
        <v>0</v>
      </c>
      <c r="BK381" s="280" t="s">
        <v>1</v>
      </c>
      <c r="BL381" s="279" t="s">
        <v>1</v>
      </c>
      <c r="BM381" s="283" cm="1">
        <f t="array" aca="1" ref="BM381" ca="1">INDIRECT("'"&amp;$C381&amp;"'!"&amp;"$"&amp;$D381&amp;$BM$1&amp;"")</f>
        <v>0.84</v>
      </c>
      <c r="BN381" s="281"/>
      <c r="BO381" s="281">
        <v>0.99</v>
      </c>
      <c r="BP381" s="279">
        <v>0.08</v>
      </c>
      <c r="BQ381" s="283" cm="1">
        <f t="array" aca="1" ref="BQ381" ca="1">INDIRECT("'"&amp;$C381&amp;"'!"&amp;"$"&amp;$D381&amp;$BQ$1&amp;"")</f>
        <v>0.72</v>
      </c>
      <c r="BR381" s="281"/>
      <c r="BS381" s="281">
        <v>0.97</v>
      </c>
      <c r="BT381" s="279">
        <v>0.18</v>
      </c>
      <c r="BU381" s="284" cm="1">
        <f t="array" aca="1" ref="BU381" ca="1">INDIRECT("'"&amp;$C381&amp;"'!"&amp;"$"&amp;$D381&amp;74&amp;"")</f>
        <v>0</v>
      </c>
      <c r="BV381" s="281"/>
      <c r="BW381" s="281" t="s">
        <v>1</v>
      </c>
      <c r="BX381" s="279" t="s">
        <v>1</v>
      </c>
    </row>
    <row r="382" spans="1:76">
      <c r="A382" s="459">
        <v>45854</v>
      </c>
      <c r="B382" s="345">
        <v>8.3333333333333301E-2</v>
      </c>
      <c r="C382" s="305">
        <v>16</v>
      </c>
      <c r="D382" s="306" t="s">
        <v>144</v>
      </c>
      <c r="E382" s="285">
        <v>14.1</v>
      </c>
      <c r="F382" s="286">
        <v>70.14</v>
      </c>
      <c r="G382" s="287" t="str" cm="1">
        <f t="array" aca="1" ref="G382" ca="1">INDIRECT("'"&amp;$C382&amp;"'!"&amp;"$"&amp;$D382&amp;$E$1&amp;"")</f>
        <v>CMS</v>
      </c>
      <c r="H382" s="288" t="s">
        <v>1</v>
      </c>
      <c r="I382" s="286" t="s">
        <v>1</v>
      </c>
      <c r="J382" s="287" t="str" cm="1">
        <f t="array" aca="1" ref="J382" ca="1">INDIRECT("'"&amp;$C382&amp;"'!"&amp;"$"&amp;$D382&amp;$J$1&amp;"")</f>
        <v>CMS</v>
      </c>
      <c r="K382" s="288"/>
      <c r="L382" s="288" t="s">
        <v>1</v>
      </c>
      <c r="M382" s="289" t="s">
        <v>1</v>
      </c>
      <c r="N382" s="285" cm="1">
        <f t="array" aca="1" ref="N382" ca="1">INDIRECT("'"&amp;$C382&amp;"'!"&amp;"$"&amp;$D382&amp;$N$1&amp;"")</f>
        <v>6.7</v>
      </c>
      <c r="O382" s="288"/>
      <c r="P382" s="288">
        <v>0.98</v>
      </c>
      <c r="Q382" s="286">
        <v>1.48</v>
      </c>
      <c r="R382" s="285" cm="1">
        <f t="array" aca="1" ref="R382" ca="1">INDIRECT("'"&amp;$C382&amp;"'!"&amp;"$"&amp;$D382&amp;$R$1&amp;"")</f>
        <v>6.7</v>
      </c>
      <c r="S382" s="288"/>
      <c r="T382" s="288">
        <v>0.98</v>
      </c>
      <c r="U382" s="286">
        <v>1.48</v>
      </c>
      <c r="V382" s="287" cm="1">
        <f t="array" aca="1" ref="V382" ca="1">INDIRECT("'"&amp;$C382&amp;"'!"&amp;"$"&amp;$D382&amp;$V$1&amp;"")</f>
        <v>0</v>
      </c>
      <c r="W382" s="288" t="s">
        <v>1</v>
      </c>
      <c r="X382" s="288" t="s">
        <v>1</v>
      </c>
      <c r="Y382" s="286" t="s">
        <v>1</v>
      </c>
      <c r="Z382" s="278" t="str" cm="1">
        <f t="array" aca="1" ref="Z382" ca="1">INDIRECT("'"&amp;$C382&amp;"'!"&amp;"$"&amp;$D382&amp;$Z$1&amp;"")</f>
        <v>CMS</v>
      </c>
      <c r="AA382" s="288" t="s">
        <v>1</v>
      </c>
      <c r="AB382" s="288" t="s">
        <v>1</v>
      </c>
      <c r="AC382" s="286" t="s">
        <v>1</v>
      </c>
      <c r="AD382" s="287" cm="1">
        <f t="array" aca="1" ref="AD382" ca="1">INDIRECT("'"&amp;$C382&amp;"'!"&amp;"$"&amp;$D382&amp;$AD$1&amp;"")</f>
        <v>0</v>
      </c>
      <c r="AE382" s="288" t="s">
        <v>1</v>
      </c>
      <c r="AF382" s="288" t="s">
        <v>1</v>
      </c>
      <c r="AG382" s="286" t="s">
        <v>1</v>
      </c>
      <c r="AH382" s="285" cm="1">
        <f t="array" aca="1" ref="AH382" ca="1">INDIRECT("'"&amp;$C382&amp;"'!"&amp;"$"&amp;$D382&amp;$AH$1&amp;"")</f>
        <v>0</v>
      </c>
      <c r="AI382" s="288" t="s">
        <v>1</v>
      </c>
      <c r="AJ382" s="288" t="s">
        <v>1</v>
      </c>
      <c r="AK382" s="286" t="s">
        <v>1</v>
      </c>
      <c r="AL382" s="285">
        <v>11.6</v>
      </c>
      <c r="AM382" s="289">
        <v>70.900000000000006</v>
      </c>
      <c r="AN382" s="285" cm="1">
        <f t="array" aca="1" ref="AN382" ca="1">INDIRECT("'"&amp;$C382&amp;"'!"&amp;"$"&amp;$D382&amp;$AL$1&amp;"")</f>
        <v>0</v>
      </c>
      <c r="AO382" s="288" t="s">
        <v>1</v>
      </c>
      <c r="AP382" s="286" t="s">
        <v>1</v>
      </c>
      <c r="AQ382" s="287" cm="1">
        <f t="array" aca="1" ref="AQ382" ca="1">INDIRECT("'"&amp;$C382&amp;"'!"&amp;"$"&amp;$D382&amp;$AQ$1&amp;"")</f>
        <v>1.5</v>
      </c>
      <c r="AR382" s="288">
        <v>0.95</v>
      </c>
      <c r="AS382" s="286">
        <v>0.57999999999999996</v>
      </c>
      <c r="AT382" s="285">
        <v>13.92</v>
      </c>
      <c r="AU382" s="289">
        <v>70.900000000000006</v>
      </c>
      <c r="AV382" s="288" cm="1">
        <f t="array" aca="1" ref="AV382" ca="1">INDIRECT("'"&amp;$C382&amp;"'!"&amp;"$"&amp;$D382&amp;$AV$1&amp;"")</f>
        <v>0</v>
      </c>
      <c r="AW382" s="287" t="s">
        <v>1</v>
      </c>
      <c r="AX382" s="288" t="s">
        <v>1</v>
      </c>
      <c r="AY382" s="286" t="s">
        <v>1</v>
      </c>
      <c r="AZ382" s="288" cm="1">
        <f t="array" aca="1" ref="AZ382" ca="1">INDIRECT("'"&amp;$C382&amp;"'!"&amp;"$"&amp;$D382&amp;$AZ$1&amp;"")</f>
        <v>6.5</v>
      </c>
      <c r="BA382" s="287" t="s">
        <v>1</v>
      </c>
      <c r="BB382" s="288">
        <v>0.97</v>
      </c>
      <c r="BC382" s="286">
        <v>1.67</v>
      </c>
      <c r="BD382" s="290">
        <v>14.04</v>
      </c>
      <c r="BE382" s="289">
        <v>71.459999999999994</v>
      </c>
      <c r="BF382" s="290" cm="1">
        <f t="array" aca="1" ref="BF382" ca="1">INDIRECT("'"&amp;$C382&amp;"'!"&amp;"$"&amp;$D382&amp;$BF$1&amp;"")</f>
        <v>14.28</v>
      </c>
      <c r="BG382" s="288">
        <v>1</v>
      </c>
      <c r="BH382" s="286">
        <v>1.23</v>
      </c>
      <c r="BI382" s="525">
        <v>69.3</v>
      </c>
      <c r="BJ382" s="285" cm="1">
        <f t="array" aca="1" ref="BJ382" ca="1">INDIRECT("'"&amp;$C382&amp;"'!"&amp;"$"&amp;$D382&amp;$BI$1&amp;"")</f>
        <v>0</v>
      </c>
      <c r="BK382" s="287" t="s">
        <v>1</v>
      </c>
      <c r="BL382" s="286" t="s">
        <v>1</v>
      </c>
      <c r="BM382" s="290" cm="1">
        <f t="array" aca="1" ref="BM382" ca="1">INDIRECT("'"&amp;$C382&amp;"'!"&amp;"$"&amp;$D382&amp;$BM$1&amp;"")</f>
        <v>0.81</v>
      </c>
      <c r="BN382" s="288"/>
      <c r="BO382" s="288">
        <v>0.99</v>
      </c>
      <c r="BP382" s="286">
        <v>0.08</v>
      </c>
      <c r="BQ382" s="290" cm="1">
        <f t="array" aca="1" ref="BQ382" ca="1">INDIRECT("'"&amp;$C382&amp;"'!"&amp;"$"&amp;$D382&amp;$BQ$1&amp;"")</f>
        <v>0.71</v>
      </c>
      <c r="BR382" s="288"/>
      <c r="BS382" s="288">
        <v>0.97</v>
      </c>
      <c r="BT382" s="286">
        <v>0.18</v>
      </c>
      <c r="BU382" s="291" cm="1">
        <f t="array" aca="1" ref="BU382" ca="1">INDIRECT("'"&amp;$C382&amp;"'!"&amp;"$"&amp;$D382&amp;74&amp;"")</f>
        <v>0</v>
      </c>
      <c r="BV382" s="288"/>
      <c r="BW382" s="288" t="s">
        <v>1</v>
      </c>
      <c r="BX382" s="286" t="s">
        <v>1</v>
      </c>
    </row>
    <row r="383" spans="1:76">
      <c r="A383" s="459">
        <v>45854</v>
      </c>
      <c r="B383" s="345">
        <v>0.125</v>
      </c>
      <c r="C383" s="305">
        <v>16</v>
      </c>
      <c r="D383" s="306" t="s">
        <v>145</v>
      </c>
      <c r="E383" s="278">
        <v>14.1</v>
      </c>
      <c r="F383" s="279">
        <v>70.040000000000006</v>
      </c>
      <c r="G383" s="280" t="str" cm="1">
        <f t="array" aca="1" ref="G383" ca="1">INDIRECT("'"&amp;$C383&amp;"'!"&amp;"$"&amp;$D383&amp;$E$1&amp;"")</f>
        <v>CMS</v>
      </c>
      <c r="H383" s="281" t="s">
        <v>1</v>
      </c>
      <c r="I383" s="279" t="s">
        <v>1</v>
      </c>
      <c r="J383" s="280" t="str" cm="1">
        <f t="array" aca="1" ref="J383" ca="1">INDIRECT("'"&amp;$C383&amp;"'!"&amp;"$"&amp;$D383&amp;$J$1&amp;"")</f>
        <v>CMS</v>
      </c>
      <c r="K383" s="281"/>
      <c r="L383" s="281" t="s">
        <v>1</v>
      </c>
      <c r="M383" s="282" t="s">
        <v>1</v>
      </c>
      <c r="N383" s="278" cm="1">
        <f t="array" aca="1" ref="N383" ca="1">INDIRECT("'"&amp;$C383&amp;"'!"&amp;"$"&amp;$D383&amp;$N$1&amp;"")</f>
        <v>6.7</v>
      </c>
      <c r="O383" s="281"/>
      <c r="P383" s="281">
        <v>0.98</v>
      </c>
      <c r="Q383" s="279">
        <v>1.5</v>
      </c>
      <c r="R383" s="468" cm="1">
        <f t="array" aca="1" ref="R383" ca="1">INDIRECT("'"&amp;$C383&amp;"'!"&amp;"$"&amp;$D383&amp;$R$1&amp;"")</f>
        <v>6.7</v>
      </c>
      <c r="S383" s="281"/>
      <c r="T383" s="281">
        <v>0.98</v>
      </c>
      <c r="U383" s="279">
        <v>1.5</v>
      </c>
      <c r="V383" s="280" cm="1">
        <f t="array" aca="1" ref="V383" ca="1">INDIRECT("'"&amp;$C383&amp;"'!"&amp;"$"&amp;$D383&amp;$V$1&amp;"")</f>
        <v>0</v>
      </c>
      <c r="W383" s="281" t="s">
        <v>1</v>
      </c>
      <c r="X383" s="281" t="s">
        <v>1</v>
      </c>
      <c r="Y383" s="279" t="s">
        <v>1</v>
      </c>
      <c r="Z383" s="278" t="str" cm="1">
        <f t="array" aca="1" ref="Z383" ca="1">INDIRECT("'"&amp;$C383&amp;"'!"&amp;"$"&amp;$D383&amp;$Z$1&amp;"")</f>
        <v>CMS</v>
      </c>
      <c r="AA383" s="281" t="s">
        <v>1</v>
      </c>
      <c r="AB383" s="281" t="s">
        <v>1</v>
      </c>
      <c r="AC383" s="279" t="s">
        <v>1</v>
      </c>
      <c r="AD383" s="280" cm="1">
        <f t="array" aca="1" ref="AD383" ca="1">INDIRECT("'"&amp;$C383&amp;"'!"&amp;"$"&amp;$D383&amp;$AD$1&amp;"")</f>
        <v>0</v>
      </c>
      <c r="AE383" s="281" t="s">
        <v>1</v>
      </c>
      <c r="AF383" s="281" t="s">
        <v>1</v>
      </c>
      <c r="AG383" s="279" t="s">
        <v>1</v>
      </c>
      <c r="AH383" s="278" cm="1">
        <f t="array" aca="1" ref="AH383" ca="1">INDIRECT("'"&amp;$C383&amp;"'!"&amp;"$"&amp;$D383&amp;$AH$1&amp;"")</f>
        <v>0</v>
      </c>
      <c r="AI383" s="281" t="s">
        <v>1</v>
      </c>
      <c r="AJ383" s="281" t="s">
        <v>1</v>
      </c>
      <c r="AK383" s="279" t="s">
        <v>1</v>
      </c>
      <c r="AL383" s="278">
        <v>0</v>
      </c>
      <c r="AM383" s="282">
        <v>70.8</v>
      </c>
      <c r="AN383" s="278" cm="1">
        <f t="array" aca="1" ref="AN383" ca="1">INDIRECT("'"&amp;$C383&amp;"'!"&amp;"$"&amp;$D383&amp;$AL$1&amp;"")</f>
        <v>0</v>
      </c>
      <c r="AO383" s="281" t="s">
        <v>1</v>
      </c>
      <c r="AP383" s="279" t="s">
        <v>1</v>
      </c>
      <c r="AQ383" s="280" cm="1">
        <f t="array" aca="1" ref="AQ383" ca="1">INDIRECT("'"&amp;$C383&amp;"'!"&amp;"$"&amp;$D383&amp;$AQ$1&amp;"")</f>
        <v>0</v>
      </c>
      <c r="AR383" s="281" t="s">
        <v>1</v>
      </c>
      <c r="AS383" s="279" t="s">
        <v>1</v>
      </c>
      <c r="AT383" s="278">
        <v>13.92</v>
      </c>
      <c r="AU383" s="282">
        <v>70.900000000000006</v>
      </c>
      <c r="AV383" s="281" cm="1">
        <f t="array" aca="1" ref="AV383" ca="1">INDIRECT("'"&amp;$C383&amp;"'!"&amp;"$"&amp;$D383&amp;$AV$1&amp;"")</f>
        <v>0</v>
      </c>
      <c r="AW383" s="280" t="s">
        <v>1</v>
      </c>
      <c r="AX383" s="281" t="s">
        <v>1</v>
      </c>
      <c r="AY383" s="279" t="s">
        <v>1</v>
      </c>
      <c r="AZ383" s="281" cm="1">
        <f t="array" aca="1" ref="AZ383" ca="1">INDIRECT("'"&amp;$C383&amp;"'!"&amp;"$"&amp;$D383&amp;$AZ$1&amp;"")</f>
        <v>7.43</v>
      </c>
      <c r="BA383" s="280" t="s">
        <v>1</v>
      </c>
      <c r="BB383" s="281">
        <v>0.97</v>
      </c>
      <c r="BC383" s="279">
        <v>1.99</v>
      </c>
      <c r="BD383" s="283">
        <v>14.01</v>
      </c>
      <c r="BE383" s="282">
        <v>71.34</v>
      </c>
      <c r="BF383" s="283" cm="1">
        <f t="array" aca="1" ref="BF383" ca="1">INDIRECT("'"&amp;$C383&amp;"'!"&amp;"$"&amp;$D383&amp;$BF$1&amp;"")</f>
        <v>14.26</v>
      </c>
      <c r="BG383" s="281">
        <v>1</v>
      </c>
      <c r="BH383" s="279">
        <v>1.27</v>
      </c>
      <c r="BI383" s="524">
        <v>69.099999999999994</v>
      </c>
      <c r="BJ383" s="278" cm="1">
        <f t="array" aca="1" ref="BJ383" ca="1">INDIRECT("'"&amp;$C383&amp;"'!"&amp;"$"&amp;$D383&amp;$BI$1&amp;"")</f>
        <v>0</v>
      </c>
      <c r="BK383" s="280" t="s">
        <v>1</v>
      </c>
      <c r="BL383" s="279" t="s">
        <v>1</v>
      </c>
      <c r="BM383" s="283" cm="1">
        <f t="array" aca="1" ref="BM383" ca="1">INDIRECT("'"&amp;$C383&amp;"'!"&amp;"$"&amp;$D383&amp;$BM$1&amp;"")</f>
        <v>0.8</v>
      </c>
      <c r="BN383" s="281"/>
      <c r="BO383" s="281">
        <v>0.99</v>
      </c>
      <c r="BP383" s="279">
        <v>7.0000000000000007E-2</v>
      </c>
      <c r="BQ383" s="283" cm="1">
        <f t="array" aca="1" ref="BQ383" ca="1">INDIRECT("'"&amp;$C383&amp;"'!"&amp;"$"&amp;$D383&amp;$BQ$1&amp;"")</f>
        <v>0.68</v>
      </c>
      <c r="BR383" s="281"/>
      <c r="BS383" s="281">
        <v>0.97</v>
      </c>
      <c r="BT383" s="279">
        <v>0.17</v>
      </c>
      <c r="BU383" s="284" cm="1">
        <f t="array" aca="1" ref="BU383" ca="1">INDIRECT("'"&amp;$C383&amp;"'!"&amp;"$"&amp;$D383&amp;74&amp;"")</f>
        <v>0</v>
      </c>
      <c r="BV383" s="281"/>
      <c r="BW383" s="281" t="s">
        <v>1</v>
      </c>
      <c r="BX383" s="279" t="s">
        <v>1</v>
      </c>
    </row>
    <row r="384" spans="1:76">
      <c r="A384" s="459">
        <v>45854</v>
      </c>
      <c r="B384" s="345">
        <v>0.16666666666666699</v>
      </c>
      <c r="C384" s="305">
        <v>16</v>
      </c>
      <c r="D384" s="306" t="s">
        <v>146</v>
      </c>
      <c r="E384" s="285">
        <v>14.1</v>
      </c>
      <c r="F384" s="286">
        <v>69.97</v>
      </c>
      <c r="G384" s="287" t="str" cm="1">
        <f t="array" aca="1" ref="G384" ca="1">INDIRECT("'"&amp;$C384&amp;"'!"&amp;"$"&amp;$D384&amp;$E$1&amp;"")</f>
        <v>CMS</v>
      </c>
      <c r="H384" s="288" t="s">
        <v>1</v>
      </c>
      <c r="I384" s="286" t="s">
        <v>1</v>
      </c>
      <c r="J384" s="287" t="str" cm="1">
        <f t="array" aca="1" ref="J384" ca="1">INDIRECT("'"&amp;$C384&amp;"'!"&amp;"$"&amp;$D384&amp;$J$1&amp;"")</f>
        <v>CMS</v>
      </c>
      <c r="K384" s="288"/>
      <c r="L384" s="288" t="s">
        <v>1</v>
      </c>
      <c r="M384" s="286" t="s">
        <v>1</v>
      </c>
      <c r="N384" s="285" cm="1">
        <f t="array" aca="1" ref="N384" ca="1">INDIRECT("'"&amp;$C384&amp;"'!"&amp;"$"&amp;$D384&amp;$N$1&amp;"")</f>
        <v>6.7</v>
      </c>
      <c r="O384" s="288"/>
      <c r="P384" s="288">
        <v>0.98</v>
      </c>
      <c r="Q384" s="286">
        <v>1.5</v>
      </c>
      <c r="R384" s="285" cm="1">
        <f t="array" aca="1" ref="R384" ca="1">INDIRECT("'"&amp;$C384&amp;"'!"&amp;"$"&amp;$D384&amp;$R$1&amp;"")</f>
        <v>6.7</v>
      </c>
      <c r="S384" s="288"/>
      <c r="T384" s="288">
        <v>0.98</v>
      </c>
      <c r="U384" s="286">
        <v>1.5</v>
      </c>
      <c r="V384" s="287" cm="1">
        <f t="array" aca="1" ref="V384" ca="1">INDIRECT("'"&amp;$C384&amp;"'!"&amp;"$"&amp;$D384&amp;$V$1&amp;"")</f>
        <v>0</v>
      </c>
      <c r="W384" s="288" t="s">
        <v>1</v>
      </c>
      <c r="X384" s="288" t="s">
        <v>1</v>
      </c>
      <c r="Y384" s="286" t="s">
        <v>1</v>
      </c>
      <c r="Z384" s="285" t="str" cm="1">
        <f t="array" aca="1" ref="Z384" ca="1">INDIRECT("'"&amp;$C384&amp;"'!"&amp;"$"&amp;$D384&amp;$Z$1&amp;"")</f>
        <v>CMS</v>
      </c>
      <c r="AA384" s="288" t="s">
        <v>1</v>
      </c>
      <c r="AB384" s="288" t="s">
        <v>1</v>
      </c>
      <c r="AC384" s="286" t="s">
        <v>1</v>
      </c>
      <c r="AD384" s="287" cm="1">
        <f t="array" aca="1" ref="AD384" ca="1">INDIRECT("'"&amp;$C384&amp;"'!"&amp;"$"&amp;$D384&amp;$AD$1&amp;"")</f>
        <v>0</v>
      </c>
      <c r="AE384" s="288" t="s">
        <v>1</v>
      </c>
      <c r="AF384" s="288" t="s">
        <v>1</v>
      </c>
      <c r="AG384" s="286" t="s">
        <v>1</v>
      </c>
      <c r="AH384" s="285" cm="1">
        <f t="array" aca="1" ref="AH384" ca="1">INDIRECT("'"&amp;$C384&amp;"'!"&amp;"$"&amp;$D384&amp;$AH$1&amp;"")</f>
        <v>0</v>
      </c>
      <c r="AI384" s="288" t="s">
        <v>1</v>
      </c>
      <c r="AJ384" s="288" t="s">
        <v>1</v>
      </c>
      <c r="AK384" s="286" t="s">
        <v>1</v>
      </c>
      <c r="AL384" s="285">
        <v>0</v>
      </c>
      <c r="AM384" s="289">
        <v>70.7</v>
      </c>
      <c r="AN384" s="285" cm="1">
        <f t="array" aca="1" ref="AN384" ca="1">INDIRECT("'"&amp;$C384&amp;"'!"&amp;"$"&amp;$D384&amp;$AL$1&amp;"")</f>
        <v>0</v>
      </c>
      <c r="AO384" s="288" t="s">
        <v>1</v>
      </c>
      <c r="AP384" s="286" t="s">
        <v>1</v>
      </c>
      <c r="AQ384" s="287" cm="1">
        <f t="array" aca="1" ref="AQ384" ca="1">INDIRECT("'"&amp;$C384&amp;"'!"&amp;"$"&amp;$D384&amp;$AQ$1&amp;"")</f>
        <v>0</v>
      </c>
      <c r="AR384" s="288" t="s">
        <v>1</v>
      </c>
      <c r="AS384" s="286" t="s">
        <v>1</v>
      </c>
      <c r="AT384" s="285">
        <v>13.93</v>
      </c>
      <c r="AU384" s="289">
        <v>70.900000000000006</v>
      </c>
      <c r="AV384" s="288" cm="1">
        <f t="array" aca="1" ref="AV384" ca="1">INDIRECT("'"&amp;$C384&amp;"'!"&amp;"$"&amp;$D384&amp;$AV$1&amp;"")</f>
        <v>0</v>
      </c>
      <c r="AW384" s="287" t="s">
        <v>1</v>
      </c>
      <c r="AX384" s="288" t="s">
        <v>1</v>
      </c>
      <c r="AY384" s="286" t="s">
        <v>1</v>
      </c>
      <c r="AZ384" s="288" cm="1">
        <f t="array" aca="1" ref="AZ384" ca="1">INDIRECT("'"&amp;$C384&amp;"'!"&amp;"$"&amp;$D384&amp;$AZ$1&amp;"")</f>
        <v>7.4</v>
      </c>
      <c r="BA384" s="287" t="s">
        <v>1</v>
      </c>
      <c r="BB384" s="288">
        <v>0.97</v>
      </c>
      <c r="BC384" s="286">
        <v>2.13</v>
      </c>
      <c r="BD384" s="290">
        <v>14.01</v>
      </c>
      <c r="BE384" s="289">
        <v>71.37</v>
      </c>
      <c r="BF384" s="290" cm="1">
        <f t="array" aca="1" ref="BF384" ca="1">INDIRECT("'"&amp;$C384&amp;"'!"&amp;"$"&amp;$D384&amp;$BF$1&amp;"")</f>
        <v>14.27</v>
      </c>
      <c r="BG384" s="288">
        <v>1</v>
      </c>
      <c r="BH384" s="286">
        <v>1.22</v>
      </c>
      <c r="BI384" s="525">
        <v>69.099999999999994</v>
      </c>
      <c r="BJ384" s="285" cm="1">
        <f t="array" aca="1" ref="BJ384" ca="1">INDIRECT("'"&amp;$C384&amp;"'!"&amp;"$"&amp;$D384&amp;$BI$1&amp;"")</f>
        <v>0</v>
      </c>
      <c r="BK384" s="287" t="s">
        <v>1</v>
      </c>
      <c r="BL384" s="286" t="s">
        <v>1</v>
      </c>
      <c r="BM384" s="290" cm="1">
        <f t="array" aca="1" ref="BM384" ca="1">INDIRECT("'"&amp;$C384&amp;"'!"&amp;"$"&amp;$D384&amp;$BM$1&amp;"")</f>
        <v>0.79</v>
      </c>
      <c r="BN384" s="288"/>
      <c r="BO384" s="288">
        <v>0.99</v>
      </c>
      <c r="BP384" s="286">
        <v>0.08</v>
      </c>
      <c r="BQ384" s="290" cm="1">
        <f t="array" aca="1" ref="BQ384" ca="1">INDIRECT("'"&amp;$C384&amp;"'!"&amp;"$"&amp;$D384&amp;$BQ$1&amp;"")</f>
        <v>0.67</v>
      </c>
      <c r="BR384" s="288"/>
      <c r="BS384" s="288">
        <v>0.97</v>
      </c>
      <c r="BT384" s="286">
        <v>0.16</v>
      </c>
      <c r="BU384" s="291" cm="1">
        <f t="array" aca="1" ref="BU384" ca="1">INDIRECT("'"&amp;$C384&amp;"'!"&amp;"$"&amp;$D384&amp;74&amp;"")</f>
        <v>0</v>
      </c>
      <c r="BV384" s="288"/>
      <c r="BW384" s="288" t="s">
        <v>1</v>
      </c>
      <c r="BX384" s="286" t="s">
        <v>1</v>
      </c>
    </row>
    <row r="385" spans="1:76">
      <c r="A385" s="459">
        <v>45854</v>
      </c>
      <c r="B385" s="345">
        <v>0.20833333333333301</v>
      </c>
      <c r="C385" s="305">
        <v>16</v>
      </c>
      <c r="D385" s="306" t="s">
        <v>147</v>
      </c>
      <c r="E385" s="278">
        <v>14.1</v>
      </c>
      <c r="F385" s="279">
        <v>69.8</v>
      </c>
      <c r="G385" s="280" t="str" cm="1">
        <f t="array" aca="1" ref="G385" ca="1">INDIRECT("'"&amp;$C385&amp;"'!"&amp;"$"&amp;$D385&amp;$E$1&amp;"")</f>
        <v>CMS</v>
      </c>
      <c r="H385" s="281" t="s">
        <v>1</v>
      </c>
      <c r="I385" s="279" t="s">
        <v>1</v>
      </c>
      <c r="J385" s="280" t="str" cm="1">
        <f t="array" aca="1" ref="J385" ca="1">INDIRECT("'"&amp;$C385&amp;"'!"&amp;"$"&amp;$D385&amp;$J$1&amp;"")</f>
        <v>CMS</v>
      </c>
      <c r="K385" s="281"/>
      <c r="L385" s="281" t="s">
        <v>1</v>
      </c>
      <c r="M385" s="279" t="s">
        <v>1</v>
      </c>
      <c r="N385" s="278" cm="1">
        <f t="array" aca="1" ref="N385" ca="1">INDIRECT("'"&amp;$C385&amp;"'!"&amp;"$"&amp;$D385&amp;$N$1&amp;"")</f>
        <v>6.6</v>
      </c>
      <c r="O385" s="281"/>
      <c r="P385" s="281">
        <v>0.98</v>
      </c>
      <c r="Q385" s="279">
        <v>1.49</v>
      </c>
      <c r="R385" s="468" cm="1">
        <f t="array" aca="1" ref="R385" ca="1">INDIRECT("'"&amp;$C385&amp;"'!"&amp;"$"&amp;$D385&amp;$R$1&amp;"")</f>
        <v>6.6</v>
      </c>
      <c r="S385" s="281"/>
      <c r="T385" s="281">
        <v>0.98</v>
      </c>
      <c r="U385" s="279">
        <v>1.49</v>
      </c>
      <c r="V385" s="280" cm="1">
        <f t="array" aca="1" ref="V385" ca="1">INDIRECT("'"&amp;$C385&amp;"'!"&amp;"$"&amp;$D385&amp;$V$1&amp;"")</f>
        <v>0</v>
      </c>
      <c r="W385" s="281" t="s">
        <v>1</v>
      </c>
      <c r="X385" s="281" t="s">
        <v>1</v>
      </c>
      <c r="Y385" s="279" t="s">
        <v>1</v>
      </c>
      <c r="Z385" s="278" t="str" cm="1">
        <f t="array" aca="1" ref="Z385" ca="1">INDIRECT("'"&amp;$C385&amp;"'!"&amp;"$"&amp;$D385&amp;$Z$1&amp;"")</f>
        <v>CMS</v>
      </c>
      <c r="AA385" s="281" t="s">
        <v>1</v>
      </c>
      <c r="AB385" s="281" t="s">
        <v>1</v>
      </c>
      <c r="AC385" s="279" t="s">
        <v>1</v>
      </c>
      <c r="AD385" s="280" cm="1">
        <f t="array" aca="1" ref="AD385" ca="1">INDIRECT("'"&amp;$C385&amp;"'!"&amp;"$"&amp;$D385&amp;$AD$1&amp;"")</f>
        <v>0</v>
      </c>
      <c r="AE385" s="281" t="s">
        <v>1</v>
      </c>
      <c r="AF385" s="281" t="s">
        <v>1</v>
      </c>
      <c r="AG385" s="279" t="s">
        <v>1</v>
      </c>
      <c r="AH385" s="278" cm="1">
        <f t="array" aca="1" ref="AH385" ca="1">INDIRECT("'"&amp;$C385&amp;"'!"&amp;"$"&amp;$D385&amp;$AH$1&amp;"")</f>
        <v>0</v>
      </c>
      <c r="AI385" s="281" t="s">
        <v>1</v>
      </c>
      <c r="AJ385" s="281" t="s">
        <v>1</v>
      </c>
      <c r="AK385" s="279" t="s">
        <v>1</v>
      </c>
      <c r="AL385" s="278">
        <v>11.5</v>
      </c>
      <c r="AM385" s="282">
        <v>70.7</v>
      </c>
      <c r="AN385" s="278" cm="1">
        <f t="array" aca="1" ref="AN385" ca="1">INDIRECT("'"&amp;$C385&amp;"'!"&amp;"$"&amp;$D385&amp;$AL$1&amp;"")</f>
        <v>2.5</v>
      </c>
      <c r="AO385" s="281">
        <v>0.98</v>
      </c>
      <c r="AP385" s="279">
        <v>0.4</v>
      </c>
      <c r="AQ385" s="280" cm="1">
        <f t="array" aca="1" ref="AQ385" ca="1">INDIRECT("'"&amp;$C385&amp;"'!"&amp;"$"&amp;$D385&amp;$AQ$1&amp;"")</f>
        <v>0</v>
      </c>
      <c r="AR385" s="281" t="s">
        <v>1</v>
      </c>
      <c r="AS385" s="279" t="s">
        <v>1</v>
      </c>
      <c r="AT385" s="278">
        <v>13.94</v>
      </c>
      <c r="AU385" s="282">
        <v>70.900000000000006</v>
      </c>
      <c r="AV385" s="281" cm="1">
        <f t="array" aca="1" ref="AV385" ca="1">INDIRECT("'"&amp;$C385&amp;"'!"&amp;"$"&amp;$D385&amp;$AV$1&amp;"")</f>
        <v>0</v>
      </c>
      <c r="AW385" s="280" t="s">
        <v>1</v>
      </c>
      <c r="AX385" s="281" t="s">
        <v>1</v>
      </c>
      <c r="AY385" s="279" t="s">
        <v>1</v>
      </c>
      <c r="AZ385" s="281" cm="1">
        <f t="array" aca="1" ref="AZ385" ca="1">INDIRECT("'"&amp;$C385&amp;"'!"&amp;"$"&amp;$D385&amp;$AZ$1&amp;"")</f>
        <v>7</v>
      </c>
      <c r="BA385" s="280" t="s">
        <v>1</v>
      </c>
      <c r="BB385" s="281">
        <v>0.96</v>
      </c>
      <c r="BC385" s="279">
        <v>1.98</v>
      </c>
      <c r="BD385" s="283">
        <v>14.05</v>
      </c>
      <c r="BE385" s="282">
        <v>71.53</v>
      </c>
      <c r="BF385" s="283" cm="1">
        <f t="array" aca="1" ref="BF385" ca="1">INDIRECT("'"&amp;$C385&amp;"'!"&amp;"$"&amp;$D385&amp;$BF$1&amp;"")</f>
        <v>14.27</v>
      </c>
      <c r="BG385" s="281">
        <v>1</v>
      </c>
      <c r="BH385" s="279">
        <v>1.31</v>
      </c>
      <c r="BI385" s="524">
        <v>69</v>
      </c>
      <c r="BJ385" s="278" cm="1">
        <f t="array" aca="1" ref="BJ385" ca="1">INDIRECT("'"&amp;$C385&amp;"'!"&amp;"$"&amp;$D385&amp;$BI$1&amp;"")</f>
        <v>0</v>
      </c>
      <c r="BK385" s="280" t="s">
        <v>1</v>
      </c>
      <c r="BL385" s="279" t="s">
        <v>1</v>
      </c>
      <c r="BM385" s="283" cm="1">
        <f t="array" aca="1" ref="BM385" ca="1">INDIRECT("'"&amp;$C385&amp;"'!"&amp;"$"&amp;$D385&amp;$BM$1&amp;"")</f>
        <v>0.92</v>
      </c>
      <c r="BN385" s="281"/>
      <c r="BO385" s="281">
        <v>0.99</v>
      </c>
      <c r="BP385" s="279">
        <v>0.08</v>
      </c>
      <c r="BQ385" s="283" cm="1">
        <f t="array" aca="1" ref="BQ385" ca="1">INDIRECT("'"&amp;$C385&amp;"'!"&amp;"$"&amp;$D385&amp;$BQ$1&amp;"")</f>
        <v>0.7</v>
      </c>
      <c r="BR385" s="281"/>
      <c r="BS385" s="281">
        <v>0.97</v>
      </c>
      <c r="BT385" s="279">
        <v>0.17</v>
      </c>
      <c r="BU385" s="284" cm="1">
        <f t="array" aca="1" ref="BU385" ca="1">INDIRECT("'"&amp;$C385&amp;"'!"&amp;"$"&amp;$D385&amp;74&amp;"")</f>
        <v>0</v>
      </c>
      <c r="BV385" s="281"/>
      <c r="BW385" s="281" t="s">
        <v>1</v>
      </c>
      <c r="BX385" s="279" t="s">
        <v>1</v>
      </c>
    </row>
    <row r="386" spans="1:76">
      <c r="A386" s="459">
        <v>45854</v>
      </c>
      <c r="B386" s="345">
        <v>0.25</v>
      </c>
      <c r="C386" s="305">
        <v>16</v>
      </c>
      <c r="D386" s="306" t="s">
        <v>148</v>
      </c>
      <c r="E386" s="285">
        <v>14.1</v>
      </c>
      <c r="F386" s="286">
        <v>69.930000000000007</v>
      </c>
      <c r="G386" s="287" t="str" cm="1">
        <f t="array" aca="1" ref="G386" ca="1">INDIRECT("'"&amp;$C386&amp;"'!"&amp;"$"&amp;$D386&amp;$E$1&amp;"")</f>
        <v>CMS</v>
      </c>
      <c r="H386" s="288" t="s">
        <v>1</v>
      </c>
      <c r="I386" s="286" t="s">
        <v>1</v>
      </c>
      <c r="J386" s="287" t="str" cm="1">
        <f t="array" aca="1" ref="J386" ca="1">INDIRECT("'"&amp;$C386&amp;"'!"&amp;"$"&amp;$D386&amp;$J$1&amp;"")</f>
        <v>CMS</v>
      </c>
      <c r="K386" s="288"/>
      <c r="L386" s="288" t="s">
        <v>1</v>
      </c>
      <c r="M386" s="286" t="s">
        <v>1</v>
      </c>
      <c r="N386" s="285" cm="1">
        <f t="array" aca="1" ref="N386" ca="1">INDIRECT("'"&amp;$C386&amp;"'!"&amp;"$"&amp;$D386&amp;$N$1&amp;"")</f>
        <v>6.6</v>
      </c>
      <c r="O386" s="288"/>
      <c r="P386" s="288">
        <v>0.8</v>
      </c>
      <c r="Q386" s="286">
        <v>1.5</v>
      </c>
      <c r="R386" s="285" cm="1">
        <f t="array" aca="1" ref="R386" ca="1">INDIRECT("'"&amp;$C386&amp;"'!"&amp;"$"&amp;$D386&amp;$R$1&amp;"")</f>
        <v>6.6</v>
      </c>
      <c r="S386" s="288"/>
      <c r="T386" s="288">
        <v>0.98</v>
      </c>
      <c r="U386" s="286">
        <v>1.5</v>
      </c>
      <c r="V386" s="287" cm="1">
        <f t="array" aca="1" ref="V386" ca="1">INDIRECT("'"&amp;$C386&amp;"'!"&amp;"$"&amp;$D386&amp;$V$1&amp;"")</f>
        <v>0</v>
      </c>
      <c r="W386" s="288" t="s">
        <v>1</v>
      </c>
      <c r="X386" s="288" t="s">
        <v>1</v>
      </c>
      <c r="Y386" s="286" t="s">
        <v>1</v>
      </c>
      <c r="Z386" s="285" t="str" cm="1">
        <f t="array" aca="1" ref="Z386" ca="1">INDIRECT("'"&amp;$C386&amp;"'!"&amp;"$"&amp;$D386&amp;$Z$1&amp;"")</f>
        <v>CMS</v>
      </c>
      <c r="AA386" s="288" t="s">
        <v>1</v>
      </c>
      <c r="AB386" s="288" t="s">
        <v>1</v>
      </c>
      <c r="AC386" s="286" t="s">
        <v>1</v>
      </c>
      <c r="AD386" s="287" cm="1">
        <f t="array" aca="1" ref="AD386" ca="1">INDIRECT("'"&amp;$C386&amp;"'!"&amp;"$"&amp;$D386&amp;$AD$1&amp;"")</f>
        <v>0</v>
      </c>
      <c r="AE386" s="288" t="s">
        <v>1</v>
      </c>
      <c r="AF386" s="288" t="s">
        <v>1</v>
      </c>
      <c r="AG386" s="286" t="s">
        <v>1</v>
      </c>
      <c r="AH386" s="285" cm="1">
        <f t="array" aca="1" ref="AH386" ca="1">INDIRECT("'"&amp;$C386&amp;"'!"&amp;"$"&amp;$D386&amp;$AH$1&amp;"")</f>
        <v>0</v>
      </c>
      <c r="AI386" s="288" t="s">
        <v>1</v>
      </c>
      <c r="AJ386" s="288" t="s">
        <v>1</v>
      </c>
      <c r="AK386" s="286" t="s">
        <v>1</v>
      </c>
      <c r="AL386" s="285">
        <v>11.6</v>
      </c>
      <c r="AM386" s="289">
        <v>71</v>
      </c>
      <c r="AN386" s="285" cm="1">
        <f t="array" aca="1" ref="AN386" ca="1">INDIRECT("'"&amp;$C386&amp;"'!"&amp;"$"&amp;$D386&amp;$AL$1&amp;"")</f>
        <v>3.7</v>
      </c>
      <c r="AO386" s="288">
        <v>0.99</v>
      </c>
      <c r="AP386" s="286">
        <v>0.4</v>
      </c>
      <c r="AQ386" s="287" cm="1">
        <f t="array" aca="1" ref="AQ386" ca="1">INDIRECT("'"&amp;$C386&amp;"'!"&amp;"$"&amp;$D386&amp;$AQ$1&amp;"")</f>
        <v>0</v>
      </c>
      <c r="AR386" s="288" t="s">
        <v>1</v>
      </c>
      <c r="AS386" s="286" t="s">
        <v>1</v>
      </c>
      <c r="AT386" s="285">
        <v>13.95</v>
      </c>
      <c r="AU386" s="289">
        <v>70.900000000000006</v>
      </c>
      <c r="AV386" s="288" cm="1">
        <f t="array" aca="1" ref="AV386" ca="1">INDIRECT("'"&amp;$C386&amp;"'!"&amp;"$"&amp;$D386&amp;$AV$1&amp;"")</f>
        <v>0</v>
      </c>
      <c r="AW386" s="287" t="s">
        <v>1</v>
      </c>
      <c r="AX386" s="288" t="s">
        <v>1</v>
      </c>
      <c r="AY386" s="286" t="s">
        <v>1</v>
      </c>
      <c r="AZ386" s="288" cm="1">
        <f t="array" aca="1" ref="AZ386" ca="1">INDIRECT("'"&amp;$C386&amp;"'!"&amp;"$"&amp;$D386&amp;$AZ$1&amp;"")</f>
        <v>7</v>
      </c>
      <c r="BA386" s="287" t="s">
        <v>1</v>
      </c>
      <c r="BB386" s="288">
        <v>0.98</v>
      </c>
      <c r="BC386" s="286">
        <v>1.66</v>
      </c>
      <c r="BD386" s="290">
        <v>14.11</v>
      </c>
      <c r="BE386" s="289">
        <v>71.510000000000005</v>
      </c>
      <c r="BF386" s="290" cm="1">
        <f t="array" aca="1" ref="BF386" ca="1">INDIRECT("'"&amp;$C386&amp;"'!"&amp;"$"&amp;$D386&amp;$BF$1&amp;"")</f>
        <v>14.26</v>
      </c>
      <c r="BG386" s="288">
        <v>0.99</v>
      </c>
      <c r="BH386" s="286">
        <v>2.23</v>
      </c>
      <c r="BI386" s="525">
        <v>69</v>
      </c>
      <c r="BJ386" s="285" cm="1">
        <f t="array" aca="1" ref="BJ386" ca="1">INDIRECT("'"&amp;$C386&amp;"'!"&amp;"$"&amp;$D386&amp;$BI$1&amp;"")</f>
        <v>2.2000000000000002</v>
      </c>
      <c r="BK386" s="287" t="s">
        <v>1</v>
      </c>
      <c r="BL386" s="286" t="s">
        <v>1</v>
      </c>
      <c r="BM386" s="290" cm="1">
        <f t="array" aca="1" ref="BM386" ca="1">INDIRECT("'"&amp;$C386&amp;"'!"&amp;"$"&amp;$D386&amp;$BM$1&amp;"")</f>
        <v>1.05</v>
      </c>
      <c r="BN386" s="288"/>
      <c r="BO386" s="288">
        <v>0.99</v>
      </c>
      <c r="BP386" s="286">
        <v>0.1</v>
      </c>
      <c r="BQ386" s="290" cm="1">
        <f t="array" aca="1" ref="BQ386" ca="1">INDIRECT("'"&amp;$C386&amp;"'!"&amp;"$"&amp;$D386&amp;$BQ$1&amp;"")</f>
        <v>0.8</v>
      </c>
      <c r="BR386" s="288"/>
      <c r="BS386" s="288">
        <v>0.97</v>
      </c>
      <c r="BT386" s="286">
        <v>0.18</v>
      </c>
      <c r="BU386" s="291" cm="1">
        <f t="array" aca="1" ref="BU386" ca="1">INDIRECT("'"&amp;$C386&amp;"'!"&amp;"$"&amp;$D386&amp;74&amp;"")</f>
        <v>0</v>
      </c>
      <c r="BV386" s="288"/>
      <c r="BW386" s="288" t="s">
        <v>1</v>
      </c>
      <c r="BX386" s="286" t="s">
        <v>1</v>
      </c>
    </row>
    <row r="387" spans="1:76">
      <c r="A387" s="459">
        <v>45854</v>
      </c>
      <c r="B387" s="345">
        <v>0.29166666666666702</v>
      </c>
      <c r="C387" s="305">
        <v>16</v>
      </c>
      <c r="D387" s="306" t="s">
        <v>149</v>
      </c>
      <c r="E387" s="278">
        <v>14.1</v>
      </c>
      <c r="F387" s="279">
        <v>69.64</v>
      </c>
      <c r="G387" s="280" t="str" cm="1">
        <f t="array" aca="1" ref="G387" ca="1">INDIRECT("'"&amp;$C387&amp;"'!"&amp;"$"&amp;$D387&amp;$E$1&amp;"")</f>
        <v>CMS</v>
      </c>
      <c r="H387" s="281" t="s">
        <v>1</v>
      </c>
      <c r="I387" s="279" t="s">
        <v>1</v>
      </c>
      <c r="J387" s="280" t="str" cm="1">
        <f t="array" aca="1" ref="J387" ca="1">INDIRECT("'"&amp;$C387&amp;"'!"&amp;"$"&amp;$D387&amp;$J$1&amp;"")</f>
        <v>CMS</v>
      </c>
      <c r="K387" s="281"/>
      <c r="L387" s="281" t="s">
        <v>1</v>
      </c>
      <c r="M387" s="282" t="s">
        <v>1</v>
      </c>
      <c r="N387" s="278" cm="1">
        <f t="array" aca="1" ref="N387" ca="1">INDIRECT("'"&amp;$C387&amp;"'!"&amp;"$"&amp;$D387&amp;$N$1&amp;"")</f>
        <v>6.6</v>
      </c>
      <c r="O387" s="281"/>
      <c r="P387" s="281">
        <v>0.98</v>
      </c>
      <c r="Q387" s="279">
        <v>1.48</v>
      </c>
      <c r="R387" s="468" cm="1">
        <f t="array" aca="1" ref="R387" ca="1">INDIRECT("'"&amp;$C387&amp;"'!"&amp;"$"&amp;$D387&amp;$R$1&amp;"")</f>
        <v>6.6</v>
      </c>
      <c r="S387" s="281"/>
      <c r="T387" s="281">
        <v>0.98</v>
      </c>
      <c r="U387" s="279">
        <v>1.48</v>
      </c>
      <c r="V387" s="280" cm="1">
        <f t="array" aca="1" ref="V387" ca="1">INDIRECT("'"&amp;$C387&amp;"'!"&amp;"$"&amp;$D387&amp;$V$1&amp;"")</f>
        <v>0</v>
      </c>
      <c r="W387" s="281" t="s">
        <v>1</v>
      </c>
      <c r="X387" s="281" t="s">
        <v>1</v>
      </c>
      <c r="Y387" s="279" t="s">
        <v>1</v>
      </c>
      <c r="Z387" s="278" t="str" cm="1">
        <f t="array" aca="1" ref="Z387" ca="1">INDIRECT("'"&amp;$C387&amp;"'!"&amp;"$"&amp;$D387&amp;$Z$1&amp;"")</f>
        <v>CMS</v>
      </c>
      <c r="AA387" s="281" t="s">
        <v>1</v>
      </c>
      <c r="AB387" s="281" t="s">
        <v>1</v>
      </c>
      <c r="AC387" s="279" t="s">
        <v>1</v>
      </c>
      <c r="AD387" s="280" cm="1">
        <f t="array" aca="1" ref="AD387" ca="1">INDIRECT("'"&amp;$C387&amp;"'!"&amp;"$"&amp;$D387&amp;$AD$1&amp;"")</f>
        <v>0</v>
      </c>
      <c r="AE387" s="281" t="s">
        <v>1</v>
      </c>
      <c r="AF387" s="281" t="s">
        <v>1</v>
      </c>
      <c r="AG387" s="279" t="s">
        <v>1</v>
      </c>
      <c r="AH387" s="278" cm="1">
        <f t="array" aca="1" ref="AH387" ca="1">INDIRECT("'"&amp;$C387&amp;"'!"&amp;"$"&amp;$D387&amp;$AH$1&amp;"")</f>
        <v>0</v>
      </c>
      <c r="AI387" s="281" t="s">
        <v>1</v>
      </c>
      <c r="AJ387" s="281" t="s">
        <v>1</v>
      </c>
      <c r="AK387" s="279" t="s">
        <v>1</v>
      </c>
      <c r="AL387" s="278">
        <v>11.6</v>
      </c>
      <c r="AM387" s="282">
        <v>71</v>
      </c>
      <c r="AN387" s="278" cm="1">
        <f t="array" aca="1" ref="AN387" ca="1">INDIRECT("'"&amp;$C387&amp;"'!"&amp;"$"&amp;$D387&amp;$AL$1&amp;"")</f>
        <v>3.6</v>
      </c>
      <c r="AO387" s="281">
        <v>0.99</v>
      </c>
      <c r="AP387" s="279">
        <v>0.54</v>
      </c>
      <c r="AQ387" s="280" cm="1">
        <f t="array" aca="1" ref="AQ387" ca="1">INDIRECT("'"&amp;$C387&amp;"'!"&amp;"$"&amp;$D387&amp;$AQ$1&amp;"")</f>
        <v>0</v>
      </c>
      <c r="AR387" s="281" t="s">
        <v>1</v>
      </c>
      <c r="AS387" s="279" t="s">
        <v>1</v>
      </c>
      <c r="AT387" s="278">
        <v>13.95</v>
      </c>
      <c r="AU387" s="282">
        <v>70.900000000000006</v>
      </c>
      <c r="AV387" s="281" cm="1">
        <f t="array" aca="1" ref="AV387" ca="1">INDIRECT("'"&amp;$C387&amp;"'!"&amp;"$"&amp;$D387&amp;$AV$1&amp;"")</f>
        <v>0</v>
      </c>
      <c r="AW387" s="280" t="s">
        <v>1</v>
      </c>
      <c r="AX387" s="281" t="s">
        <v>1</v>
      </c>
      <c r="AY387" s="279" t="s">
        <v>1</v>
      </c>
      <c r="AZ387" s="281" cm="1">
        <f t="array" aca="1" ref="AZ387" ca="1">INDIRECT("'"&amp;$C387&amp;"'!"&amp;"$"&amp;$D387&amp;$AZ$1&amp;"")</f>
        <v>7</v>
      </c>
      <c r="BA387" s="280" t="s">
        <v>1</v>
      </c>
      <c r="BB387" s="281">
        <v>0.97</v>
      </c>
      <c r="BC387" s="279">
        <v>1.81</v>
      </c>
      <c r="BD387" s="283">
        <v>14.4</v>
      </c>
      <c r="BE387" s="282">
        <v>71.709999999999994</v>
      </c>
      <c r="BF387" s="283" cm="1">
        <f t="array" aca="1" ref="BF387" ca="1">INDIRECT("'"&amp;$C387&amp;"'!"&amp;"$"&amp;$D387&amp;$BF$1&amp;"")</f>
        <v>14.26</v>
      </c>
      <c r="BG387" s="281">
        <v>0.99</v>
      </c>
      <c r="BH387" s="279">
        <v>2.31</v>
      </c>
      <c r="BI387" s="524">
        <v>68.7</v>
      </c>
      <c r="BJ387" s="278" cm="1">
        <f t="array" aca="1" ref="BJ387" ca="1">INDIRECT("'"&amp;$C387&amp;"'!"&amp;"$"&amp;$D387&amp;$BI$1&amp;"")</f>
        <v>0</v>
      </c>
      <c r="BK387" s="280" t="s">
        <v>1</v>
      </c>
      <c r="BL387" s="279" t="s">
        <v>1</v>
      </c>
      <c r="BM387" s="283" cm="1">
        <f t="array" aca="1" ref="BM387" ca="1">INDIRECT("'"&amp;$C387&amp;"'!"&amp;"$"&amp;$D387&amp;$BM$1&amp;"")</f>
        <v>1.02</v>
      </c>
      <c r="BN387" s="281"/>
      <c r="BO387" s="281">
        <v>0.99</v>
      </c>
      <c r="BP387" s="279">
        <v>0.1</v>
      </c>
      <c r="BQ387" s="284" cm="1">
        <f t="array" aca="1" ref="BQ387" ca="1">INDIRECT("'"&amp;$C387&amp;"'!"&amp;"$"&amp;$D387&amp;$BQ$1&amp;"")</f>
        <v>0.71</v>
      </c>
      <c r="BR387" s="281"/>
      <c r="BS387" s="281">
        <v>0.97</v>
      </c>
      <c r="BT387" s="279">
        <v>0.17</v>
      </c>
      <c r="BU387" s="284" cm="1">
        <f t="array" aca="1" ref="BU387" ca="1">INDIRECT("'"&amp;$C387&amp;"'!"&amp;"$"&amp;$D387&amp;74&amp;"")</f>
        <v>0</v>
      </c>
      <c r="BV387" s="281"/>
      <c r="BW387" s="281" t="s">
        <v>1</v>
      </c>
      <c r="BX387" s="279" t="s">
        <v>1</v>
      </c>
    </row>
    <row r="388" spans="1:76">
      <c r="A388" s="459">
        <v>45854</v>
      </c>
      <c r="B388" s="345">
        <v>0.33333333333333398</v>
      </c>
      <c r="C388" s="305">
        <v>16</v>
      </c>
      <c r="D388" s="306" t="s">
        <v>150</v>
      </c>
      <c r="E388" s="285">
        <v>14.1</v>
      </c>
      <c r="F388" s="286">
        <v>69.45</v>
      </c>
      <c r="G388" s="287" t="str" cm="1">
        <f t="array" aca="1" ref="G388" ca="1">INDIRECT("'"&amp;$C388&amp;"'!"&amp;"$"&amp;$D388&amp;$E$1&amp;"")</f>
        <v>CMS</v>
      </c>
      <c r="H388" s="288" t="s">
        <v>1</v>
      </c>
      <c r="I388" s="286" t="s">
        <v>1</v>
      </c>
      <c r="J388" s="287" cm="1">
        <f t="array" aca="1" ref="J388" ca="1">INDIRECT("'"&amp;$C388&amp;"'!"&amp;"$"&amp;$D388&amp;$J$1&amp;"")</f>
        <v>4</v>
      </c>
      <c r="K388" s="288"/>
      <c r="L388" s="288">
        <v>0.93</v>
      </c>
      <c r="M388" s="289">
        <v>0.54</v>
      </c>
      <c r="N388" s="285" cm="1">
        <f t="array" aca="1" ref="N388" ca="1">INDIRECT("'"&amp;$C388&amp;"'!"&amp;"$"&amp;$D388&amp;$N$1&amp;"")</f>
        <v>5.7</v>
      </c>
      <c r="O388" s="288"/>
      <c r="P388" s="288">
        <v>0.97</v>
      </c>
      <c r="Q388" s="286">
        <v>1.39</v>
      </c>
      <c r="R388" s="285" cm="1">
        <f t="array" aca="1" ref="R388" ca="1">INDIRECT("'"&amp;$C388&amp;"'!"&amp;"$"&amp;$D388&amp;$R$1&amp;"")</f>
        <v>5.7</v>
      </c>
      <c r="S388" s="288"/>
      <c r="T388" s="288">
        <v>0.97</v>
      </c>
      <c r="U388" s="286">
        <v>1.39</v>
      </c>
      <c r="V388" s="287" cm="1">
        <f t="array" aca="1" ref="V388" ca="1">INDIRECT("'"&amp;$C388&amp;"'!"&amp;"$"&amp;$D388&amp;$V$1&amp;"")</f>
        <v>0</v>
      </c>
      <c r="W388" s="288" t="s">
        <v>1</v>
      </c>
      <c r="X388" s="288" t="s">
        <v>1</v>
      </c>
      <c r="Y388" s="289" t="s">
        <v>1</v>
      </c>
      <c r="Z388" s="285" t="str" cm="1">
        <f t="array" aca="1" ref="Z388" ca="1">INDIRECT("'"&amp;$C388&amp;"'!"&amp;"$"&amp;$D388&amp;$Z$1&amp;"")</f>
        <v>CMS</v>
      </c>
      <c r="AA388" s="288" t="s">
        <v>1</v>
      </c>
      <c r="AB388" s="288" t="s">
        <v>1</v>
      </c>
      <c r="AC388" s="286" t="s">
        <v>1</v>
      </c>
      <c r="AD388" s="287" cm="1">
        <f t="array" aca="1" ref="AD388" ca="1">INDIRECT("'"&amp;$C388&amp;"'!"&amp;"$"&amp;$D388&amp;$AD$1&amp;"")</f>
        <v>3</v>
      </c>
      <c r="AE388" s="288">
        <f>3.56*3.8</f>
        <v>13.527999999999999</v>
      </c>
      <c r="AF388" s="288">
        <v>0.94</v>
      </c>
      <c r="AG388" s="289">
        <v>1</v>
      </c>
      <c r="AH388" s="285" cm="1">
        <f t="array" aca="1" ref="AH388" ca="1">INDIRECT("'"&amp;$C388&amp;"'!"&amp;"$"&amp;$D388&amp;$AH$1&amp;"")</f>
        <v>0</v>
      </c>
      <c r="AI388" s="288" t="s">
        <v>1</v>
      </c>
      <c r="AJ388" s="288" t="s">
        <v>1</v>
      </c>
      <c r="AK388" s="286" t="s">
        <v>1</v>
      </c>
      <c r="AL388" s="285">
        <v>11.6</v>
      </c>
      <c r="AM388" s="289">
        <v>70.8</v>
      </c>
      <c r="AN388" s="285" cm="1">
        <f t="array" aca="1" ref="AN388" ca="1">INDIRECT("'"&amp;$C388&amp;"'!"&amp;"$"&amp;$D388&amp;$AL$1&amp;"")</f>
        <v>3.7</v>
      </c>
      <c r="AO388" s="288">
        <v>0.98</v>
      </c>
      <c r="AP388" s="286">
        <v>0.75</v>
      </c>
      <c r="AQ388" s="287" cm="1">
        <f t="array" aca="1" ref="AQ388" ca="1">INDIRECT("'"&amp;$C388&amp;"'!"&amp;"$"&amp;$D388&amp;$AQ$1&amp;"")</f>
        <v>0</v>
      </c>
      <c r="AR388" s="288" t="s">
        <v>1</v>
      </c>
      <c r="AS388" s="286" t="s">
        <v>1</v>
      </c>
      <c r="AT388" s="285">
        <v>13.92</v>
      </c>
      <c r="AU388" s="289">
        <v>70.900000000000006</v>
      </c>
      <c r="AV388" s="288" cm="1">
        <f t="array" aca="1" ref="AV388" ca="1">INDIRECT("'"&amp;$C388&amp;"'!"&amp;"$"&amp;$D388&amp;$AV$1&amp;"")</f>
        <v>0</v>
      </c>
      <c r="AW388" s="287" t="s">
        <v>1</v>
      </c>
      <c r="AX388" s="288" t="s">
        <v>1</v>
      </c>
      <c r="AY388" s="286" t="s">
        <v>1</v>
      </c>
      <c r="AZ388" s="288" cm="1">
        <f t="array" aca="1" ref="AZ388" ca="1">INDIRECT("'"&amp;$C388&amp;"'!"&amp;"$"&amp;$D388&amp;$AZ$1&amp;"")</f>
        <v>7</v>
      </c>
      <c r="BA388" s="287" t="s">
        <v>1</v>
      </c>
      <c r="BB388" s="288">
        <v>0.96</v>
      </c>
      <c r="BC388" s="286">
        <v>1.99</v>
      </c>
      <c r="BD388" s="290">
        <v>14.08</v>
      </c>
      <c r="BE388" s="289">
        <v>71.27</v>
      </c>
      <c r="BF388" s="290" cm="1">
        <f t="array" aca="1" ref="BF388" ca="1">INDIRECT("'"&amp;$C388&amp;"'!"&amp;"$"&amp;$D388&amp;$BF$1&amp;"")</f>
        <v>14.28</v>
      </c>
      <c r="BG388" s="288">
        <v>0.99</v>
      </c>
      <c r="BH388" s="286">
        <v>2.2999999999999998</v>
      </c>
      <c r="BI388" s="525">
        <v>68.400000000000006</v>
      </c>
      <c r="BJ388" s="285" cm="1">
        <f t="array" aca="1" ref="BJ388" ca="1">INDIRECT("'"&amp;$C388&amp;"'!"&amp;"$"&amp;$D388&amp;$BI$1&amp;"")</f>
        <v>0.7</v>
      </c>
      <c r="BK388" s="287">
        <v>0.97</v>
      </c>
      <c r="BL388" s="286">
        <v>0.19</v>
      </c>
      <c r="BM388" s="290" cm="1">
        <f t="array" aca="1" ref="BM388" ca="1">INDIRECT("'"&amp;$C388&amp;"'!"&amp;"$"&amp;$D388&amp;$BM$1&amp;"")</f>
        <v>1.04</v>
      </c>
      <c r="BN388" s="288"/>
      <c r="BO388" s="288">
        <v>0.99</v>
      </c>
      <c r="BP388" s="286">
        <v>0.12</v>
      </c>
      <c r="BQ388" s="291" cm="1">
        <f t="array" aca="1" ref="BQ388" ca="1">INDIRECT("'"&amp;$C388&amp;"'!"&amp;"$"&amp;$D388&amp;$BQ$1&amp;"")</f>
        <v>0.72</v>
      </c>
      <c r="BR388" s="288"/>
      <c r="BS388" s="288">
        <v>0.97</v>
      </c>
      <c r="BT388" s="286">
        <v>0.19</v>
      </c>
      <c r="BU388" s="291" cm="1">
        <f t="array" aca="1" ref="BU388" ca="1">INDIRECT("'"&amp;$C388&amp;"'!"&amp;"$"&amp;$D388&amp;74&amp;"")</f>
        <v>0</v>
      </c>
      <c r="BV388" s="288"/>
      <c r="BW388" s="288" t="s">
        <v>1</v>
      </c>
      <c r="BX388" s="286" t="s">
        <v>1</v>
      </c>
    </row>
    <row r="389" spans="1:76">
      <c r="A389" s="459">
        <v>45854</v>
      </c>
      <c r="B389" s="345">
        <v>0.375</v>
      </c>
      <c r="C389" s="305">
        <v>16</v>
      </c>
      <c r="D389" s="306" t="s">
        <v>151</v>
      </c>
      <c r="E389" s="278">
        <v>13.9</v>
      </c>
      <c r="F389" s="279">
        <v>69.23</v>
      </c>
      <c r="G389" s="280" t="str" cm="1">
        <f t="array" aca="1" ref="G389" ca="1">INDIRECT("'"&amp;$C389&amp;"'!"&amp;"$"&amp;$D389&amp;$E$1&amp;"")</f>
        <v>CMS</v>
      </c>
      <c r="H389" s="281" t="s">
        <v>1</v>
      </c>
      <c r="I389" s="279" t="s">
        <v>1</v>
      </c>
      <c r="J389" s="280" t="str" cm="1">
        <f t="array" aca="1" ref="J389" ca="1">INDIRECT("'"&amp;$C389&amp;"'!"&amp;"$"&amp;$D389&amp;$J$1&amp;"")</f>
        <v>CMS</v>
      </c>
      <c r="K389" s="281"/>
      <c r="L389" s="281" t="s">
        <v>1</v>
      </c>
      <c r="M389" s="282" t="s">
        <v>1</v>
      </c>
      <c r="N389" s="278" cm="1">
        <f t="array" aca="1" ref="N389" ca="1">INDIRECT("'"&amp;$C389&amp;"'!"&amp;"$"&amp;$D389&amp;$N$1&amp;"")</f>
        <v>6.7</v>
      </c>
      <c r="O389" s="281"/>
      <c r="P389" s="281">
        <v>0.92</v>
      </c>
      <c r="Q389" s="279">
        <v>2.75</v>
      </c>
      <c r="R389" s="468" cm="1">
        <f t="array" aca="1" ref="R389" ca="1">INDIRECT("'"&amp;$C389&amp;"'!"&amp;"$"&amp;$D389&amp;$R$1&amp;"")</f>
        <v>6.7</v>
      </c>
      <c r="S389" s="281"/>
      <c r="T389" s="281">
        <v>0.92</v>
      </c>
      <c r="U389" s="279">
        <v>2.78</v>
      </c>
      <c r="V389" s="280" cm="1">
        <f t="array" aca="1" ref="V389" ca="1">INDIRECT("'"&amp;$C389&amp;"'!"&amp;"$"&amp;$D389&amp;$V$1&amp;"")</f>
        <v>2</v>
      </c>
      <c r="W389" s="281">
        <f>3.8*3.53</f>
        <v>13.413999999999998</v>
      </c>
      <c r="X389" s="281">
        <v>0.93</v>
      </c>
      <c r="Y389" s="282">
        <v>0.95</v>
      </c>
      <c r="Z389" s="278" t="str" cm="1">
        <f t="array" aca="1" ref="Z389" ca="1">INDIRECT("'"&amp;$C389&amp;"'!"&amp;"$"&amp;$D389&amp;$Z$1&amp;"")</f>
        <v>CMS</v>
      </c>
      <c r="AA389" s="281" t="s">
        <v>1</v>
      </c>
      <c r="AB389" s="281" t="s">
        <v>1</v>
      </c>
      <c r="AC389" s="279" t="s">
        <v>1</v>
      </c>
      <c r="AD389" s="280" cm="1">
        <f t="array" aca="1" ref="AD389" ca="1">INDIRECT("'"&amp;$C389&amp;"'!"&amp;"$"&amp;$D389&amp;$AD$1&amp;"")</f>
        <v>3</v>
      </c>
      <c r="AE389" s="281">
        <f>3.8*3.53</f>
        <v>13.413999999999998</v>
      </c>
      <c r="AF389" s="281">
        <v>0.93</v>
      </c>
      <c r="AG389" s="282">
        <v>1.21</v>
      </c>
      <c r="AH389" s="278" cm="1">
        <f t="array" aca="1" ref="AH389" ca="1">INDIRECT("'"&amp;$C389&amp;"'!"&amp;"$"&amp;$D389&amp;$AH$1&amp;"")</f>
        <v>3.8</v>
      </c>
      <c r="AI389" s="281">
        <v>14</v>
      </c>
      <c r="AJ389" s="281">
        <v>0.99</v>
      </c>
      <c r="AK389" s="279">
        <v>0.46400000000000002</v>
      </c>
      <c r="AL389" s="278">
        <v>11.6</v>
      </c>
      <c r="AM389" s="282">
        <v>70.5</v>
      </c>
      <c r="AN389" s="278" cm="1">
        <f t="array" aca="1" ref="AN389" ca="1">INDIRECT("'"&amp;$C389&amp;"'!"&amp;"$"&amp;$D389&amp;$AL$1&amp;"")</f>
        <v>3.7</v>
      </c>
      <c r="AO389" s="281">
        <v>0.98</v>
      </c>
      <c r="AP389" s="279">
        <v>0.85</v>
      </c>
      <c r="AQ389" s="280" cm="1">
        <f t="array" aca="1" ref="AQ389" ca="1">INDIRECT("'"&amp;$C389&amp;"'!"&amp;"$"&amp;$D389&amp;$AQ$1&amp;"")</f>
        <v>0</v>
      </c>
      <c r="AR389" s="281" t="s">
        <v>1</v>
      </c>
      <c r="AS389" s="279" t="s">
        <v>1</v>
      </c>
      <c r="AT389" s="278">
        <v>13.92</v>
      </c>
      <c r="AU389" s="282">
        <v>70.900000000000006</v>
      </c>
      <c r="AV389" s="281" cm="1">
        <f t="array" aca="1" ref="AV389" ca="1">INDIRECT("'"&amp;$C389&amp;"'!"&amp;"$"&amp;$D389&amp;$AV$1&amp;"")</f>
        <v>0</v>
      </c>
      <c r="AW389" s="280" t="s">
        <v>1</v>
      </c>
      <c r="AX389" s="281" t="s">
        <v>1</v>
      </c>
      <c r="AY389" s="279" t="s">
        <v>1</v>
      </c>
      <c r="AZ389" s="281" cm="1">
        <f t="array" aca="1" ref="AZ389" ca="1">INDIRECT("'"&amp;$C389&amp;"'!"&amp;"$"&amp;$D389&amp;$AZ$1&amp;"")</f>
        <v>7</v>
      </c>
      <c r="BA389" s="280" t="s">
        <v>1</v>
      </c>
      <c r="BB389" s="281">
        <v>0.95</v>
      </c>
      <c r="BC389" s="279">
        <v>2.41</v>
      </c>
      <c r="BD389" s="283">
        <v>14.12</v>
      </c>
      <c r="BE389" s="282">
        <v>71.319999999999993</v>
      </c>
      <c r="BF389" s="283" cm="1">
        <f t="array" aca="1" ref="BF389" ca="1">INDIRECT("'"&amp;$C389&amp;"'!"&amp;"$"&amp;$D389&amp;$BF$1&amp;"")</f>
        <v>14.26</v>
      </c>
      <c r="BG389" s="281">
        <v>0.99</v>
      </c>
      <c r="BH389" s="279">
        <v>2.2999999999999998</v>
      </c>
      <c r="BI389" s="524">
        <v>67.7</v>
      </c>
      <c r="BJ389" s="278" cm="1">
        <f t="array" aca="1" ref="BJ389" ca="1">INDIRECT("'"&amp;$C389&amp;"'!"&amp;"$"&amp;$D389&amp;$BI$1&amp;"")</f>
        <v>0</v>
      </c>
      <c r="BK389" s="280" t="s">
        <v>1</v>
      </c>
      <c r="BL389" s="279" t="s">
        <v>1</v>
      </c>
      <c r="BM389" s="283" cm="1">
        <f t="array" aca="1" ref="BM389" ca="1">INDIRECT("'"&amp;$C389&amp;"'!"&amp;"$"&amp;$D389&amp;$BM$1&amp;"")</f>
        <v>1.22</v>
      </c>
      <c r="BN389" s="281"/>
      <c r="BO389" s="281">
        <v>0.99</v>
      </c>
      <c r="BP389" s="279">
        <v>0.13</v>
      </c>
      <c r="BQ389" s="284" cm="1">
        <f t="array" aca="1" ref="BQ389" ca="1">INDIRECT("'"&amp;$C389&amp;"'!"&amp;"$"&amp;$D389&amp;$BQ$1&amp;"")</f>
        <v>0</v>
      </c>
      <c r="BR389" s="281"/>
      <c r="BS389" s="281" t="s">
        <v>1</v>
      </c>
      <c r="BT389" s="279" t="s">
        <v>1</v>
      </c>
      <c r="BU389" s="284" cm="1">
        <f t="array" aca="1" ref="BU389" ca="1">INDIRECT("'"&amp;$C389&amp;"'!"&amp;"$"&amp;$D389&amp;74&amp;"")</f>
        <v>0</v>
      </c>
      <c r="BV389" s="281"/>
      <c r="BW389" s="281" t="s">
        <v>1</v>
      </c>
      <c r="BX389" s="279" t="s">
        <v>1</v>
      </c>
    </row>
    <row r="390" spans="1:76">
      <c r="A390" s="459">
        <v>45854</v>
      </c>
      <c r="B390" s="345">
        <v>0.41666666666666702</v>
      </c>
      <c r="C390" s="305">
        <v>16</v>
      </c>
      <c r="D390" s="306" t="s">
        <v>152</v>
      </c>
      <c r="E390" s="285">
        <v>13.9</v>
      </c>
      <c r="F390" s="286">
        <v>69.150000000000006</v>
      </c>
      <c r="G390" s="287" t="str" cm="1">
        <f t="array" aca="1" ref="G390" ca="1">INDIRECT("'"&amp;$C390&amp;"'!"&amp;"$"&amp;$D390&amp;$E$1&amp;"")</f>
        <v>CMS</v>
      </c>
      <c r="H390" s="288" t="s">
        <v>1</v>
      </c>
      <c r="I390" s="286" t="s">
        <v>1</v>
      </c>
      <c r="J390" s="287" t="str" cm="1">
        <f t="array" aca="1" ref="J390" ca="1">INDIRECT("'"&amp;$C390&amp;"'!"&amp;"$"&amp;$D390&amp;$J$1&amp;"")</f>
        <v>CMS</v>
      </c>
      <c r="K390" s="288"/>
      <c r="L390" s="288" t="s">
        <v>1</v>
      </c>
      <c r="M390" s="289" t="s">
        <v>1</v>
      </c>
      <c r="N390" s="285" cm="1">
        <f t="array" aca="1" ref="N390" ca="1">INDIRECT("'"&amp;$C390&amp;"'!"&amp;"$"&amp;$D390&amp;$N$1&amp;"")</f>
        <v>6.5</v>
      </c>
      <c r="O390" s="288"/>
      <c r="P390" s="288">
        <v>0.92</v>
      </c>
      <c r="Q390" s="286">
        <v>2.87</v>
      </c>
      <c r="R390" s="285" cm="1">
        <f t="array" aca="1" ref="R390" ca="1">INDIRECT("'"&amp;$C390&amp;"'!"&amp;"$"&amp;$D390&amp;$R$1&amp;"")</f>
        <v>6.5</v>
      </c>
      <c r="S390" s="288"/>
      <c r="T390" s="288">
        <v>0.92</v>
      </c>
      <c r="U390" s="286">
        <v>2.83</v>
      </c>
      <c r="V390" s="287" cm="1">
        <f t="array" aca="1" ref="V390" ca="1">INDIRECT("'"&amp;$C390&amp;"'!"&amp;"$"&amp;$D390&amp;$V$1&amp;"")</f>
        <v>2.8</v>
      </c>
      <c r="W390" s="288">
        <f>3.8*3.51</f>
        <v>13.337999999999999</v>
      </c>
      <c r="X390" s="288">
        <v>0.91</v>
      </c>
      <c r="Y390" s="289">
        <v>1.23</v>
      </c>
      <c r="Z390" s="285" t="str" cm="1">
        <f t="array" aca="1" ref="Z390" ca="1">INDIRECT("'"&amp;$C390&amp;"'!"&amp;"$"&amp;$D390&amp;$Z$1&amp;"")</f>
        <v>CMS</v>
      </c>
      <c r="AA390" s="288" t="s">
        <v>1</v>
      </c>
      <c r="AB390" s="288" t="s">
        <v>1</v>
      </c>
      <c r="AC390" s="286" t="s">
        <v>1</v>
      </c>
      <c r="AD390" s="287" cm="1">
        <f t="array" aca="1" ref="AD390" ca="1">INDIRECT("'"&amp;$C390&amp;"'!"&amp;"$"&amp;$D390&amp;$AD$1&amp;"")</f>
        <v>3.8</v>
      </c>
      <c r="AE390" s="288">
        <f>3.8*3.51</f>
        <v>13.337999999999999</v>
      </c>
      <c r="AF390" s="288">
        <v>0.91</v>
      </c>
      <c r="AG390" s="286">
        <v>1.65</v>
      </c>
      <c r="AH390" s="285" cm="1">
        <f t="array" aca="1" ref="AH390" ca="1">INDIRECT("'"&amp;$C390&amp;"'!"&amp;"$"&amp;$D390&amp;$AH$1&amp;"")</f>
        <v>3.8</v>
      </c>
      <c r="AI390" s="288">
        <v>14.08</v>
      </c>
      <c r="AJ390" s="288">
        <v>0.97</v>
      </c>
      <c r="AK390" s="289">
        <v>0.85599999999999998</v>
      </c>
      <c r="AL390" s="285">
        <v>11.6</v>
      </c>
      <c r="AM390" s="289">
        <v>70.7</v>
      </c>
      <c r="AN390" s="285" cm="1">
        <f t="array" aca="1" ref="AN390" ca="1">INDIRECT("'"&amp;$C390&amp;"'!"&amp;"$"&amp;$D390&amp;$AL$1&amp;"")</f>
        <v>3.6</v>
      </c>
      <c r="AO390" s="288">
        <v>0.98</v>
      </c>
      <c r="AP390" s="286">
        <v>0.78</v>
      </c>
      <c r="AQ390" s="287" cm="1">
        <f t="array" aca="1" ref="AQ390" ca="1">INDIRECT("'"&amp;$C390&amp;"'!"&amp;"$"&amp;$D390&amp;$AQ$1&amp;"")</f>
        <v>0</v>
      </c>
      <c r="AR390" s="288" t="s">
        <v>1</v>
      </c>
      <c r="AS390" s="286" t="s">
        <v>1</v>
      </c>
      <c r="AT390" s="285">
        <v>14</v>
      </c>
      <c r="AU390" s="289">
        <v>70.8</v>
      </c>
      <c r="AV390" s="288" cm="1">
        <f t="array" aca="1" ref="AV390" ca="1">INDIRECT("'"&amp;$C390&amp;"'!"&amp;"$"&amp;$D390&amp;$AV$1&amp;"")</f>
        <v>3.3</v>
      </c>
      <c r="AW390" s="287" t="s">
        <v>1</v>
      </c>
      <c r="AX390" s="288">
        <v>0.98</v>
      </c>
      <c r="AY390" s="286">
        <v>0.98</v>
      </c>
      <c r="AZ390" s="288" cm="1">
        <f t="array" aca="1" ref="AZ390" ca="1">INDIRECT("'"&amp;$C390&amp;"'!"&amp;"$"&amp;$D390&amp;$AZ$1&amp;"")</f>
        <v>7</v>
      </c>
      <c r="BA390" s="287" t="s">
        <v>1</v>
      </c>
      <c r="BB390" s="288">
        <v>0.95</v>
      </c>
      <c r="BC390" s="286">
        <v>2.4</v>
      </c>
      <c r="BD390" s="290">
        <v>14.11</v>
      </c>
      <c r="BE390" s="289">
        <v>71.5</v>
      </c>
      <c r="BF390" s="290" cm="1">
        <f t="array" aca="1" ref="BF390" ca="1">INDIRECT("'"&amp;$C390&amp;"'!"&amp;"$"&amp;$D390&amp;$BF$1&amp;"")</f>
        <v>14.24</v>
      </c>
      <c r="BG390" s="288">
        <v>0.99</v>
      </c>
      <c r="BH390" s="286">
        <v>2.2999999999999998</v>
      </c>
      <c r="BI390" s="525">
        <v>67.8</v>
      </c>
      <c r="BJ390" s="285" cm="1">
        <f t="array" aca="1" ref="BJ390" ca="1">INDIRECT("'"&amp;$C390&amp;"'!"&amp;"$"&amp;$D390&amp;$BI$1&amp;"")</f>
        <v>3.1</v>
      </c>
      <c r="BK390" s="287">
        <v>0.96</v>
      </c>
      <c r="BL390" s="286">
        <v>0.9</v>
      </c>
      <c r="BM390" s="290" cm="1">
        <f t="array" aca="1" ref="BM390" ca="1">INDIRECT("'"&amp;$C390&amp;"'!"&amp;"$"&amp;$D390&amp;$BM$1&amp;"")</f>
        <v>1.2</v>
      </c>
      <c r="BN390" s="288"/>
      <c r="BO390" s="288">
        <v>0.99</v>
      </c>
      <c r="BP390" s="286">
        <v>0.15</v>
      </c>
      <c r="BQ390" s="291" cm="1">
        <f t="array" aca="1" ref="BQ390" ca="1">INDIRECT("'"&amp;$C390&amp;"'!"&amp;"$"&amp;$D390&amp;$BQ$1&amp;"")</f>
        <v>0.67</v>
      </c>
      <c r="BR390" s="288"/>
      <c r="BS390" s="288">
        <v>0.97</v>
      </c>
      <c r="BT390" s="286">
        <v>0.16</v>
      </c>
      <c r="BU390" s="291" cm="1">
        <f t="array" aca="1" ref="BU390" ca="1">INDIRECT("'"&amp;$C390&amp;"'!"&amp;"$"&amp;$D390&amp;74&amp;"")</f>
        <v>0</v>
      </c>
      <c r="BV390" s="288"/>
      <c r="BW390" s="288" t="s">
        <v>1</v>
      </c>
      <c r="BX390" s="286" t="s">
        <v>1</v>
      </c>
    </row>
    <row r="391" spans="1:76">
      <c r="A391" s="459">
        <v>45854</v>
      </c>
      <c r="B391" s="345">
        <v>0.45833333333333398</v>
      </c>
      <c r="C391" s="305">
        <v>16</v>
      </c>
      <c r="D391" s="306" t="s">
        <v>153</v>
      </c>
      <c r="E391" s="278">
        <v>13.9</v>
      </c>
      <c r="F391" s="279">
        <v>69</v>
      </c>
      <c r="G391" s="280" t="str" cm="1">
        <f t="array" aca="1" ref="G391" ca="1">INDIRECT("'"&amp;$C391&amp;"'!"&amp;"$"&amp;$D391&amp;$E$1&amp;"")</f>
        <v>CMS</v>
      </c>
      <c r="H391" s="281" t="s">
        <v>1</v>
      </c>
      <c r="I391" s="279" t="s">
        <v>1</v>
      </c>
      <c r="J391" s="280" t="str" cm="1">
        <f t="array" aca="1" ref="J391" ca="1">INDIRECT("'"&amp;$C391&amp;"'!"&amp;"$"&amp;$D391&amp;$J$1&amp;"")</f>
        <v>CMS</v>
      </c>
      <c r="K391" s="281"/>
      <c r="L391" s="281" t="s">
        <v>1</v>
      </c>
      <c r="M391" s="282" t="s">
        <v>1</v>
      </c>
      <c r="N391" s="278" cm="1">
        <f t="array" aca="1" ref="N391" ca="1">INDIRECT("'"&amp;$C391&amp;"'!"&amp;"$"&amp;$D391&amp;$N$1&amp;"")</f>
        <v>6.8</v>
      </c>
      <c r="O391" s="281"/>
      <c r="P391" s="281">
        <v>0.92</v>
      </c>
      <c r="Q391" s="279">
        <v>3.01</v>
      </c>
      <c r="R391" s="468" cm="1">
        <f t="array" aca="1" ref="R391" ca="1">INDIRECT("'"&amp;$C391&amp;"'!"&amp;"$"&amp;$D391&amp;$R$1&amp;"")</f>
        <v>6.8</v>
      </c>
      <c r="S391" s="281"/>
      <c r="T391" s="281">
        <v>0.92</v>
      </c>
      <c r="U391" s="279">
        <v>3.05</v>
      </c>
      <c r="V391" s="280" cm="1">
        <f t="array" aca="1" ref="V391" ca="1">INDIRECT("'"&amp;$C391&amp;"'!"&amp;"$"&amp;$D391&amp;$V$1&amp;"")</f>
        <v>2.8</v>
      </c>
      <c r="W391" s="281">
        <f>3.8*3.5</f>
        <v>13.299999999999999</v>
      </c>
      <c r="X391" s="281">
        <v>0.9</v>
      </c>
      <c r="Y391" s="282">
        <v>1.29</v>
      </c>
      <c r="Z391" s="278" t="str" cm="1">
        <f t="array" aca="1" ref="Z391" ca="1">INDIRECT("'"&amp;$C391&amp;"'!"&amp;"$"&amp;$D391&amp;$Z$1&amp;"")</f>
        <v>CMS</v>
      </c>
      <c r="AA391" s="281" t="s">
        <v>1</v>
      </c>
      <c r="AB391" s="281" t="s">
        <v>1</v>
      </c>
      <c r="AC391" s="279" t="s">
        <v>1</v>
      </c>
      <c r="AD391" s="280" cm="1">
        <f t="array" aca="1" ref="AD391" ca="1">INDIRECT("'"&amp;$C391&amp;"'!"&amp;"$"&amp;$D391&amp;$AD$1&amp;"")</f>
        <v>3.8</v>
      </c>
      <c r="AE391" s="281">
        <f>3.8*3.5</f>
        <v>13.299999999999999</v>
      </c>
      <c r="AF391" s="281">
        <v>0.9</v>
      </c>
      <c r="AG391" s="282">
        <v>1.78</v>
      </c>
      <c r="AH391" s="278" cm="1">
        <f t="array" aca="1" ref="AH391" ca="1">INDIRECT("'"&amp;$C391&amp;"'!"&amp;"$"&amp;$D391&amp;$AH$1&amp;"")</f>
        <v>3.8</v>
      </c>
      <c r="AI391" s="281">
        <v>14.08</v>
      </c>
      <c r="AJ391" s="281">
        <v>0.97</v>
      </c>
      <c r="AK391" s="279">
        <v>0.89800000000000002</v>
      </c>
      <c r="AL391" s="278">
        <v>11.6</v>
      </c>
      <c r="AM391" s="282">
        <v>70.8</v>
      </c>
      <c r="AN391" s="278" cm="1">
        <f t="array" aca="1" ref="AN391" ca="1">INDIRECT("'"&amp;$C391&amp;"'!"&amp;"$"&amp;$D391&amp;$AL$1&amp;"")</f>
        <v>3.8</v>
      </c>
      <c r="AO391" s="281">
        <v>0.93</v>
      </c>
      <c r="AP391" s="279">
        <v>1.4</v>
      </c>
      <c r="AQ391" s="280" cm="1">
        <f t="array" aca="1" ref="AQ391" ca="1">INDIRECT("'"&amp;$C391&amp;"'!"&amp;"$"&amp;$D391&amp;$AQ$1&amp;"")</f>
        <v>0</v>
      </c>
      <c r="AR391" s="281" t="s">
        <v>1</v>
      </c>
      <c r="AS391" s="279" t="s">
        <v>1</v>
      </c>
      <c r="AT391" s="278">
        <v>14</v>
      </c>
      <c r="AU391" s="282">
        <v>70.8</v>
      </c>
      <c r="AV391" s="281" cm="1">
        <f t="array" aca="1" ref="AV391" ca="1">INDIRECT("'"&amp;$C391&amp;"'!"&amp;"$"&amp;$D391&amp;$AV$1&amp;"")</f>
        <v>4.8</v>
      </c>
      <c r="AW391" s="280" t="s">
        <v>1</v>
      </c>
      <c r="AX391" s="281">
        <v>0.95</v>
      </c>
      <c r="AY391" s="279">
        <v>1.45</v>
      </c>
      <c r="AZ391" s="281" cm="1">
        <f t="array" aca="1" ref="AZ391" ca="1">INDIRECT("'"&amp;$C391&amp;"'!"&amp;"$"&amp;$D391&amp;$AZ$1&amp;"")</f>
        <v>7</v>
      </c>
      <c r="BA391" s="280" t="s">
        <v>1</v>
      </c>
      <c r="BB391" s="281">
        <v>0.97</v>
      </c>
      <c r="BC391" s="279">
        <v>1.78</v>
      </c>
      <c r="BD391" s="283">
        <v>14.11</v>
      </c>
      <c r="BE391" s="282">
        <v>71.38</v>
      </c>
      <c r="BF391" s="283" cm="1">
        <f t="array" aca="1" ref="BF391" ca="1">INDIRECT("'"&amp;$C391&amp;"'!"&amp;"$"&amp;$D391&amp;$BF$1&amp;"")</f>
        <v>14.27</v>
      </c>
      <c r="BG391" s="281">
        <v>0.99</v>
      </c>
      <c r="BH391" s="279">
        <v>2.2999999999999998</v>
      </c>
      <c r="BI391" s="524">
        <v>67.599999999999994</v>
      </c>
      <c r="BJ391" s="278" cm="1">
        <f t="array" aca="1" ref="BJ391" ca="1">INDIRECT("'"&amp;$C391&amp;"'!"&amp;"$"&amp;$D391&amp;$BI$1&amp;"")</f>
        <v>3.1</v>
      </c>
      <c r="BK391" s="280">
        <v>0.96</v>
      </c>
      <c r="BL391" s="279">
        <v>0.89</v>
      </c>
      <c r="BM391" s="283" cm="1">
        <f t="array" aca="1" ref="BM391" ca="1">INDIRECT("'"&amp;$C391&amp;"'!"&amp;"$"&amp;$D391&amp;$BM$1&amp;"")</f>
        <v>0</v>
      </c>
      <c r="BN391" s="281"/>
      <c r="BO391" s="281" t="s">
        <v>1</v>
      </c>
      <c r="BP391" s="279" t="s">
        <v>1</v>
      </c>
      <c r="BQ391" s="284" cm="1">
        <f t="array" aca="1" ref="BQ391" ca="1">INDIRECT("'"&amp;$C391&amp;"'!"&amp;"$"&amp;$D391&amp;$BQ$1&amp;"")</f>
        <v>0.66</v>
      </c>
      <c r="BR391" s="281"/>
      <c r="BS391" s="281">
        <v>0.97</v>
      </c>
      <c r="BT391" s="279">
        <v>0.15</v>
      </c>
      <c r="BU391" s="284" cm="1">
        <f t="array" aca="1" ref="BU391" ca="1">INDIRECT("'"&amp;$C391&amp;"'!"&amp;"$"&amp;$D391&amp;74&amp;"")</f>
        <v>0</v>
      </c>
      <c r="BV391" s="281"/>
      <c r="BW391" s="281" t="s">
        <v>1</v>
      </c>
      <c r="BX391" s="279" t="s">
        <v>1</v>
      </c>
    </row>
    <row r="392" spans="1:76">
      <c r="A392" s="459">
        <v>45854</v>
      </c>
      <c r="B392" s="345">
        <v>0.5</v>
      </c>
      <c r="C392" s="305">
        <v>16</v>
      </c>
      <c r="D392" s="306" t="s">
        <v>154</v>
      </c>
      <c r="E392" s="285">
        <v>13.9</v>
      </c>
      <c r="F392" s="286">
        <v>69.42</v>
      </c>
      <c r="G392" s="287" t="str" cm="1">
        <f t="array" aca="1" ref="G392" ca="1">INDIRECT("'"&amp;$C392&amp;"'!"&amp;"$"&amp;$D392&amp;$E$1&amp;"")</f>
        <v>CMS</v>
      </c>
      <c r="H392" s="288" t="s">
        <v>1</v>
      </c>
      <c r="I392" s="286" t="s">
        <v>1</v>
      </c>
      <c r="J392" s="287" t="str" cm="1">
        <f t="array" aca="1" ref="J392" ca="1">INDIRECT("'"&amp;$C392&amp;"'!"&amp;"$"&amp;$D392&amp;$J$1&amp;"")</f>
        <v>CMS</v>
      </c>
      <c r="K392" s="288"/>
      <c r="L392" s="288" t="s">
        <v>1</v>
      </c>
      <c r="M392" s="289" t="s">
        <v>1</v>
      </c>
      <c r="N392" s="285" cm="1">
        <f t="array" aca="1" ref="N392" ca="1">INDIRECT("'"&amp;$C392&amp;"'!"&amp;"$"&amp;$D392&amp;$N$1&amp;"")</f>
        <v>6.6</v>
      </c>
      <c r="O392" s="288"/>
      <c r="P392" s="288">
        <v>0.92</v>
      </c>
      <c r="Q392" s="289">
        <v>2.88</v>
      </c>
      <c r="R392" s="285" cm="1">
        <f t="array" aca="1" ref="R392" ca="1">INDIRECT("'"&amp;$C392&amp;"'!"&amp;"$"&amp;$D392&amp;$R$1&amp;"")</f>
        <v>6.6</v>
      </c>
      <c r="S392" s="288"/>
      <c r="T392" s="288">
        <v>0.92</v>
      </c>
      <c r="U392" s="286">
        <v>2.82</v>
      </c>
      <c r="V392" s="287" cm="1">
        <f t="array" aca="1" ref="V392" ca="1">INDIRECT("'"&amp;$C392&amp;"'!"&amp;"$"&amp;$D392&amp;$V$1&amp;"")</f>
        <v>2.8</v>
      </c>
      <c r="W392" s="288">
        <f>3.8*3.54</f>
        <v>13.452</v>
      </c>
      <c r="X392" s="288">
        <v>0.9</v>
      </c>
      <c r="Y392" s="289">
        <v>1.24</v>
      </c>
      <c r="Z392" s="285" t="str" cm="1">
        <f t="array" aca="1" ref="Z392" ca="1">INDIRECT("'"&amp;$C392&amp;"'!"&amp;"$"&amp;$D392&amp;$Z$1&amp;"")</f>
        <v>CMS</v>
      </c>
      <c r="AA392" s="288" t="s">
        <v>1</v>
      </c>
      <c r="AB392" s="288" t="s">
        <v>1</v>
      </c>
      <c r="AC392" s="286" t="s">
        <v>1</v>
      </c>
      <c r="AD392" s="287" cm="1">
        <f t="array" aca="1" ref="AD392" ca="1">INDIRECT("'"&amp;$C392&amp;"'!"&amp;"$"&amp;$D392&amp;$AD$1&amp;"")</f>
        <v>3.6</v>
      </c>
      <c r="AE392" s="288">
        <f>3.8*3.54</f>
        <v>13.452</v>
      </c>
      <c r="AF392" s="288">
        <v>0.9</v>
      </c>
      <c r="AG392" s="289">
        <v>1.64</v>
      </c>
      <c r="AH392" s="285" cm="1">
        <f t="array" aca="1" ref="AH392" ca="1">INDIRECT("'"&amp;$C392&amp;"'!"&amp;"$"&amp;$D392&amp;$AH$1&amp;"")</f>
        <v>3.8</v>
      </c>
      <c r="AI392" s="288">
        <v>14.08</v>
      </c>
      <c r="AJ392" s="288">
        <v>0.98</v>
      </c>
      <c r="AK392" s="286">
        <v>0.69899999999999995</v>
      </c>
      <c r="AL392" s="285">
        <v>11.6</v>
      </c>
      <c r="AM392" s="289">
        <v>71.400000000000006</v>
      </c>
      <c r="AN392" s="285" cm="1">
        <f t="array" aca="1" ref="AN392" ca="1">INDIRECT("'"&amp;$C392&amp;"'!"&amp;"$"&amp;$D392&amp;$AL$1&amp;"")</f>
        <v>3.5</v>
      </c>
      <c r="AO392" s="288">
        <v>0.93</v>
      </c>
      <c r="AP392" s="286">
        <v>1.1000000000000001</v>
      </c>
      <c r="AQ392" s="287" cm="1">
        <f t="array" aca="1" ref="AQ392" ca="1">INDIRECT("'"&amp;$C392&amp;"'!"&amp;"$"&amp;$D392&amp;$AQ$1&amp;"")</f>
        <v>0</v>
      </c>
      <c r="AR392" s="288" t="s">
        <v>1</v>
      </c>
      <c r="AS392" s="286" t="s">
        <v>1</v>
      </c>
      <c r="AT392" s="285">
        <v>14.1</v>
      </c>
      <c r="AU392" s="289">
        <v>70.8</v>
      </c>
      <c r="AV392" s="288" cm="1">
        <f t="array" aca="1" ref="AV392" ca="1">INDIRECT("'"&amp;$C392&amp;"'!"&amp;"$"&amp;$D392&amp;$AV$1&amp;"")</f>
        <v>4.8</v>
      </c>
      <c r="AW392" s="287" t="s">
        <v>1</v>
      </c>
      <c r="AX392" s="288">
        <v>0.95</v>
      </c>
      <c r="AY392" s="286">
        <v>1.53</v>
      </c>
      <c r="AZ392" s="288" cm="1">
        <f t="array" aca="1" ref="AZ392" ca="1">INDIRECT("'"&amp;$C392&amp;"'!"&amp;"$"&amp;$D392&amp;$AZ$1&amp;"")</f>
        <v>7</v>
      </c>
      <c r="BA392" s="287" t="s">
        <v>1</v>
      </c>
      <c r="BB392" s="288">
        <v>0.96</v>
      </c>
      <c r="BC392" s="286">
        <v>1.99</v>
      </c>
      <c r="BD392" s="290">
        <v>14.19</v>
      </c>
      <c r="BE392" s="289">
        <v>71.77</v>
      </c>
      <c r="BF392" s="290" cm="1">
        <f t="array" aca="1" ref="BF392" ca="1">INDIRECT("'"&amp;$C392&amp;"'!"&amp;"$"&amp;$D392&amp;$BF$1&amp;"")</f>
        <v>14.25</v>
      </c>
      <c r="BG392" s="288">
        <v>0.99</v>
      </c>
      <c r="BH392" s="286">
        <v>2.2999999999999998</v>
      </c>
      <c r="BI392" s="525">
        <v>67.7</v>
      </c>
      <c r="BJ392" s="285" cm="1">
        <f t="array" aca="1" ref="BJ392" ca="1">INDIRECT("'"&amp;$C392&amp;"'!"&amp;"$"&amp;$D392&amp;$BI$1&amp;"")</f>
        <v>0.8</v>
      </c>
      <c r="BK392" s="287">
        <v>0.96</v>
      </c>
      <c r="BL392" s="286">
        <v>0.17</v>
      </c>
      <c r="BM392" s="290" cm="1">
        <f t="array" aca="1" ref="BM392" ca="1">INDIRECT("'"&amp;$C392&amp;"'!"&amp;"$"&amp;$D392&amp;$BM$1&amp;"")</f>
        <v>1</v>
      </c>
      <c r="BN392" s="288"/>
      <c r="BO392" s="288">
        <v>0.99</v>
      </c>
      <c r="BP392" s="286">
        <v>0.11</v>
      </c>
      <c r="BQ392" s="291" cm="1">
        <f t="array" aca="1" ref="BQ392" ca="1">INDIRECT("'"&amp;$C392&amp;"'!"&amp;"$"&amp;$D392&amp;$BQ$1&amp;"")</f>
        <v>0.65</v>
      </c>
      <c r="BR392" s="288"/>
      <c r="BS392" s="288">
        <v>0.97</v>
      </c>
      <c r="BT392" s="286">
        <v>0.14000000000000001</v>
      </c>
      <c r="BU392" s="291" cm="1">
        <f t="array" aca="1" ref="BU392" ca="1">INDIRECT("'"&amp;$C392&amp;"'!"&amp;"$"&amp;$D392&amp;74&amp;"")</f>
        <v>0</v>
      </c>
      <c r="BV392" s="288"/>
      <c r="BW392" s="288" t="s">
        <v>1</v>
      </c>
      <c r="BX392" s="286" t="s">
        <v>1</v>
      </c>
    </row>
    <row r="393" spans="1:76">
      <c r="A393" s="459">
        <v>45854</v>
      </c>
      <c r="B393" s="345">
        <v>0.54166666666666696</v>
      </c>
      <c r="C393" s="305">
        <v>16</v>
      </c>
      <c r="D393" s="306" t="s">
        <v>155</v>
      </c>
      <c r="E393" s="278">
        <v>13.9</v>
      </c>
      <c r="F393" s="279">
        <v>69.459999999999994</v>
      </c>
      <c r="G393" s="280" t="str" cm="1">
        <f t="array" aca="1" ref="G393" ca="1">INDIRECT("'"&amp;$C393&amp;"'!"&amp;"$"&amp;$D393&amp;$E$1&amp;"")</f>
        <v>CMS</v>
      </c>
      <c r="H393" s="281" t="s">
        <v>1</v>
      </c>
      <c r="I393" s="279" t="s">
        <v>1</v>
      </c>
      <c r="J393" s="280" t="str" cm="1">
        <f t="array" aca="1" ref="J393" ca="1">INDIRECT("'"&amp;$C393&amp;"'!"&amp;"$"&amp;$D393&amp;$J$1&amp;"")</f>
        <v>CMS</v>
      </c>
      <c r="K393" s="281"/>
      <c r="L393" s="281" t="s">
        <v>1</v>
      </c>
      <c r="M393" s="279" t="s">
        <v>1</v>
      </c>
      <c r="N393" s="278" cm="1">
        <f t="array" aca="1" ref="N393" ca="1">INDIRECT("'"&amp;$C393&amp;"'!"&amp;"$"&amp;$D393&amp;$N$1&amp;"")</f>
        <v>6.5</v>
      </c>
      <c r="O393" s="281"/>
      <c r="P393" s="281">
        <v>0.93</v>
      </c>
      <c r="Q393" s="279">
        <v>2.59</v>
      </c>
      <c r="R393" s="468" cm="1">
        <f t="array" aca="1" ref="R393" ca="1">INDIRECT("'"&amp;$C393&amp;"'!"&amp;"$"&amp;$D393&amp;$R$1&amp;"")</f>
        <v>6.5</v>
      </c>
      <c r="S393" s="281"/>
      <c r="T393" s="281">
        <v>0.93</v>
      </c>
      <c r="U393" s="279">
        <v>2.5499999999999998</v>
      </c>
      <c r="V393" s="280" cm="1">
        <f t="array" aca="1" ref="V393" ca="1">INDIRECT("'"&amp;$C393&amp;"'!"&amp;"$"&amp;$D393&amp;$V$1&amp;"")</f>
        <v>2.6</v>
      </c>
      <c r="W393" s="281">
        <f>3.8*3.54</f>
        <v>13.452</v>
      </c>
      <c r="X393" s="281">
        <v>0.91</v>
      </c>
      <c r="Y393" s="282">
        <v>1.2</v>
      </c>
      <c r="Z393" s="278" t="str" cm="1">
        <f t="array" aca="1" ref="Z393" ca="1">INDIRECT("'"&amp;$C393&amp;"'!"&amp;"$"&amp;$D393&amp;$Z$1&amp;"")</f>
        <v>CMS</v>
      </c>
      <c r="AA393" s="281" t="s">
        <v>1</v>
      </c>
      <c r="AB393" s="281" t="s">
        <v>1</v>
      </c>
      <c r="AC393" s="279" t="s">
        <v>1</v>
      </c>
      <c r="AD393" s="280" cm="1">
        <f t="array" aca="1" ref="AD393" ca="1">INDIRECT("'"&amp;$C393&amp;"'!"&amp;"$"&amp;$D393&amp;$AD$1&amp;"")</f>
        <v>3.6</v>
      </c>
      <c r="AE393" s="281">
        <f>3.8*3.54</f>
        <v>13.452</v>
      </c>
      <c r="AF393" s="281">
        <v>0.91</v>
      </c>
      <c r="AG393" s="282">
        <v>1.62</v>
      </c>
      <c r="AH393" s="278" cm="1">
        <f t="array" aca="1" ref="AH393" ca="1">INDIRECT("'"&amp;$C393&amp;"'!"&amp;"$"&amp;$D393&amp;$AH$1&amp;"")</f>
        <v>3.8</v>
      </c>
      <c r="AI393" s="281">
        <v>14.26</v>
      </c>
      <c r="AJ393" s="281">
        <v>0.98</v>
      </c>
      <c r="AK393" s="279">
        <v>0.55200000000000005</v>
      </c>
      <c r="AL393" s="278">
        <v>11.6</v>
      </c>
      <c r="AM393" s="282">
        <v>71.2</v>
      </c>
      <c r="AN393" s="278" cm="1">
        <f t="array" aca="1" ref="AN393" ca="1">INDIRECT("'"&amp;$C393&amp;"'!"&amp;"$"&amp;$D393&amp;$AL$1&amp;"")</f>
        <v>3.5</v>
      </c>
      <c r="AO393" s="281">
        <v>0.93</v>
      </c>
      <c r="AP393" s="279">
        <v>1.35</v>
      </c>
      <c r="AQ393" s="280" cm="1">
        <f t="array" aca="1" ref="AQ393" ca="1">INDIRECT("'"&amp;$C393&amp;"'!"&amp;"$"&amp;$D393&amp;$AQ$1&amp;"")</f>
        <v>0</v>
      </c>
      <c r="AR393" s="281" t="s">
        <v>1</v>
      </c>
      <c r="AS393" s="279" t="s">
        <v>1</v>
      </c>
      <c r="AT393" s="278">
        <v>14.1</v>
      </c>
      <c r="AU393" s="282">
        <v>70.8</v>
      </c>
      <c r="AV393" s="281" cm="1">
        <f t="array" aca="1" ref="AV393" ca="1">INDIRECT("'"&amp;$C393&amp;"'!"&amp;"$"&amp;$D393&amp;$AV$1&amp;"")</f>
        <v>3.5</v>
      </c>
      <c r="AW393" s="280">
        <v>13.7</v>
      </c>
      <c r="AX393" s="281">
        <v>0.93</v>
      </c>
      <c r="AY393" s="279">
        <v>1.35</v>
      </c>
      <c r="AZ393" s="281" cm="1">
        <f t="array" aca="1" ref="AZ393" ca="1">INDIRECT("'"&amp;$C393&amp;"'!"&amp;"$"&amp;$D393&amp;$AZ$1&amp;"")</f>
        <v>7</v>
      </c>
      <c r="BA393" s="280">
        <v>13.7</v>
      </c>
      <c r="BB393" s="281">
        <v>0.97</v>
      </c>
      <c r="BC393" s="279">
        <v>1.84</v>
      </c>
      <c r="BD393" s="283">
        <v>14.22</v>
      </c>
      <c r="BE393" s="282">
        <v>72.06</v>
      </c>
      <c r="BF393" s="283" cm="1">
        <f t="array" aca="1" ref="BF393" ca="1">INDIRECT("'"&amp;$C393&amp;"'!"&amp;"$"&amp;$D393&amp;$BF$1&amp;"")</f>
        <v>14.29</v>
      </c>
      <c r="BG393" s="281">
        <v>0.99</v>
      </c>
      <c r="BH393" s="279">
        <v>2.2999999999999998</v>
      </c>
      <c r="BI393" s="524">
        <v>68.099999999999994</v>
      </c>
      <c r="BJ393" s="278" cm="1">
        <f t="array" aca="1" ref="BJ393" ca="1">INDIRECT("'"&amp;$C393&amp;"'!"&amp;"$"&amp;$D393&amp;$BI$1&amp;"")</f>
        <v>0</v>
      </c>
      <c r="BK393" s="280" t="s">
        <v>1</v>
      </c>
      <c r="BL393" s="279" t="s">
        <v>1</v>
      </c>
      <c r="BM393" s="283" cm="1">
        <f t="array" aca="1" ref="BM393" ca="1">INDIRECT("'"&amp;$C393&amp;"'!"&amp;"$"&amp;$D393&amp;$BM$1&amp;"")</f>
        <v>1</v>
      </c>
      <c r="BN393" s="281"/>
      <c r="BO393" s="281">
        <v>0.99</v>
      </c>
      <c r="BP393" s="279">
        <v>0.1</v>
      </c>
      <c r="BQ393" s="284" cm="1">
        <f t="array" aca="1" ref="BQ393" ca="1">INDIRECT("'"&amp;$C393&amp;"'!"&amp;"$"&amp;$D393&amp;$BQ$1&amp;"")</f>
        <v>0.6</v>
      </c>
      <c r="BR393" s="281"/>
      <c r="BS393" s="281">
        <v>0.97</v>
      </c>
      <c r="BT393" s="279">
        <v>0.13</v>
      </c>
      <c r="BU393" s="284" cm="1">
        <f t="array" aca="1" ref="BU393" ca="1">INDIRECT("'"&amp;$C393&amp;"'!"&amp;"$"&amp;$D393&amp;74&amp;"")</f>
        <v>0</v>
      </c>
      <c r="BV393" s="281"/>
      <c r="BW393" s="281" t="s">
        <v>1</v>
      </c>
      <c r="BX393" s="279" t="s">
        <v>1</v>
      </c>
    </row>
    <row r="394" spans="1:76">
      <c r="A394" s="459">
        <v>45854</v>
      </c>
      <c r="B394" s="345">
        <v>0.58333333333333404</v>
      </c>
      <c r="C394" s="305">
        <v>16</v>
      </c>
      <c r="D394" s="306" t="s">
        <v>156</v>
      </c>
      <c r="E394" s="285">
        <v>13.9</v>
      </c>
      <c r="F394" s="286">
        <v>69.650000000000006</v>
      </c>
      <c r="G394" s="287" t="str" cm="1">
        <f t="array" aca="1" ref="G394" ca="1">INDIRECT("'"&amp;$C394&amp;"'!"&amp;"$"&amp;$D394&amp;$E$1&amp;"")</f>
        <v>CMS</v>
      </c>
      <c r="H394" s="288" t="s">
        <v>1</v>
      </c>
      <c r="I394" s="286" t="s">
        <v>1</v>
      </c>
      <c r="J394" s="287" t="str" cm="1">
        <f t="array" aca="1" ref="J394" ca="1">INDIRECT("'"&amp;$C394&amp;"'!"&amp;"$"&amp;$D394&amp;$J$1&amp;"")</f>
        <v>CMS</v>
      </c>
      <c r="K394" s="288"/>
      <c r="L394" s="288" t="s">
        <v>1</v>
      </c>
      <c r="M394" s="289" t="s">
        <v>1</v>
      </c>
      <c r="N394" s="285" cm="1">
        <f t="array" aca="1" ref="N394" ca="1">INDIRECT("'"&amp;$C394&amp;"'!"&amp;"$"&amp;$D394&amp;$N$1&amp;"")</f>
        <v>6.5</v>
      </c>
      <c r="O394" s="288"/>
      <c r="P394" s="288">
        <v>0.94</v>
      </c>
      <c r="Q394" s="286">
        <v>2.35</v>
      </c>
      <c r="R394" s="285" cm="1">
        <f t="array" aca="1" ref="R394" ca="1">INDIRECT("'"&amp;$C394&amp;"'!"&amp;"$"&amp;$D394&amp;$R$1&amp;"")</f>
        <v>6.5</v>
      </c>
      <c r="S394" s="288"/>
      <c r="T394" s="288">
        <v>0.94</v>
      </c>
      <c r="U394" s="286">
        <v>2.31</v>
      </c>
      <c r="V394" s="287" cm="1">
        <f t="array" aca="1" ref="V394" ca="1">INDIRECT("'"&amp;$C394&amp;"'!"&amp;"$"&amp;$D394&amp;$V$1&amp;"")</f>
        <v>2.8</v>
      </c>
      <c r="W394" s="288">
        <f>3.57*3.8</f>
        <v>13.565999999999999</v>
      </c>
      <c r="X394" s="288">
        <v>0.91</v>
      </c>
      <c r="Y394" s="289">
        <v>1.25</v>
      </c>
      <c r="Z394" s="285" t="str" cm="1">
        <f t="array" aca="1" ref="Z394" ca="1">INDIRECT("'"&amp;$C394&amp;"'!"&amp;"$"&amp;$D394&amp;$Z$1&amp;"")</f>
        <v>CMS</v>
      </c>
      <c r="AA394" s="288" t="s">
        <v>1</v>
      </c>
      <c r="AB394" s="288" t="s">
        <v>1</v>
      </c>
      <c r="AC394" s="286" t="s">
        <v>1</v>
      </c>
      <c r="AD394" s="287" cm="1">
        <f t="array" aca="1" ref="AD394" ca="1">INDIRECT("'"&amp;$C394&amp;"'!"&amp;"$"&amp;$D394&amp;$AD$1&amp;"")</f>
        <v>3.6</v>
      </c>
      <c r="AE394" s="288">
        <v>13.565999999999999</v>
      </c>
      <c r="AF394" s="288">
        <v>0.91</v>
      </c>
      <c r="AG394" s="289">
        <v>1.63</v>
      </c>
      <c r="AH394" s="285" cm="1">
        <f t="array" aca="1" ref="AH394" ca="1">INDIRECT("'"&amp;$C394&amp;"'!"&amp;"$"&amp;$D394&amp;$AH$1&amp;"")</f>
        <v>3.8</v>
      </c>
      <c r="AI394" s="288">
        <v>14.16</v>
      </c>
      <c r="AJ394" s="288">
        <v>0.98</v>
      </c>
      <c r="AK394" s="286">
        <v>0.69199999999999995</v>
      </c>
      <c r="AL394" s="285">
        <v>11.6</v>
      </c>
      <c r="AM394" s="289">
        <v>71.2</v>
      </c>
      <c r="AN394" s="285" cm="1">
        <f t="array" aca="1" ref="AN394" ca="1">INDIRECT("'"&amp;$C394&amp;"'!"&amp;"$"&amp;$D394&amp;$AL$1&amp;"")</f>
        <v>3.8</v>
      </c>
      <c r="AO394" s="288">
        <v>0.94</v>
      </c>
      <c r="AP394" s="286">
        <v>1.1000000000000001</v>
      </c>
      <c r="AQ394" s="287" cm="1">
        <f t="array" aca="1" ref="AQ394" ca="1">INDIRECT("'"&amp;$C394&amp;"'!"&amp;"$"&amp;$D394&amp;$AQ$1&amp;"")</f>
        <v>0</v>
      </c>
      <c r="AR394" s="288" t="s">
        <v>1</v>
      </c>
      <c r="AS394" s="286" t="s">
        <v>1</v>
      </c>
      <c r="AT394" s="285">
        <v>14.1</v>
      </c>
      <c r="AU394" s="289">
        <v>70.900000000000006</v>
      </c>
      <c r="AV394" s="288" cm="1">
        <f t="array" aca="1" ref="AV394" ca="1">INDIRECT("'"&amp;$C394&amp;"'!"&amp;"$"&amp;$D394&amp;$AV$1&amp;"")</f>
        <v>0</v>
      </c>
      <c r="AW394" s="287">
        <v>13.7</v>
      </c>
      <c r="AX394" s="288" t="s">
        <v>1</v>
      </c>
      <c r="AY394" s="286" t="s">
        <v>1</v>
      </c>
      <c r="AZ394" s="288" cm="1">
        <f t="array" aca="1" ref="AZ394" ca="1">INDIRECT("'"&amp;$C394&amp;"'!"&amp;"$"&amp;$D394&amp;$AZ$1&amp;"")</f>
        <v>7</v>
      </c>
      <c r="BA394" s="287">
        <v>13.7</v>
      </c>
      <c r="BB394" s="288">
        <v>0.94</v>
      </c>
      <c r="BC394" s="286">
        <v>2.5</v>
      </c>
      <c r="BD394" s="290">
        <v>14.22</v>
      </c>
      <c r="BE394" s="289">
        <v>71.91</v>
      </c>
      <c r="BF394" s="290" cm="1">
        <f t="array" aca="1" ref="BF394" ca="1">INDIRECT("'"&amp;$C394&amp;"'!"&amp;"$"&amp;$D394&amp;$BF$1&amp;"")</f>
        <v>14.29</v>
      </c>
      <c r="BG394" s="288">
        <v>0.99</v>
      </c>
      <c r="BH394" s="286">
        <v>2.2999999999999998</v>
      </c>
      <c r="BI394" s="525">
        <v>68.2</v>
      </c>
      <c r="BJ394" s="285" cm="1">
        <f t="array" aca="1" ref="BJ394" ca="1">INDIRECT("'"&amp;$C394&amp;"'!"&amp;"$"&amp;$D394&amp;$BI$1&amp;"")</f>
        <v>1.5</v>
      </c>
      <c r="BK394" s="287">
        <v>0.96</v>
      </c>
      <c r="BL394" s="286">
        <v>0.42</v>
      </c>
      <c r="BM394" s="290" cm="1">
        <f t="array" aca="1" ref="BM394" ca="1">INDIRECT("'"&amp;$C394&amp;"'!"&amp;"$"&amp;$D394&amp;$BM$1&amp;"")</f>
        <v>1</v>
      </c>
      <c r="BN394" s="288"/>
      <c r="BO394" s="288">
        <v>0.99</v>
      </c>
      <c r="BP394" s="286">
        <v>0.13</v>
      </c>
      <c r="BQ394" s="291" cm="1">
        <f t="array" aca="1" ref="BQ394" ca="1">INDIRECT("'"&amp;$C394&amp;"'!"&amp;"$"&amp;$D394&amp;$BQ$1&amp;"")</f>
        <v>0.61</v>
      </c>
      <c r="BR394" s="288"/>
      <c r="BS394" s="288">
        <v>0.97</v>
      </c>
      <c r="BT394" s="286">
        <v>0.14000000000000001</v>
      </c>
      <c r="BU394" s="291" cm="1">
        <f t="array" aca="1" ref="BU394" ca="1">INDIRECT("'"&amp;$C394&amp;"'!"&amp;"$"&amp;$D394&amp;74&amp;"")</f>
        <v>0</v>
      </c>
      <c r="BV394" s="288"/>
      <c r="BW394" s="288" t="s">
        <v>1</v>
      </c>
      <c r="BX394" s="286" t="s">
        <v>1</v>
      </c>
    </row>
    <row r="395" spans="1:76">
      <c r="A395" s="459">
        <v>45854</v>
      </c>
      <c r="B395" s="345">
        <v>0.625</v>
      </c>
      <c r="C395" s="305">
        <v>16</v>
      </c>
      <c r="D395" s="306" t="s">
        <v>157</v>
      </c>
      <c r="E395" s="278">
        <v>13.9</v>
      </c>
      <c r="F395" s="279">
        <v>69.599999999999994</v>
      </c>
      <c r="G395" s="280" t="str" cm="1">
        <f t="array" aca="1" ref="G395" ca="1">INDIRECT("'"&amp;$C395&amp;"'!"&amp;"$"&amp;$D395&amp;$E$1&amp;"")</f>
        <v>CMS</v>
      </c>
      <c r="H395" s="281" t="s">
        <v>1</v>
      </c>
      <c r="I395" s="279" t="s">
        <v>1</v>
      </c>
      <c r="J395" s="280" t="str" cm="1">
        <f t="array" aca="1" ref="J395" ca="1">INDIRECT("'"&amp;$C395&amp;"'!"&amp;"$"&amp;$D395&amp;$J$1&amp;"")</f>
        <v>CMS</v>
      </c>
      <c r="K395" s="281"/>
      <c r="L395" s="281" t="s">
        <v>1</v>
      </c>
      <c r="M395" s="282" t="s">
        <v>1</v>
      </c>
      <c r="N395" s="278" cm="1">
        <f t="array" aca="1" ref="N395" ca="1">INDIRECT("'"&amp;$C395&amp;"'!"&amp;"$"&amp;$D395&amp;$N$1&amp;"")</f>
        <v>6.8</v>
      </c>
      <c r="O395" s="281"/>
      <c r="P395" s="281">
        <v>0.94</v>
      </c>
      <c r="Q395" s="279">
        <v>2.57</v>
      </c>
      <c r="R395" s="468" cm="1">
        <f t="array" aca="1" ref="R395" ca="1">INDIRECT("'"&amp;$C395&amp;"'!"&amp;"$"&amp;$D395&amp;$R$1&amp;"")</f>
        <v>6.8</v>
      </c>
      <c r="S395" s="281"/>
      <c r="T395" s="281">
        <v>0.94</v>
      </c>
      <c r="U395" s="279">
        <v>2.57</v>
      </c>
      <c r="V395" s="280" cm="1">
        <f t="array" aca="1" ref="V395" ca="1">INDIRECT("'"&amp;$C395&amp;"'!"&amp;"$"&amp;$D395&amp;$V$1&amp;"")</f>
        <v>2.8</v>
      </c>
      <c r="W395" s="281">
        <f>3.52*3.8</f>
        <v>13.375999999999999</v>
      </c>
      <c r="X395" s="281">
        <v>0.91</v>
      </c>
      <c r="Y395" s="282">
        <v>1.26</v>
      </c>
      <c r="Z395" s="278" t="str" cm="1">
        <f t="array" aca="1" ref="Z395" ca="1">INDIRECT("'"&amp;$C395&amp;"'!"&amp;"$"&amp;$D395&amp;$Z$1&amp;"")</f>
        <v>CMS</v>
      </c>
      <c r="AA395" s="281" t="s">
        <v>1</v>
      </c>
      <c r="AB395" s="281" t="s">
        <v>1</v>
      </c>
      <c r="AC395" s="279" t="s">
        <v>1</v>
      </c>
      <c r="AD395" s="280" cm="1">
        <f t="array" aca="1" ref="AD395" ca="1">INDIRECT("'"&amp;$C395&amp;"'!"&amp;"$"&amp;$D395&amp;$AD$1&amp;"")</f>
        <v>3.8</v>
      </c>
      <c r="AE395" s="281">
        <v>13.375999999999999</v>
      </c>
      <c r="AF395" s="281">
        <v>0.91</v>
      </c>
      <c r="AG395" s="279">
        <v>1.72</v>
      </c>
      <c r="AH395" s="278" cm="1">
        <f t="array" aca="1" ref="AH395" ca="1">INDIRECT("'"&amp;$C395&amp;"'!"&amp;"$"&amp;$D395&amp;$AH$1&amp;"")</f>
        <v>3.8</v>
      </c>
      <c r="AI395" s="281">
        <v>14.12</v>
      </c>
      <c r="AJ395" s="281">
        <v>0.98</v>
      </c>
      <c r="AK395" s="279">
        <v>0.73799999999999999</v>
      </c>
      <c r="AL395" s="278">
        <v>11.6</v>
      </c>
      <c r="AM395" s="282">
        <v>71.3</v>
      </c>
      <c r="AN395" s="278" cm="1">
        <f t="array" aca="1" ref="AN395" ca="1">INDIRECT("'"&amp;$C395&amp;"'!"&amp;"$"&amp;$D395&amp;$AL$1&amp;"")</f>
        <v>3.8</v>
      </c>
      <c r="AO395" s="281">
        <v>0.95</v>
      </c>
      <c r="AP395" s="279">
        <v>1.2</v>
      </c>
      <c r="AQ395" s="280" cm="1">
        <f t="array" aca="1" ref="AQ395" ca="1">INDIRECT("'"&amp;$C395&amp;"'!"&amp;"$"&amp;$D395&amp;$AQ$1&amp;"")</f>
        <v>0</v>
      </c>
      <c r="AR395" s="281" t="s">
        <v>1</v>
      </c>
      <c r="AS395" s="279" t="s">
        <v>1</v>
      </c>
      <c r="AT395" s="278">
        <v>14.1</v>
      </c>
      <c r="AU395" s="282">
        <v>70.900000000000006</v>
      </c>
      <c r="AV395" s="281" cm="1">
        <f t="array" aca="1" ref="AV395" ca="1">INDIRECT("'"&amp;$C395&amp;"'!"&amp;"$"&amp;$D395&amp;$AV$1&amp;"")</f>
        <v>0</v>
      </c>
      <c r="AW395" s="280">
        <v>13.7</v>
      </c>
      <c r="AX395" s="281" t="s">
        <v>1</v>
      </c>
      <c r="AY395" s="279" t="s">
        <v>1</v>
      </c>
      <c r="AZ395" s="281" cm="1">
        <f t="array" aca="1" ref="AZ395" ca="1">INDIRECT("'"&amp;$C395&amp;"'!"&amp;"$"&amp;$D395&amp;$AZ$1&amp;"")</f>
        <v>7</v>
      </c>
      <c r="BA395" s="280">
        <v>13.7</v>
      </c>
      <c r="BB395" s="281">
        <v>0.94</v>
      </c>
      <c r="BC395" s="279">
        <v>2.25</v>
      </c>
      <c r="BD395" s="283">
        <v>14.2</v>
      </c>
      <c r="BE395" s="282">
        <v>71.900000000000006</v>
      </c>
      <c r="BF395" s="283" cm="1">
        <f t="array" aca="1" ref="BF395" ca="1">INDIRECT("'"&amp;$C395&amp;"'!"&amp;"$"&amp;$D395&amp;$BF$1&amp;"")</f>
        <v>14.27</v>
      </c>
      <c r="BG395" s="281">
        <v>0.99</v>
      </c>
      <c r="BH395" s="279">
        <v>2.2999999999999998</v>
      </c>
      <c r="BI395" s="524">
        <v>68.2</v>
      </c>
      <c r="BJ395" s="278" cm="1">
        <f t="array" aca="1" ref="BJ395" ca="1">INDIRECT("'"&amp;$C395&amp;"'!"&amp;"$"&amp;$D395&amp;$BI$1&amp;"")</f>
        <v>1.5</v>
      </c>
      <c r="BK395" s="280">
        <v>0.96</v>
      </c>
      <c r="BL395" s="279">
        <v>0.42</v>
      </c>
      <c r="BM395" s="283" cm="1">
        <f t="array" aca="1" ref="BM395" ca="1">INDIRECT("'"&amp;$C395&amp;"'!"&amp;"$"&amp;$D395&amp;$BM$1&amp;"")</f>
        <v>1.1100000000000001</v>
      </c>
      <c r="BN395" s="281"/>
      <c r="BO395" s="281">
        <v>0.99</v>
      </c>
      <c r="BP395" s="279">
        <v>0.13</v>
      </c>
      <c r="BQ395" s="284" cm="1">
        <f t="array" aca="1" ref="BQ395" ca="1">INDIRECT("'"&amp;$C395&amp;"'!"&amp;"$"&amp;$D395&amp;$BQ$1&amp;"")</f>
        <v>0.56000000000000005</v>
      </c>
      <c r="BR395" s="281"/>
      <c r="BS395" s="281">
        <v>0.97</v>
      </c>
      <c r="BT395" s="279">
        <v>0.12</v>
      </c>
      <c r="BU395" s="284" cm="1">
        <f t="array" aca="1" ref="BU395" ca="1">INDIRECT("'"&amp;$C395&amp;"'!"&amp;"$"&amp;$D395&amp;74&amp;"")</f>
        <v>0</v>
      </c>
      <c r="BV395" s="281"/>
      <c r="BW395" s="281" t="s">
        <v>1</v>
      </c>
      <c r="BX395" s="279" t="s">
        <v>1</v>
      </c>
    </row>
    <row r="396" spans="1:76">
      <c r="A396" s="459">
        <v>45854</v>
      </c>
      <c r="B396" s="345">
        <v>0.66666666666666696</v>
      </c>
      <c r="C396" s="305">
        <v>16</v>
      </c>
      <c r="D396" s="306" t="s">
        <v>158</v>
      </c>
      <c r="E396" s="285">
        <v>13.9</v>
      </c>
      <c r="F396" s="286">
        <v>69.64</v>
      </c>
      <c r="G396" s="287" t="str" cm="1">
        <f t="array" aca="1" ref="G396" ca="1">INDIRECT("'"&amp;$C396&amp;"'!"&amp;"$"&amp;$D396&amp;$E$1&amp;"")</f>
        <v>CMS</v>
      </c>
      <c r="H396" s="288" t="s">
        <v>1</v>
      </c>
      <c r="I396" s="286" t="s">
        <v>1</v>
      </c>
      <c r="J396" s="287" t="str" cm="1">
        <f t="array" aca="1" ref="J396" ca="1">INDIRECT("'"&amp;$C396&amp;"'!"&amp;"$"&amp;$D396&amp;$J$1&amp;"")</f>
        <v>CMS</v>
      </c>
      <c r="K396" s="288"/>
      <c r="L396" s="288" t="s">
        <v>1</v>
      </c>
      <c r="M396" s="289" t="s">
        <v>1</v>
      </c>
      <c r="N396" s="285" cm="1">
        <f t="array" aca="1" ref="N396" ca="1">INDIRECT("'"&amp;$C396&amp;"'!"&amp;"$"&amp;$D396&amp;$N$1&amp;"")</f>
        <v>6.7</v>
      </c>
      <c r="O396" s="288"/>
      <c r="P396" s="288">
        <v>0.94</v>
      </c>
      <c r="Q396" s="286">
        <v>2.5</v>
      </c>
      <c r="R396" s="469" cm="1">
        <f t="array" aca="1" ref="R396" ca="1">INDIRECT("'"&amp;$C396&amp;"'!"&amp;"$"&amp;$D396&amp;$R$1&amp;"")</f>
        <v>6.7</v>
      </c>
      <c r="S396" s="288"/>
      <c r="T396" s="288">
        <v>0.94</v>
      </c>
      <c r="U396" s="286">
        <v>2.54</v>
      </c>
      <c r="V396" s="287" cm="1">
        <f t="array" aca="1" ref="V396" ca="1">INDIRECT("'"&amp;$C396&amp;"'!"&amp;"$"&amp;$D396&amp;$V$1&amp;"")</f>
        <v>2.8</v>
      </c>
      <c r="W396" s="288">
        <f>3.6*3.8</f>
        <v>13.68</v>
      </c>
      <c r="X396" s="288">
        <v>0.91</v>
      </c>
      <c r="Y396" s="289">
        <v>1.23</v>
      </c>
      <c r="Z396" s="285" t="str" cm="1">
        <f t="array" aca="1" ref="Z396" ca="1">INDIRECT("'"&amp;$C396&amp;"'!"&amp;"$"&amp;$D396&amp;$Z$1&amp;"")</f>
        <v>CMS</v>
      </c>
      <c r="AA396" s="288" t="s">
        <v>1</v>
      </c>
      <c r="AB396" s="288" t="s">
        <v>1</v>
      </c>
      <c r="AC396" s="286" t="s">
        <v>1</v>
      </c>
      <c r="AD396" s="287" cm="1">
        <f t="array" aca="1" ref="AD396" ca="1">INDIRECT("'"&amp;$C396&amp;"'!"&amp;"$"&amp;$D396&amp;$AD$1&amp;"")</f>
        <v>3.8</v>
      </c>
      <c r="AE396" s="288">
        <v>13.68</v>
      </c>
      <c r="AF396" s="288">
        <v>0.91</v>
      </c>
      <c r="AG396" s="289">
        <v>1.69</v>
      </c>
      <c r="AH396" s="285" cm="1">
        <f t="array" aca="1" ref="AH396" ca="1">INDIRECT("'"&amp;$C396&amp;"'!"&amp;"$"&amp;$D396&amp;$AH$1&amp;"")</f>
        <v>3.8</v>
      </c>
      <c r="AI396" s="288">
        <v>14.16</v>
      </c>
      <c r="AJ396" s="288">
        <v>0.98</v>
      </c>
      <c r="AK396" s="286">
        <v>0.621</v>
      </c>
      <c r="AL396" s="285">
        <v>11.6</v>
      </c>
      <c r="AM396" s="289">
        <v>71.3</v>
      </c>
      <c r="AN396" s="285" cm="1">
        <f t="array" aca="1" ref="AN396" ca="1">INDIRECT("'"&amp;$C396&amp;"'!"&amp;"$"&amp;$D396&amp;$AL$1&amp;"")</f>
        <v>0</v>
      </c>
      <c r="AO396" s="288" t="s">
        <v>1</v>
      </c>
      <c r="AP396" s="286" t="s">
        <v>1</v>
      </c>
      <c r="AQ396" s="287" cm="1">
        <f t="array" aca="1" ref="AQ396" ca="1">INDIRECT("'"&amp;$C396&amp;"'!"&amp;"$"&amp;$D396&amp;$AQ$1&amp;"")</f>
        <v>3.8</v>
      </c>
      <c r="AR396" s="288">
        <v>0.96</v>
      </c>
      <c r="AS396" s="286">
        <v>1</v>
      </c>
      <c r="AT396" s="285">
        <v>14.1</v>
      </c>
      <c r="AU396" s="289">
        <v>70.900000000000006</v>
      </c>
      <c r="AV396" s="288" cm="1">
        <f t="array" aca="1" ref="AV396" ca="1">INDIRECT("'"&amp;$C396&amp;"'!"&amp;"$"&amp;$D396&amp;$AV$1&amp;"")</f>
        <v>0</v>
      </c>
      <c r="AW396" s="287" t="s">
        <v>1</v>
      </c>
      <c r="AX396" s="288" t="s">
        <v>1</v>
      </c>
      <c r="AY396" s="286" t="s">
        <v>1</v>
      </c>
      <c r="AZ396" s="288" cm="1">
        <f t="array" aca="1" ref="AZ396" ca="1">INDIRECT("'"&amp;$C396&amp;"'!"&amp;"$"&amp;$D396&amp;$AZ$1&amp;"")</f>
        <v>7</v>
      </c>
      <c r="BA396" s="287" t="s">
        <v>1</v>
      </c>
      <c r="BB396" s="288">
        <v>0.94</v>
      </c>
      <c r="BC396" s="286">
        <v>2.5499999999999998</v>
      </c>
      <c r="BD396" s="290">
        <v>14.2</v>
      </c>
      <c r="BE396" s="289">
        <v>71.900000000000006</v>
      </c>
      <c r="BF396" s="290" cm="1">
        <f t="array" aca="1" ref="BF396" ca="1">INDIRECT("'"&amp;$C396&amp;"'!"&amp;"$"&amp;$D396&amp;$BF$1&amp;"")</f>
        <v>14.27</v>
      </c>
      <c r="BG396" s="288">
        <v>0.99</v>
      </c>
      <c r="BH396" s="286">
        <v>2.2999999999999998</v>
      </c>
      <c r="BI396" s="525">
        <v>68.2</v>
      </c>
      <c r="BJ396" s="285" cm="1">
        <f t="array" aca="1" ref="BJ396" ca="1">INDIRECT("'"&amp;$C396&amp;"'!"&amp;"$"&amp;$D396&amp;$BI$1&amp;"")</f>
        <v>1.5</v>
      </c>
      <c r="BK396" s="287">
        <v>0.96</v>
      </c>
      <c r="BL396" s="286">
        <v>0.43</v>
      </c>
      <c r="BM396" s="290" cm="1">
        <f t="array" aca="1" ref="BM396" ca="1">INDIRECT("'"&amp;$C396&amp;"'!"&amp;"$"&amp;$D396&amp;$BM$1&amp;"")</f>
        <v>1.1200000000000001</v>
      </c>
      <c r="BN396" s="288"/>
      <c r="BO396" s="288">
        <v>0.99</v>
      </c>
      <c r="BP396" s="286">
        <v>0.13</v>
      </c>
      <c r="BQ396" s="291" cm="1">
        <f t="array" aca="1" ref="BQ396" ca="1">INDIRECT("'"&amp;$C396&amp;"'!"&amp;"$"&amp;$D396&amp;$BQ$1&amp;"")</f>
        <v>0.55000000000000004</v>
      </c>
      <c r="BR396" s="288"/>
      <c r="BS396" s="288">
        <v>0.97</v>
      </c>
      <c r="BT396" s="286">
        <v>0.12</v>
      </c>
      <c r="BU396" s="291" cm="1">
        <f t="array" aca="1" ref="BU396" ca="1">INDIRECT("'"&amp;$C396&amp;"'!"&amp;"$"&amp;$D396&amp;74&amp;"")</f>
        <v>0</v>
      </c>
      <c r="BV396" s="288"/>
      <c r="BW396" s="288" t="s">
        <v>1</v>
      </c>
      <c r="BX396" s="286" t="s">
        <v>1</v>
      </c>
    </row>
    <row r="397" spans="1:76">
      <c r="A397" s="459">
        <v>45854</v>
      </c>
      <c r="B397" s="345">
        <v>0.70833333333333404</v>
      </c>
      <c r="C397" s="305">
        <v>16</v>
      </c>
      <c r="D397" s="306" t="s">
        <v>159</v>
      </c>
      <c r="E397" s="278">
        <v>13.9</v>
      </c>
      <c r="F397" s="279">
        <v>69.510000000000005</v>
      </c>
      <c r="G397" s="280" t="str" cm="1">
        <f t="array" aca="1" ref="G397" ca="1">INDIRECT("'"&amp;$C397&amp;"'!"&amp;"$"&amp;$D397&amp;$E$1&amp;"")</f>
        <v>CMS</v>
      </c>
      <c r="H397" s="281" t="s">
        <v>1</v>
      </c>
      <c r="I397" s="279" t="s">
        <v>1</v>
      </c>
      <c r="J397" s="280" t="str" cm="1">
        <f t="array" aca="1" ref="J397" ca="1">INDIRECT("'"&amp;$C397&amp;"'!"&amp;"$"&amp;$D397&amp;$J$1&amp;"")</f>
        <v>CMS</v>
      </c>
      <c r="K397" s="281"/>
      <c r="L397" s="281" t="s">
        <v>1</v>
      </c>
      <c r="M397" s="282" t="s">
        <v>1</v>
      </c>
      <c r="N397" s="278" cm="1">
        <f t="array" aca="1" ref="N397" ca="1">INDIRECT("'"&amp;$C397&amp;"'!"&amp;"$"&amp;$D397&amp;$N$1&amp;"")</f>
        <v>6.7</v>
      </c>
      <c r="O397" s="281"/>
      <c r="P397" s="281">
        <v>0.93</v>
      </c>
      <c r="Q397" s="279">
        <v>2.64</v>
      </c>
      <c r="R397" s="468" cm="1">
        <f t="array" aca="1" ref="R397" ca="1">INDIRECT("'"&amp;$C397&amp;"'!"&amp;"$"&amp;$D397&amp;$R$1&amp;"")</f>
        <v>6.7</v>
      </c>
      <c r="S397" s="281"/>
      <c r="T397" s="281">
        <v>0.93</v>
      </c>
      <c r="U397" s="279">
        <v>2.61</v>
      </c>
      <c r="V397" s="280" cm="1">
        <f t="array" aca="1" ref="V397" ca="1">INDIRECT("'"&amp;$C397&amp;"'!"&amp;"$"&amp;$D397&amp;$V$1&amp;"")</f>
        <v>2.8</v>
      </c>
      <c r="W397" s="281">
        <f>3.57*3.8</f>
        <v>13.565999999999999</v>
      </c>
      <c r="X397" s="281">
        <v>0.91</v>
      </c>
      <c r="Y397" s="282">
        <v>1.25</v>
      </c>
      <c r="Z397" s="278" t="str" cm="1">
        <f t="array" aca="1" ref="Z397" ca="1">INDIRECT("'"&amp;$C397&amp;"'!"&amp;"$"&amp;$D397&amp;$Z$1&amp;"")</f>
        <v>CMS</v>
      </c>
      <c r="AA397" s="281" t="s">
        <v>1</v>
      </c>
      <c r="AB397" s="281" t="s">
        <v>1</v>
      </c>
      <c r="AC397" s="279" t="s">
        <v>1</v>
      </c>
      <c r="AD397" s="280" cm="1">
        <f t="array" aca="1" ref="AD397" ca="1">INDIRECT("'"&amp;$C397&amp;"'!"&amp;"$"&amp;$D397&amp;$AD$1&amp;"")</f>
        <v>3.8</v>
      </c>
      <c r="AE397" s="281">
        <v>13.565999999999999</v>
      </c>
      <c r="AF397" s="281">
        <v>0.91</v>
      </c>
      <c r="AG397" s="282">
        <v>1.7</v>
      </c>
      <c r="AH397" s="278" cm="1">
        <f t="array" aca="1" ref="AH397" ca="1">INDIRECT("'"&amp;$C397&amp;"'!"&amp;"$"&amp;$D397&amp;$AH$1&amp;"")</f>
        <v>3.8</v>
      </c>
      <c r="AI397" s="281">
        <v>14.12</v>
      </c>
      <c r="AJ397" s="281">
        <v>0.99</v>
      </c>
      <c r="AK397" s="279">
        <v>0.50600000000000001</v>
      </c>
      <c r="AL397" s="278">
        <v>11.6</v>
      </c>
      <c r="AM397" s="282">
        <v>71.2</v>
      </c>
      <c r="AN397" s="278" cm="1">
        <f t="array" aca="1" ref="AN397" ca="1">INDIRECT("'"&amp;$C397&amp;"'!"&amp;"$"&amp;$D397&amp;$AL$1&amp;"")</f>
        <v>0</v>
      </c>
      <c r="AO397" s="281" t="s">
        <v>1</v>
      </c>
      <c r="AP397" s="279" t="s">
        <v>1</v>
      </c>
      <c r="AQ397" s="280" cm="1">
        <f t="array" aca="1" ref="AQ397" ca="1">INDIRECT("'"&amp;$C397&amp;"'!"&amp;"$"&amp;$D397&amp;$AQ$1&amp;"")</f>
        <v>3.8</v>
      </c>
      <c r="AR397" s="281">
        <v>0.97</v>
      </c>
      <c r="AS397" s="279">
        <v>0.8</v>
      </c>
      <c r="AT397" s="278">
        <v>14.1</v>
      </c>
      <c r="AU397" s="282">
        <v>71</v>
      </c>
      <c r="AV397" s="281" cm="1">
        <f t="array" aca="1" ref="AV397" ca="1">INDIRECT("'"&amp;$C397&amp;"'!"&amp;"$"&amp;$D397&amp;$AV$1&amp;"")</f>
        <v>0</v>
      </c>
      <c r="AW397" s="280" t="s">
        <v>1</v>
      </c>
      <c r="AX397" s="281" t="s">
        <v>1</v>
      </c>
      <c r="AY397" s="279" t="s">
        <v>1</v>
      </c>
      <c r="AZ397" s="281" cm="1">
        <f t="array" aca="1" ref="AZ397" ca="1">INDIRECT("'"&amp;$C397&amp;"'!"&amp;"$"&amp;$D397&amp;$AZ$1&amp;"")</f>
        <v>7</v>
      </c>
      <c r="BA397" s="280" t="s">
        <v>1</v>
      </c>
      <c r="BB397" s="281">
        <v>0.95</v>
      </c>
      <c r="BC397" s="279">
        <v>2.39</v>
      </c>
      <c r="BD397" s="283">
        <v>14.22</v>
      </c>
      <c r="BE397" s="282">
        <v>71.959999999999994</v>
      </c>
      <c r="BF397" s="283" cm="1">
        <f t="array" aca="1" ref="BF397" ca="1">INDIRECT("'"&amp;$C397&amp;"'!"&amp;"$"&amp;$D397&amp;$BF$1&amp;"")</f>
        <v>14.27</v>
      </c>
      <c r="BG397" s="281">
        <v>0.99</v>
      </c>
      <c r="BH397" s="279">
        <v>2.2999999999999998</v>
      </c>
      <c r="BI397" s="524">
        <v>68.099999999999994</v>
      </c>
      <c r="BJ397" s="278" cm="1">
        <f t="array" aca="1" ref="BJ397" ca="1">INDIRECT("'"&amp;$C397&amp;"'!"&amp;"$"&amp;$D397&amp;$BI$1&amp;"")</f>
        <v>0</v>
      </c>
      <c r="BK397" s="280" t="s">
        <v>1</v>
      </c>
      <c r="BL397" s="279" t="s">
        <v>1</v>
      </c>
      <c r="BM397" s="283" cm="1">
        <f t="array" aca="1" ref="BM397" ca="1">INDIRECT("'"&amp;$C397&amp;"'!"&amp;"$"&amp;$D397&amp;$BM$1&amp;"")</f>
        <v>1</v>
      </c>
      <c r="BN397" s="281"/>
      <c r="BO397" s="281">
        <v>0.99</v>
      </c>
      <c r="BP397" s="279">
        <v>0.13</v>
      </c>
      <c r="BQ397" s="284" cm="1">
        <f t="array" aca="1" ref="BQ397" ca="1">INDIRECT("'"&amp;$C397&amp;"'!"&amp;"$"&amp;$D397&amp;$BQ$1&amp;"")</f>
        <v>0.56999999999999995</v>
      </c>
      <c r="BR397" s="281"/>
      <c r="BS397" s="281">
        <v>0.97</v>
      </c>
      <c r="BT397" s="279">
        <v>0.12</v>
      </c>
      <c r="BU397" s="284" cm="1">
        <f t="array" aca="1" ref="BU397" ca="1">INDIRECT("'"&amp;$C397&amp;"'!"&amp;"$"&amp;$D397&amp;74&amp;"")</f>
        <v>0</v>
      </c>
      <c r="BV397" s="281"/>
      <c r="BW397" s="281" t="s">
        <v>1</v>
      </c>
      <c r="BX397" s="279" t="s">
        <v>1</v>
      </c>
    </row>
    <row r="398" spans="1:76">
      <c r="A398" s="459">
        <v>45854</v>
      </c>
      <c r="B398" s="345">
        <v>0.750000000000001</v>
      </c>
      <c r="C398" s="305">
        <v>16</v>
      </c>
      <c r="D398" s="306" t="s">
        <v>160</v>
      </c>
      <c r="E398" s="285">
        <v>13.9</v>
      </c>
      <c r="F398" s="286">
        <v>69.56</v>
      </c>
      <c r="G398" s="287" t="str" cm="1">
        <f t="array" aca="1" ref="G398" ca="1">INDIRECT("'"&amp;$C398&amp;"'!"&amp;"$"&amp;$D398&amp;$E$1&amp;"")</f>
        <v>CMS</v>
      </c>
      <c r="H398" s="288" t="s">
        <v>1</v>
      </c>
      <c r="I398" s="286" t="s">
        <v>1</v>
      </c>
      <c r="J398" s="287" t="str" cm="1">
        <f t="array" aca="1" ref="J398" ca="1">INDIRECT("'"&amp;$C398&amp;"'!"&amp;"$"&amp;$D398&amp;$J$1&amp;"")</f>
        <v>CMS</v>
      </c>
      <c r="K398" s="288"/>
      <c r="L398" s="288" t="s">
        <v>1</v>
      </c>
      <c r="M398" s="289" t="s">
        <v>1</v>
      </c>
      <c r="N398" s="285" cm="1">
        <f t="array" aca="1" ref="N398" ca="1">INDIRECT("'"&amp;$C398&amp;"'!"&amp;"$"&amp;$D398&amp;$N$1&amp;"")</f>
        <v>6.7</v>
      </c>
      <c r="O398" s="288"/>
      <c r="P398" s="288">
        <v>0.94</v>
      </c>
      <c r="Q398" s="286">
        <v>2.5099999999999998</v>
      </c>
      <c r="R398" s="285" cm="1">
        <f t="array" aca="1" ref="R398" ca="1">INDIRECT("'"&amp;$C398&amp;"'!"&amp;"$"&amp;$D398&amp;$R$1&amp;"")</f>
        <v>6.7</v>
      </c>
      <c r="S398" s="288"/>
      <c r="T398" s="288">
        <v>0.94</v>
      </c>
      <c r="U398" s="286">
        <v>2.5</v>
      </c>
      <c r="V398" s="287" cm="1">
        <f t="array" aca="1" ref="V398" ca="1">INDIRECT("'"&amp;$C398&amp;"'!"&amp;"$"&amp;$D398&amp;$V$1&amp;"")</f>
        <v>2</v>
      </c>
      <c r="W398" s="288">
        <f>3.57*3.8</f>
        <v>13.565999999999999</v>
      </c>
      <c r="X398" s="288">
        <v>0.91</v>
      </c>
      <c r="Y398" s="289">
        <v>1.1499999999999999</v>
      </c>
      <c r="Z398" s="285" t="str" cm="1">
        <f t="array" aca="1" ref="Z398" ca="1">INDIRECT("'"&amp;$C398&amp;"'!"&amp;"$"&amp;$D398&amp;$Z$1&amp;"")</f>
        <v>CMS</v>
      </c>
      <c r="AA398" s="288" t="s">
        <v>1</v>
      </c>
      <c r="AB398" s="288" t="s">
        <v>1</v>
      </c>
      <c r="AC398" s="286" t="s">
        <v>1</v>
      </c>
      <c r="AD398" s="287" cm="1">
        <f t="array" aca="1" ref="AD398" ca="1">INDIRECT("'"&amp;$C398&amp;"'!"&amp;"$"&amp;$D398&amp;$AD$1&amp;"")</f>
        <v>3</v>
      </c>
      <c r="AE398" s="288">
        <v>13.565999999999999</v>
      </c>
      <c r="AF398" s="288">
        <v>0.91</v>
      </c>
      <c r="AG398" s="289">
        <v>1.6</v>
      </c>
      <c r="AH398" s="285" cm="1">
        <f t="array" aca="1" ref="AH398" ca="1">INDIRECT("'"&amp;$C398&amp;"'!"&amp;"$"&amp;$D398&amp;$AH$1&amp;"")</f>
        <v>3.8</v>
      </c>
      <c r="AI398" s="288">
        <v>14.16</v>
      </c>
      <c r="AJ398" s="288">
        <v>0.99</v>
      </c>
      <c r="AK398" s="286">
        <v>0.55900000000000005</v>
      </c>
      <c r="AL398" s="285">
        <v>11.6</v>
      </c>
      <c r="AM398" s="289">
        <v>71</v>
      </c>
      <c r="AN398" s="285" cm="1">
        <f t="array" aca="1" ref="AN398" ca="1">INDIRECT("'"&amp;$C398&amp;"'!"&amp;"$"&amp;$D398&amp;$AL$1&amp;"")</f>
        <v>0</v>
      </c>
      <c r="AO398" s="288" t="s">
        <v>1</v>
      </c>
      <c r="AP398" s="286" t="s">
        <v>1</v>
      </c>
      <c r="AQ398" s="287" cm="1">
        <f t="array" aca="1" ref="AQ398" ca="1">INDIRECT("'"&amp;$C398&amp;"'!"&amp;"$"&amp;$D398&amp;$AQ$1&amp;"")</f>
        <v>3.6</v>
      </c>
      <c r="AR398" s="288">
        <v>0.98</v>
      </c>
      <c r="AS398" s="286">
        <v>0.73</v>
      </c>
      <c r="AT398" s="285">
        <v>14.1</v>
      </c>
      <c r="AU398" s="289">
        <v>71</v>
      </c>
      <c r="AV398" s="288" cm="1">
        <f t="array" aca="1" ref="AV398" ca="1">INDIRECT("'"&amp;$C398&amp;"'!"&amp;"$"&amp;$D398&amp;$AV$1&amp;"")</f>
        <v>0</v>
      </c>
      <c r="AW398" s="287" t="s">
        <v>1</v>
      </c>
      <c r="AX398" s="288" t="s">
        <v>1</v>
      </c>
      <c r="AY398" s="286" t="s">
        <v>1</v>
      </c>
      <c r="AZ398" s="288" cm="1">
        <f t="array" aca="1" ref="AZ398" ca="1">INDIRECT("'"&amp;$C398&amp;"'!"&amp;"$"&amp;$D398&amp;$AZ$1&amp;"")</f>
        <v>7</v>
      </c>
      <c r="BA398" s="287" t="s">
        <v>1</v>
      </c>
      <c r="BB398" s="288">
        <v>0.95</v>
      </c>
      <c r="BC398" s="286">
        <v>2.2999999999999998</v>
      </c>
      <c r="BD398" s="290">
        <v>14.25</v>
      </c>
      <c r="BE398" s="289">
        <v>72.02</v>
      </c>
      <c r="BF398" s="290" cm="1">
        <f t="array" aca="1" ref="BF398" ca="1">INDIRECT("'"&amp;$C398&amp;"'!"&amp;"$"&amp;$D398&amp;$BF$1&amp;"")</f>
        <v>14.23</v>
      </c>
      <c r="BG398" s="288">
        <v>0.99</v>
      </c>
      <c r="BH398" s="286">
        <v>2.2999999999999998</v>
      </c>
      <c r="BI398" s="525">
        <v>68.2</v>
      </c>
      <c r="BJ398" s="285" cm="1">
        <f t="array" aca="1" ref="BJ398" ca="1">INDIRECT("'"&amp;$C398&amp;"'!"&amp;"$"&amp;$D398&amp;$BI$1&amp;"")</f>
        <v>0</v>
      </c>
      <c r="BK398" s="287" t="s">
        <v>1</v>
      </c>
      <c r="BL398" s="286" t="s">
        <v>1</v>
      </c>
      <c r="BM398" s="290" cm="1">
        <f t="array" aca="1" ref="BM398" ca="1">INDIRECT("'"&amp;$C398&amp;"'!"&amp;"$"&amp;$D398&amp;$BM$1&amp;"")</f>
        <v>1.1100000000000001</v>
      </c>
      <c r="BN398" s="288"/>
      <c r="BO398" s="288">
        <v>0.99</v>
      </c>
      <c r="BP398" s="286">
        <v>0.13</v>
      </c>
      <c r="BQ398" s="291" cm="1">
        <f t="array" aca="1" ref="BQ398" ca="1">INDIRECT("'"&amp;$C398&amp;"'!"&amp;"$"&amp;$D398&amp;$BQ$1&amp;"")</f>
        <v>0.68</v>
      </c>
      <c r="BR398" s="288"/>
      <c r="BS398" s="288">
        <v>0.97</v>
      </c>
      <c r="BT398" s="286">
        <v>0.15</v>
      </c>
      <c r="BU398" s="291" cm="1">
        <f t="array" aca="1" ref="BU398" ca="1">INDIRECT("'"&amp;$C398&amp;"'!"&amp;"$"&amp;$D398&amp;74&amp;"")</f>
        <v>0</v>
      </c>
      <c r="BV398" s="288"/>
      <c r="BW398" s="288" t="s">
        <v>1</v>
      </c>
      <c r="BX398" s="286" t="s">
        <v>1</v>
      </c>
    </row>
    <row r="399" spans="1:76">
      <c r="A399" s="459">
        <v>45854</v>
      </c>
      <c r="B399" s="345">
        <v>0.79166666666666696</v>
      </c>
      <c r="C399" s="305">
        <v>16</v>
      </c>
      <c r="D399" s="306" t="s">
        <v>161</v>
      </c>
      <c r="E399" s="278">
        <v>13.9</v>
      </c>
      <c r="F399" s="279">
        <v>69.61</v>
      </c>
      <c r="G399" s="280" t="str" cm="1">
        <f t="array" aca="1" ref="G399" ca="1">INDIRECT("'"&amp;$C399&amp;"'!"&amp;"$"&amp;$D399&amp;$E$1&amp;"")</f>
        <v>CMS</v>
      </c>
      <c r="H399" s="281" t="s">
        <v>1</v>
      </c>
      <c r="I399" s="279" t="s">
        <v>1</v>
      </c>
      <c r="J399" s="280" cm="1">
        <f t="array" aca="1" ref="J399" ca="1">INDIRECT("'"&amp;$C399&amp;"'!"&amp;"$"&amp;$D399&amp;$J$1&amp;"")</f>
        <v>6</v>
      </c>
      <c r="K399" s="292"/>
      <c r="L399" s="281">
        <v>0.97</v>
      </c>
      <c r="M399" s="282">
        <v>1.45</v>
      </c>
      <c r="N399" s="278" cm="1">
        <f t="array" aca="1" ref="N399" ca="1">INDIRECT("'"&amp;$C399&amp;"'!"&amp;"$"&amp;$D399&amp;$N$1&amp;"")</f>
        <v>5.2</v>
      </c>
      <c r="O399" s="281"/>
      <c r="P399" s="281">
        <v>0.97</v>
      </c>
      <c r="Q399" s="279">
        <v>1.24</v>
      </c>
      <c r="R399" s="468" cm="1">
        <f t="array" aca="1" ref="R399" ca="1">INDIRECT("'"&amp;$C399&amp;"'!"&amp;"$"&amp;$D399&amp;$R$1&amp;"")</f>
        <v>5.2</v>
      </c>
      <c r="S399" s="281"/>
      <c r="T399" s="281">
        <v>0.97</v>
      </c>
      <c r="U399" s="279">
        <v>1.22</v>
      </c>
      <c r="V399" s="280" cm="1">
        <f t="array" aca="1" ref="V399" ca="1">INDIRECT("'"&amp;$C399&amp;"'!"&amp;"$"&amp;$D399&amp;$V$1&amp;"")</f>
        <v>2.8</v>
      </c>
      <c r="W399" s="281">
        <v>13.528</v>
      </c>
      <c r="X399" s="281">
        <v>0.91</v>
      </c>
      <c r="Y399" s="282">
        <v>1.22</v>
      </c>
      <c r="Z399" s="278" t="str" cm="1">
        <f t="array" aca="1" ref="Z399" ca="1">INDIRECT("'"&amp;$C399&amp;"'!"&amp;"$"&amp;$D399&amp;$Z$1&amp;"")</f>
        <v>CMS</v>
      </c>
      <c r="AA399" s="281" t="s">
        <v>1</v>
      </c>
      <c r="AB399" s="281" t="s">
        <v>1</v>
      </c>
      <c r="AC399" s="279" t="s">
        <v>1</v>
      </c>
      <c r="AD399" s="280" cm="1">
        <f t="array" aca="1" ref="AD399" ca="1">INDIRECT("'"&amp;$C399&amp;"'!"&amp;"$"&amp;$D399&amp;$AD$1&amp;"")</f>
        <v>3.8</v>
      </c>
      <c r="AE399" s="281">
        <v>13.527999999999999</v>
      </c>
      <c r="AF399" s="281">
        <v>0.91</v>
      </c>
      <c r="AG399" s="282">
        <v>1.61</v>
      </c>
      <c r="AH399" s="278" cm="1">
        <f t="array" aca="1" ref="AH399" ca="1">INDIRECT("'"&amp;$C399&amp;"'!"&amp;"$"&amp;$D399&amp;$AH$1&amp;"")</f>
        <v>3.8</v>
      </c>
      <c r="AI399" s="281">
        <v>14.08</v>
      </c>
      <c r="AJ399" s="281">
        <v>0.97</v>
      </c>
      <c r="AK399" s="279">
        <v>0.78100000000000003</v>
      </c>
      <c r="AL399" s="278">
        <v>11.6</v>
      </c>
      <c r="AM399" s="282">
        <v>71</v>
      </c>
      <c r="AN399" s="278" cm="1">
        <f t="array" aca="1" ref="AN399" ca="1">INDIRECT("'"&amp;$C399&amp;"'!"&amp;"$"&amp;$D399&amp;$AL$1&amp;"")</f>
        <v>0</v>
      </c>
      <c r="AO399" s="281" t="s">
        <v>1</v>
      </c>
      <c r="AP399" s="279" t="s">
        <v>1</v>
      </c>
      <c r="AQ399" s="280" cm="1">
        <f t="array" aca="1" ref="AQ399" ca="1">INDIRECT("'"&amp;$C399&amp;"'!"&amp;"$"&amp;$D399&amp;$AQ$1&amp;"")</f>
        <v>3.8</v>
      </c>
      <c r="AR399" s="281">
        <v>0.97</v>
      </c>
      <c r="AS399" s="279">
        <v>0.88</v>
      </c>
      <c r="AT399" s="278">
        <v>14.1</v>
      </c>
      <c r="AU399" s="282">
        <v>71</v>
      </c>
      <c r="AV399" s="281" cm="1">
        <f t="array" aca="1" ref="AV399" ca="1">INDIRECT("'"&amp;$C399&amp;"'!"&amp;"$"&amp;$D399&amp;$AV$1&amp;"")</f>
        <v>0</v>
      </c>
      <c r="AW399" s="280">
        <v>13.7</v>
      </c>
      <c r="AX399" s="281" t="s">
        <v>1</v>
      </c>
      <c r="AY399" s="279" t="s">
        <v>1</v>
      </c>
      <c r="AZ399" s="281" cm="1">
        <f t="array" aca="1" ref="AZ399" ca="1">INDIRECT("'"&amp;$C399&amp;"'!"&amp;"$"&amp;$D399&amp;$AZ$1&amp;"")</f>
        <v>7</v>
      </c>
      <c r="BA399" s="280">
        <v>13.7</v>
      </c>
      <c r="BB399" s="281">
        <v>0.95</v>
      </c>
      <c r="BC399" s="279">
        <v>2.1</v>
      </c>
      <c r="BD399" s="283">
        <v>14.16</v>
      </c>
      <c r="BE399" s="282">
        <v>71.569999999999993</v>
      </c>
      <c r="BF399" s="283" cm="1">
        <f t="array" aca="1" ref="BF399" ca="1">INDIRECT("'"&amp;$C399&amp;"'!"&amp;"$"&amp;$D399&amp;$BF$1&amp;"")</f>
        <v>14.27</v>
      </c>
      <c r="BG399" s="281">
        <v>0.99</v>
      </c>
      <c r="BH399" s="279">
        <v>2.2999999999999998</v>
      </c>
      <c r="BI399" s="524">
        <v>68.2</v>
      </c>
      <c r="BJ399" s="278" cm="1">
        <f t="array" aca="1" ref="BJ399" ca="1">INDIRECT("'"&amp;$C399&amp;"'!"&amp;"$"&amp;$D399&amp;$BI$1&amp;"")</f>
        <v>0</v>
      </c>
      <c r="BK399" s="280" t="s">
        <v>1</v>
      </c>
      <c r="BL399" s="279" t="s">
        <v>1</v>
      </c>
      <c r="BM399" s="283" cm="1">
        <f t="array" aca="1" ref="BM399" ca="1">INDIRECT("'"&amp;$C399&amp;"'!"&amp;"$"&amp;$D399&amp;$BM$1&amp;"")</f>
        <v>1.25</v>
      </c>
      <c r="BN399" s="281"/>
      <c r="BO399" s="281">
        <v>0.99</v>
      </c>
      <c r="BP399" s="279">
        <v>0.14000000000000001</v>
      </c>
      <c r="BQ399" s="284" cm="1">
        <f t="array" aca="1" ref="BQ399" ca="1">INDIRECT("'"&amp;$C399&amp;"'!"&amp;"$"&amp;$D399&amp;$BQ$1&amp;"")</f>
        <v>0.62</v>
      </c>
      <c r="BR399" s="281"/>
      <c r="BS399" s="281">
        <v>0.96</v>
      </c>
      <c r="BT399" s="279">
        <v>0.12</v>
      </c>
      <c r="BU399" s="284" cm="1">
        <f t="array" aca="1" ref="BU399" ca="1">INDIRECT("'"&amp;$C399&amp;"'!"&amp;"$"&amp;$D399&amp;74&amp;"")</f>
        <v>0</v>
      </c>
      <c r="BV399" s="281"/>
      <c r="BW399" s="281" t="s">
        <v>1</v>
      </c>
      <c r="BX399" s="279" t="s">
        <v>1</v>
      </c>
    </row>
    <row r="400" spans="1:76">
      <c r="A400" s="459">
        <v>45854</v>
      </c>
      <c r="B400" s="345">
        <v>0.83333333333333337</v>
      </c>
      <c r="C400" s="305">
        <v>16</v>
      </c>
      <c r="D400" s="306" t="s">
        <v>162</v>
      </c>
      <c r="E400" s="285">
        <v>14</v>
      </c>
      <c r="F400" s="286">
        <v>69.5</v>
      </c>
      <c r="G400" s="287" t="str" cm="1">
        <f t="array" aca="1" ref="G400" ca="1">INDIRECT("'"&amp;$C400&amp;"'!"&amp;"$"&amp;$D400&amp;$E$1&amp;"")</f>
        <v>CMS</v>
      </c>
      <c r="H400" s="288" t="s">
        <v>1</v>
      </c>
      <c r="I400" s="286" t="s">
        <v>1</v>
      </c>
      <c r="J400" s="287" cm="1">
        <f t="array" aca="1" ref="J400" ca="1">INDIRECT("'"&amp;$C400&amp;"'!"&amp;"$"&amp;$D400&amp;$J$1&amp;"")</f>
        <v>6.6</v>
      </c>
      <c r="K400" s="288"/>
      <c r="L400" s="288">
        <v>0.97</v>
      </c>
      <c r="M400" s="289">
        <v>1.62</v>
      </c>
      <c r="N400" s="285" cm="1">
        <f t="array" aca="1" ref="N400" ca="1">INDIRECT("'"&amp;$C400&amp;"'!"&amp;"$"&amp;$D400&amp;$N$1&amp;"")</f>
        <v>6.6</v>
      </c>
      <c r="O400" s="288"/>
      <c r="P400" s="288">
        <v>0.97</v>
      </c>
      <c r="Q400" s="286">
        <v>1.62</v>
      </c>
      <c r="R400" s="285" cm="1">
        <f t="array" aca="1" ref="R400" ca="1">INDIRECT("'"&amp;$C400&amp;"'!"&amp;"$"&amp;$D400&amp;$R$1&amp;"")</f>
        <v>6.6</v>
      </c>
      <c r="S400" s="288"/>
      <c r="T400" s="288">
        <v>0.97</v>
      </c>
      <c r="U400" s="286">
        <v>1.62</v>
      </c>
      <c r="V400" s="287" cm="1">
        <f t="array" aca="1" ref="V400" ca="1">INDIRECT("'"&amp;$C400&amp;"'!"&amp;"$"&amp;$D400&amp;$V$1&amp;"")</f>
        <v>2.8</v>
      </c>
      <c r="W400" s="288">
        <f>3.8*3.51</f>
        <v>13.337999999999999</v>
      </c>
      <c r="X400" s="288">
        <v>0.91</v>
      </c>
      <c r="Y400" s="289">
        <v>1.22</v>
      </c>
      <c r="Z400" s="285" t="str" cm="1">
        <f t="array" aca="1" ref="Z400" ca="1">INDIRECT("'"&amp;$C400&amp;"'!"&amp;"$"&amp;$D400&amp;$Z$1&amp;"")</f>
        <v>CMS</v>
      </c>
      <c r="AA400" s="288" t="s">
        <v>1</v>
      </c>
      <c r="AB400" s="288" t="s">
        <v>1</v>
      </c>
      <c r="AC400" s="286" t="s">
        <v>1</v>
      </c>
      <c r="AD400" s="287" cm="1">
        <f t="array" aca="1" ref="AD400" ca="1">INDIRECT("'"&amp;$C400&amp;"'!"&amp;"$"&amp;$D400&amp;$AD$1&amp;"")</f>
        <v>0</v>
      </c>
      <c r="AE400" s="288" t="s">
        <v>1</v>
      </c>
      <c r="AF400" s="288" t="s">
        <v>1</v>
      </c>
      <c r="AG400" s="289" t="s">
        <v>1</v>
      </c>
      <c r="AH400" s="285" cm="1">
        <f t="array" aca="1" ref="AH400" ca="1">INDIRECT("'"&amp;$C400&amp;"'!"&amp;"$"&amp;$D400&amp;$AH$1&amp;"")</f>
        <v>0</v>
      </c>
      <c r="AI400" s="288" t="s">
        <v>1</v>
      </c>
      <c r="AJ400" s="288" t="s">
        <v>1</v>
      </c>
      <c r="AK400" s="286" t="s">
        <v>1</v>
      </c>
      <c r="AL400" s="285">
        <v>11.6</v>
      </c>
      <c r="AM400" s="289">
        <v>70.8</v>
      </c>
      <c r="AN400" s="285" cm="1">
        <f t="array" aca="1" ref="AN400" ca="1">INDIRECT("'"&amp;$C400&amp;"'!"&amp;"$"&amp;$D400&amp;$AL$1&amp;"")</f>
        <v>0</v>
      </c>
      <c r="AO400" s="288" t="s">
        <v>1</v>
      </c>
      <c r="AP400" s="286" t="s">
        <v>1</v>
      </c>
      <c r="AQ400" s="287" cm="1">
        <f t="array" aca="1" ref="AQ400" ca="1">INDIRECT("'"&amp;$C400&amp;"'!"&amp;"$"&amp;$D400&amp;$AQ$1&amp;"")</f>
        <v>3.8</v>
      </c>
      <c r="AR400" s="288">
        <v>0.97</v>
      </c>
      <c r="AS400" s="286">
        <v>0.92</v>
      </c>
      <c r="AT400" s="285">
        <v>13.9</v>
      </c>
      <c r="AU400" s="289">
        <v>70.8</v>
      </c>
      <c r="AV400" s="288" cm="1">
        <f t="array" aca="1" ref="AV400" ca="1">INDIRECT("'"&amp;$C400&amp;"'!"&amp;"$"&amp;$D400&amp;$AV$1&amp;"")</f>
        <v>0</v>
      </c>
      <c r="AW400" s="287" t="s">
        <v>1</v>
      </c>
      <c r="AX400" s="288" t="s">
        <v>1</v>
      </c>
      <c r="AY400" s="286" t="s">
        <v>1</v>
      </c>
      <c r="AZ400" s="288" cm="1">
        <f t="array" aca="1" ref="AZ400" ca="1">INDIRECT("'"&amp;$C400&amp;"'!"&amp;"$"&amp;$D400&amp;$AZ$1&amp;"")</f>
        <v>6.5</v>
      </c>
      <c r="BA400" s="287" t="s">
        <v>1</v>
      </c>
      <c r="BB400" s="288">
        <v>0.94</v>
      </c>
      <c r="BC400" s="286">
        <v>2.3199999999999998</v>
      </c>
      <c r="BD400" s="290">
        <v>14.17</v>
      </c>
      <c r="BE400" s="289">
        <v>71.650000000000006</v>
      </c>
      <c r="BF400" s="290" cm="1">
        <f t="array" aca="1" ref="BF400" ca="1">INDIRECT("'"&amp;$C400&amp;"'!"&amp;"$"&amp;$D400&amp;$BF$1&amp;"")</f>
        <v>14.29</v>
      </c>
      <c r="BG400" s="288">
        <v>0.99</v>
      </c>
      <c r="BH400" s="286">
        <v>2.2999999999999998</v>
      </c>
      <c r="BI400" s="525">
        <v>68.599999999999994</v>
      </c>
      <c r="BJ400" s="285" cm="1">
        <f t="array" aca="1" ref="BJ400" ca="1">INDIRECT("'"&amp;$C400&amp;"'!"&amp;"$"&amp;$D400&amp;$BI$1&amp;"")</f>
        <v>1.5</v>
      </c>
      <c r="BK400" s="287">
        <v>0.97</v>
      </c>
      <c r="BL400" s="286">
        <v>0.36</v>
      </c>
      <c r="BM400" s="290" cm="1">
        <f t="array" aca="1" ref="BM400" ca="1">INDIRECT("'"&amp;$C400&amp;"'!"&amp;"$"&amp;$D400&amp;$BM$1&amp;"")</f>
        <v>0</v>
      </c>
      <c r="BN400" s="288"/>
      <c r="BO400" s="288" t="s">
        <v>1</v>
      </c>
      <c r="BP400" s="286" t="s">
        <v>1</v>
      </c>
      <c r="BQ400" s="291" cm="1">
        <f t="array" aca="1" ref="BQ400" ca="1">INDIRECT("'"&amp;$C400&amp;"'!"&amp;"$"&amp;$D400&amp;$BQ$1&amp;"")</f>
        <v>0.85</v>
      </c>
      <c r="BR400" s="288"/>
      <c r="BS400" s="288">
        <v>0.97</v>
      </c>
      <c r="BT400" s="286">
        <v>0.2</v>
      </c>
      <c r="BU400" s="291" cm="1">
        <f t="array" aca="1" ref="BU400" ca="1">INDIRECT("'"&amp;$C400&amp;"'!"&amp;"$"&amp;$D400&amp;74&amp;"")</f>
        <v>0</v>
      </c>
      <c r="BV400" s="288"/>
      <c r="BW400" s="288" t="s">
        <v>1</v>
      </c>
      <c r="BX400" s="286" t="s">
        <v>1</v>
      </c>
    </row>
    <row r="401" spans="1:76">
      <c r="A401" s="459">
        <v>45854</v>
      </c>
      <c r="B401" s="345">
        <v>0.875000000000001</v>
      </c>
      <c r="C401" s="305">
        <v>16</v>
      </c>
      <c r="D401" s="306" t="s">
        <v>163</v>
      </c>
      <c r="E401" s="278">
        <v>13.9</v>
      </c>
      <c r="F401" s="279">
        <v>69.16</v>
      </c>
      <c r="G401" s="280" t="str" cm="1">
        <f t="array" aca="1" ref="G401" ca="1">INDIRECT("'"&amp;$C401&amp;"'!"&amp;"$"&amp;$D401&amp;$E$1&amp;"")</f>
        <v>CMS</v>
      </c>
      <c r="H401" s="281" t="s">
        <v>1</v>
      </c>
      <c r="I401" s="279" t="s">
        <v>1</v>
      </c>
      <c r="J401" s="280" cm="1">
        <f t="array" aca="1" ref="J401" ca="1">INDIRECT("'"&amp;$C401&amp;"'!"&amp;"$"&amp;$D401&amp;$J$1&amp;"")</f>
        <v>6.6</v>
      </c>
      <c r="K401" s="281"/>
      <c r="L401" s="281">
        <v>0.98</v>
      </c>
      <c r="M401" s="282">
        <v>1.45</v>
      </c>
      <c r="N401" s="278" cm="1">
        <f t="array" aca="1" ref="N401" ca="1">INDIRECT("'"&amp;$C401&amp;"'!"&amp;"$"&amp;$D401&amp;$N$1&amp;"")</f>
        <v>6.6</v>
      </c>
      <c r="O401" s="281"/>
      <c r="P401" s="281">
        <v>0.98</v>
      </c>
      <c r="Q401" s="279">
        <v>1.45</v>
      </c>
      <c r="R401" s="468" cm="1">
        <f t="array" aca="1" ref="R401" ca="1">INDIRECT("'"&amp;$C401&amp;"'!"&amp;"$"&amp;$D401&amp;$R$1&amp;"")</f>
        <v>6.6</v>
      </c>
      <c r="S401" s="281"/>
      <c r="T401" s="281">
        <v>0.98</v>
      </c>
      <c r="U401" s="279">
        <v>1.45</v>
      </c>
      <c r="V401" s="280" cm="1">
        <f t="array" aca="1" ref="V401" ca="1">INDIRECT("'"&amp;$C401&amp;"'!"&amp;"$"&amp;$D401&amp;$V$1&amp;"")</f>
        <v>0</v>
      </c>
      <c r="W401" s="281" t="s">
        <v>1</v>
      </c>
      <c r="X401" s="281" t="s">
        <v>1</v>
      </c>
      <c r="Y401" s="282" t="s">
        <v>1</v>
      </c>
      <c r="Z401" s="278" t="str" cm="1">
        <f t="array" aca="1" ref="Z401" ca="1">INDIRECT("'"&amp;$C401&amp;"'!"&amp;"$"&amp;$D401&amp;$Z$1&amp;"")</f>
        <v>CMS</v>
      </c>
      <c r="AA401" s="281" t="s">
        <v>1</v>
      </c>
      <c r="AB401" s="281" t="s">
        <v>1</v>
      </c>
      <c r="AC401" s="279" t="s">
        <v>1</v>
      </c>
      <c r="AD401" s="280" cm="1">
        <f t="array" aca="1" ref="AD401" ca="1">INDIRECT("'"&amp;$C401&amp;"'!"&amp;"$"&amp;$D401&amp;$AD$1&amp;"")</f>
        <v>0</v>
      </c>
      <c r="AE401" s="281" t="s">
        <v>1</v>
      </c>
      <c r="AF401" s="281" t="s">
        <v>1</v>
      </c>
      <c r="AG401" s="282" t="s">
        <v>1</v>
      </c>
      <c r="AH401" s="278" cm="1">
        <f t="array" aca="1" ref="AH401" ca="1">INDIRECT("'"&amp;$C401&amp;"'!"&amp;"$"&amp;$D401&amp;$AH$1&amp;"")</f>
        <v>0</v>
      </c>
      <c r="AI401" s="281" t="s">
        <v>1</v>
      </c>
      <c r="AJ401" s="281" t="s">
        <v>1</v>
      </c>
      <c r="AK401" s="279" t="s">
        <v>1</v>
      </c>
      <c r="AL401" s="278">
        <v>11.6</v>
      </c>
      <c r="AM401" s="282">
        <v>70.8</v>
      </c>
      <c r="AN401" s="278" cm="1">
        <f t="array" aca="1" ref="AN401" ca="1">INDIRECT("'"&amp;$C401&amp;"'!"&amp;"$"&amp;$D401&amp;$AL$1&amp;"")</f>
        <v>0</v>
      </c>
      <c r="AO401" s="281" t="s">
        <v>1</v>
      </c>
      <c r="AP401" s="279" t="s">
        <v>1</v>
      </c>
      <c r="AQ401" s="280" cm="1">
        <f t="array" aca="1" ref="AQ401" ca="1">INDIRECT("'"&amp;$C401&amp;"'!"&amp;"$"&amp;$D401&amp;$AQ$1&amp;"")</f>
        <v>3.7</v>
      </c>
      <c r="AR401" s="281">
        <v>0.98</v>
      </c>
      <c r="AS401" s="279">
        <v>0.51</v>
      </c>
      <c r="AT401" s="278">
        <v>13.95</v>
      </c>
      <c r="AU401" s="282">
        <v>70.8</v>
      </c>
      <c r="AV401" s="281" cm="1">
        <f t="array" aca="1" ref="AV401" ca="1">INDIRECT("'"&amp;$C401&amp;"'!"&amp;"$"&amp;$D401&amp;$AV$1&amp;"")</f>
        <v>0</v>
      </c>
      <c r="AW401" s="280" t="s">
        <v>1</v>
      </c>
      <c r="AX401" s="281" t="s">
        <v>1</v>
      </c>
      <c r="AY401" s="279" t="s">
        <v>1</v>
      </c>
      <c r="AZ401" s="281" cm="1">
        <f t="array" aca="1" ref="AZ401" ca="1">INDIRECT("'"&amp;$C401&amp;"'!"&amp;"$"&amp;$D401&amp;$AZ$1&amp;"")</f>
        <v>7</v>
      </c>
      <c r="BA401" s="280" t="s">
        <v>1</v>
      </c>
      <c r="BB401" s="281">
        <v>0.95</v>
      </c>
      <c r="BC401" s="279">
        <v>2.11</v>
      </c>
      <c r="BD401" s="283">
        <v>14.15</v>
      </c>
      <c r="BE401" s="282">
        <v>71.55</v>
      </c>
      <c r="BF401" s="283" cm="1">
        <f t="array" aca="1" ref="BF401" ca="1">INDIRECT("'"&amp;$C401&amp;"'!"&amp;"$"&amp;$D401&amp;$BF$1&amp;"")</f>
        <v>14.26</v>
      </c>
      <c r="BG401" s="281">
        <v>0.99</v>
      </c>
      <c r="BH401" s="279">
        <v>2.2999999999999998</v>
      </c>
      <c r="BI401" s="524">
        <v>68</v>
      </c>
      <c r="BJ401" s="278" cm="1">
        <f t="array" aca="1" ref="BJ401" ca="1">INDIRECT("'"&amp;$C401&amp;"'!"&amp;"$"&amp;$D401&amp;$BI$1&amp;"")</f>
        <v>0</v>
      </c>
      <c r="BK401" s="280" t="s">
        <v>1</v>
      </c>
      <c r="BL401" s="279" t="s">
        <v>1</v>
      </c>
      <c r="BM401" s="283" cm="1">
        <f t="array" aca="1" ref="BM401" ca="1">INDIRECT("'"&amp;$C401&amp;"'!"&amp;"$"&amp;$D401&amp;$BM$1&amp;"")</f>
        <v>0.92</v>
      </c>
      <c r="BN401" s="281"/>
      <c r="BO401" s="281">
        <v>0.99</v>
      </c>
      <c r="BP401" s="279">
        <v>0.12</v>
      </c>
      <c r="BQ401" s="284" cm="1">
        <f t="array" aca="1" ref="BQ401" ca="1">INDIRECT("'"&amp;$C401&amp;"'!"&amp;"$"&amp;$D401&amp;$BQ$1&amp;"")</f>
        <v>0.81</v>
      </c>
      <c r="BR401" s="281"/>
      <c r="BS401" s="281">
        <v>0.97</v>
      </c>
      <c r="BT401" s="279">
        <v>0.19</v>
      </c>
      <c r="BU401" s="284" cm="1">
        <f t="array" aca="1" ref="BU401" ca="1">INDIRECT("'"&amp;$C401&amp;"'!"&amp;"$"&amp;$D401&amp;74&amp;"")</f>
        <v>0</v>
      </c>
      <c r="BV401" s="281"/>
      <c r="BW401" s="281" t="s">
        <v>1</v>
      </c>
      <c r="BX401" s="279" t="s">
        <v>1</v>
      </c>
    </row>
    <row r="402" spans="1:76">
      <c r="A402" s="459">
        <v>45854</v>
      </c>
      <c r="B402" s="345">
        <v>0.91666666666666696</v>
      </c>
      <c r="C402" s="305">
        <v>16</v>
      </c>
      <c r="D402" s="306" t="s">
        <v>164</v>
      </c>
      <c r="E402" s="285">
        <v>13.9</v>
      </c>
      <c r="F402" s="286">
        <v>69.3</v>
      </c>
      <c r="G402" s="287" t="str" cm="1">
        <f t="array" aca="1" ref="G402" ca="1">INDIRECT("'"&amp;$C402&amp;"'!"&amp;"$"&amp;$D402&amp;$E$1&amp;"")</f>
        <v>CMS</v>
      </c>
      <c r="H402" s="288" t="s">
        <v>1</v>
      </c>
      <c r="I402" s="286" t="s">
        <v>1</v>
      </c>
      <c r="J402" s="287" cm="1">
        <f t="array" aca="1" ref="J402" ca="1">INDIRECT("'"&amp;$C402&amp;"'!"&amp;"$"&amp;$D402&amp;$J$1&amp;"")</f>
        <v>0</v>
      </c>
      <c r="K402" s="288"/>
      <c r="L402" s="288" t="s">
        <v>1</v>
      </c>
      <c r="M402" s="289" t="s">
        <v>1</v>
      </c>
      <c r="N402" s="285" cm="1">
        <f t="array" aca="1" ref="N402" ca="1">INDIRECT("'"&amp;$C402&amp;"'!"&amp;"$"&amp;$D402&amp;$N$1&amp;"")</f>
        <v>6.6</v>
      </c>
      <c r="O402" s="288"/>
      <c r="P402" s="288">
        <v>0.98</v>
      </c>
      <c r="Q402" s="286">
        <v>1.45</v>
      </c>
      <c r="R402" s="285" cm="1">
        <f t="array" aca="1" ref="R402" ca="1">INDIRECT("'"&amp;$C402&amp;"'!"&amp;"$"&amp;$D402&amp;$R$1&amp;"")</f>
        <v>6.6</v>
      </c>
      <c r="S402" s="288"/>
      <c r="T402" s="288">
        <v>0.95</v>
      </c>
      <c r="U402" s="286">
        <v>2</v>
      </c>
      <c r="V402" s="287" cm="1">
        <f t="array" aca="1" ref="V402" ca="1">INDIRECT("'"&amp;$C402&amp;"'!"&amp;"$"&amp;$D402&amp;$V$1&amp;"")</f>
        <v>0</v>
      </c>
      <c r="W402" s="288" t="s">
        <v>1</v>
      </c>
      <c r="X402" s="288" t="s">
        <v>1</v>
      </c>
      <c r="Y402" s="289" t="s">
        <v>1</v>
      </c>
      <c r="Z402" s="285" t="str" cm="1">
        <f t="array" aca="1" ref="Z402" ca="1">INDIRECT("'"&amp;$C402&amp;"'!"&amp;"$"&amp;$D402&amp;$Z$1&amp;"")</f>
        <v>CMS</v>
      </c>
      <c r="AA402" s="288" t="s">
        <v>1</v>
      </c>
      <c r="AB402" s="288" t="s">
        <v>1</v>
      </c>
      <c r="AC402" s="286" t="s">
        <v>1</v>
      </c>
      <c r="AD402" s="287" cm="1">
        <f t="array" aca="1" ref="AD402" ca="1">INDIRECT("'"&amp;$C402&amp;"'!"&amp;"$"&amp;$D402&amp;$AD$1&amp;"")</f>
        <v>0</v>
      </c>
      <c r="AE402" s="288" t="s">
        <v>1</v>
      </c>
      <c r="AF402" s="288" t="s">
        <v>1</v>
      </c>
      <c r="AG402" s="289" t="s">
        <v>1</v>
      </c>
      <c r="AH402" s="285" cm="1">
        <f t="array" aca="1" ref="AH402" ca="1">INDIRECT("'"&amp;$C402&amp;"'!"&amp;"$"&amp;$D402&amp;$AH$1&amp;"")</f>
        <v>0</v>
      </c>
      <c r="AI402" s="288" t="s">
        <v>1</v>
      </c>
      <c r="AJ402" s="288" t="s">
        <v>1</v>
      </c>
      <c r="AK402" s="286" t="s">
        <v>1</v>
      </c>
      <c r="AL402" s="285">
        <v>11.6</v>
      </c>
      <c r="AM402" s="289">
        <v>70.900000000000006</v>
      </c>
      <c r="AN402" s="285" cm="1">
        <f t="array" aca="1" ref="AN402" ca="1">INDIRECT("'"&amp;$C402&amp;"'!"&amp;"$"&amp;$D402&amp;$AL$1&amp;"")</f>
        <v>0</v>
      </c>
      <c r="AO402" s="288" t="s">
        <v>1</v>
      </c>
      <c r="AP402" s="286" t="s">
        <v>1</v>
      </c>
      <c r="AQ402" s="287" cm="1">
        <f t="array" aca="1" ref="AQ402" ca="1">INDIRECT("'"&amp;$C402&amp;"'!"&amp;"$"&amp;$D402&amp;$AQ$1&amp;"")</f>
        <v>3.8</v>
      </c>
      <c r="AR402" s="288">
        <v>0.99</v>
      </c>
      <c r="AS402" s="286">
        <v>0.52</v>
      </c>
      <c r="AT402" s="285">
        <v>13.93</v>
      </c>
      <c r="AU402" s="289">
        <v>70.8</v>
      </c>
      <c r="AV402" s="288" cm="1">
        <f t="array" aca="1" ref="AV402" ca="1">INDIRECT("'"&amp;$C402&amp;"'!"&amp;"$"&amp;$D402&amp;$AV$1&amp;"")</f>
        <v>0</v>
      </c>
      <c r="AW402" s="287" t="s">
        <v>1</v>
      </c>
      <c r="AX402" s="288" t="s">
        <v>1</v>
      </c>
      <c r="AY402" s="286" t="s">
        <v>1</v>
      </c>
      <c r="AZ402" s="288" cm="1">
        <f t="array" aca="1" ref="AZ402" ca="1">INDIRECT("'"&amp;$C402&amp;"'!"&amp;"$"&amp;$D402&amp;$AZ$1&amp;"")</f>
        <v>7.1</v>
      </c>
      <c r="BA402" s="287" t="s">
        <v>1</v>
      </c>
      <c r="BB402" s="288">
        <v>0.98</v>
      </c>
      <c r="BC402" s="286">
        <v>1.58</v>
      </c>
      <c r="BD402" s="290">
        <v>14.22</v>
      </c>
      <c r="BE402" s="289">
        <v>71.92</v>
      </c>
      <c r="BF402" s="290" cm="1">
        <f t="array" aca="1" ref="BF402" ca="1">INDIRECT("'"&amp;$C402&amp;"'!"&amp;"$"&amp;$D402&amp;$BF$1&amp;"")</f>
        <v>14.3</v>
      </c>
      <c r="BG402" s="288">
        <v>0.99</v>
      </c>
      <c r="BH402" s="286">
        <v>2.2999999999999998</v>
      </c>
      <c r="BI402" s="525">
        <v>68.599999999999994</v>
      </c>
      <c r="BJ402" s="285" cm="1">
        <f t="array" aca="1" ref="BJ402" ca="1">INDIRECT("'"&amp;$C402&amp;"'!"&amp;"$"&amp;$D402&amp;$BI$1&amp;"")</f>
        <v>0.7</v>
      </c>
      <c r="BK402" s="287">
        <v>0.97</v>
      </c>
      <c r="BL402" s="286">
        <v>0.17</v>
      </c>
      <c r="BM402" s="290" cm="1">
        <f t="array" aca="1" ref="BM402" ca="1">INDIRECT("'"&amp;$C402&amp;"'!"&amp;"$"&amp;$D402&amp;$BM$1&amp;"")</f>
        <v>0.8</v>
      </c>
      <c r="BN402" s="288"/>
      <c r="BO402" s="288">
        <v>0.99</v>
      </c>
      <c r="BP402" s="286">
        <v>7.0000000000000007E-2</v>
      </c>
      <c r="BQ402" s="291" cm="1">
        <f t="array" aca="1" ref="BQ402" ca="1">INDIRECT("'"&amp;$C402&amp;"'!"&amp;"$"&amp;$D402&amp;$BQ$1&amp;"")</f>
        <v>0.83</v>
      </c>
      <c r="BR402" s="288"/>
      <c r="BS402" s="288">
        <v>0.97</v>
      </c>
      <c r="BT402" s="286">
        <v>0.2</v>
      </c>
      <c r="BU402" s="291" cm="1">
        <f t="array" aca="1" ref="BU402" ca="1">INDIRECT("'"&amp;$C402&amp;"'!"&amp;"$"&amp;$D402&amp;74&amp;"")</f>
        <v>0</v>
      </c>
      <c r="BV402" s="288"/>
      <c r="BW402" s="288" t="s">
        <v>1</v>
      </c>
      <c r="BX402" s="286" t="s">
        <v>1</v>
      </c>
    </row>
    <row r="403" spans="1:76" ht="14.45" thickBot="1">
      <c r="A403" s="460">
        <v>45854</v>
      </c>
      <c r="B403" s="346">
        <v>0.95833333333333404</v>
      </c>
      <c r="C403" s="307">
        <v>16</v>
      </c>
      <c r="D403" s="308" t="s">
        <v>165</v>
      </c>
      <c r="E403" s="293">
        <v>14</v>
      </c>
      <c r="F403" s="294">
        <v>69.680000000000007</v>
      </c>
      <c r="G403" s="295" t="str" cm="1">
        <f t="array" aca="1" ref="G403" ca="1">INDIRECT("'"&amp;$C403&amp;"'!"&amp;"$"&amp;$D403&amp;$E$1&amp;"")</f>
        <v>CMS</v>
      </c>
      <c r="H403" s="296" t="s">
        <v>1</v>
      </c>
      <c r="I403" s="294" t="s">
        <v>1</v>
      </c>
      <c r="J403" s="295" cm="1">
        <f t="array" aca="1" ref="J403" ca="1">INDIRECT("'"&amp;$C403&amp;"'!"&amp;"$"&amp;$D403&amp;$J$1&amp;"")</f>
        <v>0</v>
      </c>
      <c r="K403" s="296"/>
      <c r="L403" s="296" t="s">
        <v>1</v>
      </c>
      <c r="M403" s="297" t="s">
        <v>1</v>
      </c>
      <c r="N403" s="293" cm="1">
        <f t="array" aca="1" ref="N403" ca="1">INDIRECT("'"&amp;$C403&amp;"'!"&amp;"$"&amp;$D403&amp;$N$1&amp;"")</f>
        <v>6.6</v>
      </c>
      <c r="O403" s="296"/>
      <c r="P403" s="296">
        <v>0.98</v>
      </c>
      <c r="Q403" s="294">
        <v>1.47</v>
      </c>
      <c r="R403" s="470" cm="1">
        <f t="array" aca="1" ref="R403" ca="1">INDIRECT("'"&amp;$C403&amp;"'!"&amp;"$"&amp;$D403&amp;$R$1&amp;"")</f>
        <v>6.6</v>
      </c>
      <c r="S403" s="296"/>
      <c r="T403" s="296">
        <v>0.98</v>
      </c>
      <c r="U403" s="294">
        <v>1.47</v>
      </c>
      <c r="V403" s="295" cm="1">
        <f t="array" aca="1" ref="V403" ca="1">INDIRECT("'"&amp;$C403&amp;"'!"&amp;"$"&amp;$D403&amp;$V$1&amp;"")</f>
        <v>0</v>
      </c>
      <c r="W403" s="296" t="s">
        <v>1</v>
      </c>
      <c r="X403" s="296" t="s">
        <v>1</v>
      </c>
      <c r="Y403" s="297" t="s">
        <v>1</v>
      </c>
      <c r="Z403" s="293" t="str" cm="1">
        <f t="array" aca="1" ref="Z403" ca="1">INDIRECT("'"&amp;$C403&amp;"'!"&amp;"$"&amp;$D403&amp;$Z$1&amp;"")</f>
        <v>CMS</v>
      </c>
      <c r="AA403" s="296" t="s">
        <v>1</v>
      </c>
      <c r="AB403" s="296" t="s">
        <v>1</v>
      </c>
      <c r="AC403" s="294" t="s">
        <v>1</v>
      </c>
      <c r="AD403" s="295" cm="1">
        <f t="array" aca="1" ref="AD403" ca="1">INDIRECT("'"&amp;$C403&amp;"'!"&amp;"$"&amp;$D403&amp;$AD$1&amp;"")</f>
        <v>0</v>
      </c>
      <c r="AE403" s="296" t="s">
        <v>1</v>
      </c>
      <c r="AF403" s="296" t="s">
        <v>1</v>
      </c>
      <c r="AG403" s="297" t="s">
        <v>1</v>
      </c>
      <c r="AH403" s="293" cm="1">
        <f t="array" aca="1" ref="AH403" ca="1">INDIRECT("'"&amp;$C403&amp;"'!"&amp;"$"&amp;$D403&amp;$AH$1&amp;"")</f>
        <v>0</v>
      </c>
      <c r="AI403" s="296" t="s">
        <v>1</v>
      </c>
      <c r="AJ403" s="296" t="s">
        <v>1</v>
      </c>
      <c r="AK403" s="294" t="s">
        <v>1</v>
      </c>
      <c r="AL403" s="293">
        <v>11.6</v>
      </c>
      <c r="AM403" s="297">
        <v>71</v>
      </c>
      <c r="AN403" s="293" cm="1">
        <f t="array" aca="1" ref="AN403" ca="1">INDIRECT("'"&amp;$C403&amp;"'!"&amp;"$"&amp;$D403&amp;$AL$1&amp;"")</f>
        <v>0</v>
      </c>
      <c r="AO403" s="296" t="s">
        <v>1</v>
      </c>
      <c r="AP403" s="294" t="s">
        <v>1</v>
      </c>
      <c r="AQ403" s="295" cm="1">
        <f t="array" aca="1" ref="AQ403" ca="1">INDIRECT("'"&amp;$C403&amp;"'!"&amp;"$"&amp;$D403&amp;$AQ$1&amp;"")</f>
        <v>2.1</v>
      </c>
      <c r="AR403" s="296">
        <v>0.98</v>
      </c>
      <c r="AS403" s="294">
        <v>0.41</v>
      </c>
      <c r="AT403" s="293">
        <v>13.93</v>
      </c>
      <c r="AU403" s="297">
        <v>70.8</v>
      </c>
      <c r="AV403" s="296" cm="1">
        <f t="array" aca="1" ref="AV403" ca="1">INDIRECT("'"&amp;$C403&amp;"'!"&amp;"$"&amp;$D403&amp;$AV$1&amp;"")</f>
        <v>0</v>
      </c>
      <c r="AW403" s="295" t="s">
        <v>1</v>
      </c>
      <c r="AX403" s="296" t="s">
        <v>1</v>
      </c>
      <c r="AY403" s="294" t="s">
        <v>1</v>
      </c>
      <c r="AZ403" s="296" cm="1">
        <f t="array" aca="1" ref="AZ403" ca="1">INDIRECT("'"&amp;$C403&amp;"'!"&amp;"$"&amp;$D403&amp;$AZ$1&amp;"")</f>
        <v>7</v>
      </c>
      <c r="BA403" s="295" t="s">
        <v>1</v>
      </c>
      <c r="BB403" s="296">
        <v>0.98</v>
      </c>
      <c r="BC403" s="294">
        <v>1.63</v>
      </c>
      <c r="BD403" s="298">
        <v>14.22</v>
      </c>
      <c r="BE403" s="297">
        <v>71.97</v>
      </c>
      <c r="BF403" s="298" cm="1">
        <f t="array" aca="1" ref="BF403" ca="1">INDIRECT("'"&amp;$C403&amp;"'!"&amp;"$"&amp;$D403&amp;$BF$1&amp;"")</f>
        <v>14.19</v>
      </c>
      <c r="BG403" s="296">
        <v>0.99</v>
      </c>
      <c r="BH403" s="294">
        <v>2.2999999999999998</v>
      </c>
      <c r="BI403" s="526">
        <v>68.900000000000006</v>
      </c>
      <c r="BJ403" s="293" cm="1">
        <f t="array" aca="1" ref="BJ403" ca="1">INDIRECT("'"&amp;$C403&amp;"'!"&amp;"$"&amp;$D403&amp;$BI$1&amp;"")</f>
        <v>0</v>
      </c>
      <c r="BK403" s="295" t="s">
        <v>1</v>
      </c>
      <c r="BL403" s="294" t="s">
        <v>1</v>
      </c>
      <c r="BM403" s="298" cm="1">
        <f t="array" aca="1" ref="BM403" ca="1">INDIRECT("'"&amp;$C403&amp;"'!"&amp;"$"&amp;$D403&amp;$BM$1&amp;"")</f>
        <v>0.76</v>
      </c>
      <c r="BN403" s="296"/>
      <c r="BO403" s="296">
        <v>0.99</v>
      </c>
      <c r="BP403" s="294">
        <v>7.0000000000000007E-2</v>
      </c>
      <c r="BQ403" s="299" cm="1">
        <f t="array" aca="1" ref="BQ403" ca="1">INDIRECT("'"&amp;$C403&amp;"'!"&amp;"$"&amp;$D403&amp;$BQ$1&amp;"")</f>
        <v>0.8</v>
      </c>
      <c r="BR403" s="296"/>
      <c r="BS403" s="296">
        <v>0.96</v>
      </c>
      <c r="BT403" s="294">
        <v>0.19</v>
      </c>
      <c r="BU403" s="299" cm="1">
        <f t="array" aca="1" ref="BU403" ca="1">INDIRECT("'"&amp;$C403&amp;"'!"&amp;"$"&amp;$D403&amp;74&amp;"")</f>
        <v>0</v>
      </c>
      <c r="BV403" s="296"/>
      <c r="BW403" s="296" t="s">
        <v>1</v>
      </c>
      <c r="BX403" s="294" t="s">
        <v>1</v>
      </c>
    </row>
    <row r="404" spans="1:76" ht="9" customHeight="1" thickBot="1"/>
    <row r="405" spans="1:76">
      <c r="A405" s="347">
        <v>45855</v>
      </c>
      <c r="B405" s="344">
        <v>0</v>
      </c>
      <c r="C405" s="302">
        <v>17</v>
      </c>
      <c r="D405" s="303" t="s">
        <v>142</v>
      </c>
      <c r="E405" s="272">
        <v>14</v>
      </c>
      <c r="F405" s="273">
        <v>70.06</v>
      </c>
      <c r="G405" s="274" t="str" cm="1">
        <f t="array" aca="1" ref="G405" ca="1">INDIRECT("'"&amp;$C405&amp;"'!"&amp;"$"&amp;$D405&amp;$E$1&amp;"")</f>
        <v>CMS</v>
      </c>
      <c r="H405" s="275" t="s">
        <v>1</v>
      </c>
      <c r="I405" s="273" t="s">
        <v>1</v>
      </c>
      <c r="J405" s="274" cm="1">
        <f t="array" aca="1" ref="J405" ca="1">INDIRECT("'"&amp;$C405&amp;"'!"&amp;"$"&amp;$D405&amp;$J$1&amp;"")</f>
        <v>0</v>
      </c>
      <c r="K405" s="275"/>
      <c r="L405" s="275" t="s">
        <v>1</v>
      </c>
      <c r="M405" s="276" t="s">
        <v>1</v>
      </c>
      <c r="N405" s="272" cm="1">
        <f t="array" aca="1" ref="N405" ca="1">INDIRECT("'"&amp;$C405&amp;"'!"&amp;"$"&amp;$D405&amp;$N$1&amp;"")</f>
        <v>6.6</v>
      </c>
      <c r="O405" s="275"/>
      <c r="P405" s="275">
        <v>0.98</v>
      </c>
      <c r="Q405" s="273">
        <v>1.46</v>
      </c>
      <c r="R405" s="467" cm="1">
        <f t="array" aca="1" ref="R405" ca="1">INDIRECT("'"&amp;$C405&amp;"'!"&amp;"$"&amp;$D405&amp;$R$1&amp;"")</f>
        <v>6.6</v>
      </c>
      <c r="S405" s="275"/>
      <c r="T405" s="275">
        <v>0.98</v>
      </c>
      <c r="U405" s="273">
        <v>1.46</v>
      </c>
      <c r="V405" s="274" cm="1">
        <f t="array" aca="1" ref="V405" ca="1">INDIRECT("'"&amp;$C405&amp;"'!"&amp;"$"&amp;$D405&amp;$V$1&amp;"")</f>
        <v>0</v>
      </c>
      <c r="W405" s="275" t="s">
        <v>1</v>
      </c>
      <c r="X405" s="275" t="s">
        <v>1</v>
      </c>
      <c r="Y405" s="276" t="s">
        <v>1</v>
      </c>
      <c r="Z405" s="272" t="str" cm="1">
        <f t="array" aca="1" ref="Z405" ca="1">INDIRECT("'"&amp;$C405&amp;"'!"&amp;"$"&amp;$D405&amp;$Z$1&amp;"")</f>
        <v>CMS</v>
      </c>
      <c r="AA405" s="275" t="s">
        <v>1</v>
      </c>
      <c r="AB405" s="275" t="s">
        <v>1</v>
      </c>
      <c r="AC405" s="273" t="s">
        <v>1</v>
      </c>
      <c r="AD405" s="274" cm="1">
        <f t="array" aca="1" ref="AD405" ca="1">INDIRECT("'"&amp;$C405&amp;"'!"&amp;"$"&amp;$D405&amp;$AD$1&amp;"")</f>
        <v>0</v>
      </c>
      <c r="AE405" s="275" t="s">
        <v>1</v>
      </c>
      <c r="AF405" s="275" t="s">
        <v>1</v>
      </c>
      <c r="AG405" s="273" t="s">
        <v>1</v>
      </c>
      <c r="AH405" s="272" cm="1">
        <f t="array" aca="1" ref="AH405" ca="1">INDIRECT("'"&amp;$C405&amp;"'!"&amp;"$"&amp;$D405&amp;$AH$1&amp;"")</f>
        <v>0</v>
      </c>
      <c r="AI405" s="275" t="s">
        <v>1</v>
      </c>
      <c r="AJ405" s="275" t="s">
        <v>1</v>
      </c>
      <c r="AK405" s="273" t="s">
        <v>1</v>
      </c>
      <c r="AL405" s="272">
        <v>11.6</v>
      </c>
      <c r="AM405" s="276">
        <v>71.099999999999994</v>
      </c>
      <c r="AN405" s="272" cm="1">
        <f t="array" aca="1" ref="AN405" ca="1">INDIRECT("'"&amp;$C405&amp;"'!"&amp;"$"&amp;$D405&amp;$AL$1&amp;"")</f>
        <v>0</v>
      </c>
      <c r="AO405" s="275" t="s">
        <v>1</v>
      </c>
      <c r="AP405" s="273" t="s">
        <v>1</v>
      </c>
      <c r="AQ405" s="274" cm="1">
        <f t="array" aca="1" ref="AQ405" ca="1">INDIRECT("'"&amp;$C405&amp;"'!"&amp;"$"&amp;$D405&amp;$AQ$1&amp;"")</f>
        <v>1.5</v>
      </c>
      <c r="AR405" s="275">
        <v>0.98</v>
      </c>
      <c r="AS405" s="273">
        <v>0.28999999999999998</v>
      </c>
      <c r="AT405" s="272">
        <v>13.94</v>
      </c>
      <c r="AU405" s="276">
        <v>70.8</v>
      </c>
      <c r="AV405" s="275" cm="1">
        <f t="array" aca="1" ref="AV405" ca="1">INDIRECT("'"&amp;$C405&amp;"'!"&amp;"$"&amp;$D405&amp;$AV$1&amp;"")</f>
        <v>0</v>
      </c>
      <c r="AW405" s="274" t="s">
        <v>1</v>
      </c>
      <c r="AX405" s="275" t="s">
        <v>1</v>
      </c>
      <c r="AY405" s="273" t="s">
        <v>1</v>
      </c>
      <c r="AZ405" s="275" cm="1">
        <f t="array" aca="1" ref="AZ405" ca="1">INDIRECT("'"&amp;$C405&amp;"'!"&amp;"$"&amp;$D405&amp;$AZ$1&amp;"")</f>
        <v>5.42</v>
      </c>
      <c r="BA405" s="274" t="s">
        <v>1</v>
      </c>
      <c r="BB405" s="275">
        <v>0.98</v>
      </c>
      <c r="BC405" s="273">
        <v>1.24</v>
      </c>
      <c r="BD405" s="277">
        <v>14.22</v>
      </c>
      <c r="BE405" s="276">
        <v>72.040000000000006</v>
      </c>
      <c r="BF405" s="277" cm="1">
        <f t="array" aca="1" ref="BF405" ca="1">INDIRECT("'"&amp;$C405&amp;"'!"&amp;"$"&amp;$D405&amp;$BF$1&amp;"")</f>
        <v>14.21</v>
      </c>
      <c r="BG405" s="275">
        <v>0.99</v>
      </c>
      <c r="BH405" s="273">
        <v>2.2999999999999998</v>
      </c>
      <c r="BI405" s="523">
        <v>69.3</v>
      </c>
      <c r="BJ405" s="272" cm="1">
        <f t="array" aca="1" ref="BJ405" ca="1">INDIRECT("'"&amp;$C405&amp;"'!"&amp;"$"&amp;$D405&amp;$BI$1&amp;"")</f>
        <v>0</v>
      </c>
      <c r="BK405" s="274" t="s">
        <v>1</v>
      </c>
      <c r="BL405" s="273" t="s">
        <v>1</v>
      </c>
      <c r="BM405" s="277" cm="1">
        <f t="array" aca="1" ref="BM405" ca="1">INDIRECT("'"&amp;$C405&amp;"'!"&amp;"$"&amp;$D405&amp;$BM$1&amp;"")</f>
        <v>0.66</v>
      </c>
      <c r="BN405" s="275"/>
      <c r="BO405" s="275">
        <v>1</v>
      </c>
      <c r="BP405" s="273">
        <v>0.05</v>
      </c>
      <c r="BQ405" s="277" cm="1">
        <f t="array" aca="1" ref="BQ405" ca="1">INDIRECT("'"&amp;$C405&amp;"'!"&amp;"$"&amp;$D405&amp;$BQ$1&amp;"")</f>
        <v>0.75</v>
      </c>
      <c r="BR405" s="275"/>
      <c r="BS405" s="275">
        <v>0.97</v>
      </c>
      <c r="BT405" s="273">
        <v>0.18</v>
      </c>
      <c r="BU405" s="358" cm="1">
        <f t="array" aca="1" ref="BU405" ca="1">INDIRECT("'"&amp;$C405&amp;"'!"&amp;"$"&amp;$D405&amp;74&amp;"")</f>
        <v>0</v>
      </c>
      <c r="BV405" s="275"/>
      <c r="BW405" s="275" t="s">
        <v>1</v>
      </c>
      <c r="BX405" s="273" t="s">
        <v>1</v>
      </c>
    </row>
    <row r="406" spans="1:76">
      <c r="A406" s="459">
        <v>45855</v>
      </c>
      <c r="B406" s="345">
        <v>4.1666666666666699E-2</v>
      </c>
      <c r="C406" s="305">
        <v>17</v>
      </c>
      <c r="D406" s="306" t="s">
        <v>143</v>
      </c>
      <c r="E406" s="278">
        <v>14.1</v>
      </c>
      <c r="F406" s="279">
        <v>69.900000000000006</v>
      </c>
      <c r="G406" s="280" t="str" cm="1">
        <f t="array" aca="1" ref="G406" ca="1">INDIRECT("'"&amp;$C406&amp;"'!"&amp;"$"&amp;$D406&amp;$E$1&amp;"")</f>
        <v>CMS</v>
      </c>
      <c r="H406" s="281" t="s">
        <v>1</v>
      </c>
      <c r="I406" s="279" t="s">
        <v>1</v>
      </c>
      <c r="J406" s="280" cm="1">
        <f t="array" aca="1" ref="J406" ca="1">INDIRECT("'"&amp;$C406&amp;"'!"&amp;"$"&amp;$D406&amp;$J$1&amp;"")</f>
        <v>0</v>
      </c>
      <c r="K406" s="281"/>
      <c r="L406" s="281" t="s">
        <v>1</v>
      </c>
      <c r="M406" s="282" t="s">
        <v>1</v>
      </c>
      <c r="N406" s="278" cm="1">
        <f t="array" aca="1" ref="N406" ca="1">INDIRECT("'"&amp;$C406&amp;"'!"&amp;"$"&amp;$D406&amp;$N$1&amp;"")</f>
        <v>6.6</v>
      </c>
      <c r="O406" s="281"/>
      <c r="P406" s="281">
        <v>0.98</v>
      </c>
      <c r="Q406" s="279">
        <v>1.45</v>
      </c>
      <c r="R406" s="468" cm="1">
        <f t="array" aca="1" ref="R406" ca="1">INDIRECT("'"&amp;$C406&amp;"'!"&amp;"$"&amp;$D406&amp;$R$1&amp;"")</f>
        <v>6.6</v>
      </c>
      <c r="S406" s="281"/>
      <c r="T406" s="281">
        <v>0.98</v>
      </c>
      <c r="U406" s="279">
        <v>1.45</v>
      </c>
      <c r="V406" s="280" cm="1">
        <f t="array" aca="1" ref="V406" ca="1">INDIRECT("'"&amp;$C406&amp;"'!"&amp;"$"&amp;$D406&amp;$V$1&amp;"")</f>
        <v>0</v>
      </c>
      <c r="W406" s="281" t="s">
        <v>1</v>
      </c>
      <c r="X406" s="281" t="s">
        <v>1</v>
      </c>
      <c r="Y406" s="282" t="s">
        <v>1</v>
      </c>
      <c r="Z406" s="278" t="str" cm="1">
        <f t="array" aca="1" ref="Z406" ca="1">INDIRECT("'"&amp;$C406&amp;"'!"&amp;"$"&amp;$D406&amp;$Z$1&amp;"")</f>
        <v>CMS</v>
      </c>
      <c r="AA406" s="281" t="s">
        <v>1</v>
      </c>
      <c r="AB406" s="281" t="s">
        <v>1</v>
      </c>
      <c r="AC406" s="279" t="s">
        <v>1</v>
      </c>
      <c r="AD406" s="280" cm="1">
        <f t="array" aca="1" ref="AD406" ca="1">INDIRECT("'"&amp;$C406&amp;"'!"&amp;"$"&amp;$D406&amp;$AD$1&amp;"")</f>
        <v>0</v>
      </c>
      <c r="AE406" s="281" t="s">
        <v>1</v>
      </c>
      <c r="AF406" s="281" t="s">
        <v>1</v>
      </c>
      <c r="AG406" s="282" t="s">
        <v>1</v>
      </c>
      <c r="AH406" s="278" cm="1">
        <f t="array" aca="1" ref="AH406" ca="1">INDIRECT("'"&amp;$C406&amp;"'!"&amp;"$"&amp;$D406&amp;$AH$1&amp;"")</f>
        <v>0</v>
      </c>
      <c r="AI406" s="281" t="s">
        <v>1</v>
      </c>
      <c r="AJ406" s="281" t="s">
        <v>1</v>
      </c>
      <c r="AK406" s="279" t="s">
        <v>1</v>
      </c>
      <c r="AL406" s="278">
        <v>0</v>
      </c>
      <c r="AM406" s="282">
        <v>70.8</v>
      </c>
      <c r="AN406" s="278" cm="1">
        <f t="array" aca="1" ref="AN406" ca="1">INDIRECT("'"&amp;$C406&amp;"'!"&amp;"$"&amp;$D406&amp;$AL$1&amp;"")</f>
        <v>0</v>
      </c>
      <c r="AO406" s="281" t="s">
        <v>1</v>
      </c>
      <c r="AP406" s="279" t="s">
        <v>1</v>
      </c>
      <c r="AQ406" s="280" cm="1">
        <f t="array" aca="1" ref="AQ406" ca="1">INDIRECT("'"&amp;$C406&amp;"'!"&amp;"$"&amp;$D406&amp;$AQ$1&amp;"")</f>
        <v>0</v>
      </c>
      <c r="AR406" s="281" t="s">
        <v>1</v>
      </c>
      <c r="AS406" s="279" t="s">
        <v>1</v>
      </c>
      <c r="AT406" s="278">
        <v>13.88</v>
      </c>
      <c r="AU406" s="282">
        <v>70.599999999999994</v>
      </c>
      <c r="AV406" s="281" cm="1">
        <f t="array" aca="1" ref="AV406" ca="1">INDIRECT("'"&amp;$C406&amp;"'!"&amp;"$"&amp;$D406&amp;$AV$1&amp;"")</f>
        <v>0</v>
      </c>
      <c r="AW406" s="280" t="s">
        <v>1</v>
      </c>
      <c r="AX406" s="281" t="s">
        <v>1</v>
      </c>
      <c r="AY406" s="279" t="s">
        <v>1</v>
      </c>
      <c r="AZ406" s="281" cm="1">
        <f t="array" aca="1" ref="AZ406" ca="1">INDIRECT("'"&amp;$C406&amp;"'!"&amp;"$"&amp;$D406&amp;$AZ$1&amp;"")</f>
        <v>5.74</v>
      </c>
      <c r="BA406" s="280" t="s">
        <v>1</v>
      </c>
      <c r="BB406" s="281">
        <v>0.96</v>
      </c>
      <c r="BC406" s="279">
        <v>1.59</v>
      </c>
      <c r="BD406" s="283">
        <v>14.05</v>
      </c>
      <c r="BE406" s="282">
        <v>71.45</v>
      </c>
      <c r="BF406" s="283" cm="1">
        <f t="array" aca="1" ref="BF406" ca="1">INDIRECT("'"&amp;$C406&amp;"'!"&amp;"$"&amp;$D406&amp;$BF$1&amp;"")</f>
        <v>14.29</v>
      </c>
      <c r="BG406" s="281">
        <v>1</v>
      </c>
      <c r="BH406" s="279">
        <v>1.3</v>
      </c>
      <c r="BI406" s="524">
        <v>69.3</v>
      </c>
      <c r="BJ406" s="278" cm="1">
        <f t="array" aca="1" ref="BJ406" ca="1">INDIRECT("'"&amp;$C406&amp;"'!"&amp;"$"&amp;$D406&amp;$BI$1&amp;"")</f>
        <v>0</v>
      </c>
      <c r="BK406" s="280" t="s">
        <v>1</v>
      </c>
      <c r="BL406" s="279" t="s">
        <v>1</v>
      </c>
      <c r="BM406" s="283" cm="1">
        <f t="array" aca="1" ref="BM406" ca="1">INDIRECT("'"&amp;$C406&amp;"'!"&amp;"$"&amp;$D406&amp;$BM$1&amp;"")</f>
        <v>0.65</v>
      </c>
      <c r="BN406" s="281"/>
      <c r="BO406" s="281">
        <v>0.99</v>
      </c>
      <c r="BP406" s="279">
        <v>0.05</v>
      </c>
      <c r="BQ406" s="283" cm="1">
        <f t="array" aca="1" ref="BQ406" ca="1">INDIRECT("'"&amp;$C406&amp;"'!"&amp;"$"&amp;$D406&amp;$BQ$1&amp;"")</f>
        <v>0.7</v>
      </c>
      <c r="BR406" s="281"/>
      <c r="BS406" s="281">
        <v>0.96</v>
      </c>
      <c r="BT406" s="279">
        <v>0.18</v>
      </c>
      <c r="BU406" s="284" cm="1">
        <f t="array" aca="1" ref="BU406" ca="1">INDIRECT("'"&amp;$C406&amp;"'!"&amp;"$"&amp;$D406&amp;74&amp;"")</f>
        <v>0</v>
      </c>
      <c r="BV406" s="281"/>
      <c r="BW406" s="281" t="s">
        <v>1</v>
      </c>
      <c r="BX406" s="279" t="s">
        <v>1</v>
      </c>
    </row>
    <row r="407" spans="1:76">
      <c r="A407" s="459">
        <v>45855</v>
      </c>
      <c r="B407" s="345">
        <v>8.3333333333333301E-2</v>
      </c>
      <c r="C407" s="305">
        <v>17</v>
      </c>
      <c r="D407" s="306" t="s">
        <v>144</v>
      </c>
      <c r="E407" s="285">
        <v>14.1</v>
      </c>
      <c r="F407" s="286">
        <v>70.16</v>
      </c>
      <c r="G407" s="287" t="str" cm="1">
        <f t="array" aca="1" ref="G407" ca="1">INDIRECT("'"&amp;$C407&amp;"'!"&amp;"$"&amp;$D407&amp;$E$1&amp;"")</f>
        <v>CMS</v>
      </c>
      <c r="H407" s="288" t="s">
        <v>1</v>
      </c>
      <c r="I407" s="286" t="s">
        <v>1</v>
      </c>
      <c r="J407" s="287" cm="1">
        <f t="array" aca="1" ref="J407" ca="1">INDIRECT("'"&amp;$C407&amp;"'!"&amp;"$"&amp;$D407&amp;$J$1&amp;"")</f>
        <v>0</v>
      </c>
      <c r="K407" s="288"/>
      <c r="L407" s="288" t="s">
        <v>1</v>
      </c>
      <c r="M407" s="286" t="s">
        <v>1</v>
      </c>
      <c r="N407" s="285" cm="1">
        <f t="array" aca="1" ref="N407" ca="1">INDIRECT("'"&amp;$C407&amp;"'!"&amp;"$"&amp;$D407&amp;$N$1&amp;"")</f>
        <v>6.3</v>
      </c>
      <c r="O407" s="288"/>
      <c r="P407" s="288">
        <v>0.99</v>
      </c>
      <c r="Q407" s="286">
        <v>0.8</v>
      </c>
      <c r="R407" s="285" cm="1">
        <f t="array" aca="1" ref="R407" ca="1">INDIRECT("'"&amp;$C407&amp;"'!"&amp;"$"&amp;$D407&amp;$R$1&amp;"")</f>
        <v>6.3</v>
      </c>
      <c r="S407" s="288"/>
      <c r="T407" s="288">
        <v>0.99</v>
      </c>
      <c r="U407" s="286">
        <v>0.8</v>
      </c>
      <c r="V407" s="287" cm="1">
        <f t="array" aca="1" ref="V407" ca="1">INDIRECT("'"&amp;$C407&amp;"'!"&amp;"$"&amp;$D407&amp;$V$1&amp;"")</f>
        <v>0</v>
      </c>
      <c r="W407" s="288" t="s">
        <v>1</v>
      </c>
      <c r="X407" s="288" t="s">
        <v>1</v>
      </c>
      <c r="Y407" s="289" t="s">
        <v>1</v>
      </c>
      <c r="Z407" s="278" t="str" cm="1">
        <f t="array" aca="1" ref="Z407" ca="1">INDIRECT("'"&amp;$C407&amp;"'!"&amp;"$"&amp;$D407&amp;$Z$1&amp;"")</f>
        <v>CMS</v>
      </c>
      <c r="AA407" s="288" t="s">
        <v>1</v>
      </c>
      <c r="AB407" s="288" t="s">
        <v>1</v>
      </c>
      <c r="AC407" s="286" t="s">
        <v>1</v>
      </c>
      <c r="AD407" s="287" cm="1">
        <f t="array" aca="1" ref="AD407" ca="1">INDIRECT("'"&amp;$C407&amp;"'!"&amp;"$"&amp;$D407&amp;$AD$1&amp;"")</f>
        <v>0</v>
      </c>
      <c r="AE407" s="288" t="s">
        <v>1</v>
      </c>
      <c r="AF407" s="288" t="s">
        <v>1</v>
      </c>
      <c r="AG407" s="289" t="s">
        <v>1</v>
      </c>
      <c r="AH407" s="285" cm="1">
        <f t="array" aca="1" ref="AH407" ca="1">INDIRECT("'"&amp;$C407&amp;"'!"&amp;"$"&amp;$D407&amp;$AH$1&amp;"")</f>
        <v>0</v>
      </c>
      <c r="AI407" s="288" t="s">
        <v>1</v>
      </c>
      <c r="AJ407" s="288" t="s">
        <v>1</v>
      </c>
      <c r="AK407" s="289" t="s">
        <v>1</v>
      </c>
      <c r="AL407" s="285">
        <v>0</v>
      </c>
      <c r="AM407" s="289">
        <v>70.7</v>
      </c>
      <c r="AN407" s="285" cm="1">
        <f t="array" aca="1" ref="AN407" ca="1">INDIRECT("'"&amp;$C407&amp;"'!"&amp;"$"&amp;$D407&amp;$AL$1&amp;"")</f>
        <v>0</v>
      </c>
      <c r="AO407" s="288" t="s">
        <v>1</v>
      </c>
      <c r="AP407" s="286" t="s">
        <v>1</v>
      </c>
      <c r="AQ407" s="287" cm="1">
        <f t="array" aca="1" ref="AQ407" ca="1">INDIRECT("'"&amp;$C407&amp;"'!"&amp;"$"&amp;$D407&amp;$AQ$1&amp;"")</f>
        <v>0</v>
      </c>
      <c r="AR407" s="288" t="s">
        <v>1</v>
      </c>
      <c r="AS407" s="286" t="s">
        <v>1</v>
      </c>
      <c r="AT407" s="285">
        <v>13.98</v>
      </c>
      <c r="AU407" s="289">
        <v>70.599999999999994</v>
      </c>
      <c r="AV407" s="288" cm="1">
        <f t="array" aca="1" ref="AV407" ca="1">INDIRECT("'"&amp;$C407&amp;"'!"&amp;"$"&amp;$D407&amp;$AV$1&amp;"")</f>
        <v>0</v>
      </c>
      <c r="AW407" s="287" t="s">
        <v>1</v>
      </c>
      <c r="AX407" s="288" t="s">
        <v>1</v>
      </c>
      <c r="AY407" s="286" t="s">
        <v>1</v>
      </c>
      <c r="AZ407" s="288" cm="1">
        <f t="array" aca="1" ref="AZ407" ca="1">INDIRECT("'"&amp;$C407&amp;"'!"&amp;"$"&amp;$D407&amp;$AZ$1&amp;"")</f>
        <v>4.78</v>
      </c>
      <c r="BA407" s="287" t="s">
        <v>1</v>
      </c>
      <c r="BB407" s="288">
        <v>0.96</v>
      </c>
      <c r="BC407" s="286">
        <v>1.41</v>
      </c>
      <c r="BD407" s="290">
        <v>14.05</v>
      </c>
      <c r="BE407" s="289">
        <v>71.47</v>
      </c>
      <c r="BF407" s="290" cm="1">
        <f t="array" aca="1" ref="BF407" ca="1">INDIRECT("'"&amp;$C407&amp;"'!"&amp;"$"&amp;$D407&amp;$BF$1&amp;"")</f>
        <v>14.25</v>
      </c>
      <c r="BG407" s="288">
        <v>1</v>
      </c>
      <c r="BH407" s="286">
        <v>1.3</v>
      </c>
      <c r="BI407" s="525">
        <v>69.400000000000006</v>
      </c>
      <c r="BJ407" s="285" cm="1">
        <f t="array" aca="1" ref="BJ407" ca="1">INDIRECT("'"&amp;$C407&amp;"'!"&amp;"$"&amp;$D407&amp;$BI$1&amp;"")</f>
        <v>0</v>
      </c>
      <c r="BK407" s="287" t="s">
        <v>1</v>
      </c>
      <c r="BL407" s="286" t="s">
        <v>1</v>
      </c>
      <c r="BM407" s="290" cm="1">
        <f t="array" aca="1" ref="BM407" ca="1">INDIRECT("'"&amp;$C407&amp;"'!"&amp;"$"&amp;$D407&amp;$BM$1&amp;"")</f>
        <v>0.62</v>
      </c>
      <c r="BN407" s="288"/>
      <c r="BO407" s="288">
        <v>0.99</v>
      </c>
      <c r="BP407" s="286">
        <v>0.04</v>
      </c>
      <c r="BQ407" s="290" cm="1">
        <f t="array" aca="1" ref="BQ407" ca="1">INDIRECT("'"&amp;$C407&amp;"'!"&amp;"$"&amp;$D407&amp;$BQ$1&amp;"")</f>
        <v>0.65</v>
      </c>
      <c r="BR407" s="288"/>
      <c r="BS407" s="288">
        <v>0.96</v>
      </c>
      <c r="BT407" s="286">
        <v>0.18</v>
      </c>
      <c r="BU407" s="291" cm="1">
        <f t="array" aca="1" ref="BU407" ca="1">INDIRECT("'"&amp;$C407&amp;"'!"&amp;"$"&amp;$D407&amp;74&amp;"")</f>
        <v>0</v>
      </c>
      <c r="BV407" s="288"/>
      <c r="BW407" s="288" t="s">
        <v>1</v>
      </c>
      <c r="BX407" s="286" t="s">
        <v>1</v>
      </c>
    </row>
    <row r="408" spans="1:76">
      <c r="A408" s="459">
        <v>45855</v>
      </c>
      <c r="B408" s="345">
        <v>0.125</v>
      </c>
      <c r="C408" s="305">
        <v>17</v>
      </c>
      <c r="D408" s="306" t="s">
        <v>145</v>
      </c>
      <c r="E408" s="278">
        <v>14.1</v>
      </c>
      <c r="F408" s="279">
        <v>70.040000000000006</v>
      </c>
      <c r="G408" s="280" t="str" cm="1">
        <f t="array" aca="1" ref="G408" ca="1">INDIRECT("'"&amp;$C408&amp;"'!"&amp;"$"&amp;$D408&amp;$E$1&amp;"")</f>
        <v>CMS</v>
      </c>
      <c r="H408" s="281" t="s">
        <v>1</v>
      </c>
      <c r="I408" s="279" t="s">
        <v>1</v>
      </c>
      <c r="J408" s="280" cm="1">
        <f t="array" aca="1" ref="J408" ca="1">INDIRECT("'"&amp;$C408&amp;"'!"&amp;"$"&amp;$D408&amp;$J$1&amp;"")</f>
        <v>6.6</v>
      </c>
      <c r="K408" s="281"/>
      <c r="L408" s="281">
        <v>1</v>
      </c>
      <c r="M408" s="279">
        <v>0.54</v>
      </c>
      <c r="N408" s="278" cm="1">
        <f t="array" aca="1" ref="N408" ca="1">INDIRECT("'"&amp;$C408&amp;"'!"&amp;"$"&amp;$D408&amp;$N$1&amp;"")</f>
        <v>0</v>
      </c>
      <c r="O408" s="281"/>
      <c r="P408" s="281" t="s">
        <v>1</v>
      </c>
      <c r="Q408" s="279" t="s">
        <v>1</v>
      </c>
      <c r="R408" s="468" cm="1">
        <f t="array" aca="1" ref="R408" ca="1">INDIRECT("'"&amp;$C408&amp;"'!"&amp;"$"&amp;$D408&amp;$R$1&amp;"")</f>
        <v>6.6</v>
      </c>
      <c r="S408" s="281"/>
      <c r="T408" s="281">
        <v>1</v>
      </c>
      <c r="U408" s="279">
        <v>0.54</v>
      </c>
      <c r="V408" s="280" cm="1">
        <f t="array" aca="1" ref="V408" ca="1">INDIRECT("'"&amp;$C408&amp;"'!"&amp;"$"&amp;$D408&amp;$V$1&amp;"")</f>
        <v>0</v>
      </c>
      <c r="W408" s="281" t="s">
        <v>1</v>
      </c>
      <c r="X408" s="281" t="s">
        <v>1</v>
      </c>
      <c r="Y408" s="282" t="s">
        <v>1</v>
      </c>
      <c r="Z408" s="278" t="str" cm="1">
        <f t="array" aca="1" ref="Z408" ca="1">INDIRECT("'"&amp;$C408&amp;"'!"&amp;"$"&amp;$D408&amp;$Z$1&amp;"")</f>
        <v>CMS</v>
      </c>
      <c r="AA408" s="281" t="s">
        <v>1</v>
      </c>
      <c r="AB408" s="281" t="s">
        <v>1</v>
      </c>
      <c r="AC408" s="279" t="s">
        <v>1</v>
      </c>
      <c r="AD408" s="280" cm="1">
        <f t="array" aca="1" ref="AD408" ca="1">INDIRECT("'"&amp;$C408&amp;"'!"&amp;"$"&amp;$D408&amp;$AD$1&amp;"")</f>
        <v>0</v>
      </c>
      <c r="AE408" s="281" t="s">
        <v>1</v>
      </c>
      <c r="AF408" s="281" t="s">
        <v>1</v>
      </c>
      <c r="AG408" s="282" t="s">
        <v>1</v>
      </c>
      <c r="AH408" s="278" cm="1">
        <f t="array" aca="1" ref="AH408" ca="1">INDIRECT("'"&amp;$C408&amp;"'!"&amp;"$"&amp;$D408&amp;$AH$1&amp;"")</f>
        <v>0</v>
      </c>
      <c r="AI408" s="281" t="s">
        <v>1</v>
      </c>
      <c r="AJ408" s="281" t="s">
        <v>1</v>
      </c>
      <c r="AK408" s="282" t="s">
        <v>1</v>
      </c>
      <c r="AL408" s="278">
        <v>0</v>
      </c>
      <c r="AM408" s="282">
        <v>70.7</v>
      </c>
      <c r="AN408" s="278" cm="1">
        <f t="array" aca="1" ref="AN408" ca="1">INDIRECT("'"&amp;$C408&amp;"'!"&amp;"$"&amp;$D408&amp;$AL$1&amp;"")</f>
        <v>0</v>
      </c>
      <c r="AO408" s="281" t="s">
        <v>1</v>
      </c>
      <c r="AP408" s="279" t="s">
        <v>1</v>
      </c>
      <c r="AQ408" s="280" cm="1">
        <f t="array" aca="1" ref="AQ408" ca="1">INDIRECT("'"&amp;$C408&amp;"'!"&amp;"$"&amp;$D408&amp;$AQ$1&amp;"")</f>
        <v>0</v>
      </c>
      <c r="AR408" s="281" t="s">
        <v>1</v>
      </c>
      <c r="AS408" s="279" t="s">
        <v>1</v>
      </c>
      <c r="AT408" s="278">
        <v>13.88</v>
      </c>
      <c r="AU408" s="282">
        <v>70.599999999999994</v>
      </c>
      <c r="AV408" s="281" cm="1">
        <f t="array" aca="1" ref="AV408" ca="1">INDIRECT("'"&amp;$C408&amp;"'!"&amp;"$"&amp;$D408&amp;$AV$1&amp;"")</f>
        <v>0</v>
      </c>
      <c r="AW408" s="280" t="s">
        <v>1</v>
      </c>
      <c r="AX408" s="281" t="s">
        <v>1</v>
      </c>
      <c r="AY408" s="279" t="s">
        <v>1</v>
      </c>
      <c r="AZ408" s="281" cm="1">
        <f t="array" aca="1" ref="AZ408" ca="1">INDIRECT("'"&amp;$C408&amp;"'!"&amp;"$"&amp;$D408&amp;$AZ$1&amp;"")</f>
        <v>4</v>
      </c>
      <c r="BA408" s="280" t="s">
        <v>1</v>
      </c>
      <c r="BB408" s="281">
        <v>0.93</v>
      </c>
      <c r="BC408" s="279">
        <v>1.62</v>
      </c>
      <c r="BD408" s="283">
        <v>14.03</v>
      </c>
      <c r="BE408" s="282">
        <v>71.38</v>
      </c>
      <c r="BF408" s="283" cm="1">
        <f t="array" aca="1" ref="BF408" ca="1">INDIRECT("'"&amp;$C408&amp;"'!"&amp;"$"&amp;$D408&amp;$BF$1&amp;"")</f>
        <v>14.3</v>
      </c>
      <c r="BG408" s="281">
        <v>1</v>
      </c>
      <c r="BH408" s="279">
        <v>1.3</v>
      </c>
      <c r="BI408" s="524">
        <v>69.099999999999994</v>
      </c>
      <c r="BJ408" s="278" cm="1">
        <f t="array" aca="1" ref="BJ408" ca="1">INDIRECT("'"&amp;$C408&amp;"'!"&amp;"$"&amp;$D408&amp;$BI$1&amp;"")</f>
        <v>0</v>
      </c>
      <c r="BK408" s="280" t="s">
        <v>1</v>
      </c>
      <c r="BL408" s="279" t="s">
        <v>1</v>
      </c>
      <c r="BM408" s="283" cm="1">
        <f t="array" aca="1" ref="BM408" ca="1">INDIRECT("'"&amp;$C408&amp;"'!"&amp;"$"&amp;$D408&amp;$BM$1&amp;"")</f>
        <v>0.61</v>
      </c>
      <c r="BN408" s="281"/>
      <c r="BO408" s="281">
        <v>0.99</v>
      </c>
      <c r="BP408" s="279">
        <v>0.03</v>
      </c>
      <c r="BQ408" s="283" cm="1">
        <f t="array" aca="1" ref="BQ408" ca="1">INDIRECT("'"&amp;$C408&amp;"'!"&amp;"$"&amp;$D408&amp;$BQ$1&amp;"")</f>
        <v>0</v>
      </c>
      <c r="BR408" s="281"/>
      <c r="BS408" s="281" t="s">
        <v>1</v>
      </c>
      <c r="BT408" s="279" t="s">
        <v>1</v>
      </c>
      <c r="BU408" s="284" cm="1">
        <f t="array" aca="1" ref="BU408" ca="1">INDIRECT("'"&amp;$C408&amp;"'!"&amp;"$"&amp;$D408&amp;74&amp;"")</f>
        <v>0</v>
      </c>
      <c r="BV408" s="281"/>
      <c r="BW408" s="281" t="s">
        <v>1</v>
      </c>
      <c r="BX408" s="279" t="s">
        <v>1</v>
      </c>
    </row>
    <row r="409" spans="1:76">
      <c r="A409" s="459">
        <v>45855</v>
      </c>
      <c r="B409" s="345">
        <v>0.16666666666666699</v>
      </c>
      <c r="C409" s="305">
        <v>17</v>
      </c>
      <c r="D409" s="306" t="s">
        <v>146</v>
      </c>
      <c r="E409" s="285">
        <v>14.1</v>
      </c>
      <c r="F409" s="286">
        <v>69.900000000000006</v>
      </c>
      <c r="G409" s="287" t="str" cm="1">
        <f t="array" aca="1" ref="G409" ca="1">INDIRECT("'"&amp;$C409&amp;"'!"&amp;"$"&amp;$D409&amp;$E$1&amp;"")</f>
        <v>CMS</v>
      </c>
      <c r="H409" s="288" t="s">
        <v>1</v>
      </c>
      <c r="I409" s="286" t="s">
        <v>1</v>
      </c>
      <c r="J409" s="287" cm="1">
        <f t="array" aca="1" ref="J409" ca="1">INDIRECT("'"&amp;$C409&amp;"'!"&amp;"$"&amp;$D409&amp;$J$1&amp;"")</f>
        <v>6.6</v>
      </c>
      <c r="K409" s="288"/>
      <c r="L409" s="288">
        <v>0.97</v>
      </c>
      <c r="M409" s="286">
        <v>1.55</v>
      </c>
      <c r="N409" s="285" cm="1">
        <f t="array" aca="1" ref="N409" ca="1">INDIRECT("'"&amp;$C409&amp;"'!"&amp;"$"&amp;$D409&amp;$N$1&amp;"")</f>
        <v>0</v>
      </c>
      <c r="O409" s="288"/>
      <c r="P409" s="288" t="s">
        <v>1</v>
      </c>
      <c r="Q409" s="286" t="s">
        <v>1</v>
      </c>
      <c r="R409" s="285" cm="1">
        <f t="array" aca="1" ref="R409" ca="1">INDIRECT("'"&amp;$C409&amp;"'!"&amp;"$"&amp;$D409&amp;$R$1&amp;"")</f>
        <v>6.6</v>
      </c>
      <c r="S409" s="288"/>
      <c r="T409" s="288">
        <v>0.97</v>
      </c>
      <c r="U409" s="286">
        <v>1.55</v>
      </c>
      <c r="V409" s="287" cm="1">
        <f t="array" aca="1" ref="V409" ca="1">INDIRECT("'"&amp;$C409&amp;"'!"&amp;"$"&amp;$D409&amp;$V$1&amp;"")</f>
        <v>0</v>
      </c>
      <c r="W409" s="288" t="s">
        <v>1</v>
      </c>
      <c r="X409" s="288" t="s">
        <v>1</v>
      </c>
      <c r="Y409" s="289" t="s">
        <v>1</v>
      </c>
      <c r="Z409" s="285" t="str" cm="1">
        <f t="array" aca="1" ref="Z409" ca="1">INDIRECT("'"&amp;$C409&amp;"'!"&amp;"$"&amp;$D409&amp;$Z$1&amp;"")</f>
        <v>CMS</v>
      </c>
      <c r="AA409" s="288" t="s">
        <v>1</v>
      </c>
      <c r="AB409" s="288" t="s">
        <v>1</v>
      </c>
      <c r="AC409" s="286" t="s">
        <v>1</v>
      </c>
      <c r="AD409" s="287" cm="1">
        <f t="array" aca="1" ref="AD409" ca="1">INDIRECT("'"&amp;$C409&amp;"'!"&amp;"$"&amp;$D409&amp;$AD$1&amp;"")</f>
        <v>0</v>
      </c>
      <c r="AE409" s="288" t="s">
        <v>1</v>
      </c>
      <c r="AF409" s="288" t="s">
        <v>1</v>
      </c>
      <c r="AG409" s="289" t="s">
        <v>1</v>
      </c>
      <c r="AH409" s="285" cm="1">
        <f t="array" aca="1" ref="AH409" ca="1">INDIRECT("'"&amp;$C409&amp;"'!"&amp;"$"&amp;$D409&amp;$AH$1&amp;"")</f>
        <v>0</v>
      </c>
      <c r="AI409" s="288" t="s">
        <v>1</v>
      </c>
      <c r="AJ409" s="288" t="s">
        <v>1</v>
      </c>
      <c r="AK409" s="289" t="s">
        <v>1</v>
      </c>
      <c r="AL409" s="285">
        <v>0</v>
      </c>
      <c r="AM409" s="289">
        <v>70.599999999999994</v>
      </c>
      <c r="AN409" s="285" cm="1">
        <f t="array" aca="1" ref="AN409" ca="1">INDIRECT("'"&amp;$C409&amp;"'!"&amp;"$"&amp;$D409&amp;$AL$1&amp;"")</f>
        <v>0</v>
      </c>
      <c r="AO409" s="288" t="s">
        <v>1</v>
      </c>
      <c r="AP409" s="286" t="s">
        <v>1</v>
      </c>
      <c r="AQ409" s="287" cm="1">
        <f t="array" aca="1" ref="AQ409" ca="1">INDIRECT("'"&amp;$C409&amp;"'!"&amp;"$"&amp;$D409&amp;$AQ$1&amp;"")</f>
        <v>0</v>
      </c>
      <c r="AR409" s="288" t="s">
        <v>1</v>
      </c>
      <c r="AS409" s="286" t="s">
        <v>1</v>
      </c>
      <c r="AT409" s="285">
        <v>13.88</v>
      </c>
      <c r="AU409" s="289">
        <v>70.599999999999994</v>
      </c>
      <c r="AV409" s="288" cm="1">
        <f t="array" aca="1" ref="AV409" ca="1">INDIRECT("'"&amp;$C409&amp;"'!"&amp;"$"&amp;$D409&amp;$AV$1&amp;"")</f>
        <v>0</v>
      </c>
      <c r="AW409" s="287" t="s">
        <v>1</v>
      </c>
      <c r="AX409" s="288" t="s">
        <v>1</v>
      </c>
      <c r="AY409" s="286" t="s">
        <v>1</v>
      </c>
      <c r="AZ409" s="288" cm="1">
        <f t="array" aca="1" ref="AZ409" ca="1">INDIRECT("'"&amp;$C409&amp;"'!"&amp;"$"&amp;$D409&amp;$AZ$1&amp;"")</f>
        <v>4.3</v>
      </c>
      <c r="BA409" s="287" t="s">
        <v>1</v>
      </c>
      <c r="BB409" s="288">
        <v>0.94</v>
      </c>
      <c r="BC409" s="286">
        <v>1.61</v>
      </c>
      <c r="BD409" s="290">
        <v>14.08</v>
      </c>
      <c r="BE409" s="289">
        <v>71.62</v>
      </c>
      <c r="BF409" s="290" cm="1">
        <f t="array" aca="1" ref="BF409" ca="1">INDIRECT("'"&amp;$C409&amp;"'!"&amp;"$"&amp;$D409&amp;$BF$1&amp;"")</f>
        <v>14.27</v>
      </c>
      <c r="BG409" s="288">
        <v>1</v>
      </c>
      <c r="BH409" s="286">
        <v>1.2</v>
      </c>
      <c r="BI409" s="525">
        <v>69.099999999999994</v>
      </c>
      <c r="BJ409" s="285" cm="1">
        <f t="array" aca="1" ref="BJ409" ca="1">INDIRECT("'"&amp;$C409&amp;"'!"&amp;"$"&amp;$D409&amp;$BI$1&amp;"")</f>
        <v>0</v>
      </c>
      <c r="BK409" s="287" t="s">
        <v>1</v>
      </c>
      <c r="BL409" s="286" t="s">
        <v>1</v>
      </c>
      <c r="BM409" s="290" cm="1">
        <f t="array" aca="1" ref="BM409" ca="1">INDIRECT("'"&amp;$C409&amp;"'!"&amp;"$"&amp;$D409&amp;$BM$1&amp;"")</f>
        <v>0.62</v>
      </c>
      <c r="BN409" s="288"/>
      <c r="BO409" s="288">
        <v>0.99</v>
      </c>
      <c r="BP409" s="286">
        <v>0.03</v>
      </c>
      <c r="BQ409" s="290" cm="1">
        <f t="array" aca="1" ref="BQ409" ca="1">INDIRECT("'"&amp;$C409&amp;"'!"&amp;"$"&amp;$D409&amp;$BQ$1&amp;"")</f>
        <v>0.67</v>
      </c>
      <c r="BR409" s="288"/>
      <c r="BS409" s="288">
        <v>0.96</v>
      </c>
      <c r="BT409" s="286">
        <v>0.18</v>
      </c>
      <c r="BU409" s="291" cm="1">
        <f t="array" aca="1" ref="BU409" ca="1">INDIRECT("'"&amp;$C409&amp;"'!"&amp;"$"&amp;$D409&amp;74&amp;"")</f>
        <v>0</v>
      </c>
      <c r="BV409" s="288"/>
      <c r="BW409" s="288" t="s">
        <v>1</v>
      </c>
      <c r="BX409" s="286" t="s">
        <v>1</v>
      </c>
    </row>
    <row r="410" spans="1:76">
      <c r="A410" s="459">
        <v>45855</v>
      </c>
      <c r="B410" s="345">
        <v>0.20833333333333301</v>
      </c>
      <c r="C410" s="305">
        <v>17</v>
      </c>
      <c r="D410" s="306" t="s">
        <v>147</v>
      </c>
      <c r="E410" s="278">
        <v>14.1</v>
      </c>
      <c r="F410" s="279">
        <v>70.5</v>
      </c>
      <c r="G410" s="280" t="str" cm="1">
        <f t="array" aca="1" ref="G410" ca="1">INDIRECT("'"&amp;$C410&amp;"'!"&amp;"$"&amp;$D410&amp;$E$1&amp;"")</f>
        <v>CMS</v>
      </c>
      <c r="H410" s="281" t="s">
        <v>1</v>
      </c>
      <c r="I410" s="279" t="s">
        <v>1</v>
      </c>
      <c r="J410" s="280" cm="1">
        <f t="array" aca="1" ref="J410" ca="1">INDIRECT("'"&amp;$C410&amp;"'!"&amp;"$"&amp;$D410&amp;$J$1&amp;"")</f>
        <v>6.1</v>
      </c>
      <c r="K410" s="281"/>
      <c r="L410" s="281">
        <v>1</v>
      </c>
      <c r="M410" s="279">
        <v>0</v>
      </c>
      <c r="N410" s="278" cm="1">
        <f t="array" aca="1" ref="N410" ca="1">INDIRECT("'"&amp;$C410&amp;"'!"&amp;"$"&amp;$D410&amp;$N$1&amp;"")</f>
        <v>0</v>
      </c>
      <c r="O410" s="281"/>
      <c r="P410" s="281" t="s">
        <v>1</v>
      </c>
      <c r="Q410" s="279" t="s">
        <v>1</v>
      </c>
      <c r="R410" s="468" cm="1">
        <f t="array" aca="1" ref="R410" ca="1">INDIRECT("'"&amp;$C410&amp;"'!"&amp;"$"&amp;$D410&amp;$R$1&amp;"")</f>
        <v>6.1</v>
      </c>
      <c r="S410" s="281"/>
      <c r="T410" s="281">
        <v>1</v>
      </c>
      <c r="U410" s="279">
        <v>0</v>
      </c>
      <c r="V410" s="280" cm="1">
        <f t="array" aca="1" ref="V410" ca="1">INDIRECT("'"&amp;$C410&amp;"'!"&amp;"$"&amp;$D410&amp;$V$1&amp;"")</f>
        <v>0</v>
      </c>
      <c r="W410" s="281" t="s">
        <v>1</v>
      </c>
      <c r="X410" s="281" t="s">
        <v>1</v>
      </c>
      <c r="Y410" s="282" t="s">
        <v>1</v>
      </c>
      <c r="Z410" s="278" t="str" cm="1">
        <f t="array" aca="1" ref="Z410" ca="1">INDIRECT("'"&amp;$C410&amp;"'!"&amp;"$"&amp;$D410&amp;$Z$1&amp;"")</f>
        <v>CMS</v>
      </c>
      <c r="AA410" s="281" t="s">
        <v>1</v>
      </c>
      <c r="AB410" s="281" t="s">
        <v>1</v>
      </c>
      <c r="AC410" s="279" t="s">
        <v>1</v>
      </c>
      <c r="AD410" s="280" cm="1">
        <f t="array" aca="1" ref="AD410" ca="1">INDIRECT("'"&amp;$C410&amp;"'!"&amp;"$"&amp;$D410&amp;$AD$1&amp;"")</f>
        <v>0</v>
      </c>
      <c r="AE410" s="281" t="s">
        <v>1</v>
      </c>
      <c r="AF410" s="281" t="s">
        <v>1</v>
      </c>
      <c r="AG410" s="282" t="s">
        <v>1</v>
      </c>
      <c r="AH410" s="278" cm="1">
        <f t="array" aca="1" ref="AH410" ca="1">INDIRECT("'"&amp;$C410&amp;"'!"&amp;"$"&amp;$D410&amp;$AH$1&amp;"")</f>
        <v>0</v>
      </c>
      <c r="AI410" s="281" t="s">
        <v>1</v>
      </c>
      <c r="AJ410" s="281" t="s">
        <v>1</v>
      </c>
      <c r="AK410" s="282" t="s">
        <v>1</v>
      </c>
      <c r="AL410" s="278">
        <v>0</v>
      </c>
      <c r="AM410" s="282">
        <v>70.8</v>
      </c>
      <c r="AN410" s="278" cm="1">
        <f t="array" aca="1" ref="AN410" ca="1">INDIRECT("'"&amp;$C410&amp;"'!"&amp;"$"&amp;$D410&amp;$AL$1&amp;"")</f>
        <v>0</v>
      </c>
      <c r="AO410" s="281" t="s">
        <v>1</v>
      </c>
      <c r="AP410" s="279" t="s">
        <v>1</v>
      </c>
      <c r="AQ410" s="280" cm="1">
        <f t="array" aca="1" ref="AQ410" ca="1">INDIRECT("'"&amp;$C410&amp;"'!"&amp;"$"&amp;$D410&amp;$AQ$1&amp;"")</f>
        <v>0</v>
      </c>
      <c r="AR410" s="281" t="s">
        <v>1</v>
      </c>
      <c r="AS410" s="279" t="s">
        <v>1</v>
      </c>
      <c r="AT410" s="278">
        <v>13.91</v>
      </c>
      <c r="AU410" s="282">
        <v>70.599999999999994</v>
      </c>
      <c r="AV410" s="281" cm="1">
        <f t="array" aca="1" ref="AV410" ca="1">INDIRECT("'"&amp;$C410&amp;"'!"&amp;"$"&amp;$D410&amp;$AV$1&amp;"")</f>
        <v>0</v>
      </c>
      <c r="AW410" s="280" t="s">
        <v>1</v>
      </c>
      <c r="AX410" s="281" t="s">
        <v>1</v>
      </c>
      <c r="AY410" s="279" t="s">
        <v>1</v>
      </c>
      <c r="AZ410" s="281" cm="1">
        <f t="array" aca="1" ref="AZ410" ca="1">INDIRECT("'"&amp;$C410&amp;"'!"&amp;"$"&amp;$D410&amp;$AZ$1&amp;"")</f>
        <v>4</v>
      </c>
      <c r="BA410" s="280" t="s">
        <v>1</v>
      </c>
      <c r="BB410" s="281">
        <v>0.97</v>
      </c>
      <c r="BC410" s="279">
        <v>1.1599999999999999</v>
      </c>
      <c r="BD410" s="283">
        <v>14.11</v>
      </c>
      <c r="BE410" s="282">
        <v>71.73</v>
      </c>
      <c r="BF410" s="283" cm="1">
        <f t="array" aca="1" ref="BF410" ca="1">INDIRECT("'"&amp;$C410&amp;"'!"&amp;"$"&amp;$D410&amp;$BF$1&amp;"")</f>
        <v>14.27</v>
      </c>
      <c r="BG410" s="281">
        <v>1</v>
      </c>
      <c r="BH410" s="279">
        <v>1.2</v>
      </c>
      <c r="BI410" s="524">
        <v>69.599999999999994</v>
      </c>
      <c r="BJ410" s="278" cm="1">
        <f t="array" aca="1" ref="BJ410" ca="1">INDIRECT("'"&amp;$C410&amp;"'!"&amp;"$"&amp;$D410&amp;$BI$1&amp;"")</f>
        <v>0</v>
      </c>
      <c r="BK410" s="280" t="s">
        <v>1</v>
      </c>
      <c r="BL410" s="279" t="s">
        <v>1</v>
      </c>
      <c r="BM410" s="283" cm="1">
        <f t="array" aca="1" ref="BM410" ca="1">INDIRECT("'"&amp;$C410&amp;"'!"&amp;"$"&amp;$D410&amp;$BM$1&amp;"")</f>
        <v>0</v>
      </c>
      <c r="BN410" s="281"/>
      <c r="BO410" s="281" t="s">
        <v>1</v>
      </c>
      <c r="BP410" s="279" t="s">
        <v>1</v>
      </c>
      <c r="BQ410" s="283" cm="1">
        <f t="array" aca="1" ref="BQ410" ca="1">INDIRECT("'"&amp;$C410&amp;"'!"&amp;"$"&amp;$D410&amp;$BQ$1&amp;"")</f>
        <v>0.61</v>
      </c>
      <c r="BR410" s="281"/>
      <c r="BS410" s="281">
        <v>0.97</v>
      </c>
      <c r="BT410" s="279">
        <v>0.15</v>
      </c>
      <c r="BU410" s="284" cm="1">
        <f t="array" aca="1" ref="BU410" ca="1">INDIRECT("'"&amp;$C410&amp;"'!"&amp;"$"&amp;$D410&amp;74&amp;"")</f>
        <v>0</v>
      </c>
      <c r="BV410" s="281"/>
      <c r="BW410" s="281" t="s">
        <v>1</v>
      </c>
      <c r="BX410" s="279" t="s">
        <v>1</v>
      </c>
    </row>
    <row r="411" spans="1:76">
      <c r="A411" s="459">
        <v>45855</v>
      </c>
      <c r="B411" s="345">
        <v>0.25</v>
      </c>
      <c r="C411" s="305">
        <v>17</v>
      </c>
      <c r="D411" s="306" t="s">
        <v>148</v>
      </c>
      <c r="E411" s="285">
        <v>14</v>
      </c>
      <c r="F411" s="286">
        <v>69.900000000000006</v>
      </c>
      <c r="G411" s="287" t="str" cm="1">
        <f t="array" aca="1" ref="G411" ca="1">INDIRECT("'"&amp;$C411&amp;"'!"&amp;"$"&amp;$D411&amp;$E$1&amp;"")</f>
        <v>CMS</v>
      </c>
      <c r="H411" s="288" t="s">
        <v>1</v>
      </c>
      <c r="I411" s="286" t="s">
        <v>1</v>
      </c>
      <c r="J411" s="287" cm="1">
        <f t="array" aca="1" ref="J411" ca="1">INDIRECT("'"&amp;$C411&amp;"'!"&amp;"$"&amp;$D411&amp;$J$1&amp;"")</f>
        <v>6.3</v>
      </c>
      <c r="K411" s="288"/>
      <c r="L411" s="288">
        <v>0.98</v>
      </c>
      <c r="M411" s="286">
        <v>1.1499999999999999</v>
      </c>
      <c r="N411" s="285" cm="1">
        <f t="array" aca="1" ref="N411" ca="1">INDIRECT("'"&amp;$C411&amp;"'!"&amp;"$"&amp;$D411&amp;$N$1&amp;"")</f>
        <v>0</v>
      </c>
      <c r="O411" s="288"/>
      <c r="P411" s="288" t="s">
        <v>1</v>
      </c>
      <c r="Q411" s="286" t="s">
        <v>1</v>
      </c>
      <c r="R411" s="285" cm="1">
        <f t="array" aca="1" ref="R411" ca="1">INDIRECT("'"&amp;$C411&amp;"'!"&amp;"$"&amp;$D411&amp;$R$1&amp;"")</f>
        <v>6.3</v>
      </c>
      <c r="S411" s="288"/>
      <c r="T411" s="288">
        <v>0.98</v>
      </c>
      <c r="U411" s="286">
        <v>1.1499999999999999</v>
      </c>
      <c r="V411" s="287" cm="1">
        <f t="array" aca="1" ref="V411" ca="1">INDIRECT("'"&amp;$C411&amp;"'!"&amp;"$"&amp;$D411&amp;$V$1&amp;"")</f>
        <v>0</v>
      </c>
      <c r="W411" s="288" t="s">
        <v>1</v>
      </c>
      <c r="X411" s="288" t="s">
        <v>1</v>
      </c>
      <c r="Y411" s="289" t="s">
        <v>1</v>
      </c>
      <c r="Z411" s="285" t="str" cm="1">
        <f t="array" aca="1" ref="Z411" ca="1">INDIRECT("'"&amp;$C411&amp;"'!"&amp;"$"&amp;$D411&amp;$Z$1&amp;"")</f>
        <v>CMS</v>
      </c>
      <c r="AA411" s="288" t="s">
        <v>1</v>
      </c>
      <c r="AB411" s="288" t="s">
        <v>1</v>
      </c>
      <c r="AC411" s="286" t="s">
        <v>1</v>
      </c>
      <c r="AD411" s="287" cm="1">
        <f t="array" aca="1" ref="AD411" ca="1">INDIRECT("'"&amp;$C411&amp;"'!"&amp;"$"&amp;$D411&amp;$AD$1&amp;"")</f>
        <v>0</v>
      </c>
      <c r="AE411" s="288" t="s">
        <v>1</v>
      </c>
      <c r="AF411" s="288" t="s">
        <v>1</v>
      </c>
      <c r="AG411" s="289" t="s">
        <v>1</v>
      </c>
      <c r="AH411" s="285" cm="1">
        <f t="array" aca="1" ref="AH411" ca="1">INDIRECT("'"&amp;$C411&amp;"'!"&amp;"$"&amp;$D411&amp;$AH$1&amp;"")</f>
        <v>0</v>
      </c>
      <c r="AI411" s="288" t="s">
        <v>1</v>
      </c>
      <c r="AJ411" s="288" t="s">
        <v>1</v>
      </c>
      <c r="AK411" s="289" t="s">
        <v>1</v>
      </c>
      <c r="AL411" s="285">
        <v>0</v>
      </c>
      <c r="AM411" s="289">
        <v>70.599999999999994</v>
      </c>
      <c r="AN411" s="285" cm="1">
        <f t="array" aca="1" ref="AN411" ca="1">INDIRECT("'"&amp;$C411&amp;"'!"&amp;"$"&amp;$D411&amp;$AL$1&amp;"")</f>
        <v>0</v>
      </c>
      <c r="AO411" s="288" t="s">
        <v>1</v>
      </c>
      <c r="AP411" s="286" t="s">
        <v>1</v>
      </c>
      <c r="AQ411" s="287" cm="1">
        <f t="array" aca="1" ref="AQ411" ca="1">INDIRECT("'"&amp;$C411&amp;"'!"&amp;"$"&amp;$D411&amp;$AQ$1&amp;"")</f>
        <v>0</v>
      </c>
      <c r="AR411" s="288" t="s">
        <v>1</v>
      </c>
      <c r="AS411" s="286" t="s">
        <v>1</v>
      </c>
      <c r="AT411" s="285">
        <v>13.99</v>
      </c>
      <c r="AU411" s="289">
        <v>71.16</v>
      </c>
      <c r="AV411" s="288" cm="1">
        <f t="array" aca="1" ref="AV411" ca="1">INDIRECT("'"&amp;$C411&amp;"'!"&amp;"$"&amp;$D411&amp;$AV$1&amp;"")</f>
        <v>0</v>
      </c>
      <c r="AW411" s="287" t="s">
        <v>1</v>
      </c>
      <c r="AX411" s="288" t="s">
        <v>1</v>
      </c>
      <c r="AY411" s="286" t="s">
        <v>1</v>
      </c>
      <c r="AZ411" s="288" cm="1">
        <f t="array" aca="1" ref="AZ411" ca="1">INDIRECT("'"&amp;$C411&amp;"'!"&amp;"$"&amp;$D411&amp;$AZ$1&amp;"")</f>
        <v>7</v>
      </c>
      <c r="BA411" s="287" t="s">
        <v>1</v>
      </c>
      <c r="BB411" s="288">
        <v>0.97</v>
      </c>
      <c r="BC411" s="286">
        <v>1.7</v>
      </c>
      <c r="BD411" s="290">
        <v>13.99</v>
      </c>
      <c r="BE411" s="289">
        <v>71.16</v>
      </c>
      <c r="BF411" s="290" cm="1">
        <f t="array" aca="1" ref="BF411" ca="1">INDIRECT("'"&amp;$C411&amp;"'!"&amp;"$"&amp;$D411&amp;$BF$1&amp;"")</f>
        <v>14.22</v>
      </c>
      <c r="BG411" s="288">
        <v>1</v>
      </c>
      <c r="BH411" s="286">
        <v>1.3</v>
      </c>
      <c r="BI411" s="525">
        <v>68.8</v>
      </c>
      <c r="BJ411" s="285" cm="1">
        <f t="array" aca="1" ref="BJ411" ca="1">INDIRECT("'"&amp;$C411&amp;"'!"&amp;"$"&amp;$D411&amp;$BI$1&amp;"")</f>
        <v>0</v>
      </c>
      <c r="BK411" s="287" t="s">
        <v>1</v>
      </c>
      <c r="BL411" s="286" t="s">
        <v>1</v>
      </c>
      <c r="BM411" s="290" cm="1">
        <f t="array" aca="1" ref="BM411" ca="1">INDIRECT("'"&amp;$C411&amp;"'!"&amp;"$"&amp;$D411&amp;$BM$1&amp;"")</f>
        <v>0</v>
      </c>
      <c r="BN411" s="288"/>
      <c r="BO411" s="288" t="s">
        <v>1</v>
      </c>
      <c r="BP411" s="286" t="s">
        <v>1</v>
      </c>
      <c r="BQ411" s="290" cm="1">
        <f t="array" aca="1" ref="BQ411" ca="1">INDIRECT("'"&amp;$C411&amp;"'!"&amp;"$"&amp;$D411&amp;$BQ$1&amp;"")</f>
        <v>0.65</v>
      </c>
      <c r="BR411" s="288"/>
      <c r="BS411" s="288">
        <v>0.97</v>
      </c>
      <c r="BT411" s="286">
        <v>0.15</v>
      </c>
      <c r="BU411" s="291" cm="1">
        <f t="array" aca="1" ref="BU411" ca="1">INDIRECT("'"&amp;$C411&amp;"'!"&amp;"$"&amp;$D411&amp;74&amp;"")</f>
        <v>0</v>
      </c>
      <c r="BV411" s="288"/>
      <c r="BW411" s="288" t="s">
        <v>1</v>
      </c>
      <c r="BX411" s="286" t="s">
        <v>1</v>
      </c>
    </row>
    <row r="412" spans="1:76">
      <c r="A412" s="459">
        <v>45855</v>
      </c>
      <c r="B412" s="345">
        <v>0.29166666666666702</v>
      </c>
      <c r="C412" s="305">
        <v>17</v>
      </c>
      <c r="D412" s="306" t="s">
        <v>149</v>
      </c>
      <c r="E412" s="278">
        <v>14</v>
      </c>
      <c r="F412" s="279">
        <v>69.95</v>
      </c>
      <c r="G412" s="280" t="str" cm="1">
        <f t="array" aca="1" ref="G412" ca="1">INDIRECT("'"&amp;$C412&amp;"'!"&amp;"$"&amp;$D412&amp;$E$1&amp;"")</f>
        <v>CMS</v>
      </c>
      <c r="H412" s="281" t="s">
        <v>1</v>
      </c>
      <c r="I412" s="279" t="s">
        <v>1</v>
      </c>
      <c r="J412" s="280" cm="1">
        <f t="array" aca="1" ref="J412" ca="1">INDIRECT("'"&amp;$C412&amp;"'!"&amp;"$"&amp;$D412&amp;$J$1&amp;"")</f>
        <v>6</v>
      </c>
      <c r="K412" s="281"/>
      <c r="L412" s="281">
        <v>0.98</v>
      </c>
      <c r="M412" s="279">
        <v>1.24</v>
      </c>
      <c r="N412" s="278" cm="1">
        <f t="array" aca="1" ref="N412" ca="1">INDIRECT("'"&amp;$C412&amp;"'!"&amp;"$"&amp;$D412&amp;$N$1&amp;"")</f>
        <v>1.5</v>
      </c>
      <c r="O412" s="281"/>
      <c r="P412" s="281">
        <v>1</v>
      </c>
      <c r="Q412" s="279">
        <v>0</v>
      </c>
      <c r="R412" s="468" cm="1">
        <f t="array" aca="1" ref="R412" ca="1">INDIRECT("'"&amp;$C412&amp;"'!"&amp;"$"&amp;$D412&amp;$R$1&amp;"")</f>
        <v>6</v>
      </c>
      <c r="S412" s="281"/>
      <c r="T412" s="281">
        <v>0.99</v>
      </c>
      <c r="U412" s="279">
        <v>0.94</v>
      </c>
      <c r="V412" s="280" cm="1">
        <f t="array" aca="1" ref="V412" ca="1">INDIRECT("'"&amp;$C412&amp;"'!"&amp;"$"&amp;$D412&amp;$V$1&amp;"")</f>
        <v>0</v>
      </c>
      <c r="W412" s="281" t="s">
        <v>1</v>
      </c>
      <c r="X412" s="281" t="s">
        <v>1</v>
      </c>
      <c r="Y412" s="282" t="s">
        <v>1</v>
      </c>
      <c r="Z412" s="278" t="str" cm="1">
        <f t="array" aca="1" ref="Z412" ca="1">INDIRECT("'"&amp;$C412&amp;"'!"&amp;"$"&amp;$D412&amp;$Z$1&amp;"")</f>
        <v>CMS</v>
      </c>
      <c r="AA412" s="281" t="s">
        <v>1</v>
      </c>
      <c r="AB412" s="281" t="s">
        <v>1</v>
      </c>
      <c r="AC412" s="279" t="s">
        <v>1</v>
      </c>
      <c r="AD412" s="280" cm="1">
        <f t="array" aca="1" ref="AD412" ca="1">INDIRECT("'"&amp;$C412&amp;"'!"&amp;"$"&amp;$D412&amp;$AD$1&amp;"")</f>
        <v>0</v>
      </c>
      <c r="AE412" s="281" t="s">
        <v>1</v>
      </c>
      <c r="AF412" s="281" t="s">
        <v>1</v>
      </c>
      <c r="AG412" s="282" t="s">
        <v>1</v>
      </c>
      <c r="AH412" s="278" cm="1">
        <f t="array" aca="1" ref="AH412" ca="1">INDIRECT("'"&amp;$C412&amp;"'!"&amp;"$"&amp;$D412&amp;$AH$1&amp;"")</f>
        <v>0</v>
      </c>
      <c r="AI412" s="281" t="s">
        <v>1</v>
      </c>
      <c r="AJ412" s="281" t="s">
        <v>1</v>
      </c>
      <c r="AK412" s="282" t="s">
        <v>1</v>
      </c>
      <c r="AL412" s="278">
        <v>0</v>
      </c>
      <c r="AM412" s="282">
        <v>70.7</v>
      </c>
      <c r="AN412" s="278" cm="1">
        <f t="array" aca="1" ref="AN412" ca="1">INDIRECT("'"&amp;$C412&amp;"'!"&amp;"$"&amp;$D412&amp;$AL$1&amp;"")</f>
        <v>0</v>
      </c>
      <c r="AO412" s="281" t="s">
        <v>1</v>
      </c>
      <c r="AP412" s="279" t="s">
        <v>1</v>
      </c>
      <c r="AQ412" s="280" cm="1">
        <f t="array" aca="1" ref="AQ412" ca="1">INDIRECT("'"&amp;$C412&amp;"'!"&amp;"$"&amp;$D412&amp;$AQ$1&amp;"")</f>
        <v>0</v>
      </c>
      <c r="AR412" s="281" t="s">
        <v>1</v>
      </c>
      <c r="AS412" s="279" t="s">
        <v>1</v>
      </c>
      <c r="AT412" s="278">
        <v>13.88</v>
      </c>
      <c r="AU412" s="282">
        <v>70.599999999999994</v>
      </c>
      <c r="AV412" s="281" cm="1">
        <f t="array" aca="1" ref="AV412" ca="1">INDIRECT("'"&amp;$C412&amp;"'!"&amp;"$"&amp;$D412&amp;$AV$1&amp;"")</f>
        <v>0</v>
      </c>
      <c r="AW412" s="280" t="s">
        <v>1</v>
      </c>
      <c r="AX412" s="281" t="s">
        <v>1</v>
      </c>
      <c r="AY412" s="279" t="s">
        <v>1</v>
      </c>
      <c r="AZ412" s="281" cm="1">
        <f t="array" aca="1" ref="AZ412" ca="1">INDIRECT("'"&amp;$C412&amp;"'!"&amp;"$"&amp;$D412&amp;$AZ$1&amp;"")</f>
        <v>5.4</v>
      </c>
      <c r="BA412" s="280" t="s">
        <v>1</v>
      </c>
      <c r="BB412" s="281">
        <v>0.96</v>
      </c>
      <c r="BC412" s="279">
        <v>1.53</v>
      </c>
      <c r="BD412" s="283">
        <v>14.15</v>
      </c>
      <c r="BE412" s="282">
        <v>71.67</v>
      </c>
      <c r="BF412" s="283" cm="1">
        <f t="array" aca="1" ref="BF412" ca="1">INDIRECT("'"&amp;$C412&amp;"'!"&amp;"$"&amp;$D412&amp;$BF$1&amp;"")</f>
        <v>14.26</v>
      </c>
      <c r="BG412" s="281">
        <v>0.99</v>
      </c>
      <c r="BH412" s="279">
        <v>2.2999999999999998</v>
      </c>
      <c r="BI412" s="524">
        <v>68.5</v>
      </c>
      <c r="BJ412" s="278" cm="1">
        <f t="array" aca="1" ref="BJ412" ca="1">INDIRECT("'"&amp;$C412&amp;"'!"&amp;"$"&amp;$D412&amp;$BI$1&amp;"")</f>
        <v>0</v>
      </c>
      <c r="BK412" s="280" t="s">
        <v>1</v>
      </c>
      <c r="BL412" s="279" t="s">
        <v>1</v>
      </c>
      <c r="BM412" s="283" cm="1">
        <f t="array" aca="1" ref="BM412" ca="1">INDIRECT("'"&amp;$C412&amp;"'!"&amp;"$"&amp;$D412&amp;$BM$1&amp;"")</f>
        <v>0.7</v>
      </c>
      <c r="BN412" s="281"/>
      <c r="BO412" s="281">
        <v>0.99</v>
      </c>
      <c r="BP412" s="279">
        <v>7.0000000000000007E-2</v>
      </c>
      <c r="BQ412" s="284" cm="1">
        <f t="array" aca="1" ref="BQ412" ca="1">INDIRECT("'"&amp;$C412&amp;"'!"&amp;"$"&amp;$D412&amp;$BQ$1&amp;"")</f>
        <v>0</v>
      </c>
      <c r="BR412" s="281"/>
      <c r="BS412" s="281" t="s">
        <v>1</v>
      </c>
      <c r="BT412" s="279" t="s">
        <v>1</v>
      </c>
      <c r="BU412" s="284" cm="1">
        <f t="array" aca="1" ref="BU412" ca="1">INDIRECT("'"&amp;$C412&amp;"'!"&amp;"$"&amp;$D412&amp;74&amp;"")</f>
        <v>0</v>
      </c>
      <c r="BV412" s="281"/>
      <c r="BW412" s="281" t="s">
        <v>1</v>
      </c>
      <c r="BX412" s="279" t="s">
        <v>1</v>
      </c>
    </row>
    <row r="413" spans="1:76">
      <c r="A413" s="459">
        <v>45855</v>
      </c>
      <c r="B413" s="345">
        <v>0.33333333333333398</v>
      </c>
      <c r="C413" s="305">
        <v>17</v>
      </c>
      <c r="D413" s="306" t="s">
        <v>150</v>
      </c>
      <c r="E413" s="285">
        <v>13.9</v>
      </c>
      <c r="F413" s="286">
        <v>70.88</v>
      </c>
      <c r="G413" s="287" t="str" cm="1">
        <f t="array" aca="1" ref="G413" ca="1">INDIRECT("'"&amp;$C413&amp;"'!"&amp;"$"&amp;$D413&amp;$E$1&amp;"")</f>
        <v>CMS</v>
      </c>
      <c r="H413" s="288" t="s">
        <v>1</v>
      </c>
      <c r="I413" s="286" t="s">
        <v>1</v>
      </c>
      <c r="J413" s="287" cm="1">
        <f t="array" aca="1" ref="J413" ca="1">INDIRECT("'"&amp;$C413&amp;"'!"&amp;"$"&amp;$D413&amp;$J$1&amp;"")</f>
        <v>6.7</v>
      </c>
      <c r="K413" s="288"/>
      <c r="L413" s="288">
        <v>0.97</v>
      </c>
      <c r="M413" s="289">
        <v>1.6</v>
      </c>
      <c r="N413" s="285" cm="1">
        <f t="array" aca="1" ref="N413" ca="1">INDIRECT("'"&amp;$C413&amp;"'!"&amp;"$"&amp;$D413&amp;$N$1&amp;"")</f>
        <v>6.7</v>
      </c>
      <c r="O413" s="288"/>
      <c r="P413" s="288">
        <v>0.96</v>
      </c>
      <c r="Q413" s="286">
        <v>1.93</v>
      </c>
      <c r="R413" s="285" cm="1">
        <f t="array" aca="1" ref="R413" ca="1">INDIRECT("'"&amp;$C413&amp;"'!"&amp;"$"&amp;$D413&amp;$R$1&amp;"")</f>
        <v>0</v>
      </c>
      <c r="S413" s="288"/>
      <c r="T413" s="288" t="s">
        <v>1</v>
      </c>
      <c r="U413" s="286" t="s">
        <v>1</v>
      </c>
      <c r="V413" s="287" cm="1">
        <f t="array" aca="1" ref="V413" ca="1">INDIRECT("'"&amp;$C413&amp;"'!"&amp;"$"&amp;$D413&amp;$V$1&amp;"")</f>
        <v>0</v>
      </c>
      <c r="W413" s="288" t="s">
        <v>1</v>
      </c>
      <c r="X413" s="288" t="s">
        <v>1</v>
      </c>
      <c r="Y413" s="289" t="s">
        <v>1</v>
      </c>
      <c r="Z413" s="285" t="str" cm="1">
        <f t="array" aca="1" ref="Z413" ca="1">INDIRECT("'"&amp;$C413&amp;"'!"&amp;"$"&amp;$D413&amp;$Z$1&amp;"")</f>
        <v>CMS</v>
      </c>
      <c r="AA413" s="288" t="s">
        <v>1</v>
      </c>
      <c r="AB413" s="288" t="s">
        <v>1</v>
      </c>
      <c r="AC413" s="286" t="s">
        <v>1</v>
      </c>
      <c r="AD413" s="287" cm="1">
        <f t="array" aca="1" ref="AD413" ca="1">INDIRECT("'"&amp;$C413&amp;"'!"&amp;"$"&amp;$D413&amp;$AD$1&amp;"")</f>
        <v>0</v>
      </c>
      <c r="AE413" s="288" t="s">
        <v>1</v>
      </c>
      <c r="AF413" s="288" t="s">
        <v>1</v>
      </c>
      <c r="AG413" s="289" t="s">
        <v>1</v>
      </c>
      <c r="AH413" s="285" cm="1">
        <f t="array" aca="1" ref="AH413" ca="1">INDIRECT("'"&amp;$C413&amp;"'!"&amp;"$"&amp;$D413&amp;$AH$1&amp;"")</f>
        <v>0</v>
      </c>
      <c r="AI413" s="288" t="s">
        <v>1</v>
      </c>
      <c r="AJ413" s="288" t="s">
        <v>1</v>
      </c>
      <c r="AK413" s="289" t="s">
        <v>1</v>
      </c>
      <c r="AL413" s="285">
        <v>11.7</v>
      </c>
      <c r="AM413" s="289">
        <v>70.400000000000006</v>
      </c>
      <c r="AN413" s="285" cm="1">
        <f t="array" aca="1" ref="AN413" ca="1">INDIRECT("'"&amp;$C413&amp;"'!"&amp;"$"&amp;$D413&amp;$AL$1&amp;"")</f>
        <v>2.7</v>
      </c>
      <c r="AO413" s="288">
        <v>0.98</v>
      </c>
      <c r="AP413" s="286">
        <v>0.46</v>
      </c>
      <c r="AQ413" s="287" cm="1">
        <f t="array" aca="1" ref="AQ413" ca="1">INDIRECT("'"&amp;$C413&amp;"'!"&amp;"$"&amp;$D413&amp;$AQ$1&amp;"")</f>
        <v>0</v>
      </c>
      <c r="AR413" s="288" t="s">
        <v>1</v>
      </c>
      <c r="AS413" s="286" t="s">
        <v>1</v>
      </c>
      <c r="AT413" s="285">
        <v>13.84</v>
      </c>
      <c r="AU413" s="289">
        <v>70.599999999999994</v>
      </c>
      <c r="AV413" s="288" cm="1">
        <f t="array" aca="1" ref="AV413" ca="1">INDIRECT("'"&amp;$C413&amp;"'!"&amp;"$"&amp;$D413&amp;$AV$1&amp;"")</f>
        <v>0</v>
      </c>
      <c r="AW413" s="287" t="s">
        <v>1</v>
      </c>
      <c r="AX413" s="288" t="s">
        <v>1</v>
      </c>
      <c r="AY413" s="286" t="s">
        <v>1</v>
      </c>
      <c r="AZ413" s="288" cm="1">
        <f t="array" aca="1" ref="AZ413" ca="1">INDIRECT("'"&amp;$C413&amp;"'!"&amp;"$"&amp;$D413&amp;$AZ$1&amp;"")</f>
        <v>7</v>
      </c>
      <c r="BA413" s="287" t="s">
        <v>1</v>
      </c>
      <c r="BB413" s="288">
        <v>0.97</v>
      </c>
      <c r="BC413" s="286">
        <v>2</v>
      </c>
      <c r="BD413" s="290">
        <v>14.07</v>
      </c>
      <c r="BE413" s="289">
        <v>71.12</v>
      </c>
      <c r="BF413" s="290" cm="1">
        <f t="array" aca="1" ref="BF413" ca="1">INDIRECT("'"&amp;$C413&amp;"'!"&amp;"$"&amp;$D413&amp;$BF$1&amp;"")</f>
        <v>14.27</v>
      </c>
      <c r="BG413" s="288">
        <v>0.99</v>
      </c>
      <c r="BH413" s="286">
        <v>2.2999999999999998</v>
      </c>
      <c r="BI413" s="525">
        <v>68.099999999999994</v>
      </c>
      <c r="BJ413" s="285" cm="1">
        <f t="array" aca="1" ref="BJ413" ca="1">INDIRECT("'"&amp;$C413&amp;"'!"&amp;"$"&amp;$D413&amp;$BI$1&amp;"")</f>
        <v>0</v>
      </c>
      <c r="BK413" s="287" t="s">
        <v>1</v>
      </c>
      <c r="BL413" s="286" t="s">
        <v>1</v>
      </c>
      <c r="BM413" s="290" cm="1">
        <f t="array" aca="1" ref="BM413" ca="1">INDIRECT("'"&amp;$C413&amp;"'!"&amp;"$"&amp;$D413&amp;$BM$1&amp;"")</f>
        <v>0.71</v>
      </c>
      <c r="BN413" s="288"/>
      <c r="BO413" s="288">
        <v>0.99</v>
      </c>
      <c r="BP413" s="286">
        <v>0.05</v>
      </c>
      <c r="BQ413" s="291" cm="1">
        <f t="array" aca="1" ref="BQ413" ca="1">INDIRECT("'"&amp;$C413&amp;"'!"&amp;"$"&amp;$D413&amp;$BQ$1&amp;"")</f>
        <v>0.36</v>
      </c>
      <c r="BR413" s="288"/>
      <c r="BS413" s="288">
        <v>0.99</v>
      </c>
      <c r="BT413" s="286">
        <v>7.0000000000000007E-2</v>
      </c>
      <c r="BU413" s="291" cm="1">
        <f t="array" aca="1" ref="BU413" ca="1">INDIRECT("'"&amp;$C413&amp;"'!"&amp;"$"&amp;$D413&amp;74&amp;"")</f>
        <v>0</v>
      </c>
      <c r="BV413" s="288"/>
      <c r="BW413" s="288" t="s">
        <v>1</v>
      </c>
      <c r="BX413" s="286" t="s">
        <v>1</v>
      </c>
    </row>
    <row r="414" spans="1:76">
      <c r="A414" s="459">
        <v>45855</v>
      </c>
      <c r="B414" s="345">
        <v>0.375</v>
      </c>
      <c r="C414" s="305">
        <v>17</v>
      </c>
      <c r="D414" s="306" t="s">
        <v>151</v>
      </c>
      <c r="E414" s="278">
        <v>14</v>
      </c>
      <c r="F414" s="279">
        <v>68.58</v>
      </c>
      <c r="G414" s="280" t="str" cm="1">
        <f t="array" aca="1" ref="G414" ca="1">INDIRECT("'"&amp;$C414&amp;"'!"&amp;"$"&amp;$D414&amp;$E$1&amp;"")</f>
        <v>CMS</v>
      </c>
      <c r="H414" s="281" t="s">
        <v>1</v>
      </c>
      <c r="I414" s="279" t="s">
        <v>1</v>
      </c>
      <c r="J414" s="280" cm="1">
        <f t="array" aca="1" ref="J414" ca="1">INDIRECT("'"&amp;$C414&amp;"'!"&amp;"$"&amp;$D414&amp;$J$1&amp;"")</f>
        <v>6.6</v>
      </c>
      <c r="K414" s="281"/>
      <c r="L414" s="281">
        <v>0.93</v>
      </c>
      <c r="M414" s="282">
        <v>2.21</v>
      </c>
      <c r="N414" s="278" cm="1">
        <f t="array" aca="1" ref="N414" ca="1">INDIRECT("'"&amp;$C414&amp;"'!"&amp;"$"&amp;$D414&amp;$N$1&amp;"")</f>
        <v>6.6</v>
      </c>
      <c r="O414" s="281"/>
      <c r="P414" s="281">
        <v>0.93</v>
      </c>
      <c r="Q414" s="279">
        <v>2.54</v>
      </c>
      <c r="R414" s="468" cm="1">
        <f t="array" aca="1" ref="R414" ca="1">INDIRECT("'"&amp;$C414&amp;"'!"&amp;"$"&amp;$D414&amp;$R$1&amp;"")</f>
        <v>6.3</v>
      </c>
      <c r="S414" s="281"/>
      <c r="T414" s="281">
        <v>0.94</v>
      </c>
      <c r="U414" s="279">
        <v>2.25</v>
      </c>
      <c r="V414" s="280" cm="1">
        <f t="array" aca="1" ref="V414" ca="1">INDIRECT("'"&amp;$C414&amp;"'!"&amp;"$"&amp;$D414&amp;$V$1&amp;"")</f>
        <v>0</v>
      </c>
      <c r="W414" s="281" t="s">
        <v>1</v>
      </c>
      <c r="X414" s="281" t="s">
        <v>1</v>
      </c>
      <c r="Y414" s="282" t="s">
        <v>1</v>
      </c>
      <c r="Z414" s="278" t="str" cm="1">
        <f t="array" aca="1" ref="Z414" ca="1">INDIRECT("'"&amp;$C414&amp;"'!"&amp;"$"&amp;$D414&amp;$Z$1&amp;"")</f>
        <v>CMS</v>
      </c>
      <c r="AA414" s="281" t="s">
        <v>1</v>
      </c>
      <c r="AB414" s="281" t="s">
        <v>1</v>
      </c>
      <c r="AC414" s="279" t="s">
        <v>1</v>
      </c>
      <c r="AD414" s="280" cm="1">
        <f t="array" aca="1" ref="AD414" ca="1">INDIRECT("'"&amp;$C414&amp;"'!"&amp;"$"&amp;$D414&amp;$AD$1&amp;"")</f>
        <v>0</v>
      </c>
      <c r="AE414" s="281" t="s">
        <v>1</v>
      </c>
      <c r="AF414" s="281" t="s">
        <v>1</v>
      </c>
      <c r="AG414" s="282" t="s">
        <v>1</v>
      </c>
      <c r="AH414" s="278" cm="1">
        <f t="array" aca="1" ref="AH414" ca="1">INDIRECT("'"&amp;$C414&amp;"'!"&amp;"$"&amp;$D414&amp;$AH$1&amp;"")</f>
        <v>0</v>
      </c>
      <c r="AI414" s="281" t="s">
        <v>1</v>
      </c>
      <c r="AJ414" s="281" t="s">
        <v>1</v>
      </c>
      <c r="AK414" s="282" t="s">
        <v>1</v>
      </c>
      <c r="AL414" s="278">
        <v>11.5</v>
      </c>
      <c r="AM414" s="282">
        <v>70.2</v>
      </c>
      <c r="AN414" s="278" cm="1">
        <f t="array" aca="1" ref="AN414" ca="1">INDIRECT("'"&amp;$C414&amp;"'!"&amp;"$"&amp;$D414&amp;$AL$1&amp;"")</f>
        <v>3.8</v>
      </c>
      <c r="AO414" s="281">
        <v>0.96</v>
      </c>
      <c r="AP414" s="279">
        <v>0.84899999999999998</v>
      </c>
      <c r="AQ414" s="280" cm="1">
        <f t="array" aca="1" ref="AQ414" ca="1">INDIRECT("'"&amp;$C414&amp;"'!"&amp;"$"&amp;$D414&amp;$AQ$1&amp;"")</f>
        <v>0</v>
      </c>
      <c r="AR414" s="281" t="s">
        <v>1</v>
      </c>
      <c r="AS414" s="279" t="s">
        <v>1</v>
      </c>
      <c r="AT414" s="278">
        <v>13.82</v>
      </c>
      <c r="AU414" s="282">
        <v>70.3</v>
      </c>
      <c r="AV414" s="281" cm="1">
        <f t="array" aca="1" ref="AV414" ca="1">INDIRECT("'"&amp;$C414&amp;"'!"&amp;"$"&amp;$D414&amp;$AV$1&amp;"")</f>
        <v>0</v>
      </c>
      <c r="AW414" s="280" t="s">
        <v>1</v>
      </c>
      <c r="AX414" s="281" t="s">
        <v>1</v>
      </c>
      <c r="AY414" s="279" t="s">
        <v>1</v>
      </c>
      <c r="AZ414" s="281" cm="1">
        <f t="array" aca="1" ref="AZ414" ca="1">INDIRECT("'"&amp;$C414&amp;"'!"&amp;"$"&amp;$D414&amp;$AZ$1&amp;"")</f>
        <v>7</v>
      </c>
      <c r="BA414" s="280" t="s">
        <v>1</v>
      </c>
      <c r="BB414" s="281">
        <v>0.95</v>
      </c>
      <c r="BC414" s="279">
        <v>2.2000000000000002</v>
      </c>
      <c r="BD414" s="283">
        <v>14</v>
      </c>
      <c r="BE414" s="282">
        <v>70.67</v>
      </c>
      <c r="BF414" s="283" cm="1">
        <f t="array" aca="1" ref="BF414" ca="1">INDIRECT("'"&amp;$C414&amp;"'!"&amp;"$"&amp;$D414&amp;$BF$1&amp;"")</f>
        <v>14.26</v>
      </c>
      <c r="BG414" s="281">
        <v>0.99</v>
      </c>
      <c r="BH414" s="279">
        <v>2.2999999999999998</v>
      </c>
      <c r="BI414" s="524">
        <v>67.400000000000006</v>
      </c>
      <c r="BJ414" s="278" cm="1">
        <f t="array" aca="1" ref="BJ414" ca="1">INDIRECT("'"&amp;$C414&amp;"'!"&amp;"$"&amp;$D414&amp;$BI$1&amp;"")</f>
        <v>0</v>
      </c>
      <c r="BK414" s="280" t="s">
        <v>1</v>
      </c>
      <c r="BL414" s="279" t="s">
        <v>1</v>
      </c>
      <c r="BM414" s="283" cm="1">
        <f t="array" aca="1" ref="BM414" ca="1">INDIRECT("'"&amp;$C414&amp;"'!"&amp;"$"&amp;$D414&amp;$BM$1&amp;"")</f>
        <v>0.78</v>
      </c>
      <c r="BN414" s="281"/>
      <c r="BO414" s="281">
        <v>0.99</v>
      </c>
      <c r="BP414" s="279">
        <v>7.0000000000000007E-2</v>
      </c>
      <c r="BQ414" s="284" cm="1">
        <f t="array" aca="1" ref="BQ414" ca="1">INDIRECT("'"&amp;$C414&amp;"'!"&amp;"$"&amp;$D414&amp;$BQ$1&amp;"")</f>
        <v>0.35</v>
      </c>
      <c r="BR414" s="281"/>
      <c r="BS414" s="281">
        <v>0.95</v>
      </c>
      <c r="BT414" s="279">
        <v>7.0000000000000007E-2</v>
      </c>
      <c r="BU414" s="284" cm="1">
        <f t="array" aca="1" ref="BU414" ca="1">INDIRECT("'"&amp;$C414&amp;"'!"&amp;"$"&amp;$D414&amp;74&amp;"")</f>
        <v>0</v>
      </c>
      <c r="BV414" s="281"/>
      <c r="BW414" s="281" t="s">
        <v>1</v>
      </c>
      <c r="BX414" s="279" t="s">
        <v>1</v>
      </c>
    </row>
    <row r="415" spans="1:76">
      <c r="A415" s="459">
        <v>45855</v>
      </c>
      <c r="B415" s="345">
        <v>0.41666666666666702</v>
      </c>
      <c r="C415" s="305">
        <v>17</v>
      </c>
      <c r="D415" s="306" t="s">
        <v>152</v>
      </c>
      <c r="E415" s="285">
        <v>14</v>
      </c>
      <c r="F415" s="286">
        <v>69.069999999999993</v>
      </c>
      <c r="G415" s="287" t="str" cm="1">
        <f t="array" aca="1" ref="G415" ca="1">INDIRECT("'"&amp;$C415&amp;"'!"&amp;"$"&amp;$D415&amp;$E$1&amp;"")</f>
        <v>CMS</v>
      </c>
      <c r="H415" s="288" t="s">
        <v>1</v>
      </c>
      <c r="I415" s="286" t="s">
        <v>1</v>
      </c>
      <c r="J415" s="287" cm="1">
        <f t="array" aca="1" ref="J415" ca="1">INDIRECT("'"&amp;$C415&amp;"'!"&amp;"$"&amp;$D415&amp;$J$1&amp;"")</f>
        <v>6.7</v>
      </c>
      <c r="K415" s="288"/>
      <c r="L415" s="288">
        <v>0.93</v>
      </c>
      <c r="M415" s="289">
        <v>2.58</v>
      </c>
      <c r="N415" s="285" cm="1">
        <f t="array" aca="1" ref="N415" ca="1">INDIRECT("'"&amp;$C415&amp;"'!"&amp;"$"&amp;$D415&amp;$N$1&amp;"")</f>
        <v>6.7</v>
      </c>
      <c r="O415" s="288"/>
      <c r="P415" s="288">
        <v>0.93</v>
      </c>
      <c r="Q415" s="286">
        <v>2.54</v>
      </c>
      <c r="R415" s="285" cm="1">
        <f t="array" aca="1" ref="R415" ca="1">INDIRECT("'"&amp;$C415&amp;"'!"&amp;"$"&amp;$D415&amp;$R$1&amp;"")</f>
        <v>6.7</v>
      </c>
      <c r="S415" s="288"/>
      <c r="T415" s="288">
        <v>0.93</v>
      </c>
      <c r="U415" s="286">
        <v>2.57</v>
      </c>
      <c r="V415" s="287" cm="1">
        <f t="array" aca="1" ref="V415" ca="1">INDIRECT("'"&amp;$C415&amp;"'!"&amp;"$"&amp;$D415&amp;$V$1&amp;"")</f>
        <v>0</v>
      </c>
      <c r="W415" s="288" t="s">
        <v>1</v>
      </c>
      <c r="X415" s="288" t="s">
        <v>1</v>
      </c>
      <c r="Y415" s="289" t="s">
        <v>1</v>
      </c>
      <c r="Z415" s="285" t="str" cm="1">
        <f t="array" aca="1" ref="Z415" ca="1">INDIRECT("'"&amp;$C415&amp;"'!"&amp;"$"&amp;$D415&amp;$Z$1&amp;"")</f>
        <v>CMS</v>
      </c>
      <c r="AA415" s="288" t="s">
        <v>1</v>
      </c>
      <c r="AB415" s="288" t="s">
        <v>1</v>
      </c>
      <c r="AC415" s="286" t="s">
        <v>1</v>
      </c>
      <c r="AD415" s="287" cm="1">
        <f t="array" aca="1" ref="AD415" ca="1">INDIRECT("'"&amp;$C415&amp;"'!"&amp;"$"&amp;$D415&amp;$AD$1&amp;"")</f>
        <v>2.1</v>
      </c>
      <c r="AE415" s="288">
        <f>3.49*3.8</f>
        <v>13.262</v>
      </c>
      <c r="AF415" s="288">
        <v>0.92</v>
      </c>
      <c r="AG415" s="289">
        <v>0.65</v>
      </c>
      <c r="AH415" s="285" cm="1">
        <f t="array" aca="1" ref="AH415" ca="1">INDIRECT("'"&amp;$C415&amp;"'!"&amp;"$"&amp;$D415&amp;$AH$1&amp;"")</f>
        <v>0</v>
      </c>
      <c r="AI415" s="288" t="s">
        <v>1</v>
      </c>
      <c r="AJ415" s="288" t="s">
        <v>1</v>
      </c>
      <c r="AK415" s="289" t="s">
        <v>1</v>
      </c>
      <c r="AL415" s="285">
        <v>11.6</v>
      </c>
      <c r="AM415" s="289">
        <v>71</v>
      </c>
      <c r="AN415" s="285" cm="1">
        <f t="array" aca="1" ref="AN415" ca="1">INDIRECT("'"&amp;$C415&amp;"'!"&amp;"$"&amp;$D415&amp;$AL$1&amp;"")</f>
        <v>3.8</v>
      </c>
      <c r="AO415" s="288">
        <v>0.96</v>
      </c>
      <c r="AP415" s="286">
        <v>1.2</v>
      </c>
      <c r="AQ415" s="287" cm="1">
        <f t="array" aca="1" ref="AQ415" ca="1">INDIRECT("'"&amp;$C415&amp;"'!"&amp;"$"&amp;$D415&amp;$AQ$1&amp;"")</f>
        <v>0</v>
      </c>
      <c r="AR415" s="288" t="s">
        <v>1</v>
      </c>
      <c r="AS415" s="286" t="s">
        <v>1</v>
      </c>
      <c r="AT415" s="285">
        <v>13.91</v>
      </c>
      <c r="AU415" s="289">
        <v>70.400000000000006</v>
      </c>
      <c r="AV415" s="288" cm="1">
        <f t="array" aca="1" ref="AV415" ca="1">INDIRECT("'"&amp;$C415&amp;"'!"&amp;"$"&amp;$D415&amp;$AV$1&amp;"")</f>
        <v>0</v>
      </c>
      <c r="AW415" s="287" t="s">
        <v>1</v>
      </c>
      <c r="AX415" s="288" t="s">
        <v>1</v>
      </c>
      <c r="AY415" s="286" t="s">
        <v>1</v>
      </c>
      <c r="AZ415" s="288" cm="1">
        <f t="array" aca="1" ref="AZ415" ca="1">INDIRECT("'"&amp;$C415&amp;"'!"&amp;"$"&amp;$D415&amp;$AZ$1&amp;"")</f>
        <v>7</v>
      </c>
      <c r="BA415" s="287" t="s">
        <v>1</v>
      </c>
      <c r="BB415" s="288">
        <v>0.97</v>
      </c>
      <c r="BC415" s="286">
        <v>1.8</v>
      </c>
      <c r="BD415" s="290">
        <v>14.25</v>
      </c>
      <c r="BE415" s="289">
        <v>71.56</v>
      </c>
      <c r="BF415" s="290" cm="1">
        <f t="array" aca="1" ref="BF415" ca="1">INDIRECT("'"&amp;$C415&amp;"'!"&amp;"$"&amp;$D415&amp;$BF$1&amp;"")</f>
        <v>14.29</v>
      </c>
      <c r="BG415" s="288">
        <v>0.98</v>
      </c>
      <c r="BH415" s="286">
        <v>3.4</v>
      </c>
      <c r="BI415" s="525">
        <v>67.900000000000006</v>
      </c>
      <c r="BJ415" s="285" cm="1">
        <f t="array" aca="1" ref="BJ415" ca="1">INDIRECT("'"&amp;$C415&amp;"'!"&amp;"$"&amp;$D415&amp;$BI$1&amp;"")</f>
        <v>0</v>
      </c>
      <c r="BK415" s="287" t="s">
        <v>1</v>
      </c>
      <c r="BL415" s="286" t="s">
        <v>1</v>
      </c>
      <c r="BM415" s="290" cm="1">
        <f t="array" aca="1" ref="BM415" ca="1">INDIRECT("'"&amp;$C415&amp;"'!"&amp;"$"&amp;$D415&amp;$BM$1&amp;"")</f>
        <v>0.97</v>
      </c>
      <c r="BN415" s="288"/>
      <c r="BO415" s="288">
        <v>0.99</v>
      </c>
      <c r="BP415" s="286">
        <v>0.1</v>
      </c>
      <c r="BQ415" s="291" cm="1">
        <f t="array" aca="1" ref="BQ415" ca="1">INDIRECT("'"&amp;$C415&amp;"'!"&amp;"$"&amp;$D415&amp;$BQ$1&amp;"")</f>
        <v>0.36</v>
      </c>
      <c r="BR415" s="288"/>
      <c r="BS415" s="288">
        <v>0.95</v>
      </c>
      <c r="BT415" s="286">
        <v>7.0000000000000007E-2</v>
      </c>
      <c r="BU415" s="291" cm="1">
        <f t="array" aca="1" ref="BU415" ca="1">INDIRECT("'"&amp;$C415&amp;"'!"&amp;"$"&amp;$D415&amp;74&amp;"")</f>
        <v>0</v>
      </c>
      <c r="BV415" s="288"/>
      <c r="BW415" s="288" t="s">
        <v>1</v>
      </c>
      <c r="BX415" s="286" t="s">
        <v>1</v>
      </c>
    </row>
    <row r="416" spans="1:76">
      <c r="A416" s="459">
        <v>45855</v>
      </c>
      <c r="B416" s="345">
        <v>0.45833333333333398</v>
      </c>
      <c r="C416" s="305">
        <v>17</v>
      </c>
      <c r="D416" s="306" t="s">
        <v>153</v>
      </c>
      <c r="E416" s="278">
        <v>14</v>
      </c>
      <c r="F416" s="279">
        <v>69.56</v>
      </c>
      <c r="G416" s="280" t="str" cm="1">
        <f t="array" aca="1" ref="G416" ca="1">INDIRECT("'"&amp;$C416&amp;"'!"&amp;"$"&amp;$D416&amp;$E$1&amp;"")</f>
        <v>CMS</v>
      </c>
      <c r="H416" s="281" t="s">
        <v>1</v>
      </c>
      <c r="I416" s="279" t="s">
        <v>1</v>
      </c>
      <c r="J416" s="280" cm="1">
        <f t="array" aca="1" ref="J416" ca="1">INDIRECT("'"&amp;$C416&amp;"'!"&amp;"$"&amp;$D416&amp;$J$1&amp;"")</f>
        <v>6.5</v>
      </c>
      <c r="K416" s="281"/>
      <c r="L416" s="281">
        <v>0.96</v>
      </c>
      <c r="M416" s="282">
        <v>1.76</v>
      </c>
      <c r="N416" s="278" cm="1">
        <f t="array" aca="1" ref="N416" ca="1">INDIRECT("'"&amp;$C416&amp;"'!"&amp;"$"&amp;$D416&amp;$N$1&amp;"")</f>
        <v>6.5</v>
      </c>
      <c r="O416" s="281"/>
      <c r="P416" s="281">
        <v>0.96</v>
      </c>
      <c r="Q416" s="279">
        <v>1.74</v>
      </c>
      <c r="R416" s="468" cm="1">
        <f t="array" aca="1" ref="R416" ca="1">INDIRECT("'"&amp;$C416&amp;"'!"&amp;"$"&amp;$D416&amp;$R$1&amp;"")</f>
        <v>6.5</v>
      </c>
      <c r="S416" s="281"/>
      <c r="T416" s="281">
        <v>0.96</v>
      </c>
      <c r="U416" s="279">
        <v>1.77</v>
      </c>
      <c r="V416" s="280" cm="1">
        <f t="array" aca="1" ref="V416" ca="1">INDIRECT("'"&amp;$C416&amp;"'!"&amp;"$"&amp;$D416&amp;$V$1&amp;"")</f>
        <v>0</v>
      </c>
      <c r="W416" s="281" t="s">
        <v>1</v>
      </c>
      <c r="X416" s="281" t="s">
        <v>1</v>
      </c>
      <c r="Y416" s="282" t="s">
        <v>1</v>
      </c>
      <c r="Z416" s="278" t="str" cm="1">
        <f t="array" aca="1" ref="Z416" ca="1">INDIRECT("'"&amp;$C416&amp;"'!"&amp;"$"&amp;$D416&amp;$Z$1&amp;"")</f>
        <v>CMS</v>
      </c>
      <c r="AA416" s="281" t="s">
        <v>1</v>
      </c>
      <c r="AB416" s="281" t="s">
        <v>1</v>
      </c>
      <c r="AC416" s="279" t="s">
        <v>1</v>
      </c>
      <c r="AD416" s="280" cm="1">
        <f t="array" aca="1" ref="AD416" ca="1">INDIRECT("'"&amp;$C416&amp;"'!"&amp;"$"&amp;$D416&amp;$AD$1&amp;"")</f>
        <v>2.7</v>
      </c>
      <c r="AE416" s="281">
        <f>3.54*3.8</f>
        <v>13.452</v>
      </c>
      <c r="AF416" s="281">
        <v>0.92</v>
      </c>
      <c r="AG416" s="282">
        <v>1.1000000000000001</v>
      </c>
      <c r="AH416" s="278" cm="1">
        <f t="array" aca="1" ref="AH416" ca="1">INDIRECT("'"&amp;$C416&amp;"'!"&amp;"$"&amp;$D416&amp;$AH$1&amp;"")</f>
        <v>0</v>
      </c>
      <c r="AI416" s="281" t="s">
        <v>1</v>
      </c>
      <c r="AJ416" s="281" t="s">
        <v>1</v>
      </c>
      <c r="AK416" s="282" t="s">
        <v>1</v>
      </c>
      <c r="AL416" s="278">
        <v>11.6</v>
      </c>
      <c r="AM416" s="282">
        <v>71</v>
      </c>
      <c r="AN416" s="278" cm="1">
        <f t="array" aca="1" ref="AN416" ca="1">INDIRECT("'"&amp;$C416&amp;"'!"&amp;"$"&amp;$D416&amp;$AL$1&amp;"")</f>
        <v>3</v>
      </c>
      <c r="AO416" s="281">
        <v>0.94</v>
      </c>
      <c r="AP416" s="279">
        <v>1.1000000000000001</v>
      </c>
      <c r="AQ416" s="280" cm="1">
        <f t="array" aca="1" ref="AQ416" ca="1">INDIRECT("'"&amp;$C416&amp;"'!"&amp;"$"&amp;$D416&amp;$AQ$1&amp;"")</f>
        <v>0</v>
      </c>
      <c r="AR416" s="281" t="s">
        <v>1</v>
      </c>
      <c r="AS416" s="279" t="s">
        <v>1</v>
      </c>
      <c r="AT416" s="278">
        <v>13.93</v>
      </c>
      <c r="AU416" s="282">
        <v>70.3</v>
      </c>
      <c r="AV416" s="281" cm="1">
        <f t="array" aca="1" ref="AV416" ca="1">INDIRECT("'"&amp;$C416&amp;"'!"&amp;"$"&amp;$D416&amp;$AV$1&amp;"")</f>
        <v>0</v>
      </c>
      <c r="AW416" s="280" t="s">
        <v>1</v>
      </c>
      <c r="AX416" s="281" t="s">
        <v>1</v>
      </c>
      <c r="AY416" s="279" t="s">
        <v>1</v>
      </c>
      <c r="AZ416" s="281" cm="1">
        <f t="array" aca="1" ref="AZ416" ca="1">INDIRECT("'"&amp;$C416&amp;"'!"&amp;"$"&amp;$D416&amp;$AZ$1&amp;"")</f>
        <v>7</v>
      </c>
      <c r="BA416" s="280" t="s">
        <v>1</v>
      </c>
      <c r="BB416" s="281">
        <v>0.97</v>
      </c>
      <c r="BC416" s="279">
        <v>1.6</v>
      </c>
      <c r="BD416" s="283">
        <v>14.26</v>
      </c>
      <c r="BE416" s="282">
        <v>71.66</v>
      </c>
      <c r="BF416" s="283" cm="1">
        <f t="array" aca="1" ref="BF416" ca="1">INDIRECT("'"&amp;$C416&amp;"'!"&amp;"$"&amp;$D416&amp;$BF$1&amp;"")</f>
        <v>14.3</v>
      </c>
      <c r="BG416" s="281">
        <v>0.98</v>
      </c>
      <c r="BH416" s="279">
        <v>3.4</v>
      </c>
      <c r="BI416" s="524">
        <v>68.400000000000006</v>
      </c>
      <c r="BJ416" s="278" cm="1">
        <f t="array" aca="1" ref="BJ416" ca="1">INDIRECT("'"&amp;$C416&amp;"'!"&amp;"$"&amp;$D416&amp;$BI$1&amp;"")</f>
        <v>0</v>
      </c>
      <c r="BK416" s="280" t="s">
        <v>1</v>
      </c>
      <c r="BL416" s="279" t="s">
        <v>1</v>
      </c>
      <c r="BM416" s="283" cm="1">
        <f t="array" aca="1" ref="BM416" ca="1">INDIRECT("'"&amp;$C416&amp;"'!"&amp;"$"&amp;$D416&amp;$BM$1&amp;"")</f>
        <v>1.1200000000000001</v>
      </c>
      <c r="BN416" s="281"/>
      <c r="BO416" s="281">
        <v>0.99</v>
      </c>
      <c r="BP416" s="279">
        <v>0.12</v>
      </c>
      <c r="BQ416" s="284" cm="1">
        <f t="array" aca="1" ref="BQ416" ca="1">INDIRECT("'"&amp;$C416&amp;"'!"&amp;"$"&amp;$D416&amp;$BQ$1&amp;"")</f>
        <v>0.56000000000000005</v>
      </c>
      <c r="BR416" s="281"/>
      <c r="BS416" s="281">
        <v>0.96</v>
      </c>
      <c r="BT416" s="279">
        <v>0.12</v>
      </c>
      <c r="BU416" s="284" cm="1">
        <f t="array" aca="1" ref="BU416" ca="1">INDIRECT("'"&amp;$C416&amp;"'!"&amp;"$"&amp;$D416&amp;74&amp;"")</f>
        <v>0</v>
      </c>
      <c r="BV416" s="281"/>
      <c r="BW416" s="281" t="s">
        <v>1</v>
      </c>
      <c r="BX416" s="279" t="s">
        <v>1</v>
      </c>
    </row>
    <row r="417" spans="1:76">
      <c r="A417" s="459">
        <v>45855</v>
      </c>
      <c r="B417" s="345">
        <v>0.5</v>
      </c>
      <c r="C417" s="305">
        <v>17</v>
      </c>
      <c r="D417" s="306" t="s">
        <v>154</v>
      </c>
      <c r="E417" s="285">
        <v>14</v>
      </c>
      <c r="F417" s="286">
        <v>69.319999999999993</v>
      </c>
      <c r="G417" s="287" t="str" cm="1">
        <f t="array" aca="1" ref="G417" ca="1">INDIRECT("'"&amp;$C417&amp;"'!"&amp;"$"&amp;$D417&amp;$E$1&amp;"")</f>
        <v>CMS</v>
      </c>
      <c r="H417" s="288" t="s">
        <v>1</v>
      </c>
      <c r="I417" s="286" t="s">
        <v>1</v>
      </c>
      <c r="J417" s="287" cm="1">
        <f t="array" aca="1" ref="J417" ca="1">INDIRECT("'"&amp;$C417&amp;"'!"&amp;"$"&amp;$D417&amp;$J$1&amp;"")</f>
        <v>6.7</v>
      </c>
      <c r="K417" s="288"/>
      <c r="L417" s="288">
        <v>0.95</v>
      </c>
      <c r="M417" s="289">
        <v>2.15</v>
      </c>
      <c r="N417" s="285" cm="1">
        <f t="array" aca="1" ref="N417" ca="1">INDIRECT("'"&amp;$C417&amp;"'!"&amp;"$"&amp;$D417&amp;$N$1&amp;"")</f>
        <v>6.7</v>
      </c>
      <c r="O417" s="288"/>
      <c r="P417" s="288">
        <v>0.95</v>
      </c>
      <c r="Q417" s="289">
        <v>2.1800000000000002</v>
      </c>
      <c r="R417" s="285" cm="1">
        <f t="array" aca="1" ref="R417" ca="1">INDIRECT("'"&amp;$C417&amp;"'!"&amp;"$"&amp;$D417&amp;$R$1&amp;"")</f>
        <v>6.7</v>
      </c>
      <c r="S417" s="288"/>
      <c r="T417" s="288">
        <v>0.95</v>
      </c>
      <c r="U417" s="286">
        <v>2.13</v>
      </c>
      <c r="V417" s="287" cm="1">
        <f t="array" aca="1" ref="V417" ca="1">INDIRECT("'"&amp;$C417&amp;"'!"&amp;"$"&amp;$D417&amp;$V$1&amp;"")</f>
        <v>0</v>
      </c>
      <c r="W417" s="288" t="s">
        <v>1</v>
      </c>
      <c r="X417" s="288" t="s">
        <v>1</v>
      </c>
      <c r="Y417" s="289" t="s">
        <v>1</v>
      </c>
      <c r="Z417" s="285" t="str" cm="1">
        <f t="array" aca="1" ref="Z417" ca="1">INDIRECT("'"&amp;$C417&amp;"'!"&amp;"$"&amp;$D417&amp;$Z$1&amp;"")</f>
        <v>CMS</v>
      </c>
      <c r="AA417" s="288" t="s">
        <v>1</v>
      </c>
      <c r="AB417" s="288" t="s">
        <v>1</v>
      </c>
      <c r="AC417" s="286" t="s">
        <v>1</v>
      </c>
      <c r="AD417" s="287" cm="1">
        <f t="array" aca="1" ref="AD417" ca="1">INDIRECT("'"&amp;$C417&amp;"'!"&amp;"$"&amp;$D417&amp;$AD$1&amp;"")</f>
        <v>0</v>
      </c>
      <c r="AE417" s="288" t="s">
        <v>1</v>
      </c>
      <c r="AF417" s="288" t="s">
        <v>1</v>
      </c>
      <c r="AG417" s="289" t="s">
        <v>1</v>
      </c>
      <c r="AH417" s="285" cm="1">
        <f t="array" aca="1" ref="AH417" ca="1">INDIRECT("'"&amp;$C417&amp;"'!"&amp;"$"&amp;$D417&amp;$AH$1&amp;"")</f>
        <v>0</v>
      </c>
      <c r="AI417" s="288" t="s">
        <v>1</v>
      </c>
      <c r="AJ417" s="288" t="s">
        <v>1</v>
      </c>
      <c r="AK417" s="289" t="s">
        <v>1</v>
      </c>
      <c r="AL417" s="285">
        <v>11.6</v>
      </c>
      <c r="AM417" s="289">
        <v>70.900000000000006</v>
      </c>
      <c r="AN417" s="285" cm="1">
        <f t="array" aca="1" ref="AN417" ca="1">INDIRECT("'"&amp;$C417&amp;"'!"&amp;"$"&amp;$D417&amp;$AL$1&amp;"")</f>
        <v>2.8</v>
      </c>
      <c r="AO417" s="288">
        <v>0.95</v>
      </c>
      <c r="AP417" s="286">
        <v>0.8</v>
      </c>
      <c r="AQ417" s="287" cm="1">
        <f t="array" aca="1" ref="AQ417" ca="1">INDIRECT("'"&amp;$C417&amp;"'!"&amp;"$"&amp;$D417&amp;$AQ$1&amp;"")</f>
        <v>0</v>
      </c>
      <c r="AR417" s="288" t="s">
        <v>1</v>
      </c>
      <c r="AS417" s="286" t="s">
        <v>1</v>
      </c>
      <c r="AT417" s="285">
        <v>13.92</v>
      </c>
      <c r="AU417" s="289">
        <v>70.3</v>
      </c>
      <c r="AV417" s="288" cm="1">
        <f t="array" aca="1" ref="AV417" ca="1">INDIRECT("'"&amp;$C417&amp;"'!"&amp;"$"&amp;$D417&amp;$AV$1&amp;"")</f>
        <v>0</v>
      </c>
      <c r="AW417" s="287" t="s">
        <v>1</v>
      </c>
      <c r="AX417" s="288" t="s">
        <v>1</v>
      </c>
      <c r="AY417" s="286" t="s">
        <v>1</v>
      </c>
      <c r="AZ417" s="288" cm="1">
        <f t="array" aca="1" ref="AZ417" ca="1">INDIRECT("'"&amp;$C417&amp;"'!"&amp;"$"&amp;$D417&amp;$AZ$1&amp;"")</f>
        <v>7</v>
      </c>
      <c r="BA417" s="287" t="s">
        <v>1</v>
      </c>
      <c r="BB417" s="288">
        <v>0.96</v>
      </c>
      <c r="BC417" s="286">
        <v>1.9</v>
      </c>
      <c r="BD417" s="290">
        <v>14.17</v>
      </c>
      <c r="BE417" s="289">
        <v>71.400000000000006</v>
      </c>
      <c r="BF417" s="290" cm="1">
        <f t="array" aca="1" ref="BF417" ca="1">INDIRECT("'"&amp;$C417&amp;"'!"&amp;"$"&amp;$D417&amp;$BF$1&amp;"")</f>
        <v>14.28</v>
      </c>
      <c r="BG417" s="288">
        <v>0.98</v>
      </c>
      <c r="BH417" s="286">
        <v>3.3</v>
      </c>
      <c r="BI417" s="525">
        <v>68.099999999999994</v>
      </c>
      <c r="BJ417" s="285" cm="1">
        <f t="array" aca="1" ref="BJ417" ca="1">INDIRECT("'"&amp;$C417&amp;"'!"&amp;"$"&amp;$D417&amp;$BI$1&amp;"")</f>
        <v>0</v>
      </c>
      <c r="BK417" s="287" t="s">
        <v>1</v>
      </c>
      <c r="BL417" s="286" t="s">
        <v>1</v>
      </c>
      <c r="BM417" s="290" cm="1">
        <f t="array" aca="1" ref="BM417" ca="1">INDIRECT("'"&amp;$C417&amp;"'!"&amp;"$"&amp;$D417&amp;$BM$1&amp;"")</f>
        <v>1.08</v>
      </c>
      <c r="BN417" s="288"/>
      <c r="BO417" s="288">
        <v>0.99</v>
      </c>
      <c r="BP417" s="286">
        <v>0.12</v>
      </c>
      <c r="BQ417" s="291" cm="1">
        <f t="array" aca="1" ref="BQ417" ca="1">INDIRECT("'"&amp;$C417&amp;"'!"&amp;"$"&amp;$D417&amp;$BQ$1&amp;"")</f>
        <v>0.55000000000000004</v>
      </c>
      <c r="BR417" s="288"/>
      <c r="BS417" s="288">
        <v>0.96</v>
      </c>
      <c r="BT417" s="286">
        <v>0.12</v>
      </c>
      <c r="BU417" s="291" cm="1">
        <f t="array" aca="1" ref="BU417" ca="1">INDIRECT("'"&amp;$C417&amp;"'!"&amp;"$"&amp;$D417&amp;74&amp;"")</f>
        <v>0</v>
      </c>
      <c r="BV417" s="288"/>
      <c r="BW417" s="288" t="s">
        <v>1</v>
      </c>
      <c r="BX417" s="286" t="s">
        <v>1</v>
      </c>
    </row>
    <row r="418" spans="1:76">
      <c r="A418" s="459">
        <v>45855</v>
      </c>
      <c r="B418" s="345">
        <v>0.54166666666666696</v>
      </c>
      <c r="C418" s="305">
        <v>17</v>
      </c>
      <c r="D418" s="306" t="s">
        <v>155</v>
      </c>
      <c r="E418" s="278">
        <v>14</v>
      </c>
      <c r="F418" s="279">
        <v>69.02</v>
      </c>
      <c r="G418" s="280" t="str" cm="1">
        <f t="array" aca="1" ref="G418" ca="1">INDIRECT("'"&amp;$C418&amp;"'!"&amp;"$"&amp;$D418&amp;$E$1&amp;"")</f>
        <v>CMS</v>
      </c>
      <c r="H418" s="281" t="s">
        <v>1</v>
      </c>
      <c r="I418" s="279" t="s">
        <v>1</v>
      </c>
      <c r="J418" s="280" cm="1">
        <f t="array" aca="1" ref="J418" ca="1">INDIRECT("'"&amp;$C418&amp;"'!"&amp;"$"&amp;$D418&amp;$J$1&amp;"")</f>
        <v>6.8</v>
      </c>
      <c r="K418" s="281"/>
      <c r="L418" s="281">
        <v>0.93</v>
      </c>
      <c r="M418" s="279">
        <v>2.68</v>
      </c>
      <c r="N418" s="278" cm="1">
        <f t="array" aca="1" ref="N418" ca="1">INDIRECT("'"&amp;$C418&amp;"'!"&amp;"$"&amp;$D418&amp;$N$1&amp;"")</f>
        <v>6.8</v>
      </c>
      <c r="O418" s="281"/>
      <c r="P418" s="281">
        <v>0.93</v>
      </c>
      <c r="Q418" s="279">
        <v>2.65</v>
      </c>
      <c r="R418" s="468" cm="1">
        <f t="array" aca="1" ref="R418" ca="1">INDIRECT("'"&amp;$C418&amp;"'!"&amp;"$"&amp;$D418&amp;$R$1&amp;"")</f>
        <v>6.8</v>
      </c>
      <c r="S418" s="281"/>
      <c r="T418" s="281">
        <v>0.93</v>
      </c>
      <c r="U418" s="279">
        <v>2.69</v>
      </c>
      <c r="V418" s="280" cm="1">
        <f t="array" aca="1" ref="V418" ca="1">INDIRECT("'"&amp;$C418&amp;"'!"&amp;"$"&amp;$D418&amp;$V$1&amp;"")</f>
        <v>0</v>
      </c>
      <c r="W418" s="281" t="s">
        <v>1</v>
      </c>
      <c r="X418" s="281" t="s">
        <v>1</v>
      </c>
      <c r="Y418" s="282" t="s">
        <v>1</v>
      </c>
      <c r="Z418" s="278" t="str" cm="1">
        <f t="array" aca="1" ref="Z418" ca="1">INDIRECT("'"&amp;$C418&amp;"'!"&amp;"$"&amp;$D418&amp;$Z$1&amp;"")</f>
        <v>CMS</v>
      </c>
      <c r="AA418" s="281" t="s">
        <v>1</v>
      </c>
      <c r="AB418" s="281" t="s">
        <v>1</v>
      </c>
      <c r="AC418" s="279" t="s">
        <v>1</v>
      </c>
      <c r="AD418" s="280" cm="1">
        <f t="array" aca="1" ref="AD418" ca="1">INDIRECT("'"&amp;$C418&amp;"'!"&amp;"$"&amp;$D418&amp;$AD$1&amp;"")</f>
        <v>0</v>
      </c>
      <c r="AE418" s="281" t="s">
        <v>1</v>
      </c>
      <c r="AF418" s="281" t="s">
        <v>1</v>
      </c>
      <c r="AG418" s="282" t="s">
        <v>1</v>
      </c>
      <c r="AH418" s="278" cm="1">
        <f t="array" aca="1" ref="AH418" ca="1">INDIRECT("'"&amp;$C418&amp;"'!"&amp;"$"&amp;$D418&amp;$AH$1&amp;"")</f>
        <v>0</v>
      </c>
      <c r="AI418" s="281" t="s">
        <v>1</v>
      </c>
      <c r="AJ418" s="281" t="s">
        <v>1</v>
      </c>
      <c r="AK418" s="279" t="s">
        <v>1</v>
      </c>
      <c r="AL418" s="278">
        <v>11.5</v>
      </c>
      <c r="AM418" s="282">
        <v>70.7</v>
      </c>
      <c r="AN418" s="278" cm="1">
        <f t="array" aca="1" ref="AN418" ca="1">INDIRECT("'"&amp;$C418&amp;"'!"&amp;"$"&amp;$D418&amp;$AL$1&amp;"")</f>
        <v>3</v>
      </c>
      <c r="AO418" s="281">
        <v>0.96</v>
      </c>
      <c r="AP418" s="279">
        <v>0.88</v>
      </c>
      <c r="AQ418" s="280" cm="1">
        <f t="array" aca="1" ref="AQ418" ca="1">INDIRECT("'"&amp;$C418&amp;"'!"&amp;"$"&amp;$D418&amp;$AQ$1&amp;"")</f>
        <v>0</v>
      </c>
      <c r="AR418" s="281" t="s">
        <v>1</v>
      </c>
      <c r="AS418" s="279" t="s">
        <v>1</v>
      </c>
      <c r="AT418" s="278">
        <v>13.9</v>
      </c>
      <c r="AU418" s="282">
        <v>70.2</v>
      </c>
      <c r="AV418" s="281" cm="1">
        <f t="array" aca="1" ref="AV418" ca="1">INDIRECT("'"&amp;$C418&amp;"'!"&amp;"$"&amp;$D418&amp;$AV$1&amp;"")</f>
        <v>0</v>
      </c>
      <c r="AW418" s="280">
        <v>13.7</v>
      </c>
      <c r="AX418" s="281" t="s">
        <v>1</v>
      </c>
      <c r="AY418" s="279" t="s">
        <v>1</v>
      </c>
      <c r="AZ418" s="281" cm="1">
        <f t="array" aca="1" ref="AZ418" ca="1">INDIRECT("'"&amp;$C418&amp;"'!"&amp;"$"&amp;$D418&amp;$AZ$1&amp;"")</f>
        <v>7</v>
      </c>
      <c r="BA418" s="280">
        <v>13.7</v>
      </c>
      <c r="BB418" s="281">
        <v>0.95</v>
      </c>
      <c r="BC418" s="279">
        <v>2.2000000000000002</v>
      </c>
      <c r="BD418" s="283">
        <v>14.22</v>
      </c>
      <c r="BE418" s="282">
        <v>71.540000000000006</v>
      </c>
      <c r="BF418" s="283" cm="1">
        <f t="array" aca="1" ref="BF418" ca="1">INDIRECT("'"&amp;$C418&amp;"'!"&amp;"$"&amp;$D418&amp;$BF$1&amp;"")</f>
        <v>14.25</v>
      </c>
      <c r="BG418" s="281">
        <v>0.98</v>
      </c>
      <c r="BH418" s="279">
        <v>3.3</v>
      </c>
      <c r="BI418" s="524">
        <v>67.8</v>
      </c>
      <c r="BJ418" s="278" cm="1">
        <f t="array" aca="1" ref="BJ418" ca="1">INDIRECT("'"&amp;$C418&amp;"'!"&amp;"$"&amp;$D418&amp;$BI$1&amp;"")</f>
        <v>0</v>
      </c>
      <c r="BK418" s="280" t="s">
        <v>1</v>
      </c>
      <c r="BL418" s="279" t="s">
        <v>1</v>
      </c>
      <c r="BM418" s="283" cm="1">
        <f t="array" aca="1" ref="BM418" ca="1">INDIRECT("'"&amp;$C418&amp;"'!"&amp;"$"&amp;$D418&amp;$BM$1&amp;"")</f>
        <v>0.96</v>
      </c>
      <c r="BN418" s="281"/>
      <c r="BO418" s="281">
        <v>0.99</v>
      </c>
      <c r="BP418" s="279">
        <v>0.1</v>
      </c>
      <c r="BQ418" s="284" cm="1">
        <f t="array" aca="1" ref="BQ418" ca="1">INDIRECT("'"&amp;$C418&amp;"'!"&amp;"$"&amp;$D418&amp;$BQ$1&amp;"")</f>
        <v>0.53</v>
      </c>
      <c r="BR418" s="281"/>
      <c r="BS418" s="281">
        <v>0.96</v>
      </c>
      <c r="BT418" s="279">
        <v>0.11</v>
      </c>
      <c r="BU418" s="284" cm="1">
        <f t="array" aca="1" ref="BU418" ca="1">INDIRECT("'"&amp;$C418&amp;"'!"&amp;"$"&amp;$D418&amp;74&amp;"")</f>
        <v>0</v>
      </c>
      <c r="BV418" s="281"/>
      <c r="BW418" s="281" t="s">
        <v>1</v>
      </c>
      <c r="BX418" s="279" t="s">
        <v>1</v>
      </c>
    </row>
    <row r="419" spans="1:76">
      <c r="A419" s="459">
        <v>45855</v>
      </c>
      <c r="B419" s="345">
        <v>0.58333333333333404</v>
      </c>
      <c r="C419" s="305">
        <v>17</v>
      </c>
      <c r="D419" s="306" t="s">
        <v>156</v>
      </c>
      <c r="E419" s="285">
        <v>14</v>
      </c>
      <c r="F419" s="286">
        <v>69.040000000000006</v>
      </c>
      <c r="G419" s="287" t="str" cm="1">
        <f t="array" aca="1" ref="G419" ca="1">INDIRECT("'"&amp;$C419&amp;"'!"&amp;"$"&amp;$D419&amp;$E$1&amp;"")</f>
        <v>CMS</v>
      </c>
      <c r="H419" s="288" t="s">
        <v>1</v>
      </c>
      <c r="I419" s="286" t="s">
        <v>1</v>
      </c>
      <c r="J419" s="287" cm="1">
        <f t="array" aca="1" ref="J419" ca="1">INDIRECT("'"&amp;$C419&amp;"'!"&amp;"$"&amp;$D419&amp;$J$1&amp;"")</f>
        <v>6.5</v>
      </c>
      <c r="K419" s="288"/>
      <c r="L419" s="288">
        <v>0.93</v>
      </c>
      <c r="M419" s="289">
        <v>2.69</v>
      </c>
      <c r="N419" s="285" cm="1">
        <f t="array" aca="1" ref="N419" ca="1">INDIRECT("'"&amp;$C419&amp;"'!"&amp;"$"&amp;$D419&amp;$N$1&amp;"")</f>
        <v>6.5</v>
      </c>
      <c r="O419" s="288"/>
      <c r="P419" s="288">
        <v>0.93</v>
      </c>
      <c r="Q419" s="286">
        <v>2.61</v>
      </c>
      <c r="R419" s="285" cm="1">
        <f t="array" aca="1" ref="R419" ca="1">INDIRECT("'"&amp;$C419&amp;"'!"&amp;"$"&amp;$D419&amp;$R$1&amp;"")</f>
        <v>6.5</v>
      </c>
      <c r="S419" s="288"/>
      <c r="T419" s="288">
        <v>0.93</v>
      </c>
      <c r="U419" s="286">
        <v>2.62</v>
      </c>
      <c r="V419" s="287" cm="1">
        <f t="array" aca="1" ref="V419" ca="1">INDIRECT("'"&amp;$C419&amp;"'!"&amp;"$"&amp;$D419&amp;$V$1&amp;"")</f>
        <v>0</v>
      </c>
      <c r="W419" s="288" t="s">
        <v>1</v>
      </c>
      <c r="X419" s="288" t="s">
        <v>1</v>
      </c>
      <c r="Y419" s="289" t="s">
        <v>1</v>
      </c>
      <c r="Z419" s="285" t="str" cm="1">
        <f t="array" aca="1" ref="Z419" ca="1">INDIRECT("'"&amp;$C419&amp;"'!"&amp;"$"&amp;$D419&amp;$Z$1&amp;"")</f>
        <v>CMS</v>
      </c>
      <c r="AA419" s="288" t="s">
        <v>1</v>
      </c>
      <c r="AB419" s="288" t="s">
        <v>1</v>
      </c>
      <c r="AC419" s="286" t="s">
        <v>1</v>
      </c>
      <c r="AD419" s="287" cm="1">
        <f t="array" aca="1" ref="AD419" ca="1">INDIRECT("'"&amp;$C419&amp;"'!"&amp;"$"&amp;$D419&amp;$AD$1&amp;"")</f>
        <v>0</v>
      </c>
      <c r="AE419" s="288" t="s">
        <v>1</v>
      </c>
      <c r="AF419" s="288" t="s">
        <v>1</v>
      </c>
      <c r="AG419" s="289" t="s">
        <v>1</v>
      </c>
      <c r="AH419" s="285" cm="1">
        <f t="array" aca="1" ref="AH419" ca="1">INDIRECT("'"&amp;$C419&amp;"'!"&amp;"$"&amp;$D419&amp;$AH$1&amp;"")</f>
        <v>0</v>
      </c>
      <c r="AI419" s="288" t="s">
        <v>1</v>
      </c>
      <c r="AJ419" s="288" t="s">
        <v>1</v>
      </c>
      <c r="AK419" s="286" t="s">
        <v>1</v>
      </c>
      <c r="AL419" s="285">
        <v>11.6</v>
      </c>
      <c r="AM419" s="289">
        <v>70.7</v>
      </c>
      <c r="AN419" s="285" cm="1">
        <f t="array" aca="1" ref="AN419" ca="1">INDIRECT("'"&amp;$C419&amp;"'!"&amp;"$"&amp;$D419&amp;$AL$1&amp;"")</f>
        <v>3.8</v>
      </c>
      <c r="AO419" s="288">
        <v>0.98</v>
      </c>
      <c r="AP419" s="286">
        <v>0.84</v>
      </c>
      <c r="AQ419" s="287" cm="1">
        <f t="array" aca="1" ref="AQ419" ca="1">INDIRECT("'"&amp;$C419&amp;"'!"&amp;"$"&amp;$D419&amp;$AQ$1&amp;"")</f>
        <v>0</v>
      </c>
      <c r="AR419" s="288" t="s">
        <v>1</v>
      </c>
      <c r="AS419" s="286" t="s">
        <v>1</v>
      </c>
      <c r="AT419" s="285">
        <v>13.89</v>
      </c>
      <c r="AU419" s="289">
        <v>70.3</v>
      </c>
      <c r="AV419" s="288" cm="1">
        <f t="array" aca="1" ref="AV419" ca="1">INDIRECT("'"&amp;$C419&amp;"'!"&amp;"$"&amp;$D419&amp;$AV$1&amp;"")</f>
        <v>0</v>
      </c>
      <c r="AW419" s="287">
        <v>13.7</v>
      </c>
      <c r="AX419" s="288" t="s">
        <v>1</v>
      </c>
      <c r="AY419" s="286" t="s">
        <v>1</v>
      </c>
      <c r="AZ419" s="288" cm="1">
        <f t="array" aca="1" ref="AZ419" ca="1">INDIRECT("'"&amp;$C419&amp;"'!"&amp;"$"&amp;$D419&amp;$AZ$1&amp;"")</f>
        <v>7</v>
      </c>
      <c r="BA419" s="287">
        <v>13.7</v>
      </c>
      <c r="BB419" s="288">
        <v>0.95</v>
      </c>
      <c r="BC419" s="286">
        <v>2.2000000000000002</v>
      </c>
      <c r="BD419" s="290">
        <v>14.2</v>
      </c>
      <c r="BE419" s="289">
        <v>71.39</v>
      </c>
      <c r="BF419" s="290" cm="1">
        <f t="array" aca="1" ref="BF419" ca="1">INDIRECT("'"&amp;$C419&amp;"'!"&amp;"$"&amp;$D419&amp;$BF$1&amp;"")</f>
        <v>14.29</v>
      </c>
      <c r="BG419" s="288">
        <v>0.98</v>
      </c>
      <c r="BH419" s="286">
        <v>3.3</v>
      </c>
      <c r="BI419" s="525">
        <v>67.7</v>
      </c>
      <c r="BJ419" s="285" cm="1">
        <f t="array" aca="1" ref="BJ419" ca="1">INDIRECT("'"&amp;$C419&amp;"'!"&amp;"$"&amp;$D419&amp;$BI$1&amp;"")</f>
        <v>1.5</v>
      </c>
      <c r="BK419" s="287">
        <v>0.94</v>
      </c>
      <c r="BL419" s="286">
        <v>0.51</v>
      </c>
      <c r="BM419" s="290" cm="1">
        <f t="array" aca="1" ref="BM419" ca="1">INDIRECT("'"&amp;$C419&amp;"'!"&amp;"$"&amp;$D419&amp;$BM$1&amp;"")</f>
        <v>1.1499999999999999</v>
      </c>
      <c r="BN419" s="288"/>
      <c r="BO419" s="288">
        <v>0.99</v>
      </c>
      <c r="BP419" s="286">
        <v>0.13</v>
      </c>
      <c r="BQ419" s="291" cm="1">
        <f t="array" aca="1" ref="BQ419" ca="1">INDIRECT("'"&amp;$C419&amp;"'!"&amp;"$"&amp;$D419&amp;$BQ$1&amp;"")</f>
        <v>0.74</v>
      </c>
      <c r="BR419" s="288"/>
      <c r="BS419" s="288">
        <v>0.96</v>
      </c>
      <c r="BT419" s="286">
        <v>0.19</v>
      </c>
      <c r="BU419" s="291" cm="1">
        <f t="array" aca="1" ref="BU419" ca="1">INDIRECT("'"&amp;$C419&amp;"'!"&amp;"$"&amp;$D419&amp;74&amp;"")</f>
        <v>0</v>
      </c>
      <c r="BV419" s="288"/>
      <c r="BW419" s="288" t="s">
        <v>1</v>
      </c>
      <c r="BX419" s="286" t="s">
        <v>1</v>
      </c>
    </row>
    <row r="420" spans="1:76">
      <c r="A420" s="459">
        <v>45855</v>
      </c>
      <c r="B420" s="345">
        <v>0.625</v>
      </c>
      <c r="C420" s="305">
        <v>17</v>
      </c>
      <c r="D420" s="306" t="s">
        <v>157</v>
      </c>
      <c r="E420" s="278">
        <v>14</v>
      </c>
      <c r="F420" s="279">
        <v>69</v>
      </c>
      <c r="G420" s="280" t="str" cm="1">
        <f t="array" aca="1" ref="G420" ca="1">INDIRECT("'"&amp;$C420&amp;"'!"&amp;"$"&amp;$D420&amp;$E$1&amp;"")</f>
        <v>CMS</v>
      </c>
      <c r="H420" s="281" t="s">
        <v>1</v>
      </c>
      <c r="I420" s="279" t="s">
        <v>1</v>
      </c>
      <c r="J420" s="280" cm="1">
        <f t="array" aca="1" ref="J420" ca="1">INDIRECT("'"&amp;$C420&amp;"'!"&amp;"$"&amp;$D420&amp;$J$1&amp;"")</f>
        <v>6.5</v>
      </c>
      <c r="K420" s="281"/>
      <c r="L420" s="281">
        <v>0.92</v>
      </c>
      <c r="M420" s="282">
        <v>2.88</v>
      </c>
      <c r="N420" s="278" cm="1">
        <f t="array" aca="1" ref="N420" ca="1">INDIRECT("'"&amp;$C420&amp;"'!"&amp;"$"&amp;$D420&amp;$N$1&amp;"")</f>
        <v>6.5</v>
      </c>
      <c r="O420" s="281"/>
      <c r="P420" s="281">
        <v>0.92</v>
      </c>
      <c r="Q420" s="279">
        <v>2.83</v>
      </c>
      <c r="R420" s="468" cm="1">
        <f t="array" aca="1" ref="R420" ca="1">INDIRECT("'"&amp;$C420&amp;"'!"&amp;"$"&amp;$D420&amp;$R$1&amp;"")</f>
        <v>6.5</v>
      </c>
      <c r="S420" s="281"/>
      <c r="T420" s="281">
        <v>0.92</v>
      </c>
      <c r="U420" s="279">
        <v>2.89</v>
      </c>
      <c r="V420" s="280" cm="1">
        <f t="array" aca="1" ref="V420" ca="1">INDIRECT("'"&amp;$C420&amp;"'!"&amp;"$"&amp;$D420&amp;$V$1&amp;"")</f>
        <v>0</v>
      </c>
      <c r="W420" s="281" t="s">
        <v>1</v>
      </c>
      <c r="X420" s="281" t="s">
        <v>1</v>
      </c>
      <c r="Y420" s="282" t="s">
        <v>1</v>
      </c>
      <c r="Z420" s="278" t="str" cm="1">
        <f t="array" aca="1" ref="Z420" ca="1">INDIRECT("'"&amp;$C420&amp;"'!"&amp;"$"&amp;$D420&amp;$Z$1&amp;"")</f>
        <v>CMS</v>
      </c>
      <c r="AA420" s="281" t="s">
        <v>1</v>
      </c>
      <c r="AB420" s="281" t="s">
        <v>1</v>
      </c>
      <c r="AC420" s="279" t="s">
        <v>1</v>
      </c>
      <c r="AD420" s="280" cm="1">
        <f t="array" aca="1" ref="AD420" ca="1">INDIRECT("'"&amp;$C420&amp;"'!"&amp;"$"&amp;$D420&amp;$AD$1&amp;"")</f>
        <v>0</v>
      </c>
      <c r="AE420" s="281" t="s">
        <v>1</v>
      </c>
      <c r="AF420" s="281" t="s">
        <v>1</v>
      </c>
      <c r="AG420" s="279" t="s">
        <v>1</v>
      </c>
      <c r="AH420" s="278" cm="1">
        <f t="array" aca="1" ref="AH420" ca="1">INDIRECT("'"&amp;$C420&amp;"'!"&amp;"$"&amp;$D420&amp;$AH$1&amp;"")</f>
        <v>0</v>
      </c>
      <c r="AI420" s="281" t="s">
        <v>1</v>
      </c>
      <c r="AJ420" s="281" t="s">
        <v>1</v>
      </c>
      <c r="AK420" s="279" t="s">
        <v>1</v>
      </c>
      <c r="AL420" s="278">
        <v>11.6</v>
      </c>
      <c r="AM420" s="282">
        <v>70.819999999999993</v>
      </c>
      <c r="AN420" s="278" cm="1">
        <f t="array" aca="1" ref="AN420" ca="1">INDIRECT("'"&amp;$C420&amp;"'!"&amp;"$"&amp;$D420&amp;$AL$1&amp;"")</f>
        <v>3.8</v>
      </c>
      <c r="AO420" s="281">
        <v>0.98</v>
      </c>
      <c r="AP420" s="279">
        <v>0.84</v>
      </c>
      <c r="AQ420" s="280" cm="1">
        <f t="array" aca="1" ref="AQ420" ca="1">INDIRECT("'"&amp;$C420&amp;"'!"&amp;"$"&amp;$D420&amp;$AQ$1&amp;"")</f>
        <v>0</v>
      </c>
      <c r="AR420" s="281" t="s">
        <v>1</v>
      </c>
      <c r="AS420" s="279" t="s">
        <v>1</v>
      </c>
      <c r="AT420" s="278">
        <v>13.91</v>
      </c>
      <c r="AU420" s="282">
        <v>70.2</v>
      </c>
      <c r="AV420" s="281" cm="1">
        <f t="array" aca="1" ref="AV420" ca="1">INDIRECT("'"&amp;$C420&amp;"'!"&amp;"$"&amp;$D420&amp;$AV$1&amp;"")</f>
        <v>0</v>
      </c>
      <c r="AW420" s="280">
        <v>13.7</v>
      </c>
      <c r="AX420" s="281" t="s">
        <v>1</v>
      </c>
      <c r="AY420" s="279" t="s">
        <v>1</v>
      </c>
      <c r="AZ420" s="281" cm="1">
        <f t="array" aca="1" ref="AZ420" ca="1">INDIRECT("'"&amp;$C420&amp;"'!"&amp;"$"&amp;$D420&amp;$AZ$1&amp;"")</f>
        <v>7</v>
      </c>
      <c r="BA420" s="280">
        <v>13.7</v>
      </c>
      <c r="BB420" s="281">
        <v>0.95</v>
      </c>
      <c r="BC420" s="279">
        <v>2.2000000000000002</v>
      </c>
      <c r="BD420" s="283">
        <v>14.17</v>
      </c>
      <c r="BE420" s="282">
        <v>71.37</v>
      </c>
      <c r="BF420" s="283" cm="1">
        <f t="array" aca="1" ref="BF420" ca="1">INDIRECT("'"&amp;$C420&amp;"'!"&amp;"$"&amp;$D420&amp;$BF$1&amp;"")</f>
        <v>14.31</v>
      </c>
      <c r="BG420" s="281">
        <v>0.98</v>
      </c>
      <c r="BH420" s="279">
        <v>3.4</v>
      </c>
      <c r="BI420" s="524">
        <v>68.7</v>
      </c>
      <c r="BJ420" s="278" cm="1">
        <f t="array" aca="1" ref="BJ420" ca="1">INDIRECT("'"&amp;$C420&amp;"'!"&amp;"$"&amp;$D420&amp;$BI$1&amp;"")</f>
        <v>1.5</v>
      </c>
      <c r="BK420" s="280">
        <v>0.94</v>
      </c>
      <c r="BL420" s="279">
        <v>0.53</v>
      </c>
      <c r="BM420" s="283" cm="1">
        <f t="array" aca="1" ref="BM420" ca="1">INDIRECT("'"&amp;$C420&amp;"'!"&amp;"$"&amp;$D420&amp;$BM$1&amp;"")</f>
        <v>1.0900000000000001</v>
      </c>
      <c r="BN420" s="281"/>
      <c r="BO420" s="281">
        <v>0.99</v>
      </c>
      <c r="BP420" s="279">
        <v>0.14000000000000001</v>
      </c>
      <c r="BQ420" s="284" cm="1">
        <f t="array" aca="1" ref="BQ420" ca="1">INDIRECT("'"&amp;$C420&amp;"'!"&amp;"$"&amp;$D420&amp;$BQ$1&amp;"")</f>
        <v>0.73</v>
      </c>
      <c r="BR420" s="281"/>
      <c r="BS420" s="281">
        <v>0.96</v>
      </c>
      <c r="BT420" s="279">
        <v>0.19</v>
      </c>
      <c r="BU420" s="284" cm="1">
        <f t="array" aca="1" ref="BU420" ca="1">INDIRECT("'"&amp;$C420&amp;"'!"&amp;"$"&amp;$D420&amp;74&amp;"")</f>
        <v>0</v>
      </c>
      <c r="BV420" s="281"/>
      <c r="BW420" s="281" t="s">
        <v>1</v>
      </c>
      <c r="BX420" s="279" t="s">
        <v>1</v>
      </c>
    </row>
    <row r="421" spans="1:76">
      <c r="A421" s="459">
        <v>45855</v>
      </c>
      <c r="B421" s="345">
        <v>0.66666666666666696</v>
      </c>
      <c r="C421" s="305">
        <v>17</v>
      </c>
      <c r="D421" s="306" t="s">
        <v>158</v>
      </c>
      <c r="E421" s="285">
        <v>14</v>
      </c>
      <c r="F421" s="286">
        <v>69.11</v>
      </c>
      <c r="G421" s="287" t="str" cm="1">
        <f t="array" aca="1" ref="G421" ca="1">INDIRECT("'"&amp;$C421&amp;"'!"&amp;"$"&amp;$D421&amp;$E$1&amp;"")</f>
        <v>CMS</v>
      </c>
      <c r="H421" s="288" t="s">
        <v>1</v>
      </c>
      <c r="I421" s="286" t="s">
        <v>1</v>
      </c>
      <c r="J421" s="287" cm="1">
        <f t="array" aca="1" ref="J421" ca="1">INDIRECT("'"&amp;$C421&amp;"'!"&amp;"$"&amp;$D421&amp;$J$1&amp;"")</f>
        <v>6.7</v>
      </c>
      <c r="K421" s="288"/>
      <c r="L421" s="288">
        <v>0.92</v>
      </c>
      <c r="M421" s="289">
        <v>2.92</v>
      </c>
      <c r="N421" s="285" cm="1">
        <f t="array" aca="1" ref="N421" ca="1">INDIRECT("'"&amp;$C421&amp;"'!"&amp;"$"&amp;$D421&amp;$N$1&amp;"")</f>
        <v>6.7</v>
      </c>
      <c r="O421" s="288"/>
      <c r="P421" s="288">
        <v>0.92</v>
      </c>
      <c r="Q421" s="286">
        <v>2.87</v>
      </c>
      <c r="R421" s="469" cm="1">
        <f t="array" aca="1" ref="R421" ca="1">INDIRECT("'"&amp;$C421&amp;"'!"&amp;"$"&amp;$D421&amp;$R$1&amp;"")</f>
        <v>6.7</v>
      </c>
      <c r="S421" s="288"/>
      <c r="T421" s="288">
        <v>0.92</v>
      </c>
      <c r="U421" s="286">
        <v>2.94</v>
      </c>
      <c r="V421" s="287" cm="1">
        <f t="array" aca="1" ref="V421" ca="1">INDIRECT("'"&amp;$C421&amp;"'!"&amp;"$"&amp;$D421&amp;$V$1&amp;"")</f>
        <v>0</v>
      </c>
      <c r="W421" s="288" t="s">
        <v>1</v>
      </c>
      <c r="X421" s="288" t="s">
        <v>1</v>
      </c>
      <c r="Y421" s="289" t="s">
        <v>1</v>
      </c>
      <c r="Z421" s="285" t="str" cm="1">
        <f t="array" aca="1" ref="Z421" ca="1">INDIRECT("'"&amp;$C421&amp;"'!"&amp;"$"&amp;$D421&amp;$Z$1&amp;"")</f>
        <v>CMS</v>
      </c>
      <c r="AA421" s="288" t="s">
        <v>1</v>
      </c>
      <c r="AB421" s="288" t="s">
        <v>1</v>
      </c>
      <c r="AC421" s="286" t="s">
        <v>1</v>
      </c>
      <c r="AD421" s="287" cm="1">
        <f t="array" aca="1" ref="AD421" ca="1">INDIRECT("'"&amp;$C421&amp;"'!"&amp;"$"&amp;$D421&amp;$AD$1&amp;"")</f>
        <v>0</v>
      </c>
      <c r="AE421" s="288" t="s">
        <v>1</v>
      </c>
      <c r="AF421" s="288" t="s">
        <v>1</v>
      </c>
      <c r="AG421" s="289" t="s">
        <v>1</v>
      </c>
      <c r="AH421" s="285" cm="1">
        <f t="array" aca="1" ref="AH421" ca="1">INDIRECT("'"&amp;$C421&amp;"'!"&amp;"$"&amp;$D421&amp;$AH$1&amp;"")</f>
        <v>0</v>
      </c>
      <c r="AI421" s="288" t="s">
        <v>1</v>
      </c>
      <c r="AJ421" s="288" t="s">
        <v>1</v>
      </c>
      <c r="AK421" s="286" t="s">
        <v>1</v>
      </c>
      <c r="AL421" s="285">
        <v>11.6</v>
      </c>
      <c r="AM421" s="289">
        <v>70.5</v>
      </c>
      <c r="AN421" s="285" cm="1">
        <f t="array" aca="1" ref="AN421" ca="1">INDIRECT("'"&amp;$C421&amp;"'!"&amp;"$"&amp;$D421&amp;$AL$1&amp;"")</f>
        <v>3.8</v>
      </c>
      <c r="AO421" s="288">
        <v>0.95</v>
      </c>
      <c r="AP421" s="286">
        <v>0.89</v>
      </c>
      <c r="AQ421" s="287" cm="1">
        <f t="array" aca="1" ref="AQ421" ca="1">INDIRECT("'"&amp;$C421&amp;"'!"&amp;"$"&amp;$D421&amp;$AQ$1&amp;"")</f>
        <v>0</v>
      </c>
      <c r="AR421" s="288" t="s">
        <v>1</v>
      </c>
      <c r="AS421" s="286" t="s">
        <v>1</v>
      </c>
      <c r="AT421" s="285">
        <v>13.91</v>
      </c>
      <c r="AU421" s="289">
        <v>70.3</v>
      </c>
      <c r="AV421" s="288" cm="1">
        <f t="array" aca="1" ref="AV421" ca="1">INDIRECT("'"&amp;$C421&amp;"'!"&amp;"$"&amp;$D421&amp;$AV$1&amp;"")</f>
        <v>0</v>
      </c>
      <c r="AW421" s="287" t="s">
        <v>1</v>
      </c>
      <c r="AX421" s="288" t="s">
        <v>1</v>
      </c>
      <c r="AY421" s="286" t="s">
        <v>1</v>
      </c>
      <c r="AZ421" s="288" cm="1">
        <f t="array" aca="1" ref="AZ421" ca="1">INDIRECT("'"&amp;$C421&amp;"'!"&amp;"$"&amp;$D421&amp;$AZ$1&amp;"")</f>
        <v>7</v>
      </c>
      <c r="BA421" s="287" t="s">
        <v>1</v>
      </c>
      <c r="BB421" s="288">
        <v>0.96</v>
      </c>
      <c r="BC421" s="286">
        <v>2</v>
      </c>
      <c r="BD421" s="290">
        <v>14.21</v>
      </c>
      <c r="BE421" s="289">
        <v>71.53</v>
      </c>
      <c r="BF421" s="290" cm="1">
        <f t="array" aca="1" ref="BF421" ca="1">INDIRECT("'"&amp;$C421&amp;"'!"&amp;"$"&amp;$D421&amp;$BF$1&amp;"")</f>
        <v>14.26</v>
      </c>
      <c r="BG421" s="288">
        <v>0.98</v>
      </c>
      <c r="BH421" s="286">
        <v>3.4</v>
      </c>
      <c r="BI421" s="525">
        <v>68</v>
      </c>
      <c r="BJ421" s="285" cm="1">
        <f t="array" aca="1" ref="BJ421" ca="1">INDIRECT("'"&amp;$C421&amp;"'!"&amp;"$"&amp;$D421&amp;$BI$1&amp;"")</f>
        <v>1.5</v>
      </c>
      <c r="BK421" s="287">
        <v>0.95</v>
      </c>
      <c r="BL421" s="286">
        <v>0.48</v>
      </c>
      <c r="BM421" s="290" cm="1">
        <f t="array" aca="1" ref="BM421" ca="1">INDIRECT("'"&amp;$C421&amp;"'!"&amp;"$"&amp;$D421&amp;$BM$1&amp;"")</f>
        <v>1.19</v>
      </c>
      <c r="BN421" s="288"/>
      <c r="BO421" s="288">
        <v>0.99</v>
      </c>
      <c r="BP421" s="286">
        <v>0.15</v>
      </c>
      <c r="BQ421" s="291" cm="1">
        <f t="array" aca="1" ref="BQ421" ca="1">INDIRECT("'"&amp;$C421&amp;"'!"&amp;"$"&amp;$D421&amp;$BQ$1&amp;"")</f>
        <v>0</v>
      </c>
      <c r="BR421" s="288"/>
      <c r="BS421" s="288" t="s">
        <v>1</v>
      </c>
      <c r="BT421" s="286" t="s">
        <v>1</v>
      </c>
      <c r="BU421" s="291" cm="1">
        <f t="array" aca="1" ref="BU421" ca="1">INDIRECT("'"&amp;$C421&amp;"'!"&amp;"$"&amp;$D421&amp;74&amp;"")</f>
        <v>0</v>
      </c>
      <c r="BV421" s="288"/>
      <c r="BW421" s="288" t="s">
        <v>1</v>
      </c>
      <c r="BX421" s="286" t="s">
        <v>1</v>
      </c>
    </row>
    <row r="422" spans="1:76">
      <c r="A422" s="459">
        <v>45855</v>
      </c>
      <c r="B422" s="345">
        <v>0.70833333333333404</v>
      </c>
      <c r="C422" s="305">
        <v>17</v>
      </c>
      <c r="D422" s="306" t="s">
        <v>159</v>
      </c>
      <c r="E422" s="278">
        <v>14</v>
      </c>
      <c r="F422" s="279">
        <v>69.010000000000005</v>
      </c>
      <c r="G422" s="280" t="str" cm="1">
        <f t="array" aca="1" ref="G422" ca="1">INDIRECT("'"&amp;$C422&amp;"'!"&amp;"$"&amp;$D422&amp;$E$1&amp;"")</f>
        <v>CMS</v>
      </c>
      <c r="H422" s="281" t="s">
        <v>1</v>
      </c>
      <c r="I422" s="279" t="s">
        <v>1</v>
      </c>
      <c r="J422" s="280" cm="1">
        <f t="array" aca="1" ref="J422" ca="1">INDIRECT("'"&amp;$C422&amp;"'!"&amp;"$"&amp;$D422&amp;$J$1&amp;"")</f>
        <v>6.4</v>
      </c>
      <c r="K422" s="281"/>
      <c r="L422" s="281">
        <v>0.95</v>
      </c>
      <c r="M422" s="282">
        <v>2.16</v>
      </c>
      <c r="N422" s="278" cm="1">
        <f t="array" aca="1" ref="N422" ca="1">INDIRECT("'"&amp;$C422&amp;"'!"&amp;"$"&amp;$D422&amp;$N$1&amp;"")</f>
        <v>6.4</v>
      </c>
      <c r="O422" s="281"/>
      <c r="P422" s="281">
        <v>0.95</v>
      </c>
      <c r="Q422" s="279">
        <v>2.17</v>
      </c>
      <c r="R422" s="468" cm="1">
        <f t="array" aca="1" ref="R422" ca="1">INDIRECT("'"&amp;$C422&amp;"'!"&amp;"$"&amp;$D422&amp;$R$1&amp;"")</f>
        <v>6.4</v>
      </c>
      <c r="S422" s="281"/>
      <c r="T422" s="281">
        <v>0.95</v>
      </c>
      <c r="U422" s="279">
        <v>2.14</v>
      </c>
      <c r="V422" s="280" cm="1">
        <f t="array" aca="1" ref="V422" ca="1">INDIRECT("'"&amp;$C422&amp;"'!"&amp;"$"&amp;$D422&amp;$V$1&amp;"")</f>
        <v>0</v>
      </c>
      <c r="W422" s="281" t="s">
        <v>1</v>
      </c>
      <c r="X422" s="281" t="s">
        <v>1</v>
      </c>
      <c r="Y422" s="282" t="s">
        <v>1</v>
      </c>
      <c r="Z422" s="278" t="str" cm="1">
        <f t="array" aca="1" ref="Z422" ca="1">INDIRECT("'"&amp;$C422&amp;"'!"&amp;"$"&amp;$D422&amp;$Z$1&amp;"")</f>
        <v>CMS</v>
      </c>
      <c r="AA422" s="281" t="s">
        <v>1</v>
      </c>
      <c r="AB422" s="281" t="s">
        <v>1</v>
      </c>
      <c r="AC422" s="279" t="s">
        <v>1</v>
      </c>
      <c r="AD422" s="280" cm="1">
        <f t="array" aca="1" ref="AD422" ca="1">INDIRECT("'"&amp;$C422&amp;"'!"&amp;"$"&amp;$D422&amp;$AD$1&amp;"")</f>
        <v>0</v>
      </c>
      <c r="AE422" s="281" t="s">
        <v>1</v>
      </c>
      <c r="AF422" s="281" t="s">
        <v>1</v>
      </c>
      <c r="AG422" s="282" t="s">
        <v>1</v>
      </c>
      <c r="AH422" s="278" cm="1">
        <f t="array" aca="1" ref="AH422" ca="1">INDIRECT("'"&amp;$C422&amp;"'!"&amp;"$"&amp;$D422&amp;$AH$1&amp;"")</f>
        <v>0</v>
      </c>
      <c r="AI422" s="281" t="s">
        <v>1</v>
      </c>
      <c r="AJ422" s="281" t="s">
        <v>1</v>
      </c>
      <c r="AK422" s="279" t="s">
        <v>1</v>
      </c>
      <c r="AL422" s="278">
        <v>11.5</v>
      </c>
      <c r="AM422" s="282">
        <v>70.7</v>
      </c>
      <c r="AN422" s="278" cm="1">
        <f t="array" aca="1" ref="AN422" ca="1">INDIRECT("'"&amp;$C422&amp;"'!"&amp;"$"&amp;$D422&amp;$AL$1&amp;"")</f>
        <v>0</v>
      </c>
      <c r="AO422" s="281" t="s">
        <v>1</v>
      </c>
      <c r="AP422" s="279" t="s">
        <v>1</v>
      </c>
      <c r="AQ422" s="280" cm="1">
        <f t="array" aca="1" ref="AQ422" ca="1">INDIRECT("'"&amp;$C422&amp;"'!"&amp;"$"&amp;$D422&amp;$AQ$1&amp;"")</f>
        <v>3.8</v>
      </c>
      <c r="AR422" s="281">
        <v>0.99</v>
      </c>
      <c r="AS422" s="279">
        <v>0.215</v>
      </c>
      <c r="AT422" s="278">
        <v>13.9</v>
      </c>
      <c r="AU422" s="282">
        <v>70.3</v>
      </c>
      <c r="AV422" s="281" cm="1">
        <f t="array" aca="1" ref="AV422" ca="1">INDIRECT("'"&amp;$C422&amp;"'!"&amp;"$"&amp;$D422&amp;$AV$1&amp;"")</f>
        <v>0</v>
      </c>
      <c r="AW422" s="280" t="s">
        <v>1</v>
      </c>
      <c r="AX422" s="281" t="s">
        <v>1</v>
      </c>
      <c r="AY422" s="279" t="s">
        <v>1</v>
      </c>
      <c r="AZ422" s="281" cm="1">
        <f t="array" aca="1" ref="AZ422" ca="1">INDIRECT("'"&amp;$C422&amp;"'!"&amp;"$"&amp;$D422&amp;$AZ$1&amp;"")</f>
        <v>7</v>
      </c>
      <c r="BA422" s="280" t="s">
        <v>1</v>
      </c>
      <c r="BB422" s="281">
        <v>0.95</v>
      </c>
      <c r="BC422" s="279">
        <v>2.2000000000000002</v>
      </c>
      <c r="BD422" s="283">
        <v>14.24</v>
      </c>
      <c r="BE422" s="282">
        <v>71.59</v>
      </c>
      <c r="BF422" s="283" cm="1">
        <f t="array" aca="1" ref="BF422" ca="1">INDIRECT("'"&amp;$C422&amp;"'!"&amp;"$"&amp;$D422&amp;$BF$1&amp;"")</f>
        <v>14.3</v>
      </c>
      <c r="BG422" s="281">
        <v>0.98</v>
      </c>
      <c r="BH422" s="279">
        <v>3.4</v>
      </c>
      <c r="BI422" s="524">
        <v>68</v>
      </c>
      <c r="BJ422" s="278" cm="1">
        <f t="array" aca="1" ref="BJ422" ca="1">INDIRECT("'"&amp;$C422&amp;"'!"&amp;"$"&amp;$D422&amp;$BI$1&amp;"")</f>
        <v>1.5</v>
      </c>
      <c r="BK422" s="280">
        <v>0.95</v>
      </c>
      <c r="BL422" s="279">
        <v>0.46</v>
      </c>
      <c r="BM422" s="283" cm="1">
        <f t="array" aca="1" ref="BM422" ca="1">INDIRECT("'"&amp;$C422&amp;"'!"&amp;"$"&amp;$D422&amp;$BM$1&amp;"")</f>
        <v>1</v>
      </c>
      <c r="BN422" s="281"/>
      <c r="BO422" s="281">
        <v>0.99</v>
      </c>
      <c r="BP422" s="279">
        <v>0.14000000000000001</v>
      </c>
      <c r="BQ422" s="284" cm="1">
        <f t="array" aca="1" ref="BQ422" ca="1">INDIRECT("'"&amp;$C422&amp;"'!"&amp;"$"&amp;$D422&amp;$BQ$1&amp;"")</f>
        <v>0.54</v>
      </c>
      <c r="BR422" s="281"/>
      <c r="BS422" s="281">
        <v>0.95</v>
      </c>
      <c r="BT422" s="279">
        <v>0.12</v>
      </c>
      <c r="BU422" s="284" cm="1">
        <f t="array" aca="1" ref="BU422" ca="1">INDIRECT("'"&amp;$C422&amp;"'!"&amp;"$"&amp;$D422&amp;74&amp;"")</f>
        <v>0</v>
      </c>
      <c r="BV422" s="281"/>
      <c r="BW422" s="281" t="s">
        <v>1</v>
      </c>
      <c r="BX422" s="279" t="s">
        <v>1</v>
      </c>
    </row>
    <row r="423" spans="1:76">
      <c r="A423" s="459">
        <v>45855</v>
      </c>
      <c r="B423" s="345">
        <v>0.750000000000001</v>
      </c>
      <c r="C423" s="305">
        <v>17</v>
      </c>
      <c r="D423" s="306" t="s">
        <v>160</v>
      </c>
      <c r="E423" s="285">
        <v>14</v>
      </c>
      <c r="F423" s="286">
        <v>69.13</v>
      </c>
      <c r="G423" s="287" t="str" cm="1">
        <f t="array" aca="1" ref="G423" ca="1">INDIRECT("'"&amp;$C423&amp;"'!"&amp;"$"&amp;$D423&amp;$E$1&amp;"")</f>
        <v>CMS</v>
      </c>
      <c r="H423" s="288" t="s">
        <v>1</v>
      </c>
      <c r="I423" s="286" t="s">
        <v>1</v>
      </c>
      <c r="J423" s="287" cm="1">
        <f t="array" aca="1" ref="J423" ca="1">INDIRECT("'"&amp;$C423&amp;"'!"&amp;"$"&amp;$D423&amp;$J$1&amp;"")</f>
        <v>6.5</v>
      </c>
      <c r="K423" s="288"/>
      <c r="L423" s="288">
        <v>0.95</v>
      </c>
      <c r="M423" s="289">
        <v>2.09</v>
      </c>
      <c r="N423" s="285" cm="1">
        <f t="array" aca="1" ref="N423" ca="1">INDIRECT("'"&amp;$C423&amp;"'!"&amp;"$"&amp;$D423&amp;$N$1&amp;"")</f>
        <v>6.5</v>
      </c>
      <c r="O423" s="288"/>
      <c r="P423" s="288">
        <v>0.95</v>
      </c>
      <c r="Q423" s="286">
        <v>2.1</v>
      </c>
      <c r="R423" s="285" cm="1">
        <f t="array" aca="1" ref="R423" ca="1">INDIRECT("'"&amp;$C423&amp;"'!"&amp;"$"&amp;$D423&amp;$R$1&amp;"")</f>
        <v>6.5</v>
      </c>
      <c r="S423" s="288"/>
      <c r="T423" s="288">
        <v>0.95</v>
      </c>
      <c r="U423" s="286">
        <v>2.06</v>
      </c>
      <c r="V423" s="287" cm="1">
        <f t="array" aca="1" ref="V423" ca="1">INDIRECT("'"&amp;$C423&amp;"'!"&amp;"$"&amp;$D423&amp;$V$1&amp;"")</f>
        <v>0</v>
      </c>
      <c r="W423" s="288" t="s">
        <v>1</v>
      </c>
      <c r="X423" s="288" t="s">
        <v>1</v>
      </c>
      <c r="Y423" s="289" t="s">
        <v>1</v>
      </c>
      <c r="Z423" s="285" t="str" cm="1">
        <f t="array" aca="1" ref="Z423" ca="1">INDIRECT("'"&amp;$C423&amp;"'!"&amp;"$"&amp;$D423&amp;$Z$1&amp;"")</f>
        <v>CMS</v>
      </c>
      <c r="AA423" s="288" t="s">
        <v>1</v>
      </c>
      <c r="AB423" s="288" t="s">
        <v>1</v>
      </c>
      <c r="AC423" s="286" t="s">
        <v>1</v>
      </c>
      <c r="AD423" s="287" cm="1">
        <f t="array" aca="1" ref="AD423" ca="1">INDIRECT("'"&amp;$C423&amp;"'!"&amp;"$"&amp;$D423&amp;$AD$1&amp;"")</f>
        <v>0</v>
      </c>
      <c r="AE423" s="288" t="s">
        <v>1</v>
      </c>
      <c r="AF423" s="288" t="s">
        <v>1</v>
      </c>
      <c r="AG423" s="289" t="s">
        <v>1</v>
      </c>
      <c r="AH423" s="285" cm="1">
        <f t="array" aca="1" ref="AH423" ca="1">INDIRECT("'"&amp;$C423&amp;"'!"&amp;"$"&amp;$D423&amp;$AH$1&amp;"")</f>
        <v>0</v>
      </c>
      <c r="AI423" s="288" t="s">
        <v>1</v>
      </c>
      <c r="AJ423" s="288" t="s">
        <v>1</v>
      </c>
      <c r="AK423" s="286" t="s">
        <v>1</v>
      </c>
      <c r="AL423" s="285">
        <v>11.5</v>
      </c>
      <c r="AM423" s="289">
        <v>70.8</v>
      </c>
      <c r="AN423" s="285" cm="1">
        <f t="array" aca="1" ref="AN423" ca="1">INDIRECT("'"&amp;$C423&amp;"'!"&amp;"$"&amp;$D423&amp;$AL$1&amp;"")</f>
        <v>0</v>
      </c>
      <c r="AO423" s="288" t="s">
        <v>1</v>
      </c>
      <c r="AP423" s="286" t="s">
        <v>1</v>
      </c>
      <c r="AQ423" s="287" cm="1">
        <f t="array" aca="1" ref="AQ423" ca="1">INDIRECT("'"&amp;$C423&amp;"'!"&amp;"$"&amp;$D423&amp;$AQ$1&amp;"")</f>
        <v>3.8</v>
      </c>
      <c r="AR423" s="288">
        <v>0.96</v>
      </c>
      <c r="AS423" s="286">
        <v>0.99099999999999999</v>
      </c>
      <c r="AT423" s="285">
        <v>13.9</v>
      </c>
      <c r="AU423" s="289">
        <v>70.400000000000006</v>
      </c>
      <c r="AV423" s="288" cm="1">
        <f t="array" aca="1" ref="AV423" ca="1">INDIRECT("'"&amp;$C423&amp;"'!"&amp;"$"&amp;$D423&amp;$AV$1&amp;"")</f>
        <v>0</v>
      </c>
      <c r="AW423" s="287" t="s">
        <v>1</v>
      </c>
      <c r="AX423" s="288" t="s">
        <v>1</v>
      </c>
      <c r="AY423" s="286" t="s">
        <v>1</v>
      </c>
      <c r="AZ423" s="288" cm="1">
        <f t="array" aca="1" ref="AZ423" ca="1">INDIRECT("'"&amp;$C423&amp;"'!"&amp;"$"&amp;$D423&amp;$AZ$1&amp;"")</f>
        <v>7</v>
      </c>
      <c r="BA423" s="287" t="s">
        <v>1</v>
      </c>
      <c r="BB423" s="288">
        <v>0.96</v>
      </c>
      <c r="BC423" s="286">
        <v>2</v>
      </c>
      <c r="BD423" s="290">
        <v>14.16</v>
      </c>
      <c r="BE423" s="289">
        <v>71.52</v>
      </c>
      <c r="BF423" s="290" cm="1">
        <f t="array" aca="1" ref="BF423" ca="1">INDIRECT("'"&amp;$C423&amp;"'!"&amp;"$"&amp;$D423&amp;$BF$1&amp;"")</f>
        <v>14.32</v>
      </c>
      <c r="BG423" s="288">
        <v>0.99</v>
      </c>
      <c r="BH423" s="286">
        <v>2.4</v>
      </c>
      <c r="BI423" s="525">
        <v>68</v>
      </c>
      <c r="BJ423" s="285" cm="1">
        <f t="array" aca="1" ref="BJ423" ca="1">INDIRECT("'"&amp;$C423&amp;"'!"&amp;"$"&amp;$D423&amp;$BI$1&amp;"")</f>
        <v>1.5</v>
      </c>
      <c r="BK423" s="287">
        <v>0.96</v>
      </c>
      <c r="BL423" s="286">
        <v>0.44</v>
      </c>
      <c r="BM423" s="290" cm="1">
        <f t="array" aca="1" ref="BM423" ca="1">INDIRECT("'"&amp;$C423&amp;"'!"&amp;"$"&amp;$D423&amp;$BM$1&amp;"")</f>
        <v>0</v>
      </c>
      <c r="BN423" s="288"/>
      <c r="BO423" s="288" t="s">
        <v>1</v>
      </c>
      <c r="BP423" s="286" t="s">
        <v>1</v>
      </c>
      <c r="BQ423" s="291" cm="1">
        <f t="array" aca="1" ref="BQ423" ca="1">INDIRECT("'"&amp;$C423&amp;"'!"&amp;"$"&amp;$D423&amp;$BQ$1&amp;"")</f>
        <v>0.56000000000000005</v>
      </c>
      <c r="BR423" s="288"/>
      <c r="BS423" s="288">
        <v>0.95</v>
      </c>
      <c r="BT423" s="286">
        <v>0.12</v>
      </c>
      <c r="BU423" s="291" cm="1">
        <f t="array" aca="1" ref="BU423" ca="1">INDIRECT("'"&amp;$C423&amp;"'!"&amp;"$"&amp;$D423&amp;74&amp;"")</f>
        <v>0</v>
      </c>
      <c r="BV423" s="288"/>
      <c r="BW423" s="288" t="s">
        <v>1</v>
      </c>
      <c r="BX423" s="286" t="s">
        <v>1</v>
      </c>
    </row>
    <row r="424" spans="1:76">
      <c r="A424" s="459">
        <v>45855</v>
      </c>
      <c r="B424" s="345">
        <v>0.79166666666666696</v>
      </c>
      <c r="C424" s="305">
        <v>17</v>
      </c>
      <c r="D424" s="306" t="s">
        <v>161</v>
      </c>
      <c r="E424" s="278">
        <v>14</v>
      </c>
      <c r="F424" s="279">
        <v>69.22</v>
      </c>
      <c r="G424" s="280" t="str" cm="1">
        <f t="array" aca="1" ref="G424" ca="1">INDIRECT("'"&amp;$C424&amp;"'!"&amp;"$"&amp;$D424&amp;$E$1&amp;"")</f>
        <v>CMS</v>
      </c>
      <c r="H424" s="281" t="s">
        <v>1</v>
      </c>
      <c r="I424" s="279" t="s">
        <v>1</v>
      </c>
      <c r="J424" s="280" cm="1">
        <f t="array" aca="1" ref="J424" ca="1">INDIRECT("'"&amp;$C424&amp;"'!"&amp;"$"&amp;$D424&amp;$J$1&amp;"")</f>
        <v>6.8</v>
      </c>
      <c r="K424" s="292"/>
      <c r="L424" s="281">
        <v>0.97</v>
      </c>
      <c r="M424" s="282">
        <v>1.85</v>
      </c>
      <c r="N424" s="278" cm="1">
        <f t="array" aca="1" ref="N424" ca="1">INDIRECT("'"&amp;$C424&amp;"'!"&amp;"$"&amp;$D424&amp;$N$1&amp;"")</f>
        <v>6.8</v>
      </c>
      <c r="O424" s="281"/>
      <c r="P424" s="281">
        <v>0.97</v>
      </c>
      <c r="Q424" s="279">
        <v>1.87</v>
      </c>
      <c r="R424" s="468" cm="1">
        <f t="array" aca="1" ref="R424" ca="1">INDIRECT("'"&amp;$C424&amp;"'!"&amp;"$"&amp;$D424&amp;$R$1&amp;"")</f>
        <v>6.8</v>
      </c>
      <c r="S424" s="281"/>
      <c r="T424" s="281">
        <v>0.97</v>
      </c>
      <c r="U424" s="279">
        <v>1.81</v>
      </c>
      <c r="V424" s="280" cm="1">
        <f t="array" aca="1" ref="V424" ca="1">INDIRECT("'"&amp;$C424&amp;"'!"&amp;"$"&amp;$D424&amp;$V$1&amp;"")</f>
        <v>0</v>
      </c>
      <c r="W424" s="281" t="s">
        <v>1</v>
      </c>
      <c r="X424" s="281" t="s">
        <v>1</v>
      </c>
      <c r="Y424" s="282" t="s">
        <v>1</v>
      </c>
      <c r="Z424" s="278" t="str" cm="1">
        <f t="array" aca="1" ref="Z424" ca="1">INDIRECT("'"&amp;$C424&amp;"'!"&amp;"$"&amp;$D424&amp;$Z$1&amp;"")</f>
        <v>CMS</v>
      </c>
      <c r="AA424" s="281" t="s">
        <v>1</v>
      </c>
      <c r="AB424" s="281" t="s">
        <v>1</v>
      </c>
      <c r="AC424" s="279" t="s">
        <v>1</v>
      </c>
      <c r="AD424" s="280" cm="1">
        <f t="array" aca="1" ref="AD424" ca="1">INDIRECT("'"&amp;$C424&amp;"'!"&amp;"$"&amp;$D424&amp;$AD$1&amp;"")</f>
        <v>0</v>
      </c>
      <c r="AE424" s="281" t="s">
        <v>1</v>
      </c>
      <c r="AF424" s="281" t="s">
        <v>1</v>
      </c>
      <c r="AG424" s="282" t="s">
        <v>1</v>
      </c>
      <c r="AH424" s="278" cm="1">
        <f t="array" aca="1" ref="AH424" ca="1">INDIRECT("'"&amp;$C424&amp;"'!"&amp;"$"&amp;$D424&amp;$AH$1&amp;"")</f>
        <v>0</v>
      </c>
      <c r="AI424" s="281" t="s">
        <v>1</v>
      </c>
      <c r="AJ424" s="281" t="s">
        <v>1</v>
      </c>
      <c r="AK424" s="279" t="s">
        <v>1</v>
      </c>
      <c r="AL424" s="278">
        <v>11.6</v>
      </c>
      <c r="AM424" s="282">
        <v>70.7</v>
      </c>
      <c r="AN424" s="278" cm="1">
        <f t="array" aca="1" ref="AN424" ca="1">INDIRECT("'"&amp;$C424&amp;"'!"&amp;"$"&amp;$D424&amp;$AL$1&amp;"")</f>
        <v>0</v>
      </c>
      <c r="AO424" s="281" t="s">
        <v>1</v>
      </c>
      <c r="AP424" s="279" t="s">
        <v>1</v>
      </c>
      <c r="AQ424" s="280" cm="1">
        <f t="array" aca="1" ref="AQ424" ca="1">INDIRECT("'"&amp;$C424&amp;"'!"&amp;"$"&amp;$D424&amp;$AQ$1&amp;"")</f>
        <v>3.8</v>
      </c>
      <c r="AR424" s="281">
        <v>0.96</v>
      </c>
      <c r="AS424" s="279">
        <v>1.07</v>
      </c>
      <c r="AT424" s="278">
        <v>13.9</v>
      </c>
      <c r="AU424" s="282">
        <v>70.3</v>
      </c>
      <c r="AV424" s="281" cm="1">
        <f t="array" aca="1" ref="AV424" ca="1">INDIRECT("'"&amp;$C424&amp;"'!"&amp;"$"&amp;$D424&amp;$AV$1&amp;"")</f>
        <v>0</v>
      </c>
      <c r="AW424" s="280">
        <v>13.7</v>
      </c>
      <c r="AX424" s="281" t="s">
        <v>1</v>
      </c>
      <c r="AY424" s="279" t="s">
        <v>1</v>
      </c>
      <c r="AZ424" s="281" cm="1">
        <f t="array" aca="1" ref="AZ424" ca="1">INDIRECT("'"&amp;$C424&amp;"'!"&amp;"$"&amp;$D424&amp;$AZ$1&amp;"")</f>
        <v>7</v>
      </c>
      <c r="BA424" s="280">
        <v>13.7</v>
      </c>
      <c r="BB424" s="281">
        <v>0.96</v>
      </c>
      <c r="BC424" s="279">
        <v>2.1</v>
      </c>
      <c r="BD424" s="283">
        <v>14.08</v>
      </c>
      <c r="BE424" s="282">
        <v>71.099999999999994</v>
      </c>
      <c r="BF424" s="283" cm="1">
        <f t="array" aca="1" ref="BF424" ca="1">INDIRECT("'"&amp;$C424&amp;"'!"&amp;"$"&amp;$D424&amp;$BF$1&amp;"")</f>
        <v>14.27</v>
      </c>
      <c r="BG424" s="281">
        <v>0.99</v>
      </c>
      <c r="BH424" s="279">
        <v>2.2999999999999998</v>
      </c>
      <c r="BI424" s="524">
        <v>68.099999999999994</v>
      </c>
      <c r="BJ424" s="278" cm="1">
        <f t="array" aca="1" ref="BJ424" ca="1">INDIRECT("'"&amp;$C424&amp;"'!"&amp;"$"&amp;$D424&amp;$BI$1&amp;"")</f>
        <v>2.2999999999999998</v>
      </c>
      <c r="BK424" s="280">
        <v>0.96</v>
      </c>
      <c r="BL424" s="279">
        <v>0.65</v>
      </c>
      <c r="BM424" s="283" cm="1">
        <f t="array" aca="1" ref="BM424" ca="1">INDIRECT("'"&amp;$C424&amp;"'!"&amp;"$"&amp;$D424&amp;$BM$1&amp;"")</f>
        <v>1.17</v>
      </c>
      <c r="BN424" s="281"/>
      <c r="BO424" s="281">
        <v>0.99</v>
      </c>
      <c r="BP424" s="279">
        <v>0.1</v>
      </c>
      <c r="BQ424" s="284" cm="1">
        <f t="array" aca="1" ref="BQ424" ca="1">INDIRECT("'"&amp;$C424&amp;"'!"&amp;"$"&amp;$D424&amp;$BQ$1&amp;"")</f>
        <v>0.65</v>
      </c>
      <c r="BR424" s="281"/>
      <c r="BS424" s="281">
        <v>0.95</v>
      </c>
      <c r="BT424" s="279">
        <v>0.15</v>
      </c>
      <c r="BU424" s="284" cm="1">
        <f t="array" aca="1" ref="BU424" ca="1">INDIRECT("'"&amp;$C424&amp;"'!"&amp;"$"&amp;$D424&amp;74&amp;"")</f>
        <v>0</v>
      </c>
      <c r="BV424" s="281"/>
      <c r="BW424" s="281" t="s">
        <v>1</v>
      </c>
      <c r="BX424" s="279" t="s">
        <v>1</v>
      </c>
    </row>
    <row r="425" spans="1:76">
      <c r="A425" s="459">
        <v>45855</v>
      </c>
      <c r="B425" s="345">
        <v>0.83333333333333337</v>
      </c>
      <c r="C425" s="305">
        <v>17</v>
      </c>
      <c r="D425" s="306" t="s">
        <v>162</v>
      </c>
      <c r="E425" s="285">
        <v>14</v>
      </c>
      <c r="F425" s="286">
        <v>69.2</v>
      </c>
      <c r="G425" s="287" t="str" cm="1">
        <f t="array" aca="1" ref="G425" ca="1">INDIRECT("'"&amp;$C425&amp;"'!"&amp;"$"&amp;$D425&amp;$E$1&amp;"")</f>
        <v>CMS</v>
      </c>
      <c r="H425" s="288" t="s">
        <v>1</v>
      </c>
      <c r="I425" s="286" t="s">
        <v>1</v>
      </c>
      <c r="J425" s="287" cm="1">
        <f t="array" aca="1" ref="J425" ca="1">INDIRECT("'"&amp;$C425&amp;"'!"&amp;"$"&amp;$D425&amp;$J$1&amp;"")</f>
        <v>6.6</v>
      </c>
      <c r="K425" s="288"/>
      <c r="L425" s="288">
        <v>0.97</v>
      </c>
      <c r="M425" s="289">
        <v>1.78</v>
      </c>
      <c r="N425" s="285" cm="1">
        <f t="array" aca="1" ref="N425" ca="1">INDIRECT("'"&amp;$C425&amp;"'!"&amp;"$"&amp;$D425&amp;$N$1&amp;"")</f>
        <v>6.6</v>
      </c>
      <c r="O425" s="288"/>
      <c r="P425" s="288">
        <v>0.97</v>
      </c>
      <c r="Q425" s="286">
        <v>1.79</v>
      </c>
      <c r="R425" s="285" cm="1">
        <f t="array" aca="1" ref="R425" ca="1">INDIRECT("'"&amp;$C425&amp;"'!"&amp;"$"&amp;$D425&amp;$R$1&amp;"")</f>
        <v>6.6</v>
      </c>
      <c r="S425" s="288"/>
      <c r="T425" s="288">
        <v>0.97</v>
      </c>
      <c r="U425" s="286">
        <v>1.71</v>
      </c>
      <c r="V425" s="287" cm="1">
        <f t="array" aca="1" ref="V425" ca="1">INDIRECT("'"&amp;$C425&amp;"'!"&amp;"$"&amp;$D425&amp;$V$1&amp;"")</f>
        <v>0</v>
      </c>
      <c r="W425" s="288" t="s">
        <v>1</v>
      </c>
      <c r="X425" s="288" t="s">
        <v>1</v>
      </c>
      <c r="Y425" s="289" t="s">
        <v>1</v>
      </c>
      <c r="Z425" s="285" t="str" cm="1">
        <f t="array" aca="1" ref="Z425" ca="1">INDIRECT("'"&amp;$C425&amp;"'!"&amp;"$"&amp;$D425&amp;$Z$1&amp;"")</f>
        <v>CMS</v>
      </c>
      <c r="AA425" s="288" t="s">
        <v>1</v>
      </c>
      <c r="AB425" s="288" t="s">
        <v>1</v>
      </c>
      <c r="AC425" s="286" t="s">
        <v>1</v>
      </c>
      <c r="AD425" s="287" cm="1">
        <f t="array" aca="1" ref="AD425" ca="1">INDIRECT("'"&amp;$C425&amp;"'!"&amp;"$"&amp;$D425&amp;$AD$1&amp;"")</f>
        <v>0</v>
      </c>
      <c r="AE425" s="288" t="s">
        <v>1</v>
      </c>
      <c r="AF425" s="288" t="s">
        <v>1</v>
      </c>
      <c r="AG425" s="289" t="s">
        <v>1</v>
      </c>
      <c r="AH425" s="285" cm="1">
        <f t="array" aca="1" ref="AH425" ca="1">INDIRECT("'"&amp;$C425&amp;"'!"&amp;"$"&amp;$D425&amp;$AH$1&amp;"")</f>
        <v>0</v>
      </c>
      <c r="AI425" s="288" t="s">
        <v>1</v>
      </c>
      <c r="AJ425" s="288" t="s">
        <v>1</v>
      </c>
      <c r="AK425" s="286" t="s">
        <v>1</v>
      </c>
      <c r="AL425" s="285">
        <v>11.6</v>
      </c>
      <c r="AM425" s="289">
        <v>70.8</v>
      </c>
      <c r="AN425" s="285" cm="1">
        <f t="array" aca="1" ref="AN425" ca="1">INDIRECT("'"&amp;$C425&amp;"'!"&amp;"$"&amp;$D425&amp;$AL$1&amp;"")</f>
        <v>0</v>
      </c>
      <c r="AO425" s="288" t="s">
        <v>1</v>
      </c>
      <c r="AP425" s="286" t="s">
        <v>1</v>
      </c>
      <c r="AQ425" s="287" cm="1">
        <f t="array" aca="1" ref="AQ425" ca="1">INDIRECT("'"&amp;$C425&amp;"'!"&amp;"$"&amp;$D425&amp;$AQ$1&amp;"")</f>
        <v>3.8</v>
      </c>
      <c r="AR425" s="288">
        <v>0.96</v>
      </c>
      <c r="AS425" s="286">
        <v>1.38</v>
      </c>
      <c r="AT425" s="285">
        <v>13.91</v>
      </c>
      <c r="AU425" s="289">
        <v>70.3</v>
      </c>
      <c r="AV425" s="288" cm="1">
        <f t="array" aca="1" ref="AV425" ca="1">INDIRECT("'"&amp;$C425&amp;"'!"&amp;"$"&amp;$D425&amp;$AV$1&amp;"")</f>
        <v>0</v>
      </c>
      <c r="AW425" s="287" t="s">
        <v>1</v>
      </c>
      <c r="AX425" s="288" t="s">
        <v>1</v>
      </c>
      <c r="AY425" s="286" t="s">
        <v>1</v>
      </c>
      <c r="AZ425" s="288" cm="1">
        <f t="array" aca="1" ref="AZ425" ca="1">INDIRECT("'"&amp;$C425&amp;"'!"&amp;"$"&amp;$D425&amp;$AZ$1&amp;"")</f>
        <v>7</v>
      </c>
      <c r="BA425" s="287" t="s">
        <v>1</v>
      </c>
      <c r="BB425" s="288">
        <v>0.96</v>
      </c>
      <c r="BC425" s="286">
        <v>2</v>
      </c>
      <c r="BD425" s="290">
        <v>14.11</v>
      </c>
      <c r="BE425" s="289">
        <v>71.33</v>
      </c>
      <c r="BF425" s="290" cm="1">
        <f t="array" aca="1" ref="BF425" ca="1">INDIRECT("'"&amp;$C425&amp;"'!"&amp;"$"&amp;$D425&amp;$BF$1&amp;"")</f>
        <v>14.29</v>
      </c>
      <c r="BG425" s="288">
        <v>0.99</v>
      </c>
      <c r="BH425" s="286">
        <v>2.2999999999999998</v>
      </c>
      <c r="BI425" s="525">
        <v>68.099999999999994</v>
      </c>
      <c r="BJ425" s="285" cm="1">
        <f t="array" aca="1" ref="BJ425" ca="1">INDIRECT("'"&amp;$C425&amp;"'!"&amp;"$"&amp;$D425&amp;$BI$1&amp;"")</f>
        <v>0</v>
      </c>
      <c r="BK425" s="287" t="s">
        <v>1</v>
      </c>
      <c r="BL425" s="286" t="s">
        <v>1</v>
      </c>
      <c r="BM425" s="290" cm="1">
        <f t="array" aca="1" ref="BM425" ca="1">INDIRECT("'"&amp;$C425&amp;"'!"&amp;"$"&amp;$D425&amp;$BM$1&amp;"")</f>
        <v>1.06</v>
      </c>
      <c r="BN425" s="288"/>
      <c r="BO425" s="288">
        <v>0.99</v>
      </c>
      <c r="BP425" s="286">
        <v>0.08</v>
      </c>
      <c r="BQ425" s="291" cm="1">
        <f t="array" aca="1" ref="BQ425" ca="1">INDIRECT("'"&amp;$C425&amp;"'!"&amp;"$"&amp;$D425&amp;$BQ$1&amp;"")</f>
        <v>0.64</v>
      </c>
      <c r="BR425" s="288"/>
      <c r="BS425" s="288">
        <v>0.95</v>
      </c>
      <c r="BT425" s="286">
        <v>0.13</v>
      </c>
      <c r="BU425" s="291" cm="1">
        <f t="array" aca="1" ref="BU425" ca="1">INDIRECT("'"&amp;$C425&amp;"'!"&amp;"$"&amp;$D425&amp;74&amp;"")</f>
        <v>0</v>
      </c>
      <c r="BV425" s="288"/>
      <c r="BW425" s="288" t="s">
        <v>1</v>
      </c>
      <c r="BX425" s="286" t="s">
        <v>1</v>
      </c>
    </row>
    <row r="426" spans="1:76">
      <c r="A426" s="459">
        <v>45855</v>
      </c>
      <c r="B426" s="345">
        <v>0.875000000000001</v>
      </c>
      <c r="C426" s="305">
        <v>17</v>
      </c>
      <c r="D426" s="306" t="s">
        <v>163</v>
      </c>
      <c r="E426" s="278">
        <v>14</v>
      </c>
      <c r="F426" s="279">
        <v>69.56</v>
      </c>
      <c r="G426" s="280" t="str" cm="1">
        <f t="array" aca="1" ref="G426" ca="1">INDIRECT("'"&amp;$C426&amp;"'!"&amp;"$"&amp;$D426&amp;$E$1&amp;"")</f>
        <v>CMS</v>
      </c>
      <c r="H426" s="281" t="s">
        <v>1</v>
      </c>
      <c r="I426" s="279" t="s">
        <v>1</v>
      </c>
      <c r="J426" s="280" cm="1">
        <f t="array" aca="1" ref="J426" ca="1">INDIRECT("'"&amp;$C426&amp;"'!"&amp;"$"&amp;$D426&amp;$J$1&amp;"")</f>
        <v>6.8</v>
      </c>
      <c r="K426" s="281"/>
      <c r="L426" s="281">
        <v>0.97</v>
      </c>
      <c r="M426" s="282">
        <v>1.7</v>
      </c>
      <c r="N426" s="278" cm="1">
        <f t="array" aca="1" ref="N426" ca="1">INDIRECT("'"&amp;$C426&amp;"'!"&amp;"$"&amp;$D426&amp;$N$1&amp;"")</f>
        <v>6.1</v>
      </c>
      <c r="O426" s="281"/>
      <c r="P426" s="281">
        <v>0.97</v>
      </c>
      <c r="Q426" s="279">
        <v>1.6</v>
      </c>
      <c r="R426" s="468" cm="1">
        <f t="array" aca="1" ref="R426" ca="1">INDIRECT("'"&amp;$C426&amp;"'!"&amp;"$"&amp;$D426&amp;$R$1&amp;"")</f>
        <v>6.1</v>
      </c>
      <c r="S426" s="281"/>
      <c r="T426" s="281">
        <v>0.97</v>
      </c>
      <c r="U426" s="279">
        <v>1.6</v>
      </c>
      <c r="V426" s="280" cm="1">
        <f t="array" aca="1" ref="V426" ca="1">INDIRECT("'"&amp;$C426&amp;"'!"&amp;"$"&amp;$D426&amp;$V$1&amp;"")</f>
        <v>0</v>
      </c>
      <c r="W426" s="281" t="s">
        <v>1</v>
      </c>
      <c r="X426" s="281" t="s">
        <v>1</v>
      </c>
      <c r="Y426" s="282" t="s">
        <v>1</v>
      </c>
      <c r="Z426" s="278" t="str" cm="1">
        <f t="array" aca="1" ref="Z426" ca="1">INDIRECT("'"&amp;$C426&amp;"'!"&amp;"$"&amp;$D426&amp;$Z$1&amp;"")</f>
        <v>CMS</v>
      </c>
      <c r="AA426" s="281" t="s">
        <v>1</v>
      </c>
      <c r="AB426" s="281" t="s">
        <v>1</v>
      </c>
      <c r="AC426" s="279" t="s">
        <v>1</v>
      </c>
      <c r="AD426" s="280" cm="1">
        <f t="array" aca="1" ref="AD426" ca="1">INDIRECT("'"&amp;$C426&amp;"'!"&amp;"$"&amp;$D426&amp;$AD$1&amp;"")</f>
        <v>0</v>
      </c>
      <c r="AE426" s="281" t="s">
        <v>1</v>
      </c>
      <c r="AF426" s="281" t="s">
        <v>1</v>
      </c>
      <c r="AG426" s="282" t="s">
        <v>1</v>
      </c>
      <c r="AH426" s="278" cm="1">
        <f t="array" aca="1" ref="AH426" ca="1">INDIRECT("'"&amp;$C426&amp;"'!"&amp;"$"&amp;$D426&amp;$AH$1&amp;"")</f>
        <v>0</v>
      </c>
      <c r="AI426" s="281" t="s">
        <v>1</v>
      </c>
      <c r="AJ426" s="281" t="s">
        <v>1</v>
      </c>
      <c r="AK426" s="279" t="s">
        <v>1</v>
      </c>
      <c r="AL426" s="278">
        <v>11.6</v>
      </c>
      <c r="AM426" s="282">
        <v>70.8</v>
      </c>
      <c r="AN426" s="278" cm="1">
        <f t="array" aca="1" ref="AN426" ca="1">INDIRECT("'"&amp;$C426&amp;"'!"&amp;"$"&amp;$D426&amp;$AL$1&amp;"")</f>
        <v>0</v>
      </c>
      <c r="AO426" s="281" t="s">
        <v>1</v>
      </c>
      <c r="AP426" s="279" t="s">
        <v>1</v>
      </c>
      <c r="AQ426" s="280" cm="1">
        <f t="array" aca="1" ref="AQ426" ca="1">INDIRECT("'"&amp;$C426&amp;"'!"&amp;"$"&amp;$D426&amp;$AQ$1&amp;"")</f>
        <v>1.5</v>
      </c>
      <c r="AR426" s="281">
        <v>0.95</v>
      </c>
      <c r="AS426" s="279">
        <v>0.66</v>
      </c>
      <c r="AT426" s="278">
        <v>13.9</v>
      </c>
      <c r="AU426" s="282">
        <v>70.3</v>
      </c>
      <c r="AV426" s="281" cm="1">
        <f t="array" aca="1" ref="AV426" ca="1">INDIRECT("'"&amp;$C426&amp;"'!"&amp;"$"&amp;$D426&amp;$AV$1&amp;"")</f>
        <v>0</v>
      </c>
      <c r="AW426" s="280" t="s">
        <v>1</v>
      </c>
      <c r="AX426" s="281" t="s">
        <v>1</v>
      </c>
      <c r="AY426" s="279" t="s">
        <v>1</v>
      </c>
      <c r="AZ426" s="281" cm="1">
        <f t="array" aca="1" ref="AZ426" ca="1">INDIRECT("'"&amp;$C426&amp;"'!"&amp;"$"&amp;$D426&amp;$AZ$1&amp;"")</f>
        <v>6.5</v>
      </c>
      <c r="BA426" s="280" t="s">
        <v>1</v>
      </c>
      <c r="BB426" s="281">
        <v>0.97</v>
      </c>
      <c r="BC426" s="279">
        <v>1.7</v>
      </c>
      <c r="BD426" s="283">
        <v>14.18</v>
      </c>
      <c r="BE426" s="282">
        <v>71.709999999999994</v>
      </c>
      <c r="BF426" s="283" cm="1">
        <f t="array" aca="1" ref="BF426" ca="1">INDIRECT("'"&amp;$C426&amp;"'!"&amp;"$"&amp;$D426&amp;$BF$1&amp;"")</f>
        <v>14.26</v>
      </c>
      <c r="BG426" s="281">
        <v>0.99</v>
      </c>
      <c r="BH426" s="279">
        <v>2.2999999999999998</v>
      </c>
      <c r="BI426" s="524">
        <v>68.3</v>
      </c>
      <c r="BJ426" s="278" cm="1">
        <f t="array" aca="1" ref="BJ426" ca="1">INDIRECT("'"&amp;$C426&amp;"'!"&amp;"$"&amp;$D426&amp;$BI$1&amp;"")</f>
        <v>0</v>
      </c>
      <c r="BK426" s="280" t="s">
        <v>1</v>
      </c>
      <c r="BL426" s="279" t="s">
        <v>1</v>
      </c>
      <c r="BM426" s="283" cm="1">
        <f t="array" aca="1" ref="BM426" ca="1">INDIRECT("'"&amp;$C426&amp;"'!"&amp;"$"&amp;$D426&amp;$BM$1&amp;"")</f>
        <v>0.99</v>
      </c>
      <c r="BN426" s="281"/>
      <c r="BO426" s="281">
        <v>0.99</v>
      </c>
      <c r="BP426" s="279">
        <v>0.09</v>
      </c>
      <c r="BQ426" s="284" cm="1">
        <f t="array" aca="1" ref="BQ426" ca="1">INDIRECT("'"&amp;$C426&amp;"'!"&amp;"$"&amp;$D426&amp;$BQ$1&amp;"")</f>
        <v>0.56000000000000005</v>
      </c>
      <c r="BR426" s="281"/>
      <c r="BS426" s="281">
        <v>0.96</v>
      </c>
      <c r="BT426" s="279">
        <v>0.11</v>
      </c>
      <c r="BU426" s="284" cm="1">
        <f t="array" aca="1" ref="BU426" ca="1">INDIRECT("'"&amp;$C426&amp;"'!"&amp;"$"&amp;$D426&amp;74&amp;"")</f>
        <v>0</v>
      </c>
      <c r="BV426" s="281"/>
      <c r="BW426" s="281" t="s">
        <v>1</v>
      </c>
      <c r="BX426" s="279" t="s">
        <v>1</v>
      </c>
    </row>
    <row r="427" spans="1:76">
      <c r="A427" s="459">
        <v>45855</v>
      </c>
      <c r="B427" s="345">
        <v>0.91666666666666696</v>
      </c>
      <c r="C427" s="305">
        <v>17</v>
      </c>
      <c r="D427" s="306" t="s">
        <v>164</v>
      </c>
      <c r="E427" s="285">
        <v>13.9</v>
      </c>
      <c r="F427" s="286">
        <v>69.59</v>
      </c>
      <c r="G427" s="287" t="str" cm="1">
        <f t="array" aca="1" ref="G427" ca="1">INDIRECT("'"&amp;$C427&amp;"'!"&amp;"$"&amp;$D427&amp;$E$1&amp;"")</f>
        <v>CMS</v>
      </c>
      <c r="H427" s="288" t="s">
        <v>1</v>
      </c>
      <c r="I427" s="286" t="s">
        <v>1</v>
      </c>
      <c r="J427" s="287" cm="1">
        <f t="array" aca="1" ref="J427" ca="1">INDIRECT("'"&amp;$C427&amp;"'!"&amp;"$"&amp;$D427&amp;$J$1&amp;"")</f>
        <v>0</v>
      </c>
      <c r="K427" s="288"/>
      <c r="L427" s="288" t="s">
        <v>1</v>
      </c>
      <c r="M427" s="289" t="s">
        <v>1</v>
      </c>
      <c r="N427" s="285" cm="1">
        <f t="array" aca="1" ref="N427" ca="1">INDIRECT("'"&amp;$C427&amp;"'!"&amp;"$"&amp;$D427&amp;$N$1&amp;"")</f>
        <v>6.6</v>
      </c>
      <c r="O427" s="288"/>
      <c r="P427" s="288">
        <v>0.97</v>
      </c>
      <c r="Q427" s="286">
        <v>1.7</v>
      </c>
      <c r="R427" s="285" cm="1">
        <f t="array" aca="1" ref="R427" ca="1">INDIRECT("'"&amp;$C427&amp;"'!"&amp;"$"&amp;$D427&amp;$R$1&amp;"")</f>
        <v>6.6</v>
      </c>
      <c r="S427" s="288"/>
      <c r="T427" s="288">
        <v>0.97</v>
      </c>
      <c r="U427" s="286">
        <v>1.7</v>
      </c>
      <c r="V427" s="287" cm="1">
        <f t="array" aca="1" ref="V427" ca="1">INDIRECT("'"&amp;$C427&amp;"'!"&amp;"$"&amp;$D427&amp;$V$1&amp;"")</f>
        <v>0</v>
      </c>
      <c r="W427" s="288" t="s">
        <v>1</v>
      </c>
      <c r="X427" s="288" t="s">
        <v>1</v>
      </c>
      <c r="Y427" s="289" t="s">
        <v>1</v>
      </c>
      <c r="Z427" s="285" t="str" cm="1">
        <f t="array" aca="1" ref="Z427" ca="1">INDIRECT("'"&amp;$C427&amp;"'!"&amp;"$"&amp;$D427&amp;$Z$1&amp;"")</f>
        <v>CMS</v>
      </c>
      <c r="AA427" s="288" t="s">
        <v>1</v>
      </c>
      <c r="AB427" s="288" t="s">
        <v>1</v>
      </c>
      <c r="AC427" s="286" t="s">
        <v>1</v>
      </c>
      <c r="AD427" s="287" cm="1">
        <f t="array" aca="1" ref="AD427" ca="1">INDIRECT("'"&amp;$C427&amp;"'!"&amp;"$"&amp;$D427&amp;$AD$1&amp;"")</f>
        <v>0</v>
      </c>
      <c r="AE427" s="288" t="s">
        <v>1</v>
      </c>
      <c r="AF427" s="288" t="s">
        <v>1</v>
      </c>
      <c r="AG427" s="289" t="s">
        <v>1</v>
      </c>
      <c r="AH427" s="285" cm="1">
        <f t="array" aca="1" ref="AH427" ca="1">INDIRECT("'"&amp;$C427&amp;"'!"&amp;"$"&amp;$D427&amp;$AH$1&amp;"")</f>
        <v>0</v>
      </c>
      <c r="AI427" s="288" t="s">
        <v>1</v>
      </c>
      <c r="AJ427" s="288" t="s">
        <v>1</v>
      </c>
      <c r="AK427" s="286" t="s">
        <v>1</v>
      </c>
      <c r="AL427" s="285">
        <v>11.6</v>
      </c>
      <c r="AM427" s="289">
        <v>71</v>
      </c>
      <c r="AN427" s="285" cm="1">
        <f t="array" aca="1" ref="AN427" ca="1">INDIRECT("'"&amp;$C427&amp;"'!"&amp;"$"&amp;$D427&amp;$AL$1&amp;"")</f>
        <v>0</v>
      </c>
      <c r="AO427" s="288" t="s">
        <v>1</v>
      </c>
      <c r="AP427" s="286" t="s">
        <v>1</v>
      </c>
      <c r="AQ427" s="287" cm="1">
        <f t="array" aca="1" ref="AQ427" ca="1">INDIRECT("'"&amp;$C427&amp;"'!"&amp;"$"&amp;$D427&amp;$AQ$1&amp;"")</f>
        <v>3.8</v>
      </c>
      <c r="AR427" s="288">
        <v>0.98</v>
      </c>
      <c r="AS427" s="286">
        <v>0.54</v>
      </c>
      <c r="AT427" s="285">
        <v>13.9</v>
      </c>
      <c r="AU427" s="289">
        <v>70.3</v>
      </c>
      <c r="AV427" s="288" cm="1">
        <f t="array" aca="1" ref="AV427" ca="1">INDIRECT("'"&amp;$C427&amp;"'!"&amp;"$"&amp;$D427&amp;$AV$1&amp;"")</f>
        <v>0</v>
      </c>
      <c r="AW427" s="287" t="s">
        <v>1</v>
      </c>
      <c r="AX427" s="288" t="s">
        <v>1</v>
      </c>
      <c r="AY427" s="286" t="s">
        <v>1</v>
      </c>
      <c r="AZ427" s="288" cm="1">
        <f t="array" aca="1" ref="AZ427" ca="1">INDIRECT("'"&amp;$C427&amp;"'!"&amp;"$"&amp;$D427&amp;$AZ$1&amp;"")</f>
        <v>6.9</v>
      </c>
      <c r="BA427" s="287" t="s">
        <v>1</v>
      </c>
      <c r="BB427" s="288">
        <v>0.98</v>
      </c>
      <c r="BC427" s="286">
        <v>1.8</v>
      </c>
      <c r="BD427" s="290">
        <v>14.21</v>
      </c>
      <c r="BE427" s="289">
        <v>71.930000000000007</v>
      </c>
      <c r="BF427" s="290" cm="1">
        <f t="array" aca="1" ref="BF427" ca="1">INDIRECT("'"&amp;$C427&amp;"'!"&amp;"$"&amp;$D427&amp;$BF$1&amp;"")</f>
        <v>14.28</v>
      </c>
      <c r="BG427" s="288">
        <v>0.99</v>
      </c>
      <c r="BH427" s="286">
        <v>2.2999999999999998</v>
      </c>
      <c r="BI427" s="525">
        <v>68.599999999999994</v>
      </c>
      <c r="BJ427" s="285" cm="1">
        <f t="array" aca="1" ref="BJ427" ca="1">INDIRECT("'"&amp;$C427&amp;"'!"&amp;"$"&amp;$D427&amp;$BI$1&amp;"")</f>
        <v>0</v>
      </c>
      <c r="BK427" s="287" t="s">
        <v>1</v>
      </c>
      <c r="BL427" s="286" t="s">
        <v>1</v>
      </c>
      <c r="BM427" s="290" cm="1">
        <f t="array" aca="1" ref="BM427" ca="1">INDIRECT("'"&amp;$C427&amp;"'!"&amp;"$"&amp;$D427&amp;$BM$1&amp;"")</f>
        <v>0.9</v>
      </c>
      <c r="BN427" s="288"/>
      <c r="BO427" s="288">
        <v>0.99</v>
      </c>
      <c r="BP427" s="286">
        <v>0.09</v>
      </c>
      <c r="BQ427" s="291" cm="1">
        <f t="array" aca="1" ref="BQ427" ca="1">INDIRECT("'"&amp;$C427&amp;"'!"&amp;"$"&amp;$D427&amp;$BQ$1&amp;"")</f>
        <v>0.49</v>
      </c>
      <c r="BR427" s="288"/>
      <c r="BS427" s="288">
        <v>0.96</v>
      </c>
      <c r="BT427" s="286">
        <v>0.09</v>
      </c>
      <c r="BU427" s="291" cm="1">
        <f t="array" aca="1" ref="BU427" ca="1">INDIRECT("'"&amp;$C427&amp;"'!"&amp;"$"&amp;$D427&amp;74&amp;"")</f>
        <v>0</v>
      </c>
      <c r="BV427" s="288"/>
      <c r="BW427" s="288" t="s">
        <v>1</v>
      </c>
      <c r="BX427" s="286" t="s">
        <v>1</v>
      </c>
    </row>
    <row r="428" spans="1:76" ht="14.45" thickBot="1">
      <c r="A428" s="460">
        <v>45855</v>
      </c>
      <c r="B428" s="346">
        <v>0.95833333333333404</v>
      </c>
      <c r="C428" s="307">
        <v>17</v>
      </c>
      <c r="D428" s="308" t="s">
        <v>165</v>
      </c>
      <c r="E428" s="293">
        <v>14</v>
      </c>
      <c r="F428" s="294">
        <v>69.959999999999994</v>
      </c>
      <c r="G428" s="295" t="str" cm="1">
        <f t="array" aca="1" ref="G428" ca="1">INDIRECT("'"&amp;$C428&amp;"'!"&amp;"$"&amp;$D428&amp;$E$1&amp;"")</f>
        <v>CMS</v>
      </c>
      <c r="H428" s="296" t="s">
        <v>1</v>
      </c>
      <c r="I428" s="294" t="s">
        <v>1</v>
      </c>
      <c r="J428" s="295" cm="1">
        <f t="array" aca="1" ref="J428" ca="1">INDIRECT("'"&amp;$C428&amp;"'!"&amp;"$"&amp;$D428&amp;$J$1&amp;"")</f>
        <v>0</v>
      </c>
      <c r="K428" s="296"/>
      <c r="L428" s="296" t="s">
        <v>1</v>
      </c>
      <c r="M428" s="297" t="s">
        <v>1</v>
      </c>
      <c r="N428" s="293" cm="1">
        <f t="array" aca="1" ref="N428" ca="1">INDIRECT("'"&amp;$C428&amp;"'!"&amp;"$"&amp;$D428&amp;$N$1&amp;"")</f>
        <v>6.8</v>
      </c>
      <c r="O428" s="296"/>
      <c r="P428" s="296">
        <v>0.99</v>
      </c>
      <c r="Q428" s="294">
        <v>1</v>
      </c>
      <c r="R428" s="470" cm="1">
        <f t="array" aca="1" ref="R428" ca="1">INDIRECT("'"&amp;$C428&amp;"'!"&amp;"$"&amp;$D428&amp;$R$1&amp;"")</f>
        <v>6.8</v>
      </c>
      <c r="S428" s="296"/>
      <c r="T428" s="296">
        <v>0.98</v>
      </c>
      <c r="U428" s="294">
        <v>1.42</v>
      </c>
      <c r="V428" s="295" cm="1">
        <f t="array" aca="1" ref="V428" ca="1">INDIRECT("'"&amp;$C428&amp;"'!"&amp;"$"&amp;$D428&amp;$V$1&amp;"")</f>
        <v>0</v>
      </c>
      <c r="W428" s="296" t="s">
        <v>1</v>
      </c>
      <c r="X428" s="296" t="s">
        <v>1</v>
      </c>
      <c r="Y428" s="297" t="s">
        <v>1</v>
      </c>
      <c r="Z428" s="293" t="str" cm="1">
        <f t="array" aca="1" ref="Z428" ca="1">INDIRECT("'"&amp;$C428&amp;"'!"&amp;"$"&amp;$D428&amp;$Z$1&amp;"")</f>
        <v>CMS</v>
      </c>
      <c r="AA428" s="296" t="s">
        <v>1</v>
      </c>
      <c r="AB428" s="296" t="s">
        <v>1</v>
      </c>
      <c r="AC428" s="294" t="s">
        <v>1</v>
      </c>
      <c r="AD428" s="295" cm="1">
        <f t="array" aca="1" ref="AD428" ca="1">INDIRECT("'"&amp;$C428&amp;"'!"&amp;"$"&amp;$D428&amp;$AD$1&amp;"")</f>
        <v>0</v>
      </c>
      <c r="AE428" s="296" t="s">
        <v>1</v>
      </c>
      <c r="AF428" s="296" t="s">
        <v>1</v>
      </c>
      <c r="AG428" s="297" t="s">
        <v>1</v>
      </c>
      <c r="AH428" s="293" cm="1">
        <f t="array" aca="1" ref="AH428" ca="1">INDIRECT("'"&amp;$C428&amp;"'!"&amp;"$"&amp;$D428&amp;$AH$1&amp;"")</f>
        <v>0</v>
      </c>
      <c r="AI428" s="296" t="s">
        <v>1</v>
      </c>
      <c r="AJ428" s="296" t="s">
        <v>1</v>
      </c>
      <c r="AK428" s="294" t="s">
        <v>1</v>
      </c>
      <c r="AL428" s="293">
        <v>11.6</v>
      </c>
      <c r="AM428" s="297">
        <v>71</v>
      </c>
      <c r="AN428" s="293" cm="1">
        <f t="array" aca="1" ref="AN428" ca="1">INDIRECT("'"&amp;$C428&amp;"'!"&amp;"$"&amp;$D428&amp;$AL$1&amp;"")</f>
        <v>0</v>
      </c>
      <c r="AO428" s="296" t="s">
        <v>1</v>
      </c>
      <c r="AP428" s="294" t="s">
        <v>1</v>
      </c>
      <c r="AQ428" s="295" cm="1">
        <f t="array" aca="1" ref="AQ428" ca="1">INDIRECT("'"&amp;$C428&amp;"'!"&amp;"$"&amp;$D428&amp;$AQ$1&amp;"")</f>
        <v>3.5</v>
      </c>
      <c r="AR428" s="296">
        <v>0.99</v>
      </c>
      <c r="AS428" s="294">
        <v>0.37</v>
      </c>
      <c r="AT428" s="293">
        <v>13.9</v>
      </c>
      <c r="AU428" s="297">
        <v>70.3</v>
      </c>
      <c r="AV428" s="296" cm="1">
        <f t="array" aca="1" ref="AV428" ca="1">INDIRECT("'"&amp;$C428&amp;"'!"&amp;"$"&amp;$D428&amp;$AV$1&amp;"")</f>
        <v>0</v>
      </c>
      <c r="AW428" s="295" t="s">
        <v>1</v>
      </c>
      <c r="AX428" s="296" t="s">
        <v>1</v>
      </c>
      <c r="AY428" s="294" t="s">
        <v>1</v>
      </c>
      <c r="AZ428" s="296" cm="1">
        <f t="array" aca="1" ref="AZ428" ca="1">INDIRECT("'"&amp;$C428&amp;"'!"&amp;"$"&amp;$D428&amp;$AZ$1&amp;"")</f>
        <v>4.8</v>
      </c>
      <c r="BA428" s="295" t="s">
        <v>1</v>
      </c>
      <c r="BB428" s="296">
        <v>0.98</v>
      </c>
      <c r="BC428" s="294">
        <v>1.3</v>
      </c>
      <c r="BD428" s="298">
        <v>14.23</v>
      </c>
      <c r="BE428" s="297">
        <v>72.05</v>
      </c>
      <c r="BF428" s="298" cm="1">
        <f t="array" aca="1" ref="BF428" ca="1">INDIRECT("'"&amp;$C428&amp;"'!"&amp;"$"&amp;$D428&amp;$BF$1&amp;"")</f>
        <v>14.18</v>
      </c>
      <c r="BG428" s="296">
        <v>0.99</v>
      </c>
      <c r="BH428" s="294">
        <v>2.2999999999999998</v>
      </c>
      <c r="BI428" s="526">
        <v>69.099999999999994</v>
      </c>
      <c r="BJ428" s="293" cm="1">
        <f t="array" aca="1" ref="BJ428" ca="1">INDIRECT("'"&amp;$C428&amp;"'!"&amp;"$"&amp;$D428&amp;$BI$1&amp;"")</f>
        <v>0</v>
      </c>
      <c r="BK428" s="295" t="s">
        <v>1</v>
      </c>
      <c r="BL428" s="294" t="s">
        <v>1</v>
      </c>
      <c r="BM428" s="298" cm="1">
        <f t="array" aca="1" ref="BM428" ca="1">INDIRECT("'"&amp;$C428&amp;"'!"&amp;"$"&amp;$D428&amp;$BM$1&amp;"")</f>
        <v>0.86</v>
      </c>
      <c r="BN428" s="296"/>
      <c r="BO428" s="296">
        <v>0.99</v>
      </c>
      <c r="BP428" s="294">
        <v>0.09</v>
      </c>
      <c r="BQ428" s="299" cm="1">
        <f t="array" aca="1" ref="BQ428" ca="1">INDIRECT("'"&amp;$C428&amp;"'!"&amp;"$"&amp;$D428&amp;$BQ$1&amp;"")</f>
        <v>0.51</v>
      </c>
      <c r="BR428" s="296"/>
      <c r="BS428" s="296">
        <v>0.96</v>
      </c>
      <c r="BT428" s="294">
        <v>0.1</v>
      </c>
      <c r="BU428" s="299" cm="1">
        <f t="array" aca="1" ref="BU428" ca="1">INDIRECT("'"&amp;$C428&amp;"'!"&amp;"$"&amp;$D428&amp;74&amp;"")</f>
        <v>0</v>
      </c>
      <c r="BV428" s="296"/>
      <c r="BW428" s="296" t="s">
        <v>1</v>
      </c>
      <c r="BX428" s="294" t="s">
        <v>1</v>
      </c>
    </row>
    <row r="429" spans="1:76" ht="6.75" customHeight="1" thickBot="1"/>
    <row r="430" spans="1:76">
      <c r="A430" s="347">
        <v>45856</v>
      </c>
      <c r="B430" s="344">
        <v>0</v>
      </c>
      <c r="C430" s="302">
        <v>18</v>
      </c>
      <c r="D430" s="303" t="s">
        <v>142</v>
      </c>
      <c r="E430" s="272">
        <v>14.1</v>
      </c>
      <c r="F430" s="273">
        <v>70.290000000000006</v>
      </c>
      <c r="G430" s="274" t="str" cm="1">
        <f t="array" aca="1" ref="G430" ca="1">INDIRECT("'"&amp;$C430&amp;"'!"&amp;"$"&amp;$D430&amp;$E$1&amp;"")</f>
        <v>CMS</v>
      </c>
      <c r="H430" s="275" t="s">
        <v>1</v>
      </c>
      <c r="I430" s="273" t="s">
        <v>1</v>
      </c>
      <c r="J430" s="274" cm="1">
        <f t="array" aca="1" ref="J430" ca="1">INDIRECT("'"&amp;$C430&amp;"'!"&amp;"$"&amp;$D430&amp;$J$1&amp;"")</f>
        <v>0</v>
      </c>
      <c r="K430" s="275"/>
      <c r="L430" s="275" t="s">
        <v>1</v>
      </c>
      <c r="M430" s="276" t="s">
        <v>1</v>
      </c>
      <c r="N430" s="272" cm="1">
        <f t="array" aca="1" ref="N430" ca="1">INDIRECT("'"&amp;$C430&amp;"'!"&amp;"$"&amp;$D430&amp;$N$1&amp;"")</f>
        <v>6.4</v>
      </c>
      <c r="O430" s="275"/>
      <c r="P430" s="275">
        <v>1</v>
      </c>
      <c r="Q430" s="273">
        <v>0.32</v>
      </c>
      <c r="R430" s="467" cm="1">
        <f t="array" aca="1" ref="R430" ca="1">INDIRECT("'"&amp;$C430&amp;"'!"&amp;"$"&amp;$D430&amp;$R$1&amp;"")</f>
        <v>6.4</v>
      </c>
      <c r="S430" s="275"/>
      <c r="T430" s="275">
        <v>1</v>
      </c>
      <c r="U430" s="273">
        <v>0.32</v>
      </c>
      <c r="V430" s="274" cm="1">
        <f t="array" aca="1" ref="V430" ca="1">INDIRECT("'"&amp;$C430&amp;"'!"&amp;"$"&amp;$D430&amp;$V$1&amp;"")</f>
        <v>0</v>
      </c>
      <c r="W430" s="275" t="s">
        <v>1</v>
      </c>
      <c r="X430" s="275" t="s">
        <v>1</v>
      </c>
      <c r="Y430" s="276" t="s">
        <v>1</v>
      </c>
      <c r="Z430" s="272" t="str" cm="1">
        <f t="array" aca="1" ref="Z430" ca="1">INDIRECT("'"&amp;$C430&amp;"'!"&amp;"$"&amp;$D430&amp;$Z$1&amp;"")</f>
        <v>CMS</v>
      </c>
      <c r="AA430" s="275" t="s">
        <v>1</v>
      </c>
      <c r="AB430" s="275" t="s">
        <v>1</v>
      </c>
      <c r="AC430" s="273" t="s">
        <v>1</v>
      </c>
      <c r="AD430" s="274" cm="1">
        <f t="array" aca="1" ref="AD430" ca="1">INDIRECT("'"&amp;$C430&amp;"'!"&amp;"$"&amp;$D430&amp;$AD$1&amp;"")</f>
        <v>0</v>
      </c>
      <c r="AE430" s="275" t="s">
        <v>1</v>
      </c>
      <c r="AF430" s="275" t="s">
        <v>1</v>
      </c>
      <c r="AG430" s="273" t="s">
        <v>1</v>
      </c>
      <c r="AH430" s="272" cm="1">
        <f t="array" aca="1" ref="AH430" ca="1">INDIRECT("'"&amp;$C430&amp;"'!"&amp;"$"&amp;$D430&amp;$AH$1&amp;"")</f>
        <v>0</v>
      </c>
      <c r="AI430" s="275" t="s">
        <v>1</v>
      </c>
      <c r="AJ430" s="275" t="s">
        <v>1</v>
      </c>
      <c r="AK430" s="273" t="s">
        <v>1</v>
      </c>
      <c r="AL430" s="272">
        <v>11.6</v>
      </c>
      <c r="AM430" s="276">
        <v>71</v>
      </c>
      <c r="AN430" s="272" cm="1">
        <f t="array" aca="1" ref="AN430" ca="1">INDIRECT("'"&amp;$C430&amp;"'!"&amp;"$"&amp;$D430&amp;$AL$1&amp;"")</f>
        <v>0</v>
      </c>
      <c r="AO430" s="275" t="s">
        <v>1</v>
      </c>
      <c r="AP430" s="273" t="s">
        <v>1</v>
      </c>
      <c r="AQ430" s="274" cm="1">
        <f t="array" aca="1" ref="AQ430" ca="1">INDIRECT("'"&amp;$C430&amp;"'!"&amp;"$"&amp;$D430&amp;$AQ$1&amp;"")</f>
        <v>1.5</v>
      </c>
      <c r="AR430" s="275">
        <v>0.95</v>
      </c>
      <c r="AS430" s="273">
        <v>0.64</v>
      </c>
      <c r="AT430" s="272">
        <v>13.9</v>
      </c>
      <c r="AU430" s="276">
        <v>70.3</v>
      </c>
      <c r="AV430" s="275" cm="1">
        <f t="array" aca="1" ref="AV430" ca="1">INDIRECT("'"&amp;$C430&amp;"'!"&amp;"$"&amp;$D430&amp;$AV$1&amp;"")</f>
        <v>0</v>
      </c>
      <c r="AW430" s="274" t="s">
        <v>1</v>
      </c>
      <c r="AX430" s="275" t="s">
        <v>1</v>
      </c>
      <c r="AY430" s="273" t="s">
        <v>1</v>
      </c>
      <c r="AZ430" s="275" cm="1">
        <f t="array" aca="1" ref="AZ430" ca="1">INDIRECT("'"&amp;$C430&amp;"'!"&amp;"$"&amp;$D430&amp;$AZ$1&amp;"")</f>
        <v>2.6</v>
      </c>
      <c r="BA430" s="274" t="s">
        <v>1</v>
      </c>
      <c r="BB430" s="275">
        <v>0.98</v>
      </c>
      <c r="BC430" s="273">
        <v>0.8</v>
      </c>
      <c r="BD430" s="277">
        <v>14.11</v>
      </c>
      <c r="BE430" s="276">
        <v>71.84</v>
      </c>
      <c r="BF430" s="277" cm="1">
        <f t="array" aca="1" ref="BF430" ca="1">INDIRECT("'"&amp;$C430&amp;"'!"&amp;"$"&amp;$D430&amp;$BF$1&amp;"")</f>
        <v>14.21</v>
      </c>
      <c r="BG430" s="275">
        <v>0.99</v>
      </c>
      <c r="BH430" s="273">
        <v>1.3</v>
      </c>
      <c r="BI430" s="523">
        <v>69.400000000000006</v>
      </c>
      <c r="BJ430" s="272" cm="1">
        <f t="array" aca="1" ref="BJ430" ca="1">INDIRECT("'"&amp;$C430&amp;"'!"&amp;"$"&amp;$D430&amp;$BI$1&amp;"")</f>
        <v>0</v>
      </c>
      <c r="BK430" s="274" t="s">
        <v>1</v>
      </c>
      <c r="BL430" s="273" t="s">
        <v>1</v>
      </c>
      <c r="BM430" s="277" cm="1">
        <f t="array" aca="1" ref="BM430" ca="1">INDIRECT("'"&amp;$C430&amp;"'!"&amp;"$"&amp;$D430&amp;$BM$1&amp;"")</f>
        <v>0.73</v>
      </c>
      <c r="BN430" s="275"/>
      <c r="BO430" s="275">
        <v>0.99</v>
      </c>
      <c r="BP430" s="273">
        <v>0.05</v>
      </c>
      <c r="BQ430" s="277" cm="1">
        <f t="array" aca="1" ref="BQ430" ca="1">INDIRECT("'"&amp;$C430&amp;"'!"&amp;"$"&amp;$D430&amp;$BQ$1&amp;"")</f>
        <v>0.49</v>
      </c>
      <c r="BR430" s="275"/>
      <c r="BS430" s="275">
        <v>0.96</v>
      </c>
      <c r="BT430" s="273">
        <v>0.1</v>
      </c>
      <c r="BU430" s="358" cm="1">
        <f t="array" aca="1" ref="BU430" ca="1">INDIRECT("'"&amp;$C430&amp;"'!"&amp;"$"&amp;$D430&amp;74&amp;"")</f>
        <v>0</v>
      </c>
      <c r="BV430" s="275"/>
      <c r="BW430" s="275" t="s">
        <v>1</v>
      </c>
      <c r="BX430" s="273" t="s">
        <v>1</v>
      </c>
    </row>
    <row r="431" spans="1:76">
      <c r="A431" s="459">
        <v>45856</v>
      </c>
      <c r="B431" s="345">
        <v>4.1666666666666699E-2</v>
      </c>
      <c r="C431" s="305">
        <v>18</v>
      </c>
      <c r="D431" s="306" t="s">
        <v>143</v>
      </c>
      <c r="E431" s="278">
        <v>14.1</v>
      </c>
      <c r="F431" s="279">
        <v>70.2</v>
      </c>
      <c r="G431" s="280" t="str" cm="1">
        <f t="array" aca="1" ref="G431" ca="1">INDIRECT("'"&amp;$C431&amp;"'!"&amp;"$"&amp;$D431&amp;$E$1&amp;"")</f>
        <v>CMS</v>
      </c>
      <c r="H431" s="281" t="s">
        <v>1</v>
      </c>
      <c r="I431" s="279" t="s">
        <v>1</v>
      </c>
      <c r="J431" s="280" cm="1">
        <f t="array" aca="1" ref="J431" ca="1">INDIRECT("'"&amp;$C431&amp;"'!"&amp;"$"&amp;$D431&amp;$J$1&amp;"")</f>
        <v>0</v>
      </c>
      <c r="K431" s="281"/>
      <c r="L431" s="281" t="s">
        <v>1</v>
      </c>
      <c r="M431" s="282" t="s">
        <v>1</v>
      </c>
      <c r="N431" s="278" cm="1">
        <f t="array" aca="1" ref="N431" ca="1">INDIRECT("'"&amp;$C431&amp;"'!"&amp;"$"&amp;$D431&amp;$N$1&amp;"")</f>
        <v>6.7</v>
      </c>
      <c r="O431" s="281"/>
      <c r="P431" s="281">
        <v>1</v>
      </c>
      <c r="Q431" s="279">
        <v>0</v>
      </c>
      <c r="R431" s="468" cm="1">
        <f t="array" aca="1" ref="R431" ca="1">INDIRECT("'"&amp;$C431&amp;"'!"&amp;"$"&amp;$D431&amp;$R$1&amp;"")</f>
        <v>6.7</v>
      </c>
      <c r="S431" s="281"/>
      <c r="T431" s="281">
        <v>1</v>
      </c>
      <c r="U431" s="279">
        <v>0</v>
      </c>
      <c r="V431" s="280" cm="1">
        <f t="array" aca="1" ref="V431" ca="1">INDIRECT("'"&amp;$C431&amp;"'!"&amp;"$"&amp;$D431&amp;$V$1&amp;"")</f>
        <v>0</v>
      </c>
      <c r="W431" s="281" t="s">
        <v>1</v>
      </c>
      <c r="X431" s="281" t="s">
        <v>1</v>
      </c>
      <c r="Y431" s="282" t="s">
        <v>1</v>
      </c>
      <c r="Z431" s="278" t="str" cm="1">
        <f t="array" aca="1" ref="Z431" ca="1">INDIRECT("'"&amp;$C431&amp;"'!"&amp;"$"&amp;$D431&amp;$Z$1&amp;"")</f>
        <v>CMS</v>
      </c>
      <c r="AA431" s="281" t="s">
        <v>1</v>
      </c>
      <c r="AB431" s="281" t="s">
        <v>1</v>
      </c>
      <c r="AC431" s="279" t="s">
        <v>1</v>
      </c>
      <c r="AD431" s="280" cm="1">
        <f t="array" aca="1" ref="AD431" ca="1">INDIRECT("'"&amp;$C431&amp;"'!"&amp;"$"&amp;$D431&amp;$AD$1&amp;"")</f>
        <v>0</v>
      </c>
      <c r="AE431" s="281" t="s">
        <v>1</v>
      </c>
      <c r="AF431" s="281" t="s">
        <v>1</v>
      </c>
      <c r="AG431" s="282" t="s">
        <v>1</v>
      </c>
      <c r="AH431" s="278" cm="1">
        <f t="array" aca="1" ref="AH431" ca="1">INDIRECT("'"&amp;$C431&amp;"'!"&amp;"$"&amp;$D431&amp;$AH$1&amp;"")</f>
        <v>0</v>
      </c>
      <c r="AI431" s="281" t="s">
        <v>1</v>
      </c>
      <c r="AJ431" s="281" t="s">
        <v>1</v>
      </c>
      <c r="AK431" s="279" t="s">
        <v>1</v>
      </c>
      <c r="AL431" s="278">
        <v>11.5</v>
      </c>
      <c r="AM431" s="282">
        <v>70.400000000000006</v>
      </c>
      <c r="AN431" s="278" cm="1">
        <f t="array" aca="1" ref="AN431" ca="1">INDIRECT("'"&amp;$C431&amp;"'!"&amp;"$"&amp;$D431&amp;$AL$1&amp;"")</f>
        <v>0</v>
      </c>
      <c r="AO431" s="281" t="s">
        <v>1</v>
      </c>
      <c r="AP431" s="279" t="s">
        <v>1</v>
      </c>
      <c r="AQ431" s="280" cm="1">
        <f t="array" aca="1" ref="AQ431" ca="1">INDIRECT("'"&amp;$C431&amp;"'!"&amp;"$"&amp;$D431&amp;$AQ$1&amp;"")</f>
        <v>2</v>
      </c>
      <c r="AR431" s="281">
        <v>0.94</v>
      </c>
      <c r="AS431" s="279">
        <v>0.8</v>
      </c>
      <c r="AT431" s="278" t="s">
        <v>1</v>
      </c>
      <c r="AU431" s="282" t="s">
        <v>1</v>
      </c>
      <c r="AV431" s="281" cm="1">
        <f t="array" aca="1" ref="AV431" ca="1">INDIRECT("'"&amp;$C431&amp;"'!"&amp;"$"&amp;$D431&amp;$AV$1&amp;"")</f>
        <v>0</v>
      </c>
      <c r="AW431" s="280" t="s">
        <v>1</v>
      </c>
      <c r="AX431" s="281" t="s">
        <v>1</v>
      </c>
      <c r="AY431" s="279" t="s">
        <v>1</v>
      </c>
      <c r="AZ431" s="281" t="str" cm="1">
        <f t="array" aca="1" ref="AZ431" ca="1">INDIRECT("'"&amp;$C431&amp;"'!"&amp;"$"&amp;$D431&amp;$AZ$1&amp;"")</f>
        <v>CMS</v>
      </c>
      <c r="BA431" s="280" t="s">
        <v>1</v>
      </c>
      <c r="BB431" s="281" t="s">
        <v>1</v>
      </c>
      <c r="BC431" s="279" t="s">
        <v>1</v>
      </c>
      <c r="BD431" s="283">
        <v>14.02</v>
      </c>
      <c r="BE431" s="282">
        <v>71.47</v>
      </c>
      <c r="BF431" s="283" cm="1">
        <f t="array" aca="1" ref="BF431" ca="1">INDIRECT("'"&amp;$C431&amp;"'!"&amp;"$"&amp;$D431&amp;$BF$1&amp;"")</f>
        <v>14.23</v>
      </c>
      <c r="BG431" s="281">
        <v>1</v>
      </c>
      <c r="BH431" s="279">
        <v>1.2</v>
      </c>
      <c r="BI431" s="524">
        <v>69.400000000000006</v>
      </c>
      <c r="BJ431" s="278" cm="1">
        <f t="array" aca="1" ref="BJ431" ca="1">INDIRECT("'"&amp;$C431&amp;"'!"&amp;"$"&amp;$D431&amp;$BI$1&amp;"")</f>
        <v>0</v>
      </c>
      <c r="BK431" s="280" t="s">
        <v>1</v>
      </c>
      <c r="BL431" s="279" t="s">
        <v>1</v>
      </c>
      <c r="BM431" s="283" cm="1">
        <f t="array" aca="1" ref="BM431" ca="1">INDIRECT("'"&amp;$C431&amp;"'!"&amp;"$"&amp;$D431&amp;$BM$1&amp;"")</f>
        <v>0.7</v>
      </c>
      <c r="BN431" s="281"/>
      <c r="BO431" s="281">
        <v>0.99</v>
      </c>
      <c r="BP431" s="279">
        <v>0.05</v>
      </c>
      <c r="BQ431" s="283" cm="1">
        <f t="array" aca="1" ref="BQ431" ca="1">INDIRECT("'"&amp;$C431&amp;"'!"&amp;"$"&amp;$D431&amp;$BQ$1&amp;"")</f>
        <v>0.48</v>
      </c>
      <c r="BR431" s="281"/>
      <c r="BS431" s="281">
        <v>0.96</v>
      </c>
      <c r="BT431" s="279">
        <v>0.1</v>
      </c>
      <c r="BU431" s="284" cm="1">
        <f t="array" aca="1" ref="BU431" ca="1">INDIRECT("'"&amp;$C431&amp;"'!"&amp;"$"&amp;$D431&amp;74&amp;"")</f>
        <v>0</v>
      </c>
      <c r="BV431" s="281"/>
      <c r="BW431" s="281" t="s">
        <v>1</v>
      </c>
      <c r="BX431" s="279" t="s">
        <v>1</v>
      </c>
    </row>
    <row r="432" spans="1:76">
      <c r="A432" s="459">
        <v>45856</v>
      </c>
      <c r="B432" s="345">
        <v>8.3333333333333301E-2</v>
      </c>
      <c r="C432" s="305">
        <v>18</v>
      </c>
      <c r="D432" s="306" t="s">
        <v>144</v>
      </c>
      <c r="E432" s="285">
        <v>14</v>
      </c>
      <c r="F432" s="286">
        <v>70.37</v>
      </c>
      <c r="G432" s="287" t="str" cm="1">
        <f t="array" aca="1" ref="G432" ca="1">INDIRECT("'"&amp;$C432&amp;"'!"&amp;"$"&amp;$D432&amp;$E$1&amp;"")</f>
        <v>CMS</v>
      </c>
      <c r="H432" s="288" t="s">
        <v>1</v>
      </c>
      <c r="I432" s="286" t="s">
        <v>1</v>
      </c>
      <c r="J432" s="287" cm="1">
        <f t="array" aca="1" ref="J432" ca="1">INDIRECT("'"&amp;$C432&amp;"'!"&amp;"$"&amp;$D432&amp;$J$1&amp;"")</f>
        <v>0</v>
      </c>
      <c r="K432" s="288"/>
      <c r="L432" s="288" t="s">
        <v>1</v>
      </c>
      <c r="M432" s="289" t="s">
        <v>1</v>
      </c>
      <c r="N432" s="285" cm="1">
        <f t="array" aca="1" ref="N432" ca="1">INDIRECT("'"&amp;$C432&amp;"'!"&amp;"$"&amp;$D432&amp;$N$1&amp;"")</f>
        <v>6.7</v>
      </c>
      <c r="O432" s="288"/>
      <c r="P432" s="288">
        <v>1</v>
      </c>
      <c r="Q432" s="286">
        <v>0</v>
      </c>
      <c r="R432" s="285" cm="1">
        <f t="array" aca="1" ref="R432" ca="1">INDIRECT("'"&amp;$C432&amp;"'!"&amp;"$"&amp;$D432&amp;$R$1&amp;"")</f>
        <v>6.7</v>
      </c>
      <c r="S432" s="288"/>
      <c r="T432" s="288">
        <v>1</v>
      </c>
      <c r="U432" s="286">
        <v>0</v>
      </c>
      <c r="V432" s="287" cm="1">
        <f t="array" aca="1" ref="V432" ca="1">INDIRECT("'"&amp;$C432&amp;"'!"&amp;"$"&amp;$D432&amp;$V$1&amp;"")</f>
        <v>0</v>
      </c>
      <c r="W432" s="288" t="s">
        <v>1</v>
      </c>
      <c r="X432" s="288" t="s">
        <v>1</v>
      </c>
      <c r="Y432" s="289" t="s">
        <v>1</v>
      </c>
      <c r="Z432" s="533" t="str" cm="1">
        <f t="array" aca="1" ref="Z432" ca="1">INDIRECT("'"&amp;$C432&amp;"'!"&amp;"$"&amp;$D432&amp;$Z$1&amp;"")</f>
        <v>CMS</v>
      </c>
      <c r="AA432" s="288" t="s">
        <v>1</v>
      </c>
      <c r="AB432" s="288" t="s">
        <v>1</v>
      </c>
      <c r="AC432" s="286" t="s">
        <v>1</v>
      </c>
      <c r="AD432" s="287" cm="1">
        <f t="array" aca="1" ref="AD432" ca="1">INDIRECT("'"&amp;$C432&amp;"'!"&amp;"$"&amp;$D432&amp;$AD$1&amp;"")</f>
        <v>0</v>
      </c>
      <c r="AE432" s="288" t="s">
        <v>1</v>
      </c>
      <c r="AF432" s="288" t="s">
        <v>1</v>
      </c>
      <c r="AG432" s="289" t="s">
        <v>1</v>
      </c>
      <c r="AH432" s="285" cm="1">
        <f t="array" aca="1" ref="AH432" ca="1">INDIRECT("'"&amp;$C432&amp;"'!"&amp;"$"&amp;$D432&amp;$AH$1&amp;"")</f>
        <v>0</v>
      </c>
      <c r="AI432" s="288" t="s">
        <v>1</v>
      </c>
      <c r="AJ432" s="288" t="s">
        <v>1</v>
      </c>
      <c r="AK432" s="289" t="s">
        <v>1</v>
      </c>
      <c r="AL432" s="285">
        <v>11.5</v>
      </c>
      <c r="AM432" s="289">
        <v>70.5</v>
      </c>
      <c r="AN432" s="285" cm="1">
        <f t="array" aca="1" ref="AN432" ca="1">INDIRECT("'"&amp;$C432&amp;"'!"&amp;"$"&amp;$D432&amp;$AL$1&amp;"")</f>
        <v>0</v>
      </c>
      <c r="AO432" s="288" t="s">
        <v>1</v>
      </c>
      <c r="AP432" s="286" t="s">
        <v>1</v>
      </c>
      <c r="AQ432" s="287" cm="1">
        <f t="array" aca="1" ref="AQ432" ca="1">INDIRECT("'"&amp;$C432&amp;"'!"&amp;"$"&amp;$D432&amp;$AQ$1&amp;"")</f>
        <v>1.5</v>
      </c>
      <c r="AR432" s="288">
        <v>0.94</v>
      </c>
      <c r="AS432" s="286">
        <v>0.73</v>
      </c>
      <c r="AT432" s="285" t="s">
        <v>1</v>
      </c>
      <c r="AU432" s="289" t="s">
        <v>1</v>
      </c>
      <c r="AV432" s="288" cm="1">
        <f t="array" aca="1" ref="AV432" ca="1">INDIRECT("'"&amp;$C432&amp;"'!"&amp;"$"&amp;$D432&amp;$AV$1&amp;"")</f>
        <v>0</v>
      </c>
      <c r="AW432" s="287" t="s">
        <v>1</v>
      </c>
      <c r="AX432" s="288" t="s">
        <v>1</v>
      </c>
      <c r="AY432" s="286" t="s">
        <v>1</v>
      </c>
      <c r="AZ432" s="288" t="str" cm="1">
        <f t="array" aca="1" ref="AZ432" ca="1">INDIRECT("'"&amp;$C432&amp;"'!"&amp;"$"&amp;$D432&amp;$AZ$1&amp;"")</f>
        <v>CMS</v>
      </c>
      <c r="BA432" s="287" t="s">
        <v>1</v>
      </c>
      <c r="BB432" s="288" t="s">
        <v>1</v>
      </c>
      <c r="BC432" s="286" t="s">
        <v>1</v>
      </c>
      <c r="BD432" s="290">
        <v>14.03</v>
      </c>
      <c r="BE432" s="289">
        <v>71.41</v>
      </c>
      <c r="BF432" s="290" cm="1">
        <f t="array" aca="1" ref="BF432" ca="1">INDIRECT("'"&amp;$C432&amp;"'!"&amp;"$"&amp;$D432&amp;$BF$1&amp;"")</f>
        <v>13.29</v>
      </c>
      <c r="BG432" s="288">
        <v>1</v>
      </c>
      <c r="BH432" s="286">
        <v>1.2</v>
      </c>
      <c r="BI432" s="525">
        <v>69.5</v>
      </c>
      <c r="BJ432" s="285" cm="1">
        <f t="array" aca="1" ref="BJ432" ca="1">INDIRECT("'"&amp;$C432&amp;"'!"&amp;"$"&amp;$D432&amp;$BI$1&amp;"")</f>
        <v>0</v>
      </c>
      <c r="BK432" s="287" t="s">
        <v>1</v>
      </c>
      <c r="BL432" s="286" t="s">
        <v>1</v>
      </c>
      <c r="BM432" s="290" cm="1">
        <f t="array" aca="1" ref="BM432" ca="1">INDIRECT("'"&amp;$C432&amp;"'!"&amp;"$"&amp;$D432&amp;$BM$1&amp;"")</f>
        <v>0.67</v>
      </c>
      <c r="BN432" s="288"/>
      <c r="BO432" s="288">
        <v>0.99</v>
      </c>
      <c r="BP432" s="286">
        <v>0.03</v>
      </c>
      <c r="BQ432" s="290" cm="1">
        <f t="array" aca="1" ref="BQ432" ca="1">INDIRECT("'"&amp;$C432&amp;"'!"&amp;"$"&amp;$D432&amp;$BQ$1&amp;"")</f>
        <v>0.47</v>
      </c>
      <c r="BR432" s="288"/>
      <c r="BS432" s="288">
        <v>0.96</v>
      </c>
      <c r="BT432" s="286">
        <v>0.1</v>
      </c>
      <c r="BU432" s="291" cm="1">
        <f t="array" aca="1" ref="BU432" ca="1">INDIRECT("'"&amp;$C432&amp;"'!"&amp;"$"&amp;$D432&amp;74&amp;"")</f>
        <v>0</v>
      </c>
      <c r="BV432" s="288"/>
      <c r="BW432" s="288" t="s">
        <v>1</v>
      </c>
      <c r="BX432" s="286" t="s">
        <v>1</v>
      </c>
    </row>
    <row r="433" spans="1:76">
      <c r="A433" s="459">
        <v>45856</v>
      </c>
      <c r="B433" s="345">
        <v>0.125</v>
      </c>
      <c r="C433" s="305">
        <v>18</v>
      </c>
      <c r="D433" s="306" t="s">
        <v>145</v>
      </c>
      <c r="E433" s="278">
        <v>14</v>
      </c>
      <c r="F433" s="279">
        <v>70.239999999999995</v>
      </c>
      <c r="G433" s="280" t="str" cm="1">
        <f t="array" aca="1" ref="G433" ca="1">INDIRECT("'"&amp;$C433&amp;"'!"&amp;"$"&amp;$D433&amp;$E$1&amp;"")</f>
        <v>CMS</v>
      </c>
      <c r="H433" s="281" t="s">
        <v>1</v>
      </c>
      <c r="I433" s="279" t="s">
        <v>1</v>
      </c>
      <c r="J433" s="280" cm="1">
        <f t="array" aca="1" ref="J433" ca="1">INDIRECT("'"&amp;$C433&amp;"'!"&amp;"$"&amp;$D433&amp;$J$1&amp;"")</f>
        <v>2</v>
      </c>
      <c r="K433" s="281"/>
      <c r="L433" s="281">
        <v>0.97</v>
      </c>
      <c r="M433" s="282">
        <v>0.49</v>
      </c>
      <c r="N433" s="278" cm="1">
        <f t="array" aca="1" ref="N433" ca="1">INDIRECT("'"&amp;$C433&amp;"'!"&amp;"$"&amp;$D433&amp;$N$1&amp;"")</f>
        <v>6.7</v>
      </c>
      <c r="O433" s="281"/>
      <c r="P433" s="281">
        <v>1</v>
      </c>
      <c r="Q433" s="279">
        <v>0</v>
      </c>
      <c r="R433" s="468" cm="1">
        <f t="array" aca="1" ref="R433" ca="1">INDIRECT("'"&amp;$C433&amp;"'!"&amp;"$"&amp;$D433&amp;$R$1&amp;"")</f>
        <v>4.7</v>
      </c>
      <c r="S433" s="281"/>
      <c r="T433" s="281">
        <v>1</v>
      </c>
      <c r="U433" s="279">
        <v>0</v>
      </c>
      <c r="V433" s="280" cm="1">
        <f t="array" aca="1" ref="V433" ca="1">INDIRECT("'"&amp;$C433&amp;"'!"&amp;"$"&amp;$D433&amp;$V$1&amp;"")</f>
        <v>0</v>
      </c>
      <c r="W433" s="281" t="s">
        <v>1</v>
      </c>
      <c r="X433" s="281" t="s">
        <v>1</v>
      </c>
      <c r="Y433" s="282" t="s">
        <v>1</v>
      </c>
      <c r="Z433" s="278" t="str" cm="1">
        <f t="array" aca="1" ref="Z433" ca="1">INDIRECT("'"&amp;$C433&amp;"'!"&amp;"$"&amp;$D433&amp;$Z$1&amp;"")</f>
        <v>CMS</v>
      </c>
      <c r="AA433" s="281" t="s">
        <v>1</v>
      </c>
      <c r="AB433" s="281" t="s">
        <v>1</v>
      </c>
      <c r="AC433" s="279" t="s">
        <v>1</v>
      </c>
      <c r="AD433" s="280" cm="1">
        <f t="array" aca="1" ref="AD433" ca="1">INDIRECT("'"&amp;$C433&amp;"'!"&amp;"$"&amp;$D433&amp;$AD$1&amp;"")</f>
        <v>0</v>
      </c>
      <c r="AE433" s="281" t="s">
        <v>1</v>
      </c>
      <c r="AF433" s="281" t="s">
        <v>1</v>
      </c>
      <c r="AG433" s="282" t="s">
        <v>1</v>
      </c>
      <c r="AH433" s="278" cm="1">
        <f t="array" aca="1" ref="AH433" ca="1">INDIRECT("'"&amp;$C433&amp;"'!"&amp;"$"&amp;$D433&amp;$AH$1&amp;"")</f>
        <v>0</v>
      </c>
      <c r="AI433" s="281" t="s">
        <v>1</v>
      </c>
      <c r="AJ433" s="281" t="s">
        <v>1</v>
      </c>
      <c r="AK433" s="279" t="s">
        <v>1</v>
      </c>
      <c r="AL433" s="278">
        <v>11.5</v>
      </c>
      <c r="AM433" s="282">
        <v>70.5</v>
      </c>
      <c r="AN433" s="278" cm="1">
        <f t="array" aca="1" ref="AN433" ca="1">INDIRECT("'"&amp;$C433&amp;"'!"&amp;"$"&amp;$D433&amp;$AL$1&amp;"")</f>
        <v>0</v>
      </c>
      <c r="AO433" s="281" t="s">
        <v>1</v>
      </c>
      <c r="AP433" s="279" t="s">
        <v>1</v>
      </c>
      <c r="AQ433" s="280" cm="1">
        <f t="array" aca="1" ref="AQ433" ca="1">INDIRECT("'"&amp;$C433&amp;"'!"&amp;"$"&amp;$D433&amp;$AQ$1&amp;"")</f>
        <v>2</v>
      </c>
      <c r="AR433" s="281">
        <v>0.95</v>
      </c>
      <c r="AS433" s="279">
        <v>0.75</v>
      </c>
      <c r="AT433" s="278" t="s">
        <v>1</v>
      </c>
      <c r="AU433" s="282" t="s">
        <v>1</v>
      </c>
      <c r="AV433" s="281" cm="1">
        <f t="array" aca="1" ref="AV433" ca="1">INDIRECT("'"&amp;$C433&amp;"'!"&amp;"$"&amp;$D433&amp;$AV$1&amp;"")</f>
        <v>0</v>
      </c>
      <c r="AW433" s="280" t="s">
        <v>1</v>
      </c>
      <c r="AX433" s="281" t="s">
        <v>1</v>
      </c>
      <c r="AY433" s="279" t="s">
        <v>1</v>
      </c>
      <c r="AZ433" s="281" t="str" cm="1">
        <f t="array" aca="1" ref="AZ433" ca="1">INDIRECT("'"&amp;$C433&amp;"'!"&amp;"$"&amp;$D433&amp;$AZ$1&amp;"")</f>
        <v>CMS</v>
      </c>
      <c r="BA433" s="280" t="s">
        <v>1</v>
      </c>
      <c r="BB433" s="281" t="s">
        <v>1</v>
      </c>
      <c r="BC433" s="279" t="s">
        <v>1</v>
      </c>
      <c r="BD433" s="283">
        <v>14.01</v>
      </c>
      <c r="BE433" s="282">
        <v>71.28</v>
      </c>
      <c r="BF433" s="283" cm="1">
        <f t="array" aca="1" ref="BF433" ca="1">INDIRECT("'"&amp;$C433&amp;"'!"&amp;"$"&amp;$D433&amp;$BF$1&amp;"")</f>
        <v>12.81</v>
      </c>
      <c r="BG433" s="281">
        <v>1</v>
      </c>
      <c r="BH433" s="279">
        <v>1.2</v>
      </c>
      <c r="BI433" s="524">
        <v>69.3</v>
      </c>
      <c r="BJ433" s="278" cm="1">
        <f t="array" aca="1" ref="BJ433" ca="1">INDIRECT("'"&amp;$C433&amp;"'!"&amp;"$"&amp;$D433&amp;$BI$1&amp;"")</f>
        <v>0</v>
      </c>
      <c r="BK433" s="280" t="s">
        <v>1</v>
      </c>
      <c r="BL433" s="279" t="s">
        <v>1</v>
      </c>
      <c r="BM433" s="283" cm="1">
        <f t="array" aca="1" ref="BM433" ca="1">INDIRECT("'"&amp;$C433&amp;"'!"&amp;"$"&amp;$D433&amp;$BM$1&amp;"")</f>
        <v>0.67</v>
      </c>
      <c r="BN433" s="281"/>
      <c r="BO433" s="281">
        <v>0.99</v>
      </c>
      <c r="BP433" s="279">
        <v>0.03</v>
      </c>
      <c r="BQ433" s="283" cm="1">
        <f t="array" aca="1" ref="BQ433" ca="1">INDIRECT("'"&amp;$C433&amp;"'!"&amp;"$"&amp;$D433&amp;$BQ$1&amp;"")</f>
        <v>0.47</v>
      </c>
      <c r="BR433" s="281"/>
      <c r="BS433" s="281">
        <v>0.96</v>
      </c>
      <c r="BT433" s="279">
        <v>0.1</v>
      </c>
      <c r="BU433" s="284" cm="1">
        <f t="array" aca="1" ref="BU433" ca="1">INDIRECT("'"&amp;$C433&amp;"'!"&amp;"$"&amp;$D433&amp;74&amp;"")</f>
        <v>0</v>
      </c>
      <c r="BV433" s="281"/>
      <c r="BW433" s="281" t="s">
        <v>1</v>
      </c>
      <c r="BX433" s="279" t="s">
        <v>1</v>
      </c>
    </row>
    <row r="434" spans="1:76">
      <c r="A434" s="459">
        <v>45856</v>
      </c>
      <c r="B434" s="345">
        <v>0.16666666666666699</v>
      </c>
      <c r="C434" s="305">
        <v>18</v>
      </c>
      <c r="D434" s="306" t="s">
        <v>146</v>
      </c>
      <c r="E434" s="285">
        <v>14.1</v>
      </c>
      <c r="F434" s="286">
        <v>70.2</v>
      </c>
      <c r="G434" s="287" t="str" cm="1">
        <f t="array" aca="1" ref="G434" ca="1">INDIRECT("'"&amp;$C434&amp;"'!"&amp;"$"&amp;$D434&amp;$E$1&amp;"")</f>
        <v>CMS</v>
      </c>
      <c r="H434" s="288" t="s">
        <v>1</v>
      </c>
      <c r="I434" s="286" t="s">
        <v>1</v>
      </c>
      <c r="J434" s="287" cm="1">
        <f t="array" aca="1" ref="J434" ca="1">INDIRECT("'"&amp;$C434&amp;"'!"&amp;"$"&amp;$D434&amp;$J$1&amp;"")</f>
        <v>6.7</v>
      </c>
      <c r="K434" s="288"/>
      <c r="L434" s="288">
        <v>0.99</v>
      </c>
      <c r="M434" s="286">
        <v>0.89</v>
      </c>
      <c r="N434" s="285" cm="1">
        <f t="array" aca="1" ref="N434" ca="1">INDIRECT("'"&amp;$C434&amp;"'!"&amp;"$"&amp;$D434&amp;$N$1&amp;"")</f>
        <v>6.7</v>
      </c>
      <c r="O434" s="288"/>
      <c r="P434" s="288">
        <v>0.99</v>
      </c>
      <c r="Q434" s="286">
        <v>0.89</v>
      </c>
      <c r="R434" s="285" cm="1">
        <f t="array" aca="1" ref="R434" ca="1">INDIRECT("'"&amp;$C434&amp;"'!"&amp;"$"&amp;$D434&amp;$R$1&amp;"")</f>
        <v>0</v>
      </c>
      <c r="S434" s="288"/>
      <c r="T434" s="288" t="s">
        <v>1</v>
      </c>
      <c r="U434" s="286" t="s">
        <v>1</v>
      </c>
      <c r="V434" s="287" cm="1">
        <f t="array" aca="1" ref="V434" ca="1">INDIRECT("'"&amp;$C434&amp;"'!"&amp;"$"&amp;$D434&amp;$V$1&amp;"")</f>
        <v>0</v>
      </c>
      <c r="W434" s="288" t="s">
        <v>1</v>
      </c>
      <c r="X434" s="288" t="s">
        <v>1</v>
      </c>
      <c r="Y434" s="289" t="s">
        <v>1</v>
      </c>
      <c r="Z434" s="285" t="str" cm="1">
        <f t="array" aca="1" ref="Z434" ca="1">INDIRECT("'"&amp;$C434&amp;"'!"&amp;"$"&amp;$D434&amp;$Z$1&amp;"")</f>
        <v>CMS</v>
      </c>
      <c r="AA434" s="288" t="s">
        <v>1</v>
      </c>
      <c r="AB434" s="288" t="s">
        <v>1</v>
      </c>
      <c r="AC434" s="286" t="s">
        <v>1</v>
      </c>
      <c r="AD434" s="287" cm="1">
        <f t="array" aca="1" ref="AD434" ca="1">INDIRECT("'"&amp;$C434&amp;"'!"&amp;"$"&amp;$D434&amp;$AD$1&amp;"")</f>
        <v>0</v>
      </c>
      <c r="AE434" s="288" t="s">
        <v>1</v>
      </c>
      <c r="AF434" s="288" t="s">
        <v>1</v>
      </c>
      <c r="AG434" s="289" t="s">
        <v>1</v>
      </c>
      <c r="AH434" s="285" cm="1">
        <f t="array" aca="1" ref="AH434" ca="1">INDIRECT("'"&amp;$C434&amp;"'!"&amp;"$"&amp;$D434&amp;$AH$1&amp;"")</f>
        <v>0</v>
      </c>
      <c r="AI434" s="288" t="s">
        <v>1</v>
      </c>
      <c r="AJ434" s="288" t="s">
        <v>1</v>
      </c>
      <c r="AK434" s="286" t="s">
        <v>1</v>
      </c>
      <c r="AL434" s="285">
        <v>11.5</v>
      </c>
      <c r="AM434" s="289">
        <v>70.5</v>
      </c>
      <c r="AN434" s="285" cm="1">
        <f t="array" aca="1" ref="AN434" ca="1">INDIRECT("'"&amp;$C434&amp;"'!"&amp;"$"&amp;$D434&amp;$AL$1&amp;"")</f>
        <v>0</v>
      </c>
      <c r="AO434" s="288" t="s">
        <v>1</v>
      </c>
      <c r="AP434" s="286" t="s">
        <v>1</v>
      </c>
      <c r="AQ434" s="287" cm="1">
        <f t="array" aca="1" ref="AQ434" ca="1">INDIRECT("'"&amp;$C434&amp;"'!"&amp;"$"&amp;$D434&amp;$AQ$1&amp;"")</f>
        <v>2</v>
      </c>
      <c r="AR434" s="288">
        <v>0.95</v>
      </c>
      <c r="AS434" s="286">
        <v>0.77</v>
      </c>
      <c r="AT434" s="285" t="s">
        <v>1</v>
      </c>
      <c r="AU434" s="289" t="s">
        <v>1</v>
      </c>
      <c r="AV434" s="288" cm="1">
        <f t="array" aca="1" ref="AV434" ca="1">INDIRECT("'"&amp;$C434&amp;"'!"&amp;"$"&amp;$D434&amp;$AV$1&amp;"")</f>
        <v>0</v>
      </c>
      <c r="AW434" s="287" t="s">
        <v>1</v>
      </c>
      <c r="AX434" s="288" t="s">
        <v>1</v>
      </c>
      <c r="AY434" s="286" t="s">
        <v>1</v>
      </c>
      <c r="AZ434" s="288" t="str" cm="1">
        <f t="array" aca="1" ref="AZ434" ca="1">INDIRECT("'"&amp;$C434&amp;"'!"&amp;"$"&amp;$D434&amp;$AZ$1&amp;"")</f>
        <v>CMS</v>
      </c>
      <c r="BA434" s="287" t="s">
        <v>1</v>
      </c>
      <c r="BB434" s="288" t="s">
        <v>1</v>
      </c>
      <c r="BC434" s="286" t="s">
        <v>1</v>
      </c>
      <c r="BD434" s="290">
        <v>14</v>
      </c>
      <c r="BE434" s="289">
        <v>71.290000000000006</v>
      </c>
      <c r="BF434" s="290" cm="1">
        <f t="array" aca="1" ref="BF434" ca="1">INDIRECT("'"&amp;$C434&amp;"'!"&amp;"$"&amp;$D434&amp;$BF$1&amp;"")</f>
        <v>12.8</v>
      </c>
      <c r="BG434" s="288">
        <v>1</v>
      </c>
      <c r="BH434" s="286">
        <v>1.2</v>
      </c>
      <c r="BI434" s="525">
        <v>69.3</v>
      </c>
      <c r="BJ434" s="285" cm="1">
        <f t="array" aca="1" ref="BJ434" ca="1">INDIRECT("'"&amp;$C434&amp;"'!"&amp;"$"&amp;$D434&amp;$BI$1&amp;"")</f>
        <v>0</v>
      </c>
      <c r="BK434" s="287" t="s">
        <v>1</v>
      </c>
      <c r="BL434" s="286" t="s">
        <v>1</v>
      </c>
      <c r="BM434" s="290" cm="1">
        <f t="array" aca="1" ref="BM434" ca="1">INDIRECT("'"&amp;$C434&amp;"'!"&amp;"$"&amp;$D434&amp;$BM$1&amp;"")</f>
        <v>0.65</v>
      </c>
      <c r="BN434" s="288"/>
      <c r="BO434" s="288">
        <v>0.99</v>
      </c>
      <c r="BP434" s="286">
        <v>0.03</v>
      </c>
      <c r="BQ434" s="290" cm="1">
        <f t="array" aca="1" ref="BQ434" ca="1">INDIRECT("'"&amp;$C434&amp;"'!"&amp;"$"&amp;$D434&amp;$BQ$1&amp;"")</f>
        <v>0.46</v>
      </c>
      <c r="BR434" s="288"/>
      <c r="BS434" s="288">
        <v>0.96</v>
      </c>
      <c r="BT434" s="286">
        <v>0.1</v>
      </c>
      <c r="BU434" s="291" cm="1">
        <f t="array" aca="1" ref="BU434" ca="1">INDIRECT("'"&amp;$C434&amp;"'!"&amp;"$"&amp;$D434&amp;74&amp;"")</f>
        <v>0</v>
      </c>
      <c r="BV434" s="288"/>
      <c r="BW434" s="288" t="s">
        <v>1</v>
      </c>
      <c r="BX434" s="286" t="s">
        <v>1</v>
      </c>
    </row>
    <row r="435" spans="1:76">
      <c r="A435" s="459">
        <v>45856</v>
      </c>
      <c r="B435" s="345">
        <v>0.20833333333333301</v>
      </c>
      <c r="C435" s="305">
        <v>18</v>
      </c>
      <c r="D435" s="306" t="s">
        <v>147</v>
      </c>
      <c r="E435" s="278">
        <v>14</v>
      </c>
      <c r="F435" s="279">
        <v>70.23</v>
      </c>
      <c r="G435" s="280" t="str" cm="1">
        <f t="array" aca="1" ref="G435" ca="1">INDIRECT("'"&amp;$C435&amp;"'!"&amp;"$"&amp;$D435&amp;$E$1&amp;"")</f>
        <v>CMS</v>
      </c>
      <c r="H435" s="281" t="s">
        <v>1</v>
      </c>
      <c r="I435" s="279" t="s">
        <v>1</v>
      </c>
      <c r="J435" s="280" cm="1">
        <f t="array" aca="1" ref="J435" ca="1">INDIRECT("'"&amp;$C435&amp;"'!"&amp;"$"&amp;$D435&amp;$J$1&amp;"")</f>
        <v>6.7</v>
      </c>
      <c r="K435" s="281"/>
      <c r="L435" s="281">
        <v>0.99</v>
      </c>
      <c r="M435" s="279">
        <v>0.88</v>
      </c>
      <c r="N435" s="278" cm="1">
        <f t="array" aca="1" ref="N435" ca="1">INDIRECT("'"&amp;$C435&amp;"'!"&amp;"$"&amp;$D435&amp;$N$1&amp;"")</f>
        <v>6.7</v>
      </c>
      <c r="O435" s="281"/>
      <c r="P435" s="281">
        <v>0.99</v>
      </c>
      <c r="Q435" s="279">
        <v>0.88</v>
      </c>
      <c r="R435" s="468" cm="1">
        <f t="array" aca="1" ref="R435" ca="1">INDIRECT("'"&amp;$C435&amp;"'!"&amp;"$"&amp;$D435&amp;$R$1&amp;"")</f>
        <v>0</v>
      </c>
      <c r="S435" s="281"/>
      <c r="T435" s="281" t="s">
        <v>1</v>
      </c>
      <c r="U435" s="279" t="s">
        <v>1</v>
      </c>
      <c r="V435" s="280" cm="1">
        <f t="array" aca="1" ref="V435" ca="1">INDIRECT("'"&amp;$C435&amp;"'!"&amp;"$"&amp;$D435&amp;$V$1&amp;"")</f>
        <v>0</v>
      </c>
      <c r="W435" s="281" t="s">
        <v>1</v>
      </c>
      <c r="X435" s="281" t="s">
        <v>1</v>
      </c>
      <c r="Y435" s="282" t="s">
        <v>1</v>
      </c>
      <c r="Z435" s="278" t="str" cm="1">
        <f t="array" aca="1" ref="Z435" ca="1">INDIRECT("'"&amp;$C435&amp;"'!"&amp;"$"&amp;$D435&amp;$Z$1&amp;"")</f>
        <v>CMS</v>
      </c>
      <c r="AA435" s="281" t="s">
        <v>1</v>
      </c>
      <c r="AB435" s="281" t="s">
        <v>1</v>
      </c>
      <c r="AC435" s="279" t="s">
        <v>1</v>
      </c>
      <c r="AD435" s="280" cm="1">
        <f t="array" aca="1" ref="AD435" ca="1">INDIRECT("'"&amp;$C435&amp;"'!"&amp;"$"&amp;$D435&amp;$AD$1&amp;"")</f>
        <v>0</v>
      </c>
      <c r="AE435" s="281" t="s">
        <v>1</v>
      </c>
      <c r="AF435" s="281" t="s">
        <v>1</v>
      </c>
      <c r="AG435" s="282" t="s">
        <v>1</v>
      </c>
      <c r="AH435" s="278" cm="1">
        <f t="array" aca="1" ref="AH435" ca="1">INDIRECT("'"&amp;$C435&amp;"'!"&amp;"$"&amp;$D435&amp;$AH$1&amp;"")</f>
        <v>0</v>
      </c>
      <c r="AI435" s="281" t="s">
        <v>1</v>
      </c>
      <c r="AJ435" s="281" t="s">
        <v>1</v>
      </c>
      <c r="AK435" s="279" t="s">
        <v>1</v>
      </c>
      <c r="AL435" s="278">
        <v>11.5</v>
      </c>
      <c r="AM435" s="282">
        <v>70.5</v>
      </c>
      <c r="AN435" s="278" cm="1">
        <f t="array" aca="1" ref="AN435" ca="1">INDIRECT("'"&amp;$C435&amp;"'!"&amp;"$"&amp;$D435&amp;$AL$1&amp;"")</f>
        <v>0</v>
      </c>
      <c r="AO435" s="281" t="s">
        <v>1</v>
      </c>
      <c r="AP435" s="279" t="s">
        <v>1</v>
      </c>
      <c r="AQ435" s="280" cm="1">
        <f t="array" aca="1" ref="AQ435" ca="1">INDIRECT("'"&amp;$C435&amp;"'!"&amp;"$"&amp;$D435&amp;$AQ$1&amp;"")</f>
        <v>2.7</v>
      </c>
      <c r="AR435" s="281">
        <v>0.97</v>
      </c>
      <c r="AS435" s="279">
        <v>0.77</v>
      </c>
      <c r="AT435" s="278" t="s">
        <v>1</v>
      </c>
      <c r="AU435" s="282" t="s">
        <v>1</v>
      </c>
      <c r="AV435" s="281" cm="1">
        <f t="array" aca="1" ref="AV435" ca="1">INDIRECT("'"&amp;$C435&amp;"'!"&amp;"$"&amp;$D435&amp;$AV$1&amp;"")</f>
        <v>0</v>
      </c>
      <c r="AW435" s="280" t="s">
        <v>1</v>
      </c>
      <c r="AX435" s="281" t="s">
        <v>1</v>
      </c>
      <c r="AY435" s="279" t="s">
        <v>1</v>
      </c>
      <c r="AZ435" s="281" t="str" cm="1">
        <f t="array" aca="1" ref="AZ435" ca="1">INDIRECT("'"&amp;$C435&amp;"'!"&amp;"$"&amp;$D435&amp;$AZ$1&amp;"")</f>
        <v>CMS</v>
      </c>
      <c r="BA435" s="280" t="s">
        <v>1</v>
      </c>
      <c r="BB435" s="281" t="s">
        <v>1</v>
      </c>
      <c r="BC435" s="279" t="s">
        <v>1</v>
      </c>
      <c r="BD435" s="283">
        <v>13.97</v>
      </c>
      <c r="BE435" s="282">
        <v>71.28</v>
      </c>
      <c r="BF435" s="283" cm="1">
        <f t="array" aca="1" ref="BF435" ca="1">INDIRECT("'"&amp;$C435&amp;"'!"&amp;"$"&amp;$D435&amp;$BF$1&amp;"")</f>
        <v>12.82</v>
      </c>
      <c r="BG435" s="281">
        <v>1</v>
      </c>
      <c r="BH435" s="279">
        <v>1.1000000000000001</v>
      </c>
      <c r="BI435" s="524">
        <v>69.400000000000006</v>
      </c>
      <c r="BJ435" s="278" cm="1">
        <f t="array" aca="1" ref="BJ435" ca="1">INDIRECT("'"&amp;$C435&amp;"'!"&amp;"$"&amp;$D435&amp;$BI$1&amp;"")</f>
        <v>0</v>
      </c>
      <c r="BK435" s="280" t="s">
        <v>1</v>
      </c>
      <c r="BL435" s="279" t="s">
        <v>1</v>
      </c>
      <c r="BM435" s="283" cm="1">
        <f t="array" aca="1" ref="BM435" ca="1">INDIRECT("'"&amp;$C435&amp;"'!"&amp;"$"&amp;$D435&amp;$BM$1&amp;"")</f>
        <v>0.67</v>
      </c>
      <c r="BN435" s="281"/>
      <c r="BO435" s="281">
        <v>0.99</v>
      </c>
      <c r="BP435" s="279">
        <v>0.03</v>
      </c>
      <c r="BQ435" s="283" cm="1">
        <f t="array" aca="1" ref="BQ435" ca="1">INDIRECT("'"&amp;$C435&amp;"'!"&amp;"$"&amp;$D435&amp;$BQ$1&amp;"")</f>
        <v>0.45</v>
      </c>
      <c r="BR435" s="281"/>
      <c r="BS435" s="281">
        <v>0.96</v>
      </c>
      <c r="BT435" s="279">
        <v>0.09</v>
      </c>
      <c r="BU435" s="284" cm="1">
        <f t="array" aca="1" ref="BU435" ca="1">INDIRECT("'"&amp;$C435&amp;"'!"&amp;"$"&amp;$D435&amp;74&amp;"")</f>
        <v>0</v>
      </c>
      <c r="BV435" s="281"/>
      <c r="BW435" s="281" t="s">
        <v>1</v>
      </c>
      <c r="BX435" s="279" t="s">
        <v>1</v>
      </c>
    </row>
    <row r="436" spans="1:76">
      <c r="A436" s="459">
        <v>45856</v>
      </c>
      <c r="B436" s="345">
        <v>0.25</v>
      </c>
      <c r="C436" s="305">
        <v>18</v>
      </c>
      <c r="D436" s="306" t="s">
        <v>148</v>
      </c>
      <c r="E436" s="285">
        <v>14</v>
      </c>
      <c r="F436" s="286">
        <v>69.849999999999994</v>
      </c>
      <c r="G436" s="287" t="str" cm="1">
        <f t="array" aca="1" ref="G436" ca="1">INDIRECT("'"&amp;$C436&amp;"'!"&amp;"$"&amp;$D436&amp;$E$1&amp;"")</f>
        <v>CMS</v>
      </c>
      <c r="H436" s="288" t="s">
        <v>1</v>
      </c>
      <c r="I436" s="286" t="s">
        <v>1</v>
      </c>
      <c r="J436" s="287" cm="1">
        <f t="array" aca="1" ref="J436" ca="1">INDIRECT("'"&amp;$C436&amp;"'!"&amp;"$"&amp;$D436&amp;$J$1&amp;"")</f>
        <v>6.4</v>
      </c>
      <c r="K436" s="288"/>
      <c r="L436" s="288">
        <v>0.99</v>
      </c>
      <c r="M436" s="286">
        <v>1.02</v>
      </c>
      <c r="N436" s="285" cm="1">
        <f t="array" aca="1" ref="N436" ca="1">INDIRECT("'"&amp;$C436&amp;"'!"&amp;"$"&amp;$D436&amp;$N$1&amp;"")</f>
        <v>6.4</v>
      </c>
      <c r="O436" s="288"/>
      <c r="P436" s="288">
        <v>0.99</v>
      </c>
      <c r="Q436" s="286">
        <v>1.02</v>
      </c>
      <c r="R436" s="285" cm="1">
        <f t="array" aca="1" ref="R436" ca="1">INDIRECT("'"&amp;$C436&amp;"'!"&amp;"$"&amp;$D436&amp;$R$1&amp;"")</f>
        <v>0</v>
      </c>
      <c r="S436" s="288"/>
      <c r="T436" s="288" t="s">
        <v>1</v>
      </c>
      <c r="U436" s="286" t="s">
        <v>1</v>
      </c>
      <c r="V436" s="287" cm="1">
        <f t="array" aca="1" ref="V436" ca="1">INDIRECT("'"&amp;$C436&amp;"'!"&amp;"$"&amp;$D436&amp;$V$1&amp;"")</f>
        <v>0</v>
      </c>
      <c r="W436" s="288" t="s">
        <v>1</v>
      </c>
      <c r="X436" s="288" t="s">
        <v>1</v>
      </c>
      <c r="Y436" s="289" t="s">
        <v>1</v>
      </c>
      <c r="Z436" s="285" t="str" cm="1">
        <f t="array" aca="1" ref="Z436" ca="1">INDIRECT("'"&amp;$C436&amp;"'!"&amp;"$"&amp;$D436&amp;$Z$1&amp;"")</f>
        <v>CMS</v>
      </c>
      <c r="AA436" s="288" t="s">
        <v>1</v>
      </c>
      <c r="AB436" s="288" t="s">
        <v>1</v>
      </c>
      <c r="AC436" s="286" t="s">
        <v>1</v>
      </c>
      <c r="AD436" s="287" cm="1">
        <f t="array" aca="1" ref="AD436" ca="1">INDIRECT("'"&amp;$C436&amp;"'!"&amp;"$"&amp;$D436&amp;$AD$1&amp;"")</f>
        <v>0</v>
      </c>
      <c r="AE436" s="288" t="s">
        <v>1</v>
      </c>
      <c r="AF436" s="288" t="s">
        <v>1</v>
      </c>
      <c r="AG436" s="289" t="s">
        <v>1</v>
      </c>
      <c r="AH436" s="285" cm="1">
        <f t="array" aca="1" ref="AH436" ca="1">INDIRECT("'"&amp;$C436&amp;"'!"&amp;"$"&amp;$D436&amp;$AH$1&amp;"")</f>
        <v>0</v>
      </c>
      <c r="AI436" s="288" t="s">
        <v>1</v>
      </c>
      <c r="AJ436" s="288" t="s">
        <v>1</v>
      </c>
      <c r="AK436" s="286" t="s">
        <v>1</v>
      </c>
      <c r="AL436" s="285">
        <v>11.6</v>
      </c>
      <c r="AM436" s="289">
        <v>70.2</v>
      </c>
      <c r="AN436" s="285" cm="1">
        <f t="array" aca="1" ref="AN436" ca="1">INDIRECT("'"&amp;$C436&amp;"'!"&amp;"$"&amp;$D436&amp;$AL$1&amp;"")</f>
        <v>0</v>
      </c>
      <c r="AO436" s="288" t="s">
        <v>1</v>
      </c>
      <c r="AP436" s="286" t="s">
        <v>1</v>
      </c>
      <c r="AQ436" s="287" cm="1">
        <f t="array" aca="1" ref="AQ436" ca="1">INDIRECT("'"&amp;$C436&amp;"'!"&amp;"$"&amp;$D436&amp;$AQ$1&amp;"")</f>
        <v>3</v>
      </c>
      <c r="AR436" s="288">
        <v>0.93</v>
      </c>
      <c r="AS436" s="286">
        <v>1.18</v>
      </c>
      <c r="AT436" s="285" t="s">
        <v>1</v>
      </c>
      <c r="AU436" s="289" t="s">
        <v>1</v>
      </c>
      <c r="AV436" s="288" cm="1">
        <f t="array" aca="1" ref="AV436" ca="1">INDIRECT("'"&amp;$C436&amp;"'!"&amp;"$"&amp;$D436&amp;$AV$1&amp;"")</f>
        <v>0</v>
      </c>
      <c r="AW436" s="287" t="s">
        <v>1</v>
      </c>
      <c r="AX436" s="288" t="s">
        <v>1</v>
      </c>
      <c r="AY436" s="286" t="s">
        <v>1</v>
      </c>
      <c r="AZ436" s="288" t="str" cm="1">
        <f t="array" aca="1" ref="AZ436" ca="1">INDIRECT("'"&amp;$C436&amp;"'!"&amp;"$"&amp;$D436&amp;$AZ$1&amp;"")</f>
        <v>CMS</v>
      </c>
      <c r="BA436" s="287" t="s">
        <v>1</v>
      </c>
      <c r="BB436" s="288"/>
      <c r="BC436" s="286"/>
      <c r="BD436" s="290">
        <v>13.92</v>
      </c>
      <c r="BE436" s="289">
        <v>70.989999999999995</v>
      </c>
      <c r="BF436" s="290" cm="1">
        <f t="array" aca="1" ref="BF436" ca="1">INDIRECT("'"&amp;$C436&amp;"'!"&amp;"$"&amp;$D436&amp;$BF$1&amp;"")</f>
        <v>14.24</v>
      </c>
      <c r="BG436" s="288">
        <v>1</v>
      </c>
      <c r="BH436" s="286">
        <v>1.2</v>
      </c>
      <c r="BI436" s="525">
        <v>68.900000000000006</v>
      </c>
      <c r="BJ436" s="285" cm="1">
        <f t="array" aca="1" ref="BJ436" ca="1">INDIRECT("'"&amp;$C436&amp;"'!"&amp;"$"&amp;$D436&amp;$BI$1&amp;"")</f>
        <v>0</v>
      </c>
      <c r="BK436" s="287" t="s">
        <v>1</v>
      </c>
      <c r="BL436" s="286" t="s">
        <v>1</v>
      </c>
      <c r="BM436" s="290" cm="1">
        <f t="array" aca="1" ref="BM436" ca="1">INDIRECT("'"&amp;$C436&amp;"'!"&amp;"$"&amp;$D436&amp;$BM$1&amp;"")</f>
        <v>0.73</v>
      </c>
      <c r="BN436" s="288"/>
      <c r="BO436" s="288">
        <v>0.99</v>
      </c>
      <c r="BP436" s="286">
        <v>0.04</v>
      </c>
      <c r="BQ436" s="290" cm="1">
        <f t="array" aca="1" ref="BQ436" ca="1">INDIRECT("'"&amp;$C436&amp;"'!"&amp;"$"&amp;$D436&amp;$BQ$1&amp;"")</f>
        <v>0.47</v>
      </c>
      <c r="BR436" s="288"/>
      <c r="BS436" s="288">
        <v>0.96</v>
      </c>
      <c r="BT436" s="286">
        <v>0.09</v>
      </c>
      <c r="BU436" s="291" cm="1">
        <f t="array" aca="1" ref="BU436" ca="1">INDIRECT("'"&amp;$C436&amp;"'!"&amp;"$"&amp;$D436&amp;74&amp;"")</f>
        <v>0</v>
      </c>
      <c r="BV436" s="288"/>
      <c r="BW436" s="288" t="s">
        <v>1</v>
      </c>
      <c r="BX436" s="286" t="s">
        <v>1</v>
      </c>
    </row>
    <row r="437" spans="1:76">
      <c r="A437" s="459">
        <v>45856</v>
      </c>
      <c r="B437" s="345">
        <v>0.29166666666666702</v>
      </c>
      <c r="C437" s="305">
        <v>18</v>
      </c>
      <c r="D437" s="306" t="s">
        <v>149</v>
      </c>
      <c r="E437" s="278">
        <v>14.1</v>
      </c>
      <c r="F437" s="279">
        <v>69.7</v>
      </c>
      <c r="G437" s="280" t="str" cm="1">
        <f t="array" aca="1" ref="G437" ca="1">INDIRECT("'"&amp;$C437&amp;"'!"&amp;"$"&amp;$D437&amp;$E$1&amp;"")</f>
        <v>CMS</v>
      </c>
      <c r="H437" s="281" t="s">
        <v>1</v>
      </c>
      <c r="I437" s="279" t="s">
        <v>1</v>
      </c>
      <c r="J437" s="280" cm="1">
        <f t="array" aca="1" ref="J437" ca="1">INDIRECT("'"&amp;$C437&amp;"'!"&amp;"$"&amp;$D437&amp;$J$1&amp;"")</f>
        <v>7.1</v>
      </c>
      <c r="K437" s="281"/>
      <c r="L437" s="281">
        <v>0.97</v>
      </c>
      <c r="M437" s="282">
        <v>1.76</v>
      </c>
      <c r="N437" s="278" cm="1">
        <f t="array" aca="1" ref="N437" ca="1">INDIRECT("'"&amp;$C437&amp;"'!"&amp;"$"&amp;$D437&amp;$N$1&amp;"")</f>
        <v>7.2</v>
      </c>
      <c r="O437" s="281"/>
      <c r="P437" s="281">
        <v>0.97</v>
      </c>
      <c r="Q437" s="279">
        <v>1.9</v>
      </c>
      <c r="R437" s="468" cm="1">
        <f t="array" aca="1" ref="R437" ca="1">INDIRECT("'"&amp;$C437&amp;"'!"&amp;"$"&amp;$D437&amp;$R$1&amp;"")</f>
        <v>0</v>
      </c>
      <c r="S437" s="281"/>
      <c r="T437" s="281" t="s">
        <v>1</v>
      </c>
      <c r="U437" s="279" t="s">
        <v>1</v>
      </c>
      <c r="V437" s="280" cm="1">
        <f t="array" aca="1" ref="V437" ca="1">INDIRECT("'"&amp;$C437&amp;"'!"&amp;"$"&amp;$D437&amp;$V$1&amp;"")</f>
        <v>0</v>
      </c>
      <c r="W437" s="281" t="s">
        <v>1</v>
      </c>
      <c r="X437" s="281" t="s">
        <v>1</v>
      </c>
      <c r="Y437" s="282" t="s">
        <v>1</v>
      </c>
      <c r="Z437" s="278" t="str" cm="1">
        <f t="array" aca="1" ref="Z437" ca="1">INDIRECT("'"&amp;$C437&amp;"'!"&amp;"$"&amp;$D437&amp;$Z$1&amp;"")</f>
        <v>CMS</v>
      </c>
      <c r="AA437" s="281" t="s">
        <v>1</v>
      </c>
      <c r="AB437" s="281" t="s">
        <v>1</v>
      </c>
      <c r="AC437" s="279" t="s">
        <v>1</v>
      </c>
      <c r="AD437" s="280" cm="1">
        <f t="array" aca="1" ref="AD437" ca="1">INDIRECT("'"&amp;$C437&amp;"'!"&amp;"$"&amp;$D437&amp;$AD$1&amp;"")</f>
        <v>0</v>
      </c>
      <c r="AE437" s="281" t="s">
        <v>1</v>
      </c>
      <c r="AF437" s="281" t="s">
        <v>1</v>
      </c>
      <c r="AG437" s="282" t="s">
        <v>1</v>
      </c>
      <c r="AH437" s="278" cm="1">
        <f t="array" aca="1" ref="AH437" ca="1">INDIRECT("'"&amp;$C437&amp;"'!"&amp;"$"&amp;$D437&amp;$AH$1&amp;"")</f>
        <v>0</v>
      </c>
      <c r="AI437" s="281" t="s">
        <v>1</v>
      </c>
      <c r="AJ437" s="281" t="s">
        <v>1</v>
      </c>
      <c r="AK437" s="279" t="s">
        <v>1</v>
      </c>
      <c r="AL437" s="278">
        <v>11.6</v>
      </c>
      <c r="AM437" s="282">
        <v>70.3</v>
      </c>
      <c r="AN437" s="278" cm="1">
        <f t="array" aca="1" ref="AN437" ca="1">INDIRECT("'"&amp;$C437&amp;"'!"&amp;"$"&amp;$D437&amp;$AL$1&amp;"")</f>
        <v>0</v>
      </c>
      <c r="AO437" s="281" t="s">
        <v>1</v>
      </c>
      <c r="AP437" s="279" t="s">
        <v>1</v>
      </c>
      <c r="AQ437" s="280" cm="1">
        <f t="array" aca="1" ref="AQ437" ca="1">INDIRECT("'"&amp;$C437&amp;"'!"&amp;"$"&amp;$D437&amp;$AQ$1&amp;"")</f>
        <v>4</v>
      </c>
      <c r="AR437" s="281">
        <v>0.95</v>
      </c>
      <c r="AS437" s="279">
        <v>1.25</v>
      </c>
      <c r="AT437" s="278" t="s">
        <v>1</v>
      </c>
      <c r="AU437" s="282" t="s">
        <v>1</v>
      </c>
      <c r="AV437" s="281" cm="1">
        <f t="array" aca="1" ref="AV437" ca="1">INDIRECT("'"&amp;$C437&amp;"'!"&amp;"$"&amp;$D437&amp;$AV$1&amp;"")</f>
        <v>0</v>
      </c>
      <c r="AW437" s="280" t="s">
        <v>1</v>
      </c>
      <c r="AX437" s="281" t="s">
        <v>1</v>
      </c>
      <c r="AY437" s="279" t="s">
        <v>1</v>
      </c>
      <c r="AZ437" s="281" cm="1">
        <f t="array" aca="1" ref="AZ437" ca="1">INDIRECT("'"&amp;$C437&amp;"'!"&amp;"$"&amp;$D437&amp;$AZ$1&amp;"")</f>
        <v>0</v>
      </c>
      <c r="BA437" s="280" t="s">
        <v>1</v>
      </c>
      <c r="BB437" s="281" t="s">
        <v>1</v>
      </c>
      <c r="BC437" s="279" t="s">
        <v>1</v>
      </c>
      <c r="BD437" s="283">
        <v>14.11</v>
      </c>
      <c r="BE437" s="282">
        <v>71.459999999999994</v>
      </c>
      <c r="BF437" s="283" cm="1">
        <f t="array" aca="1" ref="BF437" ca="1">INDIRECT("'"&amp;$C437&amp;"'!"&amp;"$"&amp;$D437&amp;$BF$1&amp;"")</f>
        <v>14.27</v>
      </c>
      <c r="BG437" s="281">
        <v>0.99</v>
      </c>
      <c r="BH437" s="279">
        <v>2.2000000000000002</v>
      </c>
      <c r="BI437" s="524">
        <v>68.8</v>
      </c>
      <c r="BJ437" s="278" cm="1">
        <f t="array" aca="1" ref="BJ437" ca="1">INDIRECT("'"&amp;$C437&amp;"'!"&amp;"$"&amp;$D437&amp;$BI$1&amp;"")</f>
        <v>0</v>
      </c>
      <c r="BK437" s="280" t="s">
        <v>1</v>
      </c>
      <c r="BL437" s="279" t="s">
        <v>1</v>
      </c>
      <c r="BM437" s="283" cm="1">
        <f t="array" aca="1" ref="BM437" ca="1">INDIRECT("'"&amp;$C437&amp;"'!"&amp;"$"&amp;$D437&amp;$BM$1&amp;"")</f>
        <v>0.88</v>
      </c>
      <c r="BN437" s="281"/>
      <c r="BO437" s="281">
        <v>0.99</v>
      </c>
      <c r="BP437" s="279">
        <v>0.08</v>
      </c>
      <c r="BQ437" s="284" cm="1">
        <f t="array" aca="1" ref="BQ437" ca="1">INDIRECT("'"&amp;$C437&amp;"'!"&amp;"$"&amp;$D437&amp;$BQ$1&amp;"")</f>
        <v>0.49</v>
      </c>
      <c r="BR437" s="281"/>
      <c r="BS437" s="281">
        <v>0.96</v>
      </c>
      <c r="BT437" s="279">
        <v>0.1</v>
      </c>
      <c r="BU437" s="284" cm="1">
        <f t="array" aca="1" ref="BU437" ca="1">INDIRECT("'"&amp;$C437&amp;"'!"&amp;"$"&amp;$D437&amp;74&amp;"")</f>
        <v>0</v>
      </c>
      <c r="BV437" s="281"/>
      <c r="BW437" s="281" t="s">
        <v>1</v>
      </c>
      <c r="BX437" s="279" t="s">
        <v>1</v>
      </c>
    </row>
    <row r="438" spans="1:76">
      <c r="A438" s="459">
        <v>45856</v>
      </c>
      <c r="B438" s="345">
        <v>0.33333333333333398</v>
      </c>
      <c r="C438" s="305">
        <v>18</v>
      </c>
      <c r="D438" s="306" t="s">
        <v>150</v>
      </c>
      <c r="E438" s="285">
        <v>14.1</v>
      </c>
      <c r="F438" s="286">
        <v>69.36</v>
      </c>
      <c r="G438" s="287" t="str" cm="1">
        <f t="array" aca="1" ref="G438" ca="1">INDIRECT("'"&amp;$C438&amp;"'!"&amp;"$"&amp;$D438&amp;$E$1&amp;"")</f>
        <v>CMS</v>
      </c>
      <c r="H438" s="288" t="s">
        <v>1</v>
      </c>
      <c r="I438" s="286" t="s">
        <v>1</v>
      </c>
      <c r="J438" s="287" cm="1">
        <f t="array" aca="1" ref="J438" ca="1">INDIRECT("'"&amp;$C438&amp;"'!"&amp;"$"&amp;$D438&amp;$J$1&amp;"")</f>
        <v>6.6</v>
      </c>
      <c r="K438" s="288"/>
      <c r="L438" s="288">
        <v>0.97</v>
      </c>
      <c r="M438" s="289">
        <v>1.7</v>
      </c>
      <c r="N438" s="285" cm="1">
        <f t="array" aca="1" ref="N438" ca="1">INDIRECT("'"&amp;$C438&amp;"'!"&amp;"$"&amp;$D438&amp;$N$1&amp;"")</f>
        <v>6.6</v>
      </c>
      <c r="O438" s="288"/>
      <c r="P438" s="288">
        <v>0.95</v>
      </c>
      <c r="Q438" s="286">
        <v>2.19</v>
      </c>
      <c r="R438" s="285" cm="1">
        <f t="array" aca="1" ref="R438" ca="1">INDIRECT("'"&amp;$C438&amp;"'!"&amp;"$"&amp;$D438&amp;$R$1&amp;"")</f>
        <v>0</v>
      </c>
      <c r="S438" s="288"/>
      <c r="T438" s="288" t="s">
        <v>1</v>
      </c>
      <c r="U438" s="286" t="s">
        <v>1</v>
      </c>
      <c r="V438" s="287" cm="1">
        <f t="array" aca="1" ref="V438" ca="1">INDIRECT("'"&amp;$C438&amp;"'!"&amp;"$"&amp;$D438&amp;$V$1&amp;"")</f>
        <v>0</v>
      </c>
      <c r="W438" s="288" t="s">
        <v>1</v>
      </c>
      <c r="X438" s="288" t="s">
        <v>1</v>
      </c>
      <c r="Y438" s="289" t="s">
        <v>1</v>
      </c>
      <c r="Z438" s="285" t="str" cm="1">
        <f t="array" aca="1" ref="Z438" ca="1">INDIRECT("'"&amp;$C438&amp;"'!"&amp;"$"&amp;$D438&amp;$Z$1&amp;"")</f>
        <v>CMS</v>
      </c>
      <c r="AA438" s="288" t="s">
        <v>1</v>
      </c>
      <c r="AB438" s="288" t="s">
        <v>1</v>
      </c>
      <c r="AC438" s="286" t="s">
        <v>1</v>
      </c>
      <c r="AD438" s="287" cm="1">
        <f t="array" aca="1" ref="AD438" ca="1">INDIRECT("'"&amp;$C438&amp;"'!"&amp;"$"&amp;$D438&amp;$AD$1&amp;"")</f>
        <v>0</v>
      </c>
      <c r="AE438" s="288" t="s">
        <v>1</v>
      </c>
      <c r="AF438" s="288" t="s">
        <v>1</v>
      </c>
      <c r="AG438" s="289" t="s">
        <v>1</v>
      </c>
      <c r="AH438" s="285" cm="1">
        <f t="array" aca="1" ref="AH438" ca="1">INDIRECT("'"&amp;$C438&amp;"'!"&amp;"$"&amp;$D438&amp;$AH$1&amp;"")</f>
        <v>0</v>
      </c>
      <c r="AI438" s="288" t="s">
        <v>1</v>
      </c>
      <c r="AJ438" s="288" t="s">
        <v>1</v>
      </c>
      <c r="AK438" s="286" t="s">
        <v>1</v>
      </c>
      <c r="AL438" s="285">
        <v>11.5</v>
      </c>
      <c r="AM438" s="289">
        <v>70.400000000000006</v>
      </c>
      <c r="AN438" s="285" cm="1">
        <f t="array" aca="1" ref="AN438" ca="1">INDIRECT("'"&amp;$C438&amp;"'!"&amp;"$"&amp;$D438&amp;$AL$1&amp;"")</f>
        <v>1</v>
      </c>
      <c r="AO438" s="288">
        <v>0.99</v>
      </c>
      <c r="AP438" s="286">
        <v>0.2</v>
      </c>
      <c r="AQ438" s="287" cm="1">
        <f t="array" aca="1" ref="AQ438" ca="1">INDIRECT("'"&amp;$C438&amp;"'!"&amp;"$"&amp;$D438&amp;$AQ$1&amp;"")</f>
        <v>0</v>
      </c>
      <c r="AR438" s="288" t="s">
        <v>1</v>
      </c>
      <c r="AS438" s="286" t="s">
        <v>1</v>
      </c>
      <c r="AT438" s="285">
        <v>13.9</v>
      </c>
      <c r="AU438" s="289">
        <v>70.3</v>
      </c>
      <c r="AV438" s="288" cm="1">
        <f t="array" aca="1" ref="AV438" ca="1">INDIRECT("'"&amp;$C438&amp;"'!"&amp;"$"&amp;$D438&amp;$AV$1&amp;"")</f>
        <v>0</v>
      </c>
      <c r="AW438" s="287" t="s">
        <v>1</v>
      </c>
      <c r="AX438" s="288" t="s">
        <v>1</v>
      </c>
      <c r="AY438" s="286" t="s">
        <v>1</v>
      </c>
      <c r="AZ438" s="288" cm="1">
        <f t="array" aca="1" ref="AZ438" ca="1">INDIRECT("'"&amp;$C438&amp;"'!"&amp;"$"&amp;$D438&amp;$AZ$1&amp;"")</f>
        <v>5.8</v>
      </c>
      <c r="BA438" s="287" t="s">
        <v>1</v>
      </c>
      <c r="BB438" s="288">
        <v>0.96</v>
      </c>
      <c r="BC438" s="286">
        <v>1.6</v>
      </c>
      <c r="BD438" s="290">
        <v>14.05</v>
      </c>
      <c r="BE438" s="289">
        <v>71.12</v>
      </c>
      <c r="BF438" s="290" cm="1">
        <f t="array" aca="1" ref="BF438" ca="1">INDIRECT("'"&amp;$C438&amp;"'!"&amp;"$"&amp;$D438&amp;$BF$1&amp;"")</f>
        <v>14.29</v>
      </c>
      <c r="BG438" s="288">
        <v>0.99</v>
      </c>
      <c r="BH438" s="286">
        <v>2.4</v>
      </c>
      <c r="BI438" s="525">
        <v>68.400000000000006</v>
      </c>
      <c r="BJ438" s="285" cm="1">
        <f t="array" aca="1" ref="BJ438" ca="1">INDIRECT("'"&amp;$C438&amp;"'!"&amp;"$"&amp;$D438&amp;$BI$1&amp;"")</f>
        <v>0</v>
      </c>
      <c r="BK438" s="287" t="s">
        <v>1</v>
      </c>
      <c r="BL438" s="286" t="s">
        <v>1</v>
      </c>
      <c r="BM438" s="290" cm="1">
        <f t="array" aca="1" ref="BM438" ca="1">INDIRECT("'"&amp;$C438&amp;"'!"&amp;"$"&amp;$D438&amp;$BM$1&amp;"")</f>
        <v>0</v>
      </c>
      <c r="BN438" s="288"/>
      <c r="BO438" s="288" t="s">
        <v>1</v>
      </c>
      <c r="BP438" s="286" t="s">
        <v>1</v>
      </c>
      <c r="BQ438" s="291" cm="1">
        <f t="array" aca="1" ref="BQ438" ca="1">INDIRECT("'"&amp;$C438&amp;"'!"&amp;"$"&amp;$D438&amp;$BQ$1&amp;"")</f>
        <v>0.59</v>
      </c>
      <c r="BR438" s="288"/>
      <c r="BS438" s="288">
        <v>0.97</v>
      </c>
      <c r="BT438" s="286">
        <v>0.13</v>
      </c>
      <c r="BU438" s="291" cm="1">
        <f t="array" aca="1" ref="BU438" ca="1">INDIRECT("'"&amp;$C438&amp;"'!"&amp;"$"&amp;$D438&amp;74&amp;"")</f>
        <v>0</v>
      </c>
      <c r="BV438" s="288"/>
      <c r="BW438" s="288" t="s">
        <v>1</v>
      </c>
      <c r="BX438" s="286" t="s">
        <v>1</v>
      </c>
    </row>
    <row r="439" spans="1:76">
      <c r="A439" s="459">
        <v>45856</v>
      </c>
      <c r="B439" s="345">
        <v>0.375</v>
      </c>
      <c r="C439" s="305">
        <v>18</v>
      </c>
      <c r="D439" s="306" t="s">
        <v>151</v>
      </c>
      <c r="E439" s="278">
        <v>14</v>
      </c>
      <c r="F439" s="279">
        <v>68.86</v>
      </c>
      <c r="G439" s="280" t="str" cm="1">
        <f t="array" aca="1" ref="G439" ca="1">INDIRECT("'"&amp;$C439&amp;"'!"&amp;"$"&amp;$D439&amp;$E$1&amp;"")</f>
        <v>CMS</v>
      </c>
      <c r="H439" s="281" t="s">
        <v>1</v>
      </c>
      <c r="I439" s="279" t="s">
        <v>1</v>
      </c>
      <c r="J439" s="280" cm="1">
        <f t="array" aca="1" ref="J439" ca="1">INDIRECT("'"&amp;$C439&amp;"'!"&amp;"$"&amp;$D439&amp;$J$1&amp;"")</f>
        <v>6.9</v>
      </c>
      <c r="K439" s="281"/>
      <c r="L439" s="281">
        <v>0.96</v>
      </c>
      <c r="M439" s="282">
        <v>2.06</v>
      </c>
      <c r="N439" s="278" cm="1">
        <f t="array" aca="1" ref="N439" ca="1">INDIRECT("'"&amp;$C439&amp;"'!"&amp;"$"&amp;$D439&amp;$N$1&amp;"")</f>
        <v>6.9</v>
      </c>
      <c r="O439" s="281"/>
      <c r="P439" s="281">
        <v>0.91</v>
      </c>
      <c r="Q439" s="279">
        <v>3.12</v>
      </c>
      <c r="R439" s="468" cm="1">
        <f t="array" aca="1" ref="R439" ca="1">INDIRECT("'"&amp;$C439&amp;"'!"&amp;"$"&amp;$D439&amp;$R$1&amp;"")</f>
        <v>0</v>
      </c>
      <c r="S439" s="281"/>
      <c r="T439" s="281" t="s">
        <v>1</v>
      </c>
      <c r="U439" s="279" t="s">
        <v>1</v>
      </c>
      <c r="V439" s="280" cm="1">
        <f t="array" aca="1" ref="V439" ca="1">INDIRECT("'"&amp;$C439&amp;"'!"&amp;"$"&amp;$D439&amp;$V$1&amp;"")</f>
        <v>0</v>
      </c>
      <c r="W439" s="281" t="s">
        <v>1</v>
      </c>
      <c r="X439" s="281" t="s">
        <v>1</v>
      </c>
      <c r="Y439" s="282" t="s">
        <v>1</v>
      </c>
      <c r="Z439" s="278" t="str" cm="1">
        <f t="array" aca="1" ref="Z439" ca="1">INDIRECT("'"&amp;$C439&amp;"'!"&amp;"$"&amp;$D439&amp;$Z$1&amp;"")</f>
        <v>CMS</v>
      </c>
      <c r="AA439" s="281" t="s">
        <v>1</v>
      </c>
      <c r="AB439" s="281" t="s">
        <v>1</v>
      </c>
      <c r="AC439" s="279" t="s">
        <v>1</v>
      </c>
      <c r="AD439" s="280" cm="1">
        <f t="array" aca="1" ref="AD439" ca="1">INDIRECT("'"&amp;$C439&amp;"'!"&amp;"$"&amp;$D439&amp;$AD$1&amp;"")</f>
        <v>0</v>
      </c>
      <c r="AE439" s="281" t="s">
        <v>1</v>
      </c>
      <c r="AF439" s="281" t="s">
        <v>1</v>
      </c>
      <c r="AG439" s="282" t="s">
        <v>1</v>
      </c>
      <c r="AH439" s="278" cm="1">
        <f t="array" aca="1" ref="AH439" ca="1">INDIRECT("'"&amp;$C439&amp;"'!"&amp;"$"&amp;$D439&amp;$AH$1&amp;"")</f>
        <v>0</v>
      </c>
      <c r="AI439" s="281" t="s">
        <v>1</v>
      </c>
      <c r="AJ439" s="281" t="s">
        <v>1</v>
      </c>
      <c r="AK439" s="279" t="s">
        <v>1</v>
      </c>
      <c r="AL439" s="278">
        <v>11.6</v>
      </c>
      <c r="AM439" s="282">
        <v>70.599999999999994</v>
      </c>
      <c r="AN439" s="278" cm="1">
        <f t="array" aca="1" ref="AN439" ca="1">INDIRECT("'"&amp;$C439&amp;"'!"&amp;"$"&amp;$D439&amp;$AL$1&amp;"")</f>
        <v>3.8</v>
      </c>
      <c r="AO439" s="281">
        <v>0.94</v>
      </c>
      <c r="AP439" s="279">
        <v>1.4</v>
      </c>
      <c r="AQ439" s="280" cm="1">
        <f t="array" aca="1" ref="AQ439" ca="1">INDIRECT("'"&amp;$C439&amp;"'!"&amp;"$"&amp;$D439&amp;$AQ$1&amp;"")</f>
        <v>0</v>
      </c>
      <c r="AR439" s="281" t="s">
        <v>1</v>
      </c>
      <c r="AS439" s="279" t="s">
        <v>1</v>
      </c>
      <c r="AT439" s="278">
        <v>13.84</v>
      </c>
      <c r="AU439" s="282">
        <v>70.400000000000006</v>
      </c>
      <c r="AV439" s="281" cm="1">
        <f t="array" aca="1" ref="AV439" ca="1">INDIRECT("'"&amp;$C439&amp;"'!"&amp;"$"&amp;$D439&amp;$AV$1&amp;"")</f>
        <v>0</v>
      </c>
      <c r="AW439" s="280" t="s">
        <v>1</v>
      </c>
      <c r="AX439" s="281" t="s">
        <v>1</v>
      </c>
      <c r="AY439" s="279" t="s">
        <v>1</v>
      </c>
      <c r="AZ439" s="281" cm="1">
        <f t="array" aca="1" ref="AZ439" ca="1">INDIRECT("'"&amp;$C439&amp;"'!"&amp;"$"&amp;$D439&amp;$AZ$1&amp;"")</f>
        <v>7</v>
      </c>
      <c r="BA439" s="280" t="s">
        <v>1</v>
      </c>
      <c r="BB439" s="281">
        <v>0.96</v>
      </c>
      <c r="BC439" s="279">
        <v>1.8</v>
      </c>
      <c r="BD439" s="283">
        <v>14.05</v>
      </c>
      <c r="BE439" s="282">
        <v>70.87</v>
      </c>
      <c r="BF439" s="283" cm="1">
        <f t="array" aca="1" ref="BF439" ca="1">INDIRECT("'"&amp;$C439&amp;"'!"&amp;"$"&amp;$D439&amp;$BF$1&amp;"")</f>
        <v>14.26</v>
      </c>
      <c r="BG439" s="281">
        <v>0.99</v>
      </c>
      <c r="BH439" s="279">
        <v>2.2999999999999998</v>
      </c>
      <c r="BI439" s="524">
        <v>67.900000000000006</v>
      </c>
      <c r="BJ439" s="278" cm="1">
        <f t="array" aca="1" ref="BJ439" ca="1">INDIRECT("'"&amp;$C439&amp;"'!"&amp;"$"&amp;$D439&amp;$BI$1&amp;"")</f>
        <v>0</v>
      </c>
      <c r="BK439" s="280" t="s">
        <v>1</v>
      </c>
      <c r="BL439" s="279" t="s">
        <v>1</v>
      </c>
      <c r="BM439" s="283" cm="1">
        <f t="array" aca="1" ref="BM439" ca="1">INDIRECT("'"&amp;$C439&amp;"'!"&amp;"$"&amp;$D439&amp;$BM$1&amp;"")</f>
        <v>1.03</v>
      </c>
      <c r="BN439" s="281"/>
      <c r="BO439" s="281">
        <v>0.99</v>
      </c>
      <c r="BP439" s="279">
        <v>0.08</v>
      </c>
      <c r="BQ439" s="284" cm="1">
        <f t="array" aca="1" ref="BQ439" ca="1">INDIRECT("'"&amp;$C439&amp;"'!"&amp;"$"&amp;$D439&amp;$BQ$1&amp;"")</f>
        <v>0.5</v>
      </c>
      <c r="BR439" s="281"/>
      <c r="BS439" s="281">
        <v>0.95</v>
      </c>
      <c r="BT439" s="279">
        <v>0.12</v>
      </c>
      <c r="BU439" s="284" cm="1">
        <f t="array" aca="1" ref="BU439" ca="1">INDIRECT("'"&amp;$C439&amp;"'!"&amp;"$"&amp;$D439&amp;74&amp;"")</f>
        <v>0</v>
      </c>
      <c r="BV439" s="281"/>
      <c r="BW439" s="281" t="s">
        <v>1</v>
      </c>
      <c r="BX439" s="279" t="s">
        <v>1</v>
      </c>
    </row>
    <row r="440" spans="1:76">
      <c r="A440" s="459">
        <v>45856</v>
      </c>
      <c r="B440" s="345">
        <v>0.41666666666666702</v>
      </c>
      <c r="C440" s="305">
        <v>18</v>
      </c>
      <c r="D440" s="306" t="s">
        <v>152</v>
      </c>
      <c r="E440" s="285">
        <v>14</v>
      </c>
      <c r="F440" s="286">
        <v>68.91</v>
      </c>
      <c r="G440" s="287" t="str" cm="1">
        <f t="array" aca="1" ref="G440" ca="1">INDIRECT("'"&amp;$C440&amp;"'!"&amp;"$"&amp;$D440&amp;$E$1&amp;"")</f>
        <v>CMS</v>
      </c>
      <c r="H440" s="288" t="s">
        <v>1</v>
      </c>
      <c r="I440" s="286" t="s">
        <v>1</v>
      </c>
      <c r="J440" s="287" cm="1">
        <f t="array" aca="1" ref="J440" ca="1">INDIRECT("'"&amp;$C440&amp;"'!"&amp;"$"&amp;$D440&amp;$J$1&amp;"")</f>
        <v>6.8</v>
      </c>
      <c r="K440" s="288"/>
      <c r="L440" s="288">
        <v>0.95</v>
      </c>
      <c r="M440" s="289">
        <v>2.25</v>
      </c>
      <c r="N440" s="285" cm="1">
        <f t="array" aca="1" ref="N440" ca="1">INDIRECT("'"&amp;$C440&amp;"'!"&amp;"$"&amp;$D440&amp;$N$1&amp;"")</f>
        <v>6.8</v>
      </c>
      <c r="O440" s="288"/>
      <c r="P440" s="288">
        <v>0.92</v>
      </c>
      <c r="Q440" s="286">
        <v>2.89</v>
      </c>
      <c r="R440" s="285" cm="1">
        <f t="array" aca="1" ref="R440" ca="1">INDIRECT("'"&amp;$C440&amp;"'!"&amp;"$"&amp;$D440&amp;$R$1&amp;"")</f>
        <v>0</v>
      </c>
      <c r="S440" s="288"/>
      <c r="T440" s="288" t="s">
        <v>1</v>
      </c>
      <c r="U440" s="286" t="s">
        <v>1</v>
      </c>
      <c r="V440" s="287" cm="1">
        <f t="array" aca="1" ref="V440" ca="1">INDIRECT("'"&amp;$C440&amp;"'!"&amp;"$"&amp;$D440&amp;$V$1&amp;"")</f>
        <v>0</v>
      </c>
      <c r="W440" s="288" t="s">
        <v>1</v>
      </c>
      <c r="X440" s="288" t="s">
        <v>1</v>
      </c>
      <c r="Y440" s="289" t="s">
        <v>1</v>
      </c>
      <c r="Z440" s="285" t="str" cm="1">
        <f t="array" aca="1" ref="Z440" ca="1">INDIRECT("'"&amp;$C440&amp;"'!"&amp;"$"&amp;$D440&amp;$Z$1&amp;"")</f>
        <v>CMS</v>
      </c>
      <c r="AA440" s="288" t="s">
        <v>1</v>
      </c>
      <c r="AB440" s="288" t="s">
        <v>1</v>
      </c>
      <c r="AC440" s="286" t="s">
        <v>1</v>
      </c>
      <c r="AD440" s="287" cm="1">
        <f t="array" aca="1" ref="AD440" ca="1">INDIRECT("'"&amp;$C440&amp;"'!"&amp;"$"&amp;$D440&amp;$AD$1&amp;"")</f>
        <v>0</v>
      </c>
      <c r="AE440" s="288" t="s">
        <v>1</v>
      </c>
      <c r="AF440" s="288" t="s">
        <v>1</v>
      </c>
      <c r="AG440" s="289" t="s">
        <v>1</v>
      </c>
      <c r="AH440" s="285" cm="1">
        <f t="array" aca="1" ref="AH440" ca="1">INDIRECT("'"&amp;$C440&amp;"'!"&amp;"$"&amp;$D440&amp;$AH$1&amp;"")</f>
        <v>0</v>
      </c>
      <c r="AI440" s="288" t="s">
        <v>1</v>
      </c>
      <c r="AJ440" s="288" t="s">
        <v>1</v>
      </c>
      <c r="AK440" s="286" t="s">
        <v>1</v>
      </c>
      <c r="AL440" s="285">
        <v>11.6</v>
      </c>
      <c r="AM440" s="289">
        <v>70.7</v>
      </c>
      <c r="AN440" s="285" cm="1">
        <f t="array" aca="1" ref="AN440" ca="1">INDIRECT("'"&amp;$C440&amp;"'!"&amp;"$"&amp;$D440&amp;$AL$1&amp;"")</f>
        <v>3.9</v>
      </c>
      <c r="AO440" s="288">
        <v>0.92</v>
      </c>
      <c r="AP440" s="286">
        <v>1.5</v>
      </c>
      <c r="AQ440" s="287" cm="1">
        <f t="array" aca="1" ref="AQ440" ca="1">INDIRECT("'"&amp;$C440&amp;"'!"&amp;"$"&amp;$D440&amp;$AQ$1&amp;"")</f>
        <v>0</v>
      </c>
      <c r="AR440" s="288" t="s">
        <v>1</v>
      </c>
      <c r="AS440" s="286" t="s">
        <v>1</v>
      </c>
      <c r="AT440" s="285">
        <v>13.85</v>
      </c>
      <c r="AU440" s="289">
        <v>70.400000000000006</v>
      </c>
      <c r="AV440" s="288" cm="1">
        <f t="array" aca="1" ref="AV440" ca="1">INDIRECT("'"&amp;$C440&amp;"'!"&amp;"$"&amp;$D440&amp;$AV$1&amp;"")</f>
        <v>0</v>
      </c>
      <c r="AW440" s="287" t="s">
        <v>1</v>
      </c>
      <c r="AX440" s="288" t="s">
        <v>1</v>
      </c>
      <c r="AY440" s="286" t="s">
        <v>1</v>
      </c>
      <c r="AZ440" s="288" cm="1">
        <f t="array" aca="1" ref="AZ440" ca="1">INDIRECT("'"&amp;$C440&amp;"'!"&amp;"$"&amp;$D440&amp;$AZ$1&amp;"")</f>
        <v>7</v>
      </c>
      <c r="BA440" s="287" t="s">
        <v>1</v>
      </c>
      <c r="BB440" s="288">
        <v>0.96</v>
      </c>
      <c r="BC440" s="286">
        <v>2.1</v>
      </c>
      <c r="BD440" s="290">
        <v>14.04</v>
      </c>
      <c r="BE440" s="289">
        <v>70.989999999999995</v>
      </c>
      <c r="BF440" s="290" cm="1">
        <f t="array" aca="1" ref="BF440" ca="1">INDIRECT("'"&amp;$C440&amp;"'!"&amp;"$"&amp;$D440&amp;$BF$1&amp;"")</f>
        <v>14.31</v>
      </c>
      <c r="BG440" s="288">
        <v>0.99</v>
      </c>
      <c r="BH440" s="286">
        <v>2.2999999999999998</v>
      </c>
      <c r="BI440" s="525">
        <v>67.900000000000006</v>
      </c>
      <c r="BJ440" s="285" cm="1">
        <f t="array" aca="1" ref="BJ440" ca="1">INDIRECT("'"&amp;$C440&amp;"'!"&amp;"$"&amp;$D440&amp;$BI$1&amp;"")</f>
        <v>2.2999999999999998</v>
      </c>
      <c r="BK440" s="287">
        <v>0.96</v>
      </c>
      <c r="BL440" s="286">
        <v>0.65</v>
      </c>
      <c r="BM440" s="290" cm="1">
        <f t="array" aca="1" ref="BM440" ca="1">INDIRECT("'"&amp;$C440&amp;"'!"&amp;"$"&amp;$D440&amp;$BM$1&amp;"")</f>
        <v>0.99</v>
      </c>
      <c r="BN440" s="288"/>
      <c r="BO440" s="288">
        <v>0.99</v>
      </c>
      <c r="BP440" s="286">
        <v>7.0000000000000007E-2</v>
      </c>
      <c r="BQ440" s="291" cm="1">
        <f t="array" aca="1" ref="BQ440" ca="1">INDIRECT("'"&amp;$C440&amp;"'!"&amp;"$"&amp;$D440&amp;$BQ$1&amp;"")</f>
        <v>0.36</v>
      </c>
      <c r="BR440" s="288"/>
      <c r="BS440" s="288">
        <v>0.92</v>
      </c>
      <c r="BT440" s="286">
        <v>0.11</v>
      </c>
      <c r="BU440" s="291" cm="1">
        <f t="array" aca="1" ref="BU440" ca="1">INDIRECT("'"&amp;$C440&amp;"'!"&amp;"$"&amp;$D440&amp;74&amp;"")</f>
        <v>0</v>
      </c>
      <c r="BV440" s="288"/>
      <c r="BW440" s="288" t="s">
        <v>1</v>
      </c>
      <c r="BX440" s="286" t="s">
        <v>1</v>
      </c>
    </row>
    <row r="441" spans="1:76">
      <c r="A441" s="459">
        <v>45856</v>
      </c>
      <c r="B441" s="345">
        <v>0.45833333333333398</v>
      </c>
      <c r="C441" s="305">
        <v>18</v>
      </c>
      <c r="D441" s="306" t="s">
        <v>153</v>
      </c>
      <c r="E441" s="278">
        <v>14</v>
      </c>
      <c r="F441" s="279">
        <v>68.930000000000007</v>
      </c>
      <c r="G441" s="280" t="str" cm="1">
        <f t="array" aca="1" ref="G441" ca="1">INDIRECT("'"&amp;$C441&amp;"'!"&amp;"$"&amp;$D441&amp;$E$1&amp;"")</f>
        <v>CMS</v>
      </c>
      <c r="H441" s="281" t="s">
        <v>1</v>
      </c>
      <c r="I441" s="279" t="s">
        <v>1</v>
      </c>
      <c r="J441" s="280" cm="1">
        <f t="array" aca="1" ref="J441" ca="1">INDIRECT("'"&amp;$C441&amp;"'!"&amp;"$"&amp;$D441&amp;$J$1&amp;"")</f>
        <v>6.6</v>
      </c>
      <c r="K441" s="281"/>
      <c r="L441" s="281">
        <v>0.95</v>
      </c>
      <c r="M441" s="282">
        <v>2.16</v>
      </c>
      <c r="N441" s="278" cm="1">
        <f t="array" aca="1" ref="N441" ca="1">INDIRECT("'"&amp;$C441&amp;"'!"&amp;"$"&amp;$D441&amp;$N$1&amp;"")</f>
        <v>6.6</v>
      </c>
      <c r="O441" s="281"/>
      <c r="P441" s="281">
        <v>0.92</v>
      </c>
      <c r="Q441" s="279">
        <v>2.79</v>
      </c>
      <c r="R441" s="468" cm="1">
        <f t="array" aca="1" ref="R441" ca="1">INDIRECT("'"&amp;$C441&amp;"'!"&amp;"$"&amp;$D441&amp;$R$1&amp;"")</f>
        <v>0</v>
      </c>
      <c r="S441" s="281"/>
      <c r="T441" s="281" t="s">
        <v>1</v>
      </c>
      <c r="U441" s="279" t="s">
        <v>1</v>
      </c>
      <c r="V441" s="280" cm="1">
        <f t="array" aca="1" ref="V441" ca="1">INDIRECT("'"&amp;$C441&amp;"'!"&amp;"$"&amp;$D441&amp;$V$1&amp;"")</f>
        <v>0</v>
      </c>
      <c r="W441" s="281" t="s">
        <v>1</v>
      </c>
      <c r="X441" s="281" t="s">
        <v>1</v>
      </c>
      <c r="Y441" s="282" t="s">
        <v>1</v>
      </c>
      <c r="Z441" s="278" t="str" cm="1">
        <f t="array" aca="1" ref="Z441" ca="1">INDIRECT("'"&amp;$C441&amp;"'!"&amp;"$"&amp;$D441&amp;$Z$1&amp;"")</f>
        <v>CMS</v>
      </c>
      <c r="AA441" s="281" t="s">
        <v>1</v>
      </c>
      <c r="AB441" s="281" t="s">
        <v>1</v>
      </c>
      <c r="AC441" s="279" t="s">
        <v>1</v>
      </c>
      <c r="AD441" s="280" cm="1">
        <f t="array" aca="1" ref="AD441" ca="1">INDIRECT("'"&amp;$C441&amp;"'!"&amp;"$"&amp;$D441&amp;$AD$1&amp;"")</f>
        <v>0</v>
      </c>
      <c r="AE441" s="281" t="s">
        <v>1</v>
      </c>
      <c r="AF441" s="281" t="s">
        <v>1</v>
      </c>
      <c r="AG441" s="282" t="s">
        <v>1</v>
      </c>
      <c r="AH441" s="278" cm="1">
        <f t="array" aca="1" ref="AH441" ca="1">INDIRECT("'"&amp;$C441&amp;"'!"&amp;"$"&amp;$D441&amp;$AH$1&amp;"")</f>
        <v>0</v>
      </c>
      <c r="AI441" s="281" t="s">
        <v>1</v>
      </c>
      <c r="AJ441" s="281" t="s">
        <v>1</v>
      </c>
      <c r="AK441" s="279" t="s">
        <v>1</v>
      </c>
      <c r="AL441" s="278">
        <v>11.6</v>
      </c>
      <c r="AM441" s="282">
        <v>70.400000000000006</v>
      </c>
      <c r="AN441" s="278" cm="1">
        <f t="array" aca="1" ref="AN441" ca="1">INDIRECT("'"&amp;$C441&amp;"'!"&amp;"$"&amp;$D441&amp;$AL$1&amp;"")</f>
        <v>3.5</v>
      </c>
      <c r="AO441" s="281">
        <v>0.91</v>
      </c>
      <c r="AP441" s="279">
        <v>1.5</v>
      </c>
      <c r="AQ441" s="280" cm="1">
        <f t="array" aca="1" ref="AQ441" ca="1">INDIRECT("'"&amp;$C441&amp;"'!"&amp;"$"&amp;$D441&amp;$AQ$1&amp;"")</f>
        <v>0</v>
      </c>
      <c r="AR441" s="281" t="s">
        <v>1</v>
      </c>
      <c r="AS441" s="279" t="s">
        <v>1</v>
      </c>
      <c r="AT441" s="278">
        <v>13.86</v>
      </c>
      <c r="AU441" s="282">
        <v>70.400000000000006</v>
      </c>
      <c r="AV441" s="281" cm="1">
        <f t="array" aca="1" ref="AV441" ca="1">INDIRECT("'"&amp;$C441&amp;"'!"&amp;"$"&amp;$D441&amp;$AV$1&amp;"")</f>
        <v>0</v>
      </c>
      <c r="AW441" s="280" t="s">
        <v>1</v>
      </c>
      <c r="AX441" s="281" t="s">
        <v>1</v>
      </c>
      <c r="AY441" s="279" t="s">
        <v>1</v>
      </c>
      <c r="AZ441" s="281" cm="1">
        <f t="array" aca="1" ref="AZ441" ca="1">INDIRECT("'"&amp;$C441&amp;"'!"&amp;"$"&amp;$D441&amp;$AZ$1&amp;"")</f>
        <v>7</v>
      </c>
      <c r="BA441" s="280" t="s">
        <v>1</v>
      </c>
      <c r="BB441" s="281">
        <v>0.96</v>
      </c>
      <c r="BC441" s="279">
        <v>1.9</v>
      </c>
      <c r="BD441" s="283">
        <v>13.98</v>
      </c>
      <c r="BE441" s="282">
        <v>70.709999999999994</v>
      </c>
      <c r="BF441" s="283" cm="1">
        <f t="array" aca="1" ref="BF441" ca="1">INDIRECT("'"&amp;$C441&amp;"'!"&amp;"$"&amp;$D441&amp;$BF$1&amp;"")</f>
        <v>14.29</v>
      </c>
      <c r="BG441" s="281">
        <v>0.99</v>
      </c>
      <c r="BH441" s="279">
        <v>2.2999999999999998</v>
      </c>
      <c r="BI441" s="524">
        <v>67.900000000000006</v>
      </c>
      <c r="BJ441" s="278" cm="1">
        <f t="array" aca="1" ref="BJ441" ca="1">INDIRECT("'"&amp;$C441&amp;"'!"&amp;"$"&amp;$D441&amp;$BI$1&amp;"")</f>
        <v>3.0999999999999996</v>
      </c>
      <c r="BK441" s="280">
        <v>0.96</v>
      </c>
      <c r="BL441" s="279">
        <v>0.9</v>
      </c>
      <c r="BM441" s="283" cm="1">
        <f t="array" aca="1" ref="BM441" ca="1">INDIRECT("'"&amp;$C441&amp;"'!"&amp;"$"&amp;$D441&amp;$BM$1&amp;"")</f>
        <v>1</v>
      </c>
      <c r="BN441" s="281"/>
      <c r="BO441" s="281">
        <v>0.99</v>
      </c>
      <c r="BP441" s="279">
        <v>7.0000000000000007E-2</v>
      </c>
      <c r="BQ441" s="284" cm="1">
        <f t="array" aca="1" ref="BQ441" ca="1">INDIRECT("'"&amp;$C441&amp;"'!"&amp;"$"&amp;$D441&amp;$BQ$1&amp;"")</f>
        <v>0.49</v>
      </c>
      <c r="BR441" s="281"/>
      <c r="BS441" s="281">
        <v>0.93</v>
      </c>
      <c r="BT441" s="279">
        <v>0.13</v>
      </c>
      <c r="BU441" s="284" cm="1">
        <f t="array" aca="1" ref="BU441" ca="1">INDIRECT("'"&amp;$C441&amp;"'!"&amp;"$"&amp;$D441&amp;74&amp;"")</f>
        <v>0</v>
      </c>
      <c r="BV441" s="281"/>
      <c r="BW441" s="281" t="s">
        <v>1</v>
      </c>
      <c r="BX441" s="279" t="s">
        <v>1</v>
      </c>
    </row>
    <row r="442" spans="1:76">
      <c r="A442" s="459">
        <v>45856</v>
      </c>
      <c r="B442" s="345">
        <v>0.5</v>
      </c>
      <c r="C442" s="305">
        <v>18</v>
      </c>
      <c r="D442" s="306" t="s">
        <v>154</v>
      </c>
      <c r="E442" s="285">
        <v>14</v>
      </c>
      <c r="F442" s="286">
        <v>69.14</v>
      </c>
      <c r="G442" s="287" t="str" cm="1">
        <f t="array" aca="1" ref="G442" ca="1">INDIRECT("'"&amp;$C442&amp;"'!"&amp;"$"&amp;$D442&amp;$E$1&amp;"")</f>
        <v>CMS</v>
      </c>
      <c r="H442" s="288" t="s">
        <v>1</v>
      </c>
      <c r="I442" s="286" t="s">
        <v>1</v>
      </c>
      <c r="J442" s="287" cm="1">
        <f t="array" aca="1" ref="J442" ca="1">INDIRECT("'"&amp;$C442&amp;"'!"&amp;"$"&amp;$D442&amp;$J$1&amp;"")</f>
        <v>6.6</v>
      </c>
      <c r="K442" s="288"/>
      <c r="L442" s="288">
        <v>0.95</v>
      </c>
      <c r="M442" s="289">
        <v>2.16</v>
      </c>
      <c r="N442" s="285" cm="1">
        <f t="array" aca="1" ref="N442" ca="1">INDIRECT("'"&amp;$C442&amp;"'!"&amp;"$"&amp;$D442&amp;$N$1&amp;"")</f>
        <v>6.6</v>
      </c>
      <c r="O442" s="288"/>
      <c r="P442" s="288">
        <v>0.94</v>
      </c>
      <c r="Q442" s="289">
        <v>2.41</v>
      </c>
      <c r="R442" s="285" cm="1">
        <f t="array" aca="1" ref="R442" ca="1">INDIRECT("'"&amp;$C442&amp;"'!"&amp;"$"&amp;$D442&amp;$R$1&amp;"")</f>
        <v>0</v>
      </c>
      <c r="S442" s="288"/>
      <c r="T442" s="288" t="s">
        <v>1</v>
      </c>
      <c r="U442" s="286" t="s">
        <v>1</v>
      </c>
      <c r="V442" s="287" cm="1">
        <f t="array" aca="1" ref="V442" ca="1">INDIRECT("'"&amp;$C442&amp;"'!"&amp;"$"&amp;$D442&amp;$V$1&amp;"")</f>
        <v>0</v>
      </c>
      <c r="W442" s="288" t="s">
        <v>1</v>
      </c>
      <c r="X442" s="288" t="s">
        <v>1</v>
      </c>
      <c r="Y442" s="289" t="s">
        <v>1</v>
      </c>
      <c r="Z442" s="285" t="str" cm="1">
        <f t="array" aca="1" ref="Z442" ca="1">INDIRECT("'"&amp;$C442&amp;"'!"&amp;"$"&amp;$D442&amp;$Z$1&amp;"")</f>
        <v>CMS</v>
      </c>
      <c r="AA442" s="288" t="s">
        <v>1</v>
      </c>
      <c r="AB442" s="288" t="s">
        <v>1</v>
      </c>
      <c r="AC442" s="286" t="s">
        <v>1</v>
      </c>
      <c r="AD442" s="287" cm="1">
        <f t="array" aca="1" ref="AD442" ca="1">INDIRECT("'"&amp;$C442&amp;"'!"&amp;"$"&amp;$D442&amp;$AD$1&amp;"")</f>
        <v>3</v>
      </c>
      <c r="AE442" s="288">
        <f>3.8*3.54</f>
        <v>13.452</v>
      </c>
      <c r="AF442" s="288">
        <v>0.94</v>
      </c>
      <c r="AG442" s="289">
        <v>1.1000000000000001</v>
      </c>
      <c r="AH442" s="285" cm="1">
        <f t="array" aca="1" ref="AH442" ca="1">INDIRECT("'"&amp;$C442&amp;"'!"&amp;"$"&amp;$D442&amp;$AH$1&amp;"")</f>
        <v>0</v>
      </c>
      <c r="AI442" s="288" t="s">
        <v>1</v>
      </c>
      <c r="AJ442" s="288" t="s">
        <v>1</v>
      </c>
      <c r="AK442" s="286" t="s">
        <v>1</v>
      </c>
      <c r="AL442" s="285">
        <v>11.5</v>
      </c>
      <c r="AM442" s="289">
        <v>70.7</v>
      </c>
      <c r="AN442" s="285" cm="1">
        <f t="array" aca="1" ref="AN442" ca="1">INDIRECT("'"&amp;$C442&amp;"'!"&amp;"$"&amp;$D442&amp;$AL$1&amp;"")</f>
        <v>2</v>
      </c>
      <c r="AO442" s="288">
        <v>0.93</v>
      </c>
      <c r="AP442" s="286">
        <v>0.77</v>
      </c>
      <c r="AQ442" s="287" cm="1">
        <f t="array" aca="1" ref="AQ442" ca="1">INDIRECT("'"&amp;$C442&amp;"'!"&amp;"$"&amp;$D442&amp;$AQ$1&amp;"")</f>
        <v>0</v>
      </c>
      <c r="AR442" s="288" t="s">
        <v>1</v>
      </c>
      <c r="AS442" s="286" t="s">
        <v>1</v>
      </c>
      <c r="AT442" s="285">
        <v>13.87</v>
      </c>
      <c r="AU442" s="289">
        <v>70.3</v>
      </c>
      <c r="AV442" s="288" cm="1">
        <f t="array" aca="1" ref="AV442" ca="1">INDIRECT("'"&amp;$C442&amp;"'!"&amp;"$"&amp;$D442&amp;$AV$1&amp;"")</f>
        <v>0</v>
      </c>
      <c r="AW442" s="287" t="s">
        <v>1</v>
      </c>
      <c r="AX442" s="288" t="s">
        <v>1</v>
      </c>
      <c r="AY442" s="286" t="s">
        <v>1</v>
      </c>
      <c r="AZ442" s="288" cm="1">
        <f t="array" aca="1" ref="AZ442" ca="1">INDIRECT("'"&amp;$C442&amp;"'!"&amp;"$"&amp;$D442&amp;$AZ$1&amp;"")</f>
        <v>7</v>
      </c>
      <c r="BA442" s="287" t="s">
        <v>1</v>
      </c>
      <c r="BB442" s="288">
        <v>0.97</v>
      </c>
      <c r="BC442" s="286">
        <v>1.9</v>
      </c>
      <c r="BD442" s="290">
        <v>14.05</v>
      </c>
      <c r="BE442" s="289">
        <v>71.03</v>
      </c>
      <c r="BF442" s="290" cm="1">
        <f t="array" aca="1" ref="BF442" ca="1">INDIRECT("'"&amp;$C442&amp;"'!"&amp;"$"&amp;$D442&amp;$BF$1&amp;"")</f>
        <v>14.25</v>
      </c>
      <c r="BG442" s="288">
        <v>0.99</v>
      </c>
      <c r="BH442" s="286">
        <v>2.4</v>
      </c>
      <c r="BI442" s="525">
        <v>68.099999999999994</v>
      </c>
      <c r="BJ442" s="285" cm="1">
        <f t="array" aca="1" ref="BJ442" ca="1">INDIRECT("'"&amp;$C442&amp;"'!"&amp;"$"&amp;$D442&amp;$BI$1&amp;"")</f>
        <v>0</v>
      </c>
      <c r="BK442" s="287" t="s">
        <v>1</v>
      </c>
      <c r="BL442" s="286" t="s">
        <v>1</v>
      </c>
      <c r="BM442" s="290" cm="1">
        <f t="array" aca="1" ref="BM442" ca="1">INDIRECT("'"&amp;$C442&amp;"'!"&amp;"$"&amp;$D442&amp;$BM$1&amp;"")</f>
        <v>0</v>
      </c>
      <c r="BN442" s="288"/>
      <c r="BO442" s="288" t="s">
        <v>1</v>
      </c>
      <c r="BP442" s="286" t="s">
        <v>1</v>
      </c>
      <c r="BQ442" s="291" cm="1">
        <f t="array" aca="1" ref="BQ442" ca="1">INDIRECT("'"&amp;$C442&amp;"'!"&amp;"$"&amp;$D442&amp;$BQ$1&amp;"")</f>
        <v>0.45</v>
      </c>
      <c r="BR442" s="288"/>
      <c r="BS442" s="288">
        <v>0.93</v>
      </c>
      <c r="BT442" s="286">
        <v>0.12</v>
      </c>
      <c r="BU442" s="291" cm="1">
        <f t="array" aca="1" ref="BU442" ca="1">INDIRECT("'"&amp;$C442&amp;"'!"&amp;"$"&amp;$D442&amp;74&amp;"")</f>
        <v>0</v>
      </c>
      <c r="BV442" s="288"/>
      <c r="BW442" s="288" t="s">
        <v>1</v>
      </c>
      <c r="BX442" s="286" t="s">
        <v>1</v>
      </c>
    </row>
    <row r="443" spans="1:76">
      <c r="A443" s="459">
        <v>45856</v>
      </c>
      <c r="B443" s="345">
        <v>0.54166666666666696</v>
      </c>
      <c r="C443" s="305">
        <v>18</v>
      </c>
      <c r="D443" s="306" t="s">
        <v>155</v>
      </c>
      <c r="E443" s="278">
        <v>14</v>
      </c>
      <c r="F443" s="279">
        <v>69.34</v>
      </c>
      <c r="G443" s="280" t="str" cm="1">
        <f t="array" aca="1" ref="G443" ca="1">INDIRECT("'"&amp;$C443&amp;"'!"&amp;"$"&amp;$D443&amp;$E$1&amp;"")</f>
        <v>CMS</v>
      </c>
      <c r="H443" s="281" t="s">
        <v>1</v>
      </c>
      <c r="I443" s="279" t="s">
        <v>1</v>
      </c>
      <c r="J443" s="280" cm="1">
        <f t="array" aca="1" ref="J443" ca="1">INDIRECT("'"&amp;$C443&amp;"'!"&amp;"$"&amp;$D443&amp;$J$1&amp;"")</f>
        <v>6.7</v>
      </c>
      <c r="K443" s="281"/>
      <c r="L443" s="281">
        <v>0.97</v>
      </c>
      <c r="M443" s="279">
        <v>1.58</v>
      </c>
      <c r="N443" s="278" cm="1">
        <f t="array" aca="1" ref="N443" ca="1">INDIRECT("'"&amp;$C443&amp;"'!"&amp;"$"&amp;$D443&amp;$N$1&amp;"")</f>
        <v>6.7</v>
      </c>
      <c r="O443" s="281"/>
      <c r="P443" s="281">
        <v>0.97</v>
      </c>
      <c r="Q443" s="279">
        <v>2.1800000000000002</v>
      </c>
      <c r="R443" s="468" cm="1">
        <f t="array" aca="1" ref="R443" ca="1">INDIRECT("'"&amp;$C443&amp;"'!"&amp;"$"&amp;$D443&amp;$R$1&amp;"")</f>
        <v>0</v>
      </c>
      <c r="S443" s="281"/>
      <c r="T443" s="281" t="s">
        <v>1</v>
      </c>
      <c r="U443" s="279" t="s">
        <v>1</v>
      </c>
      <c r="V443" s="280" cm="1">
        <f t="array" aca="1" ref="V443" ca="1">INDIRECT("'"&amp;$C443&amp;"'!"&amp;"$"&amp;$D443&amp;$V$1&amp;"")</f>
        <v>0</v>
      </c>
      <c r="W443" s="281" t="s">
        <v>1</v>
      </c>
      <c r="X443" s="281" t="s">
        <v>1</v>
      </c>
      <c r="Y443" s="282" t="s">
        <v>1</v>
      </c>
      <c r="Z443" s="278" t="str" cm="1">
        <f t="array" aca="1" ref="Z443" ca="1">INDIRECT("'"&amp;$C443&amp;"'!"&amp;"$"&amp;$D443&amp;$Z$1&amp;"")</f>
        <v>CMS</v>
      </c>
      <c r="AA443" s="281" t="s">
        <v>1</v>
      </c>
      <c r="AB443" s="281" t="s">
        <v>1</v>
      </c>
      <c r="AC443" s="279" t="s">
        <v>1</v>
      </c>
      <c r="AD443" s="280" cm="1">
        <f t="array" aca="1" ref="AD443" ca="1">INDIRECT("'"&amp;$C443&amp;"'!"&amp;"$"&amp;$D443&amp;$AD$1&amp;"")</f>
        <v>3</v>
      </c>
      <c r="AE443" s="281">
        <f>3.8*3.55</f>
        <v>13.489999999999998</v>
      </c>
      <c r="AF443" s="281">
        <v>0.94</v>
      </c>
      <c r="AG443" s="282">
        <v>1.1299999999999999</v>
      </c>
      <c r="AH443" s="278" cm="1">
        <f t="array" aca="1" ref="AH443" ca="1">INDIRECT("'"&amp;$C443&amp;"'!"&amp;"$"&amp;$D443&amp;$AH$1&amp;"")</f>
        <v>0</v>
      </c>
      <c r="AI443" s="281" t="s">
        <v>1</v>
      </c>
      <c r="AJ443" s="281" t="s">
        <v>1</v>
      </c>
      <c r="AK443" s="279" t="s">
        <v>1</v>
      </c>
      <c r="AL443" s="278">
        <v>11.5</v>
      </c>
      <c r="AM443" s="282">
        <v>70.5</v>
      </c>
      <c r="AN443" s="278" cm="1">
        <f t="array" aca="1" ref="AN443" ca="1">INDIRECT("'"&amp;$C443&amp;"'!"&amp;"$"&amp;$D443&amp;$AL$1&amp;"")</f>
        <v>2</v>
      </c>
      <c r="AO443" s="281">
        <v>0.93</v>
      </c>
      <c r="AP443" s="279">
        <v>0.46</v>
      </c>
      <c r="AQ443" s="280" cm="1">
        <f t="array" aca="1" ref="AQ443" ca="1">INDIRECT("'"&amp;$C443&amp;"'!"&amp;"$"&amp;$D443&amp;$AQ$1&amp;"")</f>
        <v>0</v>
      </c>
      <c r="AR443" s="281" t="s">
        <v>1</v>
      </c>
      <c r="AS443" s="279" t="s">
        <v>1</v>
      </c>
      <c r="AT443" s="278">
        <v>13.88</v>
      </c>
      <c r="AU443" s="282">
        <v>70.3</v>
      </c>
      <c r="AV443" s="281" cm="1">
        <f t="array" aca="1" ref="AV443" ca="1">INDIRECT("'"&amp;$C443&amp;"'!"&amp;"$"&amp;$D443&amp;$AV$1&amp;"")</f>
        <v>0</v>
      </c>
      <c r="AW443" s="280">
        <v>13.7</v>
      </c>
      <c r="AX443" s="281" t="s">
        <v>1</v>
      </c>
      <c r="AY443" s="279" t="s">
        <v>1</v>
      </c>
      <c r="AZ443" s="281" cm="1">
        <f t="array" aca="1" ref="AZ443" ca="1">INDIRECT("'"&amp;$C443&amp;"'!"&amp;"$"&amp;$D443&amp;$AZ$1&amp;"")</f>
        <v>7</v>
      </c>
      <c r="BA443" s="280">
        <v>13.7</v>
      </c>
      <c r="BB443" s="281">
        <v>0.97</v>
      </c>
      <c r="BC443" s="279">
        <v>1.9</v>
      </c>
      <c r="BD443" s="283">
        <v>14.03</v>
      </c>
      <c r="BE443" s="282">
        <v>71.08</v>
      </c>
      <c r="BF443" s="283" cm="1">
        <f t="array" aca="1" ref="BF443" ca="1">INDIRECT("'"&amp;$C443&amp;"'!"&amp;"$"&amp;$D443&amp;$BF$1&amp;"")</f>
        <v>14.22</v>
      </c>
      <c r="BG443" s="281">
        <v>0.99</v>
      </c>
      <c r="BH443" s="279">
        <v>2.2000000000000002</v>
      </c>
      <c r="BI443" s="524">
        <v>68.3</v>
      </c>
      <c r="BJ443" s="278" cm="1">
        <f t="array" aca="1" ref="BJ443" ca="1">INDIRECT("'"&amp;$C443&amp;"'!"&amp;"$"&amp;$D443&amp;$BI$1&amp;"")</f>
        <v>0</v>
      </c>
      <c r="BK443" s="280" t="s">
        <v>1</v>
      </c>
      <c r="BL443" s="279" t="s">
        <v>1</v>
      </c>
      <c r="BM443" s="283" cm="1">
        <f t="array" aca="1" ref="BM443" ca="1">INDIRECT("'"&amp;$C443&amp;"'!"&amp;"$"&amp;$D443&amp;$BM$1&amp;"")</f>
        <v>0.87</v>
      </c>
      <c r="BN443" s="281"/>
      <c r="BO443" s="281">
        <v>0.99</v>
      </c>
      <c r="BP443" s="279">
        <v>7.0000000000000007E-2</v>
      </c>
      <c r="BQ443" s="284" cm="1">
        <f t="array" aca="1" ref="BQ443" ca="1">INDIRECT("'"&amp;$C443&amp;"'!"&amp;"$"&amp;$D443&amp;$BQ$1&amp;"")</f>
        <v>0</v>
      </c>
      <c r="BR443" s="281"/>
      <c r="BS443" s="281" t="s">
        <v>1</v>
      </c>
      <c r="BT443" s="279" t="s">
        <v>1</v>
      </c>
      <c r="BU443" s="284" cm="1">
        <f t="array" aca="1" ref="BU443" ca="1">INDIRECT("'"&amp;$C443&amp;"'!"&amp;"$"&amp;$D443&amp;74&amp;"")</f>
        <v>0</v>
      </c>
      <c r="BV443" s="281"/>
      <c r="BW443" s="281" t="s">
        <v>1</v>
      </c>
      <c r="BX443" s="279" t="s">
        <v>1</v>
      </c>
    </row>
    <row r="444" spans="1:76">
      <c r="A444" s="459">
        <v>45856</v>
      </c>
      <c r="B444" s="345">
        <v>0.58333333333333404</v>
      </c>
      <c r="C444" s="305">
        <v>18</v>
      </c>
      <c r="D444" s="306" t="s">
        <v>156</v>
      </c>
      <c r="E444" s="285" t="s">
        <v>1</v>
      </c>
      <c r="F444" s="286" t="s">
        <v>1</v>
      </c>
      <c r="G444" s="287" t="str" cm="1">
        <f t="array" aca="1" ref="G444" ca="1">INDIRECT("'"&amp;$C444&amp;"'!"&amp;"$"&amp;$D444&amp;$E$1&amp;"")</f>
        <v>CMS</v>
      </c>
      <c r="H444" s="288" t="s">
        <v>1</v>
      </c>
      <c r="I444" s="286" t="s">
        <v>1</v>
      </c>
      <c r="J444" s="287" cm="1">
        <f t="array" aca="1" ref="J444" ca="1">INDIRECT("'"&amp;$C444&amp;"'!"&amp;"$"&amp;$D444&amp;$J$1&amp;"")</f>
        <v>0</v>
      </c>
      <c r="K444" s="288"/>
      <c r="L444" s="288" t="s">
        <v>1</v>
      </c>
      <c r="M444" s="289" t="s">
        <v>1</v>
      </c>
      <c r="N444" s="285" cm="1">
        <f t="array" aca="1" ref="N444" ca="1">INDIRECT("'"&amp;$C444&amp;"'!"&amp;"$"&amp;$D444&amp;$N$1&amp;"")</f>
        <v>0</v>
      </c>
      <c r="O444" s="288"/>
      <c r="P444" s="288" t="s">
        <v>1</v>
      </c>
      <c r="Q444" s="286" t="s">
        <v>1</v>
      </c>
      <c r="R444" s="285" cm="1">
        <f t="array" aca="1" ref="R444" ca="1">INDIRECT("'"&amp;$C444&amp;"'!"&amp;"$"&amp;$D444&amp;$R$1&amp;"")</f>
        <v>0</v>
      </c>
      <c r="S444" s="288"/>
      <c r="T444" s="288" t="s">
        <v>1</v>
      </c>
      <c r="U444" s="286" t="s">
        <v>1</v>
      </c>
      <c r="V444" s="287" cm="1">
        <f t="array" aca="1" ref="V444" ca="1">INDIRECT("'"&amp;$C444&amp;"'!"&amp;"$"&amp;$D444&amp;$V$1&amp;"")</f>
        <v>0</v>
      </c>
      <c r="W444" s="288" t="s">
        <v>1</v>
      </c>
      <c r="X444" s="288" t="s">
        <v>1</v>
      </c>
      <c r="Y444" s="289" t="s">
        <v>1</v>
      </c>
      <c r="Z444" s="285" t="str" cm="1">
        <f t="array" aca="1" ref="Z444" ca="1">INDIRECT("'"&amp;$C444&amp;"'!"&amp;"$"&amp;$D444&amp;$Z$1&amp;"")</f>
        <v>CMS</v>
      </c>
      <c r="AA444" s="288" t="s">
        <v>1</v>
      </c>
      <c r="AB444" s="288" t="s">
        <v>1</v>
      </c>
      <c r="AC444" s="286" t="s">
        <v>1</v>
      </c>
      <c r="AD444" s="287" cm="1">
        <f t="array" aca="1" ref="AD444" ca="1">INDIRECT("'"&amp;$C444&amp;"'!"&amp;"$"&amp;$D444&amp;$AD$1&amp;"")</f>
        <v>0</v>
      </c>
      <c r="AE444" s="288" t="s">
        <v>1</v>
      </c>
      <c r="AF444" s="288" t="s">
        <v>1</v>
      </c>
      <c r="AG444" s="289" t="s">
        <v>1</v>
      </c>
      <c r="AH444" s="285" cm="1">
        <f t="array" aca="1" ref="AH444" ca="1">INDIRECT("'"&amp;$C444&amp;"'!"&amp;"$"&amp;$D444&amp;$AH$1&amp;"")</f>
        <v>0</v>
      </c>
      <c r="AI444" s="288" t="s">
        <v>1</v>
      </c>
      <c r="AJ444" s="288" t="s">
        <v>1</v>
      </c>
      <c r="AK444" s="286" t="s">
        <v>1</v>
      </c>
      <c r="AL444" s="285" t="s">
        <v>1</v>
      </c>
      <c r="AM444" s="289" t="s">
        <v>1</v>
      </c>
      <c r="AN444" s="285" cm="1">
        <f t="array" aca="1" ref="AN444" ca="1">INDIRECT("'"&amp;$C444&amp;"'!"&amp;"$"&amp;$D444&amp;$AL$1&amp;"")</f>
        <v>0</v>
      </c>
      <c r="AO444" s="288" t="s">
        <v>1</v>
      </c>
      <c r="AP444" s="286" t="s">
        <v>1</v>
      </c>
      <c r="AQ444" s="287" cm="1">
        <f t="array" aca="1" ref="AQ444" ca="1">INDIRECT("'"&amp;$C444&amp;"'!"&amp;"$"&amp;$D444&amp;$AQ$1&amp;"")</f>
        <v>0</v>
      </c>
      <c r="AR444" s="288" t="s">
        <v>1</v>
      </c>
      <c r="AS444" s="286" t="s">
        <v>1</v>
      </c>
      <c r="AT444" s="285" t="s">
        <v>1</v>
      </c>
      <c r="AU444" s="289" t="s">
        <v>1</v>
      </c>
      <c r="AV444" s="288" cm="1">
        <f t="array" aca="1" ref="AV444" ca="1">INDIRECT("'"&amp;$C444&amp;"'!"&amp;"$"&amp;$D444&amp;$AV$1&amp;"")</f>
        <v>0</v>
      </c>
      <c r="AW444" s="287">
        <v>13.7</v>
      </c>
      <c r="AX444" s="288" t="s">
        <v>1</v>
      </c>
      <c r="AY444" s="286" t="s">
        <v>1</v>
      </c>
      <c r="AZ444" s="288" cm="1">
        <f t="array" aca="1" ref="AZ444" ca="1">INDIRECT("'"&amp;$C444&amp;"'!"&amp;"$"&amp;$D444&amp;$AZ$1&amp;"")</f>
        <v>0</v>
      </c>
      <c r="BA444" s="287">
        <v>13.7</v>
      </c>
      <c r="BB444" s="288" t="s">
        <v>1</v>
      </c>
      <c r="BC444" s="286" t="s">
        <v>1</v>
      </c>
      <c r="BD444" s="290" t="s">
        <v>1</v>
      </c>
      <c r="BE444" s="289" t="s">
        <v>1</v>
      </c>
      <c r="BF444" s="290" cm="1">
        <f t="array" aca="1" ref="BF444" ca="1">INDIRECT("'"&amp;$C444&amp;"'!"&amp;"$"&amp;$D444&amp;$BF$1&amp;"")</f>
        <v>0</v>
      </c>
      <c r="BG444" s="288" t="s">
        <v>1</v>
      </c>
      <c r="BH444" s="286" t="s">
        <v>1</v>
      </c>
      <c r="BI444" s="525" t="s">
        <v>1</v>
      </c>
      <c r="BJ444" s="285" cm="1">
        <f t="array" aca="1" ref="BJ444" ca="1">INDIRECT("'"&amp;$C444&amp;"'!"&amp;"$"&amp;$D444&amp;$BI$1&amp;"")</f>
        <v>0</v>
      </c>
      <c r="BK444" s="287" t="s">
        <v>1</v>
      </c>
      <c r="BL444" s="286" t="s">
        <v>1</v>
      </c>
      <c r="BM444" s="290" cm="1">
        <f t="array" aca="1" ref="BM444" ca="1">INDIRECT("'"&amp;$C444&amp;"'!"&amp;"$"&amp;$D444&amp;$BM$1&amp;"")</f>
        <v>0</v>
      </c>
      <c r="BN444" s="288"/>
      <c r="BO444" s="288" t="s">
        <v>1</v>
      </c>
      <c r="BP444" s="286" t="s">
        <v>1</v>
      </c>
      <c r="BQ444" s="291" cm="1">
        <f t="array" aca="1" ref="BQ444" ca="1">INDIRECT("'"&amp;$C444&amp;"'!"&amp;"$"&amp;$D444&amp;$BQ$1&amp;"")</f>
        <v>0.52</v>
      </c>
      <c r="BR444" s="288"/>
      <c r="BS444" s="288">
        <v>0.97</v>
      </c>
      <c r="BT444" s="286">
        <v>0.12</v>
      </c>
      <c r="BU444" s="291" cm="1">
        <f t="array" aca="1" ref="BU444" ca="1">INDIRECT("'"&amp;$C444&amp;"'!"&amp;"$"&amp;$D444&amp;74&amp;"")</f>
        <v>0</v>
      </c>
      <c r="BV444" s="288"/>
      <c r="BW444" s="288" t="s">
        <v>1</v>
      </c>
      <c r="BX444" s="286" t="s">
        <v>1</v>
      </c>
    </row>
    <row r="445" spans="1:76">
      <c r="A445" s="459">
        <v>45856</v>
      </c>
      <c r="B445" s="345">
        <v>0.625</v>
      </c>
      <c r="C445" s="305">
        <v>18</v>
      </c>
      <c r="D445" s="306" t="s">
        <v>157</v>
      </c>
      <c r="E445" s="278">
        <v>14</v>
      </c>
      <c r="F445" s="279">
        <v>70.010000000000005</v>
      </c>
      <c r="G445" s="280" t="str" cm="1">
        <f t="array" aca="1" ref="G445" ca="1">INDIRECT("'"&amp;$C445&amp;"'!"&amp;"$"&amp;$D445&amp;$E$1&amp;"")</f>
        <v>CMS</v>
      </c>
      <c r="H445" s="281" t="s">
        <v>1</v>
      </c>
      <c r="I445" s="279" t="s">
        <v>1</v>
      </c>
      <c r="J445" s="280" cm="1">
        <f t="array" aca="1" ref="J445" ca="1">INDIRECT("'"&amp;$C445&amp;"'!"&amp;"$"&amp;$D445&amp;$J$1&amp;"")</f>
        <v>0</v>
      </c>
      <c r="K445" s="281"/>
      <c r="L445" s="281" t="s">
        <v>1</v>
      </c>
      <c r="M445" s="282" t="s">
        <v>1</v>
      </c>
      <c r="N445" s="278" cm="1">
        <f t="array" aca="1" ref="N445" ca="1">INDIRECT("'"&amp;$C445&amp;"'!"&amp;"$"&amp;$D445&amp;$N$1&amp;"")</f>
        <v>1.8</v>
      </c>
      <c r="O445" s="281"/>
      <c r="P445" s="281">
        <v>0.98</v>
      </c>
      <c r="Q445" s="279">
        <v>0.36</v>
      </c>
      <c r="R445" s="468" cm="1">
        <f t="array" aca="1" ref="R445" ca="1">INDIRECT("'"&amp;$C445&amp;"'!"&amp;"$"&amp;$D445&amp;$R$1&amp;"")</f>
        <v>1.6</v>
      </c>
      <c r="S445" s="281"/>
      <c r="T445" s="281">
        <v>0.98</v>
      </c>
      <c r="U445" s="279">
        <v>0.34</v>
      </c>
      <c r="V445" s="280" cm="1">
        <f t="array" aca="1" ref="V445" ca="1">INDIRECT("'"&amp;$C445&amp;"'!"&amp;"$"&amp;$D445&amp;$V$1&amp;"")</f>
        <v>0</v>
      </c>
      <c r="W445" s="281" t="s">
        <v>1</v>
      </c>
      <c r="X445" s="281" t="s">
        <v>1</v>
      </c>
      <c r="Y445" s="282" t="s">
        <v>1</v>
      </c>
      <c r="Z445" s="278" t="str" cm="1">
        <f t="array" aca="1" ref="Z445" ca="1">INDIRECT("'"&amp;$C445&amp;"'!"&amp;"$"&amp;$D445&amp;$Z$1&amp;"")</f>
        <v>CMS</v>
      </c>
      <c r="AA445" s="281" t="s">
        <v>1</v>
      </c>
      <c r="AB445" s="281" t="s">
        <v>1</v>
      </c>
      <c r="AC445" s="279" t="s">
        <v>1</v>
      </c>
      <c r="AD445" s="280" cm="1">
        <f t="array" aca="1" ref="AD445" ca="1">INDIRECT("'"&amp;$C445&amp;"'!"&amp;"$"&amp;$D445&amp;$AD$1&amp;"")</f>
        <v>0</v>
      </c>
      <c r="AE445" s="281" t="s">
        <v>1</v>
      </c>
      <c r="AF445" s="281" t="s">
        <v>1</v>
      </c>
      <c r="AG445" s="279" t="s">
        <v>1</v>
      </c>
      <c r="AH445" s="278" cm="1">
        <f t="array" aca="1" ref="AH445" ca="1">INDIRECT("'"&amp;$C445&amp;"'!"&amp;"$"&amp;$D445&amp;$AH$1&amp;"")</f>
        <v>0</v>
      </c>
      <c r="AI445" s="281" t="s">
        <v>1</v>
      </c>
      <c r="AJ445" s="281" t="s">
        <v>1</v>
      </c>
      <c r="AK445" s="279" t="s">
        <v>1</v>
      </c>
      <c r="AL445" s="278" t="s">
        <v>1</v>
      </c>
      <c r="AM445" s="282" t="s">
        <v>1</v>
      </c>
      <c r="AN445" s="278" cm="1">
        <f t="array" aca="1" ref="AN445" ca="1">INDIRECT("'"&amp;$C445&amp;"'!"&amp;"$"&amp;$D445&amp;$AL$1&amp;"")</f>
        <v>0</v>
      </c>
      <c r="AO445" s="281" t="s">
        <v>1</v>
      </c>
      <c r="AP445" s="279" t="s">
        <v>1</v>
      </c>
      <c r="AQ445" s="280" cm="1">
        <f t="array" aca="1" ref="AQ445" ca="1">INDIRECT("'"&amp;$C445&amp;"'!"&amp;"$"&amp;$D445&amp;$AQ$1&amp;"")</f>
        <v>0</v>
      </c>
      <c r="AR445" s="281" t="s">
        <v>1</v>
      </c>
      <c r="AS445" s="279" t="s">
        <v>1</v>
      </c>
      <c r="AT445" s="278" t="s">
        <v>1</v>
      </c>
      <c r="AU445" s="282" t="s">
        <v>1</v>
      </c>
      <c r="AV445" s="281" cm="1">
        <f t="array" aca="1" ref="AV445" ca="1">INDIRECT("'"&amp;$C445&amp;"'!"&amp;"$"&amp;$D445&amp;$AV$1&amp;"")</f>
        <v>0</v>
      </c>
      <c r="AW445" s="280">
        <v>13.7</v>
      </c>
      <c r="AX445" s="281" t="s">
        <v>1</v>
      </c>
      <c r="AY445" s="279" t="s">
        <v>1</v>
      </c>
      <c r="AZ445" s="281" cm="1">
        <f t="array" aca="1" ref="AZ445" ca="1">INDIRECT("'"&amp;$C445&amp;"'!"&amp;"$"&amp;$D445&amp;$AZ$1&amp;"")</f>
        <v>0</v>
      </c>
      <c r="BA445" s="280">
        <v>13.7</v>
      </c>
      <c r="BB445" s="281" t="s">
        <v>1</v>
      </c>
      <c r="BC445" s="279" t="s">
        <v>1</v>
      </c>
      <c r="BD445" s="283" t="s">
        <v>1</v>
      </c>
      <c r="BE445" s="282" t="s">
        <v>1</v>
      </c>
      <c r="BF445" s="283" cm="1">
        <f t="array" aca="1" ref="BF445" ca="1">INDIRECT("'"&amp;$C445&amp;"'!"&amp;"$"&amp;$D445&amp;$BF$1&amp;"")</f>
        <v>0</v>
      </c>
      <c r="BG445" s="281" t="s">
        <v>1</v>
      </c>
      <c r="BH445" s="279" t="s">
        <v>1</v>
      </c>
      <c r="BI445" s="524" t="s">
        <v>1</v>
      </c>
      <c r="BJ445" s="278" cm="1">
        <f t="array" aca="1" ref="BJ445" ca="1">INDIRECT("'"&amp;$C445&amp;"'!"&amp;"$"&amp;$D445&amp;$BI$1&amp;"")</f>
        <v>0</v>
      </c>
      <c r="BK445" s="280" t="s">
        <v>1</v>
      </c>
      <c r="BL445" s="279" t="s">
        <v>1</v>
      </c>
      <c r="BM445" s="283" cm="1">
        <f t="array" aca="1" ref="BM445" ca="1">INDIRECT("'"&amp;$C445&amp;"'!"&amp;"$"&amp;$D445&amp;$BM$1&amp;"")</f>
        <v>0</v>
      </c>
      <c r="BN445" s="281"/>
      <c r="BO445" s="281" t="s">
        <v>1</v>
      </c>
      <c r="BP445" s="279" t="s">
        <v>1</v>
      </c>
      <c r="BQ445" s="284" cm="1">
        <f t="array" aca="1" ref="BQ445" ca="1">INDIRECT("'"&amp;$C445&amp;"'!"&amp;"$"&amp;$D445&amp;$BQ$1&amp;"")</f>
        <v>0.52</v>
      </c>
      <c r="BR445" s="281"/>
      <c r="BS445" s="281">
        <v>0.97</v>
      </c>
      <c r="BT445" s="279">
        <v>0.12</v>
      </c>
      <c r="BU445" s="284" cm="1">
        <f t="array" aca="1" ref="BU445" ca="1">INDIRECT("'"&amp;$C445&amp;"'!"&amp;"$"&amp;$D445&amp;74&amp;"")</f>
        <v>0</v>
      </c>
      <c r="BV445" s="281"/>
      <c r="BW445" s="281" t="s">
        <v>1</v>
      </c>
      <c r="BX445" s="279" t="s">
        <v>1</v>
      </c>
    </row>
    <row r="446" spans="1:76">
      <c r="A446" s="459">
        <v>45856</v>
      </c>
      <c r="B446" s="345">
        <v>0.66666666666666696</v>
      </c>
      <c r="C446" s="305">
        <v>18</v>
      </c>
      <c r="D446" s="306" t="s">
        <v>158</v>
      </c>
      <c r="E446" s="285">
        <v>14.3</v>
      </c>
      <c r="F446" s="286">
        <v>70.5</v>
      </c>
      <c r="G446" s="287" t="str" cm="1">
        <f t="array" aca="1" ref="G446" ca="1">INDIRECT("'"&amp;$C446&amp;"'!"&amp;"$"&amp;$D446&amp;$E$1&amp;"")</f>
        <v>CMS</v>
      </c>
      <c r="H446" s="288" t="s">
        <v>1</v>
      </c>
      <c r="I446" s="286" t="s">
        <v>1</v>
      </c>
      <c r="J446" s="287" cm="1">
        <f t="array" aca="1" ref="J446" ca="1">INDIRECT("'"&amp;$C446&amp;"'!"&amp;"$"&amp;$D446&amp;$J$1&amp;"")</f>
        <v>5.6</v>
      </c>
      <c r="K446" s="288"/>
      <c r="L446" s="288">
        <v>0.98</v>
      </c>
      <c r="M446" s="289">
        <v>1.2</v>
      </c>
      <c r="N446" s="285" cm="1">
        <f t="array" aca="1" ref="N446" ca="1">INDIRECT("'"&amp;$C446&amp;"'!"&amp;"$"&amp;$D446&amp;$N$1&amp;"")</f>
        <v>5.8</v>
      </c>
      <c r="O446" s="288"/>
      <c r="P446" s="288">
        <v>0.99</v>
      </c>
      <c r="Q446" s="286">
        <v>0.95</v>
      </c>
      <c r="R446" s="469" cm="1">
        <f t="array" aca="1" ref="R446" ca="1">INDIRECT("'"&amp;$C446&amp;"'!"&amp;"$"&amp;$D446&amp;$R$1&amp;"")</f>
        <v>5.5</v>
      </c>
      <c r="S446" s="288"/>
      <c r="T446" s="288">
        <v>0.98</v>
      </c>
      <c r="U446" s="286">
        <v>1.45</v>
      </c>
      <c r="V446" s="287" cm="1">
        <f t="array" aca="1" ref="V446" ca="1">INDIRECT("'"&amp;$C446&amp;"'!"&amp;"$"&amp;$D446&amp;$V$1&amp;"")</f>
        <v>0</v>
      </c>
      <c r="W446" s="288" t="s">
        <v>1</v>
      </c>
      <c r="X446" s="288" t="s">
        <v>1</v>
      </c>
      <c r="Y446" s="289" t="s">
        <v>1</v>
      </c>
      <c r="Z446" s="285" t="str" cm="1">
        <f t="array" aca="1" ref="Z446" ca="1">INDIRECT("'"&amp;$C446&amp;"'!"&amp;"$"&amp;$D446&amp;$Z$1&amp;"")</f>
        <v>CMS</v>
      </c>
      <c r="AA446" s="288" t="s">
        <v>1</v>
      </c>
      <c r="AB446" s="288" t="s">
        <v>1</v>
      </c>
      <c r="AC446" s="286" t="s">
        <v>1</v>
      </c>
      <c r="AD446" s="287" cm="1">
        <f t="array" aca="1" ref="AD446" ca="1">INDIRECT("'"&amp;$C446&amp;"'!"&amp;"$"&amp;$D446&amp;$AD$1&amp;"")</f>
        <v>1.2</v>
      </c>
      <c r="AE446" s="288">
        <f>3.8*3.63</f>
        <v>13.793999999999999</v>
      </c>
      <c r="AF446" s="288">
        <v>0.94</v>
      </c>
      <c r="AG446" s="289">
        <v>0.68</v>
      </c>
      <c r="AH446" s="285" cm="1">
        <f t="array" aca="1" ref="AH446" ca="1">INDIRECT("'"&amp;$C446&amp;"'!"&amp;"$"&amp;$D446&amp;$AH$1&amp;"")</f>
        <v>0</v>
      </c>
      <c r="AI446" s="288" t="s">
        <v>1</v>
      </c>
      <c r="AJ446" s="288" t="s">
        <v>1</v>
      </c>
      <c r="AK446" s="286" t="s">
        <v>1</v>
      </c>
      <c r="AL446" s="285">
        <v>11.5</v>
      </c>
      <c r="AM446" s="289">
        <v>70.7</v>
      </c>
      <c r="AN446" s="285" cm="1">
        <f t="array" aca="1" ref="AN446" ca="1">INDIRECT("'"&amp;$C446&amp;"'!"&amp;"$"&amp;$D446&amp;$AL$1&amp;"")</f>
        <v>0</v>
      </c>
      <c r="AO446" s="288" t="s">
        <v>1</v>
      </c>
      <c r="AP446" s="286" t="s">
        <v>1</v>
      </c>
      <c r="AQ446" s="287" cm="1">
        <f t="array" aca="1" ref="AQ446" ca="1">INDIRECT("'"&amp;$C446&amp;"'!"&amp;"$"&amp;$D446&amp;$AQ$1&amp;"")</f>
        <v>2.6</v>
      </c>
      <c r="AR446" s="288">
        <v>0.97</v>
      </c>
      <c r="AS446" s="286">
        <v>0.73</v>
      </c>
      <c r="AT446" s="285" t="s">
        <v>1</v>
      </c>
      <c r="AU446" s="289" t="s">
        <v>1</v>
      </c>
      <c r="AV446" s="288" cm="1">
        <f t="array" aca="1" ref="AV446" ca="1">INDIRECT("'"&amp;$C446&amp;"'!"&amp;"$"&amp;$D446&amp;$AV$1&amp;"")</f>
        <v>0</v>
      </c>
      <c r="AW446" s="287" t="s">
        <v>1</v>
      </c>
      <c r="AX446" s="288" t="s">
        <v>1</v>
      </c>
      <c r="AY446" s="286" t="s">
        <v>1</v>
      </c>
      <c r="AZ446" s="288" cm="1">
        <f t="array" aca="1" ref="AZ446" ca="1">INDIRECT("'"&amp;$C446&amp;"'!"&amp;"$"&amp;$D446&amp;$AZ$1&amp;"")</f>
        <v>0</v>
      </c>
      <c r="BA446" s="287" t="s">
        <v>1</v>
      </c>
      <c r="BB446" s="288" t="s">
        <v>1</v>
      </c>
      <c r="BC446" s="286" t="s">
        <v>1</v>
      </c>
      <c r="BD446" s="290" t="s">
        <v>1</v>
      </c>
      <c r="BE446" s="289" t="s">
        <v>1</v>
      </c>
      <c r="BF446" s="290" cm="1">
        <f t="array" aca="1" ref="BF446" ca="1">INDIRECT("'"&amp;$C446&amp;"'!"&amp;"$"&amp;$D446&amp;$BF$1&amp;"")</f>
        <v>0</v>
      </c>
      <c r="BG446" s="288" t="s">
        <v>1</v>
      </c>
      <c r="BH446" s="286" t="s">
        <v>1</v>
      </c>
      <c r="BI446" s="525">
        <v>69.599999999999994</v>
      </c>
      <c r="BJ446" s="285" cm="1">
        <f t="array" aca="1" ref="BJ446" ca="1">INDIRECT("'"&amp;$C446&amp;"'!"&amp;"$"&amp;$D446&amp;$BI$1&amp;"")</f>
        <v>0</v>
      </c>
      <c r="BK446" s="287" t="s">
        <v>1</v>
      </c>
      <c r="BL446" s="286" t="s">
        <v>1</v>
      </c>
      <c r="BM446" s="290" cm="1">
        <f t="array" aca="1" ref="BM446" ca="1">INDIRECT("'"&amp;$C446&amp;"'!"&amp;"$"&amp;$D446&amp;$BM$1&amp;"")</f>
        <v>0</v>
      </c>
      <c r="BN446" s="288"/>
      <c r="BO446" s="288" t="s">
        <v>1</v>
      </c>
      <c r="BP446" s="286" t="s">
        <v>1</v>
      </c>
      <c r="BQ446" s="291" cm="1">
        <f t="array" aca="1" ref="BQ446" ca="1">INDIRECT("'"&amp;$C446&amp;"'!"&amp;"$"&amp;$D446&amp;$BQ$1&amp;"")</f>
        <v>0.53</v>
      </c>
      <c r="BR446" s="288"/>
      <c r="BS446" s="288">
        <v>0.97</v>
      </c>
      <c r="BT446" s="286">
        <v>0.13</v>
      </c>
      <c r="BU446" s="291" cm="1">
        <f t="array" aca="1" ref="BU446" ca="1">INDIRECT("'"&amp;$C446&amp;"'!"&amp;"$"&amp;$D446&amp;74&amp;"")</f>
        <v>0</v>
      </c>
      <c r="BV446" s="288"/>
      <c r="BW446" s="288" t="s">
        <v>1</v>
      </c>
      <c r="BX446" s="286" t="s">
        <v>1</v>
      </c>
    </row>
    <row r="447" spans="1:76">
      <c r="A447" s="459">
        <v>45856</v>
      </c>
      <c r="B447" s="345">
        <v>0.70833333333333404</v>
      </c>
      <c r="C447" s="305">
        <v>18</v>
      </c>
      <c r="D447" s="306" t="s">
        <v>159</v>
      </c>
      <c r="E447" s="278">
        <v>14.2</v>
      </c>
      <c r="F447" s="279">
        <v>70.19</v>
      </c>
      <c r="G447" s="280" t="str" cm="1">
        <f t="array" aca="1" ref="G447" ca="1">INDIRECT("'"&amp;$C447&amp;"'!"&amp;"$"&amp;$D447&amp;$E$1&amp;"")</f>
        <v>CMS</v>
      </c>
      <c r="H447" s="281" t="s">
        <v>1</v>
      </c>
      <c r="I447" s="279" t="s">
        <v>1</v>
      </c>
      <c r="J447" s="280" cm="1">
        <f t="array" aca="1" ref="J447" ca="1">INDIRECT("'"&amp;$C447&amp;"'!"&amp;"$"&amp;$D447&amp;$J$1&amp;"")</f>
        <v>6.2</v>
      </c>
      <c r="K447" s="281"/>
      <c r="L447" s="281">
        <v>0.98</v>
      </c>
      <c r="M447" s="282">
        <v>1.1399999999999999</v>
      </c>
      <c r="N447" s="278" cm="1">
        <f t="array" aca="1" ref="N447" ca="1">INDIRECT("'"&amp;$C447&amp;"'!"&amp;"$"&amp;$D447&amp;$N$1&amp;"")</f>
        <v>6.1</v>
      </c>
      <c r="O447" s="281"/>
      <c r="P447" s="281">
        <v>0.99</v>
      </c>
      <c r="Q447" s="279">
        <v>0.78</v>
      </c>
      <c r="R447" s="468" cm="1">
        <f t="array" aca="1" ref="R447" ca="1">INDIRECT("'"&amp;$C447&amp;"'!"&amp;"$"&amp;$D447&amp;$R$1&amp;"")</f>
        <v>6.3</v>
      </c>
      <c r="S447" s="281"/>
      <c r="T447" s="281">
        <v>0.98</v>
      </c>
      <c r="U447" s="279">
        <v>1.46</v>
      </c>
      <c r="V447" s="280" cm="1">
        <f t="array" aca="1" ref="V447" ca="1">INDIRECT("'"&amp;$C447&amp;"'!"&amp;"$"&amp;$D447&amp;$V$1&amp;"")</f>
        <v>0</v>
      </c>
      <c r="W447" s="281" t="s">
        <v>1</v>
      </c>
      <c r="X447" s="281" t="s">
        <v>1</v>
      </c>
      <c r="Y447" s="282" t="s">
        <v>1</v>
      </c>
      <c r="Z447" s="278" t="str" cm="1">
        <f t="array" aca="1" ref="Z447" ca="1">INDIRECT("'"&amp;$C447&amp;"'!"&amp;"$"&amp;$D447&amp;$Z$1&amp;"")</f>
        <v>CMS</v>
      </c>
      <c r="AA447" s="281" t="s">
        <v>1</v>
      </c>
      <c r="AB447" s="281" t="s">
        <v>1</v>
      </c>
      <c r="AC447" s="279" t="s">
        <v>1</v>
      </c>
      <c r="AD447" s="280" cm="1">
        <f t="array" aca="1" ref="AD447" ca="1">INDIRECT("'"&amp;$C447&amp;"'!"&amp;"$"&amp;$D447&amp;$AD$1&amp;"")</f>
        <v>3</v>
      </c>
      <c r="AE447" s="281">
        <f>3.8*3.64</f>
        <v>13.831999999999999</v>
      </c>
      <c r="AF447" s="281">
        <v>0.92</v>
      </c>
      <c r="AG447" s="282">
        <v>0.90600000000000003</v>
      </c>
      <c r="AH447" s="278" cm="1">
        <f t="array" aca="1" ref="AH447" ca="1">INDIRECT("'"&amp;$C447&amp;"'!"&amp;"$"&amp;$D447&amp;$AH$1&amp;"")</f>
        <v>0</v>
      </c>
      <c r="AI447" s="281" t="s">
        <v>1</v>
      </c>
      <c r="AJ447" s="281" t="s">
        <v>1</v>
      </c>
      <c r="AK447" s="279" t="s">
        <v>1</v>
      </c>
      <c r="AL447" s="278">
        <v>11.6</v>
      </c>
      <c r="AM447" s="282">
        <v>71</v>
      </c>
      <c r="AN447" s="278" cm="1">
        <f t="array" aca="1" ref="AN447" ca="1">INDIRECT("'"&amp;$C447&amp;"'!"&amp;"$"&amp;$D447&amp;$AL$1&amp;"")</f>
        <v>0</v>
      </c>
      <c r="AO447" s="281" t="s">
        <v>1</v>
      </c>
      <c r="AP447" s="279" t="s">
        <v>1</v>
      </c>
      <c r="AQ447" s="280" cm="1">
        <f t="array" aca="1" ref="AQ447" ca="1">INDIRECT("'"&amp;$C447&amp;"'!"&amp;"$"&amp;$D447&amp;$AQ$1&amp;"")</f>
        <v>2.7</v>
      </c>
      <c r="AR447" s="281">
        <v>0.97</v>
      </c>
      <c r="AS447" s="279">
        <v>0.73</v>
      </c>
      <c r="AT447" s="278">
        <v>13.92</v>
      </c>
      <c r="AU447" s="282">
        <v>70.599999999999994</v>
      </c>
      <c r="AV447" s="281" cm="1">
        <f t="array" aca="1" ref="AV447" ca="1">INDIRECT("'"&amp;$C447&amp;"'!"&amp;"$"&amp;$D447&amp;$AV$1&amp;"")</f>
        <v>0</v>
      </c>
      <c r="AW447" s="280" t="s">
        <v>1</v>
      </c>
      <c r="AX447" s="281" t="s">
        <v>1</v>
      </c>
      <c r="AY447" s="279" t="s">
        <v>1</v>
      </c>
      <c r="AZ447" s="281" cm="1">
        <f t="array" aca="1" ref="AZ447" ca="1">INDIRECT("'"&amp;$C447&amp;"'!"&amp;"$"&amp;$D447&amp;$AZ$1&amp;"")</f>
        <v>5</v>
      </c>
      <c r="BA447" s="280" t="s">
        <v>1</v>
      </c>
      <c r="BB447" s="281">
        <v>0.97</v>
      </c>
      <c r="BC447" s="279">
        <v>1.2</v>
      </c>
      <c r="BD447" s="283" t="s">
        <v>1</v>
      </c>
      <c r="BE447" s="282" t="s">
        <v>1</v>
      </c>
      <c r="BF447" s="283" cm="1">
        <f t="array" aca="1" ref="BF447" ca="1">INDIRECT("'"&amp;$C447&amp;"'!"&amp;"$"&amp;$D447&amp;$BF$1&amp;"")</f>
        <v>0</v>
      </c>
      <c r="BG447" s="281" t="s">
        <v>1</v>
      </c>
      <c r="BH447" s="279" t="s">
        <v>1</v>
      </c>
      <c r="BI447" s="524">
        <v>69.400000000000006</v>
      </c>
      <c r="BJ447" s="278" cm="1">
        <f t="array" aca="1" ref="BJ447" ca="1">INDIRECT("'"&amp;$C447&amp;"'!"&amp;"$"&amp;$D447&amp;$BI$1&amp;"")</f>
        <v>0</v>
      </c>
      <c r="BK447" s="280" t="s">
        <v>1</v>
      </c>
      <c r="BL447" s="279" t="s">
        <v>1</v>
      </c>
      <c r="BM447" s="283" cm="1">
        <f t="array" aca="1" ref="BM447" ca="1">INDIRECT("'"&amp;$C447&amp;"'!"&amp;"$"&amp;$D447&amp;$BM$1&amp;"")</f>
        <v>0</v>
      </c>
      <c r="BN447" s="281"/>
      <c r="BO447" s="281" t="s">
        <v>1</v>
      </c>
      <c r="BP447" s="279" t="s">
        <v>1</v>
      </c>
      <c r="BQ447" s="284" cm="1">
        <f t="array" aca="1" ref="BQ447" ca="1">INDIRECT("'"&amp;$C447&amp;"'!"&amp;"$"&amp;$D447&amp;$BQ$1&amp;"")</f>
        <v>0.67</v>
      </c>
      <c r="BR447" s="281"/>
      <c r="BS447" s="281">
        <v>0.96</v>
      </c>
      <c r="BT447" s="279">
        <v>0.19</v>
      </c>
      <c r="BU447" s="284" cm="1">
        <f t="array" aca="1" ref="BU447" ca="1">INDIRECT("'"&amp;$C447&amp;"'!"&amp;"$"&amp;$D447&amp;74&amp;"")</f>
        <v>0</v>
      </c>
      <c r="BV447" s="281"/>
      <c r="BW447" s="281" t="s">
        <v>1</v>
      </c>
      <c r="BX447" s="279" t="s">
        <v>1</v>
      </c>
    </row>
    <row r="448" spans="1:76">
      <c r="A448" s="459">
        <v>45856</v>
      </c>
      <c r="B448" s="345">
        <v>0.750000000000001</v>
      </c>
      <c r="C448" s="305">
        <v>18</v>
      </c>
      <c r="D448" s="306" t="s">
        <v>160</v>
      </c>
      <c r="E448" s="285">
        <v>14.1</v>
      </c>
      <c r="F448" s="286">
        <v>69.930000000000007</v>
      </c>
      <c r="G448" s="287" t="str" cm="1">
        <f t="array" aca="1" ref="G448" ca="1">INDIRECT("'"&amp;$C448&amp;"'!"&amp;"$"&amp;$D448&amp;$E$1&amp;"")</f>
        <v>CMS</v>
      </c>
      <c r="H448" s="288" t="s">
        <v>1</v>
      </c>
      <c r="I448" s="286" t="s">
        <v>1</v>
      </c>
      <c r="J448" s="287" cm="1">
        <f t="array" aca="1" ref="J448" ca="1">INDIRECT("'"&amp;$C448&amp;"'!"&amp;"$"&amp;$D448&amp;$J$1&amp;"")</f>
        <v>5.8</v>
      </c>
      <c r="K448" s="288"/>
      <c r="L448" s="288">
        <v>0.99</v>
      </c>
      <c r="M448" s="289">
        <v>0.94</v>
      </c>
      <c r="N448" s="285" cm="1">
        <f t="array" aca="1" ref="N448" ca="1">INDIRECT("'"&amp;$C448&amp;"'!"&amp;"$"&amp;$D448&amp;$N$1&amp;"")</f>
        <v>5.8</v>
      </c>
      <c r="O448" s="288"/>
      <c r="P448" s="288">
        <v>0.99</v>
      </c>
      <c r="Q448" s="286">
        <v>0.73</v>
      </c>
      <c r="R448" s="285" cm="1">
        <f t="array" aca="1" ref="R448" ca="1">INDIRECT("'"&amp;$C448&amp;"'!"&amp;"$"&amp;$D448&amp;$R$1&amp;"")</f>
        <v>5.9</v>
      </c>
      <c r="S448" s="288"/>
      <c r="T448" s="288">
        <v>0.96</v>
      </c>
      <c r="U448" s="286">
        <v>1.75</v>
      </c>
      <c r="V448" s="287" cm="1">
        <f t="array" aca="1" ref="V448" ca="1">INDIRECT("'"&amp;$C448&amp;"'!"&amp;"$"&amp;$D448&amp;$V$1&amp;"")</f>
        <v>0</v>
      </c>
      <c r="W448" s="288" t="s">
        <v>1</v>
      </c>
      <c r="X448" s="288" t="s">
        <v>1</v>
      </c>
      <c r="Y448" s="289" t="s">
        <v>1</v>
      </c>
      <c r="Z448" s="285" t="str" cm="1">
        <f t="array" aca="1" ref="Z448" ca="1">INDIRECT("'"&amp;$C448&amp;"'!"&amp;"$"&amp;$D448&amp;$Z$1&amp;"")</f>
        <v>CMS</v>
      </c>
      <c r="AA448" s="288" t="s">
        <v>1</v>
      </c>
      <c r="AB448" s="288" t="s">
        <v>1</v>
      </c>
      <c r="AC448" s="286" t="s">
        <v>1</v>
      </c>
      <c r="AD448" s="287" cm="1">
        <f t="array" aca="1" ref="AD448" ca="1">INDIRECT("'"&amp;$C448&amp;"'!"&amp;"$"&amp;$D448&amp;$AD$1&amp;"")</f>
        <v>2.5</v>
      </c>
      <c r="AE448" s="288">
        <f>3.8*3.6</f>
        <v>13.68</v>
      </c>
      <c r="AF448" s="288">
        <v>0.92</v>
      </c>
      <c r="AG448" s="289">
        <v>0.88</v>
      </c>
      <c r="AH448" s="285" cm="1">
        <f t="array" aca="1" ref="AH448" ca="1">INDIRECT("'"&amp;$C448&amp;"'!"&amp;"$"&amp;$D448&amp;$AH$1&amp;"")</f>
        <v>0</v>
      </c>
      <c r="AI448" s="288" t="s">
        <v>1</v>
      </c>
      <c r="AJ448" s="288" t="s">
        <v>1</v>
      </c>
      <c r="AK448" s="286" t="s">
        <v>1</v>
      </c>
      <c r="AL448" s="285">
        <v>11.6</v>
      </c>
      <c r="AM448" s="289">
        <v>70</v>
      </c>
      <c r="AN448" s="285" cm="1">
        <f t="array" aca="1" ref="AN448" ca="1">INDIRECT("'"&amp;$C448&amp;"'!"&amp;"$"&amp;$D448&amp;$AL$1&amp;"")</f>
        <v>0</v>
      </c>
      <c r="AO448" s="288" t="s">
        <v>1</v>
      </c>
      <c r="AP448" s="286" t="s">
        <v>1</v>
      </c>
      <c r="AQ448" s="287" cm="1">
        <f t="array" aca="1" ref="AQ448" ca="1">INDIRECT("'"&amp;$C448&amp;"'!"&amp;"$"&amp;$D448&amp;$AQ$1&amp;"")</f>
        <v>2</v>
      </c>
      <c r="AR448" s="288">
        <v>0.94</v>
      </c>
      <c r="AS448" s="286">
        <v>0.72</v>
      </c>
      <c r="AT448" s="285">
        <v>13.9</v>
      </c>
      <c r="AU448" s="289">
        <v>70.400000000000006</v>
      </c>
      <c r="AV448" s="288" cm="1">
        <f t="array" aca="1" ref="AV448" ca="1">INDIRECT("'"&amp;$C448&amp;"'!"&amp;"$"&amp;$D448&amp;$AV$1&amp;"")</f>
        <v>0</v>
      </c>
      <c r="AW448" s="287" t="s">
        <v>1</v>
      </c>
      <c r="AX448" s="288" t="s">
        <v>1</v>
      </c>
      <c r="AY448" s="286" t="s">
        <v>1</v>
      </c>
      <c r="AZ448" s="288" cm="1">
        <f t="array" aca="1" ref="AZ448" ca="1">INDIRECT("'"&amp;$C448&amp;"'!"&amp;"$"&amp;$D448&amp;$AZ$1&amp;"")</f>
        <v>7</v>
      </c>
      <c r="BA448" s="287" t="s">
        <v>1</v>
      </c>
      <c r="BB448" s="288">
        <v>0.98</v>
      </c>
      <c r="BC448" s="286">
        <v>1.2</v>
      </c>
      <c r="BD448" s="290" t="s">
        <v>1</v>
      </c>
      <c r="BE448" s="289" t="s">
        <v>1</v>
      </c>
      <c r="BF448" s="290" cm="1">
        <f t="array" aca="1" ref="BF448" ca="1">INDIRECT("'"&amp;$C448&amp;"'!"&amp;"$"&amp;$D448&amp;$BF$1&amp;"")</f>
        <v>0</v>
      </c>
      <c r="BG448" s="288" t="s">
        <v>1</v>
      </c>
      <c r="BH448" s="286" t="s">
        <v>1</v>
      </c>
      <c r="BI448" s="525">
        <v>69</v>
      </c>
      <c r="BJ448" s="285" cm="1">
        <f t="array" aca="1" ref="BJ448" ca="1">INDIRECT("'"&amp;$C448&amp;"'!"&amp;"$"&amp;$D448&amp;$BI$1&amp;"")</f>
        <v>0</v>
      </c>
      <c r="BK448" s="287" t="s">
        <v>1</v>
      </c>
      <c r="BL448" s="286" t="s">
        <v>1</v>
      </c>
      <c r="BM448" s="290" cm="1">
        <f t="array" aca="1" ref="BM448" ca="1">INDIRECT("'"&amp;$C448&amp;"'!"&amp;"$"&amp;$D448&amp;$BM$1&amp;"")</f>
        <v>0</v>
      </c>
      <c r="BN448" s="288"/>
      <c r="BO448" s="288" t="s">
        <v>1</v>
      </c>
      <c r="BP448" s="286" t="s">
        <v>1</v>
      </c>
      <c r="BQ448" s="291" cm="1">
        <f t="array" aca="1" ref="BQ448" ca="1">INDIRECT("'"&amp;$C448&amp;"'!"&amp;"$"&amp;$D448&amp;$BQ$1&amp;"")</f>
        <v>0</v>
      </c>
      <c r="BR448" s="288"/>
      <c r="BS448" s="288" t="s">
        <v>1</v>
      </c>
      <c r="BT448" s="286" t="s">
        <v>1</v>
      </c>
      <c r="BU448" s="291" cm="1">
        <f t="array" aca="1" ref="BU448" ca="1">INDIRECT("'"&amp;$C448&amp;"'!"&amp;"$"&amp;$D448&amp;74&amp;"")</f>
        <v>0</v>
      </c>
      <c r="BV448" s="288"/>
      <c r="BW448" s="288" t="s">
        <v>1</v>
      </c>
      <c r="BX448" s="286" t="s">
        <v>1</v>
      </c>
    </row>
    <row r="449" spans="1:76">
      <c r="A449" s="459">
        <v>45856</v>
      </c>
      <c r="B449" s="345">
        <v>0.79166666666666696</v>
      </c>
      <c r="C449" s="305">
        <v>18</v>
      </c>
      <c r="D449" s="306" t="s">
        <v>161</v>
      </c>
      <c r="E449" s="278">
        <v>14.2</v>
      </c>
      <c r="F449" s="279">
        <v>70.069999999999993</v>
      </c>
      <c r="G449" s="280" t="str" cm="1">
        <f t="array" aca="1" ref="G449" ca="1">INDIRECT("'"&amp;$C449&amp;"'!"&amp;"$"&amp;$D449&amp;$E$1&amp;"")</f>
        <v>CMS</v>
      </c>
      <c r="H449" s="281" t="s">
        <v>1</v>
      </c>
      <c r="I449" s="279" t="s">
        <v>1</v>
      </c>
      <c r="J449" s="280" cm="1">
        <f t="array" aca="1" ref="J449" ca="1">INDIRECT("'"&amp;$C449&amp;"'!"&amp;"$"&amp;$D449&amp;$J$1&amp;"")</f>
        <v>6.6</v>
      </c>
      <c r="K449" s="292"/>
      <c r="L449" s="281">
        <v>0.98</v>
      </c>
      <c r="M449" s="282">
        <v>1.1000000000000001</v>
      </c>
      <c r="N449" s="278" cm="1">
        <f t="array" aca="1" ref="N449" ca="1">INDIRECT("'"&amp;$C449&amp;"'!"&amp;"$"&amp;$D449&amp;$N$1&amp;"")</f>
        <v>6.5</v>
      </c>
      <c r="O449" s="281"/>
      <c r="P449" s="281">
        <v>0.99</v>
      </c>
      <c r="Q449" s="279">
        <v>1.1100000000000001</v>
      </c>
      <c r="R449" s="468" cm="1">
        <f t="array" aca="1" ref="R449" ca="1">INDIRECT("'"&amp;$C449&amp;"'!"&amp;"$"&amp;$D449&amp;$R$1&amp;"")</f>
        <v>6.5</v>
      </c>
      <c r="S449" s="281"/>
      <c r="T449" s="281">
        <v>0.97</v>
      </c>
      <c r="U449" s="279">
        <v>1.75</v>
      </c>
      <c r="V449" s="280" cm="1">
        <f t="array" aca="1" ref="V449" ca="1">INDIRECT("'"&amp;$C449&amp;"'!"&amp;"$"&amp;$D449&amp;$V$1&amp;"")</f>
        <v>0.9</v>
      </c>
      <c r="W449" s="281">
        <f>3.8*3.53</f>
        <v>13.413999999999998</v>
      </c>
      <c r="X449" s="281">
        <v>0.9</v>
      </c>
      <c r="Y449" s="282">
        <v>0.42899999999999999</v>
      </c>
      <c r="Z449" s="278" t="str" cm="1">
        <f t="array" aca="1" ref="Z449" ca="1">INDIRECT("'"&amp;$C449&amp;"'!"&amp;"$"&amp;$D449&amp;$Z$1&amp;"")</f>
        <v>CMS</v>
      </c>
      <c r="AA449" s="281" t="s">
        <v>1</v>
      </c>
      <c r="AB449" s="281" t="s">
        <v>1</v>
      </c>
      <c r="AC449" s="279" t="s">
        <v>1</v>
      </c>
      <c r="AD449" s="280" t="str" cm="1">
        <f t="array" aca="1" ref="AD449" ca="1">INDIRECT("'"&amp;$C449&amp;"'!"&amp;"$"&amp;$D449&amp;$AD$1&amp;"")</f>
        <v>CMS</v>
      </c>
      <c r="AE449" s="281" t="s">
        <v>1</v>
      </c>
      <c r="AF449" s="281" t="s">
        <v>1</v>
      </c>
      <c r="AG449" s="282" t="s">
        <v>1</v>
      </c>
      <c r="AH449" s="278" cm="1">
        <f t="array" aca="1" ref="AH449" ca="1">INDIRECT("'"&amp;$C449&amp;"'!"&amp;"$"&amp;$D449&amp;$AH$1&amp;"")</f>
        <v>0</v>
      </c>
      <c r="AI449" s="281" t="s">
        <v>1</v>
      </c>
      <c r="AJ449" s="281" t="s">
        <v>1</v>
      </c>
      <c r="AK449" s="279" t="s">
        <v>1</v>
      </c>
      <c r="AL449" s="278">
        <v>11.6</v>
      </c>
      <c r="AM449" s="282">
        <v>70.8</v>
      </c>
      <c r="AN449" s="278" cm="1">
        <f t="array" aca="1" ref="AN449" ca="1">INDIRECT("'"&amp;$C449&amp;"'!"&amp;"$"&amp;$D449&amp;$AL$1&amp;"")</f>
        <v>0</v>
      </c>
      <c r="AO449" s="281" t="s">
        <v>1</v>
      </c>
      <c r="AP449" s="279" t="s">
        <v>1</v>
      </c>
      <c r="AQ449" s="280" cm="1">
        <f t="array" aca="1" ref="AQ449" ca="1">INDIRECT("'"&amp;$C449&amp;"'!"&amp;"$"&amp;$D449&amp;$AQ$1&amp;"")</f>
        <v>3.6</v>
      </c>
      <c r="AR449" s="281">
        <v>0.98</v>
      </c>
      <c r="AS449" s="279">
        <v>0.69</v>
      </c>
      <c r="AT449" s="278">
        <v>13.87</v>
      </c>
      <c r="AU449" s="282">
        <v>70.400000000000006</v>
      </c>
      <c r="AV449" s="281" cm="1">
        <f t="array" aca="1" ref="AV449" ca="1">INDIRECT("'"&amp;$C449&amp;"'!"&amp;"$"&amp;$D449&amp;$AV$1&amp;"")</f>
        <v>0</v>
      </c>
      <c r="AW449" s="280">
        <v>13.7</v>
      </c>
      <c r="AX449" s="281" t="s">
        <v>1</v>
      </c>
      <c r="AY449" s="279" t="s">
        <v>1</v>
      </c>
      <c r="AZ449" s="281" cm="1">
        <f t="array" aca="1" ref="AZ449" ca="1">INDIRECT("'"&amp;$C449&amp;"'!"&amp;"$"&amp;$D449&amp;$AZ$1&amp;"")</f>
        <v>7</v>
      </c>
      <c r="BA449" s="280">
        <v>13.7</v>
      </c>
      <c r="BB449" s="281">
        <v>0.98</v>
      </c>
      <c r="BC449" s="279">
        <v>1.2</v>
      </c>
      <c r="BD449" s="283" t="s">
        <v>1</v>
      </c>
      <c r="BE449" s="282" t="s">
        <v>1</v>
      </c>
      <c r="BF449" s="283" cm="1">
        <f t="array" aca="1" ref="BF449" ca="1">INDIRECT("'"&amp;$C449&amp;"'!"&amp;"$"&amp;$D449&amp;$BF$1&amp;"")</f>
        <v>0</v>
      </c>
      <c r="BG449" s="281" t="s">
        <v>1</v>
      </c>
      <c r="BH449" s="279" t="s">
        <v>1</v>
      </c>
      <c r="BI449" s="524">
        <v>69.099999999999994</v>
      </c>
      <c r="BJ449" s="278" cm="1">
        <f t="array" aca="1" ref="BJ449" ca="1">INDIRECT("'"&amp;$C449&amp;"'!"&amp;"$"&amp;$D449&amp;$BI$1&amp;"")</f>
        <v>4.5999999999999996</v>
      </c>
      <c r="BK449" s="280">
        <v>0.98</v>
      </c>
      <c r="BL449" s="279">
        <v>0.92</v>
      </c>
      <c r="BM449" s="283" cm="1">
        <f t="array" aca="1" ref="BM449" ca="1">INDIRECT("'"&amp;$C449&amp;"'!"&amp;"$"&amp;$D449&amp;$BM$1&amp;"")</f>
        <v>1</v>
      </c>
      <c r="BN449" s="281"/>
      <c r="BO449" s="281">
        <v>0.99</v>
      </c>
      <c r="BP449" s="279">
        <v>0.11</v>
      </c>
      <c r="BQ449" s="284" cm="1">
        <f t="array" aca="1" ref="BQ449" ca="1">INDIRECT("'"&amp;$C449&amp;"'!"&amp;"$"&amp;$D449&amp;$BQ$1&amp;"")</f>
        <v>0.65</v>
      </c>
      <c r="BR449" s="281"/>
      <c r="BS449" s="281">
        <v>0.97</v>
      </c>
      <c r="BT449" s="279">
        <v>0.14000000000000001</v>
      </c>
      <c r="BU449" s="284" cm="1">
        <f t="array" aca="1" ref="BU449" ca="1">INDIRECT("'"&amp;$C449&amp;"'!"&amp;"$"&amp;$D449&amp;74&amp;"")</f>
        <v>0</v>
      </c>
      <c r="BV449" s="281"/>
      <c r="BW449" s="281" t="s">
        <v>1</v>
      </c>
      <c r="BX449" s="279" t="s">
        <v>1</v>
      </c>
    </row>
    <row r="450" spans="1:76">
      <c r="A450" s="459">
        <v>45856</v>
      </c>
      <c r="B450" s="345">
        <v>0.83333333333333337</v>
      </c>
      <c r="C450" s="305">
        <v>18</v>
      </c>
      <c r="D450" s="306" t="s">
        <v>162</v>
      </c>
      <c r="E450" s="285">
        <v>14.1</v>
      </c>
      <c r="F450" s="286">
        <v>70.650000000000006</v>
      </c>
      <c r="G450" s="287" t="str" cm="1">
        <f t="array" aca="1" ref="G450" ca="1">INDIRECT("'"&amp;$C450&amp;"'!"&amp;"$"&amp;$D450&amp;$E$1&amp;"")</f>
        <v>CMS</v>
      </c>
      <c r="H450" s="288" t="s">
        <v>1</v>
      </c>
      <c r="I450" s="286" t="s">
        <v>1</v>
      </c>
      <c r="J450" s="287" cm="1">
        <f t="array" aca="1" ref="J450" ca="1">INDIRECT("'"&amp;$C450&amp;"'!"&amp;"$"&amp;$D450&amp;$J$1&amp;"")</f>
        <v>5.9</v>
      </c>
      <c r="K450" s="288"/>
      <c r="L450" s="288">
        <v>0.99</v>
      </c>
      <c r="M450" s="289">
        <v>0.92</v>
      </c>
      <c r="N450" s="285" cm="1">
        <f t="array" aca="1" ref="N450" ca="1">INDIRECT("'"&amp;$C450&amp;"'!"&amp;"$"&amp;$D450&amp;$N$1&amp;"")</f>
        <v>5.9</v>
      </c>
      <c r="O450" s="288"/>
      <c r="P450" s="288">
        <v>0.98</v>
      </c>
      <c r="Q450" s="286">
        <v>1.1100000000000001</v>
      </c>
      <c r="R450" s="285" cm="1">
        <f t="array" aca="1" ref="R450" ca="1">INDIRECT("'"&amp;$C450&amp;"'!"&amp;"$"&amp;$D450&amp;$R$1&amp;"")</f>
        <v>5.9</v>
      </c>
      <c r="S450" s="288"/>
      <c r="T450" s="288">
        <v>0.98</v>
      </c>
      <c r="U450" s="286">
        <v>1.18</v>
      </c>
      <c r="V450" s="287" cm="1">
        <f t="array" aca="1" ref="V450" ca="1">INDIRECT("'"&amp;$C450&amp;"'!"&amp;"$"&amp;$D450&amp;$V$1&amp;"")</f>
        <v>0</v>
      </c>
      <c r="W450" s="288" t="s">
        <v>1</v>
      </c>
      <c r="X450" s="288" t="s">
        <v>1</v>
      </c>
      <c r="Y450" s="289" t="s">
        <v>1</v>
      </c>
      <c r="Z450" s="285" t="str" cm="1">
        <f t="array" aca="1" ref="Z450" ca="1">INDIRECT("'"&amp;$C450&amp;"'!"&amp;"$"&amp;$D450&amp;$Z$1&amp;"")</f>
        <v>CMS</v>
      </c>
      <c r="AA450" s="288" t="s">
        <v>1</v>
      </c>
      <c r="AB450" s="288" t="s">
        <v>1</v>
      </c>
      <c r="AC450" s="286" t="s">
        <v>1</v>
      </c>
      <c r="AD450" s="287" t="str" cm="1">
        <f t="array" aca="1" ref="AD450" ca="1">INDIRECT("'"&amp;$C450&amp;"'!"&amp;"$"&amp;$D450&amp;$AD$1&amp;"")</f>
        <v>CMS</v>
      </c>
      <c r="AE450" s="288" t="s">
        <v>1</v>
      </c>
      <c r="AF450" s="288" t="s">
        <v>1</v>
      </c>
      <c r="AG450" s="289" t="s">
        <v>1</v>
      </c>
      <c r="AH450" s="285" cm="1">
        <f t="array" aca="1" ref="AH450" ca="1">INDIRECT("'"&amp;$C450&amp;"'!"&amp;"$"&amp;$D450&amp;$AH$1&amp;"")</f>
        <v>0</v>
      </c>
      <c r="AI450" s="288" t="s">
        <v>1</v>
      </c>
      <c r="AJ450" s="288" t="s">
        <v>1</v>
      </c>
      <c r="AK450" s="286" t="s">
        <v>1</v>
      </c>
      <c r="AL450" s="285">
        <v>11.6</v>
      </c>
      <c r="AM450" s="289">
        <v>71</v>
      </c>
      <c r="AN450" s="285" cm="1">
        <f t="array" aca="1" ref="AN450" ca="1">INDIRECT("'"&amp;$C450&amp;"'!"&amp;"$"&amp;$D450&amp;$AL$1&amp;"")</f>
        <v>0</v>
      </c>
      <c r="AO450" s="288" t="s">
        <v>1</v>
      </c>
      <c r="AP450" s="286" t="s">
        <v>1</v>
      </c>
      <c r="AQ450" s="287" cm="1">
        <f t="array" aca="1" ref="AQ450" ca="1">INDIRECT("'"&amp;$C450&amp;"'!"&amp;"$"&amp;$D450&amp;$AQ$1&amp;"")</f>
        <v>2.8</v>
      </c>
      <c r="AR450" s="288">
        <v>0.92</v>
      </c>
      <c r="AS450" s="286">
        <v>1.2150000000000001</v>
      </c>
      <c r="AT450" s="285">
        <v>13.9</v>
      </c>
      <c r="AU450" s="289">
        <v>70.3</v>
      </c>
      <c r="AV450" s="288" cm="1">
        <f t="array" aca="1" ref="AV450" ca="1">INDIRECT("'"&amp;$C450&amp;"'!"&amp;"$"&amp;$D450&amp;$AV$1&amp;"")</f>
        <v>0</v>
      </c>
      <c r="AW450" s="287" t="s">
        <v>1</v>
      </c>
      <c r="AX450" s="288" t="s">
        <v>1</v>
      </c>
      <c r="AY450" s="286" t="s">
        <v>1</v>
      </c>
      <c r="AZ450" s="288" cm="1">
        <f t="array" aca="1" ref="AZ450" ca="1">INDIRECT("'"&amp;$C450&amp;"'!"&amp;"$"&amp;$D450&amp;$AZ$1&amp;"")</f>
        <v>6</v>
      </c>
      <c r="BA450" s="287" t="s">
        <v>1</v>
      </c>
      <c r="BB450" s="288">
        <v>0.99</v>
      </c>
      <c r="BC450" s="286">
        <v>0.68</v>
      </c>
      <c r="BD450" s="290">
        <v>14.01</v>
      </c>
      <c r="BE450" s="289">
        <v>71.06</v>
      </c>
      <c r="BF450" s="290" cm="1">
        <f t="array" aca="1" ref="BF450" ca="1">INDIRECT("'"&amp;$C450&amp;"'!"&amp;"$"&amp;$D450&amp;$BF$1&amp;"")</f>
        <v>5.75</v>
      </c>
      <c r="BG450" s="288">
        <v>0.99</v>
      </c>
      <c r="BH450" s="286">
        <v>0.9</v>
      </c>
      <c r="BI450" s="525">
        <v>69.3</v>
      </c>
      <c r="BJ450" s="285" cm="1">
        <f t="array" aca="1" ref="BJ450" ca="1">INDIRECT("'"&amp;$C450&amp;"'!"&amp;"$"&amp;$D450&amp;$BI$1&amp;"")</f>
        <v>0</v>
      </c>
      <c r="BK450" s="287" t="s">
        <v>1</v>
      </c>
      <c r="BL450" s="286" t="s">
        <v>1</v>
      </c>
      <c r="BM450" s="290" cm="1">
        <f t="array" aca="1" ref="BM450" ca="1">INDIRECT("'"&amp;$C450&amp;"'!"&amp;"$"&amp;$D450&amp;$BM$1&amp;"")</f>
        <v>0.74</v>
      </c>
      <c r="BN450" s="288"/>
      <c r="BO450" s="288">
        <v>0.99</v>
      </c>
      <c r="BP450" s="286">
        <v>0.05</v>
      </c>
      <c r="BQ450" s="291" cm="1">
        <f t="array" aca="1" ref="BQ450" ca="1">INDIRECT("'"&amp;$C450&amp;"'!"&amp;"$"&amp;$D450&amp;$BQ$1&amp;"")</f>
        <v>0.78</v>
      </c>
      <c r="BR450" s="288"/>
      <c r="BS450" s="288">
        <v>0.96</v>
      </c>
      <c r="BT450" s="286">
        <v>0.21</v>
      </c>
      <c r="BU450" s="291" cm="1">
        <f t="array" aca="1" ref="BU450" ca="1">INDIRECT("'"&amp;$C450&amp;"'!"&amp;"$"&amp;$D450&amp;74&amp;"")</f>
        <v>0</v>
      </c>
      <c r="BV450" s="288"/>
      <c r="BW450" s="288" t="s">
        <v>1</v>
      </c>
      <c r="BX450" s="286" t="s">
        <v>1</v>
      </c>
    </row>
    <row r="451" spans="1:76">
      <c r="A451" s="459">
        <v>45856</v>
      </c>
      <c r="B451" s="345">
        <v>0.875000000000001</v>
      </c>
      <c r="C451" s="305">
        <v>18</v>
      </c>
      <c r="D451" s="306" t="s">
        <v>163</v>
      </c>
      <c r="E451" s="278">
        <v>14</v>
      </c>
      <c r="F451" s="279">
        <v>69.69</v>
      </c>
      <c r="G451" s="280" t="str" cm="1">
        <f t="array" aca="1" ref="G451" ca="1">INDIRECT("'"&amp;$C451&amp;"'!"&amp;"$"&amp;$D451&amp;$E$1&amp;"")</f>
        <v>CMS</v>
      </c>
      <c r="H451" s="281" t="s">
        <v>1</v>
      </c>
      <c r="I451" s="279" t="s">
        <v>1</v>
      </c>
      <c r="J451" s="280" cm="1">
        <f t="array" aca="1" ref="J451" ca="1">INDIRECT("'"&amp;$C451&amp;"'!"&amp;"$"&amp;$D451&amp;$J$1&amp;"")</f>
        <v>6.6</v>
      </c>
      <c r="K451" s="281"/>
      <c r="L451" s="281">
        <v>0.95</v>
      </c>
      <c r="M451" s="282">
        <v>2.11</v>
      </c>
      <c r="N451" s="278" cm="1">
        <f t="array" aca="1" ref="N451" ca="1">INDIRECT("'"&amp;$C451&amp;"'!"&amp;"$"&amp;$D451&amp;$N$1&amp;"")</f>
        <v>6.6</v>
      </c>
      <c r="O451" s="281"/>
      <c r="P451" s="281">
        <v>0.95</v>
      </c>
      <c r="Q451" s="279">
        <v>2.14</v>
      </c>
      <c r="R451" s="468" cm="1">
        <f t="array" aca="1" ref="R451" ca="1">INDIRECT("'"&amp;$C451&amp;"'!"&amp;"$"&amp;$D451&amp;$R$1&amp;"")</f>
        <v>0</v>
      </c>
      <c r="S451" s="281"/>
      <c r="T451" s="281" t="s">
        <v>1</v>
      </c>
      <c r="U451" s="279" t="s">
        <v>1</v>
      </c>
      <c r="V451" s="280" cm="1">
        <f t="array" aca="1" ref="V451" ca="1">INDIRECT("'"&amp;$C451&amp;"'!"&amp;"$"&amp;$D451&amp;$V$1&amp;"")</f>
        <v>0</v>
      </c>
      <c r="W451" s="281" t="s">
        <v>1</v>
      </c>
      <c r="X451" s="281" t="s">
        <v>1</v>
      </c>
      <c r="Y451" s="282" t="s">
        <v>1</v>
      </c>
      <c r="Z451" s="278" t="str" cm="1">
        <f t="array" aca="1" ref="Z451" ca="1">INDIRECT("'"&amp;$C451&amp;"'!"&amp;"$"&amp;$D451&amp;$Z$1&amp;"")</f>
        <v>CMS</v>
      </c>
      <c r="AA451" s="281" t="s">
        <v>1</v>
      </c>
      <c r="AB451" s="281" t="s">
        <v>1</v>
      </c>
      <c r="AC451" s="279" t="s">
        <v>1</v>
      </c>
      <c r="AD451" s="280" t="str" cm="1">
        <f t="array" aca="1" ref="AD451" ca="1">INDIRECT("'"&amp;$C451&amp;"'!"&amp;"$"&amp;$D451&amp;$AD$1&amp;"")</f>
        <v>CMS</v>
      </c>
      <c r="AE451" s="281" t="s">
        <v>1</v>
      </c>
      <c r="AF451" s="281" t="s">
        <v>1</v>
      </c>
      <c r="AG451" s="282" t="s">
        <v>1</v>
      </c>
      <c r="AH451" s="278" cm="1">
        <f t="array" aca="1" ref="AH451" ca="1">INDIRECT("'"&amp;$C451&amp;"'!"&amp;"$"&amp;$D451&amp;$AH$1&amp;"")</f>
        <v>0</v>
      </c>
      <c r="AI451" s="281" t="s">
        <v>1</v>
      </c>
      <c r="AJ451" s="281" t="s">
        <v>1</v>
      </c>
      <c r="AK451" s="279" t="s">
        <v>1</v>
      </c>
      <c r="AL451" s="278">
        <v>11.6</v>
      </c>
      <c r="AM451" s="282">
        <v>70.599999999999994</v>
      </c>
      <c r="AN451" s="278" cm="1">
        <f t="array" aca="1" ref="AN451" ca="1">INDIRECT("'"&amp;$C451&amp;"'!"&amp;"$"&amp;$D451&amp;$AL$1&amp;"")</f>
        <v>0</v>
      </c>
      <c r="AO451" s="281" t="s">
        <v>1</v>
      </c>
      <c r="AP451" s="279" t="s">
        <v>1</v>
      </c>
      <c r="AQ451" s="280" cm="1">
        <f t="array" aca="1" ref="AQ451" ca="1">INDIRECT("'"&amp;$C451&amp;"'!"&amp;"$"&amp;$D451&amp;$AQ$1&amp;"")</f>
        <v>3.8</v>
      </c>
      <c r="AR451" s="281">
        <v>0.96</v>
      </c>
      <c r="AS451" s="279">
        <v>1.22</v>
      </c>
      <c r="AT451" s="278">
        <v>13.89</v>
      </c>
      <c r="AU451" s="282">
        <v>70.2</v>
      </c>
      <c r="AV451" s="281" cm="1">
        <f t="array" aca="1" ref="AV451" ca="1">INDIRECT("'"&amp;$C451&amp;"'!"&amp;"$"&amp;$D451&amp;$AV$1&amp;"")</f>
        <v>0</v>
      </c>
      <c r="AW451" s="280" t="s">
        <v>1</v>
      </c>
      <c r="AX451" s="281" t="s">
        <v>1</v>
      </c>
      <c r="AY451" s="279" t="s">
        <v>1</v>
      </c>
      <c r="AZ451" s="281" cm="1">
        <f t="array" aca="1" ref="AZ451" ca="1">INDIRECT("'"&amp;$C451&amp;"'!"&amp;"$"&amp;$D451&amp;$AZ$1&amp;"")</f>
        <v>7</v>
      </c>
      <c r="BA451" s="280" t="s">
        <v>1</v>
      </c>
      <c r="BB451" s="281">
        <v>0.98</v>
      </c>
      <c r="BC451" s="279">
        <v>1.3</v>
      </c>
      <c r="BD451" s="283">
        <v>13.97</v>
      </c>
      <c r="BE451" s="282">
        <v>71.16</v>
      </c>
      <c r="BF451" s="283" cm="1">
        <f t="array" aca="1" ref="BF451" ca="1">INDIRECT("'"&amp;$C451&amp;"'!"&amp;"$"&amp;$D451&amp;$BF$1&amp;"")</f>
        <v>11.55</v>
      </c>
      <c r="BG451" s="281">
        <v>1</v>
      </c>
      <c r="BH451" s="279">
        <v>1.3</v>
      </c>
      <c r="BI451" s="524">
        <v>68.400000000000006</v>
      </c>
      <c r="BJ451" s="278" cm="1">
        <f t="array" aca="1" ref="BJ451" ca="1">INDIRECT("'"&amp;$C451&amp;"'!"&amp;"$"&amp;$D451&amp;$BI$1&amp;"")</f>
        <v>2.15</v>
      </c>
      <c r="BK451" s="280">
        <v>0.97</v>
      </c>
      <c r="BL451" s="279">
        <v>0.53</v>
      </c>
      <c r="BM451" s="283" cm="1">
        <f t="array" aca="1" ref="BM451" ca="1">INDIRECT("'"&amp;$C451&amp;"'!"&amp;"$"&amp;$D451&amp;$BM$1&amp;"")</f>
        <v>0.81</v>
      </c>
      <c r="BN451" s="281"/>
      <c r="BO451" s="281">
        <v>0.99</v>
      </c>
      <c r="BP451" s="279">
        <v>0.06</v>
      </c>
      <c r="BQ451" s="284" cm="1">
        <f t="array" aca="1" ref="BQ451" ca="1">INDIRECT("'"&amp;$C451&amp;"'!"&amp;"$"&amp;$D451&amp;$BQ$1&amp;"")</f>
        <v>0.75</v>
      </c>
      <c r="BR451" s="281"/>
      <c r="BS451" s="281">
        <v>0.96</v>
      </c>
      <c r="BT451" s="279">
        <v>0.21</v>
      </c>
      <c r="BU451" s="284" cm="1">
        <f t="array" aca="1" ref="BU451" ca="1">INDIRECT("'"&amp;$C451&amp;"'!"&amp;"$"&amp;$D451&amp;74&amp;"")</f>
        <v>0</v>
      </c>
      <c r="BV451" s="281"/>
      <c r="BW451" s="281" t="s">
        <v>1</v>
      </c>
      <c r="BX451" s="279" t="s">
        <v>1</v>
      </c>
    </row>
    <row r="452" spans="1:76">
      <c r="A452" s="459">
        <v>45856</v>
      </c>
      <c r="B452" s="345">
        <v>0.91666666666666696</v>
      </c>
      <c r="C452" s="305">
        <v>18</v>
      </c>
      <c r="D452" s="306" t="s">
        <v>164</v>
      </c>
      <c r="E452" s="285">
        <v>14</v>
      </c>
      <c r="F452" s="286">
        <v>69.62</v>
      </c>
      <c r="G452" s="287" t="str" cm="1">
        <f t="array" aca="1" ref="G452" ca="1">INDIRECT("'"&amp;$C452&amp;"'!"&amp;"$"&amp;$D452&amp;$E$1&amp;"")</f>
        <v>CMS</v>
      </c>
      <c r="H452" s="288" t="s">
        <v>1</v>
      </c>
      <c r="I452" s="286" t="s">
        <v>1</v>
      </c>
      <c r="J452" s="287" cm="1">
        <f t="array" aca="1" ref="J452" ca="1">INDIRECT("'"&amp;$C452&amp;"'!"&amp;"$"&amp;$D452&amp;$J$1&amp;"")</f>
        <v>6.6</v>
      </c>
      <c r="K452" s="288"/>
      <c r="L452" s="288">
        <v>0.97</v>
      </c>
      <c r="M452" s="289">
        <v>1.68</v>
      </c>
      <c r="N452" s="285" cm="1">
        <f t="array" aca="1" ref="N452" ca="1">INDIRECT("'"&amp;$C452&amp;"'!"&amp;"$"&amp;$D452&amp;$N$1&amp;"")</f>
        <v>6.6</v>
      </c>
      <c r="O452" s="288"/>
      <c r="P452" s="288">
        <v>0.97</v>
      </c>
      <c r="Q452" s="286">
        <v>1.72</v>
      </c>
      <c r="R452" s="285" cm="1">
        <f t="array" aca="1" ref="R452" ca="1">INDIRECT("'"&amp;$C452&amp;"'!"&amp;"$"&amp;$D452&amp;$R$1&amp;"")</f>
        <v>0</v>
      </c>
      <c r="S452" s="288"/>
      <c r="T452" s="288" t="s">
        <v>1</v>
      </c>
      <c r="U452" s="286" t="s">
        <v>1</v>
      </c>
      <c r="V452" s="287" cm="1">
        <f t="array" aca="1" ref="V452" ca="1">INDIRECT("'"&amp;$C452&amp;"'!"&amp;"$"&amp;$D452&amp;$V$1&amp;"")</f>
        <v>0</v>
      </c>
      <c r="W452" s="288" t="s">
        <v>1</v>
      </c>
      <c r="X452" s="288" t="s">
        <v>1</v>
      </c>
      <c r="Y452" s="289" t="s">
        <v>1</v>
      </c>
      <c r="Z452" s="285" t="str" cm="1">
        <f t="array" aca="1" ref="Z452" ca="1">INDIRECT("'"&amp;$C452&amp;"'!"&amp;"$"&amp;$D452&amp;$Z$1&amp;"")</f>
        <v>CMS</v>
      </c>
      <c r="AA452" s="288" t="s">
        <v>1</v>
      </c>
      <c r="AB452" s="288" t="s">
        <v>1</v>
      </c>
      <c r="AC452" s="286" t="s">
        <v>1</v>
      </c>
      <c r="AD452" s="287" t="str" cm="1">
        <f t="array" aca="1" ref="AD452" ca="1">INDIRECT("'"&amp;$C452&amp;"'!"&amp;"$"&amp;$D452&amp;$AD$1&amp;"")</f>
        <v>CMS</v>
      </c>
      <c r="AE452" s="288" t="s">
        <v>1</v>
      </c>
      <c r="AF452" s="288" t="s">
        <v>1</v>
      </c>
      <c r="AG452" s="289" t="s">
        <v>1</v>
      </c>
      <c r="AH452" s="285" cm="1">
        <f t="array" aca="1" ref="AH452" ca="1">INDIRECT("'"&amp;$C452&amp;"'!"&amp;"$"&amp;$D452&amp;$AH$1&amp;"")</f>
        <v>0</v>
      </c>
      <c r="AI452" s="288" t="s">
        <v>1</v>
      </c>
      <c r="AJ452" s="288" t="s">
        <v>1</v>
      </c>
      <c r="AK452" s="286" t="s">
        <v>1</v>
      </c>
      <c r="AL452" s="285">
        <v>11.6</v>
      </c>
      <c r="AM452" s="289">
        <v>70.599999999999994</v>
      </c>
      <c r="AN452" s="285" cm="1">
        <f t="array" aca="1" ref="AN452" ca="1">INDIRECT("'"&amp;$C452&amp;"'!"&amp;"$"&amp;$D452&amp;$AL$1&amp;"")</f>
        <v>0</v>
      </c>
      <c r="AO452" s="288" t="s">
        <v>1</v>
      </c>
      <c r="AP452" s="286" t="s">
        <v>1</v>
      </c>
      <c r="AQ452" s="287" cm="1">
        <f t="array" aca="1" ref="AQ452" ca="1">INDIRECT("'"&amp;$C452&amp;"'!"&amp;"$"&amp;$D452&amp;$AQ$1&amp;"")</f>
        <v>1.5</v>
      </c>
      <c r="AR452" s="288">
        <v>0.92</v>
      </c>
      <c r="AS452" s="286">
        <v>0.86</v>
      </c>
      <c r="AT452" s="285">
        <v>13.97</v>
      </c>
      <c r="AU452" s="289">
        <v>71.040000000000006</v>
      </c>
      <c r="AV452" s="288" cm="1">
        <f t="array" aca="1" ref="AV452" ca="1">INDIRECT("'"&amp;$C452&amp;"'!"&amp;"$"&amp;$D452&amp;$AV$1&amp;"")</f>
        <v>0</v>
      </c>
      <c r="AW452" s="287" t="s">
        <v>1</v>
      </c>
      <c r="AX452" s="288" t="s">
        <v>1</v>
      </c>
      <c r="AY452" s="286" t="s">
        <v>1</v>
      </c>
      <c r="AZ452" s="288" cm="1">
        <f t="array" aca="1" ref="AZ452" ca="1">INDIRECT("'"&amp;$C452&amp;"'!"&amp;"$"&amp;$D452&amp;$AZ$1&amp;"")</f>
        <v>5.5</v>
      </c>
      <c r="BA452" s="287" t="s">
        <v>1</v>
      </c>
      <c r="BB452" s="288">
        <v>0.96</v>
      </c>
      <c r="BC452" s="286">
        <v>1.6</v>
      </c>
      <c r="BD452" s="290">
        <v>13.83</v>
      </c>
      <c r="BE452" s="289">
        <v>70.3</v>
      </c>
      <c r="BF452" s="290" cm="1">
        <f t="array" aca="1" ref="BF452" ca="1">INDIRECT("'"&amp;$C452&amp;"'!"&amp;"$"&amp;$D452&amp;$BF$1&amp;"")</f>
        <v>13.95</v>
      </c>
      <c r="BG452" s="288">
        <v>1</v>
      </c>
      <c r="BH452" s="286">
        <v>1.5</v>
      </c>
      <c r="BI452" s="525">
        <v>68.3</v>
      </c>
      <c r="BJ452" s="285" cm="1">
        <f t="array" aca="1" ref="BJ452" ca="1">INDIRECT("'"&amp;$C452&amp;"'!"&amp;"$"&amp;$D452&amp;$BI$1&amp;"")</f>
        <v>0</v>
      </c>
      <c r="BK452" s="287" t="s">
        <v>1</v>
      </c>
      <c r="BL452" s="286" t="s">
        <v>1</v>
      </c>
      <c r="BM452" s="290" cm="1">
        <f t="array" aca="1" ref="BM452" ca="1">INDIRECT("'"&amp;$C452&amp;"'!"&amp;"$"&amp;$D452&amp;$BM$1&amp;"")</f>
        <v>0.79</v>
      </c>
      <c r="BN452" s="288"/>
      <c r="BO452" s="288">
        <v>0.99</v>
      </c>
      <c r="BP452" s="286">
        <v>0.06</v>
      </c>
      <c r="BQ452" s="291" cm="1">
        <f t="array" aca="1" ref="BQ452" ca="1">INDIRECT("'"&amp;$C452&amp;"'!"&amp;"$"&amp;$D452&amp;$BQ$1&amp;"")</f>
        <v>0.78</v>
      </c>
      <c r="BR452" s="288"/>
      <c r="BS452" s="288">
        <v>0.96</v>
      </c>
      <c r="BT452" s="286">
        <v>0.19</v>
      </c>
      <c r="BU452" s="291" cm="1">
        <f t="array" aca="1" ref="BU452" ca="1">INDIRECT("'"&amp;$C452&amp;"'!"&amp;"$"&amp;$D452&amp;74&amp;"")</f>
        <v>0</v>
      </c>
      <c r="BV452" s="288"/>
      <c r="BW452" s="288" t="s">
        <v>1</v>
      </c>
      <c r="BX452" s="286" t="s">
        <v>1</v>
      </c>
    </row>
    <row r="453" spans="1:76" ht="14.45" thickBot="1">
      <c r="A453" s="460">
        <v>45856</v>
      </c>
      <c r="B453" s="346">
        <v>0.95833333333333404</v>
      </c>
      <c r="C453" s="307">
        <v>18</v>
      </c>
      <c r="D453" s="308" t="s">
        <v>165</v>
      </c>
      <c r="E453" s="293">
        <v>14</v>
      </c>
      <c r="F453" s="294">
        <v>69.83</v>
      </c>
      <c r="G453" s="295" t="str" cm="1">
        <f t="array" aca="1" ref="G453" ca="1">INDIRECT("'"&amp;$C453&amp;"'!"&amp;"$"&amp;$D453&amp;$E$1&amp;"")</f>
        <v>CMS</v>
      </c>
      <c r="H453" s="296" t="s">
        <v>1</v>
      </c>
      <c r="I453" s="294" t="s">
        <v>1</v>
      </c>
      <c r="J453" s="295" cm="1">
        <f t="array" aca="1" ref="J453" ca="1">INDIRECT("'"&amp;$C453&amp;"'!"&amp;"$"&amp;$D453&amp;$J$1&amp;"")</f>
        <v>6.5</v>
      </c>
      <c r="K453" s="296"/>
      <c r="L453" s="296">
        <v>0.98</v>
      </c>
      <c r="M453" s="297">
        <v>1.2</v>
      </c>
      <c r="N453" s="293" cm="1">
        <f t="array" aca="1" ref="N453" ca="1">INDIRECT("'"&amp;$C453&amp;"'!"&amp;"$"&amp;$D453&amp;$N$1&amp;"")</f>
        <v>6.5</v>
      </c>
      <c r="O453" s="296"/>
      <c r="P453" s="296">
        <v>0.98</v>
      </c>
      <c r="Q453" s="294">
        <v>1.24</v>
      </c>
      <c r="R453" s="470" cm="1">
        <f t="array" aca="1" ref="R453" ca="1">INDIRECT("'"&amp;$C453&amp;"'!"&amp;"$"&amp;$D453&amp;$R$1&amp;"")</f>
        <v>0</v>
      </c>
      <c r="S453" s="296"/>
      <c r="T453" s="296" t="s">
        <v>1</v>
      </c>
      <c r="U453" s="294" t="s">
        <v>1</v>
      </c>
      <c r="V453" s="295" cm="1">
        <f t="array" aca="1" ref="V453" ca="1">INDIRECT("'"&amp;$C453&amp;"'!"&amp;"$"&amp;$D453&amp;$V$1&amp;"")</f>
        <v>0</v>
      </c>
      <c r="W453" s="296" t="s">
        <v>1</v>
      </c>
      <c r="X453" s="296" t="s">
        <v>1</v>
      </c>
      <c r="Y453" s="297" t="s">
        <v>1</v>
      </c>
      <c r="Z453" s="293" t="str" cm="1">
        <f t="array" aca="1" ref="Z453" ca="1">INDIRECT("'"&amp;$C453&amp;"'!"&amp;"$"&amp;$D453&amp;$Z$1&amp;"")</f>
        <v>CMS</v>
      </c>
      <c r="AA453" s="296" t="s">
        <v>1</v>
      </c>
      <c r="AB453" s="296" t="s">
        <v>1</v>
      </c>
      <c r="AC453" s="294" t="s">
        <v>1</v>
      </c>
      <c r="AD453" s="295" t="str" cm="1">
        <f t="array" aca="1" ref="AD453" ca="1">INDIRECT("'"&amp;$C453&amp;"'!"&amp;"$"&amp;$D453&amp;$AD$1&amp;"")</f>
        <v>CMS</v>
      </c>
      <c r="AE453" s="296" t="s">
        <v>1</v>
      </c>
      <c r="AF453" s="296" t="s">
        <v>1</v>
      </c>
      <c r="AG453" s="297" t="s">
        <v>1</v>
      </c>
      <c r="AH453" s="293" cm="1">
        <f t="array" aca="1" ref="AH453" ca="1">INDIRECT("'"&amp;$C453&amp;"'!"&amp;"$"&amp;$D453&amp;$AH$1&amp;"")</f>
        <v>0</v>
      </c>
      <c r="AI453" s="296" t="s">
        <v>1</v>
      </c>
      <c r="AJ453" s="296" t="s">
        <v>1</v>
      </c>
      <c r="AK453" s="294" t="s">
        <v>1</v>
      </c>
      <c r="AL453" s="293"/>
      <c r="AM453" s="297">
        <v>70.599999999999994</v>
      </c>
      <c r="AN453" s="293" cm="1">
        <f t="array" aca="1" ref="AN453" ca="1">INDIRECT("'"&amp;$C453&amp;"'!"&amp;"$"&amp;$D453&amp;$AL$1&amp;"")</f>
        <v>0</v>
      </c>
      <c r="AO453" s="296" t="s">
        <v>1</v>
      </c>
      <c r="AP453" s="294" t="s">
        <v>1</v>
      </c>
      <c r="AQ453" s="295" cm="1">
        <f t="array" aca="1" ref="AQ453" ca="1">INDIRECT("'"&amp;$C453&amp;"'!"&amp;"$"&amp;$D453&amp;$AQ$1&amp;"")</f>
        <v>0</v>
      </c>
      <c r="AR453" s="296" t="s">
        <v>1</v>
      </c>
      <c r="AS453" s="294" t="s">
        <v>1</v>
      </c>
      <c r="AT453" s="293">
        <v>13.84</v>
      </c>
      <c r="AU453" s="297">
        <v>70.400000000000006</v>
      </c>
      <c r="AV453" s="296" cm="1">
        <f t="array" aca="1" ref="AV453" ca="1">INDIRECT("'"&amp;$C453&amp;"'!"&amp;"$"&amp;$D453&amp;$AV$1&amp;"")</f>
        <v>0</v>
      </c>
      <c r="AW453" s="295" t="s">
        <v>1</v>
      </c>
      <c r="AX453" s="296" t="s">
        <v>1</v>
      </c>
      <c r="AY453" s="294" t="s">
        <v>1</v>
      </c>
      <c r="AZ453" s="296" cm="1">
        <f t="array" aca="1" ref="AZ453" ca="1">INDIRECT("'"&amp;$C453&amp;"'!"&amp;"$"&amp;$D453&amp;$AZ$1&amp;"")</f>
        <v>4.2</v>
      </c>
      <c r="BA453" s="295" t="s">
        <v>1</v>
      </c>
      <c r="BB453" s="296">
        <v>0.95</v>
      </c>
      <c r="BC453" s="294">
        <v>1.4</v>
      </c>
      <c r="BD453" s="298">
        <v>13.84</v>
      </c>
      <c r="BE453" s="297">
        <v>70.400000000000006</v>
      </c>
      <c r="BF453" s="298" cm="1">
        <f t="array" aca="1" ref="BF453" ca="1">INDIRECT("'"&amp;$C453&amp;"'!"&amp;"$"&amp;$D453&amp;$BF$1&amp;"")</f>
        <v>13.4</v>
      </c>
      <c r="BG453" s="296">
        <v>0.99</v>
      </c>
      <c r="BH453" s="294">
        <v>2.1</v>
      </c>
      <c r="BI453" s="526">
        <v>68.8</v>
      </c>
      <c r="BJ453" s="293" cm="1">
        <f t="array" aca="1" ref="BJ453" ca="1">INDIRECT("'"&amp;$C453&amp;"'!"&amp;"$"&amp;$D453&amp;$BI$1&amp;"")</f>
        <v>0</v>
      </c>
      <c r="BK453" s="295" t="s">
        <v>1</v>
      </c>
      <c r="BL453" s="294" t="s">
        <v>1</v>
      </c>
      <c r="BM453" s="298" cm="1">
        <f t="array" aca="1" ref="BM453" ca="1">INDIRECT("'"&amp;$C453&amp;"'!"&amp;"$"&amp;$D453&amp;$BM$1&amp;"")</f>
        <v>0.68</v>
      </c>
      <c r="BN453" s="296"/>
      <c r="BO453" s="296">
        <v>0.96</v>
      </c>
      <c r="BP453" s="294">
        <v>0.06</v>
      </c>
      <c r="BQ453" s="299" cm="1">
        <f t="array" aca="1" ref="BQ453" ca="1">INDIRECT("'"&amp;$C453&amp;"'!"&amp;"$"&amp;$D453&amp;$BQ$1&amp;"")</f>
        <v>0.76</v>
      </c>
      <c r="BR453" s="296"/>
      <c r="BS453" s="296">
        <v>0.96</v>
      </c>
      <c r="BT453" s="294">
        <v>0.19</v>
      </c>
      <c r="BU453" s="299" cm="1">
        <f t="array" aca="1" ref="BU453" ca="1">INDIRECT("'"&amp;$C453&amp;"'!"&amp;"$"&amp;$D453&amp;74&amp;"")</f>
        <v>0</v>
      </c>
      <c r="BV453" s="296"/>
      <c r="BW453" s="296" t="s">
        <v>1</v>
      </c>
      <c r="BX453" s="294" t="s">
        <v>1</v>
      </c>
    </row>
    <row r="454" spans="1:76" ht="14.45" thickBot="1"/>
    <row r="455" spans="1:76">
      <c r="A455" s="347">
        <v>45857</v>
      </c>
      <c r="B455" s="344">
        <v>0</v>
      </c>
      <c r="C455" s="302">
        <v>19</v>
      </c>
      <c r="D455" s="303" t="s">
        <v>142</v>
      </c>
      <c r="E455" s="272">
        <v>14.1</v>
      </c>
      <c r="F455" s="273">
        <v>70.39</v>
      </c>
      <c r="G455" s="274" t="str" cm="1">
        <f t="array" aca="1" ref="G455" ca="1">INDIRECT("'"&amp;$C455&amp;"'!"&amp;"$"&amp;$D455&amp;$E$1&amp;"")</f>
        <v>CMS</v>
      </c>
      <c r="H455" s="275" t="s">
        <v>1</v>
      </c>
      <c r="I455" s="273" t="s">
        <v>1</v>
      </c>
      <c r="J455" s="274" cm="1">
        <f t="array" aca="1" ref="J455" ca="1">INDIRECT("'"&amp;$C455&amp;"'!"&amp;"$"&amp;$D455&amp;$J$1&amp;"")</f>
        <v>6.4</v>
      </c>
      <c r="K455" s="275"/>
      <c r="L455" s="275">
        <v>0.99</v>
      </c>
      <c r="M455" s="276">
        <v>0.95</v>
      </c>
      <c r="N455" s="272" cm="1">
        <f t="array" aca="1" ref="N455" ca="1">INDIRECT("'"&amp;$C455&amp;"'!"&amp;"$"&amp;$D455&amp;$N$1&amp;"")</f>
        <v>6.4</v>
      </c>
      <c r="O455" s="275"/>
      <c r="P455" s="275">
        <v>0.99</v>
      </c>
      <c r="Q455" s="273">
        <v>0.93</v>
      </c>
      <c r="R455" s="467" cm="1">
        <f t="array" aca="1" ref="R455" ca="1">INDIRECT("'"&amp;$C455&amp;"'!"&amp;"$"&amp;$D455&amp;$R$1&amp;"")</f>
        <v>0</v>
      </c>
      <c r="S455" s="275"/>
      <c r="T455" s="275" t="s">
        <v>1</v>
      </c>
      <c r="U455" s="273" t="s">
        <v>1</v>
      </c>
      <c r="V455" s="274" cm="1">
        <f t="array" aca="1" ref="V455" ca="1">INDIRECT("'"&amp;$C455&amp;"'!"&amp;"$"&amp;$D455&amp;$V$1&amp;"")</f>
        <v>0</v>
      </c>
      <c r="W455" s="275" t="s">
        <v>1</v>
      </c>
      <c r="X455" s="275" t="s">
        <v>1</v>
      </c>
      <c r="Y455" s="276" t="s">
        <v>1</v>
      </c>
      <c r="Z455" s="272" t="str" cm="1">
        <f t="array" aca="1" ref="Z455" ca="1">INDIRECT("'"&amp;$C455&amp;"'!"&amp;"$"&amp;$D455&amp;$Z$1&amp;"")</f>
        <v>CMS</v>
      </c>
      <c r="AA455" s="275" t="s">
        <v>1</v>
      </c>
      <c r="AB455" s="275" t="s">
        <v>1</v>
      </c>
      <c r="AC455" s="273" t="s">
        <v>1</v>
      </c>
      <c r="AD455" s="274" t="str" cm="1">
        <f t="array" aca="1" ref="AD455" ca="1">INDIRECT("'"&amp;$C455&amp;"'!"&amp;"$"&amp;$D455&amp;$AD$1&amp;"")</f>
        <v>CMS</v>
      </c>
      <c r="AE455" s="275" t="s">
        <v>1</v>
      </c>
      <c r="AF455" s="275" t="s">
        <v>1</v>
      </c>
      <c r="AG455" s="273" t="s">
        <v>1</v>
      </c>
      <c r="AH455" s="272" cm="1">
        <f t="array" aca="1" ref="AH455" ca="1">INDIRECT("'"&amp;$C455&amp;"'!"&amp;"$"&amp;$D455&amp;$AH$1&amp;"")</f>
        <v>0</v>
      </c>
      <c r="AI455" s="275" t="s">
        <v>1</v>
      </c>
      <c r="AJ455" s="275" t="s">
        <v>1</v>
      </c>
      <c r="AK455" s="273" t="s">
        <v>1</v>
      </c>
      <c r="AL455" s="272">
        <v>0</v>
      </c>
      <c r="AM455" s="276">
        <v>70.8</v>
      </c>
      <c r="AN455" s="272" cm="1">
        <f t="array" aca="1" ref="AN455" ca="1">INDIRECT("'"&amp;$C455&amp;"'!"&amp;"$"&amp;$D455&amp;$AL$1&amp;"")</f>
        <v>0</v>
      </c>
      <c r="AO455" s="275" t="s">
        <v>1</v>
      </c>
      <c r="AP455" s="273" t="s">
        <v>1</v>
      </c>
      <c r="AQ455" s="274" cm="1">
        <f t="array" aca="1" ref="AQ455" ca="1">INDIRECT("'"&amp;$C455&amp;"'!"&amp;"$"&amp;$D455&amp;$AQ$1&amp;"")</f>
        <v>0</v>
      </c>
      <c r="AR455" s="275" t="s">
        <v>1</v>
      </c>
      <c r="AS455" s="273" t="s">
        <v>1</v>
      </c>
      <c r="AT455" s="272">
        <v>13.87</v>
      </c>
      <c r="AU455" s="276">
        <v>70.3</v>
      </c>
      <c r="AV455" s="275" cm="1">
        <f t="array" aca="1" ref="AV455" ca="1">INDIRECT("'"&amp;$C455&amp;"'!"&amp;"$"&amp;$D455&amp;$AV$1&amp;"")</f>
        <v>0</v>
      </c>
      <c r="AW455" s="274" t="s">
        <v>1</v>
      </c>
      <c r="AX455" s="275" t="s">
        <v>1</v>
      </c>
      <c r="AY455" s="273" t="s">
        <v>1</v>
      </c>
      <c r="AZ455" s="275" cm="1">
        <f t="array" aca="1" ref="AZ455" ca="1">INDIRECT("'"&amp;$C455&amp;"'!"&amp;"$"&amp;$D455&amp;$AZ$1&amp;"")</f>
        <v>3.5</v>
      </c>
      <c r="BA455" s="274" t="s">
        <v>1</v>
      </c>
      <c r="BB455" s="275">
        <v>0.96</v>
      </c>
      <c r="BC455" s="273">
        <v>1</v>
      </c>
      <c r="BD455" s="277">
        <v>14.13</v>
      </c>
      <c r="BE455" s="276">
        <v>71.73</v>
      </c>
      <c r="BF455" s="277" cm="1">
        <f t="array" aca="1" ref="BF455" ca="1">INDIRECT("'"&amp;$C455&amp;"'!"&amp;"$"&amp;$D455&amp;$BF$1&amp;"")</f>
        <v>12.52</v>
      </c>
      <c r="BG455" s="275">
        <v>0.99</v>
      </c>
      <c r="BH455" s="273">
        <v>2</v>
      </c>
      <c r="BI455" s="523">
        <v>69.2</v>
      </c>
      <c r="BJ455" s="272" cm="1">
        <f t="array" aca="1" ref="BJ455" ca="1">INDIRECT("'"&amp;$C455&amp;"'!"&amp;"$"&amp;$D455&amp;$BI$1&amp;"")</f>
        <v>0</v>
      </c>
      <c r="BK455" s="274" t="s">
        <v>1</v>
      </c>
      <c r="BL455" s="273" t="s">
        <v>1</v>
      </c>
      <c r="BM455" s="277" cm="1">
        <f t="array" aca="1" ref="BM455" ca="1">INDIRECT("'"&amp;$C455&amp;"'!"&amp;"$"&amp;$D455&amp;$BM$1&amp;"")</f>
        <v>0.59</v>
      </c>
      <c r="BN455" s="275"/>
      <c r="BO455" s="275">
        <v>0.99</v>
      </c>
      <c r="BP455" s="273">
        <v>0.05</v>
      </c>
      <c r="BQ455" s="277" cm="1">
        <f t="array" aca="1" ref="BQ455" ca="1">INDIRECT("'"&amp;$C455&amp;"'!"&amp;"$"&amp;$D455&amp;$BQ$1&amp;"")</f>
        <v>0.68</v>
      </c>
      <c r="BR455" s="275"/>
      <c r="BS455" s="275">
        <v>0.96</v>
      </c>
      <c r="BT455" s="273">
        <v>0.17</v>
      </c>
      <c r="BU455" s="358" cm="1">
        <f t="array" aca="1" ref="BU455" ca="1">INDIRECT("'"&amp;$C455&amp;"'!"&amp;"$"&amp;$D455&amp;74&amp;"")</f>
        <v>0</v>
      </c>
      <c r="BV455" s="275"/>
      <c r="BW455" s="275" t="s">
        <v>1</v>
      </c>
      <c r="BX455" s="273" t="s">
        <v>1</v>
      </c>
    </row>
    <row r="456" spans="1:76">
      <c r="A456" s="459">
        <v>45857</v>
      </c>
      <c r="B456" s="345">
        <v>4.1666666666666699E-2</v>
      </c>
      <c r="C456" s="305">
        <v>19</v>
      </c>
      <c r="D456" s="306" t="s">
        <v>143</v>
      </c>
      <c r="E456" s="278">
        <v>14.1</v>
      </c>
      <c r="F456" s="279">
        <v>70.75</v>
      </c>
      <c r="G456" s="280" t="str" cm="1">
        <f t="array" aca="1" ref="G456" ca="1">INDIRECT("'"&amp;$C456&amp;"'!"&amp;"$"&amp;$D456&amp;$E$1&amp;"")</f>
        <v>CMS</v>
      </c>
      <c r="H456" s="281" t="s">
        <v>1</v>
      </c>
      <c r="I456" s="279" t="s">
        <v>1</v>
      </c>
      <c r="J456" s="280" cm="1">
        <f t="array" aca="1" ref="J456" ca="1">INDIRECT("'"&amp;$C456&amp;"'!"&amp;"$"&amp;$D456&amp;$J$1&amp;"")</f>
        <v>6.2</v>
      </c>
      <c r="K456" s="281"/>
      <c r="L456" s="281">
        <v>0.99</v>
      </c>
      <c r="M456" s="282">
        <v>0.75</v>
      </c>
      <c r="N456" s="278" cm="1">
        <f t="array" aca="1" ref="N456" ca="1">INDIRECT("'"&amp;$C456&amp;"'!"&amp;"$"&amp;$D456&amp;$N$1&amp;"")</f>
        <v>6.2</v>
      </c>
      <c r="O456" s="281"/>
      <c r="P456" s="281">
        <v>0.99</v>
      </c>
      <c r="Q456" s="279">
        <v>0.76</v>
      </c>
      <c r="R456" s="468" cm="1">
        <f t="array" aca="1" ref="R456" ca="1">INDIRECT("'"&amp;$C456&amp;"'!"&amp;"$"&amp;$D456&amp;$R$1&amp;"")</f>
        <v>0</v>
      </c>
      <c r="S456" s="281"/>
      <c r="T456" s="281" t="s">
        <v>1</v>
      </c>
      <c r="U456" s="279" t="s">
        <v>1</v>
      </c>
      <c r="V456" s="280" cm="1">
        <f t="array" aca="1" ref="V456" ca="1">INDIRECT("'"&amp;$C456&amp;"'!"&amp;"$"&amp;$D456&amp;$V$1&amp;"")</f>
        <v>0</v>
      </c>
      <c r="W456" s="281" t="s">
        <v>1</v>
      </c>
      <c r="X456" s="281" t="s">
        <v>1</v>
      </c>
      <c r="Y456" s="282" t="s">
        <v>1</v>
      </c>
      <c r="Z456" s="278" t="str" cm="1">
        <f t="array" aca="1" ref="Z456" ca="1">INDIRECT("'"&amp;$C456&amp;"'!"&amp;"$"&amp;$D456&amp;$Z$1&amp;"")</f>
        <v>CMS</v>
      </c>
      <c r="AA456" s="281" t="s">
        <v>1</v>
      </c>
      <c r="AB456" s="281" t="s">
        <v>1</v>
      </c>
      <c r="AC456" s="279" t="s">
        <v>1</v>
      </c>
      <c r="AD456" s="280" t="str" cm="1">
        <f t="array" aca="1" ref="AD456" ca="1">INDIRECT("'"&amp;$C456&amp;"'!"&amp;"$"&amp;$D456&amp;$AD$1&amp;"")</f>
        <v>CMS</v>
      </c>
      <c r="AE456" s="281" t="s">
        <v>1</v>
      </c>
      <c r="AF456" s="281" t="s">
        <v>1</v>
      </c>
      <c r="AG456" s="282" t="s">
        <v>1</v>
      </c>
      <c r="AH456" s="278" cm="1">
        <f t="array" aca="1" ref="AH456" ca="1">INDIRECT("'"&amp;$C456&amp;"'!"&amp;"$"&amp;$D456&amp;$AH$1&amp;"")</f>
        <v>0</v>
      </c>
      <c r="AI456" s="281" t="s">
        <v>1</v>
      </c>
      <c r="AJ456" s="281" t="s">
        <v>1</v>
      </c>
      <c r="AK456" s="279" t="s">
        <v>1</v>
      </c>
      <c r="AL456" s="278">
        <v>0</v>
      </c>
      <c r="AM456" s="282">
        <v>71</v>
      </c>
      <c r="AN456" s="278" cm="1">
        <f t="array" aca="1" ref="AN456" ca="1">INDIRECT("'"&amp;$C456&amp;"'!"&amp;"$"&amp;$D456&amp;$AL$1&amp;"")</f>
        <v>0</v>
      </c>
      <c r="AO456" s="281" t="s">
        <v>1</v>
      </c>
      <c r="AP456" s="279" t="s">
        <v>1</v>
      </c>
      <c r="AQ456" s="280" cm="1">
        <f t="array" aca="1" ref="AQ456" ca="1">INDIRECT("'"&amp;$C456&amp;"'!"&amp;"$"&amp;$D456&amp;$AQ$1&amp;"")</f>
        <v>0</v>
      </c>
      <c r="AR456" s="281" t="s">
        <v>1</v>
      </c>
      <c r="AS456" s="279" t="s">
        <v>1</v>
      </c>
      <c r="AT456" s="278">
        <v>13.9</v>
      </c>
      <c r="AU456" s="282">
        <v>70.3</v>
      </c>
      <c r="AV456" s="281" cm="1">
        <f t="array" aca="1" ref="AV456" ca="1">INDIRECT("'"&amp;$C456&amp;"'!"&amp;"$"&amp;$D456&amp;$AV$1&amp;"")</f>
        <v>0</v>
      </c>
      <c r="AW456" s="280" t="s">
        <v>1</v>
      </c>
      <c r="AX456" s="281" t="s">
        <v>1</v>
      </c>
      <c r="AY456" s="279" t="s">
        <v>1</v>
      </c>
      <c r="AZ456" s="281" cm="1">
        <f t="array" aca="1" ref="AZ456" ca="1">INDIRECT("'"&amp;$C456&amp;"'!"&amp;"$"&amp;$D456&amp;$AZ$1&amp;"")</f>
        <v>2.9</v>
      </c>
      <c r="BA456" s="280" t="s">
        <v>1</v>
      </c>
      <c r="BB456" s="281">
        <v>0.97</v>
      </c>
      <c r="BC456" s="279">
        <v>0.76</v>
      </c>
      <c r="BD456" s="283">
        <v>14.22</v>
      </c>
      <c r="BE456" s="282">
        <v>72.069999999999993</v>
      </c>
      <c r="BF456" s="283" cm="1">
        <f t="array" aca="1" ref="BF456" ca="1">INDIRECT("'"&amp;$C456&amp;"'!"&amp;"$"&amp;$D456&amp;$BF$1&amp;"")</f>
        <v>12.39</v>
      </c>
      <c r="BG456" s="281">
        <v>0.99</v>
      </c>
      <c r="BH456" s="279">
        <v>2</v>
      </c>
      <c r="BI456" s="524">
        <v>69.599999999999994</v>
      </c>
      <c r="BJ456" s="278" cm="1">
        <f t="array" aca="1" ref="BJ456" ca="1">INDIRECT("'"&amp;$C456&amp;"'!"&amp;"$"&amp;$D456&amp;$BI$1&amp;"")</f>
        <v>0</v>
      </c>
      <c r="BK456" s="280" t="s">
        <v>1</v>
      </c>
      <c r="BL456" s="279" t="s">
        <v>1</v>
      </c>
      <c r="BM456" s="283" cm="1">
        <f t="array" aca="1" ref="BM456" ca="1">INDIRECT("'"&amp;$C456&amp;"'!"&amp;"$"&amp;$D456&amp;$BM$1&amp;"")</f>
        <v>0.57999999999999996</v>
      </c>
      <c r="BN456" s="281"/>
      <c r="BO456" s="281">
        <v>0.99</v>
      </c>
      <c r="BP456" s="279">
        <v>0.05</v>
      </c>
      <c r="BQ456" s="283" cm="1">
        <f t="array" aca="1" ref="BQ456" ca="1">INDIRECT("'"&amp;$C456&amp;"'!"&amp;"$"&amp;$D456&amp;$BQ$1&amp;"")</f>
        <v>0.67</v>
      </c>
      <c r="BR456" s="281"/>
      <c r="BS456" s="281">
        <v>0.96</v>
      </c>
      <c r="BT456" s="279">
        <v>0.19</v>
      </c>
      <c r="BU456" s="284" cm="1">
        <f t="array" aca="1" ref="BU456" ca="1">INDIRECT("'"&amp;$C456&amp;"'!"&amp;"$"&amp;$D456&amp;74&amp;"")</f>
        <v>0</v>
      </c>
      <c r="BV456" s="281"/>
      <c r="BW456" s="281" t="s">
        <v>1</v>
      </c>
      <c r="BX456" s="279" t="s">
        <v>1</v>
      </c>
    </row>
    <row r="457" spans="1:76">
      <c r="A457" s="459">
        <v>45857</v>
      </c>
      <c r="B457" s="345">
        <v>8.3333333333333301E-2</v>
      </c>
      <c r="C457" s="305">
        <v>19</v>
      </c>
      <c r="D457" s="306" t="s">
        <v>144</v>
      </c>
      <c r="E457" s="285">
        <v>14.1</v>
      </c>
      <c r="F457" s="286">
        <v>70.55</v>
      </c>
      <c r="G457" s="287" t="str" cm="1">
        <f t="array" aca="1" ref="G457" ca="1">INDIRECT("'"&amp;$C457&amp;"'!"&amp;"$"&amp;$D457&amp;$E$1&amp;"")</f>
        <v>CMS</v>
      </c>
      <c r="H457" s="288" t="s">
        <v>1</v>
      </c>
      <c r="I457" s="286" t="s">
        <v>1</v>
      </c>
      <c r="J457" s="287" cm="1">
        <f t="array" aca="1" ref="J457" ca="1">INDIRECT("'"&amp;$C457&amp;"'!"&amp;"$"&amp;$D457&amp;$J$1&amp;"")</f>
        <v>6</v>
      </c>
      <c r="K457" s="288"/>
      <c r="L457" s="288">
        <v>0.99</v>
      </c>
      <c r="M457" s="289">
        <v>0.75</v>
      </c>
      <c r="N457" s="285" cm="1">
        <f t="array" aca="1" ref="N457" ca="1">INDIRECT("'"&amp;$C457&amp;"'!"&amp;"$"&amp;$D457&amp;$N$1&amp;"")</f>
        <v>4.5</v>
      </c>
      <c r="O457" s="288"/>
      <c r="P457" s="288">
        <v>0.97</v>
      </c>
      <c r="Q457" s="286">
        <v>1.08</v>
      </c>
      <c r="R457" s="285" cm="1">
        <f t="array" aca="1" ref="R457" ca="1">INDIRECT("'"&amp;$C457&amp;"'!"&amp;"$"&amp;$D457&amp;$R$1&amp;"")</f>
        <v>1.8</v>
      </c>
      <c r="S457" s="288"/>
      <c r="T457" s="288">
        <v>0.97</v>
      </c>
      <c r="U457" s="286">
        <v>0.59</v>
      </c>
      <c r="V457" s="287" cm="1">
        <f t="array" aca="1" ref="V457" ca="1">INDIRECT("'"&amp;$C457&amp;"'!"&amp;"$"&amp;$D457&amp;$V$1&amp;"")</f>
        <v>0</v>
      </c>
      <c r="W457" s="288" t="s">
        <v>1</v>
      </c>
      <c r="X457" s="288" t="s">
        <v>1</v>
      </c>
      <c r="Y457" s="289" t="s">
        <v>1</v>
      </c>
      <c r="Z457" s="533" t="str" cm="1">
        <f t="array" aca="1" ref="Z457" ca="1">INDIRECT("'"&amp;$C457&amp;"'!"&amp;"$"&amp;$D457&amp;$Z$1&amp;"")</f>
        <v>CMS</v>
      </c>
      <c r="AA457" s="288" t="s">
        <v>1</v>
      </c>
      <c r="AB457" s="288" t="s">
        <v>1</v>
      </c>
      <c r="AC457" s="286" t="s">
        <v>1</v>
      </c>
      <c r="AD457" s="287" t="str" cm="1">
        <f t="array" aca="1" ref="AD457" ca="1">INDIRECT("'"&amp;$C457&amp;"'!"&amp;"$"&amp;$D457&amp;$AD$1&amp;"")</f>
        <v>CMS</v>
      </c>
      <c r="AE457" s="288" t="s">
        <v>1</v>
      </c>
      <c r="AF457" s="288" t="s">
        <v>1</v>
      </c>
      <c r="AG457" s="289" t="s">
        <v>1</v>
      </c>
      <c r="AH457" s="285" cm="1">
        <f t="array" aca="1" ref="AH457" ca="1">INDIRECT("'"&amp;$C457&amp;"'!"&amp;"$"&amp;$D457&amp;$AH$1&amp;"")</f>
        <v>0</v>
      </c>
      <c r="AI457" s="288" t="s">
        <v>1</v>
      </c>
      <c r="AJ457" s="288" t="s">
        <v>1</v>
      </c>
      <c r="AK457" s="289" t="s">
        <v>1</v>
      </c>
      <c r="AL457" s="285">
        <v>11.5</v>
      </c>
      <c r="AM457" s="289">
        <v>70.400000000000006</v>
      </c>
      <c r="AN457" s="285" cm="1">
        <f t="array" aca="1" ref="AN457" ca="1">INDIRECT("'"&amp;$C457&amp;"'!"&amp;"$"&amp;$D457&amp;$AL$1&amp;"")</f>
        <v>0</v>
      </c>
      <c r="AO457" s="288" t="s">
        <v>1</v>
      </c>
      <c r="AP457" s="286" t="s">
        <v>1</v>
      </c>
      <c r="AQ457" s="287" cm="1">
        <f t="array" aca="1" ref="AQ457" ca="1">INDIRECT("'"&amp;$C457&amp;"'!"&amp;"$"&amp;$D457&amp;$AQ$1&amp;"")</f>
        <v>1.5</v>
      </c>
      <c r="AR457" s="288">
        <v>0.98</v>
      </c>
      <c r="AS457" s="286">
        <v>0.4</v>
      </c>
      <c r="AT457" s="285" t="s">
        <v>1</v>
      </c>
      <c r="AU457" s="289" t="s">
        <v>1</v>
      </c>
      <c r="AV457" s="288" cm="1">
        <f t="array" aca="1" ref="AV457" ca="1">INDIRECT("'"&amp;$C457&amp;"'!"&amp;"$"&amp;$D457&amp;$AV$1&amp;"")</f>
        <v>0</v>
      </c>
      <c r="AW457" s="287" t="s">
        <v>1</v>
      </c>
      <c r="AX457" s="288" t="s">
        <v>1</v>
      </c>
      <c r="AY457" s="286" t="s">
        <v>1</v>
      </c>
      <c r="AZ457" s="288" cm="1">
        <f t="array" aca="1" ref="AZ457" ca="1">INDIRECT("'"&amp;$C457&amp;"'!"&amp;"$"&amp;$D457&amp;$AZ$1&amp;"")</f>
        <v>0</v>
      </c>
      <c r="BA457" s="287" t="s">
        <v>1</v>
      </c>
      <c r="BB457" s="288" t="s">
        <v>1</v>
      </c>
      <c r="BC457" s="286" t="s">
        <v>1</v>
      </c>
      <c r="BD457" s="290">
        <v>14</v>
      </c>
      <c r="BE457" s="289">
        <v>71.31</v>
      </c>
      <c r="BF457" s="290" cm="1">
        <f t="array" aca="1" ref="BF457" ca="1">INDIRECT("'"&amp;$C457&amp;"'!"&amp;"$"&amp;$D457&amp;$BF$1&amp;"")</f>
        <v>12.55</v>
      </c>
      <c r="BG457" s="288">
        <v>1</v>
      </c>
      <c r="BH457" s="286">
        <v>1.1000000000000001</v>
      </c>
      <c r="BI457" s="525">
        <v>69.3</v>
      </c>
      <c r="BJ457" s="285" cm="1">
        <f t="array" aca="1" ref="BJ457" ca="1">INDIRECT("'"&amp;$C457&amp;"'!"&amp;"$"&amp;$D457&amp;$BI$1&amp;"")</f>
        <v>0</v>
      </c>
      <c r="BK457" s="287" t="s">
        <v>1</v>
      </c>
      <c r="BL457" s="286" t="s">
        <v>1</v>
      </c>
      <c r="BM457" s="290" cm="1">
        <f t="array" aca="1" ref="BM457" ca="1">INDIRECT("'"&amp;$C457&amp;"'!"&amp;"$"&amp;$D457&amp;$BM$1&amp;"")</f>
        <v>0.59</v>
      </c>
      <c r="BN457" s="288"/>
      <c r="BO457" s="288">
        <v>0.99</v>
      </c>
      <c r="BP457" s="286">
        <v>0.03</v>
      </c>
      <c r="BQ457" s="290" cm="1">
        <f t="array" aca="1" ref="BQ457" ca="1">INDIRECT("'"&amp;$C457&amp;"'!"&amp;"$"&amp;$D457&amp;$BQ$1&amp;"")</f>
        <v>0.68</v>
      </c>
      <c r="BR457" s="288"/>
      <c r="BS457" s="288">
        <v>0.96</v>
      </c>
      <c r="BT457" s="286">
        <v>0.17</v>
      </c>
      <c r="BU457" s="291" cm="1">
        <f t="array" aca="1" ref="BU457" ca="1">INDIRECT("'"&amp;$C457&amp;"'!"&amp;"$"&amp;$D457&amp;74&amp;"")</f>
        <v>0</v>
      </c>
      <c r="BV457" s="288"/>
      <c r="BW457" s="288" t="s">
        <v>1</v>
      </c>
      <c r="BX457" s="286" t="s">
        <v>1</v>
      </c>
    </row>
    <row r="458" spans="1:76">
      <c r="A458" s="459">
        <v>45857</v>
      </c>
      <c r="B458" s="345">
        <v>0.125</v>
      </c>
      <c r="C458" s="305">
        <v>19</v>
      </c>
      <c r="D458" s="306" t="s">
        <v>145</v>
      </c>
      <c r="E458" s="278">
        <v>14.1</v>
      </c>
      <c r="F458" s="279">
        <v>70.45</v>
      </c>
      <c r="G458" s="280" t="str" cm="1">
        <f t="array" aca="1" ref="G458" ca="1">INDIRECT("'"&amp;$C458&amp;"'!"&amp;"$"&amp;$D458&amp;$E$1&amp;"")</f>
        <v>CMS</v>
      </c>
      <c r="H458" s="281" t="s">
        <v>1</v>
      </c>
      <c r="I458" s="279" t="s">
        <v>1</v>
      </c>
      <c r="J458" s="280" cm="1">
        <f t="array" aca="1" ref="J458" ca="1">INDIRECT("'"&amp;$C458&amp;"'!"&amp;"$"&amp;$D458&amp;$J$1&amp;"")</f>
        <v>5.3</v>
      </c>
      <c r="K458" s="281"/>
      <c r="L458" s="281">
        <v>0.99</v>
      </c>
      <c r="M458" s="282">
        <v>0.64</v>
      </c>
      <c r="N458" s="278" cm="1">
        <f t="array" aca="1" ref="N458" ca="1">INDIRECT("'"&amp;$C458&amp;"'!"&amp;"$"&amp;$D458&amp;$N$1&amp;"")</f>
        <v>0</v>
      </c>
      <c r="O458" s="281"/>
      <c r="P458" s="281" t="s">
        <v>1</v>
      </c>
      <c r="Q458" s="279" t="s">
        <v>1</v>
      </c>
      <c r="R458" s="468" cm="1">
        <f t="array" aca="1" ref="R458" ca="1">INDIRECT("'"&amp;$C458&amp;"'!"&amp;"$"&amp;$D458&amp;$R$1&amp;"")</f>
        <v>6</v>
      </c>
      <c r="S458" s="281"/>
      <c r="T458" s="281">
        <v>0.98</v>
      </c>
      <c r="U458" s="279">
        <v>1</v>
      </c>
      <c r="V458" s="280" cm="1">
        <f t="array" aca="1" ref="V458" ca="1">INDIRECT("'"&amp;$C458&amp;"'!"&amp;"$"&amp;$D458&amp;$V$1&amp;"")</f>
        <v>0</v>
      </c>
      <c r="W458" s="281" t="s">
        <v>1</v>
      </c>
      <c r="X458" s="281" t="s">
        <v>1</v>
      </c>
      <c r="Y458" s="282" t="s">
        <v>1</v>
      </c>
      <c r="Z458" s="278" t="str" cm="1">
        <f t="array" aca="1" ref="Z458" ca="1">INDIRECT("'"&amp;$C458&amp;"'!"&amp;"$"&amp;$D458&amp;$Z$1&amp;"")</f>
        <v>CMS</v>
      </c>
      <c r="AA458" s="281" t="s">
        <v>1</v>
      </c>
      <c r="AB458" s="281" t="s">
        <v>1</v>
      </c>
      <c r="AC458" s="279" t="s">
        <v>1</v>
      </c>
      <c r="AD458" s="280" t="str" cm="1">
        <f t="array" aca="1" ref="AD458" ca="1">INDIRECT("'"&amp;$C458&amp;"'!"&amp;"$"&amp;$D458&amp;$AD$1&amp;"")</f>
        <v>CMS</v>
      </c>
      <c r="AE458" s="281" t="s">
        <v>1</v>
      </c>
      <c r="AF458" s="281" t="s">
        <v>1</v>
      </c>
      <c r="AG458" s="282" t="s">
        <v>1</v>
      </c>
      <c r="AH458" s="278" cm="1">
        <f t="array" aca="1" ref="AH458" ca="1">INDIRECT("'"&amp;$C458&amp;"'!"&amp;"$"&amp;$D458&amp;$AH$1&amp;"")</f>
        <v>0</v>
      </c>
      <c r="AI458" s="281" t="s">
        <v>1</v>
      </c>
      <c r="AJ458" s="281" t="s">
        <v>1</v>
      </c>
      <c r="AK458" s="279" t="s">
        <v>1</v>
      </c>
      <c r="AL458" s="278">
        <v>11.5</v>
      </c>
      <c r="AM458" s="282">
        <v>70.400000000000006</v>
      </c>
      <c r="AN458" s="278" cm="1">
        <f t="array" aca="1" ref="AN458" ca="1">INDIRECT("'"&amp;$C458&amp;"'!"&amp;"$"&amp;$D458&amp;$AL$1&amp;"")</f>
        <v>0</v>
      </c>
      <c r="AO458" s="281" t="s">
        <v>1</v>
      </c>
      <c r="AP458" s="279" t="s">
        <v>1</v>
      </c>
      <c r="AQ458" s="280" cm="1">
        <f t="array" aca="1" ref="AQ458" ca="1">INDIRECT("'"&amp;$C458&amp;"'!"&amp;"$"&amp;$D458&amp;$AQ$1&amp;"")</f>
        <v>1.5</v>
      </c>
      <c r="AR458" s="281">
        <v>0.96</v>
      </c>
      <c r="AS458" s="279">
        <v>0.57999999999999996</v>
      </c>
      <c r="AT458" s="278" t="s">
        <v>1</v>
      </c>
      <c r="AU458" s="282" t="s">
        <v>1</v>
      </c>
      <c r="AV458" s="281" cm="1">
        <f t="array" aca="1" ref="AV458" ca="1">INDIRECT("'"&amp;$C458&amp;"'!"&amp;"$"&amp;$D458&amp;$AV$1&amp;"")</f>
        <v>0</v>
      </c>
      <c r="AW458" s="280" t="s">
        <v>1</v>
      </c>
      <c r="AX458" s="281" t="s">
        <v>1</v>
      </c>
      <c r="AY458" s="279" t="s">
        <v>1</v>
      </c>
      <c r="AZ458" s="281" cm="1">
        <f t="array" aca="1" ref="AZ458" ca="1">INDIRECT("'"&amp;$C458&amp;"'!"&amp;"$"&amp;$D458&amp;$AZ$1&amp;"")</f>
        <v>0</v>
      </c>
      <c r="BA458" s="280" t="s">
        <v>1</v>
      </c>
      <c r="BB458" s="281" t="s">
        <v>1</v>
      </c>
      <c r="BC458" s="279" t="s">
        <v>1</v>
      </c>
      <c r="BD458" s="283">
        <v>13.96</v>
      </c>
      <c r="BE458" s="282">
        <v>71.08</v>
      </c>
      <c r="BF458" s="283" cm="1">
        <f t="array" aca="1" ref="BF458" ca="1">INDIRECT("'"&amp;$C458&amp;"'!"&amp;"$"&amp;$D458&amp;$BF$1&amp;"")</f>
        <v>12.49</v>
      </c>
      <c r="BG458" s="281">
        <v>1</v>
      </c>
      <c r="BH458" s="279">
        <v>1.2</v>
      </c>
      <c r="BI458" s="524">
        <v>69.3</v>
      </c>
      <c r="BJ458" s="278" cm="1">
        <f t="array" aca="1" ref="BJ458" ca="1">INDIRECT("'"&amp;$C458&amp;"'!"&amp;"$"&amp;$D458&amp;$BI$1&amp;"")</f>
        <v>0</v>
      </c>
      <c r="BK458" s="280" t="s">
        <v>1</v>
      </c>
      <c r="BL458" s="279" t="s">
        <v>1</v>
      </c>
      <c r="BM458" s="283" cm="1">
        <f t="array" aca="1" ref="BM458" ca="1">INDIRECT("'"&amp;$C458&amp;"'!"&amp;"$"&amp;$D458&amp;$BM$1&amp;"")</f>
        <v>0.57999999999999996</v>
      </c>
      <c r="BN458" s="281"/>
      <c r="BO458" s="281">
        <v>0.99</v>
      </c>
      <c r="BP458" s="279">
        <v>0.03</v>
      </c>
      <c r="BQ458" s="283" cm="1">
        <f t="array" aca="1" ref="BQ458" ca="1">INDIRECT("'"&amp;$C458&amp;"'!"&amp;"$"&amp;$D458&amp;$BQ$1&amp;"")</f>
        <v>0.62</v>
      </c>
      <c r="BR458" s="281"/>
      <c r="BS458" s="281">
        <v>0.96</v>
      </c>
      <c r="BT458" s="279">
        <v>0.17</v>
      </c>
      <c r="BU458" s="284" cm="1">
        <f t="array" aca="1" ref="BU458" ca="1">INDIRECT("'"&amp;$C458&amp;"'!"&amp;"$"&amp;$D458&amp;74&amp;"")</f>
        <v>0</v>
      </c>
      <c r="BV458" s="281"/>
      <c r="BW458" s="281" t="s">
        <v>1</v>
      </c>
      <c r="BX458" s="279" t="s">
        <v>1</v>
      </c>
    </row>
    <row r="459" spans="1:76">
      <c r="A459" s="459">
        <v>45857</v>
      </c>
      <c r="B459" s="345">
        <v>0.16666666666666699</v>
      </c>
      <c r="C459" s="305">
        <v>19</v>
      </c>
      <c r="D459" s="306" t="s">
        <v>146</v>
      </c>
      <c r="E459" s="285">
        <v>14.2</v>
      </c>
      <c r="F459" s="286">
        <v>70.62</v>
      </c>
      <c r="G459" s="287" t="str" cm="1">
        <f t="array" aca="1" ref="G459" ca="1">INDIRECT("'"&amp;$C459&amp;"'!"&amp;"$"&amp;$D459&amp;$E$1&amp;"")</f>
        <v>CMS</v>
      </c>
      <c r="H459" s="288" t="s">
        <v>1</v>
      </c>
      <c r="I459" s="286" t="s">
        <v>1</v>
      </c>
      <c r="J459" s="287" cm="1">
        <f t="array" aca="1" ref="J459" ca="1">INDIRECT("'"&amp;$C459&amp;"'!"&amp;"$"&amp;$D459&amp;$J$1&amp;"")</f>
        <v>6.9</v>
      </c>
      <c r="K459" s="288"/>
      <c r="L459" s="288">
        <v>0.99</v>
      </c>
      <c r="M459" s="286">
        <v>0.86</v>
      </c>
      <c r="N459" s="285" cm="1">
        <f t="array" aca="1" ref="N459" ca="1">INDIRECT("'"&amp;$C459&amp;"'!"&amp;"$"&amp;$D459&amp;$N$1&amp;"")</f>
        <v>0</v>
      </c>
      <c r="O459" s="288"/>
      <c r="P459" s="288" t="s">
        <v>1</v>
      </c>
      <c r="Q459" s="286" t="s">
        <v>1</v>
      </c>
      <c r="R459" s="285" cm="1">
        <f t="array" aca="1" ref="R459" ca="1">INDIRECT("'"&amp;$C459&amp;"'!"&amp;"$"&amp;$D459&amp;$R$1&amp;"")</f>
        <v>6.9</v>
      </c>
      <c r="S459" s="288"/>
      <c r="T459" s="288">
        <v>0.98</v>
      </c>
      <c r="U459" s="286">
        <v>1.24</v>
      </c>
      <c r="V459" s="287" cm="1">
        <f t="array" aca="1" ref="V459" ca="1">INDIRECT("'"&amp;$C459&amp;"'!"&amp;"$"&amp;$D459&amp;$V$1&amp;"")</f>
        <v>0</v>
      </c>
      <c r="W459" s="288" t="s">
        <v>1</v>
      </c>
      <c r="X459" s="288" t="s">
        <v>1</v>
      </c>
      <c r="Y459" s="289" t="s">
        <v>1</v>
      </c>
      <c r="Z459" s="285" t="str" cm="1">
        <f t="array" aca="1" ref="Z459" ca="1">INDIRECT("'"&amp;$C459&amp;"'!"&amp;"$"&amp;$D459&amp;$Z$1&amp;"")</f>
        <v>CMS</v>
      </c>
      <c r="AA459" s="288" t="s">
        <v>1</v>
      </c>
      <c r="AB459" s="288" t="s">
        <v>1</v>
      </c>
      <c r="AC459" s="286" t="s">
        <v>1</v>
      </c>
      <c r="AD459" s="287" t="str" cm="1">
        <f t="array" aca="1" ref="AD459" ca="1">INDIRECT("'"&amp;$C459&amp;"'!"&amp;"$"&amp;$D459&amp;$AD$1&amp;"")</f>
        <v>CMS</v>
      </c>
      <c r="AE459" s="288" t="s">
        <v>1</v>
      </c>
      <c r="AF459" s="288" t="s">
        <v>1</v>
      </c>
      <c r="AG459" s="289" t="s">
        <v>1</v>
      </c>
      <c r="AH459" s="285" cm="1">
        <f t="array" aca="1" ref="AH459" ca="1">INDIRECT("'"&amp;$C459&amp;"'!"&amp;"$"&amp;$D459&amp;$AH$1&amp;"")</f>
        <v>0</v>
      </c>
      <c r="AI459" s="288" t="s">
        <v>1</v>
      </c>
      <c r="AJ459" s="288" t="s">
        <v>1</v>
      </c>
      <c r="AK459" s="286" t="s">
        <v>1</v>
      </c>
      <c r="AL459" s="285">
        <v>0</v>
      </c>
      <c r="AM459" s="289">
        <v>70.400000000000006</v>
      </c>
      <c r="AN459" s="285" cm="1">
        <f t="array" aca="1" ref="AN459" ca="1">INDIRECT("'"&amp;$C459&amp;"'!"&amp;"$"&amp;$D459&amp;$AL$1&amp;"")</f>
        <v>0</v>
      </c>
      <c r="AO459" s="288" t="s">
        <v>1</v>
      </c>
      <c r="AP459" s="286" t="s">
        <v>1</v>
      </c>
      <c r="AQ459" s="287" cm="1">
        <f t="array" aca="1" ref="AQ459" ca="1">INDIRECT("'"&amp;$C459&amp;"'!"&amp;"$"&amp;$D459&amp;$AQ$1&amp;"")</f>
        <v>0</v>
      </c>
      <c r="AR459" s="288" t="s">
        <v>1</v>
      </c>
      <c r="AS459" s="286" t="s">
        <v>1</v>
      </c>
      <c r="AT459" s="285" t="s">
        <v>1</v>
      </c>
      <c r="AU459" s="289" t="s">
        <v>1</v>
      </c>
      <c r="AV459" s="288" cm="1">
        <f t="array" aca="1" ref="AV459" ca="1">INDIRECT("'"&amp;$C459&amp;"'!"&amp;"$"&amp;$D459&amp;$AV$1&amp;"")</f>
        <v>0</v>
      </c>
      <c r="AW459" s="287" t="s">
        <v>1</v>
      </c>
      <c r="AX459" s="288" t="s">
        <v>1</v>
      </c>
      <c r="AY459" s="286" t="s">
        <v>1</v>
      </c>
      <c r="AZ459" s="288" cm="1">
        <f t="array" aca="1" ref="AZ459" ca="1">INDIRECT("'"&amp;$C459&amp;"'!"&amp;"$"&amp;$D459&amp;$AZ$1&amp;"")</f>
        <v>0</v>
      </c>
      <c r="BA459" s="287" t="s">
        <v>1</v>
      </c>
      <c r="BB459" s="288" t="s">
        <v>1</v>
      </c>
      <c r="BC459" s="286" t="s">
        <v>1</v>
      </c>
      <c r="BD459" s="290">
        <v>14.09</v>
      </c>
      <c r="BE459" s="289">
        <v>70.400000000000006</v>
      </c>
      <c r="BF459" s="290" cm="1">
        <f t="array" aca="1" ref="BF459" ca="1">INDIRECT("'"&amp;$C459&amp;"'!"&amp;"$"&amp;$D459&amp;$BF$1&amp;"")</f>
        <v>12.3</v>
      </c>
      <c r="BG459" s="288">
        <v>0.99</v>
      </c>
      <c r="BH459" s="286">
        <v>1.9</v>
      </c>
      <c r="BI459" s="525">
        <v>69.3</v>
      </c>
      <c r="BJ459" s="285" cm="1">
        <f t="array" aca="1" ref="BJ459" ca="1">INDIRECT("'"&amp;$C459&amp;"'!"&amp;"$"&amp;$D459&amp;$BI$1&amp;"")</f>
        <v>0</v>
      </c>
      <c r="BK459" s="287" t="s">
        <v>1</v>
      </c>
      <c r="BL459" s="286" t="s">
        <v>1</v>
      </c>
      <c r="BM459" s="290" cm="1">
        <f t="array" aca="1" ref="BM459" ca="1">INDIRECT("'"&amp;$C459&amp;"'!"&amp;"$"&amp;$D459&amp;$BM$1&amp;"")</f>
        <v>0.54</v>
      </c>
      <c r="BN459" s="288"/>
      <c r="BO459" s="288">
        <v>0.99</v>
      </c>
      <c r="BP459" s="286">
        <v>7.0000000000000007E-2</v>
      </c>
      <c r="BQ459" s="290" cm="1">
        <f t="array" aca="1" ref="BQ459" ca="1">INDIRECT("'"&amp;$C459&amp;"'!"&amp;"$"&amp;$D459&amp;$BQ$1&amp;"")</f>
        <v>0.61</v>
      </c>
      <c r="BR459" s="288"/>
      <c r="BS459" s="288">
        <v>0.96</v>
      </c>
      <c r="BT459" s="286">
        <v>0.16</v>
      </c>
      <c r="BU459" s="291" cm="1">
        <f t="array" aca="1" ref="BU459" ca="1">INDIRECT("'"&amp;$C459&amp;"'!"&amp;"$"&amp;$D459&amp;74&amp;"")</f>
        <v>0</v>
      </c>
      <c r="BV459" s="288"/>
      <c r="BW459" s="288" t="s">
        <v>1</v>
      </c>
      <c r="BX459" s="286" t="s">
        <v>1</v>
      </c>
    </row>
    <row r="460" spans="1:76">
      <c r="A460" s="459">
        <v>45857</v>
      </c>
      <c r="B460" s="345">
        <v>0.20833333333333301</v>
      </c>
      <c r="C460" s="305">
        <v>19</v>
      </c>
      <c r="D460" s="306" t="s">
        <v>147</v>
      </c>
      <c r="E460" s="278">
        <v>14.1</v>
      </c>
      <c r="F460" s="279">
        <v>70.55</v>
      </c>
      <c r="G460" s="280" t="str" cm="1">
        <f t="array" aca="1" ref="G460" ca="1">INDIRECT("'"&amp;$C460&amp;"'!"&amp;"$"&amp;$D460&amp;$E$1&amp;"")</f>
        <v>CMS</v>
      </c>
      <c r="H460" s="281" t="s">
        <v>1</v>
      </c>
      <c r="I460" s="279" t="s">
        <v>1</v>
      </c>
      <c r="J460" s="280" cm="1">
        <f t="array" aca="1" ref="J460" ca="1">INDIRECT("'"&amp;$C460&amp;"'!"&amp;"$"&amp;$D460&amp;$J$1&amp;"")</f>
        <v>6.7</v>
      </c>
      <c r="K460" s="281"/>
      <c r="L460" s="281">
        <v>0.99</v>
      </c>
      <c r="M460" s="279">
        <v>0.76</v>
      </c>
      <c r="N460" s="278" cm="1">
        <f t="array" aca="1" ref="N460" ca="1">INDIRECT("'"&amp;$C460&amp;"'!"&amp;"$"&amp;$D460&amp;$N$1&amp;"")</f>
        <v>0</v>
      </c>
      <c r="O460" s="281"/>
      <c r="P460" s="281" t="s">
        <v>1</v>
      </c>
      <c r="Q460" s="279" t="s">
        <v>1</v>
      </c>
      <c r="R460" s="468" cm="1">
        <f t="array" aca="1" ref="R460" ca="1">INDIRECT("'"&amp;$C460&amp;"'!"&amp;"$"&amp;$D460&amp;$R$1&amp;"")</f>
        <v>6.7</v>
      </c>
      <c r="S460" s="281"/>
      <c r="T460" s="281">
        <v>0.99</v>
      </c>
      <c r="U460" s="279">
        <v>0.79</v>
      </c>
      <c r="V460" s="280" cm="1">
        <f t="array" aca="1" ref="V460" ca="1">INDIRECT("'"&amp;$C460&amp;"'!"&amp;"$"&amp;$D460&amp;$V$1&amp;"")</f>
        <v>0</v>
      </c>
      <c r="W460" s="281" t="s">
        <v>1</v>
      </c>
      <c r="X460" s="281" t="s">
        <v>1</v>
      </c>
      <c r="Y460" s="282" t="s">
        <v>1</v>
      </c>
      <c r="Z460" s="278" t="str" cm="1">
        <f t="array" aca="1" ref="Z460" ca="1">INDIRECT("'"&amp;$C460&amp;"'!"&amp;"$"&amp;$D460&amp;$Z$1&amp;"")</f>
        <v>CMS</v>
      </c>
      <c r="AA460" s="281" t="s">
        <v>1</v>
      </c>
      <c r="AB460" s="281" t="s">
        <v>1</v>
      </c>
      <c r="AC460" s="279" t="s">
        <v>1</v>
      </c>
      <c r="AD460" s="280" t="str" cm="1">
        <f t="array" aca="1" ref="AD460" ca="1">INDIRECT("'"&amp;$C460&amp;"'!"&amp;"$"&amp;$D460&amp;$AD$1&amp;"")</f>
        <v>CMS</v>
      </c>
      <c r="AE460" s="281" t="s">
        <v>1</v>
      </c>
      <c r="AF460" s="281" t="s">
        <v>1</v>
      </c>
      <c r="AG460" s="282" t="s">
        <v>1</v>
      </c>
      <c r="AH460" s="278" cm="1">
        <f t="array" aca="1" ref="AH460" ca="1">INDIRECT("'"&amp;$C460&amp;"'!"&amp;"$"&amp;$D460&amp;$AH$1&amp;"")</f>
        <v>0</v>
      </c>
      <c r="AI460" s="281" t="s">
        <v>1</v>
      </c>
      <c r="AJ460" s="281" t="s">
        <v>1</v>
      </c>
      <c r="AK460" s="279" t="s">
        <v>1</v>
      </c>
      <c r="AL460" s="278" t="s">
        <v>1</v>
      </c>
      <c r="AM460" s="282" t="s">
        <v>1</v>
      </c>
      <c r="AN460" s="278" cm="1">
        <f t="array" aca="1" ref="AN460" ca="1">INDIRECT("'"&amp;$C460&amp;"'!"&amp;"$"&amp;$D460&amp;$AL$1&amp;"")</f>
        <v>0</v>
      </c>
      <c r="AO460" s="281" t="s">
        <v>1</v>
      </c>
      <c r="AP460" s="279" t="s">
        <v>1</v>
      </c>
      <c r="AQ460" s="280" cm="1">
        <f t="array" aca="1" ref="AQ460" ca="1">INDIRECT("'"&amp;$C460&amp;"'!"&amp;"$"&amp;$D460&amp;$AQ$1&amp;"")</f>
        <v>0</v>
      </c>
      <c r="AR460" s="281" t="s">
        <v>1</v>
      </c>
      <c r="AS460" s="279" t="s">
        <v>1</v>
      </c>
      <c r="AT460" s="278" t="s">
        <v>1</v>
      </c>
      <c r="AU460" s="282" t="s">
        <v>1</v>
      </c>
      <c r="AV460" s="281" cm="1">
        <f t="array" aca="1" ref="AV460" ca="1">INDIRECT("'"&amp;$C460&amp;"'!"&amp;"$"&amp;$D460&amp;$AV$1&amp;"")</f>
        <v>0</v>
      </c>
      <c r="AW460" s="280" t="s">
        <v>1</v>
      </c>
      <c r="AX460" s="281" t="s">
        <v>1</v>
      </c>
      <c r="AY460" s="279" t="s">
        <v>1</v>
      </c>
      <c r="AZ460" s="281" cm="1">
        <f t="array" aca="1" ref="AZ460" ca="1">INDIRECT("'"&amp;$C460&amp;"'!"&amp;"$"&amp;$D460&amp;$AZ$1&amp;"")</f>
        <v>0</v>
      </c>
      <c r="BA460" s="280" t="s">
        <v>1</v>
      </c>
      <c r="BB460" s="281" t="s">
        <v>1</v>
      </c>
      <c r="BC460" s="279" t="s">
        <v>1</v>
      </c>
      <c r="BD460" s="283">
        <v>14.11</v>
      </c>
      <c r="BE460" s="282">
        <v>71.599999999999994</v>
      </c>
      <c r="BF460" s="283" cm="1">
        <f t="array" aca="1" ref="BF460" ca="1">INDIRECT("'"&amp;$C460&amp;"'!"&amp;"$"&amp;$D460&amp;$BF$1&amp;"")</f>
        <v>13.28</v>
      </c>
      <c r="BG460" s="281">
        <v>0.99</v>
      </c>
      <c r="BH460" s="279">
        <v>2.1</v>
      </c>
      <c r="BI460" s="524">
        <v>69.2</v>
      </c>
      <c r="BJ460" s="278" cm="1">
        <f t="array" aca="1" ref="BJ460" ca="1">INDIRECT("'"&amp;$C460&amp;"'!"&amp;"$"&amp;$D460&amp;$BI$1&amp;"")</f>
        <v>0</v>
      </c>
      <c r="BK460" s="280" t="s">
        <v>1</v>
      </c>
      <c r="BL460" s="279" t="s">
        <v>1</v>
      </c>
      <c r="BM460" s="283" cm="1">
        <f t="array" aca="1" ref="BM460" ca="1">INDIRECT("'"&amp;$C460&amp;"'!"&amp;"$"&amp;$D460&amp;$BM$1&amp;"")</f>
        <v>0.56999999999999995</v>
      </c>
      <c r="BN460" s="281"/>
      <c r="BO460" s="281">
        <v>0.99</v>
      </c>
      <c r="BP460" s="279">
        <v>7.0000000000000007E-2</v>
      </c>
      <c r="BQ460" s="283" cm="1">
        <f t="array" aca="1" ref="BQ460" ca="1">INDIRECT("'"&amp;$C460&amp;"'!"&amp;"$"&amp;$D460&amp;$BQ$1&amp;"")</f>
        <v>0.63</v>
      </c>
      <c r="BR460" s="281"/>
      <c r="BS460" s="281">
        <v>0.96</v>
      </c>
      <c r="BT460" s="279">
        <v>0.16</v>
      </c>
      <c r="BU460" s="284" cm="1">
        <f t="array" aca="1" ref="BU460" ca="1">INDIRECT("'"&amp;$C460&amp;"'!"&amp;"$"&amp;$D460&amp;74&amp;"")</f>
        <v>0</v>
      </c>
      <c r="BV460" s="281"/>
      <c r="BW460" s="281" t="s">
        <v>1</v>
      </c>
      <c r="BX460" s="279" t="s">
        <v>1</v>
      </c>
    </row>
    <row r="461" spans="1:76">
      <c r="A461" s="459">
        <v>45857</v>
      </c>
      <c r="B461" s="345">
        <v>0.25</v>
      </c>
      <c r="C461" s="305">
        <v>19</v>
      </c>
      <c r="D461" s="306" t="s">
        <v>148</v>
      </c>
      <c r="E461" s="285">
        <v>14</v>
      </c>
      <c r="F461" s="286">
        <v>70.31</v>
      </c>
      <c r="G461" s="287" t="str" cm="1">
        <f t="array" aca="1" ref="G461" ca="1">INDIRECT("'"&amp;$C461&amp;"'!"&amp;"$"&amp;$D461&amp;$E$1&amp;"")</f>
        <v>CMS</v>
      </c>
      <c r="H461" s="288" t="s">
        <v>1</v>
      </c>
      <c r="I461" s="286" t="s">
        <v>1</v>
      </c>
      <c r="J461" s="287" cm="1">
        <f t="array" aca="1" ref="J461" ca="1">INDIRECT("'"&amp;$C461&amp;"'!"&amp;"$"&amp;$D461&amp;$J$1&amp;"")</f>
        <v>6.5</v>
      </c>
      <c r="K461" s="288"/>
      <c r="L461" s="288">
        <v>0.96</v>
      </c>
      <c r="M461" s="286">
        <v>1.94</v>
      </c>
      <c r="N461" s="285" cm="1">
        <f t="array" aca="1" ref="N461" ca="1">INDIRECT("'"&amp;$C461&amp;"'!"&amp;"$"&amp;$D461&amp;$N$1&amp;"")</f>
        <v>0</v>
      </c>
      <c r="O461" s="288"/>
      <c r="P461" s="288" t="s">
        <v>1</v>
      </c>
      <c r="Q461" s="286" t="s">
        <v>1</v>
      </c>
      <c r="R461" s="285" cm="1">
        <f t="array" aca="1" ref="R461" ca="1">INDIRECT("'"&amp;$C461&amp;"'!"&amp;"$"&amp;$D461&amp;$R$1&amp;"")</f>
        <v>6.5</v>
      </c>
      <c r="S461" s="288"/>
      <c r="T461" s="288">
        <v>0.96</v>
      </c>
      <c r="U461" s="286">
        <v>1.92</v>
      </c>
      <c r="V461" s="287" cm="1">
        <f t="array" aca="1" ref="V461" ca="1">INDIRECT("'"&amp;$C461&amp;"'!"&amp;"$"&amp;$D461&amp;$V$1&amp;"")</f>
        <v>0</v>
      </c>
      <c r="W461" s="288" t="s">
        <v>1</v>
      </c>
      <c r="X461" s="288" t="s">
        <v>1</v>
      </c>
      <c r="Y461" s="289" t="s">
        <v>1</v>
      </c>
      <c r="Z461" s="285" t="str" cm="1">
        <f t="array" aca="1" ref="Z461" ca="1">INDIRECT("'"&amp;$C461&amp;"'!"&amp;"$"&amp;$D461&amp;$Z$1&amp;"")</f>
        <v>CMS</v>
      </c>
      <c r="AA461" s="288" t="s">
        <v>1</v>
      </c>
      <c r="AB461" s="288" t="s">
        <v>1</v>
      </c>
      <c r="AC461" s="286" t="s">
        <v>1</v>
      </c>
      <c r="AD461" s="287" t="str" cm="1">
        <f t="array" aca="1" ref="AD461" ca="1">INDIRECT("'"&amp;$C461&amp;"'!"&amp;"$"&amp;$D461&amp;$AD$1&amp;"")</f>
        <v>CMS</v>
      </c>
      <c r="AE461" s="288" t="s">
        <v>1</v>
      </c>
      <c r="AF461" s="288" t="s">
        <v>1</v>
      </c>
      <c r="AG461" s="289" t="s">
        <v>1</v>
      </c>
      <c r="AH461" s="285" cm="1">
        <f t="array" aca="1" ref="AH461" ca="1">INDIRECT("'"&amp;$C461&amp;"'!"&amp;"$"&amp;$D461&amp;$AH$1&amp;"")</f>
        <v>0</v>
      </c>
      <c r="AI461" s="288" t="s">
        <v>1</v>
      </c>
      <c r="AJ461" s="288" t="s">
        <v>1</v>
      </c>
      <c r="AK461" s="286" t="s">
        <v>1</v>
      </c>
      <c r="AL461" s="285">
        <v>0</v>
      </c>
      <c r="AM461" s="289">
        <v>70.099999999999994</v>
      </c>
      <c r="AN461" s="285" cm="1">
        <f t="array" aca="1" ref="AN461" ca="1">INDIRECT("'"&amp;$C461&amp;"'!"&amp;"$"&amp;$D461&amp;$AL$1&amp;"")</f>
        <v>0</v>
      </c>
      <c r="AO461" s="288" t="s">
        <v>1</v>
      </c>
      <c r="AP461" s="286" t="s">
        <v>1</v>
      </c>
      <c r="AQ461" s="287" cm="1">
        <f t="array" aca="1" ref="AQ461" ca="1">INDIRECT("'"&amp;$C461&amp;"'!"&amp;"$"&amp;$D461&amp;$AQ$1&amp;"")</f>
        <v>0</v>
      </c>
      <c r="AR461" s="288" t="s">
        <v>1</v>
      </c>
      <c r="AS461" s="286" t="s">
        <v>1</v>
      </c>
      <c r="AT461" s="285" t="s">
        <v>1</v>
      </c>
      <c r="AU461" s="289" t="s">
        <v>1</v>
      </c>
      <c r="AV461" s="288" cm="1">
        <f t="array" aca="1" ref="AV461" ca="1">INDIRECT("'"&amp;$C461&amp;"'!"&amp;"$"&amp;$D461&amp;$AV$1&amp;"")</f>
        <v>0</v>
      </c>
      <c r="AW461" s="287" t="s">
        <v>1</v>
      </c>
      <c r="AX461" s="288" t="s">
        <v>1</v>
      </c>
      <c r="AY461" s="286" t="s">
        <v>1</v>
      </c>
      <c r="AZ461" s="288" cm="1">
        <f t="array" aca="1" ref="AZ461" ca="1">INDIRECT("'"&amp;$C461&amp;"'!"&amp;"$"&amp;$D461&amp;$AZ$1&amp;"")</f>
        <v>0</v>
      </c>
      <c r="BA461" s="287" t="s">
        <v>1</v>
      </c>
      <c r="BB461" s="288" t="s">
        <v>1</v>
      </c>
      <c r="BC461" s="286" t="s">
        <v>1</v>
      </c>
      <c r="BD461" s="290">
        <v>14.08</v>
      </c>
      <c r="BE461" s="289">
        <v>71.319999999999993</v>
      </c>
      <c r="BF461" s="290" cm="1">
        <f t="array" aca="1" ref="BF461" ca="1">INDIRECT("'"&amp;$C461&amp;"'!"&amp;"$"&amp;$D461&amp;$BF$1&amp;"")</f>
        <v>14.1</v>
      </c>
      <c r="BG461" s="288">
        <v>0.99</v>
      </c>
      <c r="BH461" s="286">
        <v>2.2999999999999998</v>
      </c>
      <c r="BI461" s="525">
        <v>69</v>
      </c>
      <c r="BJ461" s="285" cm="1">
        <f t="array" aca="1" ref="BJ461" ca="1">INDIRECT("'"&amp;$C461&amp;"'!"&amp;"$"&amp;$D461&amp;$BI$1&amp;"")</f>
        <v>1.4</v>
      </c>
      <c r="BK461" s="287">
        <v>0.97</v>
      </c>
      <c r="BL461" s="286">
        <v>0.35</v>
      </c>
      <c r="BM461" s="290" cm="1">
        <f t="array" aca="1" ref="BM461" ca="1">INDIRECT("'"&amp;$C461&amp;"'!"&amp;"$"&amp;$D461&amp;$BM$1&amp;"")</f>
        <v>0.56000000000000005</v>
      </c>
      <c r="BN461" s="288"/>
      <c r="BO461" s="288">
        <v>0.99</v>
      </c>
      <c r="BP461" s="286">
        <v>0.03</v>
      </c>
      <c r="BQ461" s="290" cm="1">
        <f t="array" aca="1" ref="BQ461" ca="1">INDIRECT("'"&amp;$C461&amp;"'!"&amp;"$"&amp;$D461&amp;$BQ$1&amp;"")</f>
        <v>0.64</v>
      </c>
      <c r="BR461" s="288"/>
      <c r="BS461" s="288">
        <v>0.96</v>
      </c>
      <c r="BT461" s="286">
        <v>0.16</v>
      </c>
      <c r="BU461" s="291" cm="1">
        <f t="array" aca="1" ref="BU461" ca="1">INDIRECT("'"&amp;$C461&amp;"'!"&amp;"$"&amp;$D461&amp;74&amp;"")</f>
        <v>0</v>
      </c>
      <c r="BV461" s="288"/>
      <c r="BW461" s="288" t="s">
        <v>1</v>
      </c>
      <c r="BX461" s="286" t="s">
        <v>1</v>
      </c>
    </row>
    <row r="462" spans="1:76">
      <c r="A462" s="459">
        <v>45857</v>
      </c>
      <c r="B462" s="345">
        <v>0.29166666666666702</v>
      </c>
      <c r="C462" s="305">
        <v>19</v>
      </c>
      <c r="D462" s="306" t="s">
        <v>149</v>
      </c>
      <c r="E462" s="278">
        <v>14</v>
      </c>
      <c r="F462" s="279">
        <v>69.72</v>
      </c>
      <c r="G462" s="280" t="str" cm="1">
        <f t="array" aca="1" ref="G462" ca="1">INDIRECT("'"&amp;$C462&amp;"'!"&amp;"$"&amp;$D462&amp;$E$1&amp;"")</f>
        <v>CMS</v>
      </c>
      <c r="H462" s="281" t="s">
        <v>1</v>
      </c>
      <c r="I462" s="279" t="s">
        <v>1</v>
      </c>
      <c r="J462" s="280" cm="1">
        <f t="array" aca="1" ref="J462" ca="1">INDIRECT("'"&amp;$C462&amp;"'!"&amp;"$"&amp;$D462&amp;$J$1&amp;"")</f>
        <v>6.5</v>
      </c>
      <c r="K462" s="281"/>
      <c r="L462" s="281">
        <v>0.93</v>
      </c>
      <c r="M462" s="282">
        <v>2.59</v>
      </c>
      <c r="N462" s="278" cm="1">
        <f t="array" aca="1" ref="N462" ca="1">INDIRECT("'"&amp;$C462&amp;"'!"&amp;"$"&amp;$D462&amp;$N$1&amp;"")</f>
        <v>0</v>
      </c>
      <c r="O462" s="281"/>
      <c r="P462" s="281" t="s">
        <v>1</v>
      </c>
      <c r="Q462" s="279" t="s">
        <v>1</v>
      </c>
      <c r="R462" s="468" cm="1">
        <f t="array" aca="1" ref="R462" ca="1">INDIRECT("'"&amp;$C462&amp;"'!"&amp;"$"&amp;$D462&amp;$R$1&amp;"")</f>
        <v>6.5</v>
      </c>
      <c r="S462" s="281"/>
      <c r="T462" s="281">
        <v>0.93</v>
      </c>
      <c r="U462" s="279">
        <v>2.5099999999999998</v>
      </c>
      <c r="V462" s="280" cm="1">
        <f t="array" aca="1" ref="V462" ca="1">INDIRECT("'"&amp;$C462&amp;"'!"&amp;"$"&amp;$D462&amp;$V$1&amp;"")</f>
        <v>0</v>
      </c>
      <c r="W462" s="281" t="s">
        <v>1</v>
      </c>
      <c r="X462" s="281" t="s">
        <v>1</v>
      </c>
      <c r="Y462" s="282" t="s">
        <v>1</v>
      </c>
      <c r="Z462" s="278" t="str" cm="1">
        <f t="array" aca="1" ref="Z462" ca="1">INDIRECT("'"&amp;$C462&amp;"'!"&amp;"$"&amp;$D462&amp;$Z$1&amp;"")</f>
        <v>CMS</v>
      </c>
      <c r="AA462" s="281" t="s">
        <v>1</v>
      </c>
      <c r="AB462" s="281" t="s">
        <v>1</v>
      </c>
      <c r="AC462" s="279" t="s">
        <v>1</v>
      </c>
      <c r="AD462" s="280" t="str" cm="1">
        <f t="array" aca="1" ref="AD462" ca="1">INDIRECT("'"&amp;$C462&amp;"'!"&amp;"$"&amp;$D462&amp;$AD$1&amp;"")</f>
        <v>CMS</v>
      </c>
      <c r="AE462" s="281" t="s">
        <v>1</v>
      </c>
      <c r="AF462" s="281" t="s">
        <v>1</v>
      </c>
      <c r="AG462" s="282" t="s">
        <v>1</v>
      </c>
      <c r="AH462" s="278" cm="1">
        <f t="array" aca="1" ref="AH462" ca="1">INDIRECT("'"&amp;$C462&amp;"'!"&amp;"$"&amp;$D462&amp;$AH$1&amp;"")</f>
        <v>0</v>
      </c>
      <c r="AI462" s="281" t="s">
        <v>1</v>
      </c>
      <c r="AJ462" s="281" t="s">
        <v>1</v>
      </c>
      <c r="AK462" s="279" t="s">
        <v>1</v>
      </c>
      <c r="AL462" s="278">
        <v>0</v>
      </c>
      <c r="AM462" s="282">
        <v>70.099999999999994</v>
      </c>
      <c r="AN462" s="278" cm="1">
        <f t="array" aca="1" ref="AN462" ca="1">INDIRECT("'"&amp;$C462&amp;"'!"&amp;"$"&amp;$D462&amp;$AL$1&amp;"")</f>
        <v>0</v>
      </c>
      <c r="AO462" s="281" t="s">
        <v>1</v>
      </c>
      <c r="AP462" s="279" t="s">
        <v>1</v>
      </c>
      <c r="AQ462" s="280" cm="1">
        <f t="array" aca="1" ref="AQ462" ca="1">INDIRECT("'"&amp;$C462&amp;"'!"&amp;"$"&amp;$D462&amp;$AQ$1&amp;"")</f>
        <v>0</v>
      </c>
      <c r="AR462" s="281" t="s">
        <v>1</v>
      </c>
      <c r="AS462" s="279" t="s">
        <v>1</v>
      </c>
      <c r="AT462" s="278">
        <v>13.84</v>
      </c>
      <c r="AU462" s="282">
        <v>70</v>
      </c>
      <c r="AV462" s="281" cm="1">
        <f t="array" aca="1" ref="AV462" ca="1">INDIRECT("'"&amp;$C462&amp;"'!"&amp;"$"&amp;$D462&amp;$AV$1&amp;"")</f>
        <v>0</v>
      </c>
      <c r="AW462" s="280" t="s">
        <v>1</v>
      </c>
      <c r="AX462" s="281" t="s">
        <v>1</v>
      </c>
      <c r="AY462" s="279" t="s">
        <v>1</v>
      </c>
      <c r="AZ462" s="281" cm="1">
        <f t="array" aca="1" ref="AZ462" ca="1">INDIRECT("'"&amp;$C462&amp;"'!"&amp;"$"&amp;$D462&amp;$AZ$1&amp;"")</f>
        <v>3</v>
      </c>
      <c r="BA462" s="280" t="s">
        <v>1</v>
      </c>
      <c r="BB462" s="281">
        <v>0.96</v>
      </c>
      <c r="BC462" s="279">
        <v>0.98</v>
      </c>
      <c r="BD462" s="283">
        <v>14.09</v>
      </c>
      <c r="BE462" s="282">
        <v>71.3</v>
      </c>
      <c r="BF462" s="283" cm="1">
        <f t="array" aca="1" ref="BF462" ca="1">INDIRECT("'"&amp;$C462&amp;"'!"&amp;"$"&amp;$D462&amp;$BF$1&amp;"")</f>
        <v>14.16</v>
      </c>
      <c r="BG462" s="281">
        <v>0.99</v>
      </c>
      <c r="BH462" s="279">
        <v>2.2999999999999998</v>
      </c>
      <c r="BI462" s="524">
        <v>68.400000000000006</v>
      </c>
      <c r="BJ462" s="278" cm="1">
        <f t="array" aca="1" ref="BJ462" ca="1">INDIRECT("'"&amp;$C462&amp;"'!"&amp;"$"&amp;$D462&amp;$BI$1&amp;"")</f>
        <v>0</v>
      </c>
      <c r="BK462" s="280" t="s">
        <v>1</v>
      </c>
      <c r="BL462" s="279" t="s">
        <v>1</v>
      </c>
      <c r="BM462" s="283" cm="1">
        <f t="array" aca="1" ref="BM462" ca="1">INDIRECT("'"&amp;$C462&amp;"'!"&amp;"$"&amp;$D462&amp;$BM$1&amp;"")</f>
        <v>0.73</v>
      </c>
      <c r="BN462" s="281"/>
      <c r="BO462" s="281">
        <v>0.99</v>
      </c>
      <c r="BP462" s="279">
        <v>0.06</v>
      </c>
      <c r="BQ462" s="284" cm="1">
        <f t="array" aca="1" ref="BQ462" ca="1">INDIRECT("'"&amp;$C462&amp;"'!"&amp;"$"&amp;$D462&amp;$BQ$1&amp;"")</f>
        <v>0.66</v>
      </c>
      <c r="BR462" s="281"/>
      <c r="BS462" s="281">
        <v>0.96</v>
      </c>
      <c r="BT462" s="279">
        <v>0.17</v>
      </c>
      <c r="BU462" s="284" cm="1">
        <f t="array" aca="1" ref="BU462" ca="1">INDIRECT("'"&amp;$C462&amp;"'!"&amp;"$"&amp;$D462&amp;74&amp;"")</f>
        <v>0</v>
      </c>
      <c r="BV462" s="281"/>
      <c r="BW462" s="281" t="s">
        <v>1</v>
      </c>
      <c r="BX462" s="279" t="s">
        <v>1</v>
      </c>
    </row>
    <row r="463" spans="1:76">
      <c r="A463" s="459">
        <v>45857</v>
      </c>
      <c r="B463" s="345">
        <v>0.33333333333333398</v>
      </c>
      <c r="C463" s="305">
        <v>19</v>
      </c>
      <c r="D463" s="306" t="s">
        <v>150</v>
      </c>
      <c r="E463" s="285">
        <v>13.9</v>
      </c>
      <c r="F463" s="286">
        <v>68.62</v>
      </c>
      <c r="G463" s="287" t="str" cm="1">
        <f t="array" aca="1" ref="G463" ca="1">INDIRECT("'"&amp;$C463&amp;"'!"&amp;"$"&amp;$D463&amp;$E$1&amp;"")</f>
        <v>CMS</v>
      </c>
      <c r="H463" s="288" t="s">
        <v>1</v>
      </c>
      <c r="I463" s="286" t="s">
        <v>1</v>
      </c>
      <c r="J463" s="287" cm="1">
        <f t="array" aca="1" ref="J463" ca="1">INDIRECT("'"&amp;$C463&amp;"'!"&amp;"$"&amp;$D463&amp;$J$1&amp;"")</f>
        <v>6.5</v>
      </c>
      <c r="K463" s="288"/>
      <c r="L463" s="288">
        <v>0.96</v>
      </c>
      <c r="M463" s="289">
        <v>1.85</v>
      </c>
      <c r="N463" s="285" cm="1">
        <f t="array" aca="1" ref="N463" ca="1">INDIRECT("'"&amp;$C463&amp;"'!"&amp;"$"&amp;$D463&amp;$N$1&amp;"")</f>
        <v>0</v>
      </c>
      <c r="O463" s="288"/>
      <c r="P463" s="288" t="s">
        <v>1</v>
      </c>
      <c r="Q463" s="286" t="s">
        <v>1</v>
      </c>
      <c r="R463" s="285" cm="1">
        <f t="array" aca="1" ref="R463" ca="1">INDIRECT("'"&amp;$C463&amp;"'!"&amp;"$"&amp;$D463&amp;$R$1&amp;"")</f>
        <v>6.5</v>
      </c>
      <c r="S463" s="288"/>
      <c r="T463" s="288">
        <v>0.96</v>
      </c>
      <c r="U463" s="286">
        <v>1.85</v>
      </c>
      <c r="V463" s="287" cm="1">
        <f t="array" aca="1" ref="V463" ca="1">INDIRECT("'"&amp;$C463&amp;"'!"&amp;"$"&amp;$D463&amp;$V$1&amp;"")</f>
        <v>0</v>
      </c>
      <c r="W463" s="288" t="s">
        <v>1</v>
      </c>
      <c r="X463" s="288" t="s">
        <v>1</v>
      </c>
      <c r="Y463" s="289" t="s">
        <v>1</v>
      </c>
      <c r="Z463" s="285" t="str" cm="1">
        <f t="array" aca="1" ref="Z463" ca="1">INDIRECT("'"&amp;$C463&amp;"'!"&amp;"$"&amp;$D463&amp;$Z$1&amp;"")</f>
        <v>CMS</v>
      </c>
      <c r="AA463" s="288" t="s">
        <v>1</v>
      </c>
      <c r="AB463" s="288" t="s">
        <v>1</v>
      </c>
      <c r="AC463" s="286" t="s">
        <v>1</v>
      </c>
      <c r="AD463" s="287" t="str" cm="1">
        <f t="array" aca="1" ref="AD463" ca="1">INDIRECT("'"&amp;$C463&amp;"'!"&amp;"$"&amp;$D463&amp;$AD$1&amp;"")</f>
        <v>CMS</v>
      </c>
      <c r="AE463" s="288" t="s">
        <v>1</v>
      </c>
      <c r="AF463" s="288" t="s">
        <v>1</v>
      </c>
      <c r="AG463" s="289" t="s">
        <v>1</v>
      </c>
      <c r="AH463" s="285" cm="1">
        <f t="array" aca="1" ref="AH463" ca="1">INDIRECT("'"&amp;$C463&amp;"'!"&amp;"$"&amp;$D463&amp;$AH$1&amp;"")</f>
        <v>0</v>
      </c>
      <c r="AI463" s="288" t="s">
        <v>1</v>
      </c>
      <c r="AJ463" s="288" t="s">
        <v>1</v>
      </c>
      <c r="AK463" s="286" t="s">
        <v>1</v>
      </c>
      <c r="AL463" s="285">
        <v>0</v>
      </c>
      <c r="AM463" s="289">
        <v>70</v>
      </c>
      <c r="AN463" s="285" cm="1">
        <f t="array" aca="1" ref="AN463" ca="1">INDIRECT("'"&amp;$C463&amp;"'!"&amp;"$"&amp;$D463&amp;$AL$1&amp;"")</f>
        <v>0</v>
      </c>
      <c r="AO463" s="288" t="s">
        <v>1</v>
      </c>
      <c r="AP463" s="286" t="s">
        <v>1</v>
      </c>
      <c r="AQ463" s="287" cm="1">
        <f t="array" aca="1" ref="AQ463" ca="1">INDIRECT("'"&amp;$C463&amp;"'!"&amp;"$"&amp;$D463&amp;$AQ$1&amp;"")</f>
        <v>0</v>
      </c>
      <c r="AR463" s="288" t="s">
        <v>1</v>
      </c>
      <c r="AS463" s="286" t="s">
        <v>1</v>
      </c>
      <c r="AT463" s="285">
        <v>13.76</v>
      </c>
      <c r="AU463" s="289">
        <v>70.099999999999994</v>
      </c>
      <c r="AV463" s="288" cm="1">
        <f t="array" aca="1" ref="AV463" ca="1">INDIRECT("'"&amp;$C463&amp;"'!"&amp;"$"&amp;$D463&amp;$AV$1&amp;"")</f>
        <v>0</v>
      </c>
      <c r="AW463" s="287" t="s">
        <v>1</v>
      </c>
      <c r="AX463" s="288" t="s">
        <v>1</v>
      </c>
      <c r="AY463" s="286" t="s">
        <v>1</v>
      </c>
      <c r="AZ463" s="288" cm="1">
        <f t="array" aca="1" ref="AZ463" ca="1">INDIRECT("'"&amp;$C463&amp;"'!"&amp;"$"&amp;$D463&amp;$AZ$1&amp;"")</f>
        <v>5.5</v>
      </c>
      <c r="BA463" s="287" t="s">
        <v>1</v>
      </c>
      <c r="BB463" s="288">
        <v>0.94</v>
      </c>
      <c r="BC463" s="286">
        <v>2.1</v>
      </c>
      <c r="BD463" s="290">
        <v>14.04</v>
      </c>
      <c r="BE463" s="289">
        <v>71.040000000000006</v>
      </c>
      <c r="BF463" s="290" cm="1">
        <f t="array" aca="1" ref="BF463" ca="1">INDIRECT("'"&amp;$C463&amp;"'!"&amp;"$"&amp;$D463&amp;$BF$1&amp;"")</f>
        <v>14.19</v>
      </c>
      <c r="BG463" s="288">
        <v>0.99</v>
      </c>
      <c r="BH463" s="286">
        <v>2.4</v>
      </c>
      <c r="BI463" s="525">
        <v>68.099999999999994</v>
      </c>
      <c r="BJ463" s="285" cm="1">
        <f t="array" aca="1" ref="BJ463" ca="1">INDIRECT("'"&amp;$C463&amp;"'!"&amp;"$"&amp;$D463&amp;$BI$1&amp;"")</f>
        <v>0</v>
      </c>
      <c r="BK463" s="287" t="s">
        <v>1</v>
      </c>
      <c r="BL463" s="286" t="s">
        <v>1</v>
      </c>
      <c r="BM463" s="290" cm="1">
        <f t="array" aca="1" ref="BM463" ca="1">INDIRECT("'"&amp;$C463&amp;"'!"&amp;"$"&amp;$D463&amp;$BM$1&amp;"")</f>
        <v>0.77</v>
      </c>
      <c r="BN463" s="288"/>
      <c r="BO463" s="288">
        <v>0.99</v>
      </c>
      <c r="BP463" s="286">
        <v>0.08</v>
      </c>
      <c r="BQ463" s="291" cm="1">
        <f t="array" aca="1" ref="BQ463" ca="1">INDIRECT("'"&amp;$C463&amp;"'!"&amp;"$"&amp;$D463&amp;$BQ$1&amp;"")</f>
        <v>0.69</v>
      </c>
      <c r="BR463" s="288"/>
      <c r="BS463" s="288">
        <v>0.96</v>
      </c>
      <c r="BT463" s="286">
        <v>0.18</v>
      </c>
      <c r="BU463" s="291" cm="1">
        <f t="array" aca="1" ref="BU463" ca="1">INDIRECT("'"&amp;$C463&amp;"'!"&amp;"$"&amp;$D463&amp;74&amp;"")</f>
        <v>0</v>
      </c>
      <c r="BV463" s="288"/>
      <c r="BW463" s="288" t="s">
        <v>1</v>
      </c>
      <c r="BX463" s="286" t="s">
        <v>1</v>
      </c>
    </row>
    <row r="464" spans="1:76">
      <c r="A464" s="459">
        <v>45857</v>
      </c>
      <c r="B464" s="345">
        <v>0.375</v>
      </c>
      <c r="C464" s="305">
        <v>19</v>
      </c>
      <c r="D464" s="306" t="s">
        <v>151</v>
      </c>
      <c r="E464" s="278">
        <v>14</v>
      </c>
      <c r="F464" s="279">
        <v>68.63</v>
      </c>
      <c r="G464" s="280" t="str" cm="1">
        <f t="array" aca="1" ref="G464" ca="1">INDIRECT("'"&amp;$C464&amp;"'!"&amp;"$"&amp;$D464&amp;$E$1&amp;"")</f>
        <v>CMS</v>
      </c>
      <c r="H464" s="281" t="s">
        <v>1</v>
      </c>
      <c r="I464" s="279" t="s">
        <v>1</v>
      </c>
      <c r="J464" s="280" cm="1">
        <f t="array" aca="1" ref="J464" ca="1">INDIRECT("'"&amp;$C464&amp;"'!"&amp;"$"&amp;$D464&amp;$J$1&amp;"")</f>
        <v>6.8</v>
      </c>
      <c r="K464" s="281"/>
      <c r="L464" s="281">
        <v>0.93</v>
      </c>
      <c r="M464" s="282">
        <v>2.61</v>
      </c>
      <c r="N464" s="278" cm="1">
        <f t="array" aca="1" ref="N464" ca="1">INDIRECT("'"&amp;$C464&amp;"'!"&amp;"$"&amp;$D464&amp;$N$1&amp;"")</f>
        <v>0</v>
      </c>
      <c r="O464" s="281"/>
      <c r="P464" s="281" t="s">
        <v>1</v>
      </c>
      <c r="Q464" s="279" t="s">
        <v>1</v>
      </c>
      <c r="R464" s="468" cm="1">
        <f t="array" aca="1" ref="R464" ca="1">INDIRECT("'"&amp;$C464&amp;"'!"&amp;"$"&amp;$D464&amp;$R$1&amp;"")</f>
        <v>6.8</v>
      </c>
      <c r="S464" s="281"/>
      <c r="T464" s="281">
        <v>0.93</v>
      </c>
      <c r="U464" s="279">
        <v>2.61</v>
      </c>
      <c r="V464" s="280" cm="1">
        <f t="array" aca="1" ref="V464" ca="1">INDIRECT("'"&amp;$C464&amp;"'!"&amp;"$"&amp;$D464&amp;$V$1&amp;"")</f>
        <v>0</v>
      </c>
      <c r="W464" s="281" t="s">
        <v>1</v>
      </c>
      <c r="X464" s="281" t="s">
        <v>1</v>
      </c>
      <c r="Y464" s="282" t="s">
        <v>1</v>
      </c>
      <c r="Z464" s="278" t="str" cm="1">
        <f t="array" aca="1" ref="Z464" ca="1">INDIRECT("'"&amp;$C464&amp;"'!"&amp;"$"&amp;$D464&amp;$Z$1&amp;"")</f>
        <v>CMS</v>
      </c>
      <c r="AA464" s="281" t="s">
        <v>1</v>
      </c>
      <c r="AB464" s="281" t="s">
        <v>1</v>
      </c>
      <c r="AC464" s="279" t="s">
        <v>1</v>
      </c>
      <c r="AD464" s="280" t="str" cm="1">
        <f t="array" aca="1" ref="AD464" ca="1">INDIRECT("'"&amp;$C464&amp;"'!"&amp;"$"&amp;$D464&amp;$AD$1&amp;"")</f>
        <v>CMS</v>
      </c>
      <c r="AE464" s="281" t="s">
        <v>1</v>
      </c>
      <c r="AF464" s="281" t="s">
        <v>1</v>
      </c>
      <c r="AG464" s="282" t="s">
        <v>1</v>
      </c>
      <c r="AH464" s="278" cm="1">
        <f t="array" aca="1" ref="AH464" ca="1">INDIRECT("'"&amp;$C464&amp;"'!"&amp;"$"&amp;$D464&amp;$AH$1&amp;"")</f>
        <v>0</v>
      </c>
      <c r="AI464" s="281" t="s">
        <v>1</v>
      </c>
      <c r="AJ464" s="281" t="s">
        <v>1</v>
      </c>
      <c r="AK464" s="279" t="s">
        <v>1</v>
      </c>
      <c r="AL464" s="278">
        <v>11.6</v>
      </c>
      <c r="AM464" s="282">
        <v>70.7</v>
      </c>
      <c r="AN464" s="278" cm="1">
        <f t="array" aca="1" ref="AN464" ca="1">INDIRECT("'"&amp;$C464&amp;"'!"&amp;"$"&amp;$D464&amp;$AL$1&amp;"")</f>
        <v>3.8</v>
      </c>
      <c r="AO464" s="281">
        <v>0.99</v>
      </c>
      <c r="AP464" s="279">
        <v>0.46</v>
      </c>
      <c r="AQ464" s="280" cm="1">
        <f t="array" aca="1" ref="AQ464" ca="1">INDIRECT("'"&amp;$C464&amp;"'!"&amp;"$"&amp;$D464&amp;$AQ$1&amp;"")</f>
        <v>0</v>
      </c>
      <c r="AR464" s="281" t="s">
        <v>1</v>
      </c>
      <c r="AS464" s="279" t="s">
        <v>1</v>
      </c>
      <c r="AT464" s="278">
        <v>13.76</v>
      </c>
      <c r="AU464" s="282">
        <v>70.099999999999994</v>
      </c>
      <c r="AV464" s="281" cm="1">
        <f t="array" aca="1" ref="AV464" ca="1">INDIRECT("'"&amp;$C464&amp;"'!"&amp;"$"&amp;$D464&amp;$AV$1&amp;"")</f>
        <v>0</v>
      </c>
      <c r="AW464" s="280" t="s">
        <v>1</v>
      </c>
      <c r="AX464" s="281" t="s">
        <v>1</v>
      </c>
      <c r="AY464" s="279" t="s">
        <v>1</v>
      </c>
      <c r="AZ464" s="281" cm="1">
        <f t="array" aca="1" ref="AZ464" ca="1">INDIRECT("'"&amp;$C464&amp;"'!"&amp;"$"&amp;$D464&amp;$AZ$1&amp;"")</f>
        <v>7</v>
      </c>
      <c r="BA464" s="280" t="s">
        <v>1</v>
      </c>
      <c r="BB464" s="281">
        <v>0.92</v>
      </c>
      <c r="BC464" s="279">
        <v>3.3</v>
      </c>
      <c r="BD464" s="283">
        <v>14.22</v>
      </c>
      <c r="BE464" s="282">
        <v>71.72</v>
      </c>
      <c r="BF464" s="283" cm="1">
        <f t="array" aca="1" ref="BF464" ca="1">INDIRECT("'"&amp;$C464&amp;"'!"&amp;"$"&amp;$D464&amp;$BF$1&amp;"")</f>
        <v>14.29</v>
      </c>
      <c r="BG464" s="281">
        <v>0.98</v>
      </c>
      <c r="BH464" s="279">
        <v>3.3</v>
      </c>
      <c r="BI464" s="524">
        <v>67.599999999999994</v>
      </c>
      <c r="BJ464" s="278" cm="1">
        <f t="array" aca="1" ref="BJ464" ca="1">INDIRECT("'"&amp;$C464&amp;"'!"&amp;"$"&amp;$D464&amp;$BI$1&amp;"")</f>
        <v>0</v>
      </c>
      <c r="BK464" s="280" t="s">
        <v>1</v>
      </c>
      <c r="BL464" s="279" t="s">
        <v>1</v>
      </c>
      <c r="BM464" s="283" cm="1">
        <f t="array" aca="1" ref="BM464" ca="1">INDIRECT("'"&amp;$C464&amp;"'!"&amp;"$"&amp;$D464&amp;$BM$1&amp;"")</f>
        <v>0.87</v>
      </c>
      <c r="BN464" s="281"/>
      <c r="BO464" s="281">
        <v>0.99</v>
      </c>
      <c r="BP464" s="279">
        <v>0.11</v>
      </c>
      <c r="BQ464" s="284" cm="1">
        <f t="array" aca="1" ref="BQ464" ca="1">INDIRECT("'"&amp;$C464&amp;"'!"&amp;"$"&amp;$D464&amp;$BQ$1&amp;"")</f>
        <v>0.7</v>
      </c>
      <c r="BR464" s="281"/>
      <c r="BS464" s="281">
        <v>0.96</v>
      </c>
      <c r="BT464" s="279">
        <v>0.19</v>
      </c>
      <c r="BU464" s="284" cm="1">
        <f t="array" aca="1" ref="BU464" ca="1">INDIRECT("'"&amp;$C464&amp;"'!"&amp;"$"&amp;$D464&amp;74&amp;"")</f>
        <v>0</v>
      </c>
      <c r="BV464" s="281"/>
      <c r="BW464" s="281" t="s">
        <v>1</v>
      </c>
      <c r="BX464" s="279" t="s">
        <v>1</v>
      </c>
    </row>
    <row r="465" spans="1:76">
      <c r="A465" s="459">
        <v>45857</v>
      </c>
      <c r="B465" s="345">
        <v>0.41666666666666702</v>
      </c>
      <c r="C465" s="305">
        <v>19</v>
      </c>
      <c r="D465" s="306" t="s">
        <v>152</v>
      </c>
      <c r="E465" s="285">
        <v>14</v>
      </c>
      <c r="F465" s="286">
        <v>68.59</v>
      </c>
      <c r="G465" s="287" t="str" cm="1">
        <f t="array" aca="1" ref="G465" ca="1">INDIRECT("'"&amp;$C465&amp;"'!"&amp;"$"&amp;$D465&amp;$E$1&amp;"")</f>
        <v>CMS</v>
      </c>
      <c r="H465" s="288" t="s">
        <v>1</v>
      </c>
      <c r="I465" s="286" t="s">
        <v>1</v>
      </c>
      <c r="J465" s="287" cm="1">
        <f t="array" aca="1" ref="J465" ca="1">INDIRECT("'"&amp;$C465&amp;"'!"&amp;"$"&amp;$D465&amp;$J$1&amp;"")</f>
        <v>6.6</v>
      </c>
      <c r="K465" s="288"/>
      <c r="L465" s="288">
        <v>0.93</v>
      </c>
      <c r="M465" s="289">
        <v>2.5299999999999998</v>
      </c>
      <c r="N465" s="285" cm="1">
        <f t="array" aca="1" ref="N465" ca="1">INDIRECT("'"&amp;$C465&amp;"'!"&amp;"$"&amp;$D465&amp;$N$1&amp;"")</f>
        <v>1.6</v>
      </c>
      <c r="O465" s="288"/>
      <c r="P465" s="288">
        <v>0.92</v>
      </c>
      <c r="Q465" s="286">
        <v>0.66</v>
      </c>
      <c r="R465" s="285" cm="1">
        <f t="array" aca="1" ref="R465" ca="1">INDIRECT("'"&amp;$C465&amp;"'!"&amp;"$"&amp;$D465&amp;$R$1&amp;"")</f>
        <v>6.6</v>
      </c>
      <c r="S465" s="288"/>
      <c r="T465" s="288">
        <v>0.93</v>
      </c>
      <c r="U465" s="286">
        <v>2.5299999999999998</v>
      </c>
      <c r="V465" s="287" cm="1">
        <f t="array" aca="1" ref="V465" ca="1">INDIRECT("'"&amp;$C465&amp;"'!"&amp;"$"&amp;$D465&amp;$V$1&amp;"")</f>
        <v>0</v>
      </c>
      <c r="W465" s="288" t="s">
        <v>1</v>
      </c>
      <c r="X465" s="288" t="s">
        <v>1</v>
      </c>
      <c r="Y465" s="289" t="s">
        <v>1</v>
      </c>
      <c r="Z465" s="285" t="str" cm="1">
        <f t="array" aca="1" ref="Z465" ca="1">INDIRECT("'"&amp;$C465&amp;"'!"&amp;"$"&amp;$D465&amp;$Z$1&amp;"")</f>
        <v>CMS</v>
      </c>
      <c r="AA465" s="288" t="s">
        <v>1</v>
      </c>
      <c r="AB465" s="288" t="s">
        <v>1</v>
      </c>
      <c r="AC465" s="286" t="s">
        <v>1</v>
      </c>
      <c r="AD465" s="287" t="str" cm="1">
        <f t="array" aca="1" ref="AD465" ca="1">INDIRECT("'"&amp;$C465&amp;"'!"&amp;"$"&amp;$D465&amp;$AD$1&amp;"")</f>
        <v>CMS</v>
      </c>
      <c r="AE465" s="288" t="s">
        <v>1</v>
      </c>
      <c r="AF465" s="288" t="s">
        <v>1</v>
      </c>
      <c r="AG465" s="289" t="s">
        <v>1</v>
      </c>
      <c r="AH465" s="285" cm="1">
        <f t="array" aca="1" ref="AH465" ca="1">INDIRECT("'"&amp;$C465&amp;"'!"&amp;"$"&amp;$D465&amp;$AH$1&amp;"")</f>
        <v>0</v>
      </c>
      <c r="AI465" s="288" t="s">
        <v>1</v>
      </c>
      <c r="AJ465" s="288" t="s">
        <v>1</v>
      </c>
      <c r="AK465" s="286" t="s">
        <v>1</v>
      </c>
      <c r="AL465" s="285">
        <v>11.5</v>
      </c>
      <c r="AM465" s="289">
        <v>70.599999999999994</v>
      </c>
      <c r="AN465" s="285" cm="1">
        <f t="array" aca="1" ref="AN465" ca="1">INDIRECT("'"&amp;$C465&amp;"'!"&amp;"$"&amp;$D465&amp;$AL$1&amp;"")</f>
        <v>3.7</v>
      </c>
      <c r="AO465" s="288">
        <v>0.98</v>
      </c>
      <c r="AP465" s="286">
        <v>0.68</v>
      </c>
      <c r="AQ465" s="287" cm="1">
        <f t="array" aca="1" ref="AQ465" ca="1">INDIRECT("'"&amp;$C465&amp;"'!"&amp;"$"&amp;$D465&amp;$AQ$1&amp;"")</f>
        <v>0</v>
      </c>
      <c r="AR465" s="288" t="s">
        <v>1</v>
      </c>
      <c r="AS465" s="286" t="s">
        <v>1</v>
      </c>
      <c r="AT465" s="285">
        <v>13.98</v>
      </c>
      <c r="AU465" s="289">
        <v>70.400000000000006</v>
      </c>
      <c r="AV465" s="288" cm="1">
        <f t="array" aca="1" ref="AV465" ca="1">INDIRECT("'"&amp;$C465&amp;"'!"&amp;"$"&amp;$D465&amp;$AV$1&amp;"")</f>
        <v>0</v>
      </c>
      <c r="AW465" s="287" t="s">
        <v>1</v>
      </c>
      <c r="AX465" s="288" t="s">
        <v>1</v>
      </c>
      <c r="AY465" s="286" t="s">
        <v>1</v>
      </c>
      <c r="AZ465" s="288" cm="1">
        <f t="array" aca="1" ref="AZ465" ca="1">INDIRECT("'"&amp;$C465&amp;"'!"&amp;"$"&amp;$D465&amp;$AZ$1&amp;"")</f>
        <v>7</v>
      </c>
      <c r="BA465" s="287" t="s">
        <v>1</v>
      </c>
      <c r="BB465" s="288">
        <v>0.92</v>
      </c>
      <c r="BC465" s="286">
        <v>3.3</v>
      </c>
      <c r="BD465" s="290">
        <v>14.16</v>
      </c>
      <c r="BE465" s="289">
        <v>71.42</v>
      </c>
      <c r="BF465" s="290" cm="1">
        <f t="array" aca="1" ref="BF465" ca="1">INDIRECT("'"&amp;$C465&amp;"'!"&amp;"$"&amp;$D465&amp;$BF$1&amp;"")</f>
        <v>14.25</v>
      </c>
      <c r="BG465" s="288">
        <v>0.98</v>
      </c>
      <c r="BH465" s="286">
        <v>3.5</v>
      </c>
      <c r="BI465" s="525">
        <v>67.5</v>
      </c>
      <c r="BJ465" s="285" cm="1">
        <f t="array" aca="1" ref="BJ465" ca="1">INDIRECT("'"&amp;$C465&amp;"'!"&amp;"$"&amp;$D465&amp;$BI$1&amp;"")</f>
        <v>3.2</v>
      </c>
      <c r="BK465" s="287">
        <v>0.95</v>
      </c>
      <c r="BL465" s="286">
        <v>1</v>
      </c>
      <c r="BM465" s="290" cm="1">
        <f t="array" aca="1" ref="BM465" ca="1">INDIRECT("'"&amp;$C465&amp;"'!"&amp;"$"&amp;$D465&amp;$BM$1&amp;"")</f>
        <v>0.85</v>
      </c>
      <c r="BN465" s="288"/>
      <c r="BO465" s="288">
        <v>0.99</v>
      </c>
      <c r="BP465" s="286">
        <v>0.11</v>
      </c>
      <c r="BQ465" s="291" cm="1">
        <f t="array" aca="1" ref="BQ465" ca="1">INDIRECT("'"&amp;$C465&amp;"'!"&amp;"$"&amp;$D465&amp;$BQ$1&amp;"")</f>
        <v>0.75</v>
      </c>
      <c r="BR465" s="288"/>
      <c r="BS465" s="288">
        <v>0.96</v>
      </c>
      <c r="BT465" s="286">
        <v>0.2</v>
      </c>
      <c r="BU465" s="291" cm="1">
        <f t="array" aca="1" ref="BU465" ca="1">INDIRECT("'"&amp;$C465&amp;"'!"&amp;"$"&amp;$D465&amp;74&amp;"")</f>
        <v>0</v>
      </c>
      <c r="BV465" s="288"/>
      <c r="BW465" s="288" t="s">
        <v>1</v>
      </c>
      <c r="BX465" s="286" t="s">
        <v>1</v>
      </c>
    </row>
    <row r="466" spans="1:76">
      <c r="A466" s="459">
        <v>45857</v>
      </c>
      <c r="B466" s="345">
        <v>0.45833333333333398</v>
      </c>
      <c r="C466" s="305">
        <v>19</v>
      </c>
      <c r="D466" s="306" t="s">
        <v>153</v>
      </c>
      <c r="E466" s="278">
        <v>14.2</v>
      </c>
      <c r="F466" s="279">
        <v>69.63</v>
      </c>
      <c r="G466" s="280" t="str" cm="1">
        <f t="array" aca="1" ref="G466" ca="1">INDIRECT("'"&amp;$C466&amp;"'!"&amp;"$"&amp;$D466&amp;$E$1&amp;"")</f>
        <v>CMS</v>
      </c>
      <c r="H466" s="281" t="s">
        <v>1</v>
      </c>
      <c r="I466" s="279" t="s">
        <v>1</v>
      </c>
      <c r="J466" s="280" cm="1">
        <f t="array" aca="1" ref="J466" ca="1">INDIRECT("'"&amp;$C466&amp;"'!"&amp;"$"&amp;$D466&amp;$J$1&amp;"")</f>
        <v>6.2</v>
      </c>
      <c r="K466" s="281"/>
      <c r="L466" s="281">
        <v>0.96</v>
      </c>
      <c r="M466" s="282">
        <v>1.86</v>
      </c>
      <c r="N466" s="278" cm="1">
        <f t="array" aca="1" ref="N466" ca="1">INDIRECT("'"&amp;$C466&amp;"'!"&amp;"$"&amp;$D466&amp;$N$1&amp;"")</f>
        <v>6.2</v>
      </c>
      <c r="O466" s="281"/>
      <c r="P466" s="281">
        <v>0.96</v>
      </c>
      <c r="Q466" s="282">
        <v>1.86</v>
      </c>
      <c r="R466" s="468" cm="1">
        <f t="array" aca="1" ref="R466" ca="1">INDIRECT("'"&amp;$C466&amp;"'!"&amp;"$"&amp;$D466&amp;$R$1&amp;"")</f>
        <v>6.2</v>
      </c>
      <c r="S466" s="281"/>
      <c r="T466" s="281">
        <v>0.96</v>
      </c>
      <c r="U466" s="279">
        <v>1.86</v>
      </c>
      <c r="V466" s="280" cm="1">
        <f t="array" aca="1" ref="V466" ca="1">INDIRECT("'"&amp;$C466&amp;"'!"&amp;"$"&amp;$D466&amp;$V$1&amp;"")</f>
        <v>0</v>
      </c>
      <c r="W466" s="281" t="s">
        <v>1</v>
      </c>
      <c r="X466" s="281" t="s">
        <v>1</v>
      </c>
      <c r="Y466" s="282" t="s">
        <v>1</v>
      </c>
      <c r="Z466" s="278" t="str" cm="1">
        <f t="array" aca="1" ref="Z466" ca="1">INDIRECT("'"&amp;$C466&amp;"'!"&amp;"$"&amp;$D466&amp;$Z$1&amp;"")</f>
        <v>CMS</v>
      </c>
      <c r="AA466" s="281" t="s">
        <v>1</v>
      </c>
      <c r="AB466" s="281" t="s">
        <v>1</v>
      </c>
      <c r="AC466" s="279" t="s">
        <v>1</v>
      </c>
      <c r="AD466" s="280" t="str" cm="1">
        <f t="array" aca="1" ref="AD466" ca="1">INDIRECT("'"&amp;$C466&amp;"'!"&amp;"$"&amp;$D466&amp;$AD$1&amp;"")</f>
        <v>CMS</v>
      </c>
      <c r="AE466" s="281" t="s">
        <v>1</v>
      </c>
      <c r="AF466" s="281" t="s">
        <v>1</v>
      </c>
      <c r="AG466" s="282" t="s">
        <v>1</v>
      </c>
      <c r="AH466" s="278" cm="1">
        <f t="array" aca="1" ref="AH466" ca="1">INDIRECT("'"&amp;$C466&amp;"'!"&amp;"$"&amp;$D466&amp;$AH$1&amp;"")</f>
        <v>0</v>
      </c>
      <c r="AI466" s="281" t="s">
        <v>1</v>
      </c>
      <c r="AJ466" s="281" t="s">
        <v>1</v>
      </c>
      <c r="AK466" s="279" t="s">
        <v>1</v>
      </c>
      <c r="AL466" s="278">
        <v>11.6</v>
      </c>
      <c r="AM466" s="282">
        <v>70.900000000000006</v>
      </c>
      <c r="AN466" s="278" cm="1">
        <f t="array" aca="1" ref="AN466" ca="1">INDIRECT("'"&amp;$C466&amp;"'!"&amp;"$"&amp;$D466&amp;$AL$1&amp;"")</f>
        <v>2</v>
      </c>
      <c r="AO466" s="281">
        <v>0.98</v>
      </c>
      <c r="AP466" s="279">
        <v>0.43</v>
      </c>
      <c r="AQ466" s="280" cm="1">
        <f t="array" aca="1" ref="AQ466" ca="1">INDIRECT("'"&amp;$C466&amp;"'!"&amp;"$"&amp;$D466&amp;$AQ$1&amp;"")</f>
        <v>0</v>
      </c>
      <c r="AR466" s="281" t="s">
        <v>1</v>
      </c>
      <c r="AS466" s="279" t="s">
        <v>1</v>
      </c>
      <c r="AT466" s="278">
        <v>13.98</v>
      </c>
      <c r="AU466" s="282">
        <v>70.400000000000006</v>
      </c>
      <c r="AV466" s="281" cm="1">
        <f t="array" aca="1" ref="AV466" ca="1">INDIRECT("'"&amp;$C466&amp;"'!"&amp;"$"&amp;$D466&amp;$AV$1&amp;"")</f>
        <v>0</v>
      </c>
      <c r="AW466" s="280" t="s">
        <v>1</v>
      </c>
      <c r="AX466" s="281" t="s">
        <v>1</v>
      </c>
      <c r="AY466" s="279" t="s">
        <v>1</v>
      </c>
      <c r="AZ466" s="281" cm="1">
        <f t="array" aca="1" ref="AZ466" ca="1">INDIRECT("'"&amp;$C466&amp;"'!"&amp;"$"&amp;$D466&amp;$AZ$1&amp;"")</f>
        <v>3.6</v>
      </c>
      <c r="BA466" s="280" t="s">
        <v>1</v>
      </c>
      <c r="BB466" s="281">
        <v>0.9</v>
      </c>
      <c r="BC466" s="279">
        <v>1.8</v>
      </c>
      <c r="BD466" s="283">
        <v>14.21</v>
      </c>
      <c r="BE466" s="282">
        <v>71.599999999999994</v>
      </c>
      <c r="BF466" s="283" cm="1">
        <f t="array" aca="1" ref="BF466" ca="1">INDIRECT("'"&amp;$C466&amp;"'!"&amp;"$"&amp;$D466&amp;$BF$1&amp;"")</f>
        <v>14.29</v>
      </c>
      <c r="BG466" s="281">
        <v>0.98</v>
      </c>
      <c r="BH466" s="279">
        <v>3.4</v>
      </c>
      <c r="BI466" s="524">
        <v>68.8</v>
      </c>
      <c r="BJ466" s="278" cm="1">
        <f t="array" aca="1" ref="BJ466" ca="1">INDIRECT("'"&amp;$C466&amp;"'!"&amp;"$"&amp;$D466&amp;$BI$1&amp;"")</f>
        <v>0</v>
      </c>
      <c r="BK466" s="280" t="s">
        <v>1</v>
      </c>
      <c r="BL466" s="279" t="s">
        <v>1</v>
      </c>
      <c r="BM466" s="283" cm="1">
        <f t="array" aca="1" ref="BM466" ca="1">INDIRECT("'"&amp;$C466&amp;"'!"&amp;"$"&amp;$D466&amp;$BM$1&amp;"")</f>
        <v>0.94</v>
      </c>
      <c r="BN466" s="281"/>
      <c r="BO466" s="281">
        <v>0.9</v>
      </c>
      <c r="BP466" s="279">
        <v>0.11</v>
      </c>
      <c r="BQ466" s="284" cm="1">
        <f t="array" aca="1" ref="BQ466" ca="1">INDIRECT("'"&amp;$C466&amp;"'!"&amp;"$"&amp;$D466&amp;$BQ$1&amp;"")</f>
        <v>0</v>
      </c>
      <c r="BR466" s="281"/>
      <c r="BS466" s="281" t="s">
        <v>1</v>
      </c>
      <c r="BT466" s="279" t="s">
        <v>1</v>
      </c>
      <c r="BU466" s="284" cm="1">
        <f t="array" aca="1" ref="BU466" ca="1">INDIRECT("'"&amp;$C466&amp;"'!"&amp;"$"&amp;$D466&amp;74&amp;"")</f>
        <v>0</v>
      </c>
      <c r="BV466" s="281"/>
      <c r="BW466" s="281" t="s">
        <v>1</v>
      </c>
      <c r="BX466" s="279" t="s">
        <v>1</v>
      </c>
    </row>
    <row r="467" spans="1:76">
      <c r="A467" s="459">
        <v>45857</v>
      </c>
      <c r="B467" s="345">
        <v>0.5</v>
      </c>
      <c r="C467" s="305">
        <v>19</v>
      </c>
      <c r="D467" s="306" t="s">
        <v>154</v>
      </c>
      <c r="E467" s="285">
        <v>14.2</v>
      </c>
      <c r="F467" s="286">
        <v>69.819999999999993</v>
      </c>
      <c r="G467" s="287" t="str" cm="1">
        <f t="array" aca="1" ref="G467" ca="1">INDIRECT("'"&amp;$C467&amp;"'!"&amp;"$"&amp;$D467&amp;$E$1&amp;"")</f>
        <v>CMS</v>
      </c>
      <c r="H467" s="288" t="s">
        <v>1</v>
      </c>
      <c r="I467" s="286" t="s">
        <v>1</v>
      </c>
      <c r="J467" s="287" cm="1">
        <f t="array" aca="1" ref="J467" ca="1">INDIRECT("'"&amp;$C467&amp;"'!"&amp;"$"&amp;$D467&amp;$J$1&amp;"")</f>
        <v>5.5</v>
      </c>
      <c r="K467" s="288"/>
      <c r="L467" s="288">
        <v>0.94</v>
      </c>
      <c r="M467" s="289">
        <v>1.91</v>
      </c>
      <c r="N467" s="285" cm="1">
        <f t="array" aca="1" ref="N467" ca="1">INDIRECT("'"&amp;$C467&amp;"'!"&amp;"$"&amp;$D467&amp;$N$1&amp;"")</f>
        <v>5.5</v>
      </c>
      <c r="O467" s="288"/>
      <c r="P467" s="288">
        <v>0.94</v>
      </c>
      <c r="Q467" s="289">
        <v>1.91</v>
      </c>
      <c r="R467" s="285" cm="1">
        <f t="array" aca="1" ref="R467" ca="1">INDIRECT("'"&amp;$C467&amp;"'!"&amp;"$"&amp;$D467&amp;$R$1&amp;"")</f>
        <v>5.5</v>
      </c>
      <c r="S467" s="288"/>
      <c r="T467" s="288">
        <v>0.94</v>
      </c>
      <c r="U467" s="286">
        <v>1.91</v>
      </c>
      <c r="V467" s="287" cm="1">
        <f t="array" aca="1" ref="V467" ca="1">INDIRECT("'"&amp;$C467&amp;"'!"&amp;"$"&amp;$D467&amp;$V$1&amp;"")</f>
        <v>0</v>
      </c>
      <c r="W467" s="288" t="s">
        <v>1</v>
      </c>
      <c r="X467" s="288" t="s">
        <v>1</v>
      </c>
      <c r="Y467" s="289" t="s">
        <v>1</v>
      </c>
      <c r="Z467" s="285" t="str" cm="1">
        <f t="array" aca="1" ref="Z467" ca="1">INDIRECT("'"&amp;$C467&amp;"'!"&amp;"$"&amp;$D467&amp;$Z$1&amp;"")</f>
        <v>CMS</v>
      </c>
      <c r="AA467" s="288" t="s">
        <v>1</v>
      </c>
      <c r="AB467" s="288" t="s">
        <v>1</v>
      </c>
      <c r="AC467" s="286" t="s">
        <v>1</v>
      </c>
      <c r="AD467" s="287" t="str" cm="1">
        <f t="array" aca="1" ref="AD467" ca="1">INDIRECT("'"&amp;$C467&amp;"'!"&amp;"$"&amp;$D467&amp;$AD$1&amp;"")</f>
        <v>CMS</v>
      </c>
      <c r="AE467" s="288" t="s">
        <v>1</v>
      </c>
      <c r="AF467" s="288" t="s">
        <v>1</v>
      </c>
      <c r="AG467" s="289" t="s">
        <v>1</v>
      </c>
      <c r="AH467" s="285" cm="1">
        <f t="array" aca="1" ref="AH467" ca="1">INDIRECT("'"&amp;$C467&amp;"'!"&amp;"$"&amp;$D467&amp;$AH$1&amp;"")</f>
        <v>0</v>
      </c>
      <c r="AI467" s="288" t="s">
        <v>1</v>
      </c>
      <c r="AJ467" s="288" t="s">
        <v>1</v>
      </c>
      <c r="AK467" s="286" t="s">
        <v>1</v>
      </c>
      <c r="AL467" s="285">
        <v>11.5</v>
      </c>
      <c r="AM467" s="289">
        <v>70.2</v>
      </c>
      <c r="AN467" s="285" cm="1">
        <f t="array" aca="1" ref="AN467" ca="1">INDIRECT("'"&amp;$C467&amp;"'!"&amp;"$"&amp;$D467&amp;$AL$1&amp;"")</f>
        <v>2.2000000000000002</v>
      </c>
      <c r="AO467" s="288">
        <v>0.97</v>
      </c>
      <c r="AP467" s="286">
        <v>0.45</v>
      </c>
      <c r="AQ467" s="287" cm="1">
        <f t="array" aca="1" ref="AQ467" ca="1">INDIRECT("'"&amp;$C467&amp;"'!"&amp;"$"&amp;$D467&amp;$AQ$1&amp;"")</f>
        <v>0</v>
      </c>
      <c r="AR467" s="288" t="s">
        <v>1</v>
      </c>
      <c r="AS467" s="286" t="s">
        <v>1</v>
      </c>
      <c r="AT467" s="285">
        <v>13.8</v>
      </c>
      <c r="AU467" s="289">
        <v>70.400000000000006</v>
      </c>
      <c r="AV467" s="288" cm="1">
        <f t="array" aca="1" ref="AV467" ca="1">INDIRECT("'"&amp;$C467&amp;"'!"&amp;"$"&amp;$D467&amp;$AV$1&amp;"")</f>
        <v>0</v>
      </c>
      <c r="AW467" s="287" t="s">
        <v>1</v>
      </c>
      <c r="AX467" s="288" t="s">
        <v>1</v>
      </c>
      <c r="AY467" s="286" t="s">
        <v>1</v>
      </c>
      <c r="AZ467" s="288" cm="1">
        <f t="array" aca="1" ref="AZ467" ca="1">INDIRECT("'"&amp;$C467&amp;"'!"&amp;"$"&amp;$D467&amp;$AZ$1&amp;"")</f>
        <v>4.2</v>
      </c>
      <c r="BA467" s="287" t="s">
        <v>1</v>
      </c>
      <c r="BB467" s="288">
        <v>0.9</v>
      </c>
      <c r="BC467" s="286">
        <v>1.8</v>
      </c>
      <c r="BD467" s="290">
        <v>13.96</v>
      </c>
      <c r="BE467" s="289">
        <v>70.459999999999994</v>
      </c>
      <c r="BF467" s="290" cm="1">
        <f t="array" aca="1" ref="BF467" ca="1">INDIRECT("'"&amp;$C467&amp;"'!"&amp;"$"&amp;$D467&amp;$BF$1&amp;"")</f>
        <v>10.25</v>
      </c>
      <c r="BG467" s="288">
        <v>0.98</v>
      </c>
      <c r="BH467" s="286">
        <v>2.6</v>
      </c>
      <c r="BI467" s="525">
        <v>68.2</v>
      </c>
      <c r="BJ467" s="285" cm="1">
        <f t="array" aca="1" ref="BJ467" ca="1">INDIRECT("'"&amp;$C467&amp;"'!"&amp;"$"&amp;$D467&amp;$BI$1&amp;"")</f>
        <v>0</v>
      </c>
      <c r="BK467" s="287" t="s">
        <v>1</v>
      </c>
      <c r="BL467" s="286" t="s">
        <v>1</v>
      </c>
      <c r="BM467" s="290" cm="1">
        <f t="array" aca="1" ref="BM467" ca="1">INDIRECT("'"&amp;$C467&amp;"'!"&amp;"$"&amp;$D467&amp;$BM$1&amp;"")</f>
        <v>0.94</v>
      </c>
      <c r="BN467" s="288"/>
      <c r="BO467" s="288">
        <v>0.99</v>
      </c>
      <c r="BP467" s="286">
        <v>0.11</v>
      </c>
      <c r="BQ467" s="291" cm="1">
        <f t="array" aca="1" ref="BQ467" ca="1">INDIRECT("'"&amp;$C467&amp;"'!"&amp;"$"&amp;$D467&amp;$BQ$1&amp;"")</f>
        <v>0.63</v>
      </c>
      <c r="BR467" s="288"/>
      <c r="BS467" s="288">
        <v>0.96</v>
      </c>
      <c r="BT467" s="286">
        <v>0.2</v>
      </c>
      <c r="BU467" s="291" cm="1">
        <f t="array" aca="1" ref="BU467" ca="1">INDIRECT("'"&amp;$C467&amp;"'!"&amp;"$"&amp;$D467&amp;74&amp;"")</f>
        <v>0</v>
      </c>
      <c r="BV467" s="288"/>
      <c r="BW467" s="288" t="s">
        <v>1</v>
      </c>
      <c r="BX467" s="286" t="s">
        <v>1</v>
      </c>
    </row>
    <row r="468" spans="1:76">
      <c r="A468" s="459">
        <v>45857</v>
      </c>
      <c r="B468" s="345">
        <v>0.54166666666666696</v>
      </c>
      <c r="C468" s="305">
        <v>19</v>
      </c>
      <c r="D468" s="306" t="s">
        <v>155</v>
      </c>
      <c r="E468" s="278">
        <v>14.2</v>
      </c>
      <c r="F468" s="279">
        <v>68.92</v>
      </c>
      <c r="G468" s="280" t="str" cm="1">
        <f t="array" aca="1" ref="G468" ca="1">INDIRECT("'"&amp;$C468&amp;"'!"&amp;"$"&amp;$D468&amp;$E$1&amp;"")</f>
        <v>CMS</v>
      </c>
      <c r="H468" s="281" t="s">
        <v>1</v>
      </c>
      <c r="I468" s="279" t="s">
        <v>1</v>
      </c>
      <c r="J468" s="280" cm="1">
        <f t="array" aca="1" ref="J468" ca="1">INDIRECT("'"&amp;$C468&amp;"'!"&amp;"$"&amp;$D468&amp;$J$1&amp;"")</f>
        <v>6.5</v>
      </c>
      <c r="K468" s="281"/>
      <c r="L468" s="281">
        <v>0.93</v>
      </c>
      <c r="M468" s="279">
        <v>2.52</v>
      </c>
      <c r="N468" s="278" cm="1">
        <f t="array" aca="1" ref="N468" ca="1">INDIRECT("'"&amp;$C468&amp;"'!"&amp;"$"&amp;$D468&amp;$N$1&amp;"")</f>
        <v>6.5</v>
      </c>
      <c r="O468" s="281"/>
      <c r="P468" s="281">
        <v>0.93</v>
      </c>
      <c r="Q468" s="279">
        <v>2.52</v>
      </c>
      <c r="R468" s="468" cm="1">
        <f t="array" aca="1" ref="R468" ca="1">INDIRECT("'"&amp;$C468&amp;"'!"&amp;"$"&amp;$D468&amp;$R$1&amp;"")</f>
        <v>6.5</v>
      </c>
      <c r="S468" s="281"/>
      <c r="T468" s="281">
        <v>0.93</v>
      </c>
      <c r="U468" s="279">
        <v>2.52</v>
      </c>
      <c r="V468" s="280" cm="1">
        <f t="array" aca="1" ref="V468" ca="1">INDIRECT("'"&amp;$C468&amp;"'!"&amp;"$"&amp;$D468&amp;$V$1&amp;"")</f>
        <v>0</v>
      </c>
      <c r="W468" s="281" t="s">
        <v>1</v>
      </c>
      <c r="X468" s="281" t="s">
        <v>1</v>
      </c>
      <c r="Y468" s="282" t="s">
        <v>1</v>
      </c>
      <c r="Z468" s="278" t="str" cm="1">
        <f t="array" aca="1" ref="Z468" ca="1">INDIRECT("'"&amp;$C468&amp;"'!"&amp;"$"&amp;$D468&amp;$Z$1&amp;"")</f>
        <v>CMS</v>
      </c>
      <c r="AA468" s="281" t="s">
        <v>1</v>
      </c>
      <c r="AB468" s="281" t="s">
        <v>1</v>
      </c>
      <c r="AC468" s="279" t="s">
        <v>1</v>
      </c>
      <c r="AD468" s="280" t="str" cm="1">
        <f t="array" aca="1" ref="AD468" ca="1">INDIRECT("'"&amp;$C468&amp;"'!"&amp;"$"&amp;$D468&amp;$AD$1&amp;"")</f>
        <v>CMS</v>
      </c>
      <c r="AE468" s="281" t="s">
        <v>1</v>
      </c>
      <c r="AF468" s="281" t="s">
        <v>1</v>
      </c>
      <c r="AG468" s="282" t="s">
        <v>1</v>
      </c>
      <c r="AH468" s="278" cm="1">
        <f t="array" aca="1" ref="AH468" ca="1">INDIRECT("'"&amp;$C468&amp;"'!"&amp;"$"&amp;$D468&amp;$AH$1&amp;"")</f>
        <v>0</v>
      </c>
      <c r="AI468" s="281" t="s">
        <v>1</v>
      </c>
      <c r="AJ468" s="281" t="s">
        <v>1</v>
      </c>
      <c r="AK468" s="279" t="s">
        <v>1</v>
      </c>
      <c r="AL468" s="278">
        <v>0</v>
      </c>
      <c r="AM468" s="282">
        <v>70.2</v>
      </c>
      <c r="AN468" s="278" cm="1">
        <f t="array" aca="1" ref="AN468" ca="1">INDIRECT("'"&amp;$C468&amp;"'!"&amp;"$"&amp;$D468&amp;$AL$1&amp;"")</f>
        <v>0</v>
      </c>
      <c r="AO468" s="281" t="s">
        <v>1</v>
      </c>
      <c r="AP468" s="279" t="s">
        <v>1</v>
      </c>
      <c r="AQ468" s="280" cm="1">
        <f t="array" aca="1" ref="AQ468" ca="1">INDIRECT("'"&amp;$C468&amp;"'!"&amp;"$"&amp;$D468&amp;$AQ$1&amp;"")</f>
        <v>0</v>
      </c>
      <c r="AR468" s="281" t="s">
        <v>1</v>
      </c>
      <c r="AS468" s="279" t="s">
        <v>1</v>
      </c>
      <c r="AT468" s="278">
        <v>13.8</v>
      </c>
      <c r="AU468" s="282">
        <v>70.3</v>
      </c>
      <c r="AV468" s="281" cm="1">
        <f t="array" aca="1" ref="AV468" ca="1">INDIRECT("'"&amp;$C468&amp;"'!"&amp;"$"&amp;$D468&amp;$AV$1&amp;"")</f>
        <v>0</v>
      </c>
      <c r="AW468" s="280">
        <v>13.7</v>
      </c>
      <c r="AX468" s="281" t="s">
        <v>1</v>
      </c>
      <c r="AY468" s="279" t="s">
        <v>1</v>
      </c>
      <c r="AZ468" s="281" cm="1">
        <f t="array" aca="1" ref="AZ468" ca="1">INDIRECT("'"&amp;$C468&amp;"'!"&amp;"$"&amp;$D468&amp;$AZ$1&amp;"")</f>
        <v>7</v>
      </c>
      <c r="BA468" s="280">
        <v>13.7</v>
      </c>
      <c r="BB468" s="281">
        <v>0.9</v>
      </c>
      <c r="BC468" s="279">
        <v>2.1</v>
      </c>
      <c r="BD468" s="283">
        <v>14.14</v>
      </c>
      <c r="BE468" s="282">
        <v>71.150000000000006</v>
      </c>
      <c r="BF468" s="283" cm="1">
        <f t="array" aca="1" ref="BF468" ca="1">INDIRECT("'"&amp;$C468&amp;"'!"&amp;"$"&amp;$D468&amp;$BF$1&amp;"")</f>
        <v>14.24</v>
      </c>
      <c r="BG468" s="281">
        <v>0.98</v>
      </c>
      <c r="BH468" s="279">
        <v>3.4</v>
      </c>
      <c r="BI468" s="524">
        <v>67.900000000000006</v>
      </c>
      <c r="BJ468" s="278" cm="1">
        <f t="array" aca="1" ref="BJ468" ca="1">INDIRECT("'"&amp;$C468&amp;"'!"&amp;"$"&amp;$D468&amp;$BI$1&amp;"")</f>
        <v>0</v>
      </c>
      <c r="BK468" s="280" t="s">
        <v>1</v>
      </c>
      <c r="BL468" s="279" t="s">
        <v>1</v>
      </c>
      <c r="BM468" s="283" cm="1">
        <f t="array" aca="1" ref="BM468" ca="1">INDIRECT("'"&amp;$C468&amp;"'!"&amp;"$"&amp;$D468&amp;$BM$1&amp;"")</f>
        <v>1.06</v>
      </c>
      <c r="BN468" s="281"/>
      <c r="BO468" s="281">
        <v>0.99</v>
      </c>
      <c r="BP468" s="279">
        <v>0.14000000000000001</v>
      </c>
      <c r="BQ468" s="284" cm="1">
        <f t="array" aca="1" ref="BQ468" ca="1">INDIRECT("'"&amp;$C468&amp;"'!"&amp;"$"&amp;$D468&amp;$BQ$1&amp;"")</f>
        <v>0.76</v>
      </c>
      <c r="BR468" s="281"/>
      <c r="BS468" s="281">
        <v>0.96</v>
      </c>
      <c r="BT468" s="279">
        <v>0.21</v>
      </c>
      <c r="BU468" s="284" cm="1">
        <f t="array" aca="1" ref="BU468" ca="1">INDIRECT("'"&amp;$C468&amp;"'!"&amp;"$"&amp;$D468&amp;74&amp;"")</f>
        <v>0</v>
      </c>
      <c r="BV468" s="281"/>
      <c r="BW468" s="281" t="s">
        <v>1</v>
      </c>
      <c r="BX468" s="279" t="s">
        <v>1</v>
      </c>
    </row>
    <row r="469" spans="1:76">
      <c r="A469" s="459">
        <v>45857</v>
      </c>
      <c r="B469" s="345">
        <v>0.58333333333333404</v>
      </c>
      <c r="C469" s="305">
        <v>19</v>
      </c>
      <c r="D469" s="306" t="s">
        <v>156</v>
      </c>
      <c r="E469" s="285">
        <v>14.2</v>
      </c>
      <c r="F469" s="286">
        <v>68.97</v>
      </c>
      <c r="G469" s="287" t="str" cm="1">
        <f t="array" aca="1" ref="G469" ca="1">INDIRECT("'"&amp;$C469&amp;"'!"&amp;"$"&amp;$D469&amp;$E$1&amp;"")</f>
        <v>CMS</v>
      </c>
      <c r="H469" s="288" t="s">
        <v>1</v>
      </c>
      <c r="I469" s="286" t="s">
        <v>1</v>
      </c>
      <c r="J469" s="287" cm="1">
        <f t="array" aca="1" ref="J469" ca="1">INDIRECT("'"&amp;$C469&amp;"'!"&amp;"$"&amp;$D469&amp;$J$1&amp;"")</f>
        <v>6.7</v>
      </c>
      <c r="K469" s="288"/>
      <c r="L469" s="288">
        <v>0.93</v>
      </c>
      <c r="M469" s="289">
        <v>2.69</v>
      </c>
      <c r="N469" s="285" cm="1">
        <f t="array" aca="1" ref="N469" ca="1">INDIRECT("'"&amp;$C469&amp;"'!"&amp;"$"&amp;$D469&amp;$N$1&amp;"")</f>
        <v>6.7</v>
      </c>
      <c r="O469" s="288"/>
      <c r="P469" s="288">
        <v>0.93</v>
      </c>
      <c r="Q469" s="286">
        <v>2.69</v>
      </c>
      <c r="R469" s="285" cm="1">
        <f t="array" aca="1" ref="R469" ca="1">INDIRECT("'"&amp;$C469&amp;"'!"&amp;"$"&amp;$D469&amp;$R$1&amp;"")</f>
        <v>6.7</v>
      </c>
      <c r="S469" s="288"/>
      <c r="T469" s="288">
        <v>0.93</v>
      </c>
      <c r="U469" s="286">
        <v>2.69</v>
      </c>
      <c r="V469" s="287" cm="1">
        <f t="array" aca="1" ref="V469" ca="1">INDIRECT("'"&amp;$C469&amp;"'!"&amp;"$"&amp;$D469&amp;$V$1&amp;"")</f>
        <v>0</v>
      </c>
      <c r="W469" s="288" t="s">
        <v>1</v>
      </c>
      <c r="X469" s="288" t="s">
        <v>1</v>
      </c>
      <c r="Y469" s="289" t="s">
        <v>1</v>
      </c>
      <c r="Z469" s="285" t="str" cm="1">
        <f t="array" aca="1" ref="Z469" ca="1">INDIRECT("'"&amp;$C469&amp;"'!"&amp;"$"&amp;$D469&amp;$Z$1&amp;"")</f>
        <v>CMS</v>
      </c>
      <c r="AA469" s="288" t="s">
        <v>1</v>
      </c>
      <c r="AB469" s="288" t="s">
        <v>1</v>
      </c>
      <c r="AC469" s="286" t="s">
        <v>1</v>
      </c>
      <c r="AD469" s="287" t="str" cm="1">
        <f t="array" aca="1" ref="AD469" ca="1">INDIRECT("'"&amp;$C469&amp;"'!"&amp;"$"&amp;$D469&amp;$AD$1&amp;"")</f>
        <v>CMS</v>
      </c>
      <c r="AE469" s="288" t="s">
        <v>1</v>
      </c>
      <c r="AF469" s="288" t="s">
        <v>1</v>
      </c>
      <c r="AG469" s="289" t="s">
        <v>1</v>
      </c>
      <c r="AH469" s="285" cm="1">
        <f t="array" aca="1" ref="AH469" ca="1">INDIRECT("'"&amp;$C469&amp;"'!"&amp;"$"&amp;$D469&amp;$AH$1&amp;"")</f>
        <v>0</v>
      </c>
      <c r="AI469" s="288" t="s">
        <v>1</v>
      </c>
      <c r="AJ469" s="288" t="s">
        <v>1</v>
      </c>
      <c r="AK469" s="286" t="s">
        <v>1</v>
      </c>
      <c r="AL469" s="285">
        <v>0</v>
      </c>
      <c r="AM469" s="289">
        <v>70.099999999999994</v>
      </c>
      <c r="AN469" s="285" cm="1">
        <f t="array" aca="1" ref="AN469" ca="1">INDIRECT("'"&amp;$C469&amp;"'!"&amp;"$"&amp;$D469&amp;$AL$1&amp;"")</f>
        <v>0</v>
      </c>
      <c r="AO469" s="288" t="s">
        <v>1</v>
      </c>
      <c r="AP469" s="286" t="s">
        <v>1</v>
      </c>
      <c r="AQ469" s="287" cm="1">
        <f t="array" aca="1" ref="AQ469" ca="1">INDIRECT("'"&amp;$C469&amp;"'!"&amp;"$"&amp;$D469&amp;$AQ$1&amp;"")</f>
        <v>0</v>
      </c>
      <c r="AR469" s="288" t="s">
        <v>1</v>
      </c>
      <c r="AS469" s="286" t="s">
        <v>1</v>
      </c>
      <c r="AT469" s="285">
        <v>13.8</v>
      </c>
      <c r="AU469" s="289">
        <v>70.3</v>
      </c>
      <c r="AV469" s="288" cm="1">
        <f t="array" aca="1" ref="AV469" ca="1">INDIRECT("'"&amp;$C469&amp;"'!"&amp;"$"&amp;$D469&amp;$AV$1&amp;"")</f>
        <v>0</v>
      </c>
      <c r="AW469" s="287">
        <v>13.7</v>
      </c>
      <c r="AX469" s="288" t="s">
        <v>1</v>
      </c>
      <c r="AY469" s="286" t="s">
        <v>1</v>
      </c>
      <c r="AZ469" s="288" cm="1">
        <f t="array" aca="1" ref="AZ469" ca="1">INDIRECT("'"&amp;$C469&amp;"'!"&amp;"$"&amp;$D469&amp;$AZ$1&amp;"")</f>
        <v>7</v>
      </c>
      <c r="BA469" s="287">
        <v>13.7</v>
      </c>
      <c r="BB469" s="288">
        <v>0.9</v>
      </c>
      <c r="BC469" s="286">
        <v>2.1</v>
      </c>
      <c r="BD469" s="290">
        <v>14.17</v>
      </c>
      <c r="BE469" s="289">
        <v>71.31</v>
      </c>
      <c r="BF469" s="290" cm="1">
        <f t="array" aca="1" ref="BF469" ca="1">INDIRECT("'"&amp;$C469&amp;"'!"&amp;"$"&amp;$D469&amp;$BF$1&amp;"")</f>
        <v>14.29</v>
      </c>
      <c r="BG469" s="288">
        <v>0.98</v>
      </c>
      <c r="BH469" s="286">
        <v>3.2</v>
      </c>
      <c r="BI469" s="525">
        <v>67.599999999999994</v>
      </c>
      <c r="BJ469" s="285" cm="1">
        <f t="array" aca="1" ref="BJ469" ca="1">INDIRECT("'"&amp;$C469&amp;"'!"&amp;"$"&amp;$D469&amp;$BI$1&amp;"")</f>
        <v>0.8</v>
      </c>
      <c r="BK469" s="287">
        <v>0.95</v>
      </c>
      <c r="BL469" s="286">
        <v>0.23</v>
      </c>
      <c r="BM469" s="290" cm="1">
        <f t="array" aca="1" ref="BM469" ca="1">INDIRECT("'"&amp;$C469&amp;"'!"&amp;"$"&amp;$D469&amp;$BM$1&amp;"")</f>
        <v>1.07</v>
      </c>
      <c r="BN469" s="288"/>
      <c r="BO469" s="288">
        <v>0.99</v>
      </c>
      <c r="BP469" s="286">
        <v>0.17</v>
      </c>
      <c r="BQ469" s="291" cm="1">
        <f t="array" aca="1" ref="BQ469" ca="1">INDIRECT("'"&amp;$C469&amp;"'!"&amp;"$"&amp;$D469&amp;$BQ$1&amp;"")</f>
        <v>0</v>
      </c>
      <c r="BR469" s="288"/>
      <c r="BS469" s="288" t="s">
        <v>1</v>
      </c>
      <c r="BT469" s="286" t="s">
        <v>1</v>
      </c>
      <c r="BU469" s="291" cm="1">
        <f t="array" aca="1" ref="BU469" ca="1">INDIRECT("'"&amp;$C469&amp;"'!"&amp;"$"&amp;$D469&amp;74&amp;"")</f>
        <v>0</v>
      </c>
      <c r="BV469" s="288"/>
      <c r="BW469" s="288" t="s">
        <v>1</v>
      </c>
      <c r="BX469" s="286" t="s">
        <v>1</v>
      </c>
    </row>
    <row r="470" spans="1:76">
      <c r="A470" s="459">
        <v>45857</v>
      </c>
      <c r="B470" s="345">
        <v>0.625</v>
      </c>
      <c r="C470" s="305">
        <v>19</v>
      </c>
      <c r="D470" s="306" t="s">
        <v>157</v>
      </c>
      <c r="E470" s="278">
        <v>14.2</v>
      </c>
      <c r="F470" s="279">
        <v>69.010000000000005</v>
      </c>
      <c r="G470" s="280" t="str" cm="1">
        <f t="array" aca="1" ref="G470" ca="1">INDIRECT("'"&amp;$C470&amp;"'!"&amp;"$"&amp;$D470&amp;$E$1&amp;"")</f>
        <v>CMS</v>
      </c>
      <c r="H470" s="281" t="s">
        <v>1</v>
      </c>
      <c r="I470" s="279" t="s">
        <v>1</v>
      </c>
      <c r="J470" s="280" cm="1">
        <f t="array" aca="1" ref="J470" ca="1">INDIRECT("'"&amp;$C470&amp;"'!"&amp;"$"&amp;$D470&amp;$J$1&amp;"")</f>
        <v>6.6</v>
      </c>
      <c r="K470" s="281"/>
      <c r="L470" s="281">
        <v>0.93</v>
      </c>
      <c r="M470" s="282">
        <v>2.64</v>
      </c>
      <c r="N470" s="278" cm="1">
        <f t="array" aca="1" ref="N470" ca="1">INDIRECT("'"&amp;$C470&amp;"'!"&amp;"$"&amp;$D470&amp;$N$1&amp;"")</f>
        <v>6.6</v>
      </c>
      <c r="O470" s="281"/>
      <c r="P470" s="281">
        <v>0.93</v>
      </c>
      <c r="Q470" s="279">
        <v>2.64</v>
      </c>
      <c r="R470" s="468" cm="1">
        <f t="array" aca="1" ref="R470" ca="1">INDIRECT("'"&amp;$C470&amp;"'!"&amp;"$"&amp;$D470&amp;$R$1&amp;"")</f>
        <v>6.6</v>
      </c>
      <c r="S470" s="281"/>
      <c r="T470" s="281">
        <v>0.93</v>
      </c>
      <c r="U470" s="279">
        <v>2.64</v>
      </c>
      <c r="V470" s="280" cm="1">
        <f t="array" aca="1" ref="V470" ca="1">INDIRECT("'"&amp;$C470&amp;"'!"&amp;"$"&amp;$D470&amp;$V$1&amp;"")</f>
        <v>0</v>
      </c>
      <c r="W470" s="281" t="s">
        <v>1</v>
      </c>
      <c r="X470" s="281" t="s">
        <v>1</v>
      </c>
      <c r="Y470" s="282" t="s">
        <v>1</v>
      </c>
      <c r="Z470" s="278" t="str" cm="1">
        <f t="array" aca="1" ref="Z470" ca="1">INDIRECT("'"&amp;$C470&amp;"'!"&amp;"$"&amp;$D470&amp;$Z$1&amp;"")</f>
        <v>CMS</v>
      </c>
      <c r="AA470" s="281" t="s">
        <v>1</v>
      </c>
      <c r="AB470" s="281" t="s">
        <v>1</v>
      </c>
      <c r="AC470" s="279" t="s">
        <v>1</v>
      </c>
      <c r="AD470" s="280" t="str" cm="1">
        <f t="array" aca="1" ref="AD470" ca="1">INDIRECT("'"&amp;$C470&amp;"'!"&amp;"$"&amp;$D470&amp;$AD$1&amp;"")</f>
        <v>CMS</v>
      </c>
      <c r="AE470" s="281" t="s">
        <v>1</v>
      </c>
      <c r="AF470" s="281" t="s">
        <v>1</v>
      </c>
      <c r="AG470" s="279" t="s">
        <v>1</v>
      </c>
      <c r="AH470" s="278" cm="1">
        <f t="array" aca="1" ref="AH470" ca="1">INDIRECT("'"&amp;$C470&amp;"'!"&amp;"$"&amp;$D470&amp;$AH$1&amp;"")</f>
        <v>0</v>
      </c>
      <c r="AI470" s="281" t="s">
        <v>1</v>
      </c>
      <c r="AJ470" s="281" t="s">
        <v>1</v>
      </c>
      <c r="AK470" s="279" t="s">
        <v>1</v>
      </c>
      <c r="AL470" s="278">
        <v>0</v>
      </c>
      <c r="AM470" s="282">
        <v>70.3</v>
      </c>
      <c r="AN470" s="278" cm="1">
        <f t="array" aca="1" ref="AN470" ca="1">INDIRECT("'"&amp;$C470&amp;"'!"&amp;"$"&amp;$D470&amp;$AL$1&amp;"")</f>
        <v>0</v>
      </c>
      <c r="AO470" s="281" t="s">
        <v>1</v>
      </c>
      <c r="AP470" s="279" t="s">
        <v>1</v>
      </c>
      <c r="AQ470" s="280" cm="1">
        <f t="array" aca="1" ref="AQ470" ca="1">INDIRECT("'"&amp;$C470&amp;"'!"&amp;"$"&amp;$D470&amp;$AQ$1&amp;"")</f>
        <v>0</v>
      </c>
      <c r="AR470" s="281" t="s">
        <v>1</v>
      </c>
      <c r="AS470" s="279" t="s">
        <v>1</v>
      </c>
      <c r="AT470" s="278">
        <v>13.8</v>
      </c>
      <c r="AU470" s="282">
        <v>70.3</v>
      </c>
      <c r="AV470" s="281" cm="1">
        <f t="array" aca="1" ref="AV470" ca="1">INDIRECT("'"&amp;$C470&amp;"'!"&amp;"$"&amp;$D470&amp;$AV$1&amp;"")</f>
        <v>0</v>
      </c>
      <c r="AW470" s="280">
        <v>13.7</v>
      </c>
      <c r="AX470" s="281" t="s">
        <v>1</v>
      </c>
      <c r="AY470" s="279" t="s">
        <v>1</v>
      </c>
      <c r="AZ470" s="281" cm="1">
        <f t="array" aca="1" ref="AZ470" ca="1">INDIRECT("'"&amp;$C470&amp;"'!"&amp;"$"&amp;$D470&amp;$AZ$1&amp;"")</f>
        <v>7</v>
      </c>
      <c r="BA470" s="280">
        <v>13.7</v>
      </c>
      <c r="BB470" s="281">
        <v>0.9</v>
      </c>
      <c r="BC470" s="279">
        <v>2.1</v>
      </c>
      <c r="BD470" s="283">
        <v>14.22</v>
      </c>
      <c r="BE470" s="282">
        <v>71.489999999999995</v>
      </c>
      <c r="BF470" s="283" cm="1">
        <f t="array" aca="1" ref="BF470" ca="1">INDIRECT("'"&amp;$C470&amp;"'!"&amp;"$"&amp;$D470&amp;$BF$1&amp;"")</f>
        <v>14.26</v>
      </c>
      <c r="BG470" s="281">
        <v>0.98</v>
      </c>
      <c r="BH470" s="279">
        <v>3.4</v>
      </c>
      <c r="BI470" s="524">
        <v>67.900000000000006</v>
      </c>
      <c r="BJ470" s="278" cm="1">
        <f t="array" aca="1" ref="BJ470" ca="1">INDIRECT("'"&amp;$C470&amp;"'!"&amp;"$"&amp;$D470&amp;$BI$1&amp;"")</f>
        <v>2.2999999999999998</v>
      </c>
      <c r="BK470" s="280">
        <v>0.95</v>
      </c>
      <c r="BL470" s="279">
        <v>0.73</v>
      </c>
      <c r="BM470" s="283" cm="1">
        <f t="array" aca="1" ref="BM470" ca="1">INDIRECT("'"&amp;$C470&amp;"'!"&amp;"$"&amp;$D470&amp;$BM$1&amp;"")</f>
        <v>1.07</v>
      </c>
      <c r="BN470" s="281"/>
      <c r="BO470" s="281">
        <v>0.99</v>
      </c>
      <c r="BP470" s="279">
        <v>0.17</v>
      </c>
      <c r="BQ470" s="284" cm="1">
        <f t="array" aca="1" ref="BQ470" ca="1">INDIRECT("'"&amp;$C470&amp;"'!"&amp;"$"&amp;$D470&amp;$BQ$1&amp;"")</f>
        <v>0.66</v>
      </c>
      <c r="BR470" s="281"/>
      <c r="BS470" s="281">
        <v>0.95</v>
      </c>
      <c r="BT470" s="279">
        <v>0.21</v>
      </c>
      <c r="BU470" s="284" cm="1">
        <f t="array" aca="1" ref="BU470" ca="1">INDIRECT("'"&amp;$C470&amp;"'!"&amp;"$"&amp;$D470&amp;74&amp;"")</f>
        <v>0</v>
      </c>
      <c r="BV470" s="281"/>
      <c r="BW470" s="281" t="s">
        <v>1</v>
      </c>
      <c r="BX470" s="279" t="s">
        <v>1</v>
      </c>
    </row>
    <row r="471" spans="1:76">
      <c r="A471" s="459">
        <v>45857</v>
      </c>
      <c r="B471" s="345">
        <v>0.66666666666666696</v>
      </c>
      <c r="C471" s="305">
        <v>19</v>
      </c>
      <c r="D471" s="306" t="s">
        <v>158</v>
      </c>
      <c r="E471" s="285">
        <v>14.2</v>
      </c>
      <c r="F471" s="286">
        <v>68.92</v>
      </c>
      <c r="G471" s="287" t="str" cm="1">
        <f t="array" aca="1" ref="G471" ca="1">INDIRECT("'"&amp;$C471&amp;"'!"&amp;"$"&amp;$D471&amp;$E$1&amp;"")</f>
        <v>CMS</v>
      </c>
      <c r="H471" s="288" t="s">
        <v>1</v>
      </c>
      <c r="I471" s="286" t="s">
        <v>1</v>
      </c>
      <c r="J471" s="287" cm="1">
        <f t="array" aca="1" ref="J471" ca="1">INDIRECT("'"&amp;$C471&amp;"'!"&amp;"$"&amp;$D471&amp;$J$1&amp;"")</f>
        <v>6.8</v>
      </c>
      <c r="K471" s="288"/>
      <c r="L471" s="288">
        <v>0.93</v>
      </c>
      <c r="M471" s="289">
        <v>2.67</v>
      </c>
      <c r="N471" s="285" cm="1">
        <f t="array" aca="1" ref="N471" ca="1">INDIRECT("'"&amp;$C471&amp;"'!"&amp;"$"&amp;$D471&amp;$N$1&amp;"")</f>
        <v>6.8</v>
      </c>
      <c r="O471" s="288"/>
      <c r="P471" s="288">
        <v>0.93</v>
      </c>
      <c r="Q471" s="286">
        <v>2.67</v>
      </c>
      <c r="R471" s="469" cm="1">
        <f t="array" aca="1" ref="R471" ca="1">INDIRECT("'"&amp;$C471&amp;"'!"&amp;"$"&amp;$D471&amp;$R$1&amp;"")</f>
        <v>6.8</v>
      </c>
      <c r="S471" s="288"/>
      <c r="T471" s="288">
        <v>0.93</v>
      </c>
      <c r="U471" s="286">
        <v>2.67</v>
      </c>
      <c r="V471" s="287" cm="1">
        <f t="array" aca="1" ref="V471" ca="1">INDIRECT("'"&amp;$C471&amp;"'!"&amp;"$"&amp;$D471&amp;$V$1&amp;"")</f>
        <v>0</v>
      </c>
      <c r="W471" s="288" t="s">
        <v>1</v>
      </c>
      <c r="X471" s="288" t="s">
        <v>1</v>
      </c>
      <c r="Y471" s="289" t="s">
        <v>1</v>
      </c>
      <c r="Z471" s="285" t="str" cm="1">
        <f t="array" aca="1" ref="Z471" ca="1">INDIRECT("'"&amp;$C471&amp;"'!"&amp;"$"&amp;$D471&amp;$Z$1&amp;"")</f>
        <v>CMS</v>
      </c>
      <c r="AA471" s="288" t="s">
        <v>1</v>
      </c>
      <c r="AB471" s="288" t="s">
        <v>1</v>
      </c>
      <c r="AC471" s="286" t="s">
        <v>1</v>
      </c>
      <c r="AD471" s="287" t="str" cm="1">
        <f t="array" aca="1" ref="AD471" ca="1">INDIRECT("'"&amp;$C471&amp;"'!"&amp;"$"&amp;$D471&amp;$AD$1&amp;"")</f>
        <v>CMS</v>
      </c>
      <c r="AE471" s="288" t="s">
        <v>1</v>
      </c>
      <c r="AF471" s="288" t="s">
        <v>1</v>
      </c>
      <c r="AG471" s="289" t="s">
        <v>1</v>
      </c>
      <c r="AH471" s="285" cm="1">
        <f t="array" aca="1" ref="AH471" ca="1">INDIRECT("'"&amp;$C471&amp;"'!"&amp;"$"&amp;$D471&amp;$AH$1&amp;"")</f>
        <v>0</v>
      </c>
      <c r="AI471" s="288" t="s">
        <v>1</v>
      </c>
      <c r="AJ471" s="288" t="s">
        <v>1</v>
      </c>
      <c r="AK471" s="286" t="s">
        <v>1</v>
      </c>
      <c r="AL471" s="285">
        <v>0</v>
      </c>
      <c r="AM471" s="289">
        <v>70.2</v>
      </c>
      <c r="AN471" s="285" cm="1">
        <f t="array" aca="1" ref="AN471" ca="1">INDIRECT("'"&amp;$C471&amp;"'!"&amp;"$"&amp;$D471&amp;$AL$1&amp;"")</f>
        <v>0</v>
      </c>
      <c r="AO471" s="288" t="s">
        <v>1</v>
      </c>
      <c r="AP471" s="286" t="s">
        <v>1</v>
      </c>
      <c r="AQ471" s="287" cm="1">
        <f t="array" aca="1" ref="AQ471" ca="1">INDIRECT("'"&amp;$C471&amp;"'!"&amp;"$"&amp;$D471&amp;$AQ$1&amp;"")</f>
        <v>0</v>
      </c>
      <c r="AR471" s="288" t="s">
        <v>1</v>
      </c>
      <c r="AS471" s="286" t="s">
        <v>1</v>
      </c>
      <c r="AT471" s="285">
        <v>13.8</v>
      </c>
      <c r="AU471" s="289">
        <v>70.3</v>
      </c>
      <c r="AV471" s="288" cm="1">
        <f t="array" aca="1" ref="AV471" ca="1">INDIRECT("'"&amp;$C471&amp;"'!"&amp;"$"&amp;$D471&amp;$AV$1&amp;"")</f>
        <v>0</v>
      </c>
      <c r="AW471" s="287" t="s">
        <v>1</v>
      </c>
      <c r="AX471" s="288" t="s">
        <v>1</v>
      </c>
      <c r="AY471" s="286" t="s">
        <v>1</v>
      </c>
      <c r="AZ471" s="288" cm="1">
        <f t="array" aca="1" ref="AZ471" ca="1">INDIRECT("'"&amp;$C471&amp;"'!"&amp;"$"&amp;$D471&amp;$AZ$1&amp;"")</f>
        <v>7</v>
      </c>
      <c r="BA471" s="287" t="s">
        <v>1</v>
      </c>
      <c r="BB471" s="288">
        <v>0.9</v>
      </c>
      <c r="BC471" s="286">
        <v>2.1</v>
      </c>
      <c r="BD471" s="290">
        <v>14.18</v>
      </c>
      <c r="BE471" s="289">
        <v>71.44</v>
      </c>
      <c r="BF471" s="290" cm="1">
        <f t="array" aca="1" ref="BF471" ca="1">INDIRECT("'"&amp;$C471&amp;"'!"&amp;"$"&amp;$D471&amp;$BF$1&amp;"")</f>
        <v>14.3</v>
      </c>
      <c r="BG471" s="288">
        <v>0.98</v>
      </c>
      <c r="BH471" s="286">
        <v>3.4</v>
      </c>
      <c r="BI471" s="525">
        <v>67.7</v>
      </c>
      <c r="BJ471" s="285" cm="1">
        <f t="array" aca="1" ref="BJ471" ca="1">INDIRECT("'"&amp;$C471&amp;"'!"&amp;"$"&amp;$D471&amp;$BI$1&amp;"")</f>
        <v>2.2999999999999998</v>
      </c>
      <c r="BK471" s="287">
        <v>0.95</v>
      </c>
      <c r="BL471" s="286">
        <v>0.74</v>
      </c>
      <c r="BM471" s="290" cm="1">
        <f t="array" aca="1" ref="BM471" ca="1">INDIRECT("'"&amp;$C471&amp;"'!"&amp;"$"&amp;$D471&amp;$BM$1&amp;"")</f>
        <v>1.08</v>
      </c>
      <c r="BN471" s="288"/>
      <c r="BO471" s="288">
        <v>0.99</v>
      </c>
      <c r="BP471" s="286">
        <v>0.16</v>
      </c>
      <c r="BQ471" s="291" cm="1">
        <f t="array" aca="1" ref="BQ471" ca="1">INDIRECT("'"&amp;$C471&amp;"'!"&amp;"$"&amp;$D471&amp;$BQ$1&amp;"")</f>
        <v>0.68</v>
      </c>
      <c r="BR471" s="288"/>
      <c r="BS471" s="288">
        <v>0.96</v>
      </c>
      <c r="BT471" s="286">
        <v>0.2</v>
      </c>
      <c r="BU471" s="291" cm="1">
        <f t="array" aca="1" ref="BU471" ca="1">INDIRECT("'"&amp;$C471&amp;"'!"&amp;"$"&amp;$D471&amp;74&amp;"")</f>
        <v>0</v>
      </c>
      <c r="BV471" s="288"/>
      <c r="BW471" s="288" t="s">
        <v>1</v>
      </c>
      <c r="BX471" s="286" t="s">
        <v>1</v>
      </c>
    </row>
    <row r="472" spans="1:76">
      <c r="A472" s="459">
        <v>45857</v>
      </c>
      <c r="B472" s="345">
        <v>0.70833333333333404</v>
      </c>
      <c r="C472" s="305">
        <v>19</v>
      </c>
      <c r="D472" s="306" t="s">
        <v>159</v>
      </c>
      <c r="E472" s="278">
        <v>14.2</v>
      </c>
      <c r="F472" s="279">
        <v>68.959999999999994</v>
      </c>
      <c r="G472" s="280" t="str" cm="1">
        <f t="array" aca="1" ref="G472" ca="1">INDIRECT("'"&amp;$C472&amp;"'!"&amp;"$"&amp;$D472&amp;$E$1&amp;"")</f>
        <v>CMS</v>
      </c>
      <c r="H472" s="281" t="s">
        <v>1</v>
      </c>
      <c r="I472" s="279" t="s">
        <v>1</v>
      </c>
      <c r="J472" s="280" cm="1">
        <f t="array" aca="1" ref="J472" ca="1">INDIRECT("'"&amp;$C472&amp;"'!"&amp;"$"&amp;$D472&amp;$J$1&amp;"")</f>
        <v>6.4</v>
      </c>
      <c r="K472" s="281"/>
      <c r="L472" s="281">
        <v>0.93</v>
      </c>
      <c r="M472" s="282">
        <v>2.5099999999999998</v>
      </c>
      <c r="N472" s="278" cm="1">
        <f t="array" aca="1" ref="N472" ca="1">INDIRECT("'"&amp;$C472&amp;"'!"&amp;"$"&amp;$D472&amp;$N$1&amp;"")</f>
        <v>6.4</v>
      </c>
      <c r="O472" s="281"/>
      <c r="P472" s="281">
        <v>0.93</v>
      </c>
      <c r="Q472" s="279">
        <v>2.5099999999999998</v>
      </c>
      <c r="R472" s="468" cm="1">
        <f t="array" aca="1" ref="R472" ca="1">INDIRECT("'"&amp;$C472&amp;"'!"&amp;"$"&amp;$D472&amp;$R$1&amp;"")</f>
        <v>6.4</v>
      </c>
      <c r="S472" s="281"/>
      <c r="T472" s="281">
        <v>0.93</v>
      </c>
      <c r="U472" s="279">
        <v>2.5099999999999998</v>
      </c>
      <c r="V472" s="280" cm="1">
        <f t="array" aca="1" ref="V472" ca="1">INDIRECT("'"&amp;$C472&amp;"'!"&amp;"$"&amp;$D472&amp;$V$1&amp;"")</f>
        <v>0</v>
      </c>
      <c r="W472" s="281" t="s">
        <v>1</v>
      </c>
      <c r="X472" s="281" t="s">
        <v>1</v>
      </c>
      <c r="Y472" s="282" t="s">
        <v>1</v>
      </c>
      <c r="Z472" s="278" t="str" cm="1">
        <f t="array" aca="1" ref="Z472" ca="1">INDIRECT("'"&amp;$C472&amp;"'!"&amp;"$"&amp;$D472&amp;$Z$1&amp;"")</f>
        <v>CMS</v>
      </c>
      <c r="AA472" s="281" t="s">
        <v>1</v>
      </c>
      <c r="AB472" s="281" t="s">
        <v>1</v>
      </c>
      <c r="AC472" s="279" t="s">
        <v>1</v>
      </c>
      <c r="AD472" s="280" t="str" cm="1">
        <f t="array" aca="1" ref="AD472" ca="1">INDIRECT("'"&amp;$C472&amp;"'!"&amp;"$"&amp;$D472&amp;$AD$1&amp;"")</f>
        <v>CMS</v>
      </c>
      <c r="AE472" s="281" t="s">
        <v>1</v>
      </c>
      <c r="AF472" s="281" t="s">
        <v>1</v>
      </c>
      <c r="AG472" s="282" t="s">
        <v>1</v>
      </c>
      <c r="AH472" s="278" cm="1">
        <f t="array" aca="1" ref="AH472" ca="1">INDIRECT("'"&amp;$C472&amp;"'!"&amp;"$"&amp;$D472&amp;$AH$1&amp;"")</f>
        <v>0</v>
      </c>
      <c r="AI472" s="281" t="s">
        <v>1</v>
      </c>
      <c r="AJ472" s="281" t="s">
        <v>1</v>
      </c>
      <c r="AK472" s="279" t="s">
        <v>1</v>
      </c>
      <c r="AL472" s="278">
        <v>0</v>
      </c>
      <c r="AM472" s="282">
        <v>70.3</v>
      </c>
      <c r="AN472" s="278" cm="1">
        <f t="array" aca="1" ref="AN472" ca="1">INDIRECT("'"&amp;$C472&amp;"'!"&amp;"$"&amp;$D472&amp;$AL$1&amp;"")</f>
        <v>0</v>
      </c>
      <c r="AO472" s="281" t="s">
        <v>1</v>
      </c>
      <c r="AP472" s="279" t="s">
        <v>1</v>
      </c>
      <c r="AQ472" s="280" cm="1">
        <f t="array" aca="1" ref="AQ472" ca="1">INDIRECT("'"&amp;$C472&amp;"'!"&amp;"$"&amp;$D472&amp;$AQ$1&amp;"")</f>
        <v>0</v>
      </c>
      <c r="AR472" s="281" t="s">
        <v>1</v>
      </c>
      <c r="AS472" s="279" t="s">
        <v>1</v>
      </c>
      <c r="AT472" s="278">
        <v>13.8</v>
      </c>
      <c r="AU472" s="282">
        <v>70.3</v>
      </c>
      <c r="AV472" s="281" cm="1">
        <f t="array" aca="1" ref="AV472" ca="1">INDIRECT("'"&amp;$C472&amp;"'!"&amp;"$"&amp;$D472&amp;$AV$1&amp;"")</f>
        <v>0</v>
      </c>
      <c r="AW472" s="280" t="s">
        <v>1</v>
      </c>
      <c r="AX472" s="281" t="s">
        <v>1</v>
      </c>
      <c r="AY472" s="279" t="s">
        <v>1</v>
      </c>
      <c r="AZ472" s="281" cm="1">
        <f t="array" aca="1" ref="AZ472" ca="1">INDIRECT("'"&amp;$C472&amp;"'!"&amp;"$"&amp;$D472&amp;$AZ$1&amp;"")</f>
        <v>7</v>
      </c>
      <c r="BA472" s="280" t="s">
        <v>1</v>
      </c>
      <c r="BB472" s="281">
        <v>0.9</v>
      </c>
      <c r="BC472" s="279">
        <v>2.1</v>
      </c>
      <c r="BD472" s="283">
        <v>14.29</v>
      </c>
      <c r="BE472" s="282">
        <v>71.59</v>
      </c>
      <c r="BF472" s="283" cm="1">
        <f t="array" aca="1" ref="BF472" ca="1">INDIRECT("'"&amp;$C472&amp;"'!"&amp;"$"&amp;$D472&amp;$BF$1&amp;"")</f>
        <v>14.31</v>
      </c>
      <c r="BG472" s="281">
        <v>0.98</v>
      </c>
      <c r="BH472" s="279">
        <v>3.4</v>
      </c>
      <c r="BI472" s="524">
        <v>67.8</v>
      </c>
      <c r="BJ472" s="278" cm="1">
        <f t="array" aca="1" ref="BJ472" ca="1">INDIRECT("'"&amp;$C472&amp;"'!"&amp;"$"&amp;$D472&amp;$BI$1&amp;"")</f>
        <v>3.1</v>
      </c>
      <c r="BK472" s="280">
        <v>0.95</v>
      </c>
      <c r="BL472" s="279">
        <v>0.98</v>
      </c>
      <c r="BM472" s="283" cm="1">
        <f t="array" aca="1" ref="BM472" ca="1">INDIRECT("'"&amp;$C472&amp;"'!"&amp;"$"&amp;$D472&amp;$BM$1&amp;"")</f>
        <v>0.94</v>
      </c>
      <c r="BN472" s="281"/>
      <c r="BO472" s="281">
        <v>0.99</v>
      </c>
      <c r="BP472" s="279">
        <v>0.11</v>
      </c>
      <c r="BQ472" s="284" cm="1">
        <f t="array" aca="1" ref="BQ472" ca="1">INDIRECT("'"&amp;$C472&amp;"'!"&amp;"$"&amp;$D472&amp;$BQ$1&amp;"")</f>
        <v>0.7</v>
      </c>
      <c r="BR472" s="281"/>
      <c r="BS472" s="281">
        <v>0.96</v>
      </c>
      <c r="BT472" s="279">
        <v>0.2</v>
      </c>
      <c r="BU472" s="284" cm="1">
        <f t="array" aca="1" ref="BU472" ca="1">INDIRECT("'"&amp;$C472&amp;"'!"&amp;"$"&amp;$D472&amp;74&amp;"")</f>
        <v>0</v>
      </c>
      <c r="BV472" s="281"/>
      <c r="BW472" s="281" t="s">
        <v>1</v>
      </c>
      <c r="BX472" s="279" t="s">
        <v>1</v>
      </c>
    </row>
    <row r="473" spans="1:76">
      <c r="A473" s="459">
        <v>45857</v>
      </c>
      <c r="B473" s="345">
        <v>0.750000000000001</v>
      </c>
      <c r="C473" s="305">
        <v>19</v>
      </c>
      <c r="D473" s="306" t="s">
        <v>160</v>
      </c>
      <c r="E473" s="285">
        <v>14.2</v>
      </c>
      <c r="F473" s="286">
        <v>68.73</v>
      </c>
      <c r="G473" s="287" t="str" cm="1">
        <f t="array" aca="1" ref="G473" ca="1">INDIRECT("'"&amp;$C473&amp;"'!"&amp;"$"&amp;$D473&amp;$E$1&amp;"")</f>
        <v>CMS</v>
      </c>
      <c r="H473" s="288" t="s">
        <v>1</v>
      </c>
      <c r="I473" s="286" t="s">
        <v>1</v>
      </c>
      <c r="J473" s="287" cm="1">
        <f t="array" aca="1" ref="J473" ca="1">INDIRECT("'"&amp;$C473&amp;"'!"&amp;"$"&amp;$D473&amp;$J$1&amp;"")</f>
        <v>6.6</v>
      </c>
      <c r="K473" s="288"/>
      <c r="L473" s="288">
        <v>0.92</v>
      </c>
      <c r="M473" s="289">
        <v>2.86</v>
      </c>
      <c r="N473" s="285" cm="1">
        <f t="array" aca="1" ref="N473" ca="1">INDIRECT("'"&amp;$C473&amp;"'!"&amp;"$"&amp;$D473&amp;$N$1&amp;"")</f>
        <v>6.6</v>
      </c>
      <c r="O473" s="288"/>
      <c r="P473" s="288">
        <v>0.92</v>
      </c>
      <c r="Q473" s="286">
        <v>2.86</v>
      </c>
      <c r="R473" s="285" cm="1">
        <f t="array" aca="1" ref="R473" ca="1">INDIRECT("'"&amp;$C473&amp;"'!"&amp;"$"&amp;$D473&amp;$R$1&amp;"")</f>
        <v>6.6</v>
      </c>
      <c r="S473" s="288"/>
      <c r="T473" s="288">
        <v>0.92</v>
      </c>
      <c r="U473" s="286">
        <v>2.86</v>
      </c>
      <c r="V473" s="287" cm="1">
        <f t="array" aca="1" ref="V473" ca="1">INDIRECT("'"&amp;$C473&amp;"'!"&amp;"$"&amp;$D473&amp;$V$1&amp;"")</f>
        <v>0</v>
      </c>
      <c r="W473" s="288" t="s">
        <v>1</v>
      </c>
      <c r="X473" s="288" t="s">
        <v>1</v>
      </c>
      <c r="Y473" s="289" t="s">
        <v>1</v>
      </c>
      <c r="Z473" s="285" t="str" cm="1">
        <f t="array" aca="1" ref="Z473" ca="1">INDIRECT("'"&amp;$C473&amp;"'!"&amp;"$"&amp;$D473&amp;$Z$1&amp;"")</f>
        <v>CMS</v>
      </c>
      <c r="AA473" s="288" t="s">
        <v>1</v>
      </c>
      <c r="AB473" s="288" t="s">
        <v>1</v>
      </c>
      <c r="AC473" s="286" t="s">
        <v>1</v>
      </c>
      <c r="AD473" s="287" t="str" cm="1">
        <f t="array" aca="1" ref="AD473" ca="1">INDIRECT("'"&amp;$C473&amp;"'!"&amp;"$"&amp;$D473&amp;$AD$1&amp;"")</f>
        <v>CMS</v>
      </c>
      <c r="AE473" s="288" t="s">
        <v>1</v>
      </c>
      <c r="AF473" s="288" t="s">
        <v>1</v>
      </c>
      <c r="AG473" s="289" t="s">
        <v>1</v>
      </c>
      <c r="AH473" s="285" cm="1">
        <f t="array" aca="1" ref="AH473" ca="1">INDIRECT("'"&amp;$C473&amp;"'!"&amp;"$"&amp;$D473&amp;$AH$1&amp;"")</f>
        <v>0</v>
      </c>
      <c r="AI473" s="288" t="s">
        <v>1</v>
      </c>
      <c r="AJ473" s="288" t="s">
        <v>1</v>
      </c>
      <c r="AK473" s="286" t="s">
        <v>1</v>
      </c>
      <c r="AL473" s="285">
        <v>11.5</v>
      </c>
      <c r="AM473" s="289">
        <v>70.3</v>
      </c>
      <c r="AN473" s="285" cm="1">
        <f t="array" aca="1" ref="AN473" ca="1">INDIRECT("'"&amp;$C473&amp;"'!"&amp;"$"&amp;$D473&amp;$AL$1&amp;"")</f>
        <v>0</v>
      </c>
      <c r="AO473" s="288" t="s">
        <v>1</v>
      </c>
      <c r="AP473" s="286" t="s">
        <v>1</v>
      </c>
      <c r="AQ473" s="287" cm="1">
        <f t="array" aca="1" ref="AQ473" ca="1">INDIRECT("'"&amp;$C473&amp;"'!"&amp;"$"&amp;$D473&amp;$AQ$1&amp;"")</f>
        <v>3.8</v>
      </c>
      <c r="AR473" s="288">
        <v>0.97</v>
      </c>
      <c r="AS473" s="286">
        <v>0.79</v>
      </c>
      <c r="AT473" s="285">
        <v>13.8</v>
      </c>
      <c r="AU473" s="289">
        <v>70.3</v>
      </c>
      <c r="AV473" s="288" cm="1">
        <f t="array" aca="1" ref="AV473" ca="1">INDIRECT("'"&amp;$C473&amp;"'!"&amp;"$"&amp;$D473&amp;$AV$1&amp;"")</f>
        <v>0</v>
      </c>
      <c r="AW473" s="287" t="s">
        <v>1</v>
      </c>
      <c r="AX473" s="288" t="s">
        <v>1</v>
      </c>
      <c r="AY473" s="286" t="s">
        <v>1</v>
      </c>
      <c r="AZ473" s="288" cm="1">
        <f t="array" aca="1" ref="AZ473" ca="1">INDIRECT("'"&amp;$C473&amp;"'!"&amp;"$"&amp;$D473&amp;$AZ$1&amp;"")</f>
        <v>7</v>
      </c>
      <c r="BA473" s="287" t="s">
        <v>1</v>
      </c>
      <c r="BB473" s="288">
        <v>0.9</v>
      </c>
      <c r="BC473" s="286">
        <v>2.1</v>
      </c>
      <c r="BD473" s="290">
        <v>14.29</v>
      </c>
      <c r="BE473" s="289">
        <v>71.59</v>
      </c>
      <c r="BF473" s="290" cm="1">
        <f t="array" aca="1" ref="BF473" ca="1">INDIRECT("'"&amp;$C473&amp;"'!"&amp;"$"&amp;$D473&amp;$BF$1&amp;"")</f>
        <v>14.27</v>
      </c>
      <c r="BG473" s="288">
        <v>0.98</v>
      </c>
      <c r="BH473" s="286">
        <v>3.4</v>
      </c>
      <c r="BI473" s="525">
        <v>67.400000000000006</v>
      </c>
      <c r="BJ473" s="285" cm="1">
        <f t="array" aca="1" ref="BJ473" ca="1">INDIRECT("'"&amp;$C473&amp;"'!"&amp;"$"&amp;$D473&amp;$BI$1&amp;"")</f>
        <v>0.8</v>
      </c>
      <c r="BK473" s="287">
        <v>0.95</v>
      </c>
      <c r="BL473" s="286">
        <v>0.26</v>
      </c>
      <c r="BM473" s="290" cm="1">
        <f t="array" aca="1" ref="BM473" ca="1">INDIRECT("'"&amp;$C473&amp;"'!"&amp;"$"&amp;$D473&amp;$BM$1&amp;"")</f>
        <v>1.1200000000000001</v>
      </c>
      <c r="BN473" s="288"/>
      <c r="BO473" s="288">
        <v>0.99</v>
      </c>
      <c r="BP473" s="286">
        <v>0.12</v>
      </c>
      <c r="BQ473" s="291" cm="1">
        <f t="array" aca="1" ref="BQ473" ca="1">INDIRECT("'"&amp;$C473&amp;"'!"&amp;"$"&amp;$D473&amp;$BQ$1&amp;"")</f>
        <v>0.71</v>
      </c>
      <c r="BR473" s="288"/>
      <c r="BS473" s="288">
        <v>0.95</v>
      </c>
      <c r="BT473" s="286">
        <v>0.22</v>
      </c>
      <c r="BU473" s="291" cm="1">
        <f t="array" aca="1" ref="BU473" ca="1">INDIRECT("'"&amp;$C473&amp;"'!"&amp;"$"&amp;$D473&amp;74&amp;"")</f>
        <v>0</v>
      </c>
      <c r="BV473" s="288"/>
      <c r="BW473" s="288" t="s">
        <v>1</v>
      </c>
      <c r="BX473" s="286" t="s">
        <v>1</v>
      </c>
    </row>
    <row r="474" spans="1:76">
      <c r="A474" s="459">
        <v>45857</v>
      </c>
      <c r="B474" s="345">
        <v>0.79166666666666696</v>
      </c>
      <c r="C474" s="305">
        <v>19</v>
      </c>
      <c r="D474" s="306" t="s">
        <v>161</v>
      </c>
      <c r="E474" s="278">
        <v>14.2</v>
      </c>
      <c r="F474" s="279">
        <v>69.59</v>
      </c>
      <c r="G474" s="280" t="str" cm="1">
        <f t="array" aca="1" ref="G474" ca="1">INDIRECT("'"&amp;$C474&amp;"'!"&amp;"$"&amp;$D474&amp;$E$1&amp;"")</f>
        <v>CMS</v>
      </c>
      <c r="H474" s="281" t="s">
        <v>1</v>
      </c>
      <c r="I474" s="279" t="s">
        <v>1</v>
      </c>
      <c r="J474" s="280" cm="1">
        <f t="array" aca="1" ref="J474" ca="1">INDIRECT("'"&amp;$C474&amp;"'!"&amp;"$"&amp;$D474&amp;$J$1&amp;"")</f>
        <v>6.6</v>
      </c>
      <c r="K474" s="292"/>
      <c r="L474" s="281">
        <v>0.93</v>
      </c>
      <c r="M474" s="282">
        <v>2.65</v>
      </c>
      <c r="N474" s="278" cm="1">
        <f t="array" aca="1" ref="N474" ca="1">INDIRECT("'"&amp;$C474&amp;"'!"&amp;"$"&amp;$D474&amp;$N$1&amp;"")</f>
        <v>6.6</v>
      </c>
      <c r="O474" s="281"/>
      <c r="P474" s="281">
        <v>0.93</v>
      </c>
      <c r="Q474" s="279">
        <v>2.65</v>
      </c>
      <c r="R474" s="468" cm="1">
        <f t="array" aca="1" ref="R474" ca="1">INDIRECT("'"&amp;$C474&amp;"'!"&amp;"$"&amp;$D474&amp;$R$1&amp;"")</f>
        <v>6.6</v>
      </c>
      <c r="S474" s="281"/>
      <c r="T474" s="281">
        <v>0.93</v>
      </c>
      <c r="U474" s="279">
        <v>2.65</v>
      </c>
      <c r="V474" s="280" cm="1">
        <f t="array" aca="1" ref="V474" ca="1">INDIRECT("'"&amp;$C474&amp;"'!"&amp;"$"&amp;$D474&amp;$V$1&amp;"")</f>
        <v>0</v>
      </c>
      <c r="W474" s="281" t="s">
        <v>1</v>
      </c>
      <c r="X474" s="281" t="s">
        <v>1</v>
      </c>
      <c r="Y474" s="282" t="s">
        <v>1</v>
      </c>
      <c r="Z474" s="278" t="str" cm="1">
        <f t="array" aca="1" ref="Z474" ca="1">INDIRECT("'"&amp;$C474&amp;"'!"&amp;"$"&amp;$D474&amp;$Z$1&amp;"")</f>
        <v>CMS</v>
      </c>
      <c r="AA474" s="281" t="s">
        <v>1</v>
      </c>
      <c r="AB474" s="281" t="s">
        <v>1</v>
      </c>
      <c r="AC474" s="279" t="s">
        <v>1</v>
      </c>
      <c r="AD474" s="280" t="str" cm="1">
        <f t="array" aca="1" ref="AD474" ca="1">INDIRECT("'"&amp;$C474&amp;"'!"&amp;"$"&amp;$D474&amp;$AD$1&amp;"")</f>
        <v>CMS</v>
      </c>
      <c r="AE474" s="281" t="s">
        <v>1</v>
      </c>
      <c r="AF474" s="281" t="s">
        <v>1</v>
      </c>
      <c r="AG474" s="282" t="s">
        <v>1</v>
      </c>
      <c r="AH474" s="278" cm="1">
        <f t="array" aca="1" ref="AH474" ca="1">INDIRECT("'"&amp;$C474&amp;"'!"&amp;"$"&amp;$D474&amp;$AH$1&amp;"")</f>
        <v>0</v>
      </c>
      <c r="AI474" s="281" t="s">
        <v>1</v>
      </c>
      <c r="AJ474" s="281" t="s">
        <v>1</v>
      </c>
      <c r="AK474" s="279" t="s">
        <v>1</v>
      </c>
      <c r="AL474" s="278">
        <v>11.5</v>
      </c>
      <c r="AM474" s="282">
        <v>70.7</v>
      </c>
      <c r="AN474" s="278" cm="1">
        <f t="array" aca="1" ref="AN474" ca="1">INDIRECT("'"&amp;$C474&amp;"'!"&amp;"$"&amp;$D474&amp;$AL$1&amp;"")</f>
        <v>0</v>
      </c>
      <c r="AO474" s="281" t="s">
        <v>1</v>
      </c>
      <c r="AP474" s="279" t="s">
        <v>1</v>
      </c>
      <c r="AQ474" s="280" cm="1">
        <f t="array" aca="1" ref="AQ474" ca="1">INDIRECT("'"&amp;$C474&amp;"'!"&amp;"$"&amp;$D474&amp;$AQ$1&amp;"")</f>
        <v>3.8</v>
      </c>
      <c r="AR474" s="281">
        <v>0.99</v>
      </c>
      <c r="AS474" s="279">
        <v>0.39</v>
      </c>
      <c r="AT474" s="278">
        <v>13.89</v>
      </c>
      <c r="AU474" s="282">
        <v>70.3</v>
      </c>
      <c r="AV474" s="281" cm="1">
        <f t="array" aca="1" ref="AV474" ca="1">INDIRECT("'"&amp;$C474&amp;"'!"&amp;"$"&amp;$D474&amp;$AV$1&amp;"")</f>
        <v>1</v>
      </c>
      <c r="AW474" s="280">
        <v>13.7</v>
      </c>
      <c r="AX474" s="281">
        <v>0.94</v>
      </c>
      <c r="AY474" s="279">
        <v>0.5</v>
      </c>
      <c r="AZ474" s="281" cm="1">
        <f t="array" aca="1" ref="AZ474" ca="1">INDIRECT("'"&amp;$C474&amp;"'!"&amp;"$"&amp;$D474&amp;$AZ$1&amp;"")</f>
        <v>7</v>
      </c>
      <c r="BA474" s="280">
        <v>13.7</v>
      </c>
      <c r="BB474" s="281">
        <v>0.9</v>
      </c>
      <c r="BC474" s="279">
        <v>2.1</v>
      </c>
      <c r="BD474" s="283">
        <v>14.25</v>
      </c>
      <c r="BE474" s="282">
        <v>71.63</v>
      </c>
      <c r="BF474" s="283" cm="1">
        <f t="array" aca="1" ref="BF474" ca="1">INDIRECT("'"&amp;$C474&amp;"'!"&amp;"$"&amp;$D474&amp;$BF$1&amp;"")</f>
        <v>14.26</v>
      </c>
      <c r="BG474" s="281">
        <v>0.98</v>
      </c>
      <c r="BH474" s="279">
        <v>3.4</v>
      </c>
      <c r="BI474" s="524">
        <v>68.2</v>
      </c>
      <c r="BJ474" s="278" cm="1">
        <f t="array" aca="1" ref="BJ474" ca="1">INDIRECT("'"&amp;$C474&amp;"'!"&amp;"$"&amp;$D474&amp;$BI$1&amp;"")</f>
        <v>4.5949999999999998</v>
      </c>
      <c r="BK474" s="280">
        <v>0.96</v>
      </c>
      <c r="BL474" s="279">
        <v>1.25</v>
      </c>
      <c r="BM474" s="283" cm="1">
        <f t="array" aca="1" ref="BM474" ca="1">INDIRECT("'"&amp;$C474&amp;"'!"&amp;"$"&amp;$D474&amp;$BM$1&amp;"")</f>
        <v>1.35</v>
      </c>
      <c r="BN474" s="281"/>
      <c r="BO474" s="281">
        <v>0.99</v>
      </c>
      <c r="BP474" s="279">
        <v>0.17</v>
      </c>
      <c r="BQ474" s="284" cm="1">
        <f t="array" aca="1" ref="BQ474" ca="1">INDIRECT("'"&amp;$C474&amp;"'!"&amp;"$"&amp;$D474&amp;$BQ$1&amp;"")</f>
        <v>0.81</v>
      </c>
      <c r="BR474" s="281"/>
      <c r="BS474" s="281">
        <v>0.97</v>
      </c>
      <c r="BT474" s="279">
        <v>0.21</v>
      </c>
      <c r="BU474" s="284" cm="1">
        <f t="array" aca="1" ref="BU474" ca="1">INDIRECT("'"&amp;$C474&amp;"'!"&amp;"$"&amp;$D474&amp;74&amp;"")</f>
        <v>0</v>
      </c>
      <c r="BV474" s="281"/>
      <c r="BW474" s="281" t="s">
        <v>1</v>
      </c>
      <c r="BX474" s="279" t="s">
        <v>1</v>
      </c>
    </row>
    <row r="475" spans="1:76">
      <c r="A475" s="459">
        <v>45857</v>
      </c>
      <c r="B475" s="345">
        <v>0.83333333333333337</v>
      </c>
      <c r="C475" s="305">
        <v>19</v>
      </c>
      <c r="D475" s="306" t="s">
        <v>162</v>
      </c>
      <c r="E475" s="285">
        <v>14.1</v>
      </c>
      <c r="F475" s="286">
        <v>69.81</v>
      </c>
      <c r="G475" s="287" t="str" cm="1">
        <f t="array" aca="1" ref="G475" ca="1">INDIRECT("'"&amp;$C475&amp;"'!"&amp;"$"&amp;$D475&amp;$E$1&amp;"")</f>
        <v>CMS</v>
      </c>
      <c r="H475" s="288" t="s">
        <v>1</v>
      </c>
      <c r="I475" s="286" t="s">
        <v>1</v>
      </c>
      <c r="J475" s="287" cm="1">
        <f t="array" aca="1" ref="J475" ca="1">INDIRECT("'"&amp;$C475&amp;"'!"&amp;"$"&amp;$D475&amp;$J$1&amp;"")</f>
        <v>6.4</v>
      </c>
      <c r="K475" s="288"/>
      <c r="L475" s="288">
        <v>0.93</v>
      </c>
      <c r="M475" s="289">
        <v>2.56</v>
      </c>
      <c r="N475" s="285" cm="1">
        <f t="array" aca="1" ref="N475" ca="1">INDIRECT("'"&amp;$C475&amp;"'!"&amp;"$"&amp;$D475&amp;$N$1&amp;"")</f>
        <v>6.4</v>
      </c>
      <c r="O475" s="288"/>
      <c r="P475" s="288">
        <v>0.93</v>
      </c>
      <c r="Q475" s="286">
        <v>2.56</v>
      </c>
      <c r="R475" s="285" cm="1">
        <f t="array" aca="1" ref="R475" ca="1">INDIRECT("'"&amp;$C475&amp;"'!"&amp;"$"&amp;$D475&amp;$R$1&amp;"")</f>
        <v>6.4</v>
      </c>
      <c r="S475" s="288"/>
      <c r="T475" s="288">
        <v>0.93</v>
      </c>
      <c r="U475" s="286">
        <v>2.56</v>
      </c>
      <c r="V475" s="287" cm="1">
        <f t="array" aca="1" ref="V475" ca="1">INDIRECT("'"&amp;$C475&amp;"'!"&amp;"$"&amp;$D475&amp;$V$1&amp;"")</f>
        <v>0</v>
      </c>
      <c r="W475" s="288" t="s">
        <v>1</v>
      </c>
      <c r="X475" s="288" t="s">
        <v>1</v>
      </c>
      <c r="Y475" s="289" t="s">
        <v>1</v>
      </c>
      <c r="Z475" s="285" t="str" cm="1">
        <f t="array" aca="1" ref="Z475" ca="1">INDIRECT("'"&amp;$C475&amp;"'!"&amp;"$"&amp;$D475&amp;$Z$1&amp;"")</f>
        <v>CMS</v>
      </c>
      <c r="AA475" s="288" t="s">
        <v>1</v>
      </c>
      <c r="AB475" s="288" t="s">
        <v>1</v>
      </c>
      <c r="AC475" s="286" t="s">
        <v>1</v>
      </c>
      <c r="AD475" s="287" cm="1">
        <f t="array" aca="1" ref="AD475" ca="1">INDIRECT("'"&amp;$C475&amp;"'!"&amp;"$"&amp;$D475&amp;$AD$1&amp;"")</f>
        <v>3</v>
      </c>
      <c r="AE475" s="288">
        <f>3.51*3.8</f>
        <v>13.337999999999999</v>
      </c>
      <c r="AF475" s="288">
        <v>0.98</v>
      </c>
      <c r="AG475" s="289">
        <v>0.57999999999999996</v>
      </c>
      <c r="AH475" s="285" cm="1">
        <f t="array" aca="1" ref="AH475" ca="1">INDIRECT("'"&amp;$C475&amp;"'!"&amp;"$"&amp;$D475&amp;$AH$1&amp;"")</f>
        <v>0</v>
      </c>
      <c r="AI475" s="288" t="s">
        <v>1</v>
      </c>
      <c r="AJ475" s="288" t="s">
        <v>1</v>
      </c>
      <c r="AK475" s="286" t="s">
        <v>1</v>
      </c>
      <c r="AL475" s="285">
        <v>11.6</v>
      </c>
      <c r="AM475" s="289">
        <v>70.8</v>
      </c>
      <c r="AN475" s="285" cm="1">
        <f t="array" aca="1" ref="AN475" ca="1">INDIRECT("'"&amp;$C475&amp;"'!"&amp;"$"&amp;$D475&amp;$AL$1&amp;"")</f>
        <v>0</v>
      </c>
      <c r="AO475" s="288" t="s">
        <v>1</v>
      </c>
      <c r="AP475" s="286" t="s">
        <v>1</v>
      </c>
      <c r="AQ475" s="287" cm="1">
        <f t="array" aca="1" ref="AQ475" ca="1">INDIRECT("'"&amp;$C475&amp;"'!"&amp;"$"&amp;$D475&amp;$AQ$1&amp;"")</f>
        <v>3.6</v>
      </c>
      <c r="AR475" s="288">
        <v>0.99</v>
      </c>
      <c r="AS475" s="286">
        <v>0.34</v>
      </c>
      <c r="AT475" s="285">
        <v>13.9</v>
      </c>
      <c r="AU475" s="289">
        <v>70.3</v>
      </c>
      <c r="AV475" s="288" cm="1">
        <f t="array" aca="1" ref="AV475" ca="1">INDIRECT("'"&amp;$C475&amp;"'!"&amp;"$"&amp;$D475&amp;$AV$1&amp;"")</f>
        <v>3.3</v>
      </c>
      <c r="AW475" s="287" t="s">
        <v>1</v>
      </c>
      <c r="AX475" s="288">
        <v>0.99</v>
      </c>
      <c r="AY475" s="286">
        <v>0.5</v>
      </c>
      <c r="AZ475" s="288" cm="1">
        <f t="array" aca="1" ref="AZ475" ca="1">INDIRECT("'"&amp;$C475&amp;"'!"&amp;"$"&amp;$D475&amp;$AZ$1&amp;"")</f>
        <v>7</v>
      </c>
      <c r="BA475" s="287" t="s">
        <v>1</v>
      </c>
      <c r="BB475" s="288">
        <v>0.9</v>
      </c>
      <c r="BC475" s="286">
        <v>2.1</v>
      </c>
      <c r="BD475" s="290">
        <v>14.23</v>
      </c>
      <c r="BE475" s="289">
        <v>71.64</v>
      </c>
      <c r="BF475" s="290" cm="1">
        <f t="array" aca="1" ref="BF475" ca="1">INDIRECT("'"&amp;$C475&amp;"'!"&amp;"$"&amp;$D475&amp;$BF$1&amp;"")</f>
        <v>14.25</v>
      </c>
      <c r="BG475" s="288">
        <v>0.98</v>
      </c>
      <c r="BH475" s="286">
        <v>3.4</v>
      </c>
      <c r="BI475" s="525">
        <v>68.3</v>
      </c>
      <c r="BJ475" s="285" cm="1">
        <f t="array" aca="1" ref="BJ475" ca="1">INDIRECT("'"&amp;$C475&amp;"'!"&amp;"$"&amp;$D475&amp;$BI$1&amp;"")</f>
        <v>0</v>
      </c>
      <c r="BK475" s="287" t="s">
        <v>1</v>
      </c>
      <c r="BL475" s="286" t="s">
        <v>1</v>
      </c>
      <c r="BM475" s="290" cm="1">
        <f t="array" aca="1" ref="BM475" ca="1">INDIRECT("'"&amp;$C475&amp;"'!"&amp;"$"&amp;$D475&amp;$BM$1&amp;"")</f>
        <v>1.34</v>
      </c>
      <c r="BN475" s="288"/>
      <c r="BO475" s="288">
        <v>0.99</v>
      </c>
      <c r="BP475" s="286">
        <v>0.15</v>
      </c>
      <c r="BQ475" s="291" cm="1">
        <f t="array" aca="1" ref="BQ475" ca="1">INDIRECT("'"&amp;$C475&amp;"'!"&amp;"$"&amp;$D475&amp;$BQ$1&amp;"")</f>
        <v>0.9</v>
      </c>
      <c r="BR475" s="288"/>
      <c r="BS475" s="288">
        <v>0.97</v>
      </c>
      <c r="BT475" s="286">
        <v>0.23</v>
      </c>
      <c r="BU475" s="291" cm="1">
        <f t="array" aca="1" ref="BU475" ca="1">INDIRECT("'"&amp;$C475&amp;"'!"&amp;"$"&amp;$D475&amp;74&amp;"")</f>
        <v>0</v>
      </c>
      <c r="BV475" s="288"/>
      <c r="BW475" s="288" t="s">
        <v>1</v>
      </c>
      <c r="BX475" s="286" t="s">
        <v>1</v>
      </c>
    </row>
    <row r="476" spans="1:76">
      <c r="A476" s="459">
        <v>45857</v>
      </c>
      <c r="B476" s="345">
        <v>0.875000000000001</v>
      </c>
      <c r="C476" s="305">
        <v>19</v>
      </c>
      <c r="D476" s="306" t="s">
        <v>163</v>
      </c>
      <c r="E476" s="278">
        <v>14</v>
      </c>
      <c r="F476" s="279">
        <v>69.62</v>
      </c>
      <c r="G476" s="280" t="str" cm="1">
        <f t="array" aca="1" ref="G476" ca="1">INDIRECT("'"&amp;$C476&amp;"'!"&amp;"$"&amp;$D476&amp;$E$1&amp;"")</f>
        <v>CMS</v>
      </c>
      <c r="H476" s="281" t="s">
        <v>1</v>
      </c>
      <c r="I476" s="279" t="s">
        <v>1</v>
      </c>
      <c r="J476" s="280" cm="1">
        <f t="array" aca="1" ref="J476" ca="1">INDIRECT("'"&amp;$C476&amp;"'!"&amp;"$"&amp;$D476&amp;$J$1&amp;"")</f>
        <v>6.9</v>
      </c>
      <c r="K476" s="281"/>
      <c r="L476" s="281">
        <v>0.94</v>
      </c>
      <c r="M476" s="282">
        <v>2.5299999999999998</v>
      </c>
      <c r="N476" s="278" cm="1">
        <f t="array" aca="1" ref="N476" ca="1">INDIRECT("'"&amp;$C476&amp;"'!"&amp;"$"&amp;$D476&amp;$N$1&amp;"")</f>
        <v>6.9</v>
      </c>
      <c r="O476" s="281"/>
      <c r="P476" s="281">
        <v>0.94</v>
      </c>
      <c r="Q476" s="279">
        <v>2.58</v>
      </c>
      <c r="R476" s="468" t="str" cm="1">
        <f t="array" aca="1" ref="R476" ca="1">INDIRECT("'"&amp;$C476&amp;"'!"&amp;"$"&amp;$D476&amp;$R$1&amp;"")</f>
        <v>CMS</v>
      </c>
      <c r="S476" s="281"/>
      <c r="T476" s="281" t="s">
        <v>1</v>
      </c>
      <c r="U476" s="279" t="s">
        <v>1</v>
      </c>
      <c r="V476" s="280" cm="1">
        <f t="array" aca="1" ref="V476" ca="1">INDIRECT("'"&amp;$C476&amp;"'!"&amp;"$"&amp;$D476&amp;$V$1&amp;"")</f>
        <v>2.8</v>
      </c>
      <c r="W476" s="281">
        <f>3.51*3.8</f>
        <v>13.337999999999999</v>
      </c>
      <c r="X476" s="281">
        <v>0.95</v>
      </c>
      <c r="Y476" s="282">
        <v>0.84</v>
      </c>
      <c r="Z476" s="278" t="str" cm="1">
        <f t="array" aca="1" ref="Z476" ca="1">INDIRECT("'"&amp;$C476&amp;"'!"&amp;"$"&amp;$D476&amp;$Z$1&amp;"")</f>
        <v>CMS</v>
      </c>
      <c r="AA476" s="281" t="s">
        <v>1</v>
      </c>
      <c r="AB476" s="281" t="s">
        <v>1</v>
      </c>
      <c r="AC476" s="279" t="s">
        <v>1</v>
      </c>
      <c r="AD476" s="280" t="str" cm="1">
        <f t="array" aca="1" ref="AD476" ca="1">INDIRECT("'"&amp;$C476&amp;"'!"&amp;"$"&amp;$D476&amp;$AD$1&amp;"")</f>
        <v>CMS</v>
      </c>
      <c r="AE476" s="281" t="s">
        <v>1</v>
      </c>
      <c r="AF476" s="281" t="s">
        <v>1</v>
      </c>
      <c r="AG476" s="282" t="s">
        <v>1</v>
      </c>
      <c r="AH476" s="278" cm="1">
        <f t="array" aca="1" ref="AH476" ca="1">INDIRECT("'"&amp;$C476&amp;"'!"&amp;"$"&amp;$D476&amp;$AH$1&amp;"")</f>
        <v>0</v>
      </c>
      <c r="AI476" s="281" t="s">
        <v>1</v>
      </c>
      <c r="AJ476" s="281" t="s">
        <v>1</v>
      </c>
      <c r="AK476" s="279" t="s">
        <v>1</v>
      </c>
      <c r="AL476" s="278">
        <v>11.6</v>
      </c>
      <c r="AM476" s="282">
        <v>70.599999999999994</v>
      </c>
      <c r="AN476" s="278" cm="1">
        <f t="array" aca="1" ref="AN476" ca="1">INDIRECT("'"&amp;$C476&amp;"'!"&amp;"$"&amp;$D476&amp;$AL$1&amp;"")</f>
        <v>0</v>
      </c>
      <c r="AO476" s="281" t="s">
        <v>1</v>
      </c>
      <c r="AP476" s="279" t="s">
        <v>1</v>
      </c>
      <c r="AQ476" s="280" cm="1">
        <f t="array" aca="1" ref="AQ476" ca="1">INDIRECT("'"&amp;$C476&amp;"'!"&amp;"$"&amp;$D476&amp;$AQ$1&amp;"")</f>
        <v>3.8</v>
      </c>
      <c r="AR476" s="281">
        <v>0.97</v>
      </c>
      <c r="AS476" s="279">
        <v>0.84</v>
      </c>
      <c r="AT476" s="278">
        <v>13.9</v>
      </c>
      <c r="AU476" s="282">
        <v>70.3</v>
      </c>
      <c r="AV476" s="281" cm="1">
        <f t="array" aca="1" ref="AV476" ca="1">INDIRECT("'"&amp;$C476&amp;"'!"&amp;"$"&amp;$D476&amp;$AV$1&amp;"")</f>
        <v>0</v>
      </c>
      <c r="AW476" s="280" t="s">
        <v>1</v>
      </c>
      <c r="AX476" s="281" t="s">
        <v>1</v>
      </c>
      <c r="AY476" s="279" t="s">
        <v>1</v>
      </c>
      <c r="AZ476" s="281" cm="1">
        <f t="array" aca="1" ref="AZ476" ca="1">INDIRECT("'"&amp;$C476&amp;"'!"&amp;"$"&amp;$D476&amp;$AZ$1&amp;"")</f>
        <v>7.2</v>
      </c>
      <c r="BA476" s="280" t="s">
        <v>1</v>
      </c>
      <c r="BB476" s="281">
        <v>0.96</v>
      </c>
      <c r="BC476" s="279">
        <v>1.6</v>
      </c>
      <c r="BD476" s="283">
        <v>14.09</v>
      </c>
      <c r="BE476" s="282">
        <v>71.239999999999995</v>
      </c>
      <c r="BF476" s="283" cm="1">
        <f t="array" aca="1" ref="BF476" ca="1">INDIRECT("'"&amp;$C476&amp;"'!"&amp;"$"&amp;$D476&amp;$BF$1&amp;"")</f>
        <v>14.25</v>
      </c>
      <c r="BG476" s="281">
        <v>0.99</v>
      </c>
      <c r="BH476" s="279">
        <v>2.2999999999999998</v>
      </c>
      <c r="BI476" s="524">
        <v>68.3</v>
      </c>
      <c r="BJ476" s="278" cm="1">
        <f t="array" aca="1" ref="BJ476" ca="1">INDIRECT("'"&amp;$C476&amp;"'!"&amp;"$"&amp;$D476&amp;$BI$1&amp;"")</f>
        <v>4.6000000000000005</v>
      </c>
      <c r="BK476" s="280">
        <v>0.97</v>
      </c>
      <c r="BL476" s="279">
        <v>1.1000000000000001</v>
      </c>
      <c r="BM476" s="283" cm="1">
        <f t="array" aca="1" ref="BM476" ca="1">INDIRECT("'"&amp;$C476&amp;"'!"&amp;"$"&amp;$D476&amp;$BM$1&amp;"")</f>
        <v>1.25</v>
      </c>
      <c r="BN476" s="281"/>
      <c r="BO476" s="281">
        <v>0.99</v>
      </c>
      <c r="BP476" s="279">
        <v>0.14000000000000001</v>
      </c>
      <c r="BQ476" s="284" cm="1">
        <f t="array" aca="1" ref="BQ476" ca="1">INDIRECT("'"&amp;$C476&amp;"'!"&amp;"$"&amp;$D476&amp;$BQ$1&amp;"")</f>
        <v>0.88</v>
      </c>
      <c r="BR476" s="281"/>
      <c r="BS476" s="281">
        <v>0.97</v>
      </c>
      <c r="BT476" s="279">
        <v>0.23</v>
      </c>
      <c r="BU476" s="284" cm="1">
        <f t="array" aca="1" ref="BU476" ca="1">INDIRECT("'"&amp;$C476&amp;"'!"&amp;"$"&amp;$D476&amp;74&amp;"")</f>
        <v>0</v>
      </c>
      <c r="BV476" s="281"/>
      <c r="BW476" s="281" t="s">
        <v>1</v>
      </c>
      <c r="BX476" s="279" t="s">
        <v>1</v>
      </c>
    </row>
    <row r="477" spans="1:76">
      <c r="A477" s="459">
        <v>45857</v>
      </c>
      <c r="B477" s="345">
        <v>0.91666666666666696</v>
      </c>
      <c r="C477" s="305">
        <v>19</v>
      </c>
      <c r="D477" s="306" t="s">
        <v>164</v>
      </c>
      <c r="E477" s="285">
        <v>14</v>
      </c>
      <c r="F477" s="286">
        <v>69.64</v>
      </c>
      <c r="G477" s="287" t="str" cm="1">
        <f t="array" aca="1" ref="G477" ca="1">INDIRECT("'"&amp;$C477&amp;"'!"&amp;"$"&amp;$D477&amp;$E$1&amp;"")</f>
        <v>CMS</v>
      </c>
      <c r="H477" s="288" t="s">
        <v>1</v>
      </c>
      <c r="I477" s="286" t="s">
        <v>1</v>
      </c>
      <c r="J477" s="287" cm="1">
        <f t="array" aca="1" ref="J477" ca="1">INDIRECT("'"&amp;$C477&amp;"'!"&amp;"$"&amp;$D477&amp;$J$1&amp;"")</f>
        <v>6.7</v>
      </c>
      <c r="K477" s="288"/>
      <c r="L477" s="288">
        <v>0.96</v>
      </c>
      <c r="M477" s="289">
        <v>1.94</v>
      </c>
      <c r="N477" s="285" cm="1">
        <f t="array" aca="1" ref="N477" ca="1">INDIRECT("'"&amp;$C477&amp;"'!"&amp;"$"&amp;$D477&amp;$N$1&amp;"")</f>
        <v>6.7</v>
      </c>
      <c r="O477" s="288"/>
      <c r="P477" s="288">
        <v>0.96</v>
      </c>
      <c r="Q477" s="286">
        <v>1.95</v>
      </c>
      <c r="R477" s="285" t="str" cm="1">
        <f t="array" aca="1" ref="R477" ca="1">INDIRECT("'"&amp;$C477&amp;"'!"&amp;"$"&amp;$D477&amp;$R$1&amp;"")</f>
        <v>CMS</v>
      </c>
      <c r="S477" s="288"/>
      <c r="T477" s="288" t="s">
        <v>1</v>
      </c>
      <c r="U477" s="286" t="s">
        <v>1</v>
      </c>
      <c r="V477" s="287" cm="1">
        <f t="array" aca="1" ref="V477" ca="1">INDIRECT("'"&amp;$C477&amp;"'!"&amp;"$"&amp;$D477&amp;$V$1&amp;"")</f>
        <v>2.8</v>
      </c>
      <c r="W477" s="288">
        <f>3.8*3.52</f>
        <v>13.375999999999999</v>
      </c>
      <c r="X477" s="288">
        <v>0.96</v>
      </c>
      <c r="Y477" s="289">
        <v>0.74</v>
      </c>
      <c r="Z477" s="285" t="str" cm="1">
        <f t="array" aca="1" ref="Z477" ca="1">INDIRECT("'"&amp;$C477&amp;"'!"&amp;"$"&amp;$D477&amp;$Z$1&amp;"")</f>
        <v>CMS</v>
      </c>
      <c r="AA477" s="288" t="s">
        <v>1</v>
      </c>
      <c r="AB477" s="288" t="s">
        <v>1</v>
      </c>
      <c r="AC477" s="286" t="s">
        <v>1</v>
      </c>
      <c r="AD477" s="287" t="str" cm="1">
        <f t="array" aca="1" ref="AD477" ca="1">INDIRECT("'"&amp;$C477&amp;"'!"&amp;"$"&amp;$D477&amp;$AD$1&amp;"")</f>
        <v>CMS</v>
      </c>
      <c r="AE477" s="288" t="s">
        <v>1</v>
      </c>
      <c r="AF477" s="288" t="s">
        <v>1</v>
      </c>
      <c r="AG477" s="289" t="s">
        <v>1</v>
      </c>
      <c r="AH477" s="285" cm="1">
        <f t="array" aca="1" ref="AH477" ca="1">INDIRECT("'"&amp;$C477&amp;"'!"&amp;"$"&amp;$D477&amp;$AH$1&amp;"")</f>
        <v>0</v>
      </c>
      <c r="AI477" s="288" t="s">
        <v>1</v>
      </c>
      <c r="AJ477" s="288" t="s">
        <v>1</v>
      </c>
      <c r="AK477" s="286" t="s">
        <v>1</v>
      </c>
      <c r="AL477" s="285">
        <v>11.6</v>
      </c>
      <c r="AM477" s="289">
        <v>70.7</v>
      </c>
      <c r="AN477" s="285" cm="1">
        <f t="array" aca="1" ref="AN477" ca="1">INDIRECT("'"&amp;$C477&amp;"'!"&amp;"$"&amp;$D477&amp;$AL$1&amp;"")</f>
        <v>0</v>
      </c>
      <c r="AO477" s="288" t="s">
        <v>1</v>
      </c>
      <c r="AP477" s="286" t="s">
        <v>1</v>
      </c>
      <c r="AQ477" s="287" cm="1">
        <f t="array" aca="1" ref="AQ477" ca="1">INDIRECT("'"&amp;$C477&amp;"'!"&amp;"$"&amp;$D477&amp;$AQ$1&amp;"")</f>
        <v>3.8</v>
      </c>
      <c r="AR477" s="288">
        <v>0.97</v>
      </c>
      <c r="AS477" s="286">
        <v>0.9</v>
      </c>
      <c r="AT477" s="285">
        <v>13.9</v>
      </c>
      <c r="AU477" s="289">
        <v>70.3</v>
      </c>
      <c r="AV477" s="288" cm="1">
        <f t="array" aca="1" ref="AV477" ca="1">INDIRECT("'"&amp;$C477&amp;"'!"&amp;"$"&amp;$D477&amp;$AV$1&amp;"")</f>
        <v>0</v>
      </c>
      <c r="AW477" s="287" t="s">
        <v>1</v>
      </c>
      <c r="AX477" s="288" t="s">
        <v>1</v>
      </c>
      <c r="AY477" s="286" t="s">
        <v>1</v>
      </c>
      <c r="AZ477" s="288" cm="1">
        <f t="array" aca="1" ref="AZ477" ca="1">INDIRECT("'"&amp;$C477&amp;"'!"&amp;"$"&amp;$D477&amp;$AZ$1&amp;"")</f>
        <v>7</v>
      </c>
      <c r="BA477" s="287" t="s">
        <v>1</v>
      </c>
      <c r="BB477" s="288">
        <v>0.99</v>
      </c>
      <c r="BC477" s="286">
        <v>1.4</v>
      </c>
      <c r="BD477" s="290">
        <v>14.1</v>
      </c>
      <c r="BE477" s="289">
        <v>71.41</v>
      </c>
      <c r="BF477" s="290" cm="1">
        <f t="array" aca="1" ref="BF477" ca="1">INDIRECT("'"&amp;$C477&amp;"'!"&amp;"$"&amp;$D477&amp;$BF$1&amp;"")</f>
        <v>14.29</v>
      </c>
      <c r="BG477" s="288">
        <v>0.99</v>
      </c>
      <c r="BH477" s="286">
        <v>2.2999999999999998</v>
      </c>
      <c r="BI477" s="525">
        <v>68.3</v>
      </c>
      <c r="BJ477" s="285" cm="1">
        <f t="array" aca="1" ref="BJ477" ca="1">INDIRECT("'"&amp;$C477&amp;"'!"&amp;"$"&amp;$D477&amp;$BI$1&amp;"")</f>
        <v>2.2999999999999998</v>
      </c>
      <c r="BK477" s="287">
        <v>0.97</v>
      </c>
      <c r="BL477" s="286">
        <v>0.56999999999999995</v>
      </c>
      <c r="BM477" s="290" cm="1">
        <f t="array" aca="1" ref="BM477" ca="1">INDIRECT("'"&amp;$C477&amp;"'!"&amp;"$"&amp;$D477&amp;$BM$1&amp;"")</f>
        <v>0.96</v>
      </c>
      <c r="BN477" s="288"/>
      <c r="BO477" s="288">
        <v>0.99</v>
      </c>
      <c r="BP477" s="286">
        <v>0.08</v>
      </c>
      <c r="BQ477" s="291" cm="1">
        <f t="array" aca="1" ref="BQ477" ca="1">INDIRECT("'"&amp;$C477&amp;"'!"&amp;"$"&amp;$D477&amp;$BQ$1&amp;"")</f>
        <v>0.85</v>
      </c>
      <c r="BR477" s="288"/>
      <c r="BS477" s="288">
        <v>0.97</v>
      </c>
      <c r="BT477" s="286">
        <v>0.21</v>
      </c>
      <c r="BU477" s="291" cm="1">
        <f t="array" aca="1" ref="BU477" ca="1">INDIRECT("'"&amp;$C477&amp;"'!"&amp;"$"&amp;$D477&amp;74&amp;"")</f>
        <v>0</v>
      </c>
      <c r="BV477" s="288"/>
      <c r="BW477" s="288" t="s">
        <v>1</v>
      </c>
      <c r="BX477" s="286" t="s">
        <v>1</v>
      </c>
    </row>
    <row r="478" spans="1:76" ht="14.45" thickBot="1">
      <c r="A478" s="460">
        <v>45857</v>
      </c>
      <c r="B478" s="346">
        <v>0.95833333333333404</v>
      </c>
      <c r="C478" s="307">
        <v>19</v>
      </c>
      <c r="D478" s="308" t="s">
        <v>165</v>
      </c>
      <c r="E478" s="293">
        <v>14</v>
      </c>
      <c r="F478" s="294">
        <v>69.88</v>
      </c>
      <c r="G478" s="295" t="str" cm="1">
        <f t="array" aca="1" ref="G478" ca="1">INDIRECT("'"&amp;$C478&amp;"'!"&amp;"$"&amp;$D478&amp;$E$1&amp;"")</f>
        <v>CMS</v>
      </c>
      <c r="H478" s="296" t="s">
        <v>1</v>
      </c>
      <c r="I478" s="294" t="s">
        <v>1</v>
      </c>
      <c r="J478" s="295" cm="1">
        <f t="array" aca="1" ref="J478" ca="1">INDIRECT("'"&amp;$C478&amp;"'!"&amp;"$"&amp;$D478&amp;$J$1&amp;"")</f>
        <v>6.7</v>
      </c>
      <c r="K478" s="296"/>
      <c r="L478" s="296">
        <v>0.97</v>
      </c>
      <c r="M478" s="297">
        <v>1.72</v>
      </c>
      <c r="N478" s="293" cm="1">
        <f t="array" aca="1" ref="N478" ca="1">INDIRECT("'"&amp;$C478&amp;"'!"&amp;"$"&amp;$D478&amp;$N$1&amp;"")</f>
        <v>6.7</v>
      </c>
      <c r="O478" s="296"/>
      <c r="P478" s="296">
        <v>0.97</v>
      </c>
      <c r="Q478" s="294">
        <v>1.76</v>
      </c>
      <c r="R478" s="470" t="str" cm="1">
        <f t="array" aca="1" ref="R478" ca="1">INDIRECT("'"&amp;$C478&amp;"'!"&amp;"$"&amp;$D478&amp;$R$1&amp;"")</f>
        <v>CMS</v>
      </c>
      <c r="S478" s="296"/>
      <c r="T478" s="296" t="s">
        <v>1</v>
      </c>
      <c r="U478" s="294" t="s">
        <v>1</v>
      </c>
      <c r="V478" s="295" cm="1">
        <f t="array" aca="1" ref="V478" ca="1">INDIRECT("'"&amp;$C478&amp;"'!"&amp;"$"&amp;$D478&amp;$V$1&amp;"")</f>
        <v>2</v>
      </c>
      <c r="W478" s="296" t="s">
        <v>1</v>
      </c>
      <c r="X478" s="296" t="s">
        <v>1</v>
      </c>
      <c r="Y478" s="297" t="s">
        <v>1</v>
      </c>
      <c r="Z478" s="293" t="str" cm="1">
        <f t="array" aca="1" ref="Z478" ca="1">INDIRECT("'"&amp;$C478&amp;"'!"&amp;"$"&amp;$D478&amp;$Z$1&amp;"")</f>
        <v>CMS</v>
      </c>
      <c r="AA478" s="296" t="s">
        <v>1</v>
      </c>
      <c r="AB478" s="296" t="s">
        <v>1</v>
      </c>
      <c r="AC478" s="294" t="s">
        <v>1</v>
      </c>
      <c r="AD478" s="295" t="str" cm="1">
        <f t="array" aca="1" ref="AD478" ca="1">INDIRECT("'"&amp;$C478&amp;"'!"&amp;"$"&amp;$D478&amp;$AD$1&amp;"")</f>
        <v>CMS</v>
      </c>
      <c r="AE478" s="296" t="s">
        <v>1</v>
      </c>
      <c r="AF478" s="296" t="s">
        <v>1</v>
      </c>
      <c r="AG478" s="297" t="s">
        <v>1</v>
      </c>
      <c r="AH478" s="293" cm="1">
        <f t="array" aca="1" ref="AH478" ca="1">INDIRECT("'"&amp;$C478&amp;"'!"&amp;"$"&amp;$D478&amp;$AH$1&amp;"")</f>
        <v>0</v>
      </c>
      <c r="AI478" s="296" t="s">
        <v>1</v>
      </c>
      <c r="AJ478" s="296" t="s">
        <v>1</v>
      </c>
      <c r="AK478" s="294" t="s">
        <v>1</v>
      </c>
      <c r="AL478" s="293">
        <v>11.6</v>
      </c>
      <c r="AM478" s="297">
        <v>70.8</v>
      </c>
      <c r="AN478" s="293" cm="1">
        <f t="array" aca="1" ref="AN478" ca="1">INDIRECT("'"&amp;$C478&amp;"'!"&amp;"$"&amp;$D478&amp;$AL$1&amp;"")</f>
        <v>0</v>
      </c>
      <c r="AO478" s="296" t="s">
        <v>1</v>
      </c>
      <c r="AP478" s="294" t="s">
        <v>1</v>
      </c>
      <c r="AQ478" s="295" cm="1">
        <f t="array" aca="1" ref="AQ478" ca="1">INDIRECT("'"&amp;$C478&amp;"'!"&amp;"$"&amp;$D478&amp;$AQ$1&amp;"")</f>
        <v>2</v>
      </c>
      <c r="AR478" s="296">
        <v>0.96</v>
      </c>
      <c r="AS478" s="294">
        <v>0.84</v>
      </c>
      <c r="AT478" s="293">
        <v>13.9</v>
      </c>
      <c r="AU478" s="297">
        <v>70.3</v>
      </c>
      <c r="AV478" s="296" cm="1">
        <f t="array" aca="1" ref="AV478" ca="1">INDIRECT("'"&amp;$C478&amp;"'!"&amp;"$"&amp;$D478&amp;$AV$1&amp;"")</f>
        <v>0</v>
      </c>
      <c r="AW478" s="295" t="s">
        <v>1</v>
      </c>
      <c r="AX478" s="296" t="s">
        <v>1</v>
      </c>
      <c r="AY478" s="294" t="s">
        <v>1</v>
      </c>
      <c r="AZ478" s="296" cm="1">
        <f t="array" aca="1" ref="AZ478" ca="1">INDIRECT("'"&amp;$C478&amp;"'!"&amp;"$"&amp;$D478&amp;$AZ$1&amp;"")</f>
        <v>7</v>
      </c>
      <c r="BA478" s="295" t="s">
        <v>1</v>
      </c>
      <c r="BB478" s="296">
        <v>0.99</v>
      </c>
      <c r="BC478" s="294">
        <v>1.4</v>
      </c>
      <c r="BD478" s="298">
        <v>14.16</v>
      </c>
      <c r="BE478" s="297">
        <v>71.8</v>
      </c>
      <c r="BF478" s="298" cm="1">
        <f t="array" aca="1" ref="BF478" ca="1">INDIRECT("'"&amp;$C478&amp;"'!"&amp;"$"&amp;$D478&amp;$BF$1&amp;"")</f>
        <v>14.77</v>
      </c>
      <c r="BG478" s="296">
        <v>0.99</v>
      </c>
      <c r="BH478" s="294">
        <v>2.2999999999999998</v>
      </c>
      <c r="BI478" s="526">
        <v>68.7</v>
      </c>
      <c r="BJ478" s="293" cm="1">
        <f t="array" aca="1" ref="BJ478" ca="1">INDIRECT("'"&amp;$C478&amp;"'!"&amp;"$"&amp;$D478&amp;$BI$1&amp;"")</f>
        <v>0</v>
      </c>
      <c r="BK478" s="295" t="s">
        <v>1</v>
      </c>
      <c r="BL478" s="294" t="s">
        <v>1</v>
      </c>
      <c r="BM478" s="298" cm="1">
        <f t="array" aca="1" ref="BM478" ca="1">INDIRECT("'"&amp;$C478&amp;"'!"&amp;"$"&amp;$D478&amp;$BM$1&amp;"")</f>
        <v>0.94</v>
      </c>
      <c r="BN478" s="296"/>
      <c r="BO478" s="296">
        <v>0.99</v>
      </c>
      <c r="BP478" s="294">
        <v>0.08</v>
      </c>
      <c r="BQ478" s="299" cm="1">
        <f t="array" aca="1" ref="BQ478" ca="1">INDIRECT("'"&amp;$C478&amp;"'!"&amp;"$"&amp;$D478&amp;$BQ$1&amp;"")</f>
        <v>0.78</v>
      </c>
      <c r="BR478" s="296"/>
      <c r="BS478" s="296">
        <v>0.97</v>
      </c>
      <c r="BT478" s="294">
        <v>0.19</v>
      </c>
      <c r="BU478" s="299" cm="1">
        <f t="array" aca="1" ref="BU478" ca="1">INDIRECT("'"&amp;$C478&amp;"'!"&amp;"$"&amp;$D478&amp;74&amp;"")</f>
        <v>0</v>
      </c>
      <c r="BV478" s="296"/>
      <c r="BW478" s="296" t="s">
        <v>1</v>
      </c>
      <c r="BX478" s="294" t="s">
        <v>1</v>
      </c>
    </row>
    <row r="479" spans="1:76" ht="14.45" thickBot="1"/>
    <row r="480" spans="1:76">
      <c r="A480" s="347">
        <v>45858</v>
      </c>
      <c r="B480" s="344">
        <v>0</v>
      </c>
      <c r="C480" s="302">
        <v>20</v>
      </c>
      <c r="D480" s="303" t="s">
        <v>142</v>
      </c>
      <c r="E480" s="272">
        <v>14</v>
      </c>
      <c r="F480" s="273">
        <v>69.64</v>
      </c>
      <c r="G480" s="274" t="str" cm="1">
        <f t="array" aca="1" ref="G480" ca="1">INDIRECT("'"&amp;$C480&amp;"'!"&amp;"$"&amp;$D480&amp;$E$1&amp;"")</f>
        <v>CMS</v>
      </c>
      <c r="H480" s="275" t="s">
        <v>1</v>
      </c>
      <c r="I480" s="273" t="s">
        <v>1</v>
      </c>
      <c r="J480" s="274" cm="1">
        <f t="array" aca="1" ref="J480" ca="1">INDIRECT("'"&amp;$C480&amp;"'!"&amp;"$"&amp;$D480&amp;$J$1&amp;"")</f>
        <v>6.4</v>
      </c>
      <c r="K480" s="275"/>
      <c r="L480" s="275">
        <v>0.99</v>
      </c>
      <c r="M480" s="276">
        <v>1</v>
      </c>
      <c r="N480" s="272" cm="1">
        <f t="array" aca="1" ref="N480" ca="1">INDIRECT("'"&amp;$C480&amp;"'!"&amp;"$"&amp;$D480&amp;$N$1&amp;"")</f>
        <v>6.4</v>
      </c>
      <c r="O480" s="275"/>
      <c r="P480" s="275">
        <v>0.96</v>
      </c>
      <c r="Q480" s="273">
        <v>1.72</v>
      </c>
      <c r="R480" s="467" t="str" cm="1">
        <f t="array" aca="1" ref="R480" ca="1">INDIRECT("'"&amp;$C480&amp;"'!"&amp;"$"&amp;$D480&amp;$R$1&amp;"")</f>
        <v>CMS</v>
      </c>
      <c r="S480" s="275"/>
      <c r="T480" s="275" t="s">
        <v>1</v>
      </c>
      <c r="U480" s="273" t="s">
        <v>1</v>
      </c>
      <c r="V480" s="274" cm="1">
        <f t="array" aca="1" ref="V480" ca="1">INDIRECT("'"&amp;$C480&amp;"'!"&amp;"$"&amp;$D480&amp;$V$1&amp;"")</f>
        <v>0</v>
      </c>
      <c r="W480" s="275" t="s">
        <v>1</v>
      </c>
      <c r="X480" s="275" t="s">
        <v>1</v>
      </c>
      <c r="Y480" s="276" t="s">
        <v>1</v>
      </c>
      <c r="Z480" s="272" t="str" cm="1">
        <f t="array" aca="1" ref="Z480" ca="1">INDIRECT("'"&amp;$C480&amp;"'!"&amp;"$"&amp;$D480&amp;$Z$1&amp;"")</f>
        <v>CMS</v>
      </c>
      <c r="AA480" s="275" t="s">
        <v>1</v>
      </c>
      <c r="AB480" s="275" t="s">
        <v>1</v>
      </c>
      <c r="AC480" s="273" t="s">
        <v>1</v>
      </c>
      <c r="AD480" s="274" t="str" cm="1">
        <f t="array" aca="1" ref="AD480" ca="1">INDIRECT("'"&amp;$C480&amp;"'!"&amp;"$"&amp;$D480&amp;$AD$1&amp;"")</f>
        <v>CMS</v>
      </c>
      <c r="AE480" s="275" t="s">
        <v>1</v>
      </c>
      <c r="AF480" s="275" t="s">
        <v>1</v>
      </c>
      <c r="AG480" s="273" t="s">
        <v>1</v>
      </c>
      <c r="AH480" s="272" cm="1">
        <f t="array" aca="1" ref="AH480" ca="1">INDIRECT("'"&amp;$C480&amp;"'!"&amp;"$"&amp;$D480&amp;$AH$1&amp;"")</f>
        <v>0</v>
      </c>
      <c r="AI480" s="275" t="s">
        <v>1</v>
      </c>
      <c r="AJ480" s="275" t="s">
        <v>1</v>
      </c>
      <c r="AK480" s="273" t="s">
        <v>1</v>
      </c>
      <c r="AL480" s="272">
        <v>11.5</v>
      </c>
      <c r="AM480" s="276">
        <v>70.599999999999994</v>
      </c>
      <c r="AN480" s="272" cm="1">
        <f t="array" aca="1" ref="AN480" ca="1">INDIRECT("'"&amp;$C480&amp;"'!"&amp;"$"&amp;$D480&amp;$AL$1&amp;"")</f>
        <v>0</v>
      </c>
      <c r="AO480" s="275" t="s">
        <v>1</v>
      </c>
      <c r="AP480" s="273" t="s">
        <v>1</v>
      </c>
      <c r="AQ480" s="274" cm="1">
        <f t="array" aca="1" ref="AQ480" ca="1">INDIRECT("'"&amp;$C480&amp;"'!"&amp;"$"&amp;$D480&amp;$AQ$1&amp;"")</f>
        <v>1.5</v>
      </c>
      <c r="AR480" s="275">
        <v>0.94</v>
      </c>
      <c r="AS480" s="273">
        <v>0.66</v>
      </c>
      <c r="AT480" s="272">
        <v>13.9</v>
      </c>
      <c r="AU480" s="276">
        <v>70.3</v>
      </c>
      <c r="AV480" s="275" cm="1">
        <f t="array" aca="1" ref="AV480" ca="1">INDIRECT("'"&amp;$C480&amp;"'!"&amp;"$"&amp;$D480&amp;$AV$1&amp;"")</f>
        <v>0</v>
      </c>
      <c r="AW480" s="274" t="s">
        <v>1</v>
      </c>
      <c r="AX480" s="275" t="s">
        <v>1</v>
      </c>
      <c r="AY480" s="273" t="s">
        <v>1</v>
      </c>
      <c r="AZ480" s="275" cm="1">
        <f t="array" aca="1" ref="AZ480" ca="1">INDIRECT("'"&amp;$C480&amp;"'!"&amp;"$"&amp;$D480&amp;$AZ$1&amp;"")</f>
        <v>7</v>
      </c>
      <c r="BA480" s="274" t="s">
        <v>1</v>
      </c>
      <c r="BB480" s="275">
        <v>0.99</v>
      </c>
      <c r="BC480" s="273">
        <v>1.4</v>
      </c>
      <c r="BD480" s="277">
        <v>14.04</v>
      </c>
      <c r="BE480" s="276">
        <v>71.489999999999995</v>
      </c>
      <c r="BF480" s="277" cm="1">
        <f t="array" aca="1" ref="BF480" ca="1">INDIRECT("'"&amp;$C480&amp;"'!"&amp;"$"&amp;$D480&amp;$BF$1&amp;"")</f>
        <v>14.28</v>
      </c>
      <c r="BG480" s="275">
        <v>1</v>
      </c>
      <c r="BH480" s="273">
        <v>1.3</v>
      </c>
      <c r="BI480" s="523">
        <v>68.5</v>
      </c>
      <c r="BJ480" s="272" cm="1">
        <f t="array" aca="1" ref="BJ480" ca="1">INDIRECT("'"&amp;$C480&amp;"'!"&amp;"$"&amp;$D480&amp;$BI$1&amp;"")</f>
        <v>0</v>
      </c>
      <c r="BK480" s="274" t="s">
        <v>1</v>
      </c>
      <c r="BL480" s="273" t="s">
        <v>1</v>
      </c>
      <c r="BM480" s="277" cm="1">
        <f t="array" aca="1" ref="BM480" ca="1">INDIRECT("'"&amp;$C480&amp;"'!"&amp;"$"&amp;$D480&amp;$BM$1&amp;"")</f>
        <v>0.91</v>
      </c>
      <c r="BN480" s="275"/>
      <c r="BO480" s="275">
        <v>0.99</v>
      </c>
      <c r="BP480" s="273">
        <v>0.08</v>
      </c>
      <c r="BQ480" s="277" cm="1">
        <f t="array" aca="1" ref="BQ480" ca="1">INDIRECT("'"&amp;$C480&amp;"'!"&amp;"$"&amp;$D480&amp;$BQ$1&amp;"")</f>
        <v>0.74</v>
      </c>
      <c r="BR480" s="275"/>
      <c r="BS480" s="275">
        <v>0.97</v>
      </c>
      <c r="BT480" s="273">
        <v>0.19</v>
      </c>
      <c r="BU480" s="358" cm="1">
        <f t="array" aca="1" ref="BU480" ca="1">INDIRECT("'"&amp;$C480&amp;"'!"&amp;"$"&amp;$D480&amp;74&amp;"")</f>
        <v>0</v>
      </c>
      <c r="BV480" s="275"/>
      <c r="BW480" s="275" t="s">
        <v>1</v>
      </c>
      <c r="BX480" s="273" t="s">
        <v>1</v>
      </c>
    </row>
    <row r="481" spans="1:76">
      <c r="A481" s="459">
        <v>45858</v>
      </c>
      <c r="B481" s="345">
        <v>4.1666666666666699E-2</v>
      </c>
      <c r="C481" s="305">
        <v>20</v>
      </c>
      <c r="D481" s="306" t="s">
        <v>143</v>
      </c>
      <c r="E481" s="278">
        <v>14</v>
      </c>
      <c r="F481" s="279">
        <v>69.900000000000006</v>
      </c>
      <c r="G481" s="280" t="str" cm="1">
        <f t="array" aca="1" ref="G481" ca="1">INDIRECT("'"&amp;$C481&amp;"'!"&amp;"$"&amp;$D481&amp;$E$1&amp;"")</f>
        <v>CMS</v>
      </c>
      <c r="H481" s="281" t="s">
        <v>1</v>
      </c>
      <c r="I481" s="279" t="s">
        <v>1</v>
      </c>
      <c r="J481" s="280" cm="1">
        <f t="array" aca="1" ref="J481" ca="1">INDIRECT("'"&amp;$C481&amp;"'!"&amp;"$"&amp;$D481&amp;$J$1&amp;"")</f>
        <v>6.9</v>
      </c>
      <c r="K481" s="281"/>
      <c r="L481" s="281">
        <v>0.97</v>
      </c>
      <c r="M481" s="282">
        <v>1.64</v>
      </c>
      <c r="N481" s="278" cm="1">
        <f t="array" aca="1" ref="N481" ca="1">INDIRECT("'"&amp;$C481&amp;"'!"&amp;"$"&amp;$D481&amp;$N$1&amp;"")</f>
        <v>6.9</v>
      </c>
      <c r="O481" s="281"/>
      <c r="P481" s="281">
        <v>0.97</v>
      </c>
      <c r="Q481" s="279">
        <v>1.67</v>
      </c>
      <c r="R481" s="468" t="str" cm="1">
        <f t="array" aca="1" ref="R481" ca="1">INDIRECT("'"&amp;$C481&amp;"'!"&amp;"$"&amp;$D481&amp;$R$1&amp;"")</f>
        <v>CMS</v>
      </c>
      <c r="S481" s="281"/>
      <c r="T481" s="281" t="s">
        <v>1</v>
      </c>
      <c r="U481" s="279" t="s">
        <v>1</v>
      </c>
      <c r="V481" s="280" cm="1">
        <f t="array" aca="1" ref="V481" ca="1">INDIRECT("'"&amp;$C481&amp;"'!"&amp;"$"&amp;$D481&amp;$V$1&amp;"")</f>
        <v>0</v>
      </c>
      <c r="W481" s="281" t="s">
        <v>1</v>
      </c>
      <c r="X481" s="281" t="s">
        <v>1</v>
      </c>
      <c r="Y481" s="282" t="s">
        <v>1</v>
      </c>
      <c r="Z481" s="278" t="str" cm="1">
        <f t="array" aca="1" ref="Z481" ca="1">INDIRECT("'"&amp;$C481&amp;"'!"&amp;"$"&amp;$D481&amp;$Z$1&amp;"")</f>
        <v>CMS</v>
      </c>
      <c r="AA481" s="281" t="s">
        <v>1</v>
      </c>
      <c r="AB481" s="281" t="s">
        <v>1</v>
      </c>
      <c r="AC481" s="279" t="s">
        <v>1</v>
      </c>
      <c r="AD481" s="280" t="str" cm="1">
        <f t="array" aca="1" ref="AD481" ca="1">INDIRECT("'"&amp;$C481&amp;"'!"&amp;"$"&amp;$D481&amp;$AD$1&amp;"")</f>
        <v>CMS</v>
      </c>
      <c r="AE481" s="281" t="s">
        <v>1</v>
      </c>
      <c r="AF481" s="281" t="s">
        <v>1</v>
      </c>
      <c r="AG481" s="282" t="s">
        <v>1</v>
      </c>
      <c r="AH481" s="278" cm="1">
        <f t="array" aca="1" ref="AH481" ca="1">INDIRECT("'"&amp;$C481&amp;"'!"&amp;"$"&amp;$D481&amp;$AH$1&amp;"")</f>
        <v>0</v>
      </c>
      <c r="AI481" s="281" t="s">
        <v>1</v>
      </c>
      <c r="AJ481" s="281" t="s">
        <v>1</v>
      </c>
      <c r="AK481" s="279" t="s">
        <v>1</v>
      </c>
      <c r="AL481" s="278">
        <v>11.5</v>
      </c>
      <c r="AM481" s="282">
        <v>70.400000000000006</v>
      </c>
      <c r="AN481" s="278" cm="1">
        <f t="array" aca="1" ref="AN481" ca="1">INDIRECT("'"&amp;$C481&amp;"'!"&amp;"$"&amp;$D481&amp;$AL$1&amp;"")</f>
        <v>0</v>
      </c>
      <c r="AO481" s="281" t="s">
        <v>1</v>
      </c>
      <c r="AP481" s="279" t="s">
        <v>1</v>
      </c>
      <c r="AQ481" s="280" cm="1">
        <f t="array" aca="1" ref="AQ481" ca="1">INDIRECT("'"&amp;$C481&amp;"'!"&amp;"$"&amp;$D481&amp;$AQ$1&amp;"")</f>
        <v>0</v>
      </c>
      <c r="AR481" s="281" t="s">
        <v>1</v>
      </c>
      <c r="AS481" s="279" t="s">
        <v>1</v>
      </c>
      <c r="AT481" s="278">
        <v>13.8</v>
      </c>
      <c r="AU481" s="282">
        <v>70.2</v>
      </c>
      <c r="AV481" s="281" cm="1">
        <f t="array" aca="1" ref="AV481" ca="1">INDIRECT("'"&amp;$C481&amp;"'!"&amp;"$"&amp;$D481&amp;$AV$1&amp;"")</f>
        <v>0</v>
      </c>
      <c r="AW481" s="280" t="s">
        <v>1</v>
      </c>
      <c r="AX481" s="281" t="s">
        <v>1</v>
      </c>
      <c r="AY481" s="279" t="s">
        <v>1</v>
      </c>
      <c r="AZ481" s="281" cm="1">
        <f t="array" aca="1" ref="AZ481" ca="1">INDIRECT("'"&amp;$C481&amp;"'!"&amp;"$"&amp;$D481&amp;$AZ$1&amp;"")</f>
        <v>5.6</v>
      </c>
      <c r="BA481" s="280" t="s">
        <v>1</v>
      </c>
      <c r="BB481" s="281">
        <v>0.97</v>
      </c>
      <c r="BC481" s="279">
        <v>1.3</v>
      </c>
      <c r="BD481" s="283">
        <v>14.01</v>
      </c>
      <c r="BE481" s="282">
        <v>71.349999999999994</v>
      </c>
      <c r="BF481" s="283" cm="1">
        <f t="array" aca="1" ref="BF481" ca="1">INDIRECT("'"&amp;$C481&amp;"'!"&amp;"$"&amp;$D481&amp;$BF$1&amp;"")</f>
        <v>14.26</v>
      </c>
      <c r="BG481" s="281">
        <v>1</v>
      </c>
      <c r="BH481" s="279">
        <v>1.2</v>
      </c>
      <c r="BI481" s="524">
        <v>68.599999999999994</v>
      </c>
      <c r="BJ481" s="278" cm="1">
        <f t="array" aca="1" ref="BJ481" ca="1">INDIRECT("'"&amp;$C481&amp;"'!"&amp;"$"&amp;$D481&amp;$BI$1&amp;"")</f>
        <v>0</v>
      </c>
      <c r="BK481" s="280" t="s">
        <v>1</v>
      </c>
      <c r="BL481" s="279" t="s">
        <v>1</v>
      </c>
      <c r="BM481" s="283" cm="1">
        <f t="array" aca="1" ref="BM481" ca="1">INDIRECT("'"&amp;$C481&amp;"'!"&amp;"$"&amp;$D481&amp;$BM$1&amp;"")</f>
        <v>0.88</v>
      </c>
      <c r="BN481" s="281"/>
      <c r="BO481" s="281">
        <v>0.99</v>
      </c>
      <c r="BP481" s="279">
        <v>7.0000000000000007E-2</v>
      </c>
      <c r="BQ481" s="283" cm="1">
        <f t="array" aca="1" ref="BQ481" ca="1">INDIRECT("'"&amp;$C481&amp;"'!"&amp;"$"&amp;$D481&amp;$BQ$1&amp;"")</f>
        <v>0.73</v>
      </c>
      <c r="BR481" s="281"/>
      <c r="BS481" s="281">
        <v>0.97</v>
      </c>
      <c r="BT481" s="279">
        <v>0.19</v>
      </c>
      <c r="BU481" s="284" cm="1">
        <f t="array" aca="1" ref="BU481" ca="1">INDIRECT("'"&amp;$C481&amp;"'!"&amp;"$"&amp;$D481&amp;74&amp;"")</f>
        <v>0</v>
      </c>
      <c r="BV481" s="281"/>
      <c r="BW481" s="281" t="s">
        <v>1</v>
      </c>
      <c r="BX481" s="279" t="s">
        <v>1</v>
      </c>
    </row>
    <row r="482" spans="1:76">
      <c r="A482" s="459">
        <v>45858</v>
      </c>
      <c r="B482" s="345">
        <v>8.3333333333333301E-2</v>
      </c>
      <c r="C482" s="305">
        <v>20</v>
      </c>
      <c r="D482" s="306" t="s">
        <v>144</v>
      </c>
      <c r="E482" s="285">
        <v>14.1</v>
      </c>
      <c r="F482" s="286">
        <v>69.91</v>
      </c>
      <c r="G482" s="287" t="str" cm="1">
        <f t="array" aca="1" ref="G482" ca="1">INDIRECT("'"&amp;$C482&amp;"'!"&amp;"$"&amp;$D482&amp;$E$1&amp;"")</f>
        <v>CMS</v>
      </c>
      <c r="H482" s="288" t="s">
        <v>1</v>
      </c>
      <c r="I482" s="286" t="s">
        <v>1</v>
      </c>
      <c r="J482" s="287" cm="1">
        <f t="array" aca="1" ref="J482" ca="1">INDIRECT("'"&amp;$C482&amp;"'!"&amp;"$"&amp;$D482&amp;$J$1&amp;"")</f>
        <v>6.9</v>
      </c>
      <c r="K482" s="288"/>
      <c r="L482" s="288">
        <v>0.99</v>
      </c>
      <c r="M482" s="289">
        <v>1.1599999999999999</v>
      </c>
      <c r="N482" s="285" cm="1">
        <f t="array" aca="1" ref="N482" ca="1">INDIRECT("'"&amp;$C482&amp;"'!"&amp;"$"&amp;$D482&amp;$N$1&amp;"")</f>
        <v>6.9</v>
      </c>
      <c r="O482" s="288"/>
      <c r="P482" s="288">
        <v>0.99</v>
      </c>
      <c r="Q482" s="286">
        <v>1.1299999999999999</v>
      </c>
      <c r="R482" s="285" t="str" cm="1">
        <f t="array" aca="1" ref="R482" ca="1">INDIRECT("'"&amp;$C482&amp;"'!"&amp;"$"&amp;$D482&amp;$R$1&amp;"")</f>
        <v>CMS</v>
      </c>
      <c r="S482" s="288"/>
      <c r="T482" s="288" t="s">
        <v>1</v>
      </c>
      <c r="U482" s="286" t="s">
        <v>1</v>
      </c>
      <c r="V482" s="287" cm="1">
        <f t="array" aca="1" ref="V482" ca="1">INDIRECT("'"&amp;$C482&amp;"'!"&amp;"$"&amp;$D482&amp;$V$1&amp;"")</f>
        <v>0</v>
      </c>
      <c r="W482" s="288" t="s">
        <v>1</v>
      </c>
      <c r="X482" s="288" t="s">
        <v>1</v>
      </c>
      <c r="Y482" s="289" t="s">
        <v>1</v>
      </c>
      <c r="Z482" s="278" t="str" cm="1">
        <f t="array" aca="1" ref="Z482" ca="1">INDIRECT("'"&amp;$C482&amp;"'!"&amp;"$"&amp;$D482&amp;$Z$1&amp;"")</f>
        <v>CMS</v>
      </c>
      <c r="AA482" s="288" t="s">
        <v>1</v>
      </c>
      <c r="AB482" s="288" t="s">
        <v>1</v>
      </c>
      <c r="AC482" s="286" t="s">
        <v>1</v>
      </c>
      <c r="AD482" s="287" t="str" cm="1">
        <f t="array" aca="1" ref="AD482" ca="1">INDIRECT("'"&amp;$C482&amp;"'!"&amp;"$"&amp;$D482&amp;$AD$1&amp;"")</f>
        <v>CMS</v>
      </c>
      <c r="AE482" s="288" t="s">
        <v>1</v>
      </c>
      <c r="AF482" s="288" t="s">
        <v>1</v>
      </c>
      <c r="AG482" s="289" t="s">
        <v>1</v>
      </c>
      <c r="AH482" s="285" cm="1">
        <f t="array" aca="1" ref="AH482" ca="1">INDIRECT("'"&amp;$C482&amp;"'!"&amp;"$"&amp;$D482&amp;$AH$1&amp;"")</f>
        <v>0</v>
      </c>
      <c r="AI482" s="288" t="s">
        <v>1</v>
      </c>
      <c r="AJ482" s="288" t="s">
        <v>1</v>
      </c>
      <c r="AK482" s="289" t="s">
        <v>1</v>
      </c>
      <c r="AL482" s="285">
        <v>0</v>
      </c>
      <c r="AM482" s="289">
        <v>70.3</v>
      </c>
      <c r="AN482" s="285" cm="1">
        <f t="array" aca="1" ref="AN482" ca="1">INDIRECT("'"&amp;$C482&amp;"'!"&amp;"$"&amp;$D482&amp;$AL$1&amp;"")</f>
        <v>0</v>
      </c>
      <c r="AO482" s="288" t="s">
        <v>1</v>
      </c>
      <c r="AP482" s="286" t="s">
        <v>1</v>
      </c>
      <c r="AQ482" s="287" cm="1">
        <f t="array" aca="1" ref="AQ482" ca="1">INDIRECT("'"&amp;$C482&amp;"'!"&amp;"$"&amp;$D482&amp;$AQ$1&amp;"")</f>
        <v>0</v>
      </c>
      <c r="AR482" s="288" t="s">
        <v>1</v>
      </c>
      <c r="AS482" s="286" t="s">
        <v>1</v>
      </c>
      <c r="AT482" s="285">
        <v>13.79</v>
      </c>
      <c r="AU482" s="289">
        <v>70.099999999999994</v>
      </c>
      <c r="AV482" s="288" cm="1">
        <f t="array" aca="1" ref="AV482" ca="1">INDIRECT("'"&amp;$C482&amp;"'!"&amp;"$"&amp;$D482&amp;$AV$1&amp;"")</f>
        <v>0</v>
      </c>
      <c r="AW482" s="287" t="s">
        <v>1</v>
      </c>
      <c r="AX482" s="288" t="s">
        <v>1</v>
      </c>
      <c r="AY482" s="286" t="s">
        <v>1</v>
      </c>
      <c r="AZ482" s="288" cm="1">
        <f t="array" aca="1" ref="AZ482" ca="1">INDIRECT("'"&amp;$C482&amp;"'!"&amp;"$"&amp;$D482&amp;$AZ$1&amp;"")</f>
        <v>3.7</v>
      </c>
      <c r="BA482" s="287" t="s">
        <v>1</v>
      </c>
      <c r="BB482" s="288">
        <v>0.97</v>
      </c>
      <c r="BC482" s="286">
        <v>0.93</v>
      </c>
      <c r="BD482" s="290">
        <v>14.04</v>
      </c>
      <c r="BE482" s="289">
        <v>71.510000000000005</v>
      </c>
      <c r="BF482" s="290" cm="1">
        <f t="array" aca="1" ref="BF482" ca="1">INDIRECT("'"&amp;$C482&amp;"'!"&amp;"$"&amp;$D482&amp;$BF$1&amp;"")</f>
        <v>14.31</v>
      </c>
      <c r="BG482" s="288">
        <v>1</v>
      </c>
      <c r="BH482" s="286">
        <v>1.3</v>
      </c>
      <c r="BI482" s="525">
        <v>68.7</v>
      </c>
      <c r="BJ482" s="285" cm="1">
        <f t="array" aca="1" ref="BJ482" ca="1">INDIRECT("'"&amp;$C482&amp;"'!"&amp;"$"&amp;$D482&amp;$BI$1&amp;"")</f>
        <v>0</v>
      </c>
      <c r="BK482" s="287" t="s">
        <v>1</v>
      </c>
      <c r="BL482" s="286" t="s">
        <v>1</v>
      </c>
      <c r="BM482" s="290" cm="1">
        <f t="array" aca="1" ref="BM482" ca="1">INDIRECT("'"&amp;$C482&amp;"'!"&amp;"$"&amp;$D482&amp;$BM$1&amp;"")</f>
        <v>0.83</v>
      </c>
      <c r="BN482" s="288"/>
      <c r="BO482" s="288">
        <v>0.99</v>
      </c>
      <c r="BP482" s="286">
        <v>0.06</v>
      </c>
      <c r="BQ482" s="290" cm="1">
        <f t="array" aca="1" ref="BQ482" ca="1">INDIRECT("'"&amp;$C482&amp;"'!"&amp;"$"&amp;$D482&amp;$BQ$1&amp;"")</f>
        <v>0.7</v>
      </c>
      <c r="BR482" s="288"/>
      <c r="BS482" s="288">
        <v>0.97</v>
      </c>
      <c r="BT482" s="286">
        <v>0.19</v>
      </c>
      <c r="BU482" s="291" cm="1">
        <f t="array" aca="1" ref="BU482" ca="1">INDIRECT("'"&amp;$C482&amp;"'!"&amp;"$"&amp;$D482&amp;74&amp;"")</f>
        <v>0</v>
      </c>
      <c r="BV482" s="288"/>
      <c r="BW482" s="288" t="s">
        <v>1</v>
      </c>
      <c r="BX482" s="286" t="s">
        <v>1</v>
      </c>
    </row>
    <row r="483" spans="1:76">
      <c r="A483" s="459">
        <v>45858</v>
      </c>
      <c r="B483" s="345">
        <v>0.125</v>
      </c>
      <c r="C483" s="305">
        <v>20</v>
      </c>
      <c r="D483" s="306" t="s">
        <v>145</v>
      </c>
      <c r="E483" s="278">
        <v>14.1</v>
      </c>
      <c r="F483" s="279">
        <v>69.92</v>
      </c>
      <c r="G483" s="280" t="str" cm="1">
        <f t="array" aca="1" ref="G483" ca="1">INDIRECT("'"&amp;$C483&amp;"'!"&amp;"$"&amp;$D483&amp;$E$1&amp;"")</f>
        <v>CMS</v>
      </c>
      <c r="H483" s="281" t="s">
        <v>1</v>
      </c>
      <c r="I483" s="279" t="s">
        <v>1</v>
      </c>
      <c r="J483" s="280" cm="1">
        <f t="array" aca="1" ref="J483" ca="1">INDIRECT("'"&amp;$C483&amp;"'!"&amp;"$"&amp;$D483&amp;$J$1&amp;"")</f>
        <v>6.7</v>
      </c>
      <c r="K483" s="281"/>
      <c r="L483" s="281">
        <v>0.99</v>
      </c>
      <c r="M483" s="282">
        <v>1.1200000000000001</v>
      </c>
      <c r="N483" s="278" cm="1">
        <f t="array" aca="1" ref="N483" ca="1">INDIRECT("'"&amp;$C483&amp;"'!"&amp;"$"&amp;$D483&amp;$N$1&amp;"")</f>
        <v>6.7</v>
      </c>
      <c r="O483" s="281"/>
      <c r="P483" s="281">
        <v>0.99</v>
      </c>
      <c r="Q483" s="279">
        <v>1</v>
      </c>
      <c r="R483" s="468" t="str" cm="1">
        <f t="array" aca="1" ref="R483" ca="1">INDIRECT("'"&amp;$C483&amp;"'!"&amp;"$"&amp;$D483&amp;$R$1&amp;"")</f>
        <v>CMS</v>
      </c>
      <c r="S483" s="281"/>
      <c r="T483" s="281" t="s">
        <v>1</v>
      </c>
      <c r="U483" s="279" t="s">
        <v>1</v>
      </c>
      <c r="V483" s="280" cm="1">
        <f t="array" aca="1" ref="V483" ca="1">INDIRECT("'"&amp;$C483&amp;"'!"&amp;"$"&amp;$D483&amp;$V$1&amp;"")</f>
        <v>0</v>
      </c>
      <c r="W483" s="281" t="s">
        <v>1</v>
      </c>
      <c r="X483" s="281" t="s">
        <v>1</v>
      </c>
      <c r="Y483" s="282" t="s">
        <v>1</v>
      </c>
      <c r="Z483" s="278" t="str" cm="1">
        <f t="array" aca="1" ref="Z483" ca="1">INDIRECT("'"&amp;$C483&amp;"'!"&amp;"$"&amp;$D483&amp;$Z$1&amp;"")</f>
        <v>CMS</v>
      </c>
      <c r="AA483" s="281" t="s">
        <v>1</v>
      </c>
      <c r="AB483" s="281" t="s">
        <v>1</v>
      </c>
      <c r="AC483" s="279" t="s">
        <v>1</v>
      </c>
      <c r="AD483" s="280" t="str" cm="1">
        <f t="array" aca="1" ref="AD483" ca="1">INDIRECT("'"&amp;$C483&amp;"'!"&amp;"$"&amp;$D483&amp;$AD$1&amp;"")</f>
        <v>CMS</v>
      </c>
      <c r="AE483" s="281" t="s">
        <v>1</v>
      </c>
      <c r="AF483" s="281" t="s">
        <v>1</v>
      </c>
      <c r="AG483" s="282" t="s">
        <v>1</v>
      </c>
      <c r="AH483" s="278" cm="1">
        <f t="array" aca="1" ref="AH483" ca="1">INDIRECT("'"&amp;$C483&amp;"'!"&amp;"$"&amp;$D483&amp;$AH$1&amp;"")</f>
        <v>0</v>
      </c>
      <c r="AI483" s="281" t="s">
        <v>1</v>
      </c>
      <c r="AJ483" s="281" t="s">
        <v>1</v>
      </c>
      <c r="AK483" s="279" t="s">
        <v>1</v>
      </c>
      <c r="AL483" s="278">
        <v>0</v>
      </c>
      <c r="AM483" s="282">
        <v>70.2</v>
      </c>
      <c r="AN483" s="278" cm="1">
        <f t="array" aca="1" ref="AN483" ca="1">INDIRECT("'"&amp;$C483&amp;"'!"&amp;"$"&amp;$D483&amp;$AL$1&amp;"")</f>
        <v>0</v>
      </c>
      <c r="AO483" s="281" t="s">
        <v>1</v>
      </c>
      <c r="AP483" s="279" t="s">
        <v>1</v>
      </c>
      <c r="AQ483" s="280" cm="1">
        <f t="array" aca="1" ref="AQ483" ca="1">INDIRECT("'"&amp;$C483&amp;"'!"&amp;"$"&amp;$D483&amp;$AQ$1&amp;"")</f>
        <v>0</v>
      </c>
      <c r="AR483" s="281" t="s">
        <v>1</v>
      </c>
      <c r="AS483" s="279" t="s">
        <v>1</v>
      </c>
      <c r="AT483" s="278">
        <v>13.79</v>
      </c>
      <c r="AU483" s="282">
        <v>70.099999999999994</v>
      </c>
      <c r="AV483" s="281" cm="1">
        <f t="array" aca="1" ref="AV483" ca="1">INDIRECT("'"&amp;$C483&amp;"'!"&amp;"$"&amp;$D483&amp;$AV$1&amp;"")</f>
        <v>0</v>
      </c>
      <c r="AW483" s="280" t="s">
        <v>1</v>
      </c>
      <c r="AX483" s="281" t="s">
        <v>1</v>
      </c>
      <c r="AY483" s="279" t="s">
        <v>1</v>
      </c>
      <c r="AZ483" s="281" cm="1">
        <f t="array" aca="1" ref="AZ483" ca="1">INDIRECT("'"&amp;$C483&amp;"'!"&amp;"$"&amp;$D483&amp;$AZ$1&amp;"")</f>
        <v>3.5</v>
      </c>
      <c r="BA483" s="280" t="s">
        <v>1</v>
      </c>
      <c r="BB483" s="281">
        <v>0.97</v>
      </c>
      <c r="BC483" s="279">
        <v>0.9</v>
      </c>
      <c r="BD483" s="283">
        <v>14.01</v>
      </c>
      <c r="BE483" s="282">
        <v>71.36</v>
      </c>
      <c r="BF483" s="283" cm="1">
        <f t="array" aca="1" ref="BF483" ca="1">INDIRECT("'"&amp;$C483&amp;"'!"&amp;"$"&amp;$D483&amp;$BF$1&amp;"")</f>
        <v>13.79</v>
      </c>
      <c r="BG483" s="281">
        <v>1</v>
      </c>
      <c r="BH483" s="279">
        <v>1.2</v>
      </c>
      <c r="BI483" s="524">
        <v>68.7</v>
      </c>
      <c r="BJ483" s="278" cm="1">
        <f t="array" aca="1" ref="BJ483" ca="1">INDIRECT("'"&amp;$C483&amp;"'!"&amp;"$"&amp;$D483&amp;$BI$1&amp;"")</f>
        <v>0</v>
      </c>
      <c r="BK483" s="280" t="s">
        <v>1</v>
      </c>
      <c r="BL483" s="279" t="s">
        <v>1</v>
      </c>
      <c r="BM483" s="283" cm="1">
        <f t="array" aca="1" ref="BM483" ca="1">INDIRECT("'"&amp;$C483&amp;"'!"&amp;"$"&amp;$D483&amp;$BM$1&amp;"")</f>
        <v>0.81</v>
      </c>
      <c r="BN483" s="281"/>
      <c r="BO483" s="281">
        <v>0.99</v>
      </c>
      <c r="BP483" s="279">
        <v>0.06</v>
      </c>
      <c r="BQ483" s="283" cm="1">
        <f t="array" aca="1" ref="BQ483" ca="1">INDIRECT("'"&amp;$C483&amp;"'!"&amp;"$"&amp;$D483&amp;$BQ$1&amp;"")</f>
        <v>0.67</v>
      </c>
      <c r="BR483" s="281"/>
      <c r="BS483" s="281">
        <v>0.96</v>
      </c>
      <c r="BT483" s="279">
        <v>0.18</v>
      </c>
      <c r="BU483" s="284" cm="1">
        <f t="array" aca="1" ref="BU483" ca="1">INDIRECT("'"&amp;$C483&amp;"'!"&amp;"$"&amp;$D483&amp;74&amp;"")</f>
        <v>0</v>
      </c>
      <c r="BV483" s="281"/>
      <c r="BW483" s="281" t="s">
        <v>1</v>
      </c>
      <c r="BX483" s="279" t="s">
        <v>1</v>
      </c>
    </row>
    <row r="484" spans="1:76">
      <c r="A484" s="459">
        <v>45858</v>
      </c>
      <c r="B484" s="345">
        <v>0.16666666666666699</v>
      </c>
      <c r="C484" s="305">
        <v>20</v>
      </c>
      <c r="D484" s="306" t="s">
        <v>146</v>
      </c>
      <c r="E484" s="285">
        <v>14.1</v>
      </c>
      <c r="F484" s="286">
        <v>69.989999999999995</v>
      </c>
      <c r="G484" s="287" t="str" cm="1">
        <f t="array" aca="1" ref="G484" ca="1">INDIRECT("'"&amp;$C484&amp;"'!"&amp;"$"&amp;$D484&amp;$E$1&amp;"")</f>
        <v>CMS</v>
      </c>
      <c r="H484" s="288" t="s">
        <v>1</v>
      </c>
      <c r="I484" s="286" t="s">
        <v>1</v>
      </c>
      <c r="J484" s="287" cm="1">
        <f t="array" aca="1" ref="J484" ca="1">INDIRECT("'"&amp;$C484&amp;"'!"&amp;"$"&amp;$D484&amp;$J$1&amp;"")</f>
        <v>6.7</v>
      </c>
      <c r="K484" s="288"/>
      <c r="L484" s="288">
        <v>0.99</v>
      </c>
      <c r="M484" s="286">
        <v>1</v>
      </c>
      <c r="N484" s="285" cm="1">
        <f t="array" aca="1" ref="N484" ca="1">INDIRECT("'"&amp;$C484&amp;"'!"&amp;"$"&amp;$D484&amp;$N$1&amp;"")</f>
        <v>6.7</v>
      </c>
      <c r="O484" s="288"/>
      <c r="P484" s="288">
        <v>0.99</v>
      </c>
      <c r="Q484" s="286">
        <v>0.99</v>
      </c>
      <c r="R484" s="285" t="str" cm="1">
        <f t="array" aca="1" ref="R484" ca="1">INDIRECT("'"&amp;$C484&amp;"'!"&amp;"$"&amp;$D484&amp;$R$1&amp;"")</f>
        <v>CMS</v>
      </c>
      <c r="S484" s="288"/>
      <c r="T484" s="288" t="s">
        <v>1</v>
      </c>
      <c r="U484" s="286" t="s">
        <v>1</v>
      </c>
      <c r="V484" s="287" cm="1">
        <f t="array" aca="1" ref="V484" ca="1">INDIRECT("'"&amp;$C484&amp;"'!"&amp;"$"&amp;$D484&amp;$V$1&amp;"")</f>
        <v>0</v>
      </c>
      <c r="W484" s="288" t="s">
        <v>1</v>
      </c>
      <c r="X484" s="288" t="s">
        <v>1</v>
      </c>
      <c r="Y484" s="289" t="s">
        <v>1</v>
      </c>
      <c r="Z484" s="285" t="str" cm="1">
        <f t="array" aca="1" ref="Z484" ca="1">INDIRECT("'"&amp;$C484&amp;"'!"&amp;"$"&amp;$D484&amp;$Z$1&amp;"")</f>
        <v>CMS</v>
      </c>
      <c r="AA484" s="288" t="s">
        <v>1</v>
      </c>
      <c r="AB484" s="288" t="s">
        <v>1</v>
      </c>
      <c r="AC484" s="286" t="s">
        <v>1</v>
      </c>
      <c r="AD484" s="287" t="str" cm="1">
        <f t="array" aca="1" ref="AD484" ca="1">INDIRECT("'"&amp;$C484&amp;"'!"&amp;"$"&amp;$D484&amp;$AD$1&amp;"")</f>
        <v>CMS</v>
      </c>
      <c r="AE484" s="288" t="s">
        <v>1</v>
      </c>
      <c r="AF484" s="288" t="s">
        <v>1</v>
      </c>
      <c r="AG484" s="289" t="s">
        <v>1</v>
      </c>
      <c r="AH484" s="285" cm="1">
        <f t="array" aca="1" ref="AH484" ca="1">INDIRECT("'"&amp;$C484&amp;"'!"&amp;"$"&amp;$D484&amp;$AH$1&amp;"")</f>
        <v>0</v>
      </c>
      <c r="AI484" s="288" t="s">
        <v>1</v>
      </c>
      <c r="AJ484" s="288" t="s">
        <v>1</v>
      </c>
      <c r="AK484" s="286" t="s">
        <v>1</v>
      </c>
      <c r="AL484" s="285">
        <v>0</v>
      </c>
      <c r="AM484" s="289">
        <v>70.3</v>
      </c>
      <c r="AN484" s="285" cm="1">
        <f t="array" aca="1" ref="AN484" ca="1">INDIRECT("'"&amp;$C484&amp;"'!"&amp;"$"&amp;$D484&amp;$AL$1&amp;"")</f>
        <v>0</v>
      </c>
      <c r="AO484" s="288" t="s">
        <v>1</v>
      </c>
      <c r="AP484" s="286" t="s">
        <v>1</v>
      </c>
      <c r="AQ484" s="287" cm="1">
        <f t="array" aca="1" ref="AQ484" ca="1">INDIRECT("'"&amp;$C484&amp;"'!"&amp;"$"&amp;$D484&amp;$AQ$1&amp;"")</f>
        <v>0</v>
      </c>
      <c r="AR484" s="288" t="s">
        <v>1</v>
      </c>
      <c r="AS484" s="286" t="s">
        <v>1</v>
      </c>
      <c r="AT484" s="285">
        <v>13.79</v>
      </c>
      <c r="AU484" s="289">
        <v>70.099999999999994</v>
      </c>
      <c r="AV484" s="288" cm="1">
        <f t="array" aca="1" ref="AV484" ca="1">INDIRECT("'"&amp;$C484&amp;"'!"&amp;"$"&amp;$D484&amp;$AV$1&amp;"")</f>
        <v>0</v>
      </c>
      <c r="AW484" s="287" t="s">
        <v>1</v>
      </c>
      <c r="AX484" s="288" t="s">
        <v>1</v>
      </c>
      <c r="AY484" s="286" t="s">
        <v>1</v>
      </c>
      <c r="AZ484" s="288" cm="1">
        <f t="array" aca="1" ref="AZ484" ca="1">INDIRECT("'"&amp;$C484&amp;"'!"&amp;"$"&amp;$D484&amp;$AZ$1&amp;"")</f>
        <v>3.5</v>
      </c>
      <c r="BA484" s="287" t="s">
        <v>1</v>
      </c>
      <c r="BB484" s="288">
        <v>0.98</v>
      </c>
      <c r="BC484" s="286">
        <v>0.78</v>
      </c>
      <c r="BD484" s="290">
        <v>14.03</v>
      </c>
      <c r="BE484" s="289">
        <v>71.400000000000006</v>
      </c>
      <c r="BF484" s="290" cm="1">
        <f t="array" aca="1" ref="BF484" ca="1">INDIRECT("'"&amp;$C484&amp;"'!"&amp;"$"&amp;$D484&amp;$BF$1&amp;"")</f>
        <v>13.26</v>
      </c>
      <c r="BG484" s="288">
        <v>1</v>
      </c>
      <c r="BH484" s="286">
        <v>1.2</v>
      </c>
      <c r="BI484" s="525">
        <v>68.8</v>
      </c>
      <c r="BJ484" s="285" cm="1">
        <f t="array" aca="1" ref="BJ484" ca="1">INDIRECT("'"&amp;$C484&amp;"'!"&amp;"$"&amp;$D484&amp;$BI$1&amp;"")</f>
        <v>0</v>
      </c>
      <c r="BK484" s="287" t="s">
        <v>1</v>
      </c>
      <c r="BL484" s="286" t="s">
        <v>1</v>
      </c>
      <c r="BM484" s="290" cm="1">
        <f t="array" aca="1" ref="BM484" ca="1">INDIRECT("'"&amp;$C484&amp;"'!"&amp;"$"&amp;$D484&amp;$BM$1&amp;"")</f>
        <v>0.78</v>
      </c>
      <c r="BN484" s="288"/>
      <c r="BO484" s="288">
        <v>0.99</v>
      </c>
      <c r="BP484" s="286">
        <v>0.06</v>
      </c>
      <c r="BQ484" s="290" cm="1">
        <f t="array" aca="1" ref="BQ484" ca="1">INDIRECT("'"&amp;$C484&amp;"'!"&amp;"$"&amp;$D484&amp;$BQ$1&amp;"")</f>
        <v>0.65</v>
      </c>
      <c r="BR484" s="288"/>
      <c r="BS484" s="288">
        <v>0.96</v>
      </c>
      <c r="BT484" s="286">
        <v>0.17</v>
      </c>
      <c r="BU484" s="291" cm="1">
        <f t="array" aca="1" ref="BU484" ca="1">INDIRECT("'"&amp;$C484&amp;"'!"&amp;"$"&amp;$D484&amp;74&amp;"")</f>
        <v>0</v>
      </c>
      <c r="BV484" s="288"/>
      <c r="BW484" s="288" t="s">
        <v>1</v>
      </c>
      <c r="BX484" s="286" t="s">
        <v>1</v>
      </c>
    </row>
    <row r="485" spans="1:76">
      <c r="A485" s="459">
        <v>45858</v>
      </c>
      <c r="B485" s="345">
        <v>0.20833333333333301</v>
      </c>
      <c r="C485" s="305">
        <v>20</v>
      </c>
      <c r="D485" s="306" t="s">
        <v>147</v>
      </c>
      <c r="E485" s="278">
        <v>14.1</v>
      </c>
      <c r="F485" s="279">
        <v>70.08</v>
      </c>
      <c r="G485" s="280" t="str" cm="1">
        <f t="array" aca="1" ref="G485" ca="1">INDIRECT("'"&amp;$C485&amp;"'!"&amp;"$"&amp;$D485&amp;$E$1&amp;"")</f>
        <v>CMS</v>
      </c>
      <c r="H485" s="281" t="s">
        <v>1</v>
      </c>
      <c r="I485" s="279" t="s">
        <v>1</v>
      </c>
      <c r="J485" s="280" cm="1">
        <f t="array" aca="1" ref="J485" ca="1">INDIRECT("'"&amp;$C485&amp;"'!"&amp;"$"&amp;$D485&amp;$J$1&amp;"")</f>
        <v>6.5</v>
      </c>
      <c r="K485" s="281"/>
      <c r="L485" s="281">
        <v>0.99</v>
      </c>
      <c r="M485" s="279">
        <v>1.1399999999999999</v>
      </c>
      <c r="N485" s="278" cm="1">
        <f t="array" aca="1" ref="N485" ca="1">INDIRECT("'"&amp;$C485&amp;"'!"&amp;"$"&amp;$D485&amp;$N$1&amp;"")</f>
        <v>6.5</v>
      </c>
      <c r="O485" s="281"/>
      <c r="P485" s="281">
        <v>0.99</v>
      </c>
      <c r="Q485" s="279">
        <v>1.1499999999999999</v>
      </c>
      <c r="R485" s="468" t="str" cm="1">
        <f t="array" aca="1" ref="R485" ca="1">INDIRECT("'"&amp;$C485&amp;"'!"&amp;"$"&amp;$D485&amp;$R$1&amp;"")</f>
        <v>CMS</v>
      </c>
      <c r="S485" s="281"/>
      <c r="T485" s="281" t="s">
        <v>1</v>
      </c>
      <c r="U485" s="279" t="s">
        <v>1</v>
      </c>
      <c r="V485" s="280" cm="1">
        <f t="array" aca="1" ref="V485" ca="1">INDIRECT("'"&amp;$C485&amp;"'!"&amp;"$"&amp;$D485&amp;$V$1&amp;"")</f>
        <v>0</v>
      </c>
      <c r="W485" s="281" t="s">
        <v>1</v>
      </c>
      <c r="X485" s="281" t="s">
        <v>1</v>
      </c>
      <c r="Y485" s="282" t="s">
        <v>1</v>
      </c>
      <c r="Z485" s="278" t="str" cm="1">
        <f t="array" aca="1" ref="Z485" ca="1">INDIRECT("'"&amp;$C485&amp;"'!"&amp;"$"&amp;$D485&amp;$Z$1&amp;"")</f>
        <v>CMS</v>
      </c>
      <c r="AA485" s="281" t="s">
        <v>1</v>
      </c>
      <c r="AB485" s="281" t="s">
        <v>1</v>
      </c>
      <c r="AC485" s="279" t="s">
        <v>1</v>
      </c>
      <c r="AD485" s="280" t="str" cm="1">
        <f t="array" aca="1" ref="AD485" ca="1">INDIRECT("'"&amp;$C485&amp;"'!"&amp;"$"&amp;$D485&amp;$AD$1&amp;"")</f>
        <v>CMS</v>
      </c>
      <c r="AE485" s="281" t="s">
        <v>1</v>
      </c>
      <c r="AF485" s="281" t="s">
        <v>1</v>
      </c>
      <c r="AG485" s="282" t="s">
        <v>1</v>
      </c>
      <c r="AH485" s="278" cm="1">
        <f t="array" aca="1" ref="AH485" ca="1">INDIRECT("'"&amp;$C485&amp;"'!"&amp;"$"&amp;$D485&amp;$AH$1&amp;"")</f>
        <v>0</v>
      </c>
      <c r="AI485" s="281" t="s">
        <v>1</v>
      </c>
      <c r="AJ485" s="281" t="s">
        <v>1</v>
      </c>
      <c r="AK485" s="279" t="s">
        <v>1</v>
      </c>
      <c r="AL485" s="278">
        <v>0</v>
      </c>
      <c r="AM485" s="282">
        <v>70.3</v>
      </c>
      <c r="AN485" s="278" cm="1">
        <f t="array" aca="1" ref="AN485" ca="1">INDIRECT("'"&amp;$C485&amp;"'!"&amp;"$"&amp;$D485&amp;$AL$1&amp;"")</f>
        <v>0</v>
      </c>
      <c r="AO485" s="281" t="s">
        <v>1</v>
      </c>
      <c r="AP485" s="279" t="s">
        <v>1</v>
      </c>
      <c r="AQ485" s="280" cm="1">
        <f t="array" aca="1" ref="AQ485" ca="1">INDIRECT("'"&amp;$C485&amp;"'!"&amp;"$"&amp;$D485&amp;$AQ$1&amp;"")</f>
        <v>0</v>
      </c>
      <c r="AR485" s="281" t="s">
        <v>1</v>
      </c>
      <c r="AS485" s="279" t="s">
        <v>1</v>
      </c>
      <c r="AT485" s="278">
        <v>13.79</v>
      </c>
      <c r="AU485" s="282">
        <v>70.099999999999994</v>
      </c>
      <c r="AV485" s="281" cm="1">
        <f t="array" aca="1" ref="AV485" ca="1">INDIRECT("'"&amp;$C485&amp;"'!"&amp;"$"&amp;$D485&amp;$AV$1&amp;"")</f>
        <v>0</v>
      </c>
      <c r="AW485" s="280" t="s">
        <v>1</v>
      </c>
      <c r="AX485" s="281" t="s">
        <v>1</v>
      </c>
      <c r="AY485" s="279" t="s">
        <v>1</v>
      </c>
      <c r="AZ485" s="281" cm="1">
        <f t="array" aca="1" ref="AZ485" ca="1">INDIRECT("'"&amp;$C485&amp;"'!"&amp;"$"&amp;$D485&amp;$AZ$1&amp;"")</f>
        <v>2.8</v>
      </c>
      <c r="BA485" s="280" t="s">
        <v>1</v>
      </c>
      <c r="BB485" s="281">
        <v>0.92</v>
      </c>
      <c r="BC485" s="279">
        <v>1.3</v>
      </c>
      <c r="BD485" s="283">
        <v>14.02</v>
      </c>
      <c r="BE485" s="282">
        <v>71.42</v>
      </c>
      <c r="BF485" s="283" cm="1">
        <f t="array" aca="1" ref="BF485" ca="1">INDIRECT("'"&amp;$C485&amp;"'!"&amp;"$"&amp;$D485&amp;$BF$1&amp;"")</f>
        <v>14.18</v>
      </c>
      <c r="BG485" s="281">
        <v>1</v>
      </c>
      <c r="BH485" s="279">
        <v>1.2</v>
      </c>
      <c r="BI485" s="524">
        <v>68.900000000000006</v>
      </c>
      <c r="BJ485" s="278" cm="1">
        <f t="array" aca="1" ref="BJ485" ca="1">INDIRECT("'"&amp;$C485&amp;"'!"&amp;"$"&amp;$D485&amp;$BI$1&amp;"")</f>
        <v>0</v>
      </c>
      <c r="BK485" s="280" t="s">
        <v>1</v>
      </c>
      <c r="BL485" s="279" t="s">
        <v>1</v>
      </c>
      <c r="BM485" s="283" cm="1">
        <f t="array" aca="1" ref="BM485" ca="1">INDIRECT("'"&amp;$C485&amp;"'!"&amp;"$"&amp;$D485&amp;$BM$1&amp;"")</f>
        <v>0.8</v>
      </c>
      <c r="BN485" s="281"/>
      <c r="BO485" s="281">
        <v>0.99</v>
      </c>
      <c r="BP485" s="279">
        <v>0.05</v>
      </c>
      <c r="BQ485" s="283" cm="1">
        <f t="array" aca="1" ref="BQ485" ca="1">INDIRECT("'"&amp;$C485&amp;"'!"&amp;"$"&amp;$D485&amp;$BQ$1&amp;"")</f>
        <v>0.73</v>
      </c>
      <c r="BR485" s="281"/>
      <c r="BS485" s="281">
        <v>0.96</v>
      </c>
      <c r="BT485" s="279">
        <v>0.18</v>
      </c>
      <c r="BU485" s="284" cm="1">
        <f t="array" aca="1" ref="BU485" ca="1">INDIRECT("'"&amp;$C485&amp;"'!"&amp;"$"&amp;$D485&amp;74&amp;"")</f>
        <v>0</v>
      </c>
      <c r="BV485" s="281"/>
      <c r="BW485" s="281" t="s">
        <v>1</v>
      </c>
      <c r="BX485" s="279" t="s">
        <v>1</v>
      </c>
    </row>
    <row r="486" spans="1:76">
      <c r="A486" s="459">
        <v>45858</v>
      </c>
      <c r="B486" s="345">
        <v>0.25</v>
      </c>
      <c r="C486" s="305">
        <v>20</v>
      </c>
      <c r="D486" s="306" t="s">
        <v>148</v>
      </c>
      <c r="E486" s="285">
        <v>14</v>
      </c>
      <c r="F486" s="286">
        <v>69.86</v>
      </c>
      <c r="G486" s="287" t="str" cm="1">
        <f t="array" aca="1" ref="G486" ca="1">INDIRECT("'"&amp;$C486&amp;"'!"&amp;"$"&amp;$D486&amp;$E$1&amp;"")</f>
        <v>CMS</v>
      </c>
      <c r="H486" s="288" t="s">
        <v>1</v>
      </c>
      <c r="I486" s="286" t="s">
        <v>1</v>
      </c>
      <c r="J486" s="287" cm="1">
        <f t="array" aca="1" ref="J486" ca="1">INDIRECT("'"&amp;$C486&amp;"'!"&amp;"$"&amp;$D486&amp;$J$1&amp;"")</f>
        <v>6.7</v>
      </c>
      <c r="K486" s="288"/>
      <c r="L486" s="288">
        <v>0.98</v>
      </c>
      <c r="M486" s="286">
        <v>1.3</v>
      </c>
      <c r="N486" s="285" cm="1">
        <f t="array" aca="1" ref="N486" ca="1">INDIRECT("'"&amp;$C486&amp;"'!"&amp;"$"&amp;$D486&amp;$N$1&amp;"")</f>
        <v>6.7</v>
      </c>
      <c r="O486" s="288"/>
      <c r="P486" s="288">
        <v>0.98</v>
      </c>
      <c r="Q486" s="286">
        <v>1.32</v>
      </c>
      <c r="R486" s="285" t="str" cm="1">
        <f t="array" aca="1" ref="R486" ca="1">INDIRECT("'"&amp;$C486&amp;"'!"&amp;"$"&amp;$D486&amp;$R$1&amp;"")</f>
        <v>CMS</v>
      </c>
      <c r="S486" s="288"/>
      <c r="T486" s="288" t="s">
        <v>1</v>
      </c>
      <c r="U486" s="286" t="s">
        <v>1</v>
      </c>
      <c r="V486" s="287" cm="1">
        <f t="array" aca="1" ref="V486" ca="1">INDIRECT("'"&amp;$C486&amp;"'!"&amp;"$"&amp;$D486&amp;$V$1&amp;"")</f>
        <v>0</v>
      </c>
      <c r="W486" s="288" t="s">
        <v>1</v>
      </c>
      <c r="X486" s="288" t="s">
        <v>1</v>
      </c>
      <c r="Y486" s="289" t="s">
        <v>1</v>
      </c>
      <c r="Z486" s="285" t="str" cm="1">
        <f t="array" aca="1" ref="Z486" ca="1">INDIRECT("'"&amp;$C486&amp;"'!"&amp;"$"&amp;$D486&amp;$Z$1&amp;"")</f>
        <v>CMS</v>
      </c>
      <c r="AA486" s="288" t="s">
        <v>1</v>
      </c>
      <c r="AB486" s="288" t="s">
        <v>1</v>
      </c>
      <c r="AC486" s="286" t="s">
        <v>1</v>
      </c>
      <c r="AD486" s="287" t="str" cm="1">
        <f t="array" aca="1" ref="AD486" ca="1">INDIRECT("'"&amp;$C486&amp;"'!"&amp;"$"&amp;$D486&amp;$AD$1&amp;"")</f>
        <v>CMS</v>
      </c>
      <c r="AE486" s="288" t="s">
        <v>1</v>
      </c>
      <c r="AF486" s="288" t="s">
        <v>1</v>
      </c>
      <c r="AG486" s="289" t="s">
        <v>1</v>
      </c>
      <c r="AH486" s="285" cm="1">
        <f t="array" aca="1" ref="AH486" ca="1">INDIRECT("'"&amp;$C486&amp;"'!"&amp;"$"&amp;$D486&amp;$AH$1&amp;"")</f>
        <v>0</v>
      </c>
      <c r="AI486" s="288" t="s">
        <v>1</v>
      </c>
      <c r="AJ486" s="288" t="s">
        <v>1</v>
      </c>
      <c r="AK486" s="286" t="s">
        <v>1</v>
      </c>
      <c r="AL486" s="285">
        <v>0</v>
      </c>
      <c r="AM486" s="289">
        <v>70.400000000000006</v>
      </c>
      <c r="AN486" s="285" cm="1">
        <f t="array" aca="1" ref="AN486" ca="1">INDIRECT("'"&amp;$C486&amp;"'!"&amp;"$"&amp;$D486&amp;$AL$1&amp;"")</f>
        <v>0</v>
      </c>
      <c r="AO486" s="288" t="s">
        <v>1</v>
      </c>
      <c r="AP486" s="286" t="s">
        <v>1</v>
      </c>
      <c r="AQ486" s="287" cm="1">
        <f t="array" aca="1" ref="AQ486" ca="1">INDIRECT("'"&amp;$C486&amp;"'!"&amp;"$"&amp;$D486&amp;$AQ$1&amp;"")</f>
        <v>0</v>
      </c>
      <c r="AR486" s="288" t="s">
        <v>1</v>
      </c>
      <c r="AS486" s="286" t="s">
        <v>1</v>
      </c>
      <c r="AT486" s="285">
        <v>13.79</v>
      </c>
      <c r="AU486" s="289">
        <v>70.099999999999994</v>
      </c>
      <c r="AV486" s="288" cm="1">
        <f t="array" aca="1" ref="AV486" ca="1">INDIRECT("'"&amp;$C486&amp;"'!"&amp;"$"&amp;$D486&amp;$AV$1&amp;"")</f>
        <v>0</v>
      </c>
      <c r="AW486" s="287" t="s">
        <v>1</v>
      </c>
      <c r="AX486" s="288" t="s">
        <v>1</v>
      </c>
      <c r="AY486" s="286" t="s">
        <v>1</v>
      </c>
      <c r="AZ486" s="288" cm="1">
        <f t="array" aca="1" ref="AZ486" ca="1">INDIRECT("'"&amp;$C486&amp;"'!"&amp;"$"&amp;$D486&amp;$AZ$1&amp;"")</f>
        <v>2.8</v>
      </c>
      <c r="BA486" s="287" t="s">
        <v>1</v>
      </c>
      <c r="BB486" s="288">
        <v>0.92</v>
      </c>
      <c r="BC486" s="286">
        <v>1.3</v>
      </c>
      <c r="BD486" s="290">
        <v>14.02</v>
      </c>
      <c r="BE486" s="289">
        <v>71.36</v>
      </c>
      <c r="BF486" s="290" cm="1">
        <f t="array" aca="1" ref="BF486" ca="1">INDIRECT("'"&amp;$C486&amp;"'!"&amp;"$"&amp;$D486&amp;$BF$1&amp;"")</f>
        <v>14.21</v>
      </c>
      <c r="BG486" s="288">
        <v>1</v>
      </c>
      <c r="BH486" s="286">
        <v>1.3</v>
      </c>
      <c r="BI486" s="525">
        <v>68.7</v>
      </c>
      <c r="BJ486" s="285" cm="1">
        <f t="array" aca="1" ref="BJ486" ca="1">INDIRECT("'"&amp;$C486&amp;"'!"&amp;"$"&amp;$D486&amp;$BI$1&amp;"")</f>
        <v>0</v>
      </c>
      <c r="BK486" s="287" t="s">
        <v>1</v>
      </c>
      <c r="BL486" s="286" t="s">
        <v>1</v>
      </c>
      <c r="BM486" s="290" cm="1">
        <f t="array" aca="1" ref="BM486" ca="1">INDIRECT("'"&amp;$C486&amp;"'!"&amp;"$"&amp;$D486&amp;$BM$1&amp;"")</f>
        <v>0.83</v>
      </c>
      <c r="BN486" s="288"/>
      <c r="BO486" s="288">
        <v>0.99</v>
      </c>
      <c r="BP486" s="286">
        <v>7.0000000000000007E-2</v>
      </c>
      <c r="BQ486" s="290" cm="1">
        <f t="array" aca="1" ref="BQ486" ca="1">INDIRECT("'"&amp;$C486&amp;"'!"&amp;"$"&amp;$D486&amp;$BQ$1&amp;"")</f>
        <v>0.72</v>
      </c>
      <c r="BR486" s="288"/>
      <c r="BS486" s="288">
        <v>0.97</v>
      </c>
      <c r="BT486" s="286">
        <v>0.18</v>
      </c>
      <c r="BU486" s="291" cm="1">
        <f t="array" aca="1" ref="BU486" ca="1">INDIRECT("'"&amp;$C486&amp;"'!"&amp;"$"&amp;$D486&amp;74&amp;"")</f>
        <v>0</v>
      </c>
      <c r="BV486" s="288"/>
      <c r="BW486" s="288" t="s">
        <v>1</v>
      </c>
      <c r="BX486" s="286" t="s">
        <v>1</v>
      </c>
    </row>
    <row r="487" spans="1:76">
      <c r="A487" s="459">
        <v>45858</v>
      </c>
      <c r="B487" s="345">
        <v>0.29166666666666702</v>
      </c>
      <c r="C487" s="305">
        <v>20</v>
      </c>
      <c r="D487" s="306" t="s">
        <v>149</v>
      </c>
      <c r="E487" s="278">
        <v>14</v>
      </c>
      <c r="F487" s="279">
        <v>70.05</v>
      </c>
      <c r="G487" s="280" t="str" cm="1">
        <f t="array" aca="1" ref="G487" ca="1">INDIRECT("'"&amp;$C487&amp;"'!"&amp;"$"&amp;$D487&amp;$E$1&amp;"")</f>
        <v>CMS</v>
      </c>
      <c r="H487" s="281" t="s">
        <v>1</v>
      </c>
      <c r="I487" s="279" t="s">
        <v>1</v>
      </c>
      <c r="J487" s="280" t="str" cm="1">
        <f t="array" aca="1" ref="J487" ca="1">INDIRECT("'"&amp;$C487&amp;"'!"&amp;"$"&amp;$D487&amp;$J$1&amp;"")</f>
        <v>CMS</v>
      </c>
      <c r="K487" s="281"/>
      <c r="L487" s="281" t="s">
        <v>1</v>
      </c>
      <c r="M487" s="282" t="s">
        <v>1</v>
      </c>
      <c r="N487" s="278" cm="1">
        <f t="array" aca="1" ref="N487" ca="1">INDIRECT("'"&amp;$C487&amp;"'!"&amp;"$"&amp;$D487&amp;$N$1&amp;"")</f>
        <v>6.7</v>
      </c>
      <c r="O487" s="281"/>
      <c r="P487" s="281">
        <v>0.96</v>
      </c>
      <c r="Q487" s="279">
        <v>1.78</v>
      </c>
      <c r="R487" s="468" cm="1">
        <f t="array" aca="1" ref="R487" ca="1">INDIRECT("'"&amp;$C487&amp;"'!"&amp;"$"&amp;$D487&amp;$R$1&amp;"")</f>
        <v>6.7</v>
      </c>
      <c r="S487" s="281"/>
      <c r="T487" s="281">
        <v>0.96</v>
      </c>
      <c r="U487" s="279">
        <v>1.72</v>
      </c>
      <c r="V487" s="280" cm="1">
        <f t="array" aca="1" ref="V487" ca="1">INDIRECT("'"&amp;$C487&amp;"'!"&amp;"$"&amp;$D487&amp;$V$1&amp;"")</f>
        <v>0</v>
      </c>
      <c r="W487" s="281" t="s">
        <v>1</v>
      </c>
      <c r="X487" s="281" t="s">
        <v>1</v>
      </c>
      <c r="Y487" s="282" t="s">
        <v>1</v>
      </c>
      <c r="Z487" s="278" t="str" cm="1">
        <f t="array" aca="1" ref="Z487" ca="1">INDIRECT("'"&amp;$C487&amp;"'!"&amp;"$"&amp;$D487&amp;$Z$1&amp;"")</f>
        <v>CMS</v>
      </c>
      <c r="AA487" s="281" t="s">
        <v>1</v>
      </c>
      <c r="AB487" s="281" t="s">
        <v>1</v>
      </c>
      <c r="AC487" s="279" t="s">
        <v>1</v>
      </c>
      <c r="AD487" s="280" t="str" cm="1">
        <f t="array" aca="1" ref="AD487" ca="1">INDIRECT("'"&amp;$C487&amp;"'!"&amp;"$"&amp;$D487&amp;$AD$1&amp;"")</f>
        <v>CMS</v>
      </c>
      <c r="AE487" s="281" t="s">
        <v>1</v>
      </c>
      <c r="AF487" s="281" t="s">
        <v>1</v>
      </c>
      <c r="AG487" s="282" t="s">
        <v>1</v>
      </c>
      <c r="AH487" s="278" cm="1">
        <f t="array" aca="1" ref="AH487" ca="1">INDIRECT("'"&amp;$C487&amp;"'!"&amp;"$"&amp;$D487&amp;$AH$1&amp;"")</f>
        <v>0</v>
      </c>
      <c r="AI487" s="281" t="s">
        <v>1</v>
      </c>
      <c r="AJ487" s="281" t="s">
        <v>1</v>
      </c>
      <c r="AK487" s="279" t="s">
        <v>1</v>
      </c>
      <c r="AL487" s="278">
        <v>0</v>
      </c>
      <c r="AM487" s="282">
        <v>70.3</v>
      </c>
      <c r="AN487" s="278" cm="1">
        <f t="array" aca="1" ref="AN487" ca="1">INDIRECT("'"&amp;$C487&amp;"'!"&amp;"$"&amp;$D487&amp;$AL$1&amp;"")</f>
        <v>0</v>
      </c>
      <c r="AO487" s="281" t="s">
        <v>1</v>
      </c>
      <c r="AP487" s="279" t="s">
        <v>1</v>
      </c>
      <c r="AQ487" s="280" cm="1">
        <f t="array" aca="1" ref="AQ487" ca="1">INDIRECT("'"&amp;$C487&amp;"'!"&amp;"$"&amp;$D487&amp;$AQ$1&amp;"")</f>
        <v>0</v>
      </c>
      <c r="AR487" s="281" t="s">
        <v>1</v>
      </c>
      <c r="AS487" s="279" t="s">
        <v>1</v>
      </c>
      <c r="AT487" s="278">
        <v>13.89</v>
      </c>
      <c r="AU487" s="282">
        <v>70.2</v>
      </c>
      <c r="AV487" s="281" cm="1">
        <f t="array" aca="1" ref="AV487" ca="1">INDIRECT("'"&amp;$C487&amp;"'!"&amp;"$"&amp;$D487&amp;$AV$1&amp;"")</f>
        <v>0</v>
      </c>
      <c r="AW487" s="280" t="s">
        <v>1</v>
      </c>
      <c r="AX487" s="281" t="s">
        <v>1</v>
      </c>
      <c r="AY487" s="279" t="s">
        <v>1</v>
      </c>
      <c r="AZ487" s="281" cm="1">
        <f t="array" aca="1" ref="AZ487" ca="1">INDIRECT("'"&amp;$C487&amp;"'!"&amp;"$"&amp;$D487&amp;$AZ$1&amp;"")</f>
        <v>6.8</v>
      </c>
      <c r="BA487" s="280" t="s">
        <v>1</v>
      </c>
      <c r="BB487" s="281">
        <v>0.92</v>
      </c>
      <c r="BC487" s="279">
        <v>1.3</v>
      </c>
      <c r="BD487" s="283">
        <v>13.96</v>
      </c>
      <c r="BE487" s="282">
        <v>71.069999999999993</v>
      </c>
      <c r="BF487" s="283" cm="1">
        <f t="array" aca="1" ref="BF487" ca="1">INDIRECT("'"&amp;$C487&amp;"'!"&amp;"$"&amp;$D487&amp;$BF$1&amp;"")</f>
        <v>14.25</v>
      </c>
      <c r="BG487" s="281">
        <v>1</v>
      </c>
      <c r="BH487" s="279">
        <v>1.3</v>
      </c>
      <c r="BI487" s="524">
        <v>68.7</v>
      </c>
      <c r="BJ487" s="278" cm="1">
        <f t="array" aca="1" ref="BJ487" ca="1">INDIRECT("'"&amp;$C487&amp;"'!"&amp;"$"&amp;$D487&amp;$BI$1&amp;"")</f>
        <v>0</v>
      </c>
      <c r="BK487" s="280" t="s">
        <v>1</v>
      </c>
      <c r="BL487" s="279" t="s">
        <v>1</v>
      </c>
      <c r="BM487" s="283" cm="1">
        <f t="array" aca="1" ref="BM487" ca="1">INDIRECT("'"&amp;$C487&amp;"'!"&amp;"$"&amp;$D487&amp;$BM$1&amp;"")</f>
        <v>0.97</v>
      </c>
      <c r="BN487" s="281"/>
      <c r="BO487" s="281">
        <v>0.99</v>
      </c>
      <c r="BP487" s="279">
        <v>0.09</v>
      </c>
      <c r="BQ487" s="284" cm="1">
        <f t="array" aca="1" ref="BQ487" ca="1">INDIRECT("'"&amp;$C487&amp;"'!"&amp;"$"&amp;$D487&amp;$BQ$1&amp;"")</f>
        <v>0.65</v>
      </c>
      <c r="BR487" s="281"/>
      <c r="BS487" s="281">
        <v>0.96</v>
      </c>
      <c r="BT487" s="279">
        <v>1.8</v>
      </c>
      <c r="BU487" s="284" cm="1">
        <f t="array" aca="1" ref="BU487" ca="1">INDIRECT("'"&amp;$C487&amp;"'!"&amp;"$"&amp;$D487&amp;74&amp;"")</f>
        <v>0</v>
      </c>
      <c r="BV487" s="281"/>
      <c r="BW487" s="281" t="s">
        <v>1</v>
      </c>
      <c r="BX487" s="279" t="s">
        <v>1</v>
      </c>
    </row>
    <row r="488" spans="1:76">
      <c r="A488" s="459">
        <v>45858</v>
      </c>
      <c r="B488" s="345">
        <v>0.33333333333333398</v>
      </c>
      <c r="C488" s="305">
        <v>20</v>
      </c>
      <c r="D488" s="306" t="s">
        <v>150</v>
      </c>
      <c r="E488" s="285">
        <v>14</v>
      </c>
      <c r="F488" s="286">
        <v>68.989999999999995</v>
      </c>
      <c r="G488" s="287" t="str" cm="1">
        <f t="array" aca="1" ref="G488" ca="1">INDIRECT("'"&amp;$C488&amp;"'!"&amp;"$"&amp;$D488&amp;$E$1&amp;"")</f>
        <v>CMS</v>
      </c>
      <c r="H488" s="288" t="s">
        <v>1</v>
      </c>
      <c r="I488" s="286" t="s">
        <v>1</v>
      </c>
      <c r="J488" s="287" cm="1">
        <f t="array" aca="1" ref="J488" ca="1">INDIRECT("'"&amp;$C488&amp;"'!"&amp;"$"&amp;$D488&amp;$J$1&amp;"")</f>
        <v>0</v>
      </c>
      <c r="K488" s="288"/>
      <c r="L488" s="288" t="s">
        <v>1</v>
      </c>
      <c r="M488" s="289" t="s">
        <v>1</v>
      </c>
      <c r="N488" s="285" cm="1">
        <f t="array" aca="1" ref="N488" ca="1">INDIRECT("'"&amp;$C488&amp;"'!"&amp;"$"&amp;$D488&amp;$N$1&amp;"")</f>
        <v>6.7</v>
      </c>
      <c r="O488" s="288"/>
      <c r="P488" s="288">
        <v>0.95</v>
      </c>
      <c r="Q488" s="286">
        <v>2.2799999999999998</v>
      </c>
      <c r="R488" s="285" cm="1">
        <f t="array" aca="1" ref="R488" ca="1">INDIRECT("'"&amp;$C488&amp;"'!"&amp;"$"&amp;$D488&amp;$R$1&amp;"")</f>
        <v>6.7</v>
      </c>
      <c r="S488" s="288"/>
      <c r="T488" s="288">
        <v>0.95</v>
      </c>
      <c r="U488" s="286">
        <v>2.2799999999999998</v>
      </c>
      <c r="V488" s="287" cm="1">
        <f t="array" aca="1" ref="V488" ca="1">INDIRECT("'"&amp;$C488&amp;"'!"&amp;"$"&amp;$D488&amp;$V$1&amp;"")</f>
        <v>0</v>
      </c>
      <c r="W488" s="288" t="s">
        <v>1</v>
      </c>
      <c r="X488" s="288" t="s">
        <v>1</v>
      </c>
      <c r="Y488" s="289" t="s">
        <v>1</v>
      </c>
      <c r="Z488" s="285" t="str" cm="1">
        <f t="array" aca="1" ref="Z488" ca="1">INDIRECT("'"&amp;$C488&amp;"'!"&amp;"$"&amp;$D488&amp;$Z$1&amp;"")</f>
        <v>CMS</v>
      </c>
      <c r="AA488" s="288" t="s">
        <v>1</v>
      </c>
      <c r="AB488" s="288" t="s">
        <v>1</v>
      </c>
      <c r="AC488" s="286" t="s">
        <v>1</v>
      </c>
      <c r="AD488" s="287" t="str" cm="1">
        <f t="array" aca="1" ref="AD488" ca="1">INDIRECT("'"&amp;$C488&amp;"'!"&amp;"$"&amp;$D488&amp;$AD$1&amp;"")</f>
        <v>CMS</v>
      </c>
      <c r="AE488" s="288" t="s">
        <v>1</v>
      </c>
      <c r="AF488" s="288" t="s">
        <v>1</v>
      </c>
      <c r="AG488" s="289" t="s">
        <v>1</v>
      </c>
      <c r="AH488" s="285" cm="1">
        <f t="array" aca="1" ref="AH488" ca="1">INDIRECT("'"&amp;$C488&amp;"'!"&amp;"$"&amp;$D488&amp;$AH$1&amp;"")</f>
        <v>0</v>
      </c>
      <c r="AI488" s="288" t="s">
        <v>1</v>
      </c>
      <c r="AJ488" s="288" t="s">
        <v>1</v>
      </c>
      <c r="AK488" s="286" t="s">
        <v>1</v>
      </c>
      <c r="AL488" s="285">
        <v>11.5</v>
      </c>
      <c r="AM488" s="289">
        <v>70.3</v>
      </c>
      <c r="AN488" s="285" cm="1">
        <f t="array" aca="1" ref="AN488" ca="1">INDIRECT("'"&amp;$C488&amp;"'!"&amp;"$"&amp;$D488&amp;$AL$1&amp;"")</f>
        <v>2</v>
      </c>
      <c r="AO488" s="288">
        <v>0.99</v>
      </c>
      <c r="AP488" s="286">
        <v>0.25</v>
      </c>
      <c r="AQ488" s="287" cm="1">
        <f t="array" aca="1" ref="AQ488" ca="1">INDIRECT("'"&amp;$C488&amp;"'!"&amp;"$"&amp;$D488&amp;$AQ$1&amp;"")</f>
        <v>0</v>
      </c>
      <c r="AR488" s="288" t="s">
        <v>1</v>
      </c>
      <c r="AS488" s="286" t="s">
        <v>1</v>
      </c>
      <c r="AT488" s="285">
        <v>13.8</v>
      </c>
      <c r="AU488" s="289">
        <v>70.2</v>
      </c>
      <c r="AV488" s="288" cm="1">
        <f t="array" aca="1" ref="AV488" ca="1">INDIRECT("'"&amp;$C488&amp;"'!"&amp;"$"&amp;$D488&amp;$AV$1&amp;"")</f>
        <v>0</v>
      </c>
      <c r="AW488" s="287" t="s">
        <v>1</v>
      </c>
      <c r="AX488" s="288" t="s">
        <v>1</v>
      </c>
      <c r="AY488" s="286" t="s">
        <v>1</v>
      </c>
      <c r="AZ488" s="288" cm="1">
        <f t="array" aca="1" ref="AZ488" ca="1">INDIRECT("'"&amp;$C488&amp;"'!"&amp;"$"&amp;$D488&amp;$AZ$1&amp;"")</f>
        <v>7</v>
      </c>
      <c r="BA488" s="287" t="s">
        <v>1</v>
      </c>
      <c r="BB488" s="288">
        <v>0.92</v>
      </c>
      <c r="BC488" s="286">
        <v>1.4</v>
      </c>
      <c r="BD488" s="290">
        <v>14.09</v>
      </c>
      <c r="BE488" s="289">
        <v>71.290000000000006</v>
      </c>
      <c r="BF488" s="290" cm="1">
        <f t="array" aca="1" ref="BF488" ca="1">INDIRECT("'"&amp;$C488&amp;"'!"&amp;"$"&amp;$D488&amp;$BF$1&amp;"")</f>
        <v>14.28</v>
      </c>
      <c r="BG488" s="288">
        <v>0.99</v>
      </c>
      <c r="BH488" s="286">
        <v>2.2999999999999998</v>
      </c>
      <c r="BI488" s="525">
        <v>67.900000000000006</v>
      </c>
      <c r="BJ488" s="285" cm="1">
        <f t="array" aca="1" ref="BJ488" ca="1">INDIRECT("'"&amp;$C488&amp;"'!"&amp;"$"&amp;$D488&amp;$BI$1&amp;"")</f>
        <v>0</v>
      </c>
      <c r="BK488" s="287" t="s">
        <v>1</v>
      </c>
      <c r="BL488" s="286" t="s">
        <v>1</v>
      </c>
      <c r="BM488" s="290" cm="1">
        <f t="array" aca="1" ref="BM488" ca="1">INDIRECT("'"&amp;$C488&amp;"'!"&amp;"$"&amp;$D488&amp;$BM$1&amp;"")</f>
        <v>1</v>
      </c>
      <c r="BN488" s="288"/>
      <c r="BO488" s="288">
        <v>0.99</v>
      </c>
      <c r="BP488" s="286">
        <v>0.11</v>
      </c>
      <c r="BQ488" s="291" cm="1">
        <f t="array" aca="1" ref="BQ488" ca="1">INDIRECT("'"&amp;$C488&amp;"'!"&amp;"$"&amp;$D488&amp;$BQ$1&amp;"")</f>
        <v>0.72</v>
      </c>
      <c r="BR488" s="288"/>
      <c r="BS488" s="288">
        <v>0.96</v>
      </c>
      <c r="BT488" s="286">
        <v>0.2</v>
      </c>
      <c r="BU488" s="291" cm="1">
        <f t="array" aca="1" ref="BU488" ca="1">INDIRECT("'"&amp;$C488&amp;"'!"&amp;"$"&amp;$D488&amp;74&amp;"")</f>
        <v>0</v>
      </c>
      <c r="BV488" s="288"/>
      <c r="BW488" s="288" t="s">
        <v>1</v>
      </c>
      <c r="BX488" s="286" t="s">
        <v>1</v>
      </c>
    </row>
    <row r="489" spans="1:76">
      <c r="A489" s="459">
        <v>45858</v>
      </c>
      <c r="B489" s="345">
        <v>0.375</v>
      </c>
      <c r="C489" s="305">
        <v>20</v>
      </c>
      <c r="D489" s="306" t="s">
        <v>151</v>
      </c>
      <c r="E489" s="278">
        <v>14</v>
      </c>
      <c r="F489" s="279">
        <v>68.66</v>
      </c>
      <c r="G489" s="280" t="str" cm="1">
        <f t="array" aca="1" ref="G489" ca="1">INDIRECT("'"&amp;$C489&amp;"'!"&amp;"$"&amp;$D489&amp;$E$1&amp;"")</f>
        <v>CMS</v>
      </c>
      <c r="H489" s="281" t="s">
        <v>1</v>
      </c>
      <c r="I489" s="279" t="s">
        <v>1</v>
      </c>
      <c r="J489" s="280" cm="1">
        <f t="array" aca="1" ref="J489" ca="1">INDIRECT("'"&amp;$C489&amp;"'!"&amp;"$"&amp;$D489&amp;$J$1&amp;"")</f>
        <v>1.5</v>
      </c>
      <c r="K489" s="281"/>
      <c r="L489" s="281">
        <v>0.94</v>
      </c>
      <c r="M489" s="282">
        <v>0.56000000000000005</v>
      </c>
      <c r="N489" s="278" cm="1">
        <f t="array" aca="1" ref="N489" ca="1">INDIRECT("'"&amp;$C489&amp;"'!"&amp;"$"&amp;$D489&amp;$N$1&amp;"")</f>
        <v>6.5</v>
      </c>
      <c r="O489" s="281"/>
      <c r="P489" s="281">
        <v>0.94</v>
      </c>
      <c r="Q489" s="279">
        <v>2.3199999999999998</v>
      </c>
      <c r="R489" s="468" cm="1">
        <f t="array" aca="1" ref="R489" ca="1">INDIRECT("'"&amp;$C489&amp;"'!"&amp;"$"&amp;$D489&amp;$R$1&amp;"")</f>
        <v>6.5</v>
      </c>
      <c r="S489" s="281"/>
      <c r="T489" s="281">
        <v>0.94</v>
      </c>
      <c r="U489" s="279">
        <v>2.3199999999999998</v>
      </c>
      <c r="V489" s="280" cm="1">
        <f t="array" aca="1" ref="V489" ca="1">INDIRECT("'"&amp;$C489&amp;"'!"&amp;"$"&amp;$D489&amp;$V$1&amp;"")</f>
        <v>0</v>
      </c>
      <c r="W489" s="281" t="s">
        <v>1</v>
      </c>
      <c r="X489" s="281" t="s">
        <v>1</v>
      </c>
      <c r="Y489" s="282" t="s">
        <v>1</v>
      </c>
      <c r="Z489" s="278" t="str" cm="1">
        <f t="array" aca="1" ref="Z489" ca="1">INDIRECT("'"&amp;$C489&amp;"'!"&amp;"$"&amp;$D489&amp;$Z$1&amp;"")</f>
        <v>CMS</v>
      </c>
      <c r="AA489" s="281" t="s">
        <v>1</v>
      </c>
      <c r="AB489" s="281" t="s">
        <v>1</v>
      </c>
      <c r="AC489" s="279" t="s">
        <v>1</v>
      </c>
      <c r="AD489" s="280" t="str" cm="1">
        <f t="array" aca="1" ref="AD489" ca="1">INDIRECT("'"&amp;$C489&amp;"'!"&amp;"$"&amp;$D489&amp;$AD$1&amp;"")</f>
        <v>CMS</v>
      </c>
      <c r="AE489" s="281" t="s">
        <v>1</v>
      </c>
      <c r="AF489" s="281" t="s">
        <v>1</v>
      </c>
      <c r="AG489" s="282" t="s">
        <v>1</v>
      </c>
      <c r="AH489" s="278" cm="1">
        <f t="array" aca="1" ref="AH489" ca="1">INDIRECT("'"&amp;$C489&amp;"'!"&amp;"$"&amp;$D489&amp;$AH$1&amp;"")</f>
        <v>0</v>
      </c>
      <c r="AI489" s="281" t="s">
        <v>1</v>
      </c>
      <c r="AJ489" s="281" t="s">
        <v>1</v>
      </c>
      <c r="AK489" s="279" t="s">
        <v>1</v>
      </c>
      <c r="AL489" s="278">
        <v>11.6</v>
      </c>
      <c r="AM489" s="282">
        <v>70.599999999999994</v>
      </c>
      <c r="AN489" s="278" cm="1">
        <f t="array" aca="1" ref="AN489" ca="1">INDIRECT("'"&amp;$C489&amp;"'!"&amp;"$"&amp;$D489&amp;$AL$1&amp;"")</f>
        <v>3.8</v>
      </c>
      <c r="AO489" s="281">
        <v>0.98</v>
      </c>
      <c r="AP489" s="279">
        <v>0.75</v>
      </c>
      <c r="AQ489" s="280" cm="1">
        <f t="array" aca="1" ref="AQ489" ca="1">INDIRECT("'"&amp;$C489&amp;"'!"&amp;"$"&amp;$D489&amp;$AQ$1&amp;"")</f>
        <v>0</v>
      </c>
      <c r="AR489" s="281" t="s">
        <v>1</v>
      </c>
      <c r="AS489" s="279" t="s">
        <v>1</v>
      </c>
      <c r="AT489" s="278">
        <v>13.91</v>
      </c>
      <c r="AU489" s="282">
        <v>70.599999999999994</v>
      </c>
      <c r="AV489" s="281" cm="1">
        <f t="array" aca="1" ref="AV489" ca="1">INDIRECT("'"&amp;$C489&amp;"'!"&amp;"$"&amp;$D489&amp;$AV$1&amp;"")</f>
        <v>0</v>
      </c>
      <c r="AW489" s="280" t="s">
        <v>1</v>
      </c>
      <c r="AX489" s="281" t="s">
        <v>1</v>
      </c>
      <c r="AY489" s="279" t="s">
        <v>1</v>
      </c>
      <c r="AZ489" s="281" cm="1">
        <f t="array" aca="1" ref="AZ489" ca="1">INDIRECT("'"&amp;$C489&amp;"'!"&amp;"$"&amp;$D489&amp;$AZ$1&amp;"")</f>
        <v>7</v>
      </c>
      <c r="BA489" s="280" t="s">
        <v>1</v>
      </c>
      <c r="BB489" s="281">
        <v>0.97</v>
      </c>
      <c r="BC489" s="279">
        <v>1.82</v>
      </c>
      <c r="BD489" s="283">
        <v>14.24</v>
      </c>
      <c r="BE489" s="282">
        <v>71.760000000000005</v>
      </c>
      <c r="BF489" s="283" cm="1">
        <f t="array" aca="1" ref="BF489" ca="1">INDIRECT("'"&amp;$C489&amp;"'!"&amp;"$"&amp;$D489&amp;$BF$1&amp;"")</f>
        <v>14.27</v>
      </c>
      <c r="BG489" s="281">
        <v>0.998</v>
      </c>
      <c r="BH489" s="279">
        <v>3.36</v>
      </c>
      <c r="BI489" s="524">
        <v>67.8</v>
      </c>
      <c r="BJ489" s="278" cm="1">
        <f t="array" aca="1" ref="BJ489" ca="1">INDIRECT("'"&amp;$C489&amp;"'!"&amp;"$"&amp;$D489&amp;$BI$1&amp;"")</f>
        <v>3.2</v>
      </c>
      <c r="BK489" s="280">
        <v>0.96</v>
      </c>
      <c r="BL489" s="279">
        <v>0.93</v>
      </c>
      <c r="BM489" s="283" cm="1">
        <f t="array" aca="1" ref="BM489" ca="1">INDIRECT("'"&amp;$C489&amp;"'!"&amp;"$"&amp;$D489&amp;$BM$1&amp;"")</f>
        <v>1.08</v>
      </c>
      <c r="BN489" s="281"/>
      <c r="BO489" s="281">
        <v>0.99</v>
      </c>
      <c r="BP489" s="279">
        <v>0.13</v>
      </c>
      <c r="BQ489" s="284" cm="1">
        <f t="array" aca="1" ref="BQ489" ca="1">INDIRECT("'"&amp;$C489&amp;"'!"&amp;"$"&amp;$D489&amp;$BQ$1&amp;"")</f>
        <v>0.75</v>
      </c>
      <c r="BR489" s="281"/>
      <c r="BS489" s="281">
        <v>0.96</v>
      </c>
      <c r="BT489" s="279">
        <v>0.2</v>
      </c>
      <c r="BU489" s="284" cm="1">
        <f t="array" aca="1" ref="BU489" ca="1">INDIRECT("'"&amp;$C489&amp;"'!"&amp;"$"&amp;$D489&amp;74&amp;"")</f>
        <v>0</v>
      </c>
      <c r="BV489" s="281"/>
      <c r="BW489" s="281" t="s">
        <v>1</v>
      </c>
      <c r="BX489" s="279" t="s">
        <v>1</v>
      </c>
    </row>
    <row r="490" spans="1:76">
      <c r="A490" s="459">
        <v>45858</v>
      </c>
      <c r="B490" s="345">
        <v>0.41666666666666702</v>
      </c>
      <c r="C490" s="305">
        <v>20</v>
      </c>
      <c r="D490" s="306" t="s">
        <v>152</v>
      </c>
      <c r="E490" s="285">
        <v>14.1</v>
      </c>
      <c r="F490" s="286">
        <v>67.739999999999995</v>
      </c>
      <c r="G490" s="287" t="str" cm="1">
        <f t="array" aca="1" ref="G490" ca="1">INDIRECT("'"&amp;$C490&amp;"'!"&amp;"$"&amp;$D490&amp;$E$1&amp;"")</f>
        <v>CMS</v>
      </c>
      <c r="H490" s="288" t="s">
        <v>1</v>
      </c>
      <c r="I490" s="286" t="s">
        <v>1</v>
      </c>
      <c r="J490" s="287" cm="1">
        <f t="array" aca="1" ref="J490" ca="1">INDIRECT("'"&amp;$C490&amp;"'!"&amp;"$"&amp;$D490&amp;$J$1&amp;"")</f>
        <v>6.6</v>
      </c>
      <c r="K490" s="288"/>
      <c r="L490" s="288">
        <v>0.94</v>
      </c>
      <c r="M490" s="289">
        <v>2.37</v>
      </c>
      <c r="N490" s="285" cm="1">
        <f t="array" aca="1" ref="N490" ca="1">INDIRECT("'"&amp;$C490&amp;"'!"&amp;"$"&amp;$D490&amp;$N$1&amp;"")</f>
        <v>6.6</v>
      </c>
      <c r="O490" s="288"/>
      <c r="P490" s="288">
        <v>0.94</v>
      </c>
      <c r="Q490" s="289">
        <v>2.37</v>
      </c>
      <c r="R490" s="285" cm="1">
        <f t="array" aca="1" ref="R490" ca="1">INDIRECT("'"&amp;$C490&amp;"'!"&amp;"$"&amp;$D490&amp;$R$1&amp;"")</f>
        <v>6.6</v>
      </c>
      <c r="S490" s="288"/>
      <c r="T490" s="288">
        <v>0.94</v>
      </c>
      <c r="U490" s="286">
        <v>2.37</v>
      </c>
      <c r="V490" s="287" cm="1">
        <f t="array" aca="1" ref="V490" ca="1">INDIRECT("'"&amp;$C490&amp;"'!"&amp;"$"&amp;$D490&amp;$V$1&amp;"")</f>
        <v>0</v>
      </c>
      <c r="W490" s="288" t="s">
        <v>1</v>
      </c>
      <c r="X490" s="288" t="s">
        <v>1</v>
      </c>
      <c r="Y490" s="289" t="s">
        <v>1</v>
      </c>
      <c r="Z490" s="285" t="str" cm="1">
        <f t="array" aca="1" ref="Z490" ca="1">INDIRECT("'"&amp;$C490&amp;"'!"&amp;"$"&amp;$D490&amp;$Z$1&amp;"")</f>
        <v>CMS</v>
      </c>
      <c r="AA490" s="288" t="s">
        <v>1</v>
      </c>
      <c r="AB490" s="288" t="s">
        <v>1</v>
      </c>
      <c r="AC490" s="286" t="s">
        <v>1</v>
      </c>
      <c r="AD490" s="287" t="str" cm="1">
        <f t="array" aca="1" ref="AD490" ca="1">INDIRECT("'"&amp;$C490&amp;"'!"&amp;"$"&amp;$D490&amp;$AD$1&amp;"")</f>
        <v>CMS</v>
      </c>
      <c r="AE490" s="288" t="s">
        <v>1</v>
      </c>
      <c r="AF490" s="288" t="s">
        <v>1</v>
      </c>
      <c r="AG490" s="289" t="s">
        <v>1</v>
      </c>
      <c r="AH490" s="285" cm="1">
        <f t="array" aca="1" ref="AH490" ca="1">INDIRECT("'"&amp;$C490&amp;"'!"&amp;"$"&amp;$D490&amp;$AH$1&amp;"")</f>
        <v>0</v>
      </c>
      <c r="AI490" s="288" t="s">
        <v>1</v>
      </c>
      <c r="AJ490" s="288" t="s">
        <v>1</v>
      </c>
      <c r="AK490" s="286" t="s">
        <v>1</v>
      </c>
      <c r="AL490" s="285">
        <v>11.6</v>
      </c>
      <c r="AM490" s="289">
        <v>70.599999999999994</v>
      </c>
      <c r="AN490" s="285" cm="1">
        <f t="array" aca="1" ref="AN490" ca="1">INDIRECT("'"&amp;$C490&amp;"'!"&amp;"$"&amp;$D490&amp;$AL$1&amp;"")</f>
        <v>3.9</v>
      </c>
      <c r="AO490" s="288">
        <v>0.95</v>
      </c>
      <c r="AP490" s="286">
        <v>1.1399999999999999</v>
      </c>
      <c r="AQ490" s="287" cm="1">
        <f t="array" aca="1" ref="AQ490" ca="1">INDIRECT("'"&amp;$C490&amp;"'!"&amp;"$"&amp;$D490&amp;$AQ$1&amp;"")</f>
        <v>0</v>
      </c>
      <c r="AR490" s="288" t="s">
        <v>1</v>
      </c>
      <c r="AS490" s="286" t="s">
        <v>1</v>
      </c>
      <c r="AT490" s="285">
        <v>13.92</v>
      </c>
      <c r="AU490" s="289">
        <v>70.7</v>
      </c>
      <c r="AV490" s="288" cm="1">
        <f t="array" aca="1" ref="AV490" ca="1">INDIRECT("'"&amp;$C490&amp;"'!"&amp;"$"&amp;$D490&amp;$AV$1&amp;"")</f>
        <v>0</v>
      </c>
      <c r="AW490" s="287" t="s">
        <v>1</v>
      </c>
      <c r="AX490" s="288" t="s">
        <v>1</v>
      </c>
      <c r="AY490" s="286" t="s">
        <v>1</v>
      </c>
      <c r="AZ490" s="288" cm="1">
        <f t="array" aca="1" ref="AZ490" ca="1">INDIRECT("'"&amp;$C490&amp;"'!"&amp;"$"&amp;$D490&amp;$AZ$1&amp;"")</f>
        <v>7</v>
      </c>
      <c r="BA490" s="287" t="s">
        <v>1</v>
      </c>
      <c r="BB490" s="288">
        <v>0.96</v>
      </c>
      <c r="BC490" s="286">
        <v>2.12</v>
      </c>
      <c r="BD490" s="290">
        <v>14.21</v>
      </c>
      <c r="BE490" s="289">
        <v>71.59</v>
      </c>
      <c r="BF490" s="290" cm="1">
        <f t="array" aca="1" ref="BF490" ca="1">INDIRECT("'"&amp;$C490&amp;"'!"&amp;"$"&amp;$D490&amp;$BF$1&amp;"")</f>
        <v>14.26</v>
      </c>
      <c r="BG490" s="288">
        <v>0.98</v>
      </c>
      <c r="BH490" s="286">
        <v>3.27</v>
      </c>
      <c r="BI490" s="525">
        <v>67.400000000000006</v>
      </c>
      <c r="BJ490" s="285" cm="1">
        <f t="array" aca="1" ref="BJ490" ca="1">INDIRECT("'"&amp;$C490&amp;"'!"&amp;"$"&amp;$D490&amp;$BI$1&amp;"")</f>
        <v>0.8</v>
      </c>
      <c r="BK490" s="287">
        <v>0.96</v>
      </c>
      <c r="BL490" s="286">
        <v>0.22</v>
      </c>
      <c r="BM490" s="290" cm="1">
        <f t="array" aca="1" ref="BM490" ca="1">INDIRECT("'"&amp;$C490&amp;"'!"&amp;"$"&amp;$D490&amp;$BM$1&amp;"")</f>
        <v>1.1200000000000001</v>
      </c>
      <c r="BN490" s="288"/>
      <c r="BO490" s="288">
        <v>0.99</v>
      </c>
      <c r="BP490" s="286">
        <v>0.14000000000000001</v>
      </c>
      <c r="BQ490" s="291" cm="1">
        <f t="array" aca="1" ref="BQ490" ca="1">INDIRECT("'"&amp;$C490&amp;"'!"&amp;"$"&amp;$D490&amp;$BQ$1&amp;"")</f>
        <v>0.8</v>
      </c>
      <c r="BR490" s="288"/>
      <c r="BS490" s="288">
        <v>0.96</v>
      </c>
      <c r="BT490" s="286">
        <v>0.22</v>
      </c>
      <c r="BU490" s="291" cm="1">
        <f t="array" aca="1" ref="BU490" ca="1">INDIRECT("'"&amp;$C490&amp;"'!"&amp;"$"&amp;$D490&amp;74&amp;"")</f>
        <v>0</v>
      </c>
      <c r="BV490" s="288"/>
      <c r="BW490" s="288" t="s">
        <v>1</v>
      </c>
      <c r="BX490" s="286" t="s">
        <v>1</v>
      </c>
    </row>
    <row r="491" spans="1:76">
      <c r="A491" s="459">
        <v>45858</v>
      </c>
      <c r="B491" s="345">
        <v>0.45833333333333398</v>
      </c>
      <c r="C491" s="305">
        <v>20</v>
      </c>
      <c r="D491" s="306" t="s">
        <v>153</v>
      </c>
      <c r="E491" s="278">
        <v>14.2</v>
      </c>
      <c r="F491" s="279">
        <v>69.39</v>
      </c>
      <c r="G491" s="280" t="str" cm="1">
        <f t="array" aca="1" ref="G491" ca="1">INDIRECT("'"&amp;$C491&amp;"'!"&amp;"$"&amp;$D491&amp;$E$1&amp;"")</f>
        <v>CMS</v>
      </c>
      <c r="H491" s="281" t="s">
        <v>1</v>
      </c>
      <c r="I491" s="279" t="s">
        <v>1</v>
      </c>
      <c r="J491" s="280" cm="1">
        <f t="array" aca="1" ref="J491" ca="1">INDIRECT("'"&amp;$C491&amp;"'!"&amp;"$"&amp;$D491&amp;$J$1&amp;"")</f>
        <v>6.7</v>
      </c>
      <c r="K491" s="281"/>
      <c r="L491" s="281">
        <v>0.93</v>
      </c>
      <c r="M491" s="282">
        <v>2.65</v>
      </c>
      <c r="N491" s="278" cm="1">
        <f t="array" aca="1" ref="N491" ca="1">INDIRECT("'"&amp;$C491&amp;"'!"&amp;"$"&amp;$D491&amp;$N$1&amp;"")</f>
        <v>6.7</v>
      </c>
      <c r="O491" s="281"/>
      <c r="P491" s="281">
        <v>0.93</v>
      </c>
      <c r="Q491" s="279">
        <v>2.65</v>
      </c>
      <c r="R491" s="468" cm="1">
        <f t="array" aca="1" ref="R491" ca="1">INDIRECT("'"&amp;$C491&amp;"'!"&amp;"$"&amp;$D491&amp;$R$1&amp;"")</f>
        <v>6.7</v>
      </c>
      <c r="S491" s="281"/>
      <c r="T491" s="281">
        <v>0.93</v>
      </c>
      <c r="U491" s="279">
        <v>2.65</v>
      </c>
      <c r="V491" s="280" cm="1">
        <f t="array" aca="1" ref="V491" ca="1">INDIRECT("'"&amp;$C491&amp;"'!"&amp;"$"&amp;$D491&amp;$V$1&amp;"")</f>
        <v>2</v>
      </c>
      <c r="W491" s="281">
        <f>3.8*3.46</f>
        <v>13.148</v>
      </c>
      <c r="X491" s="281">
        <v>0.94</v>
      </c>
      <c r="Y491" s="282">
        <v>0.83299999999999996</v>
      </c>
      <c r="Z491" s="278" t="str" cm="1">
        <f t="array" aca="1" ref="Z491" ca="1">INDIRECT("'"&amp;$C491&amp;"'!"&amp;"$"&amp;$D491&amp;$Z$1&amp;"")</f>
        <v>CMS</v>
      </c>
      <c r="AA491" s="281" t="s">
        <v>1</v>
      </c>
      <c r="AB491" s="281" t="s">
        <v>1</v>
      </c>
      <c r="AC491" s="279" t="s">
        <v>1</v>
      </c>
      <c r="AD491" s="280" t="str" cm="1">
        <f t="array" aca="1" ref="AD491" ca="1">INDIRECT("'"&amp;$C491&amp;"'!"&amp;"$"&amp;$D491&amp;$AD$1&amp;"")</f>
        <v>CMS</v>
      </c>
      <c r="AE491" s="281" t="s">
        <v>1</v>
      </c>
      <c r="AF491" s="281" t="s">
        <v>1</v>
      </c>
      <c r="AG491" s="282" t="s">
        <v>1</v>
      </c>
      <c r="AH491" s="278" cm="1">
        <f t="array" aca="1" ref="AH491" ca="1">INDIRECT("'"&amp;$C491&amp;"'!"&amp;"$"&amp;$D491&amp;$AH$1&amp;"")</f>
        <v>0</v>
      </c>
      <c r="AI491" s="281" t="s">
        <v>1</v>
      </c>
      <c r="AJ491" s="281" t="s">
        <v>1</v>
      </c>
      <c r="AK491" s="279" t="s">
        <v>1</v>
      </c>
      <c r="AL491" s="278">
        <v>11.6</v>
      </c>
      <c r="AM491" s="282">
        <v>70.8</v>
      </c>
      <c r="AN491" s="278" cm="1">
        <f t="array" aca="1" ref="AN491" ca="1">INDIRECT("'"&amp;$C491&amp;"'!"&amp;"$"&amp;$D491&amp;$AL$1&amp;"")</f>
        <v>3.5</v>
      </c>
      <c r="AO491" s="281">
        <v>0.98</v>
      </c>
      <c r="AP491" s="279">
        <v>0.67</v>
      </c>
      <c r="AQ491" s="280" cm="1">
        <f t="array" aca="1" ref="AQ491" ca="1">INDIRECT("'"&amp;$C491&amp;"'!"&amp;"$"&amp;$D491&amp;$AQ$1&amp;"")</f>
        <v>0</v>
      </c>
      <c r="AR491" s="281" t="s">
        <v>1</v>
      </c>
      <c r="AS491" s="279" t="s">
        <v>1</v>
      </c>
      <c r="AT491" s="278">
        <v>13.92</v>
      </c>
      <c r="AU491" s="282">
        <v>70.7</v>
      </c>
      <c r="AV491" s="281" cm="1">
        <f t="array" aca="1" ref="AV491" ca="1">INDIRECT("'"&amp;$C491&amp;"'!"&amp;"$"&amp;$D491&amp;$AV$1&amp;"")</f>
        <v>0</v>
      </c>
      <c r="AW491" s="280" t="s">
        <v>1</v>
      </c>
      <c r="AX491" s="281" t="s">
        <v>1</v>
      </c>
      <c r="AY491" s="279" t="s">
        <v>1</v>
      </c>
      <c r="AZ491" s="281" cm="1">
        <f t="array" aca="1" ref="AZ491" ca="1">INDIRECT("'"&amp;$C491&amp;"'!"&amp;"$"&amp;$D491&amp;$AZ$1&amp;"")</f>
        <v>6.8</v>
      </c>
      <c r="BA491" s="280" t="s">
        <v>1</v>
      </c>
      <c r="BB491" s="281">
        <v>0.96</v>
      </c>
      <c r="BC491" s="279">
        <v>1.83</v>
      </c>
      <c r="BD491" s="283">
        <v>14.28</v>
      </c>
      <c r="BE491" s="282">
        <v>71.92</v>
      </c>
      <c r="BF491" s="283" cm="1">
        <f t="array" aca="1" ref="BF491" ca="1">INDIRECT("'"&amp;$C491&amp;"'!"&amp;"$"&amp;$D491&amp;$BF$1&amp;"")</f>
        <v>14.27</v>
      </c>
      <c r="BG491" s="281">
        <v>0.98</v>
      </c>
      <c r="BH491" s="279">
        <v>3.43</v>
      </c>
      <c r="BI491" s="524">
        <v>68.099999999999994</v>
      </c>
      <c r="BJ491" s="278" cm="1">
        <f t="array" aca="1" ref="BJ491" ca="1">INDIRECT("'"&amp;$C491&amp;"'!"&amp;"$"&amp;$D491&amp;$BI$1&amp;"")</f>
        <v>0</v>
      </c>
      <c r="BK491" s="280" t="s">
        <v>1</v>
      </c>
      <c r="BL491" s="279" t="s">
        <v>1</v>
      </c>
      <c r="BM491" s="283" cm="1">
        <f t="array" aca="1" ref="BM491" ca="1">INDIRECT("'"&amp;$C491&amp;"'!"&amp;"$"&amp;$D491&amp;$BM$1&amp;"")</f>
        <v>1.24</v>
      </c>
      <c r="BN491" s="281"/>
      <c r="BO491" s="281">
        <v>0.99</v>
      </c>
      <c r="BP491" s="279">
        <v>0.19</v>
      </c>
      <c r="BQ491" s="284" cm="1">
        <f t="array" aca="1" ref="BQ491" ca="1">INDIRECT("'"&amp;$C491&amp;"'!"&amp;"$"&amp;$D491&amp;$BQ$1&amp;"")</f>
        <v>0.83</v>
      </c>
      <c r="BR491" s="281"/>
      <c r="BS491" s="281">
        <v>0.96</v>
      </c>
      <c r="BT491" s="279">
        <v>0.22</v>
      </c>
      <c r="BU491" s="284" cm="1">
        <f t="array" aca="1" ref="BU491" ca="1">INDIRECT("'"&amp;$C491&amp;"'!"&amp;"$"&amp;$D491&amp;74&amp;"")</f>
        <v>0</v>
      </c>
      <c r="BV491" s="281"/>
      <c r="BW491" s="281" t="s">
        <v>1</v>
      </c>
      <c r="BX491" s="279" t="s">
        <v>1</v>
      </c>
    </row>
    <row r="492" spans="1:76">
      <c r="A492" s="459">
        <v>45858</v>
      </c>
      <c r="B492" s="345">
        <v>0.5</v>
      </c>
      <c r="C492" s="305">
        <v>20</v>
      </c>
      <c r="D492" s="306" t="s">
        <v>154</v>
      </c>
      <c r="E492" s="285">
        <v>14.2</v>
      </c>
      <c r="F492" s="286">
        <v>69.290000000000006</v>
      </c>
      <c r="G492" s="287" t="str" cm="1">
        <f t="array" aca="1" ref="G492" ca="1">INDIRECT("'"&amp;$C492&amp;"'!"&amp;"$"&amp;$D492&amp;$E$1&amp;"")</f>
        <v>CMS</v>
      </c>
      <c r="H492" s="288" t="s">
        <v>1</v>
      </c>
      <c r="I492" s="286" t="s">
        <v>1</v>
      </c>
      <c r="J492" s="287" cm="1">
        <f t="array" aca="1" ref="J492" ca="1">INDIRECT("'"&amp;$C492&amp;"'!"&amp;"$"&amp;$D492&amp;$J$1&amp;"")</f>
        <v>6.5</v>
      </c>
      <c r="K492" s="288"/>
      <c r="L492" s="288">
        <v>0.93</v>
      </c>
      <c r="M492" s="289">
        <v>2.5099999999999998</v>
      </c>
      <c r="N492" s="285" cm="1">
        <f t="array" aca="1" ref="N492" ca="1">INDIRECT("'"&amp;$C492&amp;"'!"&amp;"$"&amp;$D492&amp;$N$1&amp;"")</f>
        <v>6.5</v>
      </c>
      <c r="O492" s="288"/>
      <c r="P492" s="288">
        <v>0.93</v>
      </c>
      <c r="Q492" s="289">
        <v>2.5099999999999998</v>
      </c>
      <c r="R492" s="285" cm="1">
        <f t="array" aca="1" ref="R492" ca="1">INDIRECT("'"&amp;$C492&amp;"'!"&amp;"$"&amp;$D492&amp;$R$1&amp;"")</f>
        <v>6.5</v>
      </c>
      <c r="S492" s="288"/>
      <c r="T492" s="288">
        <v>0.93</v>
      </c>
      <c r="U492" s="286">
        <v>2.5099999999999998</v>
      </c>
      <c r="V492" s="287" cm="1">
        <f t="array" aca="1" ref="V492" ca="1">INDIRECT("'"&amp;$C492&amp;"'!"&amp;"$"&amp;$D492&amp;$V$1&amp;"")</f>
        <v>2</v>
      </c>
      <c r="W492" s="288">
        <f>3.8*3.46</f>
        <v>13.148</v>
      </c>
      <c r="X492" s="288">
        <v>0.93</v>
      </c>
      <c r="Y492" s="289">
        <v>1.08</v>
      </c>
      <c r="Z492" s="285" t="str" cm="1">
        <f t="array" aca="1" ref="Z492" ca="1">INDIRECT("'"&amp;$C492&amp;"'!"&amp;"$"&amp;$D492&amp;$Z$1&amp;"")</f>
        <v>CMS</v>
      </c>
      <c r="AA492" s="288" t="s">
        <v>1</v>
      </c>
      <c r="AB492" s="288" t="s">
        <v>1</v>
      </c>
      <c r="AC492" s="286" t="s">
        <v>1</v>
      </c>
      <c r="AD492" s="287" t="str" cm="1">
        <f t="array" aca="1" ref="AD492" ca="1">INDIRECT("'"&amp;$C492&amp;"'!"&amp;"$"&amp;$D492&amp;$AD$1&amp;"")</f>
        <v>CMS</v>
      </c>
      <c r="AE492" s="288" t="s">
        <v>1</v>
      </c>
      <c r="AF492" s="288" t="s">
        <v>1</v>
      </c>
      <c r="AG492" s="289" t="s">
        <v>1</v>
      </c>
      <c r="AH492" s="285" cm="1">
        <f t="array" aca="1" ref="AH492" ca="1">INDIRECT("'"&amp;$C492&amp;"'!"&amp;"$"&amp;$D492&amp;$AH$1&amp;"")</f>
        <v>0</v>
      </c>
      <c r="AI492" s="288" t="s">
        <v>1</v>
      </c>
      <c r="AJ492" s="288" t="s">
        <v>1</v>
      </c>
      <c r="AK492" s="286" t="s">
        <v>1</v>
      </c>
      <c r="AL492" s="285">
        <v>11.6</v>
      </c>
      <c r="AM492" s="289">
        <v>70.5</v>
      </c>
      <c r="AN492" s="285" cm="1">
        <f t="array" aca="1" ref="AN492" ca="1">INDIRECT("'"&amp;$C492&amp;"'!"&amp;"$"&amp;$D492&amp;$AL$1&amp;"")</f>
        <v>3.5</v>
      </c>
      <c r="AO492" s="288">
        <v>0.97</v>
      </c>
      <c r="AP492" s="286">
        <v>0.8</v>
      </c>
      <c r="AQ492" s="287" cm="1">
        <f t="array" aca="1" ref="AQ492" ca="1">INDIRECT("'"&amp;$C492&amp;"'!"&amp;"$"&amp;$D492&amp;$AQ$1&amp;"")</f>
        <v>0</v>
      </c>
      <c r="AR492" s="288" t="s">
        <v>1</v>
      </c>
      <c r="AS492" s="286" t="s">
        <v>1</v>
      </c>
      <c r="AT492" s="285">
        <v>13.92</v>
      </c>
      <c r="AU492" s="289">
        <v>70.7</v>
      </c>
      <c r="AV492" s="288" cm="1">
        <f t="array" aca="1" ref="AV492" ca="1">INDIRECT("'"&amp;$C492&amp;"'!"&amp;"$"&amp;$D492&amp;$AV$1&amp;"")</f>
        <v>0</v>
      </c>
      <c r="AW492" s="287" t="s">
        <v>1</v>
      </c>
      <c r="AX492" s="288" t="s">
        <v>1</v>
      </c>
      <c r="AY492" s="286" t="s">
        <v>1</v>
      </c>
      <c r="AZ492" s="288" cm="1">
        <f t="array" aca="1" ref="AZ492" ca="1">INDIRECT("'"&amp;$C492&amp;"'!"&amp;"$"&amp;$D492&amp;$AZ$1&amp;"")</f>
        <v>7</v>
      </c>
      <c r="BA492" s="287" t="s">
        <v>1</v>
      </c>
      <c r="BB492" s="288">
        <v>0.96</v>
      </c>
      <c r="BC492" s="286">
        <v>2.0499999999999998</v>
      </c>
      <c r="BD492" s="290">
        <v>14.13</v>
      </c>
      <c r="BE492" s="289">
        <v>71.599999999999994</v>
      </c>
      <c r="BF492" s="290" cm="1">
        <f t="array" aca="1" ref="BF492" ca="1">INDIRECT("'"&amp;$C492&amp;"'!"&amp;"$"&amp;$D492&amp;$BF$1&amp;"")</f>
        <v>14.25</v>
      </c>
      <c r="BG492" s="288">
        <v>0.99</v>
      </c>
      <c r="BH492" s="286">
        <v>2.38</v>
      </c>
      <c r="BI492" s="525">
        <v>68.099999999999994</v>
      </c>
      <c r="BJ492" s="285" cm="1">
        <f t="array" aca="1" ref="BJ492" ca="1">INDIRECT("'"&amp;$C492&amp;"'!"&amp;"$"&amp;$D492&amp;$BI$1&amp;"")</f>
        <v>0</v>
      </c>
      <c r="BK492" s="287" t="s">
        <v>1</v>
      </c>
      <c r="BL492" s="286" t="s">
        <v>1</v>
      </c>
      <c r="BM492" s="290" cm="1">
        <f t="array" aca="1" ref="BM492" ca="1">INDIRECT("'"&amp;$C492&amp;"'!"&amp;"$"&amp;$D492&amp;$BM$1&amp;"")</f>
        <v>1.2</v>
      </c>
      <c r="BN492" s="288"/>
      <c r="BO492" s="288">
        <v>0.99</v>
      </c>
      <c r="BP492" s="286">
        <v>0.17</v>
      </c>
      <c r="BQ492" s="291" cm="1">
        <f t="array" aca="1" ref="BQ492" ca="1">INDIRECT("'"&amp;$C492&amp;"'!"&amp;"$"&amp;$D492&amp;$BQ$1&amp;"")</f>
        <v>0.63</v>
      </c>
      <c r="BR492" s="288"/>
      <c r="BS492" s="288">
        <v>0.95</v>
      </c>
      <c r="BT492" s="286">
        <v>0.2</v>
      </c>
      <c r="BU492" s="291" cm="1">
        <f t="array" aca="1" ref="BU492" ca="1">INDIRECT("'"&amp;$C492&amp;"'!"&amp;"$"&amp;$D492&amp;74&amp;"")</f>
        <v>0</v>
      </c>
      <c r="BV492" s="288"/>
      <c r="BW492" s="288" t="s">
        <v>1</v>
      </c>
      <c r="BX492" s="286" t="s">
        <v>1</v>
      </c>
    </row>
    <row r="493" spans="1:76">
      <c r="A493" s="459">
        <v>45858</v>
      </c>
      <c r="B493" s="345">
        <v>0.54166666666666696</v>
      </c>
      <c r="C493" s="305">
        <v>20</v>
      </c>
      <c r="D493" s="306" t="s">
        <v>155</v>
      </c>
      <c r="E493" s="278">
        <v>14.2</v>
      </c>
      <c r="F493" s="279">
        <v>69.209999999999994</v>
      </c>
      <c r="G493" s="280" t="str" cm="1">
        <f t="array" aca="1" ref="G493" ca="1">INDIRECT("'"&amp;$C493&amp;"'!"&amp;"$"&amp;$D493&amp;$E$1&amp;"")</f>
        <v>CMS</v>
      </c>
      <c r="H493" s="281" t="s">
        <v>1</v>
      </c>
      <c r="I493" s="279" t="s">
        <v>1</v>
      </c>
      <c r="J493" s="280" cm="1">
        <f t="array" aca="1" ref="J493" ca="1">INDIRECT("'"&amp;$C493&amp;"'!"&amp;"$"&amp;$D493&amp;$J$1&amp;"")</f>
        <v>6.8</v>
      </c>
      <c r="K493" s="281"/>
      <c r="L493" s="281">
        <v>0.93</v>
      </c>
      <c r="M493" s="279">
        <v>2.67</v>
      </c>
      <c r="N493" s="278" cm="1">
        <f t="array" aca="1" ref="N493" ca="1">INDIRECT("'"&amp;$C493&amp;"'!"&amp;"$"&amp;$D493&amp;$N$1&amp;"")</f>
        <v>6.8</v>
      </c>
      <c r="O493" s="281"/>
      <c r="P493" s="281">
        <v>0.93</v>
      </c>
      <c r="Q493" s="279">
        <v>2.67</v>
      </c>
      <c r="R493" s="468" cm="1">
        <f t="array" aca="1" ref="R493" ca="1">INDIRECT("'"&amp;$C493&amp;"'!"&amp;"$"&amp;$D493&amp;$R$1&amp;"")</f>
        <v>6.8</v>
      </c>
      <c r="S493" s="281"/>
      <c r="T493" s="281">
        <v>0.93</v>
      </c>
      <c r="U493" s="279">
        <v>2.67</v>
      </c>
      <c r="V493" s="280" cm="1">
        <f t="array" aca="1" ref="V493" ca="1">INDIRECT("'"&amp;$C493&amp;"'!"&amp;"$"&amp;$D493&amp;$V$1&amp;"")</f>
        <v>2.8</v>
      </c>
      <c r="W493" s="281">
        <f>3.8*3.45</f>
        <v>13.11</v>
      </c>
      <c r="X493" s="281">
        <v>0.93</v>
      </c>
      <c r="Y493" s="282">
        <v>1.06</v>
      </c>
      <c r="Z493" s="278" t="str" cm="1">
        <f t="array" aca="1" ref="Z493" ca="1">INDIRECT("'"&amp;$C493&amp;"'!"&amp;"$"&amp;$D493&amp;$Z$1&amp;"")</f>
        <v>CMS</v>
      </c>
      <c r="AA493" s="281" t="s">
        <v>1</v>
      </c>
      <c r="AB493" s="281" t="s">
        <v>1</v>
      </c>
      <c r="AC493" s="279" t="s">
        <v>1</v>
      </c>
      <c r="AD493" s="280" t="str" cm="1">
        <f t="array" aca="1" ref="AD493" ca="1">INDIRECT("'"&amp;$C493&amp;"'!"&amp;"$"&amp;$D493&amp;$AD$1&amp;"")</f>
        <v>CMS</v>
      </c>
      <c r="AE493" s="281" t="s">
        <v>1</v>
      </c>
      <c r="AF493" s="281" t="s">
        <v>1</v>
      </c>
      <c r="AG493" s="282" t="s">
        <v>1</v>
      </c>
      <c r="AH493" s="278" cm="1">
        <f t="array" aca="1" ref="AH493" ca="1">INDIRECT("'"&amp;$C493&amp;"'!"&amp;"$"&amp;$D493&amp;$AH$1&amp;"")</f>
        <v>0</v>
      </c>
      <c r="AI493" s="281" t="s">
        <v>1</v>
      </c>
      <c r="AJ493" s="281" t="s">
        <v>1</v>
      </c>
      <c r="AK493" s="279" t="s">
        <v>1</v>
      </c>
      <c r="AL493" s="278">
        <v>11.6</v>
      </c>
      <c r="AM493" s="282">
        <v>70.7</v>
      </c>
      <c r="AN493" s="278" cm="1">
        <f t="array" aca="1" ref="AN493" ca="1">INDIRECT("'"&amp;$C493&amp;"'!"&amp;"$"&amp;$D493&amp;$AL$1&amp;"")</f>
        <v>3.8</v>
      </c>
      <c r="AO493" s="281">
        <v>0.98</v>
      </c>
      <c r="AP493" s="279">
        <v>0.67</v>
      </c>
      <c r="AQ493" s="280" cm="1">
        <f t="array" aca="1" ref="AQ493" ca="1">INDIRECT("'"&amp;$C493&amp;"'!"&amp;"$"&amp;$D493&amp;$AQ$1&amp;"")</f>
        <v>0</v>
      </c>
      <c r="AR493" s="281" t="s">
        <v>1</v>
      </c>
      <c r="AS493" s="279" t="s">
        <v>1</v>
      </c>
      <c r="AT493" s="278">
        <v>13.92</v>
      </c>
      <c r="AU493" s="282">
        <v>70.7</v>
      </c>
      <c r="AV493" s="281" cm="1">
        <f t="array" aca="1" ref="AV493" ca="1">INDIRECT("'"&amp;$C493&amp;"'!"&amp;"$"&amp;$D493&amp;$AV$1&amp;"")</f>
        <v>0</v>
      </c>
      <c r="AW493" s="280">
        <v>13.7</v>
      </c>
      <c r="AX493" s="281" t="s">
        <v>1</v>
      </c>
      <c r="AY493" s="279" t="s">
        <v>1</v>
      </c>
      <c r="AZ493" s="281" cm="1">
        <f t="array" aca="1" ref="AZ493" ca="1">INDIRECT("'"&amp;$C493&amp;"'!"&amp;"$"&amp;$D493&amp;$AZ$1&amp;"")</f>
        <v>7</v>
      </c>
      <c r="BA493" s="280">
        <v>13.7</v>
      </c>
      <c r="BB493" s="281">
        <v>0.96</v>
      </c>
      <c r="BC493" s="279">
        <v>1.81</v>
      </c>
      <c r="BD493" s="283">
        <v>14.27</v>
      </c>
      <c r="BE493" s="282">
        <v>71.92</v>
      </c>
      <c r="BF493" s="283" cm="1">
        <f t="array" aca="1" ref="BF493" ca="1">INDIRECT("'"&amp;$C493&amp;"'!"&amp;"$"&amp;$D493&amp;$BF$1&amp;"")</f>
        <v>14.26</v>
      </c>
      <c r="BG493" s="281">
        <v>0.98</v>
      </c>
      <c r="BH493" s="279">
        <v>3.36</v>
      </c>
      <c r="BI493" s="524">
        <v>67.900000000000006</v>
      </c>
      <c r="BJ493" s="278" cm="1">
        <f t="array" aca="1" ref="BJ493" ca="1">INDIRECT("'"&amp;$C493&amp;"'!"&amp;"$"&amp;$D493&amp;$BI$1&amp;"")</f>
        <v>0</v>
      </c>
      <c r="BK493" s="280" t="s">
        <v>1</v>
      </c>
      <c r="BL493" s="279" t="s">
        <v>1</v>
      </c>
      <c r="BM493" s="283" cm="1">
        <f t="array" aca="1" ref="BM493" ca="1">INDIRECT("'"&amp;$C493&amp;"'!"&amp;"$"&amp;$D493&amp;$BM$1&amp;"")</f>
        <v>1.2</v>
      </c>
      <c r="BN493" s="281"/>
      <c r="BO493" s="281">
        <v>0.99</v>
      </c>
      <c r="BP493" s="279">
        <v>0.19</v>
      </c>
      <c r="BQ493" s="284" cm="1">
        <f t="array" aca="1" ref="BQ493" ca="1">INDIRECT("'"&amp;$C493&amp;"'!"&amp;"$"&amp;$D493&amp;$BQ$1&amp;"")</f>
        <v>0.76</v>
      </c>
      <c r="BR493" s="281"/>
      <c r="BS493" s="281">
        <v>0.95</v>
      </c>
      <c r="BT493" s="279">
        <v>0.23</v>
      </c>
      <c r="BU493" s="284" cm="1">
        <f t="array" aca="1" ref="BU493" ca="1">INDIRECT("'"&amp;$C493&amp;"'!"&amp;"$"&amp;$D493&amp;74&amp;"")</f>
        <v>0</v>
      </c>
      <c r="BV493" s="281"/>
      <c r="BW493" s="281" t="s">
        <v>1</v>
      </c>
      <c r="BX493" s="279" t="s">
        <v>1</v>
      </c>
    </row>
    <row r="494" spans="1:76">
      <c r="A494" s="459">
        <v>45858</v>
      </c>
      <c r="B494" s="345">
        <v>0.58333333333333404</v>
      </c>
      <c r="C494" s="305">
        <v>20</v>
      </c>
      <c r="D494" s="306" t="s">
        <v>156</v>
      </c>
      <c r="E494" s="285">
        <v>14.2</v>
      </c>
      <c r="F494" s="286">
        <v>69.260000000000005</v>
      </c>
      <c r="G494" s="287" t="str" cm="1">
        <f t="array" aca="1" ref="G494" ca="1">INDIRECT("'"&amp;$C494&amp;"'!"&amp;"$"&amp;$D494&amp;$E$1&amp;"")</f>
        <v>CMS</v>
      </c>
      <c r="H494" s="288" t="s">
        <v>1</v>
      </c>
      <c r="I494" s="286" t="s">
        <v>1</v>
      </c>
      <c r="J494" s="287" cm="1">
        <f t="array" aca="1" ref="J494" ca="1">INDIRECT("'"&amp;$C494&amp;"'!"&amp;"$"&amp;$D494&amp;$J$1&amp;"")</f>
        <v>6.8</v>
      </c>
      <c r="K494" s="288"/>
      <c r="L494" s="288">
        <v>0.93</v>
      </c>
      <c r="M494" s="289">
        <v>2.62</v>
      </c>
      <c r="N494" s="285" cm="1">
        <f t="array" aca="1" ref="N494" ca="1">INDIRECT("'"&amp;$C494&amp;"'!"&amp;"$"&amp;$D494&amp;$N$1&amp;"")</f>
        <v>6.8</v>
      </c>
      <c r="O494" s="288"/>
      <c r="P494" s="288">
        <v>0.93</v>
      </c>
      <c r="Q494" s="286">
        <v>2.62</v>
      </c>
      <c r="R494" s="285" cm="1">
        <f t="array" aca="1" ref="R494" ca="1">INDIRECT("'"&amp;$C494&amp;"'!"&amp;"$"&amp;$D494&amp;$R$1&amp;"")</f>
        <v>6.8</v>
      </c>
      <c r="S494" s="288"/>
      <c r="T494" s="288">
        <v>0.93</v>
      </c>
      <c r="U494" s="286">
        <v>2.62</v>
      </c>
      <c r="V494" s="287" cm="1">
        <f t="array" aca="1" ref="V494" ca="1">INDIRECT("'"&amp;$C494&amp;"'!"&amp;"$"&amp;$D494&amp;$V$1&amp;"")</f>
        <v>2.8</v>
      </c>
      <c r="W494" s="288">
        <f>3.5*3.8</f>
        <v>13.299999999999999</v>
      </c>
      <c r="X494" s="288">
        <v>0.92</v>
      </c>
      <c r="Y494" s="289">
        <v>1.1499999999999999</v>
      </c>
      <c r="Z494" s="285" t="str" cm="1">
        <f t="array" aca="1" ref="Z494" ca="1">INDIRECT("'"&amp;$C494&amp;"'!"&amp;"$"&amp;$D494&amp;$Z$1&amp;"")</f>
        <v>CMS</v>
      </c>
      <c r="AA494" s="288" t="s">
        <v>1</v>
      </c>
      <c r="AB494" s="288" t="s">
        <v>1</v>
      </c>
      <c r="AC494" s="286" t="s">
        <v>1</v>
      </c>
      <c r="AD494" s="287" t="str" cm="1">
        <f t="array" aca="1" ref="AD494" ca="1">INDIRECT("'"&amp;$C494&amp;"'!"&amp;"$"&amp;$D494&amp;$AD$1&amp;"")</f>
        <v>CMS</v>
      </c>
      <c r="AE494" s="288" t="s">
        <v>1</v>
      </c>
      <c r="AF494" s="288" t="s">
        <v>1</v>
      </c>
      <c r="AG494" s="289" t="s">
        <v>1</v>
      </c>
      <c r="AH494" s="285" cm="1">
        <f t="array" aca="1" ref="AH494" ca="1">INDIRECT("'"&amp;$C494&amp;"'!"&amp;"$"&amp;$D494&amp;$AH$1&amp;"")</f>
        <v>0</v>
      </c>
      <c r="AI494" s="288" t="s">
        <v>1</v>
      </c>
      <c r="AJ494" s="288" t="s">
        <v>1</v>
      </c>
      <c r="AK494" s="286" t="s">
        <v>1</v>
      </c>
      <c r="AL494" s="285">
        <v>11.6</v>
      </c>
      <c r="AM494" s="289">
        <v>70.8</v>
      </c>
      <c r="AN494" s="285" cm="1">
        <f t="array" aca="1" ref="AN494" ca="1">INDIRECT("'"&amp;$C494&amp;"'!"&amp;"$"&amp;$D494&amp;$AL$1&amp;"")</f>
        <v>3.8</v>
      </c>
      <c r="AO494" s="288">
        <v>0.98</v>
      </c>
      <c r="AP494" s="286">
        <v>0.63</v>
      </c>
      <c r="AQ494" s="287" cm="1">
        <f t="array" aca="1" ref="AQ494" ca="1">INDIRECT("'"&amp;$C494&amp;"'!"&amp;"$"&amp;$D494&amp;$AQ$1&amp;"")</f>
        <v>0</v>
      </c>
      <c r="AR494" s="288" t="s">
        <v>1</v>
      </c>
      <c r="AS494" s="286" t="s">
        <v>1</v>
      </c>
      <c r="AT494" s="285">
        <v>13.92</v>
      </c>
      <c r="AU494" s="289">
        <v>70.7</v>
      </c>
      <c r="AV494" s="288" cm="1">
        <f t="array" aca="1" ref="AV494" ca="1">INDIRECT("'"&amp;$C494&amp;"'!"&amp;"$"&amp;$D494&amp;$AV$1&amp;"")</f>
        <v>0</v>
      </c>
      <c r="AW494" s="287">
        <v>13.7</v>
      </c>
      <c r="AX494" s="288" t="s">
        <v>1</v>
      </c>
      <c r="AY494" s="286" t="s">
        <v>1</v>
      </c>
      <c r="AZ494" s="288" cm="1">
        <f t="array" aca="1" ref="AZ494" ca="1">INDIRECT("'"&amp;$C494&amp;"'!"&amp;"$"&amp;$D494&amp;$AZ$1&amp;"")</f>
        <v>7</v>
      </c>
      <c r="BA494" s="287">
        <v>13.7</v>
      </c>
      <c r="BB494" s="288">
        <v>0.96</v>
      </c>
      <c r="BC494" s="286">
        <v>1.77</v>
      </c>
      <c r="BD494" s="290">
        <v>14.27</v>
      </c>
      <c r="BE494" s="289">
        <v>71.930000000000007</v>
      </c>
      <c r="BF494" s="290" cm="1">
        <f t="array" aca="1" ref="BF494" ca="1">INDIRECT("'"&amp;$C494&amp;"'!"&amp;"$"&amp;$D494&amp;$BF$1&amp;"")</f>
        <v>14.26</v>
      </c>
      <c r="BG494" s="288">
        <v>0.98</v>
      </c>
      <c r="BH494" s="286">
        <v>3.37</v>
      </c>
      <c r="BI494" s="525">
        <v>68.099999999999994</v>
      </c>
      <c r="BJ494" s="285" cm="1">
        <f t="array" aca="1" ref="BJ494" ca="1">INDIRECT("'"&amp;$C494&amp;"'!"&amp;"$"&amp;$D494&amp;$BI$1&amp;"")</f>
        <v>1.5</v>
      </c>
      <c r="BK494" s="287">
        <v>0.95</v>
      </c>
      <c r="BL494" s="286">
        <v>0.47</v>
      </c>
      <c r="BM494" s="290" cm="1">
        <f t="array" aca="1" ref="BM494" ca="1">INDIRECT("'"&amp;$C494&amp;"'!"&amp;"$"&amp;$D494&amp;$BM$1&amp;"")</f>
        <v>1.26</v>
      </c>
      <c r="BN494" s="288"/>
      <c r="BO494" s="288">
        <v>0.99</v>
      </c>
      <c r="BP494" s="286">
        <v>0.19</v>
      </c>
      <c r="BQ494" s="291" cm="1">
        <f t="array" aca="1" ref="BQ494" ca="1">INDIRECT("'"&amp;$C494&amp;"'!"&amp;"$"&amp;$D494&amp;$BQ$1&amp;"")</f>
        <v>0.78</v>
      </c>
      <c r="BR494" s="288"/>
      <c r="BS494" s="288">
        <v>0.96</v>
      </c>
      <c r="BT494" s="286">
        <v>0.23</v>
      </c>
      <c r="BU494" s="291" cm="1">
        <f t="array" aca="1" ref="BU494" ca="1">INDIRECT("'"&amp;$C494&amp;"'!"&amp;"$"&amp;$D494&amp;74&amp;"")</f>
        <v>0</v>
      </c>
      <c r="BV494" s="288"/>
      <c r="BW494" s="288" t="s">
        <v>1</v>
      </c>
      <c r="BX494" s="286" t="s">
        <v>1</v>
      </c>
    </row>
    <row r="495" spans="1:76">
      <c r="A495" s="459">
        <v>45858</v>
      </c>
      <c r="B495" s="345">
        <v>0.625</v>
      </c>
      <c r="C495" s="305">
        <v>20</v>
      </c>
      <c r="D495" s="306" t="s">
        <v>157</v>
      </c>
      <c r="E495" s="278">
        <v>14.2</v>
      </c>
      <c r="F495" s="279">
        <v>69.23</v>
      </c>
      <c r="G495" s="280" t="str" cm="1">
        <f t="array" aca="1" ref="G495" ca="1">INDIRECT("'"&amp;$C495&amp;"'!"&amp;"$"&amp;$D495&amp;$E$1&amp;"")</f>
        <v>CMS</v>
      </c>
      <c r="H495" s="281" t="s">
        <v>1</v>
      </c>
      <c r="I495" s="279" t="s">
        <v>1</v>
      </c>
      <c r="J495" s="280" cm="1">
        <f t="array" aca="1" ref="J495" ca="1">INDIRECT("'"&amp;$C495&amp;"'!"&amp;"$"&amp;$D495&amp;$J$1&amp;"")</f>
        <v>6.7</v>
      </c>
      <c r="K495" s="281"/>
      <c r="L495" s="281">
        <v>0.93</v>
      </c>
      <c r="M495" s="282">
        <v>2.57</v>
      </c>
      <c r="N495" s="278" cm="1">
        <f t="array" aca="1" ref="N495" ca="1">INDIRECT("'"&amp;$C495&amp;"'!"&amp;"$"&amp;$D495&amp;$N$1&amp;"")</f>
        <v>6.7</v>
      </c>
      <c r="O495" s="281"/>
      <c r="P495" s="281">
        <v>0.93</v>
      </c>
      <c r="Q495" s="279">
        <v>2.57</v>
      </c>
      <c r="R495" s="468" cm="1">
        <f t="array" aca="1" ref="R495" ca="1">INDIRECT("'"&amp;$C495&amp;"'!"&amp;"$"&amp;$D495&amp;$R$1&amp;"")</f>
        <v>6.7</v>
      </c>
      <c r="S495" s="281"/>
      <c r="T495" s="281">
        <v>0.93</v>
      </c>
      <c r="U495" s="279">
        <v>2.57</v>
      </c>
      <c r="V495" s="280" cm="1">
        <f t="array" aca="1" ref="V495" ca="1">INDIRECT("'"&amp;$C495&amp;"'!"&amp;"$"&amp;$D495&amp;$V$1&amp;"")</f>
        <v>2.8</v>
      </c>
      <c r="W495" s="281">
        <f>3.45*3.8</f>
        <v>13.11</v>
      </c>
      <c r="X495" s="281">
        <v>0.92</v>
      </c>
      <c r="Y495" s="282">
        <v>1.1299999999999999</v>
      </c>
      <c r="Z495" s="278" t="str" cm="1">
        <f t="array" aca="1" ref="Z495" ca="1">INDIRECT("'"&amp;$C495&amp;"'!"&amp;"$"&amp;$D495&amp;$Z$1&amp;"")</f>
        <v>CMS</v>
      </c>
      <c r="AA495" s="281" t="s">
        <v>1</v>
      </c>
      <c r="AB495" s="281" t="s">
        <v>1</v>
      </c>
      <c r="AC495" s="279" t="s">
        <v>1</v>
      </c>
      <c r="AD495" s="280" t="str" cm="1">
        <f t="array" aca="1" ref="AD495" ca="1">INDIRECT("'"&amp;$C495&amp;"'!"&amp;"$"&amp;$D495&amp;$AD$1&amp;"")</f>
        <v>CMS</v>
      </c>
      <c r="AE495" s="281" t="s">
        <v>1</v>
      </c>
      <c r="AF495" s="281" t="s">
        <v>1</v>
      </c>
      <c r="AG495" s="279" t="s">
        <v>1</v>
      </c>
      <c r="AH495" s="278" cm="1">
        <f t="array" aca="1" ref="AH495" ca="1">INDIRECT("'"&amp;$C495&amp;"'!"&amp;"$"&amp;$D495&amp;$AH$1&amp;"")</f>
        <v>0</v>
      </c>
      <c r="AI495" s="281" t="s">
        <v>1</v>
      </c>
      <c r="AJ495" s="281" t="s">
        <v>1</v>
      </c>
      <c r="AK495" s="279" t="s">
        <v>1</v>
      </c>
      <c r="AL495" s="278">
        <v>11.6</v>
      </c>
      <c r="AM495" s="282">
        <v>70.8</v>
      </c>
      <c r="AN495" s="278" cm="1">
        <f t="array" aca="1" ref="AN495" ca="1">INDIRECT("'"&amp;$C495&amp;"'!"&amp;"$"&amp;$D495&amp;$AL$1&amp;"")</f>
        <v>0</v>
      </c>
      <c r="AO495" s="281" t="s">
        <v>1</v>
      </c>
      <c r="AP495" s="279" t="s">
        <v>1</v>
      </c>
      <c r="AQ495" s="280" cm="1">
        <f t="array" aca="1" ref="AQ495" ca="1">INDIRECT("'"&amp;$C495&amp;"'!"&amp;"$"&amp;$D495&amp;$AQ$1&amp;"")</f>
        <v>3.8</v>
      </c>
      <c r="AR495" s="281">
        <v>0.99</v>
      </c>
      <c r="AS495" s="279">
        <v>0.52</v>
      </c>
      <c r="AT495" s="278">
        <v>13.92</v>
      </c>
      <c r="AU495" s="282">
        <v>70.7</v>
      </c>
      <c r="AV495" s="281" cm="1">
        <f t="array" aca="1" ref="AV495" ca="1">INDIRECT("'"&amp;$C495&amp;"'!"&amp;"$"&amp;$D495&amp;$AV$1&amp;"")</f>
        <v>0</v>
      </c>
      <c r="AW495" s="280">
        <v>13.7</v>
      </c>
      <c r="AX495" s="281" t="s">
        <v>1</v>
      </c>
      <c r="AY495" s="279" t="s">
        <v>1</v>
      </c>
      <c r="AZ495" s="281" cm="1">
        <f t="array" aca="1" ref="AZ495" ca="1">INDIRECT("'"&amp;$C495&amp;"'!"&amp;"$"&amp;$D495&amp;$AZ$1&amp;"")</f>
        <v>7</v>
      </c>
      <c r="BA495" s="280">
        <v>13.7</v>
      </c>
      <c r="BB495" s="281">
        <v>0.97</v>
      </c>
      <c r="BC495" s="279">
        <v>1.79</v>
      </c>
      <c r="BD495" s="283">
        <v>14.27</v>
      </c>
      <c r="BE495" s="282">
        <v>71.900000000000006</v>
      </c>
      <c r="BF495" s="283" cm="1">
        <f t="array" aca="1" ref="BF495" ca="1">INDIRECT("'"&amp;$C495&amp;"'!"&amp;"$"&amp;$D495&amp;$BF$1&amp;"")</f>
        <v>14.25</v>
      </c>
      <c r="BG495" s="281">
        <v>0.98</v>
      </c>
      <c r="BH495" s="279">
        <v>3.42</v>
      </c>
      <c r="BI495" s="524">
        <v>68</v>
      </c>
      <c r="BJ495" s="278" cm="1">
        <f t="array" aca="1" ref="BJ495" ca="1">INDIRECT("'"&amp;$C495&amp;"'!"&amp;"$"&amp;$D495&amp;$BI$1&amp;"")</f>
        <v>0</v>
      </c>
      <c r="BK495" s="280" t="s">
        <v>1</v>
      </c>
      <c r="BL495" s="279" t="s">
        <v>1</v>
      </c>
      <c r="BM495" s="283" cm="1">
        <f t="array" aca="1" ref="BM495" ca="1">INDIRECT("'"&amp;$C495&amp;"'!"&amp;"$"&amp;$D495&amp;$BM$1&amp;"")</f>
        <v>1.21</v>
      </c>
      <c r="BN495" s="281"/>
      <c r="BO495" s="281">
        <v>0.99</v>
      </c>
      <c r="BP495" s="279">
        <v>0.18</v>
      </c>
      <c r="BQ495" s="284" cm="1">
        <f t="array" aca="1" ref="BQ495" ca="1">INDIRECT("'"&amp;$C495&amp;"'!"&amp;"$"&amp;$D495&amp;$BQ$1&amp;"")</f>
        <v>0.61</v>
      </c>
      <c r="BR495" s="281"/>
      <c r="BS495" s="281">
        <v>0.96</v>
      </c>
      <c r="BT495" s="279">
        <v>0.18</v>
      </c>
      <c r="BU495" s="284" cm="1">
        <f t="array" aca="1" ref="BU495" ca="1">INDIRECT("'"&amp;$C495&amp;"'!"&amp;"$"&amp;$D495&amp;74&amp;"")</f>
        <v>0</v>
      </c>
      <c r="BV495" s="281"/>
      <c r="BW495" s="281" t="s">
        <v>1</v>
      </c>
      <c r="BX495" s="279" t="s">
        <v>1</v>
      </c>
    </row>
    <row r="496" spans="1:76">
      <c r="A496" s="459">
        <v>45858</v>
      </c>
      <c r="B496" s="345">
        <v>0.66666666666666696</v>
      </c>
      <c r="C496" s="305">
        <v>20</v>
      </c>
      <c r="D496" s="306" t="s">
        <v>158</v>
      </c>
      <c r="E496" s="285">
        <v>14.2</v>
      </c>
      <c r="F496" s="286">
        <v>69.14</v>
      </c>
      <c r="G496" s="287" t="str" cm="1">
        <f t="array" aca="1" ref="G496" ca="1">INDIRECT("'"&amp;$C496&amp;"'!"&amp;"$"&amp;$D496&amp;$E$1&amp;"")</f>
        <v>CMS</v>
      </c>
      <c r="H496" s="288" t="s">
        <v>1</v>
      </c>
      <c r="I496" s="286" t="s">
        <v>1</v>
      </c>
      <c r="J496" s="287" cm="1">
        <f t="array" aca="1" ref="J496" ca="1">INDIRECT("'"&amp;$C496&amp;"'!"&amp;"$"&amp;$D496&amp;$J$1&amp;"")</f>
        <v>6.5</v>
      </c>
      <c r="K496" s="288"/>
      <c r="L496" s="288">
        <v>0.93</v>
      </c>
      <c r="M496" s="289">
        <v>2.4900000000000002</v>
      </c>
      <c r="N496" s="285" cm="1">
        <f t="array" aca="1" ref="N496" ca="1">INDIRECT("'"&amp;$C496&amp;"'!"&amp;"$"&amp;$D496&amp;$N$1&amp;"")</f>
        <v>6.5</v>
      </c>
      <c r="O496" s="288"/>
      <c r="P496" s="288">
        <v>0.93</v>
      </c>
      <c r="Q496" s="286">
        <v>2.4900000000000002</v>
      </c>
      <c r="R496" s="469" cm="1">
        <f t="array" aca="1" ref="R496" ca="1">INDIRECT("'"&amp;$C496&amp;"'!"&amp;"$"&amp;$D496&amp;$R$1&amp;"")</f>
        <v>6.5</v>
      </c>
      <c r="S496" s="288"/>
      <c r="T496" s="288">
        <v>0.93</v>
      </c>
      <c r="U496" s="286">
        <v>2.4900000000000002</v>
      </c>
      <c r="V496" s="287" cm="1">
        <f t="array" aca="1" ref="V496" ca="1">INDIRECT("'"&amp;$C496&amp;"'!"&amp;"$"&amp;$D496&amp;$V$1&amp;"")</f>
        <v>2.8</v>
      </c>
      <c r="W496" s="288">
        <f>3.47*3.8</f>
        <v>13.186</v>
      </c>
      <c r="X496" s="288">
        <v>0.92</v>
      </c>
      <c r="Y496" s="289">
        <v>1.1599999999999999</v>
      </c>
      <c r="Z496" s="285" t="str" cm="1">
        <f t="array" aca="1" ref="Z496" ca="1">INDIRECT("'"&amp;$C496&amp;"'!"&amp;"$"&amp;$D496&amp;$Z$1&amp;"")</f>
        <v>CMS</v>
      </c>
      <c r="AA496" s="288" t="s">
        <v>1</v>
      </c>
      <c r="AB496" s="288" t="s">
        <v>1</v>
      </c>
      <c r="AC496" s="286" t="s">
        <v>1</v>
      </c>
      <c r="AD496" s="287" t="str" cm="1">
        <f t="array" aca="1" ref="AD496" ca="1">INDIRECT("'"&amp;$C496&amp;"'!"&amp;"$"&amp;$D496&amp;$AD$1&amp;"")</f>
        <v>CMS</v>
      </c>
      <c r="AE496" s="288" t="s">
        <v>1</v>
      </c>
      <c r="AF496" s="288" t="s">
        <v>1</v>
      </c>
      <c r="AG496" s="289" t="s">
        <v>1</v>
      </c>
      <c r="AH496" s="285" cm="1">
        <f t="array" aca="1" ref="AH496" ca="1">INDIRECT("'"&amp;$C496&amp;"'!"&amp;"$"&amp;$D496&amp;$AH$1&amp;"")</f>
        <v>0</v>
      </c>
      <c r="AI496" s="288" t="s">
        <v>1</v>
      </c>
      <c r="AJ496" s="288" t="s">
        <v>1</v>
      </c>
      <c r="AK496" s="286" t="s">
        <v>1</v>
      </c>
      <c r="AL496" s="285">
        <v>11.6</v>
      </c>
      <c r="AM496" s="289">
        <v>70.8</v>
      </c>
      <c r="AN496" s="285" cm="1">
        <f t="array" aca="1" ref="AN496" ca="1">INDIRECT("'"&amp;$C496&amp;"'!"&amp;"$"&amp;$D496&amp;$AL$1&amp;"")</f>
        <v>0</v>
      </c>
      <c r="AO496" s="288" t="s">
        <v>1</v>
      </c>
      <c r="AP496" s="286" t="s">
        <v>1</v>
      </c>
      <c r="AQ496" s="287" cm="1">
        <f t="array" aca="1" ref="AQ496" ca="1">INDIRECT("'"&amp;$C496&amp;"'!"&amp;"$"&amp;$D496&amp;$AQ$1&amp;"")</f>
        <v>3.8</v>
      </c>
      <c r="AR496" s="288">
        <v>0.99</v>
      </c>
      <c r="AS496" s="286">
        <v>0.48</v>
      </c>
      <c r="AT496" s="285">
        <v>13.92</v>
      </c>
      <c r="AU496" s="289">
        <v>70.7</v>
      </c>
      <c r="AV496" s="288" cm="1">
        <f t="array" aca="1" ref="AV496" ca="1">INDIRECT("'"&amp;$C496&amp;"'!"&amp;"$"&amp;$D496&amp;$AV$1&amp;"")</f>
        <v>0</v>
      </c>
      <c r="AW496" s="287" t="s">
        <v>1</v>
      </c>
      <c r="AX496" s="288" t="s">
        <v>1</v>
      </c>
      <c r="AY496" s="286" t="s">
        <v>1</v>
      </c>
      <c r="AZ496" s="288" cm="1">
        <f t="array" aca="1" ref="AZ496" ca="1">INDIRECT("'"&amp;$C496&amp;"'!"&amp;"$"&amp;$D496&amp;$AZ$1&amp;"")</f>
        <v>7</v>
      </c>
      <c r="BA496" s="287" t="s">
        <v>1</v>
      </c>
      <c r="BB496" s="288">
        <v>0.97</v>
      </c>
      <c r="BC496" s="286">
        <v>1.7</v>
      </c>
      <c r="BD496" s="290">
        <v>14.29</v>
      </c>
      <c r="BE496" s="289">
        <v>71.98</v>
      </c>
      <c r="BF496" s="290" cm="1">
        <f t="array" aca="1" ref="BF496" ca="1">INDIRECT("'"&amp;$C496&amp;"'!"&amp;"$"&amp;$D496&amp;$BF$1&amp;"")</f>
        <v>14.26</v>
      </c>
      <c r="BG496" s="288">
        <v>0.98</v>
      </c>
      <c r="BH496" s="286">
        <v>3.38</v>
      </c>
      <c r="BI496" s="525">
        <v>67.900000000000006</v>
      </c>
      <c r="BJ496" s="285" cm="1">
        <f t="array" aca="1" ref="BJ496" ca="1">INDIRECT("'"&amp;$C496&amp;"'!"&amp;"$"&amp;$D496&amp;$BI$1&amp;"")</f>
        <v>0</v>
      </c>
      <c r="BK496" s="287" t="s">
        <v>1</v>
      </c>
      <c r="BL496" s="286" t="s">
        <v>1</v>
      </c>
      <c r="BM496" s="290" cm="1">
        <f t="array" aca="1" ref="BM496" ca="1">INDIRECT("'"&amp;$C496&amp;"'!"&amp;"$"&amp;$D496&amp;$BM$1&amp;"")</f>
        <v>1.1599999999999999</v>
      </c>
      <c r="BN496" s="288"/>
      <c r="BO496" s="288">
        <v>0.99</v>
      </c>
      <c r="BP496" s="286">
        <v>0.17</v>
      </c>
      <c r="BQ496" s="291" cm="1">
        <f t="array" aca="1" ref="BQ496" ca="1">INDIRECT("'"&amp;$C496&amp;"'!"&amp;"$"&amp;$D496&amp;$BQ$1&amp;"")</f>
        <v>0</v>
      </c>
      <c r="BR496" s="288"/>
      <c r="BS496" s="288" t="s">
        <v>1</v>
      </c>
      <c r="BT496" s="286" t="s">
        <v>1</v>
      </c>
      <c r="BU496" s="291" cm="1">
        <f t="array" aca="1" ref="BU496" ca="1">INDIRECT("'"&amp;$C496&amp;"'!"&amp;"$"&amp;$D496&amp;74&amp;"")</f>
        <v>0</v>
      </c>
      <c r="BV496" s="288"/>
      <c r="BW496" s="288" t="s">
        <v>1</v>
      </c>
      <c r="BX496" s="286" t="s">
        <v>1</v>
      </c>
    </row>
    <row r="497" spans="1:76">
      <c r="A497" s="459">
        <v>45858</v>
      </c>
      <c r="B497" s="345">
        <v>0.70833333333333404</v>
      </c>
      <c r="C497" s="305">
        <v>20</v>
      </c>
      <c r="D497" s="306" t="s">
        <v>159</v>
      </c>
      <c r="E497" s="278">
        <v>14.2</v>
      </c>
      <c r="F497" s="279">
        <v>69.260000000000005</v>
      </c>
      <c r="G497" s="280" t="str" cm="1">
        <f t="array" aca="1" ref="G497" ca="1">INDIRECT("'"&amp;$C497&amp;"'!"&amp;"$"&amp;$D497&amp;$E$1&amp;"")</f>
        <v>CMS</v>
      </c>
      <c r="H497" s="281" t="s">
        <v>1</v>
      </c>
      <c r="I497" s="279" t="s">
        <v>1</v>
      </c>
      <c r="J497" s="280" cm="1">
        <f t="array" aca="1" ref="J497" ca="1">INDIRECT("'"&amp;$C497&amp;"'!"&amp;"$"&amp;$D497&amp;$J$1&amp;"")</f>
        <v>6.6</v>
      </c>
      <c r="K497" s="281"/>
      <c r="L497" s="281">
        <v>0.93</v>
      </c>
      <c r="M497" s="282">
        <v>2.5499999999999998</v>
      </c>
      <c r="N497" s="278" cm="1">
        <f t="array" aca="1" ref="N497" ca="1">INDIRECT("'"&amp;$C497&amp;"'!"&amp;"$"&amp;$D497&amp;$N$1&amp;"")</f>
        <v>6.6</v>
      </c>
      <c r="O497" s="281"/>
      <c r="P497" s="281">
        <v>0.93</v>
      </c>
      <c r="Q497" s="279">
        <v>2.5499999999999998</v>
      </c>
      <c r="R497" s="468" cm="1">
        <f t="array" aca="1" ref="R497" ca="1">INDIRECT("'"&amp;$C497&amp;"'!"&amp;"$"&amp;$D497&amp;$R$1&amp;"")</f>
        <v>6.6</v>
      </c>
      <c r="S497" s="281"/>
      <c r="T497" s="281">
        <v>0.93</v>
      </c>
      <c r="U497" s="279">
        <v>2.5499999999999998</v>
      </c>
      <c r="V497" s="280" cm="1">
        <f t="array" aca="1" ref="V497" ca="1">INDIRECT("'"&amp;$C497&amp;"'!"&amp;"$"&amp;$D497&amp;$V$1&amp;"")</f>
        <v>2</v>
      </c>
      <c r="W497" s="281">
        <f>3.46*3.8</f>
        <v>13.148</v>
      </c>
      <c r="X497" s="281">
        <v>0.92</v>
      </c>
      <c r="Y497" s="282">
        <v>1.0900000000000001</v>
      </c>
      <c r="Z497" s="278" t="str" cm="1">
        <f t="array" aca="1" ref="Z497" ca="1">INDIRECT("'"&amp;$C497&amp;"'!"&amp;"$"&amp;$D497&amp;$Z$1&amp;"")</f>
        <v>CMS</v>
      </c>
      <c r="AA497" s="281" t="s">
        <v>1</v>
      </c>
      <c r="AB497" s="281" t="s">
        <v>1</v>
      </c>
      <c r="AC497" s="279" t="s">
        <v>1</v>
      </c>
      <c r="AD497" s="280" t="str" cm="1">
        <f t="array" aca="1" ref="AD497" ca="1">INDIRECT("'"&amp;$C497&amp;"'!"&amp;"$"&amp;$D497&amp;$AD$1&amp;"")</f>
        <v>CMS</v>
      </c>
      <c r="AE497" s="281" t="s">
        <v>1</v>
      </c>
      <c r="AF497" s="281" t="s">
        <v>1</v>
      </c>
      <c r="AG497" s="282" t="s">
        <v>1</v>
      </c>
      <c r="AH497" s="278" cm="1">
        <f t="array" aca="1" ref="AH497" ca="1">INDIRECT("'"&amp;$C497&amp;"'!"&amp;"$"&amp;$D497&amp;$AH$1&amp;"")</f>
        <v>0</v>
      </c>
      <c r="AI497" s="281" t="s">
        <v>1</v>
      </c>
      <c r="AJ497" s="281" t="s">
        <v>1</v>
      </c>
      <c r="AK497" s="279" t="s">
        <v>1</v>
      </c>
      <c r="AL497" s="278">
        <v>11.6</v>
      </c>
      <c r="AM497" s="282">
        <v>70.7</v>
      </c>
      <c r="AN497" s="278" cm="1">
        <f t="array" aca="1" ref="AN497" ca="1">INDIRECT("'"&amp;$C497&amp;"'!"&amp;"$"&amp;$D497&amp;$AL$1&amp;"")</f>
        <v>0</v>
      </c>
      <c r="AO497" s="281" t="s">
        <v>1</v>
      </c>
      <c r="AP497" s="279" t="s">
        <v>1</v>
      </c>
      <c r="AQ497" s="280" cm="1">
        <f t="array" aca="1" ref="AQ497" ca="1">INDIRECT("'"&amp;$C497&amp;"'!"&amp;"$"&amp;$D497&amp;$AQ$1&amp;"")</f>
        <v>3.8</v>
      </c>
      <c r="AR497" s="281">
        <v>0.98</v>
      </c>
      <c r="AS497" s="279">
        <v>0.65</v>
      </c>
      <c r="AT497" s="278">
        <v>13.92</v>
      </c>
      <c r="AU497" s="282">
        <v>70.7</v>
      </c>
      <c r="AV497" s="281" cm="1">
        <f t="array" aca="1" ref="AV497" ca="1">INDIRECT("'"&amp;$C497&amp;"'!"&amp;"$"&amp;$D497&amp;$AV$1&amp;"")</f>
        <v>0</v>
      </c>
      <c r="AW497" s="280" t="s">
        <v>1</v>
      </c>
      <c r="AX497" s="281" t="s">
        <v>1</v>
      </c>
      <c r="AY497" s="279" t="s">
        <v>1</v>
      </c>
      <c r="AZ497" s="281" cm="1">
        <f t="array" aca="1" ref="AZ497" ca="1">INDIRECT("'"&amp;$C497&amp;"'!"&amp;"$"&amp;$D497&amp;$AZ$1&amp;"")</f>
        <v>7</v>
      </c>
      <c r="BA497" s="280" t="s">
        <v>1</v>
      </c>
      <c r="BB497" s="281">
        <v>0.96</v>
      </c>
      <c r="BC497" s="279">
        <v>2.02</v>
      </c>
      <c r="BD497" s="283">
        <v>14.15</v>
      </c>
      <c r="BE497" s="282">
        <v>71.7</v>
      </c>
      <c r="BF497" s="283" cm="1">
        <f t="array" aca="1" ref="BF497" ca="1">INDIRECT("'"&amp;$C497&amp;"'!"&amp;"$"&amp;$D497&amp;$BF$1&amp;"")</f>
        <v>14.27</v>
      </c>
      <c r="BG497" s="281">
        <v>0.99</v>
      </c>
      <c r="BH497" s="279">
        <v>2.34</v>
      </c>
      <c r="BI497" s="524">
        <v>68</v>
      </c>
      <c r="BJ497" s="278" cm="1">
        <f t="array" aca="1" ref="BJ497" ca="1">INDIRECT("'"&amp;$C497&amp;"'!"&amp;"$"&amp;$D497&amp;$BI$1&amp;"")</f>
        <v>0</v>
      </c>
      <c r="BK497" s="280" t="s">
        <v>1</v>
      </c>
      <c r="BL497" s="279" t="s">
        <v>1</v>
      </c>
      <c r="BM497" s="283" cm="1">
        <f t="array" aca="1" ref="BM497" ca="1">INDIRECT("'"&amp;$C497&amp;"'!"&amp;"$"&amp;$D497&amp;$BM$1&amp;"")</f>
        <v>1.1399999999999999</v>
      </c>
      <c r="BN497" s="281"/>
      <c r="BO497" s="281">
        <v>0.99</v>
      </c>
      <c r="BP497" s="279">
        <v>0.16</v>
      </c>
      <c r="BQ497" s="284" cm="1">
        <f t="array" aca="1" ref="BQ497" ca="1">INDIRECT("'"&amp;$C497&amp;"'!"&amp;"$"&amp;$D497&amp;$BQ$1&amp;"")</f>
        <v>0.61</v>
      </c>
      <c r="BR497" s="281"/>
      <c r="BS497" s="281">
        <v>0.96</v>
      </c>
      <c r="BT497" s="279">
        <v>0.19</v>
      </c>
      <c r="BU497" s="284" cm="1">
        <f t="array" aca="1" ref="BU497" ca="1">INDIRECT("'"&amp;$C497&amp;"'!"&amp;"$"&amp;$D497&amp;74&amp;"")</f>
        <v>0</v>
      </c>
      <c r="BV497" s="281"/>
      <c r="BW497" s="281" t="s">
        <v>1</v>
      </c>
      <c r="BX497" s="279" t="s">
        <v>1</v>
      </c>
    </row>
    <row r="498" spans="1:76">
      <c r="A498" s="459">
        <v>45858</v>
      </c>
      <c r="B498" s="345">
        <v>0.750000000000001</v>
      </c>
      <c r="C498" s="305">
        <v>20</v>
      </c>
      <c r="D498" s="306" t="s">
        <v>160</v>
      </c>
      <c r="E498" s="285">
        <v>14.2</v>
      </c>
      <c r="F498" s="286">
        <v>69.5</v>
      </c>
      <c r="G498" s="287" t="str" cm="1">
        <f t="array" aca="1" ref="G498" ca="1">INDIRECT("'"&amp;$C498&amp;"'!"&amp;"$"&amp;$D498&amp;$E$1&amp;"")</f>
        <v>CMS</v>
      </c>
      <c r="H498" s="288" t="s">
        <v>1</v>
      </c>
      <c r="I498" s="286" t="s">
        <v>1</v>
      </c>
      <c r="J498" s="287" cm="1">
        <f t="array" aca="1" ref="J498" ca="1">INDIRECT("'"&amp;$C498&amp;"'!"&amp;"$"&amp;$D498&amp;$J$1&amp;"")</f>
        <v>6.7</v>
      </c>
      <c r="K498" s="288"/>
      <c r="L498" s="288">
        <v>0.93</v>
      </c>
      <c r="M498" s="289">
        <v>2.5499999999999998</v>
      </c>
      <c r="N498" s="285" cm="1">
        <f t="array" aca="1" ref="N498" ca="1">INDIRECT("'"&amp;$C498&amp;"'!"&amp;"$"&amp;$D498&amp;$N$1&amp;"")</f>
        <v>6.7</v>
      </c>
      <c r="O498" s="288"/>
      <c r="P498" s="288">
        <v>0.93</v>
      </c>
      <c r="Q498" s="286">
        <v>2.5499999999999998</v>
      </c>
      <c r="R498" s="285" cm="1">
        <f t="array" aca="1" ref="R498" ca="1">INDIRECT("'"&amp;$C498&amp;"'!"&amp;"$"&amp;$D498&amp;$R$1&amp;"")</f>
        <v>6.7</v>
      </c>
      <c r="S498" s="288"/>
      <c r="T498" s="288">
        <v>0.93</v>
      </c>
      <c r="U498" s="286">
        <v>2.5499999999999998</v>
      </c>
      <c r="V498" s="287" cm="1">
        <f t="array" aca="1" ref="V498" ca="1">INDIRECT("'"&amp;$C498&amp;"'!"&amp;"$"&amp;$D498&amp;$V$1&amp;"")</f>
        <v>1.5</v>
      </c>
      <c r="W498" s="288">
        <f>3.8*3.49</f>
        <v>13.262</v>
      </c>
      <c r="X498" s="288">
        <v>0.94</v>
      </c>
      <c r="Y498" s="289">
        <v>0.90400000000000003</v>
      </c>
      <c r="Z498" s="285" t="str" cm="1">
        <f t="array" aca="1" ref="Z498" ca="1">INDIRECT("'"&amp;$C498&amp;"'!"&amp;"$"&amp;$D498&amp;$Z$1&amp;"")</f>
        <v>CMS</v>
      </c>
      <c r="AA498" s="288" t="s">
        <v>1</v>
      </c>
      <c r="AB498" s="288" t="s">
        <v>1</v>
      </c>
      <c r="AC498" s="286" t="s">
        <v>1</v>
      </c>
      <c r="AD498" s="287" cm="1">
        <f t="array" aca="1" ref="AD498" ca="1">INDIRECT("'"&amp;$C498&amp;"'!"&amp;"$"&amp;$D498&amp;$AD$1&amp;"")</f>
        <v>1.3</v>
      </c>
      <c r="AE498" s="288">
        <f>3.8*3.49</f>
        <v>13.262</v>
      </c>
      <c r="AF498" s="288">
        <v>0.96</v>
      </c>
      <c r="AG498" s="289">
        <v>0.61</v>
      </c>
      <c r="AH498" s="285" cm="1">
        <f t="array" aca="1" ref="AH498" ca="1">INDIRECT("'"&amp;$C498&amp;"'!"&amp;"$"&amp;$D498&amp;$AH$1&amp;"")</f>
        <v>0</v>
      </c>
      <c r="AI498" s="288" t="s">
        <v>1</v>
      </c>
      <c r="AJ498" s="288" t="s">
        <v>1</v>
      </c>
      <c r="AK498" s="286" t="s">
        <v>1</v>
      </c>
      <c r="AL498" s="285">
        <v>11.6</v>
      </c>
      <c r="AM498" s="289">
        <v>70.7</v>
      </c>
      <c r="AN498" s="285" cm="1">
        <f t="array" aca="1" ref="AN498" ca="1">INDIRECT("'"&amp;$C498&amp;"'!"&amp;"$"&amp;$D498&amp;$AL$1&amp;"")</f>
        <v>0</v>
      </c>
      <c r="AO498" s="288" t="s">
        <v>1</v>
      </c>
      <c r="AP498" s="286" t="s">
        <v>1</v>
      </c>
      <c r="AQ498" s="287" cm="1">
        <f t="array" aca="1" ref="AQ498" ca="1">INDIRECT("'"&amp;$C498&amp;"'!"&amp;"$"&amp;$D498&amp;$AQ$1&amp;"")</f>
        <v>3.8</v>
      </c>
      <c r="AR498" s="288">
        <v>0.98</v>
      </c>
      <c r="AS498" s="286">
        <v>0.56000000000000005</v>
      </c>
      <c r="AT498" s="285">
        <v>13.92</v>
      </c>
      <c r="AU498" s="289">
        <v>70.7</v>
      </c>
      <c r="AV498" s="288" cm="1">
        <f t="array" aca="1" ref="AV498" ca="1">INDIRECT("'"&amp;$C498&amp;"'!"&amp;"$"&amp;$D498&amp;$AV$1&amp;"")</f>
        <v>0</v>
      </c>
      <c r="AW498" s="287" t="s">
        <v>1</v>
      </c>
      <c r="AX498" s="288" t="s">
        <v>1</v>
      </c>
      <c r="AY498" s="286" t="s">
        <v>1</v>
      </c>
      <c r="AZ498" s="288" cm="1">
        <f t="array" aca="1" ref="AZ498" ca="1">INDIRECT("'"&amp;$C498&amp;"'!"&amp;"$"&amp;$D498&amp;$AZ$1&amp;"")</f>
        <v>7</v>
      </c>
      <c r="BA498" s="287" t="s">
        <v>1</v>
      </c>
      <c r="BB498" s="288">
        <v>0.96</v>
      </c>
      <c r="BC498" s="286">
        <v>1.88</v>
      </c>
      <c r="BD498" s="290">
        <v>14.09</v>
      </c>
      <c r="BE498" s="289">
        <v>71.47</v>
      </c>
      <c r="BF498" s="290" cm="1">
        <f t="array" aca="1" ref="BF498" ca="1">INDIRECT("'"&amp;$C498&amp;"'!"&amp;"$"&amp;$D498&amp;$BF$1&amp;"")</f>
        <v>14.27</v>
      </c>
      <c r="BG498" s="288">
        <v>0.99</v>
      </c>
      <c r="BH498" s="286">
        <v>2.3199999999999998</v>
      </c>
      <c r="BI498" s="525">
        <v>68.2</v>
      </c>
      <c r="BJ498" s="285" cm="1">
        <f t="array" aca="1" ref="BJ498" ca="1">INDIRECT("'"&amp;$C498&amp;"'!"&amp;"$"&amp;$D498&amp;$BI$1&amp;"")</f>
        <v>0.8</v>
      </c>
      <c r="BK498" s="287">
        <v>0.96</v>
      </c>
      <c r="BL498" s="286">
        <v>0.24</v>
      </c>
      <c r="BM498" s="290" cm="1">
        <f t="array" aca="1" ref="BM498" ca="1">INDIRECT("'"&amp;$C498&amp;"'!"&amp;"$"&amp;$D498&amp;$BM$1&amp;"")</f>
        <v>1.23</v>
      </c>
      <c r="BN498" s="288"/>
      <c r="BO498" s="288">
        <v>0.99</v>
      </c>
      <c r="BP498" s="286">
        <v>0.17</v>
      </c>
      <c r="BQ498" s="291" cm="1">
        <f t="array" aca="1" ref="BQ498" ca="1">INDIRECT("'"&amp;$C498&amp;"'!"&amp;"$"&amp;$D498&amp;$BQ$1&amp;"")</f>
        <v>0.92</v>
      </c>
      <c r="BR498" s="288"/>
      <c r="BS498" s="288">
        <v>0.96</v>
      </c>
      <c r="BT498" s="286">
        <v>0.25</v>
      </c>
      <c r="BU498" s="291" cm="1">
        <f t="array" aca="1" ref="BU498" ca="1">INDIRECT("'"&amp;$C498&amp;"'!"&amp;"$"&amp;$D498&amp;74&amp;"")</f>
        <v>0</v>
      </c>
      <c r="BV498" s="288"/>
      <c r="BW498" s="288" t="s">
        <v>1</v>
      </c>
      <c r="BX498" s="286" t="s">
        <v>1</v>
      </c>
    </row>
    <row r="499" spans="1:76">
      <c r="A499" s="459">
        <v>45858</v>
      </c>
      <c r="B499" s="345">
        <v>0.79166666666666696</v>
      </c>
      <c r="C499" s="305">
        <v>20</v>
      </c>
      <c r="D499" s="306" t="s">
        <v>161</v>
      </c>
      <c r="E499" s="278">
        <v>14.2</v>
      </c>
      <c r="F499" s="279">
        <v>69.33</v>
      </c>
      <c r="G499" s="280" t="str" cm="1">
        <f t="array" aca="1" ref="G499" ca="1">INDIRECT("'"&amp;$C499&amp;"'!"&amp;"$"&amp;$D499&amp;$E$1&amp;"")</f>
        <v>CMS</v>
      </c>
      <c r="H499" s="281" t="s">
        <v>1</v>
      </c>
      <c r="I499" s="279" t="s">
        <v>1</v>
      </c>
      <c r="J499" s="280" cm="1">
        <f t="array" aca="1" ref="J499" ca="1">INDIRECT("'"&amp;$C499&amp;"'!"&amp;"$"&amp;$D499&amp;$J$1&amp;"")</f>
        <v>6.5</v>
      </c>
      <c r="K499" s="292"/>
      <c r="L499" s="281">
        <v>0.94</v>
      </c>
      <c r="M499" s="282">
        <v>2.29</v>
      </c>
      <c r="N499" s="278" cm="1">
        <f t="array" aca="1" ref="N499" ca="1">INDIRECT("'"&amp;$C499&amp;"'!"&amp;"$"&amp;$D499&amp;$N$1&amp;"")</f>
        <v>6.5</v>
      </c>
      <c r="O499" s="281"/>
      <c r="P499" s="281">
        <v>0.94</v>
      </c>
      <c r="Q499" s="279">
        <v>2.29</v>
      </c>
      <c r="R499" s="468" cm="1">
        <f t="array" aca="1" ref="R499" ca="1">INDIRECT("'"&amp;$C499&amp;"'!"&amp;"$"&amp;$D499&amp;$R$1&amp;"")</f>
        <v>6.5</v>
      </c>
      <c r="S499" s="281"/>
      <c r="T499" s="281">
        <v>0.94</v>
      </c>
      <c r="U499" s="279">
        <v>2.29</v>
      </c>
      <c r="V499" s="280" cm="1">
        <f t="array" aca="1" ref="V499" ca="1">INDIRECT("'"&amp;$C499&amp;"'!"&amp;"$"&amp;$D499&amp;$V$1&amp;"")</f>
        <v>1</v>
      </c>
      <c r="W499" s="281">
        <f>3.8*3.51</f>
        <v>13.337999999999999</v>
      </c>
      <c r="X499" s="281">
        <v>0.95</v>
      </c>
      <c r="Y499" s="282">
        <v>0.62</v>
      </c>
      <c r="Z499" s="278" t="str" cm="1">
        <f t="array" aca="1" ref="Z499" ca="1">INDIRECT("'"&amp;$C499&amp;"'!"&amp;"$"&amp;$D499&amp;$Z$1&amp;"")</f>
        <v>CMS</v>
      </c>
      <c r="AA499" s="281" t="s">
        <v>1</v>
      </c>
      <c r="AB499" s="281" t="s">
        <v>1</v>
      </c>
      <c r="AC499" s="279" t="s">
        <v>1</v>
      </c>
      <c r="AD499" s="280" cm="1">
        <f t="array" aca="1" ref="AD499" ca="1">INDIRECT("'"&amp;$C499&amp;"'!"&amp;"$"&amp;$D499&amp;$AD$1&amp;"")</f>
        <v>1.8</v>
      </c>
      <c r="AE499" s="281">
        <f>3.8*3.51</f>
        <v>13.337999999999999</v>
      </c>
      <c r="AF499" s="281">
        <v>0.97</v>
      </c>
      <c r="AG499" s="282">
        <v>0.76</v>
      </c>
      <c r="AH499" s="278" cm="1">
        <f t="array" aca="1" ref="AH499" ca="1">INDIRECT("'"&amp;$C499&amp;"'!"&amp;"$"&amp;$D499&amp;$AH$1&amp;"")</f>
        <v>3.5</v>
      </c>
      <c r="AI499" s="281">
        <v>14.04</v>
      </c>
      <c r="AJ499" s="281">
        <v>0.99</v>
      </c>
      <c r="AK499" s="279">
        <v>0.113</v>
      </c>
      <c r="AL499" s="278">
        <v>11.6</v>
      </c>
      <c r="AM499" s="282">
        <v>70.7</v>
      </c>
      <c r="AN499" s="278" cm="1">
        <f t="array" aca="1" ref="AN499" ca="1">INDIRECT("'"&amp;$C499&amp;"'!"&amp;"$"&amp;$D499&amp;$AL$1&amp;"")</f>
        <v>0</v>
      </c>
      <c r="AO499" s="281" t="s">
        <v>1</v>
      </c>
      <c r="AP499" s="279" t="s">
        <v>1</v>
      </c>
      <c r="AQ499" s="280" cm="1">
        <f t="array" aca="1" ref="AQ499" ca="1">INDIRECT("'"&amp;$C499&amp;"'!"&amp;"$"&amp;$D499&amp;$AQ$1&amp;"")</f>
        <v>3.7</v>
      </c>
      <c r="AR499" s="281">
        <v>0.99</v>
      </c>
      <c r="AS499" s="279">
        <v>0.47</v>
      </c>
      <c r="AT499" s="278">
        <v>13.93</v>
      </c>
      <c r="AU499" s="282">
        <v>70.7</v>
      </c>
      <c r="AV499" s="281" cm="1">
        <f t="array" aca="1" ref="AV499" ca="1">INDIRECT("'"&amp;$C499&amp;"'!"&amp;"$"&amp;$D499&amp;$AV$1&amp;"")</f>
        <v>0</v>
      </c>
      <c r="AW499" s="280">
        <v>13.7</v>
      </c>
      <c r="AX499" s="281" t="s">
        <v>1</v>
      </c>
      <c r="AY499" s="279" t="s">
        <v>1</v>
      </c>
      <c r="AZ499" s="281" cm="1">
        <f t="array" aca="1" ref="AZ499" ca="1">INDIRECT("'"&amp;$C499&amp;"'!"&amp;"$"&amp;$D499&amp;$AZ$1&amp;"")</f>
        <v>6.9</v>
      </c>
      <c r="BA499" s="280">
        <v>13.7</v>
      </c>
      <c r="BB499" s="281">
        <v>0.97</v>
      </c>
      <c r="BC499" s="279">
        <v>1.74</v>
      </c>
      <c r="BD499" s="283">
        <v>14.23</v>
      </c>
      <c r="BE499" s="282">
        <v>72.06</v>
      </c>
      <c r="BF499" s="283" cm="1">
        <f t="array" aca="1" ref="BF499" ca="1">INDIRECT("'"&amp;$C499&amp;"'!"&amp;"$"&amp;$D499&amp;$BF$1&amp;"")</f>
        <v>14.26</v>
      </c>
      <c r="BG499" s="281">
        <v>0.99</v>
      </c>
      <c r="BH499" s="279">
        <v>2.34</v>
      </c>
      <c r="BI499" s="524">
        <v>68.099999999999994</v>
      </c>
      <c r="BJ499" s="278" cm="1">
        <f t="array" aca="1" ref="BJ499" ca="1">INDIRECT("'"&amp;$C499&amp;"'!"&amp;"$"&amp;$D499&amp;$BI$1&amp;"")</f>
        <v>0.8</v>
      </c>
      <c r="BK499" s="280">
        <v>0.97</v>
      </c>
      <c r="BL499" s="279">
        <v>0.2</v>
      </c>
      <c r="BM499" s="283" cm="1">
        <f t="array" aca="1" ref="BM499" ca="1">INDIRECT("'"&amp;$C499&amp;"'!"&amp;"$"&amp;$D499&amp;$BM$1&amp;"")</f>
        <v>1.44</v>
      </c>
      <c r="BN499" s="281"/>
      <c r="BO499" s="281">
        <v>0.99</v>
      </c>
      <c r="BP499" s="279">
        <v>0.17</v>
      </c>
      <c r="BQ499" s="284" cm="1">
        <f t="array" aca="1" ref="BQ499" ca="1">INDIRECT("'"&amp;$C499&amp;"'!"&amp;"$"&amp;$D499&amp;$BQ$1&amp;"")</f>
        <v>0.72</v>
      </c>
      <c r="BR499" s="281"/>
      <c r="BS499" s="281">
        <v>0.95</v>
      </c>
      <c r="BT499" s="279">
        <v>0.17</v>
      </c>
      <c r="BU499" s="284" cm="1">
        <f t="array" aca="1" ref="BU499" ca="1">INDIRECT("'"&amp;$C499&amp;"'!"&amp;"$"&amp;$D499&amp;74&amp;"")</f>
        <v>0</v>
      </c>
      <c r="BV499" s="281"/>
      <c r="BW499" s="281" t="s">
        <v>1</v>
      </c>
      <c r="BX499" s="279" t="s">
        <v>1</v>
      </c>
    </row>
    <row r="500" spans="1:76">
      <c r="A500" s="459">
        <v>45858</v>
      </c>
      <c r="B500" s="345">
        <v>0.83333333333333337</v>
      </c>
      <c r="C500" s="305">
        <v>20</v>
      </c>
      <c r="D500" s="306" t="s">
        <v>162</v>
      </c>
      <c r="E500" s="285">
        <v>14.2</v>
      </c>
      <c r="F500" s="286">
        <v>69.56</v>
      </c>
      <c r="G500" s="287" t="str" cm="1">
        <f t="array" aca="1" ref="G500" ca="1">INDIRECT("'"&amp;$C500&amp;"'!"&amp;"$"&amp;$D500&amp;$E$1&amp;"")</f>
        <v>CMS</v>
      </c>
      <c r="H500" s="288" t="s">
        <v>1</v>
      </c>
      <c r="I500" s="286" t="s">
        <v>1</v>
      </c>
      <c r="J500" s="287" cm="1">
        <f t="array" aca="1" ref="J500" ca="1">INDIRECT("'"&amp;$C500&amp;"'!"&amp;"$"&amp;$D500&amp;$J$1&amp;"")</f>
        <v>6.7</v>
      </c>
      <c r="K500" s="288"/>
      <c r="L500" s="288">
        <v>0.96</v>
      </c>
      <c r="M500" s="289">
        <v>2.09</v>
      </c>
      <c r="N500" s="285" cm="1">
        <f t="array" aca="1" ref="N500" ca="1">INDIRECT("'"&amp;$C500&amp;"'!"&amp;"$"&amp;$D500&amp;$N$1&amp;"")</f>
        <v>6.7</v>
      </c>
      <c r="O500" s="288"/>
      <c r="P500" s="288">
        <v>0.95</v>
      </c>
      <c r="Q500" s="286">
        <v>2.16</v>
      </c>
      <c r="R500" s="285" cm="1">
        <f t="array" aca="1" ref="R500" ca="1">INDIRECT("'"&amp;$C500&amp;"'!"&amp;"$"&amp;$D500&amp;$R$1&amp;"")</f>
        <v>6.7</v>
      </c>
      <c r="S500" s="288"/>
      <c r="T500" s="288">
        <v>0.95</v>
      </c>
      <c r="U500" s="286">
        <v>2.15</v>
      </c>
      <c r="V500" s="287" cm="1">
        <f t="array" aca="1" ref="V500" ca="1">INDIRECT("'"&amp;$C500&amp;"'!"&amp;"$"&amp;$D500&amp;$V$1&amp;"")</f>
        <v>0</v>
      </c>
      <c r="W500" s="288" t="s">
        <v>1</v>
      </c>
      <c r="X500" s="288" t="s">
        <v>1</v>
      </c>
      <c r="Y500" s="289" t="s">
        <v>1</v>
      </c>
      <c r="Z500" s="285" t="str" cm="1">
        <f t="array" aca="1" ref="Z500" ca="1">INDIRECT("'"&amp;$C500&amp;"'!"&amp;"$"&amp;$D500&amp;$Z$1&amp;"")</f>
        <v>CMS</v>
      </c>
      <c r="AA500" s="288" t="s">
        <v>1</v>
      </c>
      <c r="AB500" s="288" t="s">
        <v>1</v>
      </c>
      <c r="AC500" s="286" t="s">
        <v>1</v>
      </c>
      <c r="AD500" s="287" cm="1">
        <f t="array" aca="1" ref="AD500" ca="1">INDIRECT("'"&amp;$C500&amp;"'!"&amp;"$"&amp;$D500&amp;$AD$1&amp;"")</f>
        <v>3</v>
      </c>
      <c r="AE500" s="288">
        <f>3.8*3.53</f>
        <v>13.413999999999998</v>
      </c>
      <c r="AF500" s="288">
        <v>0.98</v>
      </c>
      <c r="AG500" s="289">
        <v>0.53</v>
      </c>
      <c r="AH500" s="285" cm="1">
        <f t="array" aca="1" ref="AH500" ca="1">INDIRECT("'"&amp;$C500&amp;"'!"&amp;"$"&amp;$D500&amp;$AH$1&amp;"")</f>
        <v>3</v>
      </c>
      <c r="AI500" s="288">
        <v>14.04</v>
      </c>
      <c r="AJ500" s="288">
        <v>0.99</v>
      </c>
      <c r="AK500" s="286">
        <v>0.24199999999999999</v>
      </c>
      <c r="AL500" s="285">
        <v>11.6</v>
      </c>
      <c r="AM500" s="289">
        <v>70.900000000000006</v>
      </c>
      <c r="AN500" s="285" cm="1">
        <f t="array" aca="1" ref="AN500" ca="1">INDIRECT("'"&amp;$C500&amp;"'!"&amp;"$"&amp;$D500&amp;$AL$1&amp;"")</f>
        <v>0</v>
      </c>
      <c r="AO500" s="288" t="s">
        <v>1</v>
      </c>
      <c r="AP500" s="286" t="s">
        <v>1</v>
      </c>
      <c r="AQ500" s="287" cm="1">
        <f t="array" aca="1" ref="AQ500" ca="1">INDIRECT("'"&amp;$C500&amp;"'!"&amp;"$"&amp;$D500&amp;$AQ$1&amp;"")</f>
        <v>2.5</v>
      </c>
      <c r="AR500" s="288">
        <v>0.99</v>
      </c>
      <c r="AS500" s="286">
        <v>0.42</v>
      </c>
      <c r="AT500" s="285">
        <v>13.93</v>
      </c>
      <c r="AU500" s="289">
        <v>70.7</v>
      </c>
      <c r="AV500" s="288" cm="1">
        <f t="array" aca="1" ref="AV500" ca="1">INDIRECT("'"&amp;$C500&amp;"'!"&amp;"$"&amp;$D500&amp;$AV$1&amp;"")</f>
        <v>0</v>
      </c>
      <c r="AW500" s="287" t="s">
        <v>1</v>
      </c>
      <c r="AX500" s="288" t="s">
        <v>1</v>
      </c>
      <c r="AY500" s="286" t="s">
        <v>1</v>
      </c>
      <c r="AZ500" s="288" cm="1">
        <f t="array" aca="1" ref="AZ500" ca="1">INDIRECT("'"&amp;$C500&amp;"'!"&amp;"$"&amp;$D500&amp;$AZ$1&amp;"")</f>
        <v>7</v>
      </c>
      <c r="BA500" s="287" t="s">
        <v>1</v>
      </c>
      <c r="BB500" s="288">
        <v>0.98</v>
      </c>
      <c r="BC500" s="286">
        <v>1.58</v>
      </c>
      <c r="BD500" s="290">
        <v>14.19</v>
      </c>
      <c r="BE500" s="289">
        <v>71.86</v>
      </c>
      <c r="BF500" s="290" cm="1">
        <f t="array" aca="1" ref="BF500" ca="1">INDIRECT("'"&amp;$C500&amp;"'!"&amp;"$"&amp;$D500&amp;$BF$1&amp;"")</f>
        <v>14.28</v>
      </c>
      <c r="BG500" s="288">
        <v>0.99</v>
      </c>
      <c r="BH500" s="286">
        <v>2.37</v>
      </c>
      <c r="BI500" s="525">
        <v>68.400000000000006</v>
      </c>
      <c r="BJ500" s="285" cm="1">
        <f t="array" aca="1" ref="BJ500" ca="1">INDIRECT("'"&amp;$C500&amp;"'!"&amp;"$"&amp;$D500&amp;$BI$1&amp;"")</f>
        <v>0</v>
      </c>
      <c r="BK500" s="287" t="s">
        <v>1</v>
      </c>
      <c r="BL500" s="286" t="s">
        <v>1</v>
      </c>
      <c r="BM500" s="290" cm="1">
        <f t="array" aca="1" ref="BM500" ca="1">INDIRECT("'"&amp;$C500&amp;"'!"&amp;"$"&amp;$D500&amp;$BM$1&amp;"")</f>
        <v>1.53</v>
      </c>
      <c r="BN500" s="288"/>
      <c r="BO500" s="288">
        <v>0.99</v>
      </c>
      <c r="BP500" s="286">
        <v>0.17</v>
      </c>
      <c r="BQ500" s="291" cm="1">
        <f t="array" aca="1" ref="BQ500" ca="1">INDIRECT("'"&amp;$C500&amp;"'!"&amp;"$"&amp;$D500&amp;$BQ$1&amp;"")</f>
        <v>1.03</v>
      </c>
      <c r="BR500" s="288"/>
      <c r="BS500" s="288">
        <v>0.97</v>
      </c>
      <c r="BT500" s="286">
        <v>0.25</v>
      </c>
      <c r="BU500" s="291" cm="1">
        <f t="array" aca="1" ref="BU500" ca="1">INDIRECT("'"&amp;$C500&amp;"'!"&amp;"$"&amp;$D500&amp;74&amp;"")</f>
        <v>0</v>
      </c>
      <c r="BV500" s="288"/>
      <c r="BW500" s="288" t="s">
        <v>1</v>
      </c>
      <c r="BX500" s="286" t="s">
        <v>1</v>
      </c>
    </row>
    <row r="501" spans="1:76">
      <c r="A501" s="459">
        <v>45858</v>
      </c>
      <c r="B501" s="345">
        <v>0.875000000000001</v>
      </c>
      <c r="C501" s="305">
        <v>20</v>
      </c>
      <c r="D501" s="306" t="s">
        <v>163</v>
      </c>
      <c r="E501" s="278">
        <v>14.2</v>
      </c>
      <c r="F501" s="279">
        <v>69.41</v>
      </c>
      <c r="G501" s="280" t="str" cm="1">
        <f t="array" aca="1" ref="G501" ca="1">INDIRECT("'"&amp;$C501&amp;"'!"&amp;"$"&amp;$D501&amp;$E$1&amp;"")</f>
        <v>CMS</v>
      </c>
      <c r="H501" s="281" t="s">
        <v>1</v>
      </c>
      <c r="I501" s="279" t="s">
        <v>1</v>
      </c>
      <c r="J501" s="280" cm="1">
        <f t="array" aca="1" ref="J501" ca="1">INDIRECT("'"&amp;$C501&amp;"'!"&amp;"$"&amp;$D501&amp;$J$1&amp;"")</f>
        <v>6.7</v>
      </c>
      <c r="K501" s="281"/>
      <c r="L501" s="281">
        <v>0.95</v>
      </c>
      <c r="M501" s="282">
        <v>2.17</v>
      </c>
      <c r="N501" s="278" cm="1">
        <f t="array" aca="1" ref="N501" ca="1">INDIRECT("'"&amp;$C501&amp;"'!"&amp;"$"&amp;$D501&amp;$N$1&amp;"")</f>
        <v>6.7</v>
      </c>
      <c r="O501" s="281"/>
      <c r="P501" s="281">
        <v>0.95</v>
      </c>
      <c r="Q501" s="279">
        <v>2.17</v>
      </c>
      <c r="R501" s="468" cm="1">
        <f t="array" aca="1" ref="R501" ca="1">INDIRECT("'"&amp;$C501&amp;"'!"&amp;"$"&amp;$D501&amp;$R$1&amp;"")</f>
        <v>6.7</v>
      </c>
      <c r="S501" s="281"/>
      <c r="T501" s="281">
        <v>0.92</v>
      </c>
      <c r="U501" s="279">
        <v>2.75</v>
      </c>
      <c r="V501" s="280" cm="1">
        <f t="array" aca="1" ref="V501" ca="1">INDIRECT("'"&amp;$C501&amp;"'!"&amp;"$"&amp;$D501&amp;$V$1&amp;"")</f>
        <v>0</v>
      </c>
      <c r="W501" s="281" t="s">
        <v>1</v>
      </c>
      <c r="X501" s="281" t="s">
        <v>1</v>
      </c>
      <c r="Y501" s="282" t="s">
        <v>1</v>
      </c>
      <c r="Z501" s="278" t="str" cm="1">
        <f t="array" aca="1" ref="Z501" ca="1">INDIRECT("'"&amp;$C501&amp;"'!"&amp;"$"&amp;$D501&amp;$Z$1&amp;"")</f>
        <v>CMS</v>
      </c>
      <c r="AA501" s="281" t="s">
        <v>1</v>
      </c>
      <c r="AB501" s="281" t="s">
        <v>1</v>
      </c>
      <c r="AC501" s="279" t="s">
        <v>1</v>
      </c>
      <c r="AD501" s="280" cm="1">
        <f t="array" aca="1" ref="AD501" ca="1">INDIRECT("'"&amp;$C501&amp;"'!"&amp;"$"&amp;$D501&amp;$AD$1&amp;"")</f>
        <v>0</v>
      </c>
      <c r="AE501" s="281" t="s">
        <v>1</v>
      </c>
      <c r="AF501" s="281" t="s">
        <v>1</v>
      </c>
      <c r="AG501" s="282" t="s">
        <v>1</v>
      </c>
      <c r="AH501" s="278" cm="1">
        <f t="array" aca="1" ref="AH501" ca="1">INDIRECT("'"&amp;$C501&amp;"'!"&amp;"$"&amp;$D501&amp;$AH$1&amp;"")</f>
        <v>3.8</v>
      </c>
      <c r="AI501" s="281">
        <v>14</v>
      </c>
      <c r="AJ501" s="281">
        <v>0.99</v>
      </c>
      <c r="AK501" s="279">
        <v>0.38200000000000001</v>
      </c>
      <c r="AL501" s="278">
        <v>11.6</v>
      </c>
      <c r="AM501" s="282">
        <v>70.7</v>
      </c>
      <c r="AN501" s="278" cm="1">
        <f t="array" aca="1" ref="AN501" ca="1">INDIRECT("'"&amp;$C501&amp;"'!"&amp;"$"&amp;$D501&amp;$AL$1&amp;"")</f>
        <v>0</v>
      </c>
      <c r="AO501" s="281" t="s">
        <v>1</v>
      </c>
      <c r="AP501" s="279" t="s">
        <v>1</v>
      </c>
      <c r="AQ501" s="280" cm="1">
        <f t="array" aca="1" ref="AQ501" ca="1">INDIRECT("'"&amp;$C501&amp;"'!"&amp;"$"&amp;$D501&amp;$AQ$1&amp;"")</f>
        <v>3.7</v>
      </c>
      <c r="AR501" s="281">
        <v>0.98</v>
      </c>
      <c r="AS501" s="279">
        <v>0.6</v>
      </c>
      <c r="AT501" s="278">
        <v>13.8</v>
      </c>
      <c r="AU501" s="282">
        <v>70.7</v>
      </c>
      <c r="AV501" s="281" cm="1">
        <f t="array" aca="1" ref="AV501" ca="1">INDIRECT("'"&amp;$C501&amp;"'!"&amp;"$"&amp;$D501&amp;$AV$1&amp;"")</f>
        <v>0</v>
      </c>
      <c r="AW501" s="280" t="s">
        <v>1</v>
      </c>
      <c r="AX501" s="281" t="s">
        <v>1</v>
      </c>
      <c r="AY501" s="279" t="s">
        <v>1</v>
      </c>
      <c r="AZ501" s="281" cm="1">
        <f t="array" aca="1" ref="AZ501" ca="1">INDIRECT("'"&amp;$C501&amp;"'!"&amp;"$"&amp;$D501&amp;$AZ$1&amp;"")</f>
        <v>7</v>
      </c>
      <c r="BA501" s="280" t="s">
        <v>1</v>
      </c>
      <c r="BB501" s="281">
        <v>0.98</v>
      </c>
      <c r="BC501" s="279">
        <v>0.6</v>
      </c>
      <c r="BD501" s="283">
        <v>14.17</v>
      </c>
      <c r="BE501" s="282">
        <v>71.72</v>
      </c>
      <c r="BF501" s="283" cm="1">
        <f t="array" aca="1" ref="BF501" ca="1">INDIRECT("'"&amp;$C501&amp;"'!"&amp;"$"&amp;$D501&amp;$BF$1&amp;"")</f>
        <v>14.27</v>
      </c>
      <c r="BG501" s="281">
        <v>0.99</v>
      </c>
      <c r="BH501" s="279">
        <v>2.35</v>
      </c>
      <c r="BI501" s="524">
        <v>67.900000000000006</v>
      </c>
      <c r="BJ501" s="278" cm="1">
        <f t="array" aca="1" ref="BJ501" ca="1">INDIRECT("'"&amp;$C501&amp;"'!"&amp;"$"&amp;$D501&amp;$BI$1&amp;"")</f>
        <v>0</v>
      </c>
      <c r="BK501" s="280" t="s">
        <v>1</v>
      </c>
      <c r="BL501" s="279" t="s">
        <v>1</v>
      </c>
      <c r="BM501" s="283" cm="1">
        <f t="array" aca="1" ref="BM501" ca="1">INDIRECT("'"&amp;$C501&amp;"'!"&amp;"$"&amp;$D501&amp;$BM$1&amp;"")</f>
        <v>1.45</v>
      </c>
      <c r="BN501" s="281"/>
      <c r="BO501" s="281">
        <v>0.99</v>
      </c>
      <c r="BP501" s="279">
        <v>0.16</v>
      </c>
      <c r="BQ501" s="284" cm="1">
        <f t="array" aca="1" ref="BQ501" ca="1">INDIRECT("'"&amp;$C501&amp;"'!"&amp;"$"&amp;$D501&amp;$BQ$1&amp;"")</f>
        <v>1</v>
      </c>
      <c r="BR501" s="281"/>
      <c r="BS501" s="281">
        <v>0.97</v>
      </c>
      <c r="BT501" s="279">
        <v>0.25</v>
      </c>
      <c r="BU501" s="284" cm="1">
        <f t="array" aca="1" ref="BU501" ca="1">INDIRECT("'"&amp;$C501&amp;"'!"&amp;"$"&amp;$D501&amp;74&amp;"")</f>
        <v>0</v>
      </c>
      <c r="BV501" s="281"/>
      <c r="BW501" s="281" t="s">
        <v>1</v>
      </c>
      <c r="BX501" s="279" t="s">
        <v>1</v>
      </c>
    </row>
    <row r="502" spans="1:76">
      <c r="A502" s="459">
        <v>45858</v>
      </c>
      <c r="B502" s="345">
        <v>0.91666666666666696</v>
      </c>
      <c r="C502" s="305">
        <v>20</v>
      </c>
      <c r="D502" s="306" t="s">
        <v>164</v>
      </c>
      <c r="E502" s="285">
        <v>14.3</v>
      </c>
      <c r="F502" s="286">
        <v>69.91</v>
      </c>
      <c r="G502" s="287" t="str" cm="1">
        <f t="array" aca="1" ref="G502" ca="1">INDIRECT("'"&amp;$C502&amp;"'!"&amp;"$"&amp;$D502&amp;$E$1&amp;"")</f>
        <v>CMS</v>
      </c>
      <c r="H502" s="288" t="s">
        <v>1</v>
      </c>
      <c r="I502" s="286" t="s">
        <v>1</v>
      </c>
      <c r="J502" s="287" cm="1">
        <f t="array" aca="1" ref="J502" ca="1">INDIRECT("'"&amp;$C502&amp;"'!"&amp;"$"&amp;$D502&amp;$J$1&amp;"")</f>
        <v>6.7</v>
      </c>
      <c r="K502" s="288"/>
      <c r="L502" s="288">
        <v>0.95</v>
      </c>
      <c r="M502" s="289">
        <v>2.16</v>
      </c>
      <c r="N502" s="285" cm="1">
        <f t="array" aca="1" ref="N502" ca="1">INDIRECT("'"&amp;$C502&amp;"'!"&amp;"$"&amp;$D502&amp;$N$1&amp;"")</f>
        <v>6.7</v>
      </c>
      <c r="O502" s="288"/>
      <c r="P502" s="288">
        <v>0.95</v>
      </c>
      <c r="Q502" s="286">
        <v>2.1800000000000002</v>
      </c>
      <c r="R502" s="285" cm="1">
        <f t="array" aca="1" ref="R502" ca="1">INDIRECT("'"&amp;$C502&amp;"'!"&amp;"$"&amp;$D502&amp;$R$1&amp;"")</f>
        <v>6.7</v>
      </c>
      <c r="S502" s="288"/>
      <c r="T502" s="288">
        <v>0.97</v>
      </c>
      <c r="U502" s="286">
        <v>1.77</v>
      </c>
      <c r="V502" s="287" cm="1">
        <f t="array" aca="1" ref="V502" ca="1">INDIRECT("'"&amp;$C502&amp;"'!"&amp;"$"&amp;$D502&amp;$V$1&amp;"")</f>
        <v>0</v>
      </c>
      <c r="W502" s="288" t="s">
        <v>1</v>
      </c>
      <c r="X502" s="288" t="s">
        <v>1</v>
      </c>
      <c r="Y502" s="289" t="s">
        <v>1</v>
      </c>
      <c r="Z502" s="285" t="str" cm="1">
        <f t="array" aca="1" ref="Z502" ca="1">INDIRECT("'"&amp;$C502&amp;"'!"&amp;"$"&amp;$D502&amp;$Z$1&amp;"")</f>
        <v>CMS</v>
      </c>
      <c r="AA502" s="288" t="s">
        <v>1</v>
      </c>
      <c r="AB502" s="288" t="s">
        <v>1</v>
      </c>
      <c r="AC502" s="286" t="s">
        <v>1</v>
      </c>
      <c r="AD502" s="287" cm="1">
        <f t="array" aca="1" ref="AD502" ca="1">INDIRECT("'"&amp;$C502&amp;"'!"&amp;"$"&amp;$D502&amp;$AD$1&amp;"")</f>
        <v>0</v>
      </c>
      <c r="AE502" s="288" t="s">
        <v>1</v>
      </c>
      <c r="AF502" s="288" t="s">
        <v>1</v>
      </c>
      <c r="AG502" s="289" t="s">
        <v>1</v>
      </c>
      <c r="AH502" s="285" cm="1">
        <f t="array" aca="1" ref="AH502" ca="1">INDIRECT("'"&amp;$C502&amp;"'!"&amp;"$"&amp;$D502&amp;$AH$1&amp;"")</f>
        <v>0</v>
      </c>
      <c r="AI502" s="288" t="s">
        <v>1</v>
      </c>
      <c r="AJ502" s="288" t="s">
        <v>1</v>
      </c>
      <c r="AK502" s="286" t="s">
        <v>1</v>
      </c>
      <c r="AL502" s="285">
        <v>11.6</v>
      </c>
      <c r="AM502" s="289">
        <v>70.7</v>
      </c>
      <c r="AN502" s="285" cm="1">
        <f t="array" aca="1" ref="AN502" ca="1">INDIRECT("'"&amp;$C502&amp;"'!"&amp;"$"&amp;$D502&amp;$AL$1&amp;"")</f>
        <v>0</v>
      </c>
      <c r="AO502" s="288" t="s">
        <v>1</v>
      </c>
      <c r="AP502" s="286" t="s">
        <v>1</v>
      </c>
      <c r="AQ502" s="287" cm="1">
        <f t="array" aca="1" ref="AQ502" ca="1">INDIRECT("'"&amp;$C502&amp;"'!"&amp;"$"&amp;$D502&amp;$AQ$1&amp;"")</f>
        <v>3.7</v>
      </c>
      <c r="AR502" s="288">
        <v>0.98</v>
      </c>
      <c r="AS502" s="286">
        <v>0.62</v>
      </c>
      <c r="AT502" s="285">
        <v>13.8</v>
      </c>
      <c r="AU502" s="289">
        <v>70.7</v>
      </c>
      <c r="AV502" s="288" cm="1">
        <f t="array" aca="1" ref="AV502" ca="1">INDIRECT("'"&amp;$C502&amp;"'!"&amp;"$"&amp;$D502&amp;$AV$1&amp;"")</f>
        <v>0</v>
      </c>
      <c r="AW502" s="287" t="s">
        <v>1</v>
      </c>
      <c r="AX502" s="288" t="s">
        <v>1</v>
      </c>
      <c r="AY502" s="286" t="s">
        <v>1</v>
      </c>
      <c r="AZ502" s="288" cm="1">
        <f t="array" aca="1" ref="AZ502" ca="1">INDIRECT("'"&amp;$C502&amp;"'!"&amp;"$"&amp;$D502&amp;$AZ$1&amp;"")</f>
        <v>7</v>
      </c>
      <c r="BA502" s="287" t="s">
        <v>1</v>
      </c>
      <c r="BB502" s="288">
        <v>0.98</v>
      </c>
      <c r="BC502" s="286">
        <v>1.64</v>
      </c>
      <c r="BD502" s="290">
        <v>14.04</v>
      </c>
      <c r="BE502" s="289">
        <v>71.400000000000006</v>
      </c>
      <c r="BF502" s="290" cm="1">
        <f t="array" aca="1" ref="BF502" ca="1">INDIRECT("'"&amp;$C502&amp;"'!"&amp;"$"&amp;$D502&amp;$BF$1&amp;"")</f>
        <v>14.3</v>
      </c>
      <c r="BG502" s="288">
        <v>1</v>
      </c>
      <c r="BH502" s="286">
        <v>1.29</v>
      </c>
      <c r="BI502" s="525">
        <v>68.7</v>
      </c>
      <c r="BJ502" s="285" cm="1">
        <f t="array" aca="1" ref="BJ502" ca="1">INDIRECT("'"&amp;$C502&amp;"'!"&amp;"$"&amp;$D502&amp;$BI$1&amp;"")</f>
        <v>0</v>
      </c>
      <c r="BK502" s="287" t="s">
        <v>1</v>
      </c>
      <c r="BL502" s="286" t="s">
        <v>1</v>
      </c>
      <c r="BM502" s="290" cm="1">
        <f t="array" aca="1" ref="BM502" ca="1">INDIRECT("'"&amp;$C502&amp;"'!"&amp;"$"&amp;$D502&amp;$BM$1&amp;"")</f>
        <v>1.31</v>
      </c>
      <c r="BN502" s="288"/>
      <c r="BO502" s="288">
        <v>0.99</v>
      </c>
      <c r="BP502" s="286">
        <v>0.14000000000000001</v>
      </c>
      <c r="BQ502" s="291" cm="1">
        <f t="array" aca="1" ref="BQ502" ca="1">INDIRECT("'"&amp;$C502&amp;"'!"&amp;"$"&amp;$D502&amp;$BQ$1&amp;"")</f>
        <v>0.95</v>
      </c>
      <c r="BR502" s="288"/>
      <c r="BS502" s="288">
        <v>0.97</v>
      </c>
      <c r="BT502" s="286">
        <v>0.24</v>
      </c>
      <c r="BU502" s="291" cm="1">
        <f t="array" aca="1" ref="BU502" ca="1">INDIRECT("'"&amp;$C502&amp;"'!"&amp;"$"&amp;$D502&amp;74&amp;"")</f>
        <v>0</v>
      </c>
      <c r="BV502" s="288"/>
      <c r="BW502" s="288" t="s">
        <v>1</v>
      </c>
      <c r="BX502" s="286" t="s">
        <v>1</v>
      </c>
    </row>
    <row r="503" spans="1:76" ht="14.45" thickBot="1">
      <c r="A503" s="460">
        <v>45858</v>
      </c>
      <c r="B503" s="346">
        <v>0.95833333333333404</v>
      </c>
      <c r="C503" s="307">
        <v>20</v>
      </c>
      <c r="D503" s="308" t="s">
        <v>165</v>
      </c>
      <c r="E503" s="293">
        <v>14.3</v>
      </c>
      <c r="F503" s="294">
        <v>70.400000000000006</v>
      </c>
      <c r="G503" s="295" t="str" cm="1">
        <f t="array" aca="1" ref="G503" ca="1">INDIRECT("'"&amp;$C503&amp;"'!"&amp;"$"&amp;$D503&amp;$E$1&amp;"")</f>
        <v>CMS</v>
      </c>
      <c r="H503" s="296" t="s">
        <v>1</v>
      </c>
      <c r="I503" s="294" t="s">
        <v>1</v>
      </c>
      <c r="J503" s="295" cm="1">
        <f t="array" aca="1" ref="J503" ca="1">INDIRECT("'"&amp;$C503&amp;"'!"&amp;"$"&amp;$D503&amp;$J$1&amp;"")</f>
        <v>6.7</v>
      </c>
      <c r="K503" s="296"/>
      <c r="L503" s="296">
        <v>0.97</v>
      </c>
      <c r="M503" s="297">
        <v>1.74</v>
      </c>
      <c r="N503" s="293" cm="1">
        <f t="array" aca="1" ref="N503" ca="1">INDIRECT("'"&amp;$C503&amp;"'!"&amp;"$"&amp;$D503&amp;$N$1&amp;"")</f>
        <v>6.7</v>
      </c>
      <c r="O503" s="296"/>
      <c r="P503" s="296">
        <v>0.97</v>
      </c>
      <c r="Q503" s="294">
        <v>1.81</v>
      </c>
      <c r="R503" s="470" cm="1">
        <f t="array" aca="1" ref="R503" ca="1">INDIRECT("'"&amp;$C503&amp;"'!"&amp;"$"&amp;$D503&amp;$R$1&amp;"")</f>
        <v>6.7</v>
      </c>
      <c r="S503" s="296"/>
      <c r="T503" s="296">
        <v>0.97</v>
      </c>
      <c r="U503" s="294">
        <v>1.73</v>
      </c>
      <c r="V503" s="295" cm="1">
        <f t="array" aca="1" ref="V503" ca="1">INDIRECT("'"&amp;$C503&amp;"'!"&amp;"$"&amp;$D503&amp;$V$1&amp;"")</f>
        <v>0</v>
      </c>
      <c r="W503" s="296" t="s">
        <v>1</v>
      </c>
      <c r="X503" s="296" t="s">
        <v>1</v>
      </c>
      <c r="Y503" s="297" t="s">
        <v>1</v>
      </c>
      <c r="Z503" s="293" t="str" cm="1">
        <f t="array" aca="1" ref="Z503" ca="1">INDIRECT("'"&amp;$C503&amp;"'!"&amp;"$"&amp;$D503&amp;$Z$1&amp;"")</f>
        <v>CMS</v>
      </c>
      <c r="AA503" s="296" t="s">
        <v>1</v>
      </c>
      <c r="AB503" s="296" t="s">
        <v>1</v>
      </c>
      <c r="AC503" s="294" t="s">
        <v>1</v>
      </c>
      <c r="AD503" s="295" cm="1">
        <f t="array" aca="1" ref="AD503" ca="1">INDIRECT("'"&amp;$C503&amp;"'!"&amp;"$"&amp;$D503&amp;$AD$1&amp;"")</f>
        <v>0</v>
      </c>
      <c r="AE503" s="296" t="s">
        <v>1</v>
      </c>
      <c r="AF503" s="296" t="s">
        <v>1</v>
      </c>
      <c r="AG503" s="297" t="s">
        <v>1</v>
      </c>
      <c r="AH503" s="293" cm="1">
        <f t="array" aca="1" ref="AH503" ca="1">INDIRECT("'"&amp;$C503&amp;"'!"&amp;"$"&amp;$D503&amp;$AH$1&amp;"")</f>
        <v>0</v>
      </c>
      <c r="AI503" s="296" t="s">
        <v>1</v>
      </c>
      <c r="AJ503" s="296" t="s">
        <v>1</v>
      </c>
      <c r="AK503" s="294" t="s">
        <v>1</v>
      </c>
      <c r="AL503" s="293">
        <v>11.6</v>
      </c>
      <c r="AM503" s="297">
        <v>70.8</v>
      </c>
      <c r="AN503" s="293" cm="1">
        <f t="array" aca="1" ref="AN503" ca="1">INDIRECT("'"&amp;$C503&amp;"'!"&amp;"$"&amp;$D503&amp;$AL$1&amp;"")</f>
        <v>0</v>
      </c>
      <c r="AO503" s="296" t="s">
        <v>1</v>
      </c>
      <c r="AP503" s="294" t="s">
        <v>1</v>
      </c>
      <c r="AQ503" s="295" cm="1">
        <f t="array" aca="1" ref="AQ503" ca="1">INDIRECT("'"&amp;$C503&amp;"'!"&amp;"$"&amp;$D503&amp;$AQ$1&amp;"")</f>
        <v>2</v>
      </c>
      <c r="AR503" s="296">
        <v>0.94</v>
      </c>
      <c r="AS503" s="294">
        <v>0.55000000000000004</v>
      </c>
      <c r="AT503" s="293">
        <v>13.8</v>
      </c>
      <c r="AU503" s="297">
        <v>70.8</v>
      </c>
      <c r="AV503" s="296" cm="1">
        <f t="array" aca="1" ref="AV503" ca="1">INDIRECT("'"&amp;$C503&amp;"'!"&amp;"$"&amp;$D503&amp;$AV$1&amp;"")</f>
        <v>0</v>
      </c>
      <c r="AW503" s="295" t="s">
        <v>1</v>
      </c>
      <c r="AX503" s="296" t="s">
        <v>1</v>
      </c>
      <c r="AY503" s="294" t="s">
        <v>1</v>
      </c>
      <c r="AZ503" s="296" cm="1">
        <f t="array" aca="1" ref="AZ503" ca="1">INDIRECT("'"&amp;$C503&amp;"'!"&amp;"$"&amp;$D503&amp;$AZ$1&amp;"")</f>
        <v>5.5</v>
      </c>
      <c r="BA503" s="295" t="s">
        <v>1</v>
      </c>
      <c r="BB503" s="296">
        <v>0.97</v>
      </c>
      <c r="BC503" s="294">
        <v>1.41</v>
      </c>
      <c r="BD503" s="298">
        <v>14.05</v>
      </c>
      <c r="BE503" s="297">
        <v>71.53</v>
      </c>
      <c r="BF503" s="298" cm="1">
        <f t="array" aca="1" ref="BF503" ca="1">INDIRECT("'"&amp;$C503&amp;"'!"&amp;"$"&amp;$D503&amp;$BF$1&amp;"")</f>
        <v>14.22</v>
      </c>
      <c r="BG503" s="296">
        <v>1</v>
      </c>
      <c r="BH503" s="294">
        <v>1.27</v>
      </c>
      <c r="BI503" s="526">
        <v>69.099999999999994</v>
      </c>
      <c r="BJ503" s="293" cm="1">
        <f t="array" aca="1" ref="BJ503" ca="1">INDIRECT("'"&amp;$C503&amp;"'!"&amp;"$"&amp;$D503&amp;$BI$1&amp;"")</f>
        <v>0</v>
      </c>
      <c r="BK503" s="295" t="s">
        <v>1</v>
      </c>
      <c r="BL503" s="294" t="s">
        <v>1</v>
      </c>
      <c r="BM503" s="298" cm="1">
        <f t="array" aca="1" ref="BM503" ca="1">INDIRECT("'"&amp;$C503&amp;"'!"&amp;"$"&amp;$D503&amp;$BM$1&amp;"")</f>
        <v>1.1399999999999999</v>
      </c>
      <c r="BN503" s="296"/>
      <c r="BO503" s="296">
        <v>0.99</v>
      </c>
      <c r="BP503" s="294">
        <v>0.15</v>
      </c>
      <c r="BQ503" s="299" cm="1">
        <f t="array" aca="1" ref="BQ503" ca="1">INDIRECT("'"&amp;$C503&amp;"'!"&amp;"$"&amp;$D503&amp;$BQ$1&amp;"")</f>
        <v>0.92</v>
      </c>
      <c r="BR503" s="296"/>
      <c r="BS503" s="296">
        <v>0.97</v>
      </c>
      <c r="BT503" s="294">
        <v>0.23</v>
      </c>
      <c r="BU503" s="299" cm="1">
        <f t="array" aca="1" ref="BU503" ca="1">INDIRECT("'"&amp;$C503&amp;"'!"&amp;"$"&amp;$D503&amp;74&amp;"")</f>
        <v>0</v>
      </c>
      <c r="BV503" s="296"/>
      <c r="BW503" s="296" t="s">
        <v>1</v>
      </c>
      <c r="BX503" s="294" t="s">
        <v>1</v>
      </c>
    </row>
    <row r="504" spans="1:76" ht="14.45" thickBot="1"/>
    <row r="505" spans="1:76">
      <c r="A505" s="347">
        <v>45859</v>
      </c>
      <c r="B505" s="344">
        <v>0</v>
      </c>
      <c r="C505" s="302">
        <v>21</v>
      </c>
      <c r="D505" s="303" t="s">
        <v>142</v>
      </c>
      <c r="E505" s="272">
        <v>14.2</v>
      </c>
      <c r="F505" s="273">
        <v>70.28</v>
      </c>
      <c r="G505" s="274" t="str" cm="1">
        <f t="array" aca="1" ref="G505" ca="1">INDIRECT("'"&amp;$C505&amp;"'!"&amp;"$"&amp;$D505&amp;$E$1&amp;"")</f>
        <v>CMS</v>
      </c>
      <c r="H505" s="275" t="s">
        <v>1</v>
      </c>
      <c r="I505" s="273" t="s">
        <v>1</v>
      </c>
      <c r="J505" s="274" cm="1">
        <f t="array" aca="1" ref="J505" ca="1">INDIRECT("'"&amp;$C505&amp;"'!"&amp;"$"&amp;$D505&amp;$J$1&amp;"")</f>
        <v>6.8</v>
      </c>
      <c r="K505" s="275"/>
      <c r="L505" s="275">
        <v>0.97</v>
      </c>
      <c r="M505" s="276">
        <v>1.84</v>
      </c>
      <c r="N505" s="272" cm="1">
        <f t="array" aca="1" ref="N505" ca="1">INDIRECT("'"&amp;$C505&amp;"'!"&amp;"$"&amp;$D505&amp;$N$1&amp;"")</f>
        <v>0</v>
      </c>
      <c r="O505" s="275"/>
      <c r="P505" s="275" t="s">
        <v>1</v>
      </c>
      <c r="Q505" s="273" t="s">
        <v>1</v>
      </c>
      <c r="R505" s="467" cm="1">
        <f t="array" aca="1" ref="R505" ca="1">INDIRECT("'"&amp;$C505&amp;"'!"&amp;"$"&amp;$D505&amp;$R$1&amp;"")</f>
        <v>6.8</v>
      </c>
      <c r="S505" s="275"/>
      <c r="T505" s="275">
        <v>0.97</v>
      </c>
      <c r="U505" s="273">
        <v>1.85</v>
      </c>
      <c r="V505" s="274" cm="1">
        <f t="array" aca="1" ref="V505" ca="1">INDIRECT("'"&amp;$C505&amp;"'!"&amp;"$"&amp;$D505&amp;$V$1&amp;"")</f>
        <v>0</v>
      </c>
      <c r="W505" s="275" t="s">
        <v>1</v>
      </c>
      <c r="X505" s="275" t="s">
        <v>1</v>
      </c>
      <c r="Y505" s="276" t="s">
        <v>1</v>
      </c>
      <c r="Z505" s="272" t="str" cm="1">
        <f t="array" aca="1" ref="Z505" ca="1">INDIRECT("'"&amp;$C505&amp;"'!"&amp;"$"&amp;$D505&amp;$Z$1&amp;"")</f>
        <v>CMS</v>
      </c>
      <c r="AA505" s="275" t="s">
        <v>1</v>
      </c>
      <c r="AB505" s="275" t="s">
        <v>1</v>
      </c>
      <c r="AC505" s="273" t="s">
        <v>1</v>
      </c>
      <c r="AD505" s="274" cm="1">
        <f t="array" aca="1" ref="AD505" ca="1">INDIRECT("'"&amp;$C505&amp;"'!"&amp;"$"&amp;$D505&amp;$AD$1&amp;"")</f>
        <v>0</v>
      </c>
      <c r="AE505" s="275" t="s">
        <v>1</v>
      </c>
      <c r="AF505" s="275" t="s">
        <v>1</v>
      </c>
      <c r="AG505" s="273" t="s">
        <v>1</v>
      </c>
      <c r="AH505" s="272" cm="1">
        <f t="array" aca="1" ref="AH505" ca="1">INDIRECT("'"&amp;$C505&amp;"'!"&amp;"$"&amp;$D505&amp;$AH$1&amp;"")</f>
        <v>0</v>
      </c>
      <c r="AI505" s="275" t="s">
        <v>1</v>
      </c>
      <c r="AJ505" s="275" t="s">
        <v>1</v>
      </c>
      <c r="AK505" s="273" t="s">
        <v>1</v>
      </c>
      <c r="AL505" s="272">
        <v>11.6</v>
      </c>
      <c r="AM505" s="276">
        <v>71</v>
      </c>
      <c r="AN505" s="272" cm="1">
        <f t="array" aca="1" ref="AN505" ca="1">INDIRECT("'"&amp;$C505&amp;"'!"&amp;"$"&amp;$D505&amp;$AL$1&amp;"")</f>
        <v>0</v>
      </c>
      <c r="AO505" s="275" t="s">
        <v>1</v>
      </c>
      <c r="AP505" s="273" t="s">
        <v>1</v>
      </c>
      <c r="AQ505" s="274" cm="1">
        <f t="array" aca="1" ref="AQ505" ca="1">INDIRECT("'"&amp;$C505&amp;"'!"&amp;"$"&amp;$D505&amp;$AQ$1&amp;"")</f>
        <v>2.5</v>
      </c>
      <c r="AR505" s="275">
        <v>0.98</v>
      </c>
      <c r="AS505" s="273">
        <v>0.25</v>
      </c>
      <c r="AT505" s="272">
        <v>13.8</v>
      </c>
      <c r="AU505" s="276">
        <v>70.900000000000006</v>
      </c>
      <c r="AV505" s="275" cm="1">
        <f t="array" aca="1" ref="AV505" ca="1">INDIRECT("'"&amp;$C505&amp;"'!"&amp;"$"&amp;$D505&amp;$AV$1&amp;"")</f>
        <v>0</v>
      </c>
      <c r="AW505" s="274" t="s">
        <v>1</v>
      </c>
      <c r="AX505" s="275" t="s">
        <v>1</v>
      </c>
      <c r="AY505" s="273" t="s">
        <v>1</v>
      </c>
      <c r="AZ505" s="275" cm="1">
        <f t="array" aca="1" ref="AZ505" ca="1">INDIRECT("'"&amp;$C505&amp;"'!"&amp;"$"&amp;$D505&amp;$AZ$1&amp;"")</f>
        <v>7</v>
      </c>
      <c r="BA505" s="274" t="s">
        <v>1</v>
      </c>
      <c r="BB505" s="275">
        <v>0.99</v>
      </c>
      <c r="BC505" s="273">
        <v>1.01</v>
      </c>
      <c r="BD505" s="277">
        <v>14.11</v>
      </c>
      <c r="BE505" s="276">
        <v>71.86</v>
      </c>
      <c r="BF505" s="277" cm="1">
        <f t="array" aca="1" ref="BF505" ca="1">INDIRECT("'"&amp;$C505&amp;"'!"&amp;"$"&amp;$D505&amp;$BF$1&amp;"")</f>
        <v>14.18</v>
      </c>
      <c r="BG505" s="275">
        <v>1</v>
      </c>
      <c r="BH505" s="273">
        <v>1.25</v>
      </c>
      <c r="BI505" s="523">
        <v>69.099999999999994</v>
      </c>
      <c r="BJ505" s="272" cm="1">
        <f t="array" aca="1" ref="BJ505" ca="1">INDIRECT("'"&amp;$C505&amp;"'!"&amp;"$"&amp;$D505&amp;$BI$1&amp;"")</f>
        <v>0</v>
      </c>
      <c r="BK505" s="274" t="s">
        <v>1</v>
      </c>
      <c r="BL505" s="273" t="s">
        <v>1</v>
      </c>
      <c r="BM505" s="277" cm="1">
        <f t="array" aca="1" ref="BM505" ca="1">INDIRECT("'"&amp;$C505&amp;"'!"&amp;"$"&amp;$D505&amp;$BM$1&amp;"")</f>
        <v>0.93</v>
      </c>
      <c r="BN505" s="275"/>
      <c r="BO505" s="275">
        <v>0.99</v>
      </c>
      <c r="BP505" s="273">
        <v>0.11</v>
      </c>
      <c r="BQ505" s="277" cm="1">
        <f t="array" aca="1" ref="BQ505" ca="1">INDIRECT("'"&amp;$C505&amp;"'!"&amp;"$"&amp;$D505&amp;$BQ$1&amp;"")</f>
        <v>0.82</v>
      </c>
      <c r="BR505" s="275"/>
      <c r="BS505" s="275">
        <v>0.96</v>
      </c>
      <c r="BT505" s="273">
        <v>0.21</v>
      </c>
      <c r="BU505" s="358" cm="1">
        <f t="array" aca="1" ref="BU505" ca="1">INDIRECT("'"&amp;$C505&amp;"'!"&amp;"$"&amp;$D505&amp;74&amp;"")</f>
        <v>0</v>
      </c>
      <c r="BV505" s="275"/>
      <c r="BW505" s="275" t="s">
        <v>1</v>
      </c>
      <c r="BX505" s="273" t="s">
        <v>1</v>
      </c>
    </row>
    <row r="506" spans="1:76">
      <c r="A506" s="459">
        <v>45859</v>
      </c>
      <c r="B506" s="345">
        <v>4.1666666666666699E-2</v>
      </c>
      <c r="C506" s="305">
        <v>21</v>
      </c>
      <c r="D506" s="306" t="s">
        <v>143</v>
      </c>
      <c r="E506" s="278">
        <v>14.1</v>
      </c>
      <c r="F506" s="279">
        <v>70.31</v>
      </c>
      <c r="G506" s="280" t="str" cm="1">
        <f t="array" aca="1" ref="G506" ca="1">INDIRECT("'"&amp;$C506&amp;"'!"&amp;"$"&amp;$D506&amp;$E$1&amp;"")</f>
        <v>CMS</v>
      </c>
      <c r="H506" s="281" t="s">
        <v>1</v>
      </c>
      <c r="I506" s="279" t="s">
        <v>1</v>
      </c>
      <c r="J506" s="280" cm="1">
        <f t="array" aca="1" ref="J506" ca="1">INDIRECT("'"&amp;$C506&amp;"'!"&amp;"$"&amp;$D506&amp;$J$1&amp;"")</f>
        <v>6.7</v>
      </c>
      <c r="K506" s="281"/>
      <c r="L506" s="281">
        <v>0.99</v>
      </c>
      <c r="M506" s="282">
        <v>1.1499999999999999</v>
      </c>
      <c r="N506" s="278" cm="1">
        <f t="array" aca="1" ref="N506" ca="1">INDIRECT("'"&amp;$C506&amp;"'!"&amp;"$"&amp;$D506&amp;$N$1&amp;"")</f>
        <v>0</v>
      </c>
      <c r="O506" s="281"/>
      <c r="P506" s="281" t="s">
        <v>1</v>
      </c>
      <c r="Q506" s="279" t="s">
        <v>1</v>
      </c>
      <c r="R506" s="468" cm="1">
        <f t="array" aca="1" ref="R506" ca="1">INDIRECT("'"&amp;$C506&amp;"'!"&amp;"$"&amp;$D506&amp;$R$1&amp;"")</f>
        <v>6.6</v>
      </c>
      <c r="S506" s="281"/>
      <c r="T506" s="281">
        <v>0.97</v>
      </c>
      <c r="U506" s="279">
        <v>1.72</v>
      </c>
      <c r="V506" s="280" cm="1">
        <f t="array" aca="1" ref="V506" ca="1">INDIRECT("'"&amp;$C506&amp;"'!"&amp;"$"&amp;$D506&amp;$V$1&amp;"")</f>
        <v>0</v>
      </c>
      <c r="W506" s="281" t="s">
        <v>1</v>
      </c>
      <c r="X506" s="281" t="s">
        <v>1</v>
      </c>
      <c r="Y506" s="282" t="s">
        <v>1</v>
      </c>
      <c r="Z506" s="278" t="str" cm="1">
        <f t="array" aca="1" ref="Z506" ca="1">INDIRECT("'"&amp;$C506&amp;"'!"&amp;"$"&amp;$D506&amp;$Z$1&amp;"")</f>
        <v>CMS</v>
      </c>
      <c r="AA506" s="281" t="s">
        <v>1</v>
      </c>
      <c r="AB506" s="281" t="s">
        <v>1</v>
      </c>
      <c r="AC506" s="279" t="s">
        <v>1</v>
      </c>
      <c r="AD506" s="280" cm="1">
        <f t="array" aca="1" ref="AD506" ca="1">INDIRECT("'"&amp;$C506&amp;"'!"&amp;"$"&amp;$D506&amp;$AD$1&amp;"")</f>
        <v>0</v>
      </c>
      <c r="AE506" s="281" t="s">
        <v>1</v>
      </c>
      <c r="AF506" s="281" t="s">
        <v>1</v>
      </c>
      <c r="AG506" s="282" t="s">
        <v>1</v>
      </c>
      <c r="AH506" s="278" cm="1">
        <f t="array" aca="1" ref="AH506" ca="1">INDIRECT("'"&amp;$C506&amp;"'!"&amp;"$"&amp;$D506&amp;$AH$1&amp;"")</f>
        <v>0</v>
      </c>
      <c r="AI506" s="281" t="s">
        <v>1</v>
      </c>
      <c r="AJ506" s="281" t="s">
        <v>1</v>
      </c>
      <c r="AK506" s="279" t="s">
        <v>1</v>
      </c>
      <c r="AL506" s="278">
        <v>11.6</v>
      </c>
      <c r="AM506" s="282">
        <v>71</v>
      </c>
      <c r="AN506" s="278" cm="1">
        <f t="array" aca="1" ref="AN506" ca="1">INDIRECT("'"&amp;$C506&amp;"'!"&amp;"$"&amp;$D506&amp;$AL$1&amp;"")</f>
        <v>0</v>
      </c>
      <c r="AO506" s="281" t="s">
        <v>1</v>
      </c>
      <c r="AP506" s="279" t="s">
        <v>1</v>
      </c>
      <c r="AQ506" s="280" cm="1">
        <f t="array" aca="1" ref="AQ506" ca="1">INDIRECT("'"&amp;$C506&amp;"'!"&amp;"$"&amp;$D506&amp;$AQ$1&amp;"")</f>
        <v>1.5</v>
      </c>
      <c r="AR506" s="281">
        <v>0.98</v>
      </c>
      <c r="AS506" s="279">
        <v>0.3</v>
      </c>
      <c r="AT506" s="278">
        <v>13.8</v>
      </c>
      <c r="AU506" s="282">
        <v>70.900000000000006</v>
      </c>
      <c r="AV506" s="281" cm="1">
        <f t="array" aca="1" ref="AV506" ca="1">INDIRECT("'"&amp;$C506&amp;"'!"&amp;"$"&amp;$D506&amp;$AV$1&amp;"")</f>
        <v>0</v>
      </c>
      <c r="AW506" s="280" t="s">
        <v>1</v>
      </c>
      <c r="AX506" s="281" t="s">
        <v>1</v>
      </c>
      <c r="AY506" s="279" t="s">
        <v>1</v>
      </c>
      <c r="AZ506" s="281" cm="1">
        <f t="array" aca="1" ref="AZ506" ca="1">INDIRECT("'"&amp;$C506&amp;"'!"&amp;"$"&amp;$D506&amp;$AZ$1&amp;"")</f>
        <v>5.9</v>
      </c>
      <c r="BA506" s="280" t="s">
        <v>1</v>
      </c>
      <c r="BB506" s="281">
        <v>0.98</v>
      </c>
      <c r="BC506" s="279">
        <v>1.02</v>
      </c>
      <c r="BD506" s="283">
        <v>14.15</v>
      </c>
      <c r="BE506" s="282">
        <v>72.03</v>
      </c>
      <c r="BF506" s="283" cm="1">
        <f t="array" aca="1" ref="BF506" ca="1">INDIRECT("'"&amp;$C506&amp;"'!"&amp;"$"&amp;$D506&amp;$BF$1&amp;"")</f>
        <v>14.29</v>
      </c>
      <c r="BG506" s="281">
        <v>1</v>
      </c>
      <c r="BH506" s="279">
        <v>1.25</v>
      </c>
      <c r="BI506" s="524">
        <v>69.3</v>
      </c>
      <c r="BJ506" s="278" cm="1">
        <f t="array" aca="1" ref="BJ506" ca="1">INDIRECT("'"&amp;$C506&amp;"'!"&amp;"$"&amp;$D506&amp;$BI$1&amp;"")</f>
        <v>0</v>
      </c>
      <c r="BK506" s="280" t="s">
        <v>1</v>
      </c>
      <c r="BL506" s="279" t="s">
        <v>1</v>
      </c>
      <c r="BM506" s="283" cm="1">
        <f t="array" aca="1" ref="BM506" ca="1">INDIRECT("'"&amp;$C506&amp;"'!"&amp;"$"&amp;$D506&amp;$BM$1&amp;"")</f>
        <v>0.86</v>
      </c>
      <c r="BN506" s="281"/>
      <c r="BO506" s="281">
        <v>0.99</v>
      </c>
      <c r="BP506" s="279">
        <v>0.1</v>
      </c>
      <c r="BQ506" s="283" cm="1">
        <f t="array" aca="1" ref="BQ506" ca="1">INDIRECT("'"&amp;$C506&amp;"'!"&amp;"$"&amp;$D506&amp;$BQ$1&amp;"")</f>
        <v>0.77</v>
      </c>
      <c r="BR506" s="281"/>
      <c r="BS506" s="281">
        <v>0.96</v>
      </c>
      <c r="BT506" s="279">
        <v>0.2</v>
      </c>
      <c r="BU506" s="284" cm="1">
        <f t="array" aca="1" ref="BU506" ca="1">INDIRECT("'"&amp;$C506&amp;"'!"&amp;"$"&amp;$D506&amp;74&amp;"")</f>
        <v>0</v>
      </c>
      <c r="BV506" s="281"/>
      <c r="BW506" s="281" t="s">
        <v>1</v>
      </c>
      <c r="BX506" s="279" t="s">
        <v>1</v>
      </c>
    </row>
    <row r="507" spans="1:76">
      <c r="A507" s="459">
        <v>45859</v>
      </c>
      <c r="B507" s="345">
        <v>8.3333333333333301E-2</v>
      </c>
      <c r="C507" s="305">
        <v>21</v>
      </c>
      <c r="D507" s="306" t="s">
        <v>144</v>
      </c>
      <c r="E507" s="285">
        <v>14.2</v>
      </c>
      <c r="F507" s="286">
        <v>70.5</v>
      </c>
      <c r="G507" s="287" t="str" cm="1">
        <f t="array" aca="1" ref="G507" ca="1">INDIRECT("'"&amp;$C507&amp;"'!"&amp;"$"&amp;$D507&amp;$E$1&amp;"")</f>
        <v>CMS</v>
      </c>
      <c r="H507" s="288" t="s">
        <v>1</v>
      </c>
      <c r="I507" s="286" t="s">
        <v>1</v>
      </c>
      <c r="J507" s="287" cm="1">
        <f t="array" aca="1" ref="J507" ca="1">INDIRECT("'"&amp;$C507&amp;"'!"&amp;"$"&amp;$D507&amp;$J$1&amp;"")</f>
        <v>6.7</v>
      </c>
      <c r="K507" s="288"/>
      <c r="L507" s="288">
        <v>0.98</v>
      </c>
      <c r="M507" s="289">
        <v>1.45</v>
      </c>
      <c r="N507" s="285" cm="1">
        <f t="array" aca="1" ref="N507" ca="1">INDIRECT("'"&amp;$C507&amp;"'!"&amp;"$"&amp;$D507&amp;$N$1&amp;"")</f>
        <v>0</v>
      </c>
      <c r="O507" s="288"/>
      <c r="P507" s="288" t="s">
        <v>1</v>
      </c>
      <c r="Q507" s="286" t="s">
        <v>1</v>
      </c>
      <c r="R507" s="285" cm="1">
        <f t="array" aca="1" ref="R507" ca="1">INDIRECT("'"&amp;$C507&amp;"'!"&amp;"$"&amp;$D507&amp;$R$1&amp;"")</f>
        <v>6.7</v>
      </c>
      <c r="S507" s="288"/>
      <c r="T507" s="288">
        <v>0.98</v>
      </c>
      <c r="U507" s="286">
        <v>1.45</v>
      </c>
      <c r="V507" s="287" cm="1">
        <f t="array" aca="1" ref="V507" ca="1">INDIRECT("'"&amp;$C507&amp;"'!"&amp;"$"&amp;$D507&amp;$V$1&amp;"")</f>
        <v>0</v>
      </c>
      <c r="W507" s="288" t="s">
        <v>1</v>
      </c>
      <c r="X507" s="288" t="s">
        <v>1</v>
      </c>
      <c r="Y507" s="289" t="s">
        <v>1</v>
      </c>
      <c r="Z507" s="278" t="str" cm="1">
        <f t="array" aca="1" ref="Z507" ca="1">INDIRECT("'"&amp;$C507&amp;"'!"&amp;"$"&amp;$D507&amp;$Z$1&amp;"")</f>
        <v>CMS</v>
      </c>
      <c r="AA507" s="288" t="s">
        <v>1</v>
      </c>
      <c r="AB507" s="288" t="s">
        <v>1</v>
      </c>
      <c r="AC507" s="286" t="s">
        <v>1</v>
      </c>
      <c r="AD507" s="287" cm="1">
        <f t="array" aca="1" ref="AD507" ca="1">INDIRECT("'"&amp;$C507&amp;"'!"&amp;"$"&amp;$D507&amp;$AD$1&amp;"")</f>
        <v>0</v>
      </c>
      <c r="AE507" s="288" t="s">
        <v>1</v>
      </c>
      <c r="AF507" s="288" t="s">
        <v>1</v>
      </c>
      <c r="AG507" s="289" t="s">
        <v>1</v>
      </c>
      <c r="AH507" s="285" cm="1">
        <f t="array" aca="1" ref="AH507" ca="1">INDIRECT("'"&amp;$C507&amp;"'!"&amp;"$"&amp;$D507&amp;$AH$1&amp;"")</f>
        <v>0</v>
      </c>
      <c r="AI507" s="288" t="s">
        <v>1</v>
      </c>
      <c r="AJ507" s="288" t="s">
        <v>1</v>
      </c>
      <c r="AK507" s="289" t="s">
        <v>1</v>
      </c>
      <c r="AL507" s="285" t="s">
        <v>1</v>
      </c>
      <c r="AM507" s="289">
        <v>71</v>
      </c>
      <c r="AN507" s="285" cm="1">
        <f t="array" aca="1" ref="AN507" ca="1">INDIRECT("'"&amp;$C507&amp;"'!"&amp;"$"&amp;$D507&amp;$AL$1&amp;"")</f>
        <v>0</v>
      </c>
      <c r="AO507" s="288" t="s">
        <v>1</v>
      </c>
      <c r="AP507" s="286" t="s">
        <v>1</v>
      </c>
      <c r="AQ507" s="287" cm="1">
        <f t="array" aca="1" ref="AQ507" ca="1">INDIRECT("'"&amp;$C507&amp;"'!"&amp;"$"&amp;$D507&amp;$AQ$1&amp;"")</f>
        <v>0</v>
      </c>
      <c r="AR507" s="288" t="s">
        <v>1</v>
      </c>
      <c r="AS507" s="286" t="s">
        <v>1</v>
      </c>
      <c r="AT507" s="285">
        <v>13.8</v>
      </c>
      <c r="AU507" s="289">
        <v>71</v>
      </c>
      <c r="AV507" s="288" cm="1">
        <f t="array" aca="1" ref="AV507" ca="1">INDIRECT("'"&amp;$C507&amp;"'!"&amp;"$"&amp;$D507&amp;$AV$1&amp;"")</f>
        <v>0</v>
      </c>
      <c r="AW507" s="287" t="s">
        <v>1</v>
      </c>
      <c r="AX507" s="288" t="s">
        <v>1</v>
      </c>
      <c r="AY507" s="286" t="s">
        <v>1</v>
      </c>
      <c r="AZ507" s="288" cm="1">
        <f t="array" aca="1" ref="AZ507" ca="1">INDIRECT("'"&amp;$C507&amp;"'!"&amp;"$"&amp;$D507&amp;$AZ$1&amp;"")</f>
        <v>5.5</v>
      </c>
      <c r="BA507" s="287" t="s">
        <v>1</v>
      </c>
      <c r="BB507" s="288">
        <v>0.98</v>
      </c>
      <c r="BC507" s="286">
        <v>1.07</v>
      </c>
      <c r="BD507" s="290">
        <v>14.13</v>
      </c>
      <c r="BE507" s="289">
        <v>71.87</v>
      </c>
      <c r="BF507" s="290" cm="1">
        <f t="array" aca="1" ref="BF507" ca="1">INDIRECT("'"&amp;$C507&amp;"'!"&amp;"$"&amp;$D507&amp;$BF$1&amp;"")</f>
        <v>14.26</v>
      </c>
      <c r="BG507" s="288">
        <v>1</v>
      </c>
      <c r="BH507" s="286">
        <v>1.28</v>
      </c>
      <c r="BI507" s="525">
        <v>69.400000000000006</v>
      </c>
      <c r="BJ507" s="285" cm="1">
        <f t="array" aca="1" ref="BJ507" ca="1">INDIRECT("'"&amp;$C507&amp;"'!"&amp;"$"&amp;$D507&amp;$BI$1&amp;"")</f>
        <v>0</v>
      </c>
      <c r="BK507" s="287" t="s">
        <v>1</v>
      </c>
      <c r="BL507" s="286" t="s">
        <v>1</v>
      </c>
      <c r="BM507" s="290" cm="1">
        <f t="array" aca="1" ref="BM507" ca="1">INDIRECT("'"&amp;$C507&amp;"'!"&amp;"$"&amp;$D507&amp;$BM$1&amp;"")</f>
        <v>0.85</v>
      </c>
      <c r="BN507" s="288"/>
      <c r="BO507" s="288">
        <v>0.99</v>
      </c>
      <c r="BP507" s="286">
        <v>0.09</v>
      </c>
      <c r="BQ507" s="290" cm="1">
        <f t="array" aca="1" ref="BQ507" ca="1">INDIRECT("'"&amp;$C507&amp;"'!"&amp;"$"&amp;$D507&amp;$BQ$1&amp;"")</f>
        <v>0.74</v>
      </c>
      <c r="BR507" s="288"/>
      <c r="BS507" s="288">
        <v>0.96</v>
      </c>
      <c r="BT507" s="286">
        <v>0.2</v>
      </c>
      <c r="BU507" s="291" cm="1">
        <f t="array" aca="1" ref="BU507" ca="1">INDIRECT("'"&amp;$C507&amp;"'!"&amp;"$"&amp;$D507&amp;74&amp;"")</f>
        <v>0</v>
      </c>
      <c r="BV507" s="288"/>
      <c r="BW507" s="288" t="s">
        <v>1</v>
      </c>
      <c r="BX507" s="286" t="s">
        <v>1</v>
      </c>
    </row>
    <row r="508" spans="1:76">
      <c r="A508" s="459">
        <v>45859</v>
      </c>
      <c r="B508" s="345">
        <v>0.125</v>
      </c>
      <c r="C508" s="305">
        <v>21</v>
      </c>
      <c r="D508" s="306" t="s">
        <v>145</v>
      </c>
      <c r="E508" s="278">
        <v>14.2</v>
      </c>
      <c r="F508" s="279">
        <v>70.510000000000005</v>
      </c>
      <c r="G508" s="280" t="str" cm="1">
        <f t="array" aca="1" ref="G508" ca="1">INDIRECT("'"&amp;$C508&amp;"'!"&amp;"$"&amp;$D508&amp;$E$1&amp;"")</f>
        <v>CMS</v>
      </c>
      <c r="H508" s="281" t="s">
        <v>1</v>
      </c>
      <c r="I508" s="279" t="s">
        <v>1</v>
      </c>
      <c r="J508" s="280" cm="1">
        <f t="array" aca="1" ref="J508" ca="1">INDIRECT("'"&amp;$C508&amp;"'!"&amp;"$"&amp;$D508&amp;$J$1&amp;"")</f>
        <v>6.7</v>
      </c>
      <c r="K508" s="281"/>
      <c r="L508" s="281">
        <v>0.98</v>
      </c>
      <c r="M508" s="282">
        <v>1.45</v>
      </c>
      <c r="N508" s="278" cm="1">
        <f t="array" aca="1" ref="N508" ca="1">INDIRECT("'"&amp;$C508&amp;"'!"&amp;"$"&amp;$D508&amp;$N$1&amp;"")</f>
        <v>0</v>
      </c>
      <c r="O508" s="281"/>
      <c r="P508" s="281" t="s">
        <v>1</v>
      </c>
      <c r="Q508" s="279" t="s">
        <v>1</v>
      </c>
      <c r="R508" s="468" cm="1">
        <f t="array" aca="1" ref="R508" ca="1">INDIRECT("'"&amp;$C508&amp;"'!"&amp;"$"&amp;$D508&amp;$R$1&amp;"")</f>
        <v>6.7</v>
      </c>
      <c r="S508" s="281"/>
      <c r="T508" s="281">
        <v>0.98</v>
      </c>
      <c r="U508" s="279">
        <v>1.46</v>
      </c>
      <c r="V508" s="280" cm="1">
        <f t="array" aca="1" ref="V508" ca="1">INDIRECT("'"&amp;$C508&amp;"'!"&amp;"$"&amp;$D508&amp;$V$1&amp;"")</f>
        <v>0</v>
      </c>
      <c r="W508" s="281" t="s">
        <v>1</v>
      </c>
      <c r="X508" s="281" t="s">
        <v>1</v>
      </c>
      <c r="Y508" s="282" t="s">
        <v>1</v>
      </c>
      <c r="Z508" s="278" t="str" cm="1">
        <f t="array" aca="1" ref="Z508" ca="1">INDIRECT("'"&amp;$C508&amp;"'!"&amp;"$"&amp;$D508&amp;$Z$1&amp;"")</f>
        <v>CMS</v>
      </c>
      <c r="AA508" s="281" t="s">
        <v>1</v>
      </c>
      <c r="AB508" s="281" t="s">
        <v>1</v>
      </c>
      <c r="AC508" s="279" t="s">
        <v>1</v>
      </c>
      <c r="AD508" s="280" cm="1">
        <f t="array" aca="1" ref="AD508" ca="1">INDIRECT("'"&amp;$C508&amp;"'!"&amp;"$"&amp;$D508&amp;$AD$1&amp;"")</f>
        <v>0</v>
      </c>
      <c r="AE508" s="281" t="s">
        <v>1</v>
      </c>
      <c r="AF508" s="281" t="s">
        <v>1</v>
      </c>
      <c r="AG508" s="282" t="s">
        <v>1</v>
      </c>
      <c r="AH508" s="278" cm="1">
        <f t="array" aca="1" ref="AH508" ca="1">INDIRECT("'"&amp;$C508&amp;"'!"&amp;"$"&amp;$D508&amp;$AH$1&amp;"")</f>
        <v>0</v>
      </c>
      <c r="AI508" s="281" t="s">
        <v>1</v>
      </c>
      <c r="AJ508" s="281" t="s">
        <v>1</v>
      </c>
      <c r="AK508" s="279" t="s">
        <v>1</v>
      </c>
      <c r="AL508" s="278" t="s">
        <v>1</v>
      </c>
      <c r="AM508" s="282">
        <v>71</v>
      </c>
      <c r="AN508" s="278" cm="1">
        <f t="array" aca="1" ref="AN508" ca="1">INDIRECT("'"&amp;$C508&amp;"'!"&amp;"$"&amp;$D508&amp;$AL$1&amp;"")</f>
        <v>0</v>
      </c>
      <c r="AO508" s="281" t="s">
        <v>1</v>
      </c>
      <c r="AP508" s="279" t="s">
        <v>1</v>
      </c>
      <c r="AQ508" s="280" cm="1">
        <f t="array" aca="1" ref="AQ508" ca="1">INDIRECT("'"&amp;$C508&amp;"'!"&amp;"$"&amp;$D508&amp;$AQ$1&amp;"")</f>
        <v>0</v>
      </c>
      <c r="AR508" s="281" t="s">
        <v>1</v>
      </c>
      <c r="AS508" s="279" t="s">
        <v>1</v>
      </c>
      <c r="AT508" s="278">
        <v>13.8</v>
      </c>
      <c r="AU508" s="282">
        <v>71</v>
      </c>
      <c r="AV508" s="281" cm="1">
        <f t="array" aca="1" ref="AV508" ca="1">INDIRECT("'"&amp;$C508&amp;"'!"&amp;"$"&amp;$D508&amp;$AV$1&amp;"")</f>
        <v>0</v>
      </c>
      <c r="AW508" s="280" t="s">
        <v>1</v>
      </c>
      <c r="AX508" s="281" t="s">
        <v>1</v>
      </c>
      <c r="AY508" s="279" t="s">
        <v>1</v>
      </c>
      <c r="AZ508" s="281" cm="1">
        <f t="array" aca="1" ref="AZ508" ca="1">INDIRECT("'"&amp;$C508&amp;"'!"&amp;"$"&amp;$D508&amp;$AZ$1&amp;"")</f>
        <v>5.5</v>
      </c>
      <c r="BA508" s="280" t="s">
        <v>1</v>
      </c>
      <c r="BB508" s="281">
        <v>0.98</v>
      </c>
      <c r="BC508" s="279">
        <v>0.96</v>
      </c>
      <c r="BD508" s="283">
        <v>14.15</v>
      </c>
      <c r="BE508" s="282">
        <v>71.989999999999995</v>
      </c>
      <c r="BF508" s="283" cm="1">
        <f t="array" aca="1" ref="BF508" ca="1">INDIRECT("'"&amp;$C508&amp;"'!"&amp;"$"&amp;$D508&amp;$BF$1&amp;"")</f>
        <v>13.78</v>
      </c>
      <c r="BG508" s="281">
        <v>1</v>
      </c>
      <c r="BH508" s="279">
        <v>1.26</v>
      </c>
      <c r="BI508" s="524">
        <v>69.599999999999994</v>
      </c>
      <c r="BJ508" s="278" cm="1">
        <f t="array" aca="1" ref="BJ508" ca="1">INDIRECT("'"&amp;$C508&amp;"'!"&amp;"$"&amp;$D508&amp;$BI$1&amp;"")</f>
        <v>0</v>
      </c>
      <c r="BK508" s="280" t="s">
        <v>1</v>
      </c>
      <c r="BL508" s="279" t="s">
        <v>1</v>
      </c>
      <c r="BM508" s="283" cm="1">
        <f t="array" aca="1" ref="BM508" ca="1">INDIRECT("'"&amp;$C508&amp;"'!"&amp;"$"&amp;$D508&amp;$BM$1&amp;"")</f>
        <v>0.83</v>
      </c>
      <c r="BN508" s="281"/>
      <c r="BO508" s="281">
        <v>0.99</v>
      </c>
      <c r="BP508" s="279">
        <v>0.09</v>
      </c>
      <c r="BQ508" s="283" cm="1">
        <f t="array" aca="1" ref="BQ508" ca="1">INDIRECT("'"&amp;$C508&amp;"'!"&amp;"$"&amp;$D508&amp;$BQ$1&amp;"")</f>
        <v>0.72</v>
      </c>
      <c r="BR508" s="281"/>
      <c r="BS508" s="281">
        <v>0.96</v>
      </c>
      <c r="BT508" s="279">
        <v>0.19</v>
      </c>
      <c r="BU508" s="284" cm="1">
        <f t="array" aca="1" ref="BU508" ca="1">INDIRECT("'"&amp;$C508&amp;"'!"&amp;"$"&amp;$D508&amp;74&amp;"")</f>
        <v>0</v>
      </c>
      <c r="BV508" s="281"/>
      <c r="BW508" s="281" t="s">
        <v>1</v>
      </c>
      <c r="BX508" s="279" t="s">
        <v>1</v>
      </c>
    </row>
    <row r="509" spans="1:76">
      <c r="A509" s="459">
        <v>45859</v>
      </c>
      <c r="B509" s="345">
        <v>0.16666666666666699</v>
      </c>
      <c r="C509" s="305">
        <v>21</v>
      </c>
      <c r="D509" s="306" t="s">
        <v>146</v>
      </c>
      <c r="E509" s="285">
        <v>14.1</v>
      </c>
      <c r="F509" s="286">
        <v>70.91</v>
      </c>
      <c r="G509" s="287" t="str" cm="1">
        <f t="array" aca="1" ref="G509" ca="1">INDIRECT("'"&amp;$C509&amp;"'!"&amp;"$"&amp;$D509&amp;$E$1&amp;"")</f>
        <v>CMS</v>
      </c>
      <c r="H509" s="288" t="s">
        <v>1</v>
      </c>
      <c r="I509" s="286" t="s">
        <v>1</v>
      </c>
      <c r="J509" s="287" cm="1">
        <f t="array" aca="1" ref="J509" ca="1">INDIRECT("'"&amp;$C509&amp;"'!"&amp;"$"&amp;$D509&amp;$J$1&amp;"")</f>
        <v>6.9</v>
      </c>
      <c r="K509" s="288"/>
      <c r="L509" s="288">
        <v>0.99</v>
      </c>
      <c r="M509" s="286">
        <v>0.91</v>
      </c>
      <c r="N509" s="285" cm="1">
        <f t="array" aca="1" ref="N509" ca="1">INDIRECT("'"&amp;$C509&amp;"'!"&amp;"$"&amp;$D509&amp;$N$1&amp;"")</f>
        <v>0</v>
      </c>
      <c r="O509" s="288"/>
      <c r="P509" s="288" t="s">
        <v>1</v>
      </c>
      <c r="Q509" s="286" t="s">
        <v>1</v>
      </c>
      <c r="R509" s="285" cm="1">
        <f t="array" aca="1" ref="R509" ca="1">INDIRECT("'"&amp;$C509&amp;"'!"&amp;"$"&amp;$D509&amp;$R$1&amp;"")</f>
        <v>6.8</v>
      </c>
      <c r="S509" s="288"/>
      <c r="T509" s="288">
        <v>0.98</v>
      </c>
      <c r="U509" s="286">
        <v>1.39</v>
      </c>
      <c r="V509" s="287" cm="1">
        <f t="array" aca="1" ref="V509" ca="1">INDIRECT("'"&amp;$C509&amp;"'!"&amp;"$"&amp;$D509&amp;$V$1&amp;"")</f>
        <v>0</v>
      </c>
      <c r="W509" s="288" t="s">
        <v>1</v>
      </c>
      <c r="X509" s="288" t="s">
        <v>1</v>
      </c>
      <c r="Y509" s="289" t="s">
        <v>1</v>
      </c>
      <c r="Z509" s="285" t="str" cm="1">
        <f t="array" aca="1" ref="Z509" ca="1">INDIRECT("'"&amp;$C509&amp;"'!"&amp;"$"&amp;$D509&amp;$Z$1&amp;"")</f>
        <v>CMS</v>
      </c>
      <c r="AA509" s="288" t="s">
        <v>1</v>
      </c>
      <c r="AB509" s="288" t="s">
        <v>1</v>
      </c>
      <c r="AC509" s="286" t="s">
        <v>1</v>
      </c>
      <c r="AD509" s="287" cm="1">
        <f t="array" aca="1" ref="AD509" ca="1">INDIRECT("'"&amp;$C509&amp;"'!"&amp;"$"&amp;$D509&amp;$AD$1&amp;"")</f>
        <v>0</v>
      </c>
      <c r="AE509" s="288" t="s">
        <v>1</v>
      </c>
      <c r="AF509" s="288" t="s">
        <v>1</v>
      </c>
      <c r="AG509" s="289" t="s">
        <v>1</v>
      </c>
      <c r="AH509" s="285" cm="1">
        <f t="array" aca="1" ref="AH509" ca="1">INDIRECT("'"&amp;$C509&amp;"'!"&amp;"$"&amp;$D509&amp;$AH$1&amp;"")</f>
        <v>0</v>
      </c>
      <c r="AI509" s="288" t="s">
        <v>1</v>
      </c>
      <c r="AJ509" s="288" t="s">
        <v>1</v>
      </c>
      <c r="AK509" s="286" t="s">
        <v>1</v>
      </c>
      <c r="AL509" s="285" t="s">
        <v>1</v>
      </c>
      <c r="AM509" s="289">
        <v>71</v>
      </c>
      <c r="AN509" s="285" cm="1">
        <f t="array" aca="1" ref="AN509" ca="1">INDIRECT("'"&amp;$C509&amp;"'!"&amp;"$"&amp;$D509&amp;$AL$1&amp;"")</f>
        <v>0</v>
      </c>
      <c r="AO509" s="288" t="s">
        <v>1</v>
      </c>
      <c r="AP509" s="286" t="s">
        <v>1</v>
      </c>
      <c r="AQ509" s="287" cm="1">
        <f t="array" aca="1" ref="AQ509" ca="1">INDIRECT("'"&amp;$C509&amp;"'!"&amp;"$"&amp;$D509&amp;$AQ$1&amp;"")</f>
        <v>0</v>
      </c>
      <c r="AR509" s="288" t="s">
        <v>1</v>
      </c>
      <c r="AS509" s="286" t="s">
        <v>1</v>
      </c>
      <c r="AT509" s="285">
        <v>13.8</v>
      </c>
      <c r="AU509" s="289">
        <v>71</v>
      </c>
      <c r="AV509" s="288" cm="1">
        <f t="array" aca="1" ref="AV509" ca="1">INDIRECT("'"&amp;$C509&amp;"'!"&amp;"$"&amp;$D509&amp;$AV$1&amp;"")</f>
        <v>0</v>
      </c>
      <c r="AW509" s="287" t="s">
        <v>1</v>
      </c>
      <c r="AX509" s="288" t="s">
        <v>1</v>
      </c>
      <c r="AY509" s="286" t="s">
        <v>1</v>
      </c>
      <c r="AZ509" s="288" cm="1">
        <f t="array" aca="1" ref="AZ509" ca="1">INDIRECT("'"&amp;$C509&amp;"'!"&amp;"$"&amp;$D509&amp;$AZ$1&amp;"")</f>
        <v>5.5</v>
      </c>
      <c r="BA509" s="287" t="s">
        <v>1</v>
      </c>
      <c r="BB509" s="288">
        <v>0.99</v>
      </c>
      <c r="BC509" s="286">
        <v>0.86</v>
      </c>
      <c r="BD509" s="290">
        <v>14.14</v>
      </c>
      <c r="BE509" s="289">
        <v>71.94</v>
      </c>
      <c r="BF509" s="290" cm="1">
        <f t="array" aca="1" ref="BF509" ca="1">INDIRECT("'"&amp;$C509&amp;"'!"&amp;"$"&amp;$D509&amp;$BF$1&amp;"")</f>
        <v>12.77</v>
      </c>
      <c r="BG509" s="288">
        <v>1</v>
      </c>
      <c r="BH509" s="286">
        <v>1.1499999999999999</v>
      </c>
      <c r="BI509" s="525">
        <v>69.599999999999994</v>
      </c>
      <c r="BJ509" s="285" cm="1">
        <f t="array" aca="1" ref="BJ509" ca="1">INDIRECT("'"&amp;$C509&amp;"'!"&amp;"$"&amp;$D509&amp;$BI$1&amp;"")</f>
        <v>0</v>
      </c>
      <c r="BK509" s="287" t="s">
        <v>1</v>
      </c>
      <c r="BL509" s="286" t="s">
        <v>1</v>
      </c>
      <c r="BM509" s="290" cm="1">
        <f t="array" aca="1" ref="BM509" ca="1">INDIRECT("'"&amp;$C509&amp;"'!"&amp;"$"&amp;$D509&amp;$BM$1&amp;"")</f>
        <v>0</v>
      </c>
      <c r="BN509" s="288"/>
      <c r="BO509" s="288" t="s">
        <v>1</v>
      </c>
      <c r="BP509" s="286" t="s">
        <v>1</v>
      </c>
      <c r="BQ509" s="290" cm="1">
        <f t="array" aca="1" ref="BQ509" ca="1">INDIRECT("'"&amp;$C509&amp;"'!"&amp;"$"&amp;$D509&amp;$BQ$1&amp;"")</f>
        <v>0.7</v>
      </c>
      <c r="BR509" s="288"/>
      <c r="BS509" s="288">
        <v>0.96</v>
      </c>
      <c r="BT509" s="286">
        <v>0.19</v>
      </c>
      <c r="BU509" s="291" cm="1">
        <f t="array" aca="1" ref="BU509" ca="1">INDIRECT("'"&amp;$C509&amp;"'!"&amp;"$"&amp;$D509&amp;74&amp;"")</f>
        <v>0</v>
      </c>
      <c r="BV509" s="288"/>
      <c r="BW509" s="288" t="s">
        <v>1</v>
      </c>
      <c r="BX509" s="286" t="s">
        <v>1</v>
      </c>
    </row>
    <row r="510" spans="1:76">
      <c r="A510" s="459">
        <v>45859</v>
      </c>
      <c r="B510" s="345">
        <v>0.20833333333333301</v>
      </c>
      <c r="C510" s="305">
        <v>21</v>
      </c>
      <c r="D510" s="306" t="s">
        <v>147</v>
      </c>
      <c r="E510" s="278">
        <v>14.1</v>
      </c>
      <c r="F510" s="279">
        <v>70.819999999999993</v>
      </c>
      <c r="G510" s="280" t="str" cm="1">
        <f t="array" aca="1" ref="G510" ca="1">INDIRECT("'"&amp;$C510&amp;"'!"&amp;"$"&amp;$D510&amp;$E$1&amp;"")</f>
        <v>CMS</v>
      </c>
      <c r="H510" s="281" t="s">
        <v>1</v>
      </c>
      <c r="I510" s="279" t="s">
        <v>1</v>
      </c>
      <c r="J510" s="280" cm="1">
        <f t="array" aca="1" ref="J510" ca="1">INDIRECT("'"&amp;$C510&amp;"'!"&amp;"$"&amp;$D510&amp;$J$1&amp;"")</f>
        <v>6.7</v>
      </c>
      <c r="K510" s="281"/>
      <c r="L510" s="281">
        <v>0.99</v>
      </c>
      <c r="M510" s="279">
        <v>0.8</v>
      </c>
      <c r="N510" s="278" cm="1">
        <f t="array" aca="1" ref="N510" ca="1">INDIRECT("'"&amp;$C510&amp;"'!"&amp;"$"&amp;$D510&amp;$N$1&amp;"")</f>
        <v>0</v>
      </c>
      <c r="O510" s="281"/>
      <c r="P510" s="281" t="s">
        <v>1</v>
      </c>
      <c r="Q510" s="279" t="s">
        <v>1</v>
      </c>
      <c r="R510" s="468" cm="1">
        <f t="array" aca="1" ref="R510" ca="1">INDIRECT("'"&amp;$C510&amp;"'!"&amp;"$"&amp;$D510&amp;$R$1&amp;"")</f>
        <v>6.7</v>
      </c>
      <c r="S510" s="281"/>
      <c r="T510" s="281">
        <v>0.99</v>
      </c>
      <c r="U510" s="279">
        <v>0.71</v>
      </c>
      <c r="V510" s="280" cm="1">
        <f t="array" aca="1" ref="V510" ca="1">INDIRECT("'"&amp;$C510&amp;"'!"&amp;"$"&amp;$D510&amp;$V$1&amp;"")</f>
        <v>0</v>
      </c>
      <c r="W510" s="281" t="s">
        <v>1</v>
      </c>
      <c r="X510" s="281" t="s">
        <v>1</v>
      </c>
      <c r="Y510" s="282" t="s">
        <v>1</v>
      </c>
      <c r="Z510" s="278" t="str" cm="1">
        <f t="array" aca="1" ref="Z510" ca="1">INDIRECT("'"&amp;$C510&amp;"'!"&amp;"$"&amp;$D510&amp;$Z$1&amp;"")</f>
        <v>CMS</v>
      </c>
      <c r="AA510" s="281" t="s">
        <v>1</v>
      </c>
      <c r="AB510" s="281" t="s">
        <v>1</v>
      </c>
      <c r="AC510" s="279" t="s">
        <v>1</v>
      </c>
      <c r="AD510" s="280" cm="1">
        <f t="array" aca="1" ref="AD510" ca="1">INDIRECT("'"&amp;$C510&amp;"'!"&amp;"$"&amp;$D510&amp;$AD$1&amp;"")</f>
        <v>0</v>
      </c>
      <c r="AE510" s="281" t="s">
        <v>1</v>
      </c>
      <c r="AF510" s="281" t="s">
        <v>1</v>
      </c>
      <c r="AG510" s="282" t="s">
        <v>1</v>
      </c>
      <c r="AH510" s="278" cm="1">
        <f t="array" aca="1" ref="AH510" ca="1">INDIRECT("'"&amp;$C510&amp;"'!"&amp;"$"&amp;$D510&amp;$AH$1&amp;"")</f>
        <v>0</v>
      </c>
      <c r="AI510" s="281" t="s">
        <v>1</v>
      </c>
      <c r="AJ510" s="281" t="s">
        <v>1</v>
      </c>
      <c r="AK510" s="279" t="s">
        <v>1</v>
      </c>
      <c r="AL510" s="278" t="s">
        <v>1</v>
      </c>
      <c r="AM510" s="282">
        <v>71.2</v>
      </c>
      <c r="AN510" s="278" cm="1">
        <f t="array" aca="1" ref="AN510" ca="1">INDIRECT("'"&amp;$C510&amp;"'!"&amp;"$"&amp;$D510&amp;$AL$1&amp;"")</f>
        <v>0</v>
      </c>
      <c r="AO510" s="281" t="s">
        <v>1</v>
      </c>
      <c r="AP510" s="279" t="s">
        <v>1</v>
      </c>
      <c r="AQ510" s="280" cm="1">
        <f t="array" aca="1" ref="AQ510" ca="1">INDIRECT("'"&amp;$C510&amp;"'!"&amp;"$"&amp;$D510&amp;$AQ$1&amp;"")</f>
        <v>0</v>
      </c>
      <c r="AR510" s="281" t="s">
        <v>1</v>
      </c>
      <c r="AS510" s="279" t="s">
        <v>1</v>
      </c>
      <c r="AT510" s="278">
        <v>13.8</v>
      </c>
      <c r="AU510" s="282">
        <v>71</v>
      </c>
      <c r="AV510" s="281" cm="1">
        <f t="array" aca="1" ref="AV510" ca="1">INDIRECT("'"&amp;$C510&amp;"'!"&amp;"$"&amp;$D510&amp;$AV$1&amp;"")</f>
        <v>0</v>
      </c>
      <c r="AW510" s="280" t="s">
        <v>1</v>
      </c>
      <c r="AX510" s="281" t="s">
        <v>1</v>
      </c>
      <c r="AY510" s="279" t="s">
        <v>1</v>
      </c>
      <c r="AZ510" s="281" cm="1">
        <f t="array" aca="1" ref="AZ510" ca="1">INDIRECT("'"&amp;$C510&amp;"'!"&amp;"$"&amp;$D510&amp;$AZ$1&amp;"")</f>
        <v>4.2</v>
      </c>
      <c r="BA510" s="280" t="s">
        <v>1</v>
      </c>
      <c r="BB510" s="281">
        <v>0.98</v>
      </c>
      <c r="BC510" s="279">
        <v>0.73</v>
      </c>
      <c r="BD510" s="283">
        <v>14.16</v>
      </c>
      <c r="BE510" s="282">
        <v>72.09</v>
      </c>
      <c r="BF510" s="283" cm="1">
        <f t="array" aca="1" ref="BF510" ca="1">INDIRECT("'"&amp;$C510&amp;"'!"&amp;"$"&amp;$D510&amp;$BF$1&amp;"")</f>
        <v>13.29</v>
      </c>
      <c r="BG510" s="281">
        <v>1</v>
      </c>
      <c r="BH510" s="279">
        <v>1.1499999999999999</v>
      </c>
      <c r="BI510" s="524">
        <v>70.099999999999994</v>
      </c>
      <c r="BJ510" s="278" cm="1">
        <f t="array" aca="1" ref="BJ510" ca="1">INDIRECT("'"&amp;$C510&amp;"'!"&amp;"$"&amp;$D510&amp;$BI$1&amp;"")</f>
        <v>0</v>
      </c>
      <c r="BK510" s="280" t="s">
        <v>1</v>
      </c>
      <c r="BL510" s="279" t="s">
        <v>1</v>
      </c>
      <c r="BM510" s="283" cm="1">
        <f t="array" aca="1" ref="BM510" ca="1">INDIRECT("'"&amp;$C510&amp;"'!"&amp;"$"&amp;$D510&amp;$BM$1&amp;"")</f>
        <v>0.76</v>
      </c>
      <c r="BN510" s="281"/>
      <c r="BO510" s="281">
        <v>0.99</v>
      </c>
      <c r="BP510" s="279">
        <v>7.0000000000000007E-2</v>
      </c>
      <c r="BQ510" s="283" cm="1">
        <f t="array" aca="1" ref="BQ510" ca="1">INDIRECT("'"&amp;$C510&amp;"'!"&amp;"$"&amp;$D510&amp;$BQ$1&amp;"")</f>
        <v>0.75</v>
      </c>
      <c r="BR510" s="281"/>
      <c r="BS510" s="281">
        <v>0.96</v>
      </c>
      <c r="BT510" s="279">
        <v>0.19</v>
      </c>
      <c r="BU510" s="284" cm="1">
        <f t="array" aca="1" ref="BU510" ca="1">INDIRECT("'"&amp;$C510&amp;"'!"&amp;"$"&amp;$D510&amp;74&amp;"")</f>
        <v>0</v>
      </c>
      <c r="BV510" s="281"/>
      <c r="BW510" s="281" t="s">
        <v>1</v>
      </c>
      <c r="BX510" s="279" t="s">
        <v>1</v>
      </c>
    </row>
    <row r="511" spans="1:76">
      <c r="A511" s="459">
        <v>45859</v>
      </c>
      <c r="B511" s="345">
        <v>0.25</v>
      </c>
      <c r="C511" s="305">
        <v>21</v>
      </c>
      <c r="D511" s="306" t="s">
        <v>148</v>
      </c>
      <c r="E511" s="285">
        <v>14.1</v>
      </c>
      <c r="F511" s="286">
        <v>69.739999999999995</v>
      </c>
      <c r="G511" s="287" t="str" cm="1">
        <f t="array" aca="1" ref="G511" ca="1">INDIRECT("'"&amp;$C511&amp;"'!"&amp;"$"&amp;$D511&amp;$E$1&amp;"")</f>
        <v>CMS</v>
      </c>
      <c r="H511" s="288" t="s">
        <v>1</v>
      </c>
      <c r="I511" s="286" t="s">
        <v>1</v>
      </c>
      <c r="J511" s="287" cm="1">
        <f t="array" aca="1" ref="J511" ca="1">INDIRECT("'"&amp;$C511&amp;"'!"&amp;"$"&amp;$D511&amp;$J$1&amp;"")</f>
        <v>0</v>
      </c>
      <c r="K511" s="288"/>
      <c r="L511" s="288" t="s">
        <v>1</v>
      </c>
      <c r="M511" s="286" t="s">
        <v>1</v>
      </c>
      <c r="N511" s="285" cm="1">
        <f t="array" aca="1" ref="N511" ca="1">INDIRECT("'"&amp;$C511&amp;"'!"&amp;"$"&amp;$D511&amp;$N$1&amp;"")</f>
        <v>6.7</v>
      </c>
      <c r="O511" s="288"/>
      <c r="P511" s="288">
        <v>0.96</v>
      </c>
      <c r="Q511" s="286">
        <v>1.96</v>
      </c>
      <c r="R511" s="285" cm="1">
        <f t="array" aca="1" ref="R511" ca="1">INDIRECT("'"&amp;$C511&amp;"'!"&amp;"$"&amp;$D511&amp;$R$1&amp;"")</f>
        <v>6.7</v>
      </c>
      <c r="S511" s="288"/>
      <c r="T511" s="288">
        <v>0.96</v>
      </c>
      <c r="U511" s="286">
        <v>1.98</v>
      </c>
      <c r="V511" s="287" cm="1">
        <f t="array" aca="1" ref="V511" ca="1">INDIRECT("'"&amp;$C511&amp;"'!"&amp;"$"&amp;$D511&amp;$V$1&amp;"")</f>
        <v>0</v>
      </c>
      <c r="W511" s="288" t="s">
        <v>1</v>
      </c>
      <c r="X511" s="288" t="s">
        <v>1</v>
      </c>
      <c r="Y511" s="289" t="s">
        <v>1</v>
      </c>
      <c r="Z511" s="285" t="str" cm="1">
        <f t="array" aca="1" ref="Z511" ca="1">INDIRECT("'"&amp;$C511&amp;"'!"&amp;"$"&amp;$D511&amp;$Z$1&amp;"")</f>
        <v>CMS</v>
      </c>
      <c r="AA511" s="288" t="s">
        <v>1</v>
      </c>
      <c r="AB511" s="288" t="s">
        <v>1</v>
      </c>
      <c r="AC511" s="286" t="s">
        <v>1</v>
      </c>
      <c r="AD511" s="287" cm="1">
        <f t="array" aca="1" ref="AD511" ca="1">INDIRECT("'"&amp;$C511&amp;"'!"&amp;"$"&amp;$D511&amp;$AD$1&amp;"")</f>
        <v>0</v>
      </c>
      <c r="AE511" s="288" t="s">
        <v>1</v>
      </c>
      <c r="AF511" s="288" t="s">
        <v>1</v>
      </c>
      <c r="AG511" s="289" t="s">
        <v>1</v>
      </c>
      <c r="AH511" s="285" cm="1">
        <f t="array" aca="1" ref="AH511" ca="1">INDIRECT("'"&amp;$C511&amp;"'!"&amp;"$"&amp;$D511&amp;$AH$1&amp;"")</f>
        <v>0</v>
      </c>
      <c r="AI511" s="288" t="s">
        <v>1</v>
      </c>
      <c r="AJ511" s="288" t="s">
        <v>1</v>
      </c>
      <c r="AK511" s="286" t="s">
        <v>1</v>
      </c>
      <c r="AL511" s="285">
        <v>11.6</v>
      </c>
      <c r="AM511" s="289">
        <v>70.900000000000006</v>
      </c>
      <c r="AN511" s="285" cm="1">
        <f t="array" aca="1" ref="AN511" ca="1">INDIRECT("'"&amp;$C511&amp;"'!"&amp;"$"&amp;$D511&amp;$AL$1&amp;"")</f>
        <v>3.5</v>
      </c>
      <c r="AO511" s="288">
        <v>0.96</v>
      </c>
      <c r="AP511" s="286">
        <v>0.5</v>
      </c>
      <c r="AQ511" s="287" cm="1">
        <f t="array" aca="1" ref="AQ511" ca="1">INDIRECT("'"&amp;$C511&amp;"'!"&amp;"$"&amp;$D511&amp;$AQ$1&amp;"")</f>
        <v>0</v>
      </c>
      <c r="AR511" s="288" t="s">
        <v>1</v>
      </c>
      <c r="AS511" s="286" t="s">
        <v>1</v>
      </c>
      <c r="AT511" s="285">
        <v>13.8</v>
      </c>
      <c r="AU511" s="289">
        <v>70.900000000000006</v>
      </c>
      <c r="AV511" s="288" cm="1">
        <f t="array" aca="1" ref="AV511" ca="1">INDIRECT("'"&amp;$C511&amp;"'!"&amp;"$"&amp;$D511&amp;$AV$1&amp;"")</f>
        <v>0</v>
      </c>
      <c r="AW511" s="287" t="s">
        <v>1</v>
      </c>
      <c r="AX511" s="288" t="s">
        <v>1</v>
      </c>
      <c r="AY511" s="286" t="s">
        <v>1</v>
      </c>
      <c r="AZ511" s="288" cm="1">
        <f t="array" aca="1" ref="AZ511" ca="1">INDIRECT("'"&amp;$C511&amp;"'!"&amp;"$"&amp;$D511&amp;$AZ$1&amp;"")</f>
        <v>7</v>
      </c>
      <c r="BA511" s="287" t="s">
        <v>1</v>
      </c>
      <c r="BB511" s="288">
        <v>0.98</v>
      </c>
      <c r="BC511" s="286">
        <v>1.48</v>
      </c>
      <c r="BD511" s="290">
        <v>13.97</v>
      </c>
      <c r="BE511" s="289">
        <v>71.17</v>
      </c>
      <c r="BF511" s="290" cm="1">
        <f t="array" aca="1" ref="BF511" ca="1">INDIRECT("'"&amp;$C511&amp;"'!"&amp;"$"&amp;$D511&amp;$BF$1&amp;"")</f>
        <v>14.2</v>
      </c>
      <c r="BG511" s="288">
        <v>1</v>
      </c>
      <c r="BH511" s="286">
        <v>1.24</v>
      </c>
      <c r="BI511" s="525">
        <v>68.7</v>
      </c>
      <c r="BJ511" s="285" cm="1">
        <f t="array" aca="1" ref="BJ511" ca="1">INDIRECT("'"&amp;$C511&amp;"'!"&amp;"$"&amp;$D511&amp;$BI$1&amp;"")</f>
        <v>0.8</v>
      </c>
      <c r="BK511" s="287">
        <v>0.97</v>
      </c>
      <c r="BL511" s="286">
        <v>0.18</v>
      </c>
      <c r="BM511" s="290" cm="1">
        <f t="array" aca="1" ref="BM511" ca="1">INDIRECT("'"&amp;$C511&amp;"'!"&amp;"$"&amp;$D511&amp;$BM$1&amp;"")</f>
        <v>0.95</v>
      </c>
      <c r="BN511" s="288"/>
      <c r="BO511" s="288">
        <v>0.99</v>
      </c>
      <c r="BP511" s="286">
        <v>0.09</v>
      </c>
      <c r="BQ511" s="290" cm="1">
        <f t="array" aca="1" ref="BQ511" ca="1">INDIRECT("'"&amp;$C511&amp;"'!"&amp;"$"&amp;$D511&amp;$BQ$1&amp;"")</f>
        <v>0.84</v>
      </c>
      <c r="BR511" s="288"/>
      <c r="BS511" s="288">
        <v>0.97</v>
      </c>
      <c r="BT511" s="286">
        <v>0.2</v>
      </c>
      <c r="BU511" s="291" cm="1">
        <f t="array" aca="1" ref="BU511" ca="1">INDIRECT("'"&amp;$C511&amp;"'!"&amp;"$"&amp;$D511&amp;74&amp;"")</f>
        <v>0</v>
      </c>
      <c r="BV511" s="288"/>
      <c r="BW511" s="288" t="s">
        <v>1</v>
      </c>
      <c r="BX511" s="286" t="s">
        <v>1</v>
      </c>
    </row>
    <row r="512" spans="1:76">
      <c r="A512" s="459">
        <v>45859</v>
      </c>
      <c r="B512" s="345">
        <v>0.29166666666666702</v>
      </c>
      <c r="C512" s="305">
        <v>21</v>
      </c>
      <c r="D512" s="306" t="s">
        <v>149</v>
      </c>
      <c r="E512" s="278">
        <v>14.1</v>
      </c>
      <c r="F512" s="279">
        <v>69.709999999999994</v>
      </c>
      <c r="G512" s="280" t="str" cm="1">
        <f t="array" aca="1" ref="G512" ca="1">INDIRECT("'"&amp;$C512&amp;"'!"&amp;"$"&amp;$D512&amp;$E$1&amp;"")</f>
        <v>CMS</v>
      </c>
      <c r="H512" s="281" t="s">
        <v>1</v>
      </c>
      <c r="I512" s="279" t="s">
        <v>1</v>
      </c>
      <c r="J512" s="280" cm="1">
        <f t="array" aca="1" ref="J512" ca="1">INDIRECT("'"&amp;$C512&amp;"'!"&amp;"$"&amp;$D512&amp;$J$1&amp;"")</f>
        <v>0</v>
      </c>
      <c r="K512" s="281"/>
      <c r="L512" s="281" t="s">
        <v>1</v>
      </c>
      <c r="M512" s="282" t="s">
        <v>1</v>
      </c>
      <c r="N512" s="278" cm="1">
        <f t="array" aca="1" ref="N512" ca="1">INDIRECT("'"&amp;$C512&amp;"'!"&amp;"$"&amp;$D512&amp;$N$1&amp;"")</f>
        <v>6.5</v>
      </c>
      <c r="O512" s="281"/>
      <c r="P512" s="281">
        <v>0.96</v>
      </c>
      <c r="Q512" s="279">
        <v>1.87</v>
      </c>
      <c r="R512" s="468" cm="1">
        <f t="array" aca="1" ref="R512" ca="1">INDIRECT("'"&amp;$C512&amp;"'!"&amp;"$"&amp;$D512&amp;$R$1&amp;"")</f>
        <v>6.5</v>
      </c>
      <c r="S512" s="281"/>
      <c r="T512" s="281">
        <v>0.95</v>
      </c>
      <c r="U512" s="279">
        <v>2.06</v>
      </c>
      <c r="V512" s="280" cm="1">
        <f t="array" aca="1" ref="V512" ca="1">INDIRECT("'"&amp;$C512&amp;"'!"&amp;"$"&amp;$D512&amp;$V$1&amp;"")</f>
        <v>0</v>
      </c>
      <c r="W512" s="281" t="s">
        <v>1</v>
      </c>
      <c r="X512" s="281" t="s">
        <v>1</v>
      </c>
      <c r="Y512" s="282" t="s">
        <v>1</v>
      </c>
      <c r="Z512" s="278" t="str" cm="1">
        <f t="array" aca="1" ref="Z512" ca="1">INDIRECT("'"&amp;$C512&amp;"'!"&amp;"$"&amp;$D512&amp;$Z$1&amp;"")</f>
        <v>CMS</v>
      </c>
      <c r="AA512" s="281" t="s">
        <v>1</v>
      </c>
      <c r="AB512" s="281" t="s">
        <v>1</v>
      </c>
      <c r="AC512" s="279" t="s">
        <v>1</v>
      </c>
      <c r="AD512" s="280" cm="1">
        <f t="array" aca="1" ref="AD512" ca="1">INDIRECT("'"&amp;$C512&amp;"'!"&amp;"$"&amp;$D512&amp;$AD$1&amp;"")</f>
        <v>0</v>
      </c>
      <c r="AE512" s="281" t="s">
        <v>1</v>
      </c>
      <c r="AF512" s="281" t="s">
        <v>1</v>
      </c>
      <c r="AG512" s="282" t="s">
        <v>1</v>
      </c>
      <c r="AH512" s="278" cm="1">
        <f t="array" aca="1" ref="AH512" ca="1">INDIRECT("'"&amp;$C512&amp;"'!"&amp;"$"&amp;$D512&amp;$AH$1&amp;"")</f>
        <v>0</v>
      </c>
      <c r="AI512" s="281" t="s">
        <v>1</v>
      </c>
      <c r="AJ512" s="281" t="s">
        <v>1</v>
      </c>
      <c r="AK512" s="279" t="s">
        <v>1</v>
      </c>
      <c r="AL512" s="278">
        <v>11.6</v>
      </c>
      <c r="AM512" s="282">
        <v>70.900000000000006</v>
      </c>
      <c r="AN512" s="278" cm="1">
        <f t="array" aca="1" ref="AN512" ca="1">INDIRECT("'"&amp;$C512&amp;"'!"&amp;"$"&amp;$D512&amp;$AL$1&amp;"")</f>
        <v>2.5</v>
      </c>
      <c r="AO512" s="281">
        <v>0.96</v>
      </c>
      <c r="AP512" s="279">
        <v>0.9</v>
      </c>
      <c r="AQ512" s="280" cm="1">
        <f t="array" aca="1" ref="AQ512" ca="1">INDIRECT("'"&amp;$C512&amp;"'!"&amp;"$"&amp;$D512&amp;$AQ$1&amp;"")</f>
        <v>0</v>
      </c>
      <c r="AR512" s="281" t="s">
        <v>1</v>
      </c>
      <c r="AS512" s="279" t="s">
        <v>1</v>
      </c>
      <c r="AT512" s="278">
        <v>13.8</v>
      </c>
      <c r="AU512" s="282">
        <v>70.8</v>
      </c>
      <c r="AV512" s="281" cm="1">
        <f t="array" aca="1" ref="AV512" ca="1">INDIRECT("'"&amp;$C512&amp;"'!"&amp;"$"&amp;$D512&amp;$AV$1&amp;"")</f>
        <v>0</v>
      </c>
      <c r="AW512" s="280" t="s">
        <v>1</v>
      </c>
      <c r="AX512" s="281" t="s">
        <v>1</v>
      </c>
      <c r="AY512" s="279" t="s">
        <v>1</v>
      </c>
      <c r="AZ512" s="281" cm="1">
        <f t="array" aca="1" ref="AZ512" ca="1">INDIRECT("'"&amp;$C512&amp;"'!"&amp;"$"&amp;$D512&amp;$AZ$1&amp;"")</f>
        <v>6.5</v>
      </c>
      <c r="BA512" s="280" t="s">
        <v>1</v>
      </c>
      <c r="BB512" s="281">
        <v>0.98</v>
      </c>
      <c r="BC512" s="279">
        <v>1.25</v>
      </c>
      <c r="BD512" s="283">
        <v>14.06</v>
      </c>
      <c r="BE512" s="282">
        <v>71.5</v>
      </c>
      <c r="BF512" s="283" cm="1">
        <f t="array" aca="1" ref="BF512" ca="1">INDIRECT("'"&amp;$C512&amp;"'!"&amp;"$"&amp;$D512&amp;$BF$1&amp;"")</f>
        <v>14.25</v>
      </c>
      <c r="BG512" s="281">
        <v>1</v>
      </c>
      <c r="BH512" s="279">
        <v>1.27</v>
      </c>
      <c r="BI512" s="524">
        <v>68.599999999999994</v>
      </c>
      <c r="BJ512" s="278" cm="1">
        <f t="array" aca="1" ref="BJ512" ca="1">INDIRECT("'"&amp;$C512&amp;"'!"&amp;"$"&amp;$D512&amp;$BI$1&amp;"")</f>
        <v>0</v>
      </c>
      <c r="BK512" s="280" t="s">
        <v>1</v>
      </c>
      <c r="BL512" s="279" t="s">
        <v>1</v>
      </c>
      <c r="BM512" s="283" cm="1">
        <f t="array" aca="1" ref="BM512" ca="1">INDIRECT("'"&amp;$C512&amp;"'!"&amp;"$"&amp;$D512&amp;$BM$1&amp;"")</f>
        <v>0.9</v>
      </c>
      <c r="BN512" s="281"/>
      <c r="BO512" s="281">
        <v>0.99</v>
      </c>
      <c r="BP512" s="279">
        <v>0.1</v>
      </c>
      <c r="BQ512" s="284" cm="1">
        <f t="array" aca="1" ref="BQ512" ca="1">INDIRECT("'"&amp;$C512&amp;"'!"&amp;"$"&amp;$D512&amp;$BQ$1&amp;"")</f>
        <v>0.77</v>
      </c>
      <c r="BR512" s="281"/>
      <c r="BS512" s="281">
        <v>0.96</v>
      </c>
      <c r="BT512" s="279">
        <v>0.2</v>
      </c>
      <c r="BU512" s="284" cm="1">
        <f t="array" aca="1" ref="BU512" ca="1">INDIRECT("'"&amp;$C512&amp;"'!"&amp;"$"&amp;$D512&amp;74&amp;"")</f>
        <v>0</v>
      </c>
      <c r="BV512" s="281"/>
      <c r="BW512" s="281" t="s">
        <v>1</v>
      </c>
      <c r="BX512" s="279" t="s">
        <v>1</v>
      </c>
    </row>
    <row r="513" spans="1:76">
      <c r="A513" s="459">
        <v>45859</v>
      </c>
      <c r="B513" s="345">
        <v>0.33333333333333398</v>
      </c>
      <c r="C513" s="305">
        <v>21</v>
      </c>
      <c r="D513" s="306" t="s">
        <v>150</v>
      </c>
      <c r="E513" s="285">
        <v>14</v>
      </c>
      <c r="F513" s="286">
        <v>69.239999999999995</v>
      </c>
      <c r="G513" s="287" t="str" cm="1">
        <f t="array" aca="1" ref="G513" ca="1">INDIRECT("'"&amp;$C513&amp;"'!"&amp;"$"&amp;$D513&amp;$E$1&amp;"")</f>
        <v>CMS</v>
      </c>
      <c r="H513" s="288" t="s">
        <v>1</v>
      </c>
      <c r="I513" s="286" t="s">
        <v>1</v>
      </c>
      <c r="J513" s="287" cm="1">
        <f t="array" aca="1" ref="J513" ca="1">INDIRECT("'"&amp;$C513&amp;"'!"&amp;"$"&amp;$D513&amp;$J$1&amp;"")</f>
        <v>2.4</v>
      </c>
      <c r="K513" s="288"/>
      <c r="L513" s="288">
        <v>0.92</v>
      </c>
      <c r="M513" s="289">
        <v>1.4</v>
      </c>
      <c r="N513" s="285" cm="1">
        <f t="array" aca="1" ref="N513" ca="1">INDIRECT("'"&amp;$C513&amp;"'!"&amp;"$"&amp;$D513&amp;$N$1&amp;"")</f>
        <v>6.8</v>
      </c>
      <c r="O513" s="288"/>
      <c r="P513" s="288">
        <v>0.95</v>
      </c>
      <c r="Q513" s="286">
        <v>2.2000000000000002</v>
      </c>
      <c r="R513" s="285" cm="1">
        <f t="array" aca="1" ref="R513" ca="1">INDIRECT("'"&amp;$C513&amp;"'!"&amp;"$"&amp;$D513&amp;$R$1&amp;"")</f>
        <v>6.8</v>
      </c>
      <c r="S513" s="288"/>
      <c r="T513" s="288">
        <v>0.94</v>
      </c>
      <c r="U513" s="286">
        <v>1.9</v>
      </c>
      <c r="V513" s="287" cm="1">
        <f t="array" aca="1" ref="V513" ca="1">INDIRECT("'"&amp;$C513&amp;"'!"&amp;"$"&amp;$D513&amp;$V$1&amp;"")</f>
        <v>0</v>
      </c>
      <c r="W513" s="288" t="s">
        <v>1</v>
      </c>
      <c r="X513" s="288" t="s">
        <v>1</v>
      </c>
      <c r="Y513" s="289" t="s">
        <v>1</v>
      </c>
      <c r="Z513" s="285" t="str" cm="1">
        <f t="array" aca="1" ref="Z513" ca="1">INDIRECT("'"&amp;$C513&amp;"'!"&amp;"$"&amp;$D513&amp;$Z$1&amp;"")</f>
        <v>CMS</v>
      </c>
      <c r="AA513" s="288" t="s">
        <v>1</v>
      </c>
      <c r="AB513" s="288" t="s">
        <v>1</v>
      </c>
      <c r="AC513" s="286" t="s">
        <v>1</v>
      </c>
      <c r="AD513" s="287" t="str" cm="1">
        <f t="array" aca="1" ref="AD513" ca="1">INDIRECT("'"&amp;$C513&amp;"'!"&amp;"$"&amp;$D513&amp;$AD$1&amp;"")</f>
        <v>CMS</v>
      </c>
      <c r="AE513" s="288" t="s">
        <v>1</v>
      </c>
      <c r="AF513" s="288" t="s">
        <v>1</v>
      </c>
      <c r="AG513" s="289" t="s">
        <v>1</v>
      </c>
      <c r="AH513" s="285" cm="1">
        <f t="array" aca="1" ref="AH513" ca="1">INDIRECT("'"&amp;$C513&amp;"'!"&amp;"$"&amp;$D513&amp;$AH$1&amp;"")</f>
        <v>0</v>
      </c>
      <c r="AI513" s="288" t="s">
        <v>1</v>
      </c>
      <c r="AJ513" s="288" t="s">
        <v>1</v>
      </c>
      <c r="AK513" s="286" t="s">
        <v>1</v>
      </c>
      <c r="AL513" s="285">
        <v>11.6</v>
      </c>
      <c r="AM513" s="289">
        <v>70.7</v>
      </c>
      <c r="AN513" s="285" cm="1">
        <f t="array" aca="1" ref="AN513" ca="1">INDIRECT("'"&amp;$C513&amp;"'!"&amp;"$"&amp;$D513&amp;$AL$1&amp;"")</f>
        <v>3.8</v>
      </c>
      <c r="AO513" s="288">
        <v>0.98</v>
      </c>
      <c r="AP513" s="286">
        <v>0.7</v>
      </c>
      <c r="AQ513" s="287" cm="1">
        <f t="array" aca="1" ref="AQ513" ca="1">INDIRECT("'"&amp;$C513&amp;"'!"&amp;"$"&amp;$D513&amp;$AQ$1&amp;"")</f>
        <v>0</v>
      </c>
      <c r="AR513" s="288" t="s">
        <v>1</v>
      </c>
      <c r="AS513" s="286" t="s">
        <v>1</v>
      </c>
      <c r="AT513" s="285">
        <v>13.8</v>
      </c>
      <c r="AU513" s="289">
        <v>70.8</v>
      </c>
      <c r="AV513" s="288" cm="1">
        <f t="array" aca="1" ref="AV513" ca="1">INDIRECT("'"&amp;$C513&amp;"'!"&amp;"$"&amp;$D513&amp;$AV$1&amp;"")</f>
        <v>0</v>
      </c>
      <c r="AW513" s="287" t="s">
        <v>1</v>
      </c>
      <c r="AX513" s="288" t="s">
        <v>1</v>
      </c>
      <c r="AY513" s="286" t="s">
        <v>1</v>
      </c>
      <c r="AZ513" s="288" cm="1">
        <f t="array" aca="1" ref="AZ513" ca="1">INDIRECT("'"&amp;$C513&amp;"'!"&amp;"$"&amp;$D513&amp;$AZ$1&amp;"")</f>
        <v>7</v>
      </c>
      <c r="BA513" s="287" t="s">
        <v>1</v>
      </c>
      <c r="BB513" s="288">
        <v>0.98</v>
      </c>
      <c r="BC513" s="286">
        <v>1.26</v>
      </c>
      <c r="BD513" s="290">
        <v>14.15</v>
      </c>
      <c r="BE513" s="289">
        <v>71.42</v>
      </c>
      <c r="BF513" s="290" cm="1">
        <f t="array" aca="1" ref="BF513" ca="1">INDIRECT("'"&amp;$C513&amp;"'!"&amp;"$"&amp;$D513&amp;$BF$1&amp;"")</f>
        <v>14.28</v>
      </c>
      <c r="BG513" s="288">
        <v>0.99</v>
      </c>
      <c r="BH513" s="286">
        <v>2.2999999999999998</v>
      </c>
      <c r="BI513" s="525">
        <v>68.099999999999994</v>
      </c>
      <c r="BJ513" s="285" cm="1">
        <f t="array" aca="1" ref="BJ513" ca="1">INDIRECT("'"&amp;$C513&amp;"'!"&amp;"$"&amp;$D513&amp;$BI$1&amp;"")</f>
        <v>0</v>
      </c>
      <c r="BK513" s="287" t="s">
        <v>1</v>
      </c>
      <c r="BL513" s="286" t="s">
        <v>1</v>
      </c>
      <c r="BM513" s="290" cm="1">
        <f t="array" aca="1" ref="BM513" ca="1">INDIRECT("'"&amp;$C513&amp;"'!"&amp;"$"&amp;$D513&amp;$BM$1&amp;"")</f>
        <v>1.1299999999999999</v>
      </c>
      <c r="BN513" s="288"/>
      <c r="BO513" s="288">
        <v>0.99</v>
      </c>
      <c r="BP513" s="286">
        <v>0.15</v>
      </c>
      <c r="BQ513" s="291" cm="1">
        <f t="array" aca="1" ref="BQ513" ca="1">INDIRECT("'"&amp;$C513&amp;"'!"&amp;"$"&amp;$D513&amp;$BQ$1&amp;"")</f>
        <v>0.72</v>
      </c>
      <c r="BR513" s="288"/>
      <c r="BS513" s="288">
        <v>0.96</v>
      </c>
      <c r="BT513" s="286">
        <v>0.21</v>
      </c>
      <c r="BU513" s="291" cm="1">
        <f t="array" aca="1" ref="BU513" ca="1">INDIRECT("'"&amp;$C513&amp;"'!"&amp;"$"&amp;$D513&amp;74&amp;"")</f>
        <v>0</v>
      </c>
      <c r="BV513" s="288"/>
      <c r="BW513" s="288" t="s">
        <v>1</v>
      </c>
      <c r="BX513" s="286" t="s">
        <v>1</v>
      </c>
    </row>
    <row r="514" spans="1:76">
      <c r="A514" s="459">
        <v>45859</v>
      </c>
      <c r="B514" s="345">
        <v>0.375</v>
      </c>
      <c r="C514" s="305">
        <v>21</v>
      </c>
      <c r="D514" s="306" t="s">
        <v>151</v>
      </c>
      <c r="E514" s="278">
        <v>14.2</v>
      </c>
      <c r="F514" s="279">
        <v>69.28</v>
      </c>
      <c r="G514" s="280" t="str" cm="1">
        <f t="array" aca="1" ref="G514" ca="1">INDIRECT("'"&amp;$C514&amp;"'!"&amp;"$"&amp;$D514&amp;$E$1&amp;"")</f>
        <v>CMS</v>
      </c>
      <c r="H514" s="281" t="s">
        <v>1</v>
      </c>
      <c r="I514" s="279" t="s">
        <v>1</v>
      </c>
      <c r="J514" s="280" cm="1">
        <f t="array" aca="1" ref="J514" ca="1">INDIRECT("'"&amp;$C514&amp;"'!"&amp;"$"&amp;$D514&amp;$J$1&amp;"")</f>
        <v>6.7</v>
      </c>
      <c r="K514" s="281"/>
      <c r="L514" s="281">
        <v>0.94</v>
      </c>
      <c r="M514" s="282">
        <v>2.46</v>
      </c>
      <c r="N514" s="278" cm="1">
        <f t="array" aca="1" ref="N514" ca="1">INDIRECT("'"&amp;$C514&amp;"'!"&amp;"$"&amp;$D514&amp;$N$1&amp;"")</f>
        <v>6.7</v>
      </c>
      <c r="O514" s="281"/>
      <c r="P514" s="281">
        <v>0.94</v>
      </c>
      <c r="Q514" s="279">
        <v>2.46</v>
      </c>
      <c r="R514" s="468" cm="1">
        <f t="array" aca="1" ref="R514" ca="1">INDIRECT("'"&amp;$C514&amp;"'!"&amp;"$"&amp;$D514&amp;$R$1&amp;"")</f>
        <v>6.7</v>
      </c>
      <c r="S514" s="281"/>
      <c r="T514" s="281">
        <v>0.94</v>
      </c>
      <c r="U514" s="279">
        <v>2.46</v>
      </c>
      <c r="V514" s="280" cm="1">
        <f t="array" aca="1" ref="V514" ca="1">INDIRECT("'"&amp;$C514&amp;"'!"&amp;"$"&amp;$D514&amp;$V$1&amp;"")</f>
        <v>2.8</v>
      </c>
      <c r="W514" s="281">
        <f>3.46*3.8</f>
        <v>13.148</v>
      </c>
      <c r="X514" s="281">
        <v>0.94</v>
      </c>
      <c r="Y514" s="282">
        <v>0.89500000000000002</v>
      </c>
      <c r="Z514" s="278" t="str" cm="1">
        <f t="array" aca="1" ref="Z514" ca="1">INDIRECT("'"&amp;$C514&amp;"'!"&amp;"$"&amp;$D514&amp;$Z$1&amp;"")</f>
        <v>CMS</v>
      </c>
      <c r="AA514" s="281" t="s">
        <v>1</v>
      </c>
      <c r="AB514" s="281" t="s">
        <v>1</v>
      </c>
      <c r="AC514" s="279" t="s">
        <v>1</v>
      </c>
      <c r="AD514" s="280" t="str" cm="1">
        <f t="array" aca="1" ref="AD514" ca="1">INDIRECT("'"&amp;$C514&amp;"'!"&amp;"$"&amp;$D514&amp;$AD$1&amp;"")</f>
        <v>CMS</v>
      </c>
      <c r="AE514" s="281" t="s">
        <v>1</v>
      </c>
      <c r="AF514" s="281" t="s">
        <v>1</v>
      </c>
      <c r="AG514" s="282" t="s">
        <v>1</v>
      </c>
      <c r="AH514" s="278" cm="1">
        <f t="array" aca="1" ref="AH514" ca="1">INDIRECT("'"&amp;$C514&amp;"'!"&amp;"$"&amp;$D514&amp;$AH$1&amp;"")</f>
        <v>0</v>
      </c>
      <c r="AI514" s="281" t="s">
        <v>1</v>
      </c>
      <c r="AJ514" s="281" t="s">
        <v>1</v>
      </c>
      <c r="AK514" s="279" t="s">
        <v>1</v>
      </c>
      <c r="AL514" s="278">
        <v>11.6</v>
      </c>
      <c r="AM514" s="282">
        <v>70.599999999999994</v>
      </c>
      <c r="AN514" s="278" cm="1">
        <f t="array" aca="1" ref="AN514" ca="1">INDIRECT("'"&amp;$C514&amp;"'!"&amp;"$"&amp;$D514&amp;$AL$1&amp;"")</f>
        <v>3.8</v>
      </c>
      <c r="AO514" s="281">
        <v>0.96</v>
      </c>
      <c r="AP514" s="279">
        <v>1</v>
      </c>
      <c r="AQ514" s="280" cm="1">
        <f t="array" aca="1" ref="AQ514" ca="1">INDIRECT("'"&amp;$C514&amp;"'!"&amp;"$"&amp;$D514&amp;$AQ$1&amp;"")</f>
        <v>0</v>
      </c>
      <c r="AR514" s="281" t="s">
        <v>1</v>
      </c>
      <c r="AS514" s="279" t="s">
        <v>1</v>
      </c>
      <c r="AT514" s="278">
        <v>13.92</v>
      </c>
      <c r="AU514" s="282">
        <v>70.8</v>
      </c>
      <c r="AV514" s="281" cm="1">
        <f t="array" aca="1" ref="AV514" ca="1">INDIRECT("'"&amp;$C514&amp;"'!"&amp;"$"&amp;$D514&amp;$AV$1&amp;"")</f>
        <v>0</v>
      </c>
      <c r="AW514" s="280" t="s">
        <v>1</v>
      </c>
      <c r="AX514" s="281" t="s">
        <v>1</v>
      </c>
      <c r="AY514" s="279" t="s">
        <v>1</v>
      </c>
      <c r="AZ514" s="281" cm="1">
        <f t="array" aca="1" ref="AZ514" ca="1">INDIRECT("'"&amp;$C514&amp;"'!"&amp;"$"&amp;$D514&amp;$AZ$1&amp;"")</f>
        <v>7</v>
      </c>
      <c r="BA514" s="280" t="s">
        <v>1</v>
      </c>
      <c r="BB514" s="281">
        <v>0.95</v>
      </c>
      <c r="BC514" s="279">
        <v>2.54</v>
      </c>
      <c r="BD514" s="283">
        <v>14.03</v>
      </c>
      <c r="BE514" s="282">
        <v>71.010000000000005</v>
      </c>
      <c r="BF514" s="283" cm="1">
        <f t="array" aca="1" ref="BF514" ca="1">INDIRECT("'"&amp;$C514&amp;"'!"&amp;"$"&amp;$D514&amp;$BF$1&amp;"")</f>
        <v>14.26</v>
      </c>
      <c r="BG514" s="281">
        <v>0.99</v>
      </c>
      <c r="BH514" s="279">
        <v>2.3199999999999998</v>
      </c>
      <c r="BI514" s="524">
        <v>68.2</v>
      </c>
      <c r="BJ514" s="278" cm="1">
        <f t="array" aca="1" ref="BJ514" ca="1">INDIRECT("'"&amp;$C514&amp;"'!"&amp;"$"&amp;$D514&amp;$BI$1&amp;"")</f>
        <v>1.5</v>
      </c>
      <c r="BK514" s="280">
        <v>0.96</v>
      </c>
      <c r="BL514" s="279">
        <v>0.43</v>
      </c>
      <c r="BM514" s="283" cm="1">
        <f t="array" aca="1" ref="BM514" ca="1">INDIRECT("'"&amp;$C514&amp;"'!"&amp;"$"&amp;$D514&amp;$BM$1&amp;"")</f>
        <v>1.22</v>
      </c>
      <c r="BN514" s="281"/>
      <c r="BO514" s="281">
        <v>0.99</v>
      </c>
      <c r="BP514" s="279">
        <v>0.15</v>
      </c>
      <c r="BQ514" s="284" cm="1">
        <f t="array" aca="1" ref="BQ514" ca="1">INDIRECT("'"&amp;$C514&amp;"'!"&amp;"$"&amp;$D514&amp;$BQ$1&amp;"")</f>
        <v>0.74</v>
      </c>
      <c r="BR514" s="281"/>
      <c r="BS514" s="281">
        <v>0.96</v>
      </c>
      <c r="BT514" s="279">
        <v>0.21</v>
      </c>
      <c r="BU514" s="284" cm="1">
        <f t="array" aca="1" ref="BU514" ca="1">INDIRECT("'"&amp;$C514&amp;"'!"&amp;"$"&amp;$D514&amp;74&amp;"")</f>
        <v>0</v>
      </c>
      <c r="BV514" s="281"/>
      <c r="BW514" s="281" t="s">
        <v>1</v>
      </c>
      <c r="BX514" s="279" t="s">
        <v>1</v>
      </c>
    </row>
    <row r="515" spans="1:76">
      <c r="A515" s="459">
        <v>45859</v>
      </c>
      <c r="B515" s="345">
        <v>0.41666666666666702</v>
      </c>
      <c r="C515" s="305">
        <v>21</v>
      </c>
      <c r="D515" s="306" t="s">
        <v>152</v>
      </c>
      <c r="E515" s="285">
        <v>14.1</v>
      </c>
      <c r="F515" s="286">
        <v>68.989999999999995</v>
      </c>
      <c r="G515" s="287" t="str" cm="1">
        <f t="array" aca="1" ref="G515" ca="1">INDIRECT("'"&amp;$C515&amp;"'!"&amp;"$"&amp;$D515&amp;$E$1&amp;"")</f>
        <v>CMS</v>
      </c>
      <c r="H515" s="288" t="s">
        <v>1</v>
      </c>
      <c r="I515" s="286" t="s">
        <v>1</v>
      </c>
      <c r="J515" s="287" cm="1">
        <f t="array" aca="1" ref="J515" ca="1">INDIRECT("'"&amp;$C515&amp;"'!"&amp;"$"&amp;$D515&amp;$J$1&amp;"")</f>
        <v>6.5</v>
      </c>
      <c r="K515" s="288"/>
      <c r="L515" s="288">
        <v>0.93</v>
      </c>
      <c r="M515" s="289">
        <v>2.5499999999999998</v>
      </c>
      <c r="N515" s="285" cm="1">
        <f t="array" aca="1" ref="N515" ca="1">INDIRECT("'"&amp;$C515&amp;"'!"&amp;"$"&amp;$D515&amp;$N$1&amp;"")</f>
        <v>6.5</v>
      </c>
      <c r="O515" s="288"/>
      <c r="P515" s="288">
        <v>0.93</v>
      </c>
      <c r="Q515" s="289">
        <v>2.5499999999999998</v>
      </c>
      <c r="R515" s="285" cm="1">
        <f t="array" aca="1" ref="R515" ca="1">INDIRECT("'"&amp;$C515&amp;"'!"&amp;"$"&amp;$D515&amp;$R$1&amp;"")</f>
        <v>6.5</v>
      </c>
      <c r="S515" s="288"/>
      <c r="T515" s="288">
        <v>0.93</v>
      </c>
      <c r="U515" s="286">
        <v>2.5499999999999998</v>
      </c>
      <c r="V515" s="287" cm="1">
        <f t="array" aca="1" ref="V515" ca="1">INDIRECT("'"&amp;$C515&amp;"'!"&amp;"$"&amp;$D515&amp;$V$1&amp;"")</f>
        <v>2.2000000000000002</v>
      </c>
      <c r="W515" s="288">
        <f>3.8*3.43</f>
        <v>13.034000000000001</v>
      </c>
      <c r="X515" s="288">
        <v>0.9</v>
      </c>
      <c r="Y515" s="289">
        <v>1.24</v>
      </c>
      <c r="Z515" s="285" t="str" cm="1">
        <f t="array" aca="1" ref="Z515" ca="1">INDIRECT("'"&amp;$C515&amp;"'!"&amp;"$"&amp;$D515&amp;$Z$1&amp;"")</f>
        <v>CMS</v>
      </c>
      <c r="AA515" s="288" t="s">
        <v>1</v>
      </c>
      <c r="AB515" s="288" t="s">
        <v>1</v>
      </c>
      <c r="AC515" s="286" t="s">
        <v>1</v>
      </c>
      <c r="AD515" s="287" t="str" cm="1">
        <f t="array" aca="1" ref="AD515" ca="1">INDIRECT("'"&amp;$C515&amp;"'!"&amp;"$"&amp;$D515&amp;$AD$1&amp;"")</f>
        <v>CMS</v>
      </c>
      <c r="AE515" s="288" t="s">
        <v>1</v>
      </c>
      <c r="AF515" s="288" t="s">
        <v>1</v>
      </c>
      <c r="AG515" s="289" t="s">
        <v>1</v>
      </c>
      <c r="AH515" s="285" cm="1">
        <f t="array" aca="1" ref="AH515" ca="1">INDIRECT("'"&amp;$C515&amp;"'!"&amp;"$"&amp;$D515&amp;$AH$1&amp;"")</f>
        <v>3</v>
      </c>
      <c r="AI515" s="288">
        <v>14.08</v>
      </c>
      <c r="AJ515" s="288">
        <v>0.99</v>
      </c>
      <c r="AK515" s="286">
        <v>0.16700000000000001</v>
      </c>
      <c r="AL515" s="285">
        <v>11.6</v>
      </c>
      <c r="AM515" s="289">
        <v>70.900000000000006</v>
      </c>
      <c r="AN515" s="285" cm="1">
        <f t="array" aca="1" ref="AN515" ca="1">INDIRECT("'"&amp;$C515&amp;"'!"&amp;"$"&amp;$D515&amp;$AL$1&amp;"")</f>
        <v>3.8</v>
      </c>
      <c r="AO515" s="288">
        <v>0.95</v>
      </c>
      <c r="AP515" s="286">
        <v>1.1499999999999999</v>
      </c>
      <c r="AQ515" s="287" cm="1">
        <f t="array" aca="1" ref="AQ515" ca="1">INDIRECT("'"&amp;$C515&amp;"'!"&amp;"$"&amp;$D515&amp;$AQ$1&amp;"")</f>
        <v>0</v>
      </c>
      <c r="AR515" s="288" t="s">
        <v>1</v>
      </c>
      <c r="AS515" s="286" t="s">
        <v>1</v>
      </c>
      <c r="AT515" s="285">
        <v>13.94</v>
      </c>
      <c r="AU515" s="289">
        <v>70.900000000000006</v>
      </c>
      <c r="AV515" s="288" cm="1">
        <f t="array" aca="1" ref="AV515" ca="1">INDIRECT("'"&amp;$C515&amp;"'!"&amp;"$"&amp;$D515&amp;$AV$1&amp;"")</f>
        <v>0</v>
      </c>
      <c r="AW515" s="287" t="s">
        <v>1</v>
      </c>
      <c r="AX515" s="288" t="s">
        <v>1</v>
      </c>
      <c r="AY515" s="286" t="s">
        <v>1</v>
      </c>
      <c r="AZ515" s="288" cm="1">
        <f t="array" aca="1" ref="AZ515" ca="1">INDIRECT("'"&amp;$C515&amp;"'!"&amp;"$"&amp;$D515&amp;$AZ$1&amp;"")</f>
        <v>7</v>
      </c>
      <c r="BA515" s="287" t="s">
        <v>1</v>
      </c>
      <c r="BB515" s="288">
        <v>0.96</v>
      </c>
      <c r="BC515" s="286">
        <v>2.16</v>
      </c>
      <c r="BD515" s="290">
        <v>14.35</v>
      </c>
      <c r="BE515" s="289">
        <v>72</v>
      </c>
      <c r="BF515" s="290" cm="1">
        <f t="array" aca="1" ref="BF515" ca="1">INDIRECT("'"&amp;$C515&amp;"'!"&amp;"$"&amp;$D515&amp;$BF$1&amp;"")</f>
        <v>14.27</v>
      </c>
      <c r="BG515" s="288">
        <v>0.98</v>
      </c>
      <c r="BH515" s="286">
        <v>3.41</v>
      </c>
      <c r="BI515" s="525">
        <v>67.900000000000006</v>
      </c>
      <c r="BJ515" s="285" cm="1">
        <f t="array" aca="1" ref="BJ515" ca="1">INDIRECT("'"&amp;$C515&amp;"'!"&amp;"$"&amp;$D515&amp;$BI$1&amp;"")</f>
        <v>2.2000000000000002</v>
      </c>
      <c r="BK515" s="287">
        <v>0.96</v>
      </c>
      <c r="BL515" s="286">
        <v>0.64</v>
      </c>
      <c r="BM515" s="290" cm="1">
        <f t="array" aca="1" ref="BM515" ca="1">INDIRECT("'"&amp;$C515&amp;"'!"&amp;"$"&amp;$D515&amp;$BM$1&amp;"")</f>
        <v>1.31</v>
      </c>
      <c r="BN515" s="288"/>
      <c r="BO515" s="288">
        <v>0.99</v>
      </c>
      <c r="BP515" s="286">
        <v>0.16</v>
      </c>
      <c r="BQ515" s="291" cm="1">
        <f t="array" aca="1" ref="BQ515" ca="1">INDIRECT("'"&amp;$C515&amp;"'!"&amp;"$"&amp;$D515&amp;$BQ$1&amp;"")</f>
        <v>0.78</v>
      </c>
      <c r="BR515" s="288"/>
      <c r="BS515" s="288">
        <v>0.96</v>
      </c>
      <c r="BT515" s="286">
        <v>0.22</v>
      </c>
      <c r="BU515" s="291" cm="1">
        <f t="array" aca="1" ref="BU515" ca="1">INDIRECT("'"&amp;$C515&amp;"'!"&amp;"$"&amp;$D515&amp;74&amp;"")</f>
        <v>0</v>
      </c>
      <c r="BV515" s="288"/>
      <c r="BW515" s="288" t="s">
        <v>1</v>
      </c>
      <c r="BX515" s="286" t="s">
        <v>1</v>
      </c>
    </row>
    <row r="516" spans="1:76">
      <c r="A516" s="459">
        <v>45859</v>
      </c>
      <c r="B516" s="345">
        <v>0.45833333333333398</v>
      </c>
      <c r="C516" s="305">
        <v>21</v>
      </c>
      <c r="D516" s="306" t="s">
        <v>153</v>
      </c>
      <c r="E516" s="278">
        <v>14.1</v>
      </c>
      <c r="F516" s="279">
        <v>69.23</v>
      </c>
      <c r="G516" s="280" t="str" cm="1">
        <f t="array" aca="1" ref="G516" ca="1">INDIRECT("'"&amp;$C516&amp;"'!"&amp;"$"&amp;$D516&amp;$E$1&amp;"")</f>
        <v>CMS</v>
      </c>
      <c r="H516" s="281" t="s">
        <v>1</v>
      </c>
      <c r="I516" s="279" t="s">
        <v>1</v>
      </c>
      <c r="J516" s="280" cm="1">
        <f t="array" aca="1" ref="J516" ca="1">INDIRECT("'"&amp;$C516&amp;"'!"&amp;"$"&amp;$D516&amp;$J$1&amp;"")</f>
        <v>6.8</v>
      </c>
      <c r="K516" s="281"/>
      <c r="L516" s="281">
        <v>0.93</v>
      </c>
      <c r="M516" s="282">
        <v>2.68</v>
      </c>
      <c r="N516" s="278" cm="1">
        <f t="array" aca="1" ref="N516" ca="1">INDIRECT("'"&amp;$C516&amp;"'!"&amp;"$"&amp;$D516&amp;$N$1&amp;"")</f>
        <v>6.8</v>
      </c>
      <c r="O516" s="281"/>
      <c r="P516" s="281">
        <v>0.93</v>
      </c>
      <c r="Q516" s="282">
        <v>2.68</v>
      </c>
      <c r="R516" s="468" cm="1">
        <f t="array" aca="1" ref="R516" ca="1">INDIRECT("'"&amp;$C516&amp;"'!"&amp;"$"&amp;$D516&amp;$R$1&amp;"")</f>
        <v>6.8</v>
      </c>
      <c r="S516" s="281"/>
      <c r="T516" s="281">
        <v>0.93</v>
      </c>
      <c r="U516" s="279">
        <v>2.68</v>
      </c>
      <c r="V516" s="280" cm="1">
        <f t="array" aca="1" ref="V516" ca="1">INDIRECT("'"&amp;$C516&amp;"'!"&amp;"$"&amp;$D516&amp;$V$1&amp;"")</f>
        <v>2.8</v>
      </c>
      <c r="W516" s="281">
        <f>3.43*3.8</f>
        <v>13.034000000000001</v>
      </c>
      <c r="X516" s="281">
        <v>0.9</v>
      </c>
      <c r="Y516" s="282">
        <v>1.21</v>
      </c>
      <c r="Z516" s="278" t="str" cm="1">
        <f t="array" aca="1" ref="Z516" ca="1">INDIRECT("'"&amp;$C516&amp;"'!"&amp;"$"&amp;$D516&amp;$Z$1&amp;"")</f>
        <v>CMS</v>
      </c>
      <c r="AA516" s="281" t="s">
        <v>1</v>
      </c>
      <c r="AB516" s="281" t="s">
        <v>1</v>
      </c>
      <c r="AC516" s="279" t="s">
        <v>1</v>
      </c>
      <c r="AD516" s="280" t="str" cm="1">
        <f t="array" aca="1" ref="AD516" ca="1">INDIRECT("'"&amp;$C516&amp;"'!"&amp;"$"&amp;$D516&amp;$AD$1&amp;"")</f>
        <v>CMS</v>
      </c>
      <c r="AE516" s="281" t="s">
        <v>1</v>
      </c>
      <c r="AF516" s="281" t="s">
        <v>1</v>
      </c>
      <c r="AG516" s="282" t="s">
        <v>1</v>
      </c>
      <c r="AH516" s="278" cm="1">
        <f t="array" aca="1" ref="AH516" ca="1">INDIRECT("'"&amp;$C516&amp;"'!"&amp;"$"&amp;$D516&amp;$AH$1&amp;"")</f>
        <v>3.8</v>
      </c>
      <c r="AI516" s="281">
        <v>14.08</v>
      </c>
      <c r="AJ516" s="281">
        <v>0.99</v>
      </c>
      <c r="AK516" s="279">
        <v>0.255</v>
      </c>
      <c r="AL516" s="278">
        <v>11.6</v>
      </c>
      <c r="AM516" s="282">
        <v>70.900000000000006</v>
      </c>
      <c r="AN516" s="278" cm="1">
        <f t="array" aca="1" ref="AN516" ca="1">INDIRECT("'"&amp;$C516&amp;"'!"&amp;"$"&amp;$D516&amp;$AL$1&amp;"")</f>
        <v>3.9</v>
      </c>
      <c r="AO516" s="281">
        <v>0.94</v>
      </c>
      <c r="AP516" s="279">
        <v>1.19</v>
      </c>
      <c r="AQ516" s="280" cm="1">
        <f t="array" aca="1" ref="AQ516" ca="1">INDIRECT("'"&amp;$C516&amp;"'!"&amp;"$"&amp;$D516&amp;$AQ$1&amp;"")</f>
        <v>0</v>
      </c>
      <c r="AR516" s="281" t="s">
        <v>1</v>
      </c>
      <c r="AS516" s="279" t="s">
        <v>1</v>
      </c>
      <c r="AT516" s="278">
        <v>13.94</v>
      </c>
      <c r="AU516" s="282">
        <v>70.900000000000006</v>
      </c>
      <c r="AV516" s="281" cm="1">
        <f t="array" aca="1" ref="AV516" ca="1">INDIRECT("'"&amp;$C516&amp;"'!"&amp;"$"&amp;$D516&amp;$AV$1&amp;"")</f>
        <v>0</v>
      </c>
      <c r="AW516" s="280" t="s">
        <v>1</v>
      </c>
      <c r="AX516" s="281" t="s">
        <v>1</v>
      </c>
      <c r="AY516" s="279" t="s">
        <v>1</v>
      </c>
      <c r="AZ516" s="281" cm="1">
        <f t="array" aca="1" ref="AZ516" ca="1">INDIRECT("'"&amp;$C516&amp;"'!"&amp;"$"&amp;$D516&amp;$AZ$1&amp;"")</f>
        <v>7</v>
      </c>
      <c r="BA516" s="280" t="s">
        <v>1</v>
      </c>
      <c r="BB516" s="281">
        <v>0.95</v>
      </c>
      <c r="BC516" s="279">
        <v>2.2000000000000002</v>
      </c>
      <c r="BD516" s="283">
        <v>14.26</v>
      </c>
      <c r="BE516" s="282">
        <v>71.849999999999994</v>
      </c>
      <c r="BF516" s="283" cm="1">
        <f t="array" aca="1" ref="BF516" ca="1">INDIRECT("'"&amp;$C516&amp;"'!"&amp;"$"&amp;$D516&amp;$BF$1&amp;"")</f>
        <v>14.26</v>
      </c>
      <c r="BG516" s="281">
        <v>0.98</v>
      </c>
      <c r="BH516" s="279">
        <v>3.37</v>
      </c>
      <c r="BI516" s="524">
        <v>67.900000000000006</v>
      </c>
      <c r="BJ516" s="278" cm="1">
        <f t="array" aca="1" ref="BJ516" ca="1">INDIRECT("'"&amp;$C516&amp;"'!"&amp;"$"&amp;$D516&amp;$BI$1&amp;"")</f>
        <v>3.9000000000000004</v>
      </c>
      <c r="BK516" s="280">
        <v>0.94</v>
      </c>
      <c r="BL516" s="279">
        <v>1.19</v>
      </c>
      <c r="BM516" s="283" cm="1">
        <f t="array" aca="1" ref="BM516" ca="1">INDIRECT("'"&amp;$C516&amp;"'!"&amp;"$"&amp;$D516&amp;$BM$1&amp;"")</f>
        <v>1.34</v>
      </c>
      <c r="BN516" s="281"/>
      <c r="BO516" s="281">
        <v>0.99</v>
      </c>
      <c r="BP516" s="279">
        <v>0.17</v>
      </c>
      <c r="BQ516" s="284" cm="1">
        <f t="array" aca="1" ref="BQ516" ca="1">INDIRECT("'"&amp;$C516&amp;"'!"&amp;"$"&amp;$D516&amp;$BQ$1&amp;"")</f>
        <v>0.87</v>
      </c>
      <c r="BR516" s="281"/>
      <c r="BS516" s="281">
        <v>0.96</v>
      </c>
      <c r="BT516" s="279">
        <v>0.24</v>
      </c>
      <c r="BU516" s="284" cm="1">
        <f t="array" aca="1" ref="BU516" ca="1">INDIRECT("'"&amp;$C516&amp;"'!"&amp;"$"&amp;$D516&amp;74&amp;"")</f>
        <v>0</v>
      </c>
      <c r="BV516" s="281"/>
      <c r="BW516" s="281" t="s">
        <v>1</v>
      </c>
      <c r="BX516" s="279" t="s">
        <v>1</v>
      </c>
    </row>
    <row r="517" spans="1:76">
      <c r="A517" s="459">
        <v>45859</v>
      </c>
      <c r="B517" s="345">
        <v>0.5</v>
      </c>
      <c r="C517" s="305">
        <v>21</v>
      </c>
      <c r="D517" s="306" t="s">
        <v>154</v>
      </c>
      <c r="E517" s="285">
        <v>14.1</v>
      </c>
      <c r="F517" s="286">
        <v>68.69</v>
      </c>
      <c r="G517" s="287" t="str" cm="1">
        <f t="array" aca="1" ref="G517" ca="1">INDIRECT("'"&amp;$C517&amp;"'!"&amp;"$"&amp;$D517&amp;$E$1&amp;"")</f>
        <v>CMS</v>
      </c>
      <c r="H517" s="288" t="s">
        <v>1</v>
      </c>
      <c r="I517" s="286" t="s">
        <v>1</v>
      </c>
      <c r="J517" s="287" cm="1">
        <f t="array" aca="1" ref="J517" ca="1">INDIRECT("'"&amp;$C517&amp;"'!"&amp;"$"&amp;$D517&amp;$J$1&amp;"")</f>
        <v>6.9</v>
      </c>
      <c r="K517" s="288"/>
      <c r="L517" s="288">
        <v>0.95</v>
      </c>
      <c r="M517" s="289">
        <v>2.2400000000000002</v>
      </c>
      <c r="N517" s="285" cm="1">
        <f t="array" aca="1" ref="N517" ca="1">INDIRECT("'"&amp;$C517&amp;"'!"&amp;"$"&amp;$D517&amp;$N$1&amp;"")</f>
        <v>6.9</v>
      </c>
      <c r="O517" s="288"/>
      <c r="P517" s="288">
        <v>0.95</v>
      </c>
      <c r="Q517" s="289">
        <v>2.2400000000000002</v>
      </c>
      <c r="R517" s="285" cm="1">
        <f t="array" aca="1" ref="R517" ca="1">INDIRECT("'"&amp;$C517&amp;"'!"&amp;"$"&amp;$D517&amp;$R$1&amp;"")</f>
        <v>6.9</v>
      </c>
      <c r="S517" s="288"/>
      <c r="T517" s="288">
        <v>0.95</v>
      </c>
      <c r="U517" s="286">
        <v>2.2400000000000002</v>
      </c>
      <c r="V517" s="287" cm="1">
        <f t="array" aca="1" ref="V517" ca="1">INDIRECT("'"&amp;$C517&amp;"'!"&amp;"$"&amp;$D517&amp;$V$1&amp;"")</f>
        <v>2.8</v>
      </c>
      <c r="W517" s="288">
        <f t="shared" ref="W517" si="0">3.8*3.43</f>
        <v>13.034000000000001</v>
      </c>
      <c r="X517" s="288">
        <v>0.9</v>
      </c>
      <c r="Y517" s="289">
        <v>1.18</v>
      </c>
      <c r="Z517" s="285" t="str" cm="1">
        <f t="array" aca="1" ref="Z517" ca="1">INDIRECT("'"&amp;$C517&amp;"'!"&amp;"$"&amp;$D517&amp;$Z$1&amp;"")</f>
        <v>CMS</v>
      </c>
      <c r="AA517" s="288" t="s">
        <v>1</v>
      </c>
      <c r="AB517" s="288" t="s">
        <v>1</v>
      </c>
      <c r="AC517" s="286" t="s">
        <v>1</v>
      </c>
      <c r="AD517" s="287" t="str" cm="1">
        <f t="array" aca="1" ref="AD517" ca="1">INDIRECT("'"&amp;$C517&amp;"'!"&amp;"$"&amp;$D517&amp;$AD$1&amp;"")</f>
        <v>CMS</v>
      </c>
      <c r="AE517" s="288" t="s">
        <v>1</v>
      </c>
      <c r="AF517" s="288" t="s">
        <v>1</v>
      </c>
      <c r="AG517" s="289" t="s">
        <v>1</v>
      </c>
      <c r="AH517" s="285" cm="1">
        <f t="array" aca="1" ref="AH517" ca="1">INDIRECT("'"&amp;$C517&amp;"'!"&amp;"$"&amp;$D517&amp;$AH$1&amp;"")</f>
        <v>3.8</v>
      </c>
      <c r="AI517" s="288">
        <v>14.04</v>
      </c>
      <c r="AJ517" s="288">
        <v>0.99</v>
      </c>
      <c r="AK517" s="286">
        <v>0.27800000000000002</v>
      </c>
      <c r="AL517" s="285">
        <v>11.6</v>
      </c>
      <c r="AM517" s="289">
        <v>70.5</v>
      </c>
      <c r="AN517" s="285" cm="1">
        <f t="array" aca="1" ref="AN517" ca="1">INDIRECT("'"&amp;$C517&amp;"'!"&amp;"$"&amp;$D517&amp;$AL$1&amp;"")</f>
        <v>4</v>
      </c>
      <c r="AO517" s="288">
        <v>0.96</v>
      </c>
      <c r="AP517" s="286">
        <v>1</v>
      </c>
      <c r="AQ517" s="287" cm="1">
        <f t="array" aca="1" ref="AQ517" ca="1">INDIRECT("'"&amp;$C517&amp;"'!"&amp;"$"&amp;$D517&amp;$AQ$1&amp;"")</f>
        <v>0</v>
      </c>
      <c r="AR517" s="288" t="s">
        <v>1</v>
      </c>
      <c r="AS517" s="286" t="s">
        <v>1</v>
      </c>
      <c r="AT517" s="285">
        <v>13.94</v>
      </c>
      <c r="AU517" s="289">
        <v>70.900000000000006</v>
      </c>
      <c r="AV517" s="288" cm="1">
        <f t="array" aca="1" ref="AV517" ca="1">INDIRECT("'"&amp;$C517&amp;"'!"&amp;"$"&amp;$D517&amp;$AV$1&amp;"")</f>
        <v>0</v>
      </c>
      <c r="AW517" s="287" t="s">
        <v>1</v>
      </c>
      <c r="AX517" s="288" t="s">
        <v>1</v>
      </c>
      <c r="AY517" s="286" t="s">
        <v>1</v>
      </c>
      <c r="AZ517" s="288" cm="1">
        <f t="array" aca="1" ref="AZ517" ca="1">INDIRECT("'"&amp;$C517&amp;"'!"&amp;"$"&amp;$D517&amp;$AZ$1&amp;"")</f>
        <v>7</v>
      </c>
      <c r="BA517" s="287" t="s">
        <v>1</v>
      </c>
      <c r="BB517" s="288">
        <v>0.95</v>
      </c>
      <c r="BC517" s="286">
        <v>2.2000000000000002</v>
      </c>
      <c r="BD517" s="290">
        <v>14.18</v>
      </c>
      <c r="BE517" s="289">
        <v>71.540000000000006</v>
      </c>
      <c r="BF517" s="290" cm="1">
        <f t="array" aca="1" ref="BF517" ca="1">INDIRECT("'"&amp;$C517&amp;"'!"&amp;"$"&amp;$D517&amp;$BF$1&amp;"")</f>
        <v>14.26</v>
      </c>
      <c r="BG517" s="288">
        <v>0.98</v>
      </c>
      <c r="BH517" s="286">
        <v>3.41</v>
      </c>
      <c r="BI517" s="525">
        <v>67.5</v>
      </c>
      <c r="BJ517" s="285" cm="1">
        <f t="array" aca="1" ref="BJ517" ca="1">INDIRECT("'"&amp;$C517&amp;"'!"&amp;"$"&amp;$D517&amp;$BI$1&amp;"")</f>
        <v>3.0999999999999996</v>
      </c>
      <c r="BK517" s="287">
        <v>0.96</v>
      </c>
      <c r="BL517" s="286">
        <v>0.9</v>
      </c>
      <c r="BM517" s="290" cm="1">
        <f t="array" aca="1" ref="BM517" ca="1">INDIRECT("'"&amp;$C517&amp;"'!"&amp;"$"&amp;$D517&amp;$BM$1&amp;"")</f>
        <v>1.52</v>
      </c>
      <c r="BN517" s="288"/>
      <c r="BO517" s="288">
        <v>0.99</v>
      </c>
      <c r="BP517" s="286">
        <v>0.22</v>
      </c>
      <c r="BQ517" s="291" cm="1">
        <f t="array" aca="1" ref="BQ517" ca="1">INDIRECT("'"&amp;$C517&amp;"'!"&amp;"$"&amp;$D517&amp;$BQ$1&amp;"")</f>
        <v>0.87</v>
      </c>
      <c r="BR517" s="288"/>
      <c r="BS517" s="288">
        <v>0.96</v>
      </c>
      <c r="BT517" s="286">
        <v>0.23</v>
      </c>
      <c r="BU517" s="291" cm="1">
        <f t="array" aca="1" ref="BU517" ca="1">INDIRECT("'"&amp;$C517&amp;"'!"&amp;"$"&amp;$D517&amp;74&amp;"")</f>
        <v>0</v>
      </c>
      <c r="BV517" s="288"/>
      <c r="BW517" s="288" t="s">
        <v>1</v>
      </c>
      <c r="BX517" s="286" t="s">
        <v>1</v>
      </c>
    </row>
    <row r="518" spans="1:76">
      <c r="A518" s="459">
        <v>45859</v>
      </c>
      <c r="B518" s="345">
        <v>0.54166666666666696</v>
      </c>
      <c r="C518" s="305">
        <v>21</v>
      </c>
      <c r="D518" s="306" t="s">
        <v>155</v>
      </c>
      <c r="E518" s="278">
        <v>14.1</v>
      </c>
      <c r="F518" s="279">
        <v>68.66</v>
      </c>
      <c r="G518" s="280" t="str" cm="1">
        <f t="array" aca="1" ref="G518" ca="1">INDIRECT("'"&amp;$C518&amp;"'!"&amp;"$"&amp;$D518&amp;$E$1&amp;"")</f>
        <v>CMS</v>
      </c>
      <c r="H518" s="281" t="s">
        <v>1</v>
      </c>
      <c r="I518" s="279" t="s">
        <v>1</v>
      </c>
      <c r="J518" s="280" cm="1">
        <f t="array" aca="1" ref="J518" ca="1">INDIRECT("'"&amp;$C518&amp;"'!"&amp;"$"&amp;$D518&amp;$J$1&amp;"")</f>
        <v>6.5</v>
      </c>
      <c r="K518" s="281"/>
      <c r="L518" s="281">
        <v>0.91</v>
      </c>
      <c r="M518" s="279">
        <v>2.89</v>
      </c>
      <c r="N518" s="278" cm="1">
        <f t="array" aca="1" ref="N518" ca="1">INDIRECT("'"&amp;$C518&amp;"'!"&amp;"$"&amp;$D518&amp;$N$1&amp;"")</f>
        <v>6.5</v>
      </c>
      <c r="O518" s="281"/>
      <c r="P518" s="281">
        <v>0.91</v>
      </c>
      <c r="Q518" s="279">
        <v>2.89</v>
      </c>
      <c r="R518" s="468" cm="1">
        <f t="array" aca="1" ref="R518" ca="1">INDIRECT("'"&amp;$C518&amp;"'!"&amp;"$"&amp;$D518&amp;$R$1&amp;"")</f>
        <v>6.5</v>
      </c>
      <c r="S518" s="281"/>
      <c r="T518" s="281">
        <v>0.91</v>
      </c>
      <c r="U518" s="279">
        <v>2.89</v>
      </c>
      <c r="V518" s="280" cm="1">
        <f t="array" aca="1" ref="V518" ca="1">INDIRECT("'"&amp;$C518&amp;"'!"&amp;"$"&amp;$D518&amp;$V$1&amp;"")</f>
        <v>2.8</v>
      </c>
      <c r="W518" s="281">
        <f>3.41*3.8</f>
        <v>12.958</v>
      </c>
      <c r="X518" s="281">
        <v>0.9</v>
      </c>
      <c r="Y518" s="282">
        <v>1.21</v>
      </c>
      <c r="Z518" s="278" t="str" cm="1">
        <f t="array" aca="1" ref="Z518" ca="1">INDIRECT("'"&amp;$C518&amp;"'!"&amp;"$"&amp;$D518&amp;$Z$1&amp;"")</f>
        <v>CMS</v>
      </c>
      <c r="AA518" s="281" t="s">
        <v>1</v>
      </c>
      <c r="AB518" s="281" t="s">
        <v>1</v>
      </c>
      <c r="AC518" s="279" t="s">
        <v>1</v>
      </c>
      <c r="AD518" s="280" t="str" cm="1">
        <f t="array" aca="1" ref="AD518" ca="1">INDIRECT("'"&amp;$C518&amp;"'!"&amp;"$"&amp;$D518&amp;$AD$1&amp;"")</f>
        <v>CMS</v>
      </c>
      <c r="AE518" s="281" t="s">
        <v>1</v>
      </c>
      <c r="AF518" s="281" t="s">
        <v>1</v>
      </c>
      <c r="AG518" s="282" t="s">
        <v>1</v>
      </c>
      <c r="AH518" s="278" cm="1">
        <f t="array" aca="1" ref="AH518" ca="1">INDIRECT("'"&amp;$C518&amp;"'!"&amp;"$"&amp;$D518&amp;$AH$1&amp;"")</f>
        <v>3.8</v>
      </c>
      <c r="AI518" s="281">
        <v>14.08</v>
      </c>
      <c r="AJ518" s="281">
        <v>0.98</v>
      </c>
      <c r="AK518" s="279">
        <v>0.45500000000000002</v>
      </c>
      <c r="AL518" s="278">
        <v>11.6</v>
      </c>
      <c r="AM518" s="282">
        <v>70.7</v>
      </c>
      <c r="AN518" s="278" cm="1">
        <f t="array" aca="1" ref="AN518" ca="1">INDIRECT("'"&amp;$C518&amp;"'!"&amp;"$"&amp;$D518&amp;$AL$1&amp;"")</f>
        <v>0</v>
      </c>
      <c r="AO518" s="281" t="s">
        <v>1</v>
      </c>
      <c r="AP518" s="279" t="s">
        <v>1</v>
      </c>
      <c r="AQ518" s="280" cm="1">
        <f t="array" aca="1" ref="AQ518" ca="1">INDIRECT("'"&amp;$C518&amp;"'!"&amp;"$"&amp;$D518&amp;$AQ$1&amp;"")</f>
        <v>3.8</v>
      </c>
      <c r="AR518" s="281">
        <v>0.98</v>
      </c>
      <c r="AS518" s="279">
        <v>0.68</v>
      </c>
      <c r="AT518" s="278">
        <v>13.97</v>
      </c>
      <c r="AU518" s="282">
        <v>70.900000000000006</v>
      </c>
      <c r="AV518" s="281" cm="1">
        <f t="array" aca="1" ref="AV518" ca="1">INDIRECT("'"&amp;$C518&amp;"'!"&amp;"$"&amp;$D518&amp;$AV$1&amp;"")</f>
        <v>2.7</v>
      </c>
      <c r="AW518" s="280">
        <v>13.7</v>
      </c>
      <c r="AX518" s="281">
        <v>0.95</v>
      </c>
      <c r="AY518" s="279">
        <v>0.85</v>
      </c>
      <c r="AZ518" s="281" cm="1">
        <f t="array" aca="1" ref="AZ518" ca="1">INDIRECT("'"&amp;$C518&amp;"'!"&amp;"$"&amp;$D518&amp;$AZ$1&amp;"")</f>
        <v>7</v>
      </c>
      <c r="BA518" s="280">
        <v>13.7</v>
      </c>
      <c r="BB518" s="281">
        <v>0.95</v>
      </c>
      <c r="BC518" s="279">
        <v>2.06</v>
      </c>
      <c r="BD518" s="283">
        <v>14.29</v>
      </c>
      <c r="BE518" s="282">
        <v>71.959999999999994</v>
      </c>
      <c r="BF518" s="283" cm="1">
        <f t="array" aca="1" ref="BF518" ca="1">INDIRECT("'"&amp;$C518&amp;"'!"&amp;"$"&amp;$D518&amp;$BF$1&amp;"")</f>
        <v>14.26</v>
      </c>
      <c r="BG518" s="281">
        <v>0.98</v>
      </c>
      <c r="BH518" s="279">
        <v>3.43</v>
      </c>
      <c r="BI518" s="524">
        <v>67.599999999999994</v>
      </c>
      <c r="BJ518" s="278" cm="1">
        <f t="array" aca="1" ref="BJ518" ca="1">INDIRECT("'"&amp;$C518&amp;"'!"&amp;"$"&amp;$D518&amp;$BI$1&amp;"")</f>
        <v>1.5</v>
      </c>
      <c r="BK518" s="280">
        <v>0.96</v>
      </c>
      <c r="BL518" s="279">
        <v>0.43</v>
      </c>
      <c r="BM518" s="283" cm="1">
        <f t="array" aca="1" ref="BM518" ca="1">INDIRECT("'"&amp;$C518&amp;"'!"&amp;"$"&amp;$D518&amp;$BM$1&amp;"")</f>
        <v>1.53</v>
      </c>
      <c r="BN518" s="281"/>
      <c r="BO518" s="281">
        <v>0.99</v>
      </c>
      <c r="BP518" s="279">
        <v>0.21</v>
      </c>
      <c r="BQ518" s="284" cm="1">
        <f t="array" aca="1" ref="BQ518" ca="1">INDIRECT("'"&amp;$C518&amp;"'!"&amp;"$"&amp;$D518&amp;$BQ$1&amp;"")</f>
        <v>0.87</v>
      </c>
      <c r="BR518" s="281"/>
      <c r="BS518" s="281">
        <v>0.96</v>
      </c>
      <c r="BT518" s="279">
        <v>0.24</v>
      </c>
      <c r="BU518" s="284" cm="1">
        <f t="array" aca="1" ref="BU518" ca="1">INDIRECT("'"&amp;$C518&amp;"'!"&amp;"$"&amp;$D518&amp;74&amp;"")</f>
        <v>0</v>
      </c>
      <c r="BV518" s="281"/>
      <c r="BW518" s="281" t="s">
        <v>1</v>
      </c>
      <c r="BX518" s="279" t="s">
        <v>1</v>
      </c>
    </row>
    <row r="519" spans="1:76">
      <c r="A519" s="459">
        <v>45859</v>
      </c>
      <c r="B519" s="345">
        <v>0.58333333333333404</v>
      </c>
      <c r="C519" s="305">
        <v>21</v>
      </c>
      <c r="D519" s="306" t="s">
        <v>156</v>
      </c>
      <c r="E519" s="285">
        <v>14.2</v>
      </c>
      <c r="F519" s="286">
        <v>69.08</v>
      </c>
      <c r="G519" s="287" t="str" cm="1">
        <f t="array" aca="1" ref="G519" ca="1">INDIRECT("'"&amp;$C519&amp;"'!"&amp;"$"&amp;$D519&amp;$E$1&amp;"")</f>
        <v>CMS</v>
      </c>
      <c r="H519" s="288" t="s">
        <v>1</v>
      </c>
      <c r="I519" s="286" t="s">
        <v>1</v>
      </c>
      <c r="J519" s="287" cm="1">
        <f t="array" aca="1" ref="J519" ca="1">INDIRECT("'"&amp;$C519&amp;"'!"&amp;"$"&amp;$D519&amp;$J$1&amp;"")</f>
        <v>6.7</v>
      </c>
      <c r="K519" s="288"/>
      <c r="L519" s="288">
        <v>0.89</v>
      </c>
      <c r="M519" s="289">
        <v>3.34</v>
      </c>
      <c r="N519" s="285" cm="1">
        <f t="array" aca="1" ref="N519" ca="1">INDIRECT("'"&amp;$C519&amp;"'!"&amp;"$"&amp;$D519&amp;$N$1&amp;"")</f>
        <v>6.7</v>
      </c>
      <c r="O519" s="288"/>
      <c r="P519" s="288">
        <v>0.89</v>
      </c>
      <c r="Q519" s="286">
        <v>3.34</v>
      </c>
      <c r="R519" s="285" cm="1">
        <f t="array" aca="1" ref="R519" ca="1">INDIRECT("'"&amp;$C519&amp;"'!"&amp;"$"&amp;$D519&amp;$R$1&amp;"")</f>
        <v>6.7</v>
      </c>
      <c r="S519" s="288"/>
      <c r="T519" s="288">
        <v>0.89</v>
      </c>
      <c r="U519" s="286">
        <v>3.34</v>
      </c>
      <c r="V519" s="287" cm="1">
        <f t="array" aca="1" ref="V519" ca="1">INDIRECT("'"&amp;$C519&amp;"'!"&amp;"$"&amp;$D519&amp;$V$1&amp;"")</f>
        <v>2.8</v>
      </c>
      <c r="W519" s="288">
        <f>3.8*3.41</f>
        <v>12.958</v>
      </c>
      <c r="X519" s="288">
        <v>0.9</v>
      </c>
      <c r="Y519" s="289">
        <v>1.23</v>
      </c>
      <c r="Z519" s="285" t="str" cm="1">
        <f t="array" aca="1" ref="Z519" ca="1">INDIRECT("'"&amp;$C519&amp;"'!"&amp;"$"&amp;$D519&amp;$Z$1&amp;"")</f>
        <v>CMS</v>
      </c>
      <c r="AA519" s="288" t="s">
        <v>1</v>
      </c>
      <c r="AB519" s="288" t="s">
        <v>1</v>
      </c>
      <c r="AC519" s="286" t="s">
        <v>1</v>
      </c>
      <c r="AD519" s="287" t="str" cm="1">
        <f t="array" aca="1" ref="AD519" ca="1">INDIRECT("'"&amp;$C519&amp;"'!"&amp;"$"&amp;$D519&amp;$AD$1&amp;"")</f>
        <v>CMS</v>
      </c>
      <c r="AE519" s="288" t="s">
        <v>1</v>
      </c>
      <c r="AF519" s="288" t="s">
        <v>1</v>
      </c>
      <c r="AG519" s="289" t="s">
        <v>1</v>
      </c>
      <c r="AH519" s="285" cm="1">
        <f t="array" aca="1" ref="AH519" ca="1">INDIRECT("'"&amp;$C519&amp;"'!"&amp;"$"&amp;$D519&amp;$AH$1&amp;"")</f>
        <v>3.8</v>
      </c>
      <c r="AI519" s="288">
        <v>14.12</v>
      </c>
      <c r="AJ519" s="288">
        <v>0.98</v>
      </c>
      <c r="AK519" s="286">
        <v>0.46100000000000002</v>
      </c>
      <c r="AL519" s="285">
        <v>11.6</v>
      </c>
      <c r="AM519" s="289">
        <v>70.8</v>
      </c>
      <c r="AN519" s="285" cm="1">
        <f t="array" aca="1" ref="AN519" ca="1">INDIRECT("'"&amp;$C519&amp;"'!"&amp;"$"&amp;$D519&amp;$AL$1&amp;"")</f>
        <v>0</v>
      </c>
      <c r="AO519" s="288" t="s">
        <v>1</v>
      </c>
      <c r="AP519" s="286" t="s">
        <v>1</v>
      </c>
      <c r="AQ519" s="287" cm="1">
        <f t="array" aca="1" ref="AQ519" ca="1">INDIRECT("'"&amp;$C519&amp;"'!"&amp;"$"&amp;$D519&amp;$AQ$1&amp;"")</f>
        <v>3.9</v>
      </c>
      <c r="AR519" s="288">
        <v>0.96</v>
      </c>
      <c r="AS519" s="286">
        <v>1.1399999999999999</v>
      </c>
      <c r="AT519" s="285">
        <v>13.98</v>
      </c>
      <c r="AU519" s="289">
        <v>70.900000000000006</v>
      </c>
      <c r="AV519" s="288" cm="1">
        <f t="array" aca="1" ref="AV519" ca="1">INDIRECT("'"&amp;$C519&amp;"'!"&amp;"$"&amp;$D519&amp;$AV$1&amp;"")</f>
        <v>2.8</v>
      </c>
      <c r="AW519" s="287">
        <v>13.7</v>
      </c>
      <c r="AX519" s="288">
        <v>0.97</v>
      </c>
      <c r="AY519" s="286">
        <v>0.63</v>
      </c>
      <c r="AZ519" s="288" cm="1">
        <f t="array" aca="1" ref="AZ519" ca="1">INDIRECT("'"&amp;$C519&amp;"'!"&amp;"$"&amp;$D519&amp;$AZ$1&amp;"")</f>
        <v>7</v>
      </c>
      <c r="BA519" s="287">
        <v>13.7</v>
      </c>
      <c r="BB519" s="288">
        <v>0.97</v>
      </c>
      <c r="BC519" s="286">
        <v>1.84</v>
      </c>
      <c r="BD519" s="290">
        <v>14.28</v>
      </c>
      <c r="BE519" s="289">
        <v>71.89</v>
      </c>
      <c r="BF519" s="290" cm="1">
        <f t="array" aca="1" ref="BF519" ca="1">INDIRECT("'"&amp;$C519&amp;"'!"&amp;"$"&amp;$D519&amp;$BF$1&amp;"")</f>
        <v>14.27</v>
      </c>
      <c r="BG519" s="288">
        <v>0.98</v>
      </c>
      <c r="BH519" s="286">
        <v>3.36</v>
      </c>
      <c r="BI519" s="525">
        <v>67.5</v>
      </c>
      <c r="BJ519" s="285" cm="1">
        <f t="array" aca="1" ref="BJ519" ca="1">INDIRECT("'"&amp;$C519&amp;"'!"&amp;"$"&amp;$D519&amp;$BI$1&amp;"")</f>
        <v>3.9000000000000004</v>
      </c>
      <c r="BK519" s="287">
        <v>0.96</v>
      </c>
      <c r="BL519" s="286">
        <v>1.1000000000000001</v>
      </c>
      <c r="BM519" s="290" cm="1">
        <f t="array" aca="1" ref="BM519" ca="1">INDIRECT("'"&amp;$C519&amp;"'!"&amp;"$"&amp;$D519&amp;$BM$1&amp;"")</f>
        <v>1.51</v>
      </c>
      <c r="BN519" s="288"/>
      <c r="BO519" s="288">
        <v>0.99</v>
      </c>
      <c r="BP519" s="286">
        <v>0.19</v>
      </c>
      <c r="BQ519" s="291" cm="1">
        <f t="array" aca="1" ref="BQ519" ca="1">INDIRECT("'"&amp;$C519&amp;"'!"&amp;"$"&amp;$D519&amp;$BQ$1&amp;"")</f>
        <v>0.86</v>
      </c>
      <c r="BR519" s="288"/>
      <c r="BS519" s="288">
        <v>0.96</v>
      </c>
      <c r="BT519" s="286">
        <v>0.24</v>
      </c>
      <c r="BU519" s="291" cm="1">
        <f t="array" aca="1" ref="BU519" ca="1">INDIRECT("'"&amp;$C519&amp;"'!"&amp;"$"&amp;$D519&amp;74&amp;"")</f>
        <v>0</v>
      </c>
      <c r="BV519" s="288"/>
      <c r="BW519" s="288" t="s">
        <v>1</v>
      </c>
      <c r="BX519" s="286" t="s">
        <v>1</v>
      </c>
    </row>
    <row r="520" spans="1:76">
      <c r="A520" s="459">
        <v>45859</v>
      </c>
      <c r="B520" s="345">
        <v>0.625</v>
      </c>
      <c r="C520" s="305">
        <v>21</v>
      </c>
      <c r="D520" s="306" t="s">
        <v>157</v>
      </c>
      <c r="E520" s="278">
        <v>14.3</v>
      </c>
      <c r="F520" s="279">
        <v>69.599999999999994</v>
      </c>
      <c r="G520" s="280" t="str" cm="1">
        <f t="array" aca="1" ref="G520" ca="1">INDIRECT("'"&amp;$C520&amp;"'!"&amp;"$"&amp;$D520&amp;$E$1&amp;"")</f>
        <v>CMS</v>
      </c>
      <c r="H520" s="281" t="s">
        <v>1</v>
      </c>
      <c r="I520" s="279" t="s">
        <v>1</v>
      </c>
      <c r="J520" s="280" cm="1">
        <f t="array" aca="1" ref="J520" ca="1">INDIRECT("'"&amp;$C520&amp;"'!"&amp;"$"&amp;$D520&amp;$J$1&amp;"")</f>
        <v>6.4</v>
      </c>
      <c r="K520" s="281"/>
      <c r="L520" s="281">
        <v>0.93</v>
      </c>
      <c r="M520" s="282">
        <v>2.57</v>
      </c>
      <c r="N520" s="278" cm="1">
        <f t="array" aca="1" ref="N520" ca="1">INDIRECT("'"&amp;$C520&amp;"'!"&amp;"$"&amp;$D520&amp;$N$1&amp;"")</f>
        <v>6.4</v>
      </c>
      <c r="O520" s="281"/>
      <c r="P520" s="281">
        <v>0.93</v>
      </c>
      <c r="Q520" s="279">
        <v>2.57</v>
      </c>
      <c r="R520" s="468" cm="1">
        <f t="array" aca="1" ref="R520" ca="1">INDIRECT("'"&amp;$C520&amp;"'!"&amp;"$"&amp;$D520&amp;$R$1&amp;"")</f>
        <v>6.4</v>
      </c>
      <c r="S520" s="281"/>
      <c r="T520" s="281">
        <v>0.93</v>
      </c>
      <c r="U520" s="279">
        <v>2.57</v>
      </c>
      <c r="V520" s="280" cm="1">
        <f t="array" aca="1" ref="V520" ca="1">INDIRECT("'"&amp;$C520&amp;"'!"&amp;"$"&amp;$D520&amp;$V$1&amp;"")</f>
        <v>2</v>
      </c>
      <c r="W520" s="281">
        <f>3.8*3.48</f>
        <v>13.224</v>
      </c>
      <c r="X520" s="281">
        <v>0.9</v>
      </c>
      <c r="Y520" s="282">
        <v>1.21</v>
      </c>
      <c r="Z520" s="278" t="str" cm="1">
        <f t="array" aca="1" ref="Z520" ca="1">INDIRECT("'"&amp;$C520&amp;"'!"&amp;"$"&amp;$D520&amp;$Z$1&amp;"")</f>
        <v>CMS</v>
      </c>
      <c r="AA520" s="281" t="s">
        <v>1</v>
      </c>
      <c r="AB520" s="281" t="s">
        <v>1</v>
      </c>
      <c r="AC520" s="279" t="s">
        <v>1</v>
      </c>
      <c r="AD520" s="280" t="str" cm="1">
        <f t="array" aca="1" ref="AD520" ca="1">INDIRECT("'"&amp;$C520&amp;"'!"&amp;"$"&amp;$D520&amp;$AD$1&amp;"")</f>
        <v>CMS</v>
      </c>
      <c r="AE520" s="281" t="s">
        <v>1</v>
      </c>
      <c r="AF520" s="281" t="s">
        <v>1</v>
      </c>
      <c r="AG520" s="279" t="s">
        <v>1</v>
      </c>
      <c r="AH520" s="278" cm="1">
        <f t="array" aca="1" ref="AH520" ca="1">INDIRECT("'"&amp;$C520&amp;"'!"&amp;"$"&amp;$D520&amp;$AH$1&amp;"")</f>
        <v>3.5</v>
      </c>
      <c r="AI520" s="281">
        <v>14.08</v>
      </c>
      <c r="AJ520" s="281">
        <v>0.98</v>
      </c>
      <c r="AK520" s="279">
        <v>0.442</v>
      </c>
      <c r="AL520" s="278">
        <v>11.6</v>
      </c>
      <c r="AM520" s="282">
        <v>70.900000000000006</v>
      </c>
      <c r="AN520" s="278" cm="1">
        <f t="array" aca="1" ref="AN520" ca="1">INDIRECT("'"&amp;$C520&amp;"'!"&amp;"$"&amp;$D520&amp;$AL$1&amp;"")</f>
        <v>0</v>
      </c>
      <c r="AO520" s="281" t="s">
        <v>1</v>
      </c>
      <c r="AP520" s="279" t="s">
        <v>1</v>
      </c>
      <c r="AQ520" s="280" cm="1">
        <f t="array" aca="1" ref="AQ520" ca="1">INDIRECT("'"&amp;$C520&amp;"'!"&amp;"$"&amp;$D520&amp;$AQ$1&amp;"")</f>
        <v>2.5</v>
      </c>
      <c r="AR520" s="281">
        <v>0.95</v>
      </c>
      <c r="AS520" s="279">
        <v>0.82</v>
      </c>
      <c r="AT520" s="278">
        <v>13.97</v>
      </c>
      <c r="AU520" s="282">
        <v>70.900000000000006</v>
      </c>
      <c r="AV520" s="281" cm="1">
        <f t="array" aca="1" ref="AV520" ca="1">INDIRECT("'"&amp;$C520&amp;"'!"&amp;"$"&amp;$D520&amp;$AV$1&amp;"")</f>
        <v>1.8</v>
      </c>
      <c r="AW520" s="280">
        <v>13.7</v>
      </c>
      <c r="AX520" s="281">
        <v>0.89</v>
      </c>
      <c r="AY520" s="279">
        <v>0.81</v>
      </c>
      <c r="AZ520" s="281" cm="1">
        <f t="array" aca="1" ref="AZ520" ca="1">INDIRECT("'"&amp;$C520&amp;"'!"&amp;"$"&amp;$D520&amp;$AZ$1&amp;"")</f>
        <v>5.8</v>
      </c>
      <c r="BA520" s="280">
        <v>13.7</v>
      </c>
      <c r="BB520" s="281">
        <v>0.95</v>
      </c>
      <c r="BC520" s="279">
        <v>1.35</v>
      </c>
      <c r="BD520" s="283">
        <v>14.13</v>
      </c>
      <c r="BE520" s="282">
        <v>71.56</v>
      </c>
      <c r="BF520" s="283" cm="1">
        <f t="array" aca="1" ref="BF520" ca="1">INDIRECT("'"&amp;$C520&amp;"'!"&amp;"$"&amp;$D520&amp;$BF$1&amp;"")</f>
        <v>14.26</v>
      </c>
      <c r="BG520" s="281">
        <v>0.99</v>
      </c>
      <c r="BH520" s="279">
        <v>2.38</v>
      </c>
      <c r="BI520" s="524">
        <v>68.400000000000006</v>
      </c>
      <c r="BJ520" s="278" cm="1">
        <f t="array" aca="1" ref="BJ520" ca="1">INDIRECT("'"&amp;$C520&amp;"'!"&amp;"$"&amp;$D520&amp;$BI$1&amp;"")</f>
        <v>0</v>
      </c>
      <c r="BK520" s="280" t="s">
        <v>1</v>
      </c>
      <c r="BL520" s="279" t="s">
        <v>1</v>
      </c>
      <c r="BM520" s="283" cm="1">
        <f t="array" aca="1" ref="BM520" ca="1">INDIRECT("'"&amp;$C520&amp;"'!"&amp;"$"&amp;$D520&amp;$BM$1&amp;"")</f>
        <v>1.51</v>
      </c>
      <c r="BN520" s="281"/>
      <c r="BO520" s="281">
        <v>0.99</v>
      </c>
      <c r="BP520" s="279">
        <v>0.19</v>
      </c>
      <c r="BQ520" s="284" cm="1">
        <f t="array" aca="1" ref="BQ520" ca="1">INDIRECT("'"&amp;$C520&amp;"'!"&amp;"$"&amp;$D520&amp;$BQ$1&amp;"")</f>
        <v>0.87</v>
      </c>
      <c r="BR520" s="281"/>
      <c r="BS520" s="281">
        <v>0.96</v>
      </c>
      <c r="BT520" s="279">
        <v>0.24</v>
      </c>
      <c r="BU520" s="284" cm="1">
        <f t="array" aca="1" ref="BU520" ca="1">INDIRECT("'"&amp;$C520&amp;"'!"&amp;"$"&amp;$D520&amp;74&amp;"")</f>
        <v>0</v>
      </c>
      <c r="BV520" s="281"/>
      <c r="BW520" s="281" t="s">
        <v>1</v>
      </c>
      <c r="BX520" s="279" t="s">
        <v>1</v>
      </c>
    </row>
    <row r="521" spans="1:76">
      <c r="A521" s="459">
        <v>45859</v>
      </c>
      <c r="B521" s="345">
        <v>0.66666666666666696</v>
      </c>
      <c r="C521" s="305">
        <v>21</v>
      </c>
      <c r="D521" s="306" t="s">
        <v>158</v>
      </c>
      <c r="E521" s="285">
        <v>14.2</v>
      </c>
      <c r="F521" s="286">
        <v>68.81</v>
      </c>
      <c r="G521" s="287" t="str" cm="1">
        <f t="array" aca="1" ref="G521" ca="1">INDIRECT("'"&amp;$C521&amp;"'!"&amp;"$"&amp;$D521&amp;$E$1&amp;"")</f>
        <v>CMS</v>
      </c>
      <c r="H521" s="288" t="s">
        <v>1</v>
      </c>
      <c r="I521" s="286" t="s">
        <v>1</v>
      </c>
      <c r="J521" s="287" cm="1">
        <f t="array" aca="1" ref="J521" ca="1">INDIRECT("'"&amp;$C521&amp;"'!"&amp;"$"&amp;$D521&amp;$J$1&amp;"")</f>
        <v>6.7</v>
      </c>
      <c r="K521" s="288"/>
      <c r="L521" s="288">
        <v>0.89</v>
      </c>
      <c r="M521" s="289">
        <v>3.41</v>
      </c>
      <c r="N521" s="285" cm="1">
        <f t="array" aca="1" ref="N521" ca="1">INDIRECT("'"&amp;$C521&amp;"'!"&amp;"$"&amp;$D521&amp;$N$1&amp;"")</f>
        <v>6.7</v>
      </c>
      <c r="O521" s="288"/>
      <c r="P521" s="288">
        <v>0.89</v>
      </c>
      <c r="Q521" s="286">
        <v>3.41</v>
      </c>
      <c r="R521" s="469" cm="1">
        <f t="array" aca="1" ref="R521" ca="1">INDIRECT("'"&amp;$C521&amp;"'!"&amp;"$"&amp;$D521&amp;$R$1&amp;"")</f>
        <v>6.7</v>
      </c>
      <c r="S521" s="288"/>
      <c r="T521" s="288">
        <v>0.89</v>
      </c>
      <c r="U521" s="286">
        <v>3.41</v>
      </c>
      <c r="V521" s="287" cm="1">
        <f t="array" aca="1" ref="V521" ca="1">INDIRECT("'"&amp;$C521&amp;"'!"&amp;"$"&amp;$D521&amp;$V$1&amp;"")</f>
        <v>2.8</v>
      </c>
      <c r="W521" s="288">
        <f>3.8*3.42</f>
        <v>12.995999999999999</v>
      </c>
      <c r="X521" s="288">
        <v>0.9</v>
      </c>
      <c r="Y521" s="289">
        <v>1.31</v>
      </c>
      <c r="Z521" s="285" t="str" cm="1">
        <f t="array" aca="1" ref="Z521" ca="1">INDIRECT("'"&amp;$C521&amp;"'!"&amp;"$"&amp;$D521&amp;$Z$1&amp;"")</f>
        <v>CMS</v>
      </c>
      <c r="AA521" s="288" t="s">
        <v>1</v>
      </c>
      <c r="AB521" s="288" t="s">
        <v>1</v>
      </c>
      <c r="AC521" s="286" t="s">
        <v>1</v>
      </c>
      <c r="AD521" s="287" t="str" cm="1">
        <f t="array" aca="1" ref="AD521" ca="1">INDIRECT("'"&amp;$C521&amp;"'!"&amp;"$"&amp;$D521&amp;$AD$1&amp;"")</f>
        <v>CMS</v>
      </c>
      <c r="AE521" s="288" t="s">
        <v>1</v>
      </c>
      <c r="AF521" s="288" t="s">
        <v>1</v>
      </c>
      <c r="AG521" s="289" t="s">
        <v>1</v>
      </c>
      <c r="AH521" s="285" cm="1">
        <f t="array" aca="1" ref="AH521" ca="1">INDIRECT("'"&amp;$C521&amp;"'!"&amp;"$"&amp;$D521&amp;$AH$1&amp;"")</f>
        <v>3.8</v>
      </c>
      <c r="AI521" s="288">
        <v>14.08</v>
      </c>
      <c r="AJ521" s="288">
        <v>0.98</v>
      </c>
      <c r="AK521" s="286">
        <v>0.45900000000000002</v>
      </c>
      <c r="AL521" s="285">
        <v>11.6</v>
      </c>
      <c r="AM521" s="289">
        <v>70.900000000000006</v>
      </c>
      <c r="AN521" s="285" cm="1">
        <f t="array" aca="1" ref="AN521" ca="1">INDIRECT("'"&amp;$C521&amp;"'!"&amp;"$"&amp;$D521&amp;$AL$1&amp;"")</f>
        <v>0</v>
      </c>
      <c r="AO521" s="288" t="s">
        <v>1</v>
      </c>
      <c r="AP521" s="286" t="s">
        <v>1</v>
      </c>
      <c r="AQ521" s="287" cm="1">
        <f t="array" aca="1" ref="AQ521" ca="1">INDIRECT("'"&amp;$C521&amp;"'!"&amp;"$"&amp;$D521&amp;$AQ$1&amp;"")</f>
        <v>3.8</v>
      </c>
      <c r="AR521" s="288">
        <v>0.96</v>
      </c>
      <c r="AS521" s="286">
        <v>1</v>
      </c>
      <c r="AT521" s="285">
        <v>13.98</v>
      </c>
      <c r="AU521" s="289">
        <v>70.900000000000006</v>
      </c>
      <c r="AV521" s="288" cm="1">
        <f t="array" aca="1" ref="AV521" ca="1">INDIRECT("'"&amp;$C521&amp;"'!"&amp;"$"&amp;$D521&amp;$AV$1&amp;"")</f>
        <v>3</v>
      </c>
      <c r="AW521" s="287" t="s">
        <v>1</v>
      </c>
      <c r="AX521" s="288">
        <v>0.96</v>
      </c>
      <c r="AY521" s="286">
        <v>1</v>
      </c>
      <c r="AZ521" s="288" cm="1">
        <f t="array" aca="1" ref="AZ521" ca="1">INDIRECT("'"&amp;$C521&amp;"'!"&amp;"$"&amp;$D521&amp;$AZ$1&amp;"")</f>
        <v>7</v>
      </c>
      <c r="BA521" s="287" t="s">
        <v>1</v>
      </c>
      <c r="BB521" s="288">
        <v>0.95</v>
      </c>
      <c r="BC521" s="286">
        <v>1.98</v>
      </c>
      <c r="BD521" s="290">
        <v>14.28</v>
      </c>
      <c r="BE521" s="289">
        <v>71.95</v>
      </c>
      <c r="BF521" s="290" cm="1">
        <f t="array" aca="1" ref="BF521" ca="1">INDIRECT("'"&amp;$C521&amp;"'!"&amp;"$"&amp;$D521&amp;$BF$1&amp;"")</f>
        <v>14.28</v>
      </c>
      <c r="BG521" s="288">
        <v>0.98</v>
      </c>
      <c r="BH521" s="286">
        <v>3.45</v>
      </c>
      <c r="BI521" s="525">
        <v>67.599999999999994</v>
      </c>
      <c r="BJ521" s="285" cm="1">
        <f t="array" aca="1" ref="BJ521" ca="1">INDIRECT("'"&amp;$C521&amp;"'!"&amp;"$"&amp;$D521&amp;$BI$1&amp;"")</f>
        <v>0.8</v>
      </c>
      <c r="BK521" s="287">
        <v>0.96</v>
      </c>
      <c r="BL521" s="286">
        <v>0.23</v>
      </c>
      <c r="BM521" s="290" cm="1">
        <f t="array" aca="1" ref="BM521" ca="1">INDIRECT("'"&amp;$C521&amp;"'!"&amp;"$"&amp;$D521&amp;$BM$1&amp;"")</f>
        <v>1.47</v>
      </c>
      <c r="BN521" s="288"/>
      <c r="BO521" s="288">
        <v>0.99</v>
      </c>
      <c r="BP521" s="286">
        <v>0.2</v>
      </c>
      <c r="BQ521" s="291" cm="1">
        <f t="array" aca="1" ref="BQ521" ca="1">INDIRECT("'"&amp;$C521&amp;"'!"&amp;"$"&amp;$D521&amp;$BQ$1&amp;"")</f>
        <v>0.85</v>
      </c>
      <c r="BR521" s="288"/>
      <c r="BS521" s="288">
        <v>0.96</v>
      </c>
      <c r="BT521" s="286">
        <v>0.24</v>
      </c>
      <c r="BU521" s="291" cm="1">
        <f t="array" aca="1" ref="BU521" ca="1">INDIRECT("'"&amp;$C521&amp;"'!"&amp;"$"&amp;$D521&amp;74&amp;"")</f>
        <v>0</v>
      </c>
      <c r="BV521" s="288"/>
      <c r="BW521" s="288" t="s">
        <v>1</v>
      </c>
      <c r="BX521" s="286" t="s">
        <v>1</v>
      </c>
    </row>
    <row r="522" spans="1:76">
      <c r="A522" s="459">
        <v>45859</v>
      </c>
      <c r="B522" s="345">
        <v>0.70833333333333404</v>
      </c>
      <c r="C522" s="305">
        <v>21</v>
      </c>
      <c r="D522" s="306" t="s">
        <v>159</v>
      </c>
      <c r="E522" s="278">
        <v>14.2</v>
      </c>
      <c r="F522" s="279">
        <v>68.989999999999995</v>
      </c>
      <c r="G522" s="280" t="str" cm="1">
        <f t="array" aca="1" ref="G522" ca="1">INDIRECT("'"&amp;$C522&amp;"'!"&amp;"$"&amp;$D522&amp;$E$1&amp;"")</f>
        <v>CMS</v>
      </c>
      <c r="H522" s="281" t="s">
        <v>1</v>
      </c>
      <c r="I522" s="279" t="s">
        <v>1</v>
      </c>
      <c r="J522" s="280" cm="1">
        <f t="array" aca="1" ref="J522" ca="1">INDIRECT("'"&amp;$C522&amp;"'!"&amp;"$"&amp;$D522&amp;$J$1&amp;"")</f>
        <v>6.6</v>
      </c>
      <c r="K522" s="281"/>
      <c r="L522" s="281">
        <v>0.91</v>
      </c>
      <c r="M522" s="282">
        <v>2.91</v>
      </c>
      <c r="N522" s="278" cm="1">
        <f t="array" aca="1" ref="N522" ca="1">INDIRECT("'"&amp;$C522&amp;"'!"&amp;"$"&amp;$D522&amp;$N$1&amp;"")</f>
        <v>6.6</v>
      </c>
      <c r="O522" s="281"/>
      <c r="P522" s="281">
        <v>0.91</v>
      </c>
      <c r="Q522" s="279">
        <v>2.91</v>
      </c>
      <c r="R522" s="468" cm="1">
        <f t="array" aca="1" ref="R522" ca="1">INDIRECT("'"&amp;$C522&amp;"'!"&amp;"$"&amp;$D522&amp;$R$1&amp;"")</f>
        <v>6.6</v>
      </c>
      <c r="S522" s="281"/>
      <c r="T522" s="281">
        <v>0.91</v>
      </c>
      <c r="U522" s="279">
        <v>2.91</v>
      </c>
      <c r="V522" s="280" cm="1">
        <f t="array" aca="1" ref="V522" ca="1">INDIRECT("'"&amp;$C522&amp;"'!"&amp;"$"&amp;$D522&amp;$V$1&amp;"")</f>
        <v>2.8</v>
      </c>
      <c r="W522" s="281">
        <f>3.8*3.43</f>
        <v>13.034000000000001</v>
      </c>
      <c r="X522" s="281">
        <v>0.9</v>
      </c>
      <c r="Y522" s="282">
        <v>1.32</v>
      </c>
      <c r="Z522" s="278" t="str" cm="1">
        <f t="array" aca="1" ref="Z522" ca="1">INDIRECT("'"&amp;$C522&amp;"'!"&amp;"$"&amp;$D522&amp;$Z$1&amp;"")</f>
        <v>CMS</v>
      </c>
      <c r="AA522" s="281" t="s">
        <v>1</v>
      </c>
      <c r="AB522" s="281" t="s">
        <v>1</v>
      </c>
      <c r="AC522" s="279" t="s">
        <v>1</v>
      </c>
      <c r="AD522" s="280" t="str" cm="1">
        <f t="array" aca="1" ref="AD522" ca="1">INDIRECT("'"&amp;$C522&amp;"'!"&amp;"$"&amp;$D522&amp;$AD$1&amp;"")</f>
        <v>CMS</v>
      </c>
      <c r="AE522" s="281" t="s">
        <v>1</v>
      </c>
      <c r="AF522" s="281" t="s">
        <v>1</v>
      </c>
      <c r="AG522" s="282" t="s">
        <v>1</v>
      </c>
      <c r="AH522" s="278" cm="1">
        <f t="array" aca="1" ref="AH522" ca="1">INDIRECT("'"&amp;$C522&amp;"'!"&amp;"$"&amp;$D522&amp;$AH$1&amp;"")</f>
        <v>3</v>
      </c>
      <c r="AI522" s="281">
        <v>14.04</v>
      </c>
      <c r="AJ522" s="281">
        <v>0.98</v>
      </c>
      <c r="AK522" s="279">
        <v>0.46400000000000002</v>
      </c>
      <c r="AL522" s="278">
        <v>11.6</v>
      </c>
      <c r="AM522" s="282">
        <v>70.900000000000006</v>
      </c>
      <c r="AN522" s="278" cm="1">
        <f t="array" aca="1" ref="AN522" ca="1">INDIRECT("'"&amp;$C522&amp;"'!"&amp;"$"&amp;$D522&amp;$AL$1&amp;"")</f>
        <v>0</v>
      </c>
      <c r="AO522" s="281" t="s">
        <v>1</v>
      </c>
      <c r="AP522" s="279" t="s">
        <v>1</v>
      </c>
      <c r="AQ522" s="280" cm="1">
        <f t="array" aca="1" ref="AQ522" ca="1">INDIRECT("'"&amp;$C522&amp;"'!"&amp;"$"&amp;$D522&amp;$AQ$1&amp;"")</f>
        <v>3.7</v>
      </c>
      <c r="AR522" s="281">
        <v>0.96</v>
      </c>
      <c r="AS522" s="279">
        <v>0.97</v>
      </c>
      <c r="AT522" s="278">
        <v>13.97</v>
      </c>
      <c r="AU522" s="282">
        <v>70.900000000000006</v>
      </c>
      <c r="AV522" s="281" cm="1">
        <f t="array" aca="1" ref="AV522" ca="1">INDIRECT("'"&amp;$C522&amp;"'!"&amp;"$"&amp;$D522&amp;$AV$1&amp;"")</f>
        <v>2.9</v>
      </c>
      <c r="AW522" s="280" t="s">
        <v>1</v>
      </c>
      <c r="AX522" s="281">
        <v>0.95</v>
      </c>
      <c r="AY522" s="279">
        <v>0.84</v>
      </c>
      <c r="AZ522" s="281" cm="1">
        <f t="array" aca="1" ref="AZ522" ca="1">INDIRECT("'"&amp;$C522&amp;"'!"&amp;"$"&amp;$D522&amp;$AZ$1&amp;"")</f>
        <v>7</v>
      </c>
      <c r="BA522" s="280" t="s">
        <v>1</v>
      </c>
      <c r="BB522" s="281">
        <v>0.96</v>
      </c>
      <c r="BC522" s="279">
        <v>2.04</v>
      </c>
      <c r="BD522" s="283">
        <v>14.11</v>
      </c>
      <c r="BE522" s="282">
        <v>71.45</v>
      </c>
      <c r="BF522" s="283" cm="1">
        <f t="array" aca="1" ref="BF522" ca="1">INDIRECT("'"&amp;$C522&amp;"'!"&amp;"$"&amp;$D522&amp;$BF$1&amp;"")</f>
        <v>14.27</v>
      </c>
      <c r="BG522" s="281">
        <v>0.99</v>
      </c>
      <c r="BH522" s="279">
        <v>2.33</v>
      </c>
      <c r="BI522" s="524">
        <v>67.5</v>
      </c>
      <c r="BJ522" s="278" cm="1">
        <f t="array" aca="1" ref="BJ522" ca="1">INDIRECT("'"&amp;$C522&amp;"'!"&amp;"$"&amp;$D522&amp;$BI$1&amp;"")</f>
        <v>1.5</v>
      </c>
      <c r="BK522" s="280">
        <v>0.96</v>
      </c>
      <c r="BL522" s="279">
        <v>0.43</v>
      </c>
      <c r="BM522" s="283" cm="1">
        <f t="array" aca="1" ref="BM522" ca="1">INDIRECT("'"&amp;$C522&amp;"'!"&amp;"$"&amp;$D522&amp;$BM$1&amp;"")</f>
        <v>1.39</v>
      </c>
      <c r="BN522" s="281"/>
      <c r="BO522" s="281">
        <v>0.99</v>
      </c>
      <c r="BP522" s="279">
        <v>0.17</v>
      </c>
      <c r="BQ522" s="284" cm="1">
        <f t="array" aca="1" ref="BQ522" ca="1">INDIRECT("'"&amp;$C522&amp;"'!"&amp;"$"&amp;$D522&amp;$BQ$1&amp;"")</f>
        <v>0.87</v>
      </c>
      <c r="BR522" s="281"/>
      <c r="BS522" s="281">
        <v>0.96</v>
      </c>
      <c r="BT522" s="279">
        <v>0.24</v>
      </c>
      <c r="BU522" s="284" cm="1">
        <f t="array" aca="1" ref="BU522" ca="1">INDIRECT("'"&amp;$C522&amp;"'!"&amp;"$"&amp;$D522&amp;74&amp;"")</f>
        <v>0</v>
      </c>
      <c r="BV522" s="281"/>
      <c r="BW522" s="281" t="s">
        <v>1</v>
      </c>
      <c r="BX522" s="279" t="s">
        <v>1</v>
      </c>
    </row>
    <row r="523" spans="1:76">
      <c r="A523" s="459">
        <v>45859</v>
      </c>
      <c r="B523" s="345">
        <v>0.750000000000001</v>
      </c>
      <c r="C523" s="305">
        <v>21</v>
      </c>
      <c r="D523" s="306" t="s">
        <v>160</v>
      </c>
      <c r="E523" s="285">
        <v>14.2</v>
      </c>
      <c r="F523" s="286">
        <v>69.33</v>
      </c>
      <c r="G523" s="287" t="str" cm="1">
        <f t="array" aca="1" ref="G523" ca="1">INDIRECT("'"&amp;$C523&amp;"'!"&amp;"$"&amp;$D523&amp;$E$1&amp;"")</f>
        <v>CMS</v>
      </c>
      <c r="H523" s="288" t="s">
        <v>1</v>
      </c>
      <c r="I523" s="286" t="s">
        <v>1</v>
      </c>
      <c r="J523" s="287" cm="1">
        <f t="array" aca="1" ref="J523" ca="1">INDIRECT("'"&amp;$C523&amp;"'!"&amp;"$"&amp;$D523&amp;$J$1&amp;"")</f>
        <v>6.6</v>
      </c>
      <c r="K523" s="288"/>
      <c r="L523" s="288">
        <v>0.92</v>
      </c>
      <c r="M523" s="289">
        <v>2.79</v>
      </c>
      <c r="N523" s="285" cm="1">
        <f t="array" aca="1" ref="N523" ca="1">INDIRECT("'"&amp;$C523&amp;"'!"&amp;"$"&amp;$D523&amp;$N$1&amp;"")</f>
        <v>6.6</v>
      </c>
      <c r="O523" s="288"/>
      <c r="P523" s="288">
        <v>0.92</v>
      </c>
      <c r="Q523" s="286">
        <v>2.79</v>
      </c>
      <c r="R523" s="285" cm="1">
        <f t="array" aca="1" ref="R523" ca="1">INDIRECT("'"&amp;$C523&amp;"'!"&amp;"$"&amp;$D523&amp;$R$1&amp;"")</f>
        <v>6.6</v>
      </c>
      <c r="S523" s="288"/>
      <c r="T523" s="288">
        <v>0.92</v>
      </c>
      <c r="U523" s="286">
        <v>2.79</v>
      </c>
      <c r="V523" s="287" cm="1">
        <f t="array" aca="1" ref="V523" ca="1">INDIRECT("'"&amp;$C523&amp;"'!"&amp;"$"&amp;$D523&amp;$V$1&amp;"")</f>
        <v>2.8</v>
      </c>
      <c r="W523" s="288">
        <f>3.47*3.8</f>
        <v>13.186</v>
      </c>
      <c r="X523" s="288">
        <v>0.92</v>
      </c>
      <c r="Y523" s="289">
        <v>1.1399999999999999</v>
      </c>
      <c r="Z523" s="285" t="str" cm="1">
        <f t="array" aca="1" ref="Z523" ca="1">INDIRECT("'"&amp;$C523&amp;"'!"&amp;"$"&amp;$D523&amp;$Z$1&amp;"")</f>
        <v>CMS</v>
      </c>
      <c r="AA523" s="288" t="s">
        <v>1</v>
      </c>
      <c r="AB523" s="288" t="s">
        <v>1</v>
      </c>
      <c r="AC523" s="286" t="s">
        <v>1</v>
      </c>
      <c r="AD523" s="287" t="str" cm="1">
        <f t="array" aca="1" ref="AD523" ca="1">INDIRECT("'"&amp;$C523&amp;"'!"&amp;"$"&amp;$D523&amp;$AD$1&amp;"")</f>
        <v>CMS</v>
      </c>
      <c r="AE523" s="288" t="s">
        <v>1</v>
      </c>
      <c r="AF523" s="288" t="s">
        <v>1</v>
      </c>
      <c r="AG523" s="289" t="s">
        <v>1</v>
      </c>
      <c r="AH523" s="285" cm="1">
        <f t="array" aca="1" ref="AH523" ca="1">INDIRECT("'"&amp;$C523&amp;"'!"&amp;"$"&amp;$D523&amp;$AH$1&amp;"")</f>
        <v>2.8</v>
      </c>
      <c r="AI523" s="288">
        <v>14.04</v>
      </c>
      <c r="AJ523" s="288">
        <v>0.98</v>
      </c>
      <c r="AK523" s="286">
        <v>0.45200000000000001</v>
      </c>
      <c r="AL523" s="285">
        <v>11.6</v>
      </c>
      <c r="AM523" s="289">
        <v>70.5</v>
      </c>
      <c r="AN523" s="285" cm="1">
        <f t="array" aca="1" ref="AN523" ca="1">INDIRECT("'"&amp;$C523&amp;"'!"&amp;"$"&amp;$D523&amp;$AL$1&amp;"")</f>
        <v>0</v>
      </c>
      <c r="AO523" s="288" t="s">
        <v>1</v>
      </c>
      <c r="AP523" s="286" t="s">
        <v>1</v>
      </c>
      <c r="AQ523" s="287" cm="1">
        <f t="array" aca="1" ref="AQ523" ca="1">INDIRECT("'"&amp;$C523&amp;"'!"&amp;"$"&amp;$D523&amp;$AQ$1&amp;"")</f>
        <v>2.8</v>
      </c>
      <c r="AR523" s="288">
        <v>0.94</v>
      </c>
      <c r="AS523" s="286">
        <v>0.99</v>
      </c>
      <c r="AT523" s="285">
        <v>13.91</v>
      </c>
      <c r="AU523" s="289">
        <v>70.900000000000006</v>
      </c>
      <c r="AV523" s="288" cm="1">
        <f t="array" aca="1" ref="AV523" ca="1">INDIRECT("'"&amp;$C523&amp;"'!"&amp;"$"&amp;$D523&amp;$AV$1&amp;"")</f>
        <v>0</v>
      </c>
      <c r="AW523" s="287" t="s">
        <v>1</v>
      </c>
      <c r="AX523" s="288" t="s">
        <v>1</v>
      </c>
      <c r="AY523" s="286" t="s">
        <v>1</v>
      </c>
      <c r="AZ523" s="288" cm="1">
        <f t="array" aca="1" ref="AZ523" ca="1">INDIRECT("'"&amp;$C523&amp;"'!"&amp;"$"&amp;$D523&amp;$AZ$1&amp;"")</f>
        <v>6.5</v>
      </c>
      <c r="BA523" s="287" t="s">
        <v>1</v>
      </c>
      <c r="BB523" s="288">
        <v>0.95</v>
      </c>
      <c r="BC523" s="286">
        <v>2.13</v>
      </c>
      <c r="BD523" s="290">
        <v>14.12</v>
      </c>
      <c r="BE523" s="289">
        <v>71.61</v>
      </c>
      <c r="BF523" s="290" cm="1">
        <f t="array" aca="1" ref="BF523" ca="1">INDIRECT("'"&amp;$C523&amp;"'!"&amp;"$"&amp;$D523&amp;$BF$1&amp;"")</f>
        <v>14.26</v>
      </c>
      <c r="BG523" s="288">
        <v>0.99</v>
      </c>
      <c r="BH523" s="286">
        <v>2.38</v>
      </c>
      <c r="BI523" s="525">
        <v>67.900000000000006</v>
      </c>
      <c r="BJ523" s="285" cm="1">
        <f t="array" aca="1" ref="BJ523" ca="1">INDIRECT("'"&amp;$C523&amp;"'!"&amp;"$"&amp;$D523&amp;$BI$1&amp;"")</f>
        <v>0</v>
      </c>
      <c r="BK523" s="287" t="s">
        <v>1</v>
      </c>
      <c r="BL523" s="286" t="s">
        <v>1</v>
      </c>
      <c r="BM523" s="290" cm="1">
        <f t="array" aca="1" ref="BM523" ca="1">INDIRECT("'"&amp;$C523&amp;"'!"&amp;"$"&amp;$D523&amp;$BM$1&amp;"")</f>
        <v>1.2</v>
      </c>
      <c r="BN523" s="288"/>
      <c r="BO523" s="288">
        <v>0.99</v>
      </c>
      <c r="BP523" s="286">
        <v>0.14000000000000001</v>
      </c>
      <c r="BQ523" s="291" cm="1">
        <f t="array" aca="1" ref="BQ523" ca="1">INDIRECT("'"&amp;$C523&amp;"'!"&amp;"$"&amp;$D523&amp;$BQ$1&amp;"")</f>
        <v>0.86</v>
      </c>
      <c r="BR523" s="288"/>
      <c r="BS523" s="288">
        <v>0.96</v>
      </c>
      <c r="BT523" s="286">
        <v>0.24</v>
      </c>
      <c r="BU523" s="291" cm="1">
        <f t="array" aca="1" ref="BU523" ca="1">INDIRECT("'"&amp;$C523&amp;"'!"&amp;"$"&amp;$D523&amp;74&amp;"")</f>
        <v>0</v>
      </c>
      <c r="BV523" s="288"/>
      <c r="BW523" s="288" t="s">
        <v>1</v>
      </c>
      <c r="BX523" s="286" t="s">
        <v>1</v>
      </c>
    </row>
    <row r="524" spans="1:76">
      <c r="A524" s="459">
        <v>45859</v>
      </c>
      <c r="B524" s="345">
        <v>0.79166666666666696</v>
      </c>
      <c r="C524" s="305">
        <v>21</v>
      </c>
      <c r="D524" s="306" t="s">
        <v>161</v>
      </c>
      <c r="E524" s="278">
        <v>14.2</v>
      </c>
      <c r="F524" s="279">
        <v>69.22</v>
      </c>
      <c r="G524" s="280" t="str" cm="1">
        <f t="array" aca="1" ref="G524" ca="1">INDIRECT("'"&amp;$C524&amp;"'!"&amp;"$"&amp;$D524&amp;$E$1&amp;"")</f>
        <v>CMS</v>
      </c>
      <c r="H524" s="281" t="s">
        <v>1</v>
      </c>
      <c r="I524" s="279" t="s">
        <v>1</v>
      </c>
      <c r="J524" s="280" cm="1">
        <f t="array" aca="1" ref="J524" ca="1">INDIRECT("'"&amp;$C524&amp;"'!"&amp;"$"&amp;$D524&amp;$J$1&amp;"")</f>
        <v>6.7</v>
      </c>
      <c r="K524" s="292"/>
      <c r="L524" s="281">
        <v>0.93</v>
      </c>
      <c r="M524" s="282">
        <v>2.64</v>
      </c>
      <c r="N524" s="278" cm="1">
        <f t="array" aca="1" ref="N524" ca="1">INDIRECT("'"&amp;$C524&amp;"'!"&amp;"$"&amp;$D524&amp;$N$1&amp;"")</f>
        <v>6.7</v>
      </c>
      <c r="O524" s="281"/>
      <c r="P524" s="281">
        <v>0.93</v>
      </c>
      <c r="Q524" s="279">
        <v>2.64</v>
      </c>
      <c r="R524" s="468" cm="1">
        <f t="array" aca="1" ref="R524" ca="1">INDIRECT("'"&amp;$C524&amp;"'!"&amp;"$"&amp;$D524&amp;$R$1&amp;"")</f>
        <v>6.7</v>
      </c>
      <c r="S524" s="281"/>
      <c r="T524" s="281">
        <v>0.93</v>
      </c>
      <c r="U524" s="279">
        <v>2.64</v>
      </c>
      <c r="V524" s="280" cm="1">
        <f t="array" aca="1" ref="V524" ca="1">INDIRECT("'"&amp;$C524&amp;"'!"&amp;"$"&amp;$D524&amp;$V$1&amp;"")</f>
        <v>2.7</v>
      </c>
      <c r="W524" s="281">
        <f>3.47*3.8</f>
        <v>13.186</v>
      </c>
      <c r="X524" s="281">
        <v>0.92</v>
      </c>
      <c r="Y524" s="282">
        <v>1.0900000000000001</v>
      </c>
      <c r="Z524" s="278" t="str" cm="1">
        <f t="array" aca="1" ref="Z524" ca="1">INDIRECT("'"&amp;$C524&amp;"'!"&amp;"$"&amp;$D524&amp;$Z$1&amp;"")</f>
        <v>CMS</v>
      </c>
      <c r="AA524" s="281" t="s">
        <v>1</v>
      </c>
      <c r="AB524" s="281" t="s">
        <v>1</v>
      </c>
      <c r="AC524" s="279" t="s">
        <v>1</v>
      </c>
      <c r="AD524" s="280" t="str" cm="1">
        <f t="array" aca="1" ref="AD524" ca="1">INDIRECT("'"&amp;$C524&amp;"'!"&amp;"$"&amp;$D524&amp;$AD$1&amp;"")</f>
        <v>CMS</v>
      </c>
      <c r="AE524" s="281" t="s">
        <v>1</v>
      </c>
      <c r="AF524" s="281" t="s">
        <v>1</v>
      </c>
      <c r="AG524" s="282" t="s">
        <v>1</v>
      </c>
      <c r="AH524" s="278" cm="1">
        <f t="array" aca="1" ref="AH524" ca="1">INDIRECT("'"&amp;$C524&amp;"'!"&amp;"$"&amp;$D524&amp;$AH$1&amp;"")</f>
        <v>2.8</v>
      </c>
      <c r="AI524" s="281">
        <v>14</v>
      </c>
      <c r="AJ524" s="281">
        <v>0.98</v>
      </c>
      <c r="AK524" s="279">
        <v>0.44900000000000001</v>
      </c>
      <c r="AL524" s="278">
        <v>11.6</v>
      </c>
      <c r="AM524" s="282">
        <v>70.7</v>
      </c>
      <c r="AN524" s="278" cm="1">
        <f t="array" aca="1" ref="AN524" ca="1">INDIRECT("'"&amp;$C524&amp;"'!"&amp;"$"&amp;$D524&amp;$AL$1&amp;"")</f>
        <v>0</v>
      </c>
      <c r="AO524" s="281" t="s">
        <v>1</v>
      </c>
      <c r="AP524" s="279" t="s">
        <v>1</v>
      </c>
      <c r="AQ524" s="280" cm="1">
        <f t="array" aca="1" ref="AQ524" ca="1">INDIRECT("'"&amp;$C524&amp;"'!"&amp;"$"&amp;$D524&amp;$AQ$1&amp;"")</f>
        <v>3.7</v>
      </c>
      <c r="AR524" s="281">
        <v>0.97</v>
      </c>
      <c r="AS524" s="279">
        <v>0.85</v>
      </c>
      <c r="AT524" s="278">
        <v>13.91</v>
      </c>
      <c r="AU524" s="282">
        <v>70.900000000000006</v>
      </c>
      <c r="AV524" s="281" cm="1">
        <f t="array" aca="1" ref="AV524" ca="1">INDIRECT("'"&amp;$C524&amp;"'!"&amp;"$"&amp;$D524&amp;$AV$1&amp;"")</f>
        <v>0</v>
      </c>
      <c r="AW524" s="280">
        <v>13.7</v>
      </c>
      <c r="AX524" s="281" t="s">
        <v>1</v>
      </c>
      <c r="AY524" s="279" t="s">
        <v>1</v>
      </c>
      <c r="AZ524" s="281" cm="1">
        <f t="array" aca="1" ref="AZ524" ca="1">INDIRECT("'"&amp;$C524&amp;"'!"&amp;"$"&amp;$D524&amp;$AZ$1&amp;"")</f>
        <v>6.5</v>
      </c>
      <c r="BA524" s="280">
        <v>13.7</v>
      </c>
      <c r="BB524" s="281">
        <v>0.97</v>
      </c>
      <c r="BC524" s="279">
        <v>1.85</v>
      </c>
      <c r="BD524" s="283">
        <v>14.16</v>
      </c>
      <c r="BE524" s="282">
        <v>71.760000000000005</v>
      </c>
      <c r="BF524" s="283" cm="1">
        <f t="array" aca="1" ref="BF524" ca="1">INDIRECT("'"&amp;$C524&amp;"'!"&amp;"$"&amp;$D524&amp;$BF$1&amp;"")</f>
        <v>14.25</v>
      </c>
      <c r="BG524" s="281">
        <v>0.99</v>
      </c>
      <c r="BH524" s="279">
        <v>2.31</v>
      </c>
      <c r="BI524" s="524">
        <v>68.099999999999994</v>
      </c>
      <c r="BJ524" s="278" cm="1">
        <f t="array" aca="1" ref="BJ524" ca="1">INDIRECT("'"&amp;$C524&amp;"'!"&amp;"$"&amp;$D524&amp;$BI$1&amp;"")</f>
        <v>0</v>
      </c>
      <c r="BK524" s="280" t="s">
        <v>1</v>
      </c>
      <c r="BL524" s="279" t="s">
        <v>1</v>
      </c>
      <c r="BM524" s="283" cm="1">
        <f t="array" aca="1" ref="BM524" ca="1">INDIRECT("'"&amp;$C524&amp;"'!"&amp;"$"&amp;$D524&amp;$BM$1&amp;"")</f>
        <v>1.33</v>
      </c>
      <c r="BN524" s="281"/>
      <c r="BO524" s="281">
        <v>0.99</v>
      </c>
      <c r="BP524" s="279">
        <v>0.14000000000000001</v>
      </c>
      <c r="BQ524" s="284" cm="1">
        <f t="array" aca="1" ref="BQ524" ca="1">INDIRECT("'"&amp;$C524&amp;"'!"&amp;"$"&amp;$D524&amp;$BQ$1&amp;"")</f>
        <v>0.91</v>
      </c>
      <c r="BR524" s="281"/>
      <c r="BS524" s="281">
        <v>0.97</v>
      </c>
      <c r="BT524" s="279">
        <v>0.23</v>
      </c>
      <c r="BU524" s="284" cm="1">
        <f t="array" aca="1" ref="BU524" ca="1">INDIRECT("'"&amp;$C524&amp;"'!"&amp;"$"&amp;$D524&amp;74&amp;"")</f>
        <v>0</v>
      </c>
      <c r="BV524" s="281"/>
      <c r="BW524" s="281" t="s">
        <v>1</v>
      </c>
      <c r="BX524" s="279" t="s">
        <v>1</v>
      </c>
    </row>
    <row r="525" spans="1:76">
      <c r="A525" s="459">
        <v>45859</v>
      </c>
      <c r="B525" s="345">
        <v>0.83333333333333337</v>
      </c>
      <c r="C525" s="305">
        <v>21</v>
      </c>
      <c r="D525" s="306" t="s">
        <v>162</v>
      </c>
      <c r="E525" s="285">
        <v>14.2</v>
      </c>
      <c r="F525" s="286">
        <v>69.2</v>
      </c>
      <c r="G525" s="287" t="str" cm="1">
        <f t="array" aca="1" ref="G525" ca="1">INDIRECT("'"&amp;$C525&amp;"'!"&amp;"$"&amp;$D525&amp;$E$1&amp;"")</f>
        <v>CMS</v>
      </c>
      <c r="H525" s="288" t="s">
        <v>1</v>
      </c>
      <c r="I525" s="286" t="s">
        <v>1</v>
      </c>
      <c r="J525" s="287" cm="1">
        <f t="array" aca="1" ref="J525" ca="1">INDIRECT("'"&amp;$C525&amp;"'!"&amp;"$"&amp;$D525&amp;$J$1&amp;"")</f>
        <v>6.7</v>
      </c>
      <c r="K525" s="288"/>
      <c r="L525" s="288">
        <v>0.93</v>
      </c>
      <c r="M525" s="289">
        <v>2.56</v>
      </c>
      <c r="N525" s="285" cm="1">
        <f t="array" aca="1" ref="N525" ca="1">INDIRECT("'"&amp;$C525&amp;"'!"&amp;"$"&amp;$D525&amp;$N$1&amp;"")</f>
        <v>6.7</v>
      </c>
      <c r="O525" s="288"/>
      <c r="P525" s="288">
        <v>0.93</v>
      </c>
      <c r="Q525" s="286">
        <v>2.62</v>
      </c>
      <c r="R525" s="285" cm="1">
        <f t="array" aca="1" ref="R525" ca="1">INDIRECT("'"&amp;$C525&amp;"'!"&amp;"$"&amp;$D525&amp;$R$1&amp;"")</f>
        <v>6.7</v>
      </c>
      <c r="S525" s="288"/>
      <c r="T525" s="288">
        <v>0.95</v>
      </c>
      <c r="U525" s="286">
        <v>2.23</v>
      </c>
      <c r="V525" s="287" cm="1">
        <f t="array" aca="1" ref="V525" ca="1">INDIRECT("'"&amp;$C525&amp;"'!"&amp;"$"&amp;$D525&amp;$V$1&amp;"")</f>
        <v>0</v>
      </c>
      <c r="W525" s="288" t="s">
        <v>1</v>
      </c>
      <c r="X525" s="288" t="s">
        <v>1</v>
      </c>
      <c r="Y525" s="289" t="s">
        <v>1</v>
      </c>
      <c r="Z525" s="285" t="str" cm="1">
        <f t="array" aca="1" ref="Z525" ca="1">INDIRECT("'"&amp;$C525&amp;"'!"&amp;"$"&amp;$D525&amp;$Z$1&amp;"")</f>
        <v>CMS</v>
      </c>
      <c r="AA525" s="288" t="s">
        <v>1</v>
      </c>
      <c r="AB525" s="288" t="s">
        <v>1</v>
      </c>
      <c r="AC525" s="286" t="s">
        <v>1</v>
      </c>
      <c r="AD525" s="287" t="str" cm="1">
        <f t="array" aca="1" ref="AD525" ca="1">INDIRECT("'"&amp;$C525&amp;"'!"&amp;"$"&amp;$D525&amp;$AD$1&amp;"")</f>
        <v>CMS</v>
      </c>
      <c r="AE525" s="288" t="s">
        <v>1</v>
      </c>
      <c r="AF525" s="288" t="s">
        <v>1</v>
      </c>
      <c r="AG525" s="289" t="s">
        <v>1</v>
      </c>
      <c r="AH525" s="285" cm="1">
        <f t="array" aca="1" ref="AH525" ca="1">INDIRECT("'"&amp;$C525&amp;"'!"&amp;"$"&amp;$D525&amp;$AH$1&amp;"")</f>
        <v>3</v>
      </c>
      <c r="AI525" s="288">
        <v>14.04</v>
      </c>
      <c r="AJ525" s="288">
        <v>0.99</v>
      </c>
      <c r="AK525" s="286">
        <v>0.39200000000000002</v>
      </c>
      <c r="AL525" s="285">
        <v>11.6</v>
      </c>
      <c r="AM525" s="289">
        <v>70.7</v>
      </c>
      <c r="AN525" s="285" cm="1">
        <f t="array" aca="1" ref="AN525" ca="1">INDIRECT("'"&amp;$C525&amp;"'!"&amp;"$"&amp;$D525&amp;$AL$1&amp;"")</f>
        <v>0</v>
      </c>
      <c r="AO525" s="288" t="s">
        <v>1</v>
      </c>
      <c r="AP525" s="286" t="s">
        <v>1</v>
      </c>
      <c r="AQ525" s="287" cm="1">
        <f t="array" aca="1" ref="AQ525" ca="1">INDIRECT("'"&amp;$C525&amp;"'!"&amp;"$"&amp;$D525&amp;$AQ$1&amp;"")</f>
        <v>3.5</v>
      </c>
      <c r="AR525" s="288">
        <v>0.97</v>
      </c>
      <c r="AS525" s="286">
        <v>0.88</v>
      </c>
      <c r="AT525" s="285">
        <v>13.91</v>
      </c>
      <c r="AU525" s="289">
        <v>70.900000000000006</v>
      </c>
      <c r="AV525" s="288" cm="1">
        <f t="array" aca="1" ref="AV525" ca="1">INDIRECT("'"&amp;$C525&amp;"'!"&amp;"$"&amp;$D525&amp;$AV$1&amp;"")</f>
        <v>0</v>
      </c>
      <c r="AW525" s="287" t="s">
        <v>1</v>
      </c>
      <c r="AX525" s="288" t="s">
        <v>1</v>
      </c>
      <c r="AY525" s="286" t="s">
        <v>1</v>
      </c>
      <c r="AZ525" s="288" cm="1">
        <f t="array" aca="1" ref="AZ525" ca="1">INDIRECT("'"&amp;$C525&amp;"'!"&amp;"$"&amp;$D525&amp;$AZ$1&amp;"")</f>
        <v>6.2</v>
      </c>
      <c r="BA525" s="287" t="s">
        <v>1</v>
      </c>
      <c r="BB525" s="288">
        <v>0.96</v>
      </c>
      <c r="BC525" s="286">
        <v>1.87</v>
      </c>
      <c r="BD525" s="290">
        <v>14.17</v>
      </c>
      <c r="BE525" s="289">
        <v>71.760000000000005</v>
      </c>
      <c r="BF525" s="290" cm="1">
        <f t="array" aca="1" ref="BF525" ca="1">INDIRECT("'"&amp;$C525&amp;"'!"&amp;"$"&amp;$D525&amp;$BF$1&amp;"")</f>
        <v>14.25</v>
      </c>
      <c r="BG525" s="288">
        <v>0.99</v>
      </c>
      <c r="BH525" s="286">
        <v>2.38</v>
      </c>
      <c r="BI525" s="525">
        <v>68</v>
      </c>
      <c r="BJ525" s="285" cm="1">
        <f t="array" aca="1" ref="BJ525" ca="1">INDIRECT("'"&amp;$C525&amp;"'!"&amp;"$"&amp;$D525&amp;$BI$1&amp;"")</f>
        <v>0</v>
      </c>
      <c r="BK525" s="287" t="s">
        <v>1</v>
      </c>
      <c r="BL525" s="286" t="s">
        <v>1</v>
      </c>
      <c r="BM525" s="290" cm="1">
        <f t="array" aca="1" ref="BM525" ca="1">INDIRECT("'"&amp;$C525&amp;"'!"&amp;"$"&amp;$D525&amp;$BM$1&amp;"")</f>
        <v>1.3</v>
      </c>
      <c r="BN525" s="288"/>
      <c r="BO525" s="288">
        <v>0.99</v>
      </c>
      <c r="BP525" s="286">
        <v>0.15</v>
      </c>
      <c r="BQ525" s="291" cm="1">
        <f t="array" aca="1" ref="BQ525" ca="1">INDIRECT("'"&amp;$C525&amp;"'!"&amp;"$"&amp;$D525&amp;$BQ$1&amp;"")</f>
        <v>0.9</v>
      </c>
      <c r="BR525" s="288"/>
      <c r="BS525" s="288">
        <v>0.97</v>
      </c>
      <c r="BT525" s="286">
        <v>0.22</v>
      </c>
      <c r="BU525" s="291" cm="1">
        <f t="array" aca="1" ref="BU525" ca="1">INDIRECT("'"&amp;$C525&amp;"'!"&amp;"$"&amp;$D525&amp;74&amp;"")</f>
        <v>0</v>
      </c>
      <c r="BV525" s="288"/>
      <c r="BW525" s="288" t="s">
        <v>1</v>
      </c>
      <c r="BX525" s="286" t="s">
        <v>1</v>
      </c>
    </row>
    <row r="526" spans="1:76">
      <c r="A526" s="459">
        <v>45859</v>
      </c>
      <c r="B526" s="345">
        <v>0.875000000000001</v>
      </c>
      <c r="C526" s="305">
        <v>21</v>
      </c>
      <c r="D526" s="306" t="s">
        <v>163</v>
      </c>
      <c r="E526" s="278">
        <v>14.2</v>
      </c>
      <c r="F526" s="279">
        <v>69.61</v>
      </c>
      <c r="G526" s="280" t="str" cm="1">
        <f t="array" aca="1" ref="G526" ca="1">INDIRECT("'"&amp;$C526&amp;"'!"&amp;"$"&amp;$D526&amp;$E$1&amp;"")</f>
        <v>CMS</v>
      </c>
      <c r="H526" s="281" t="s">
        <v>1</v>
      </c>
      <c r="I526" s="279" t="s">
        <v>1</v>
      </c>
      <c r="J526" s="280" cm="1">
        <f t="array" aca="1" ref="J526" ca="1">INDIRECT("'"&amp;$C526&amp;"'!"&amp;"$"&amp;$D526&amp;$J$1&amp;"")</f>
        <v>6.5</v>
      </c>
      <c r="K526" s="281"/>
      <c r="L526" s="281">
        <v>0.96</v>
      </c>
      <c r="M526" s="282">
        <v>1.93</v>
      </c>
      <c r="N526" s="278" cm="1">
        <f t="array" aca="1" ref="N526" ca="1">INDIRECT("'"&amp;$C526&amp;"'!"&amp;"$"&amp;$D526&amp;$N$1&amp;"")</f>
        <v>6.5</v>
      </c>
      <c r="O526" s="281"/>
      <c r="P526" s="281">
        <v>0.96</v>
      </c>
      <c r="Q526" s="279">
        <v>2.0099999999999998</v>
      </c>
      <c r="R526" s="468" cm="1">
        <f t="array" aca="1" ref="R526" ca="1">INDIRECT("'"&amp;$C526&amp;"'!"&amp;"$"&amp;$D526&amp;$R$1&amp;"")</f>
        <v>6.5</v>
      </c>
      <c r="S526" s="281"/>
      <c r="T526" s="281">
        <v>0.96</v>
      </c>
      <c r="U526" s="279">
        <v>1.82</v>
      </c>
      <c r="V526" s="280" cm="1">
        <f t="array" aca="1" ref="V526" ca="1">INDIRECT("'"&amp;$C526&amp;"'!"&amp;"$"&amp;$D526&amp;$V$1&amp;"")</f>
        <v>0</v>
      </c>
      <c r="W526" s="281" t="s">
        <v>1</v>
      </c>
      <c r="X526" s="281" t="s">
        <v>1</v>
      </c>
      <c r="Y526" s="282" t="s">
        <v>1</v>
      </c>
      <c r="Z526" s="278" t="str" cm="1">
        <f t="array" aca="1" ref="Z526" ca="1">INDIRECT("'"&amp;$C526&amp;"'!"&amp;"$"&amp;$D526&amp;$Z$1&amp;"")</f>
        <v>CMS</v>
      </c>
      <c r="AA526" s="281" t="s">
        <v>1</v>
      </c>
      <c r="AB526" s="281" t="s">
        <v>1</v>
      </c>
      <c r="AC526" s="279" t="s">
        <v>1</v>
      </c>
      <c r="AD526" s="280" t="str" cm="1">
        <f t="array" aca="1" ref="AD526" ca="1">INDIRECT("'"&amp;$C526&amp;"'!"&amp;"$"&amp;$D526&amp;$AD$1&amp;"")</f>
        <v>CMS</v>
      </c>
      <c r="AE526" s="281" t="s">
        <v>1</v>
      </c>
      <c r="AF526" s="281" t="s">
        <v>1</v>
      </c>
      <c r="AG526" s="282" t="s">
        <v>1</v>
      </c>
      <c r="AH526" s="278" cm="1">
        <f t="array" aca="1" ref="AH526" ca="1">INDIRECT("'"&amp;$C526&amp;"'!"&amp;"$"&amp;$D526&amp;$AH$1&amp;"")</f>
        <v>0</v>
      </c>
      <c r="AI526" s="281" t="s">
        <v>1</v>
      </c>
      <c r="AJ526" s="281" t="s">
        <v>1</v>
      </c>
      <c r="AK526" s="279" t="s">
        <v>1</v>
      </c>
      <c r="AL526" s="278">
        <v>11.6</v>
      </c>
      <c r="AM526" s="282">
        <v>70.7</v>
      </c>
      <c r="AN526" s="278" cm="1">
        <f t="array" aca="1" ref="AN526" ca="1">INDIRECT("'"&amp;$C526&amp;"'!"&amp;"$"&amp;$D526&amp;$AL$1&amp;"")</f>
        <v>0</v>
      </c>
      <c r="AO526" s="281" t="s">
        <v>1</v>
      </c>
      <c r="AP526" s="279" t="s">
        <v>1</v>
      </c>
      <c r="AQ526" s="280" cm="1">
        <f t="array" aca="1" ref="AQ526" ca="1">INDIRECT("'"&amp;$C526&amp;"'!"&amp;"$"&amp;$D526&amp;$AQ$1&amp;"")</f>
        <v>3.7</v>
      </c>
      <c r="AR526" s="281">
        <v>0.98</v>
      </c>
      <c r="AS526" s="279">
        <v>0.8</v>
      </c>
      <c r="AT526" s="278">
        <v>13.9</v>
      </c>
      <c r="AU526" s="282">
        <v>70.8</v>
      </c>
      <c r="AV526" s="281" cm="1">
        <f t="array" aca="1" ref="AV526" ca="1">INDIRECT("'"&amp;$C526&amp;"'!"&amp;"$"&amp;$D526&amp;$AV$1&amp;"")</f>
        <v>0</v>
      </c>
      <c r="AW526" s="280" t="s">
        <v>1</v>
      </c>
      <c r="AX526" s="281" t="s">
        <v>1</v>
      </c>
      <c r="AY526" s="279" t="s">
        <v>1</v>
      </c>
      <c r="AZ526" s="281" cm="1">
        <f t="array" aca="1" ref="AZ526" ca="1">INDIRECT("'"&amp;$C526&amp;"'!"&amp;"$"&amp;$D526&amp;$AZ$1&amp;"")</f>
        <v>7</v>
      </c>
      <c r="BA526" s="280" t="s">
        <v>1</v>
      </c>
      <c r="BB526" s="281">
        <v>0.97</v>
      </c>
      <c r="BC526" s="279">
        <v>1.6</v>
      </c>
      <c r="BD526" s="283">
        <v>14.15</v>
      </c>
      <c r="BE526" s="282">
        <v>71.62</v>
      </c>
      <c r="BF526" s="283" cm="1">
        <f t="array" aca="1" ref="BF526" ca="1">INDIRECT("'"&amp;$C526&amp;"'!"&amp;"$"&amp;$D526&amp;$BF$1&amp;"")</f>
        <v>14.26</v>
      </c>
      <c r="BG526" s="281">
        <v>0.99</v>
      </c>
      <c r="BH526" s="279">
        <v>2.4</v>
      </c>
      <c r="BI526" s="524">
        <v>68.599999999999994</v>
      </c>
      <c r="BJ526" s="278" cm="1">
        <f t="array" aca="1" ref="BJ526" ca="1">INDIRECT("'"&amp;$C526&amp;"'!"&amp;"$"&amp;$D526&amp;$BI$1&amp;"")</f>
        <v>0</v>
      </c>
      <c r="BK526" s="280" t="s">
        <v>1</v>
      </c>
      <c r="BL526" s="279" t="s">
        <v>1</v>
      </c>
      <c r="BM526" s="283" cm="1">
        <f t="array" aca="1" ref="BM526" ca="1">INDIRECT("'"&amp;$C526&amp;"'!"&amp;"$"&amp;$D526&amp;$BM$1&amp;"")</f>
        <v>1.17</v>
      </c>
      <c r="BN526" s="281"/>
      <c r="BO526" s="281">
        <v>0.99</v>
      </c>
      <c r="BP526" s="279">
        <v>0.13</v>
      </c>
      <c r="BQ526" s="284" cm="1">
        <f t="array" aca="1" ref="BQ526" ca="1">INDIRECT("'"&amp;$C526&amp;"'!"&amp;"$"&amp;$D526&amp;$BQ$1&amp;"")</f>
        <v>0.89</v>
      </c>
      <c r="BR526" s="281"/>
      <c r="BS526" s="281">
        <v>0.97</v>
      </c>
      <c r="BT526" s="279">
        <v>0.21</v>
      </c>
      <c r="BU526" s="284" cm="1">
        <f t="array" aca="1" ref="BU526" ca="1">INDIRECT("'"&amp;$C526&amp;"'!"&amp;"$"&amp;$D526&amp;74&amp;"")</f>
        <v>0</v>
      </c>
      <c r="BV526" s="281"/>
      <c r="BW526" s="281" t="s">
        <v>1</v>
      </c>
      <c r="BX526" s="279" t="s">
        <v>1</v>
      </c>
    </row>
    <row r="527" spans="1:76">
      <c r="A527" s="459">
        <v>45859</v>
      </c>
      <c r="B527" s="345">
        <v>0.91666666666666696</v>
      </c>
      <c r="C527" s="305">
        <v>21</v>
      </c>
      <c r="D527" s="306" t="s">
        <v>164</v>
      </c>
      <c r="E527" s="285">
        <v>14.2</v>
      </c>
      <c r="F527" s="286">
        <v>70.11</v>
      </c>
      <c r="G527" s="287" t="str" cm="1">
        <f t="array" aca="1" ref="G527" ca="1">INDIRECT("'"&amp;$C527&amp;"'!"&amp;"$"&amp;$D527&amp;$E$1&amp;"")</f>
        <v>CMS</v>
      </c>
      <c r="H527" s="288" t="s">
        <v>1</v>
      </c>
      <c r="I527" s="286" t="s">
        <v>1</v>
      </c>
      <c r="J527" s="287" cm="1">
        <f t="array" aca="1" ref="J527" ca="1">INDIRECT("'"&amp;$C527&amp;"'!"&amp;"$"&amp;$D527&amp;$J$1&amp;"")</f>
        <v>0</v>
      </c>
      <c r="K527" s="288"/>
      <c r="L527" s="288" t="s">
        <v>1</v>
      </c>
      <c r="M527" s="289" t="s">
        <v>1</v>
      </c>
      <c r="N527" s="285" cm="1">
        <f t="array" aca="1" ref="N527" ca="1">INDIRECT("'"&amp;$C527&amp;"'!"&amp;"$"&amp;$D527&amp;$N$1&amp;"")</f>
        <v>6.8</v>
      </c>
      <c r="O527" s="288"/>
      <c r="P527" s="288">
        <v>0.96</v>
      </c>
      <c r="Q527" s="286">
        <v>2.02</v>
      </c>
      <c r="R527" s="285" cm="1">
        <f t="array" aca="1" ref="R527" ca="1">INDIRECT("'"&amp;$C527&amp;"'!"&amp;"$"&amp;$D527&amp;$R$1&amp;"")</f>
        <v>6.6</v>
      </c>
      <c r="S527" s="288"/>
      <c r="T527" s="288">
        <v>0.96</v>
      </c>
      <c r="U527" s="286">
        <v>1.9</v>
      </c>
      <c r="V527" s="287" cm="1">
        <f t="array" aca="1" ref="V527" ca="1">INDIRECT("'"&amp;$C527&amp;"'!"&amp;"$"&amp;$D527&amp;$V$1&amp;"")</f>
        <v>0</v>
      </c>
      <c r="W527" s="288" t="s">
        <v>1</v>
      </c>
      <c r="X527" s="288" t="s">
        <v>1</v>
      </c>
      <c r="Y527" s="289" t="s">
        <v>1</v>
      </c>
      <c r="Z527" s="285" t="str" cm="1">
        <f t="array" aca="1" ref="Z527" ca="1">INDIRECT("'"&amp;$C527&amp;"'!"&amp;"$"&amp;$D527&amp;$Z$1&amp;"")</f>
        <v>CMS</v>
      </c>
      <c r="AA527" s="288" t="s">
        <v>1</v>
      </c>
      <c r="AB527" s="288" t="s">
        <v>1</v>
      </c>
      <c r="AC527" s="286" t="s">
        <v>1</v>
      </c>
      <c r="AD527" s="287" t="str" cm="1">
        <f t="array" aca="1" ref="AD527" ca="1">INDIRECT("'"&amp;$C527&amp;"'!"&amp;"$"&amp;$D527&amp;$AD$1&amp;"")</f>
        <v>CMS</v>
      </c>
      <c r="AE527" s="288" t="s">
        <v>1</v>
      </c>
      <c r="AF527" s="288" t="s">
        <v>1</v>
      </c>
      <c r="AG527" s="289" t="s">
        <v>1</v>
      </c>
      <c r="AH527" s="285" cm="1">
        <f t="array" aca="1" ref="AH527" ca="1">INDIRECT("'"&amp;$C527&amp;"'!"&amp;"$"&amp;$D527&amp;$AH$1&amp;"")</f>
        <v>0</v>
      </c>
      <c r="AI527" s="288" t="s">
        <v>1</v>
      </c>
      <c r="AJ527" s="288" t="s">
        <v>1</v>
      </c>
      <c r="AK527" s="286" t="s">
        <v>1</v>
      </c>
      <c r="AL527" s="285">
        <v>11.6</v>
      </c>
      <c r="AM527" s="289">
        <v>71.099999999999994</v>
      </c>
      <c r="AN527" s="285" cm="1">
        <f t="array" aca="1" ref="AN527" ca="1">INDIRECT("'"&amp;$C527&amp;"'!"&amp;"$"&amp;$D527&amp;$AL$1&amp;"")</f>
        <v>0</v>
      </c>
      <c r="AO527" s="288" t="s">
        <v>1</v>
      </c>
      <c r="AP527" s="286" t="s">
        <v>1</v>
      </c>
      <c r="AQ527" s="287" cm="1">
        <f t="array" aca="1" ref="AQ527" ca="1">INDIRECT("'"&amp;$C527&amp;"'!"&amp;"$"&amp;$D527&amp;$AQ$1&amp;"")</f>
        <v>3.5</v>
      </c>
      <c r="AR527" s="288">
        <v>0.98</v>
      </c>
      <c r="AS527" s="286">
        <v>0.4</v>
      </c>
      <c r="AT527" s="285">
        <v>13.8</v>
      </c>
      <c r="AU527" s="289">
        <v>70.8</v>
      </c>
      <c r="AV527" s="288" cm="1">
        <f t="array" aca="1" ref="AV527" ca="1">INDIRECT("'"&amp;$C527&amp;"'!"&amp;"$"&amp;$D527&amp;$AV$1&amp;"")</f>
        <v>0</v>
      </c>
      <c r="AW527" s="287" t="s">
        <v>1</v>
      </c>
      <c r="AX527" s="288" t="s">
        <v>1</v>
      </c>
      <c r="AY527" s="286" t="s">
        <v>1</v>
      </c>
      <c r="AZ527" s="288" cm="1">
        <f t="array" aca="1" ref="AZ527" ca="1">INDIRECT("'"&amp;$C527&amp;"'!"&amp;"$"&amp;$D527&amp;$AZ$1&amp;"")</f>
        <v>7</v>
      </c>
      <c r="BA527" s="287" t="s">
        <v>1</v>
      </c>
      <c r="BB527" s="288">
        <v>0.99</v>
      </c>
      <c r="BC527" s="286">
        <v>0.75</v>
      </c>
      <c r="BD527" s="290">
        <v>14.22</v>
      </c>
      <c r="BE527" s="289">
        <v>72.05</v>
      </c>
      <c r="BF527" s="290" cm="1">
        <f t="array" aca="1" ref="BF527" ca="1">INDIRECT("'"&amp;$C527&amp;"'!"&amp;"$"&amp;$D527&amp;$BF$1&amp;"")</f>
        <v>14.29</v>
      </c>
      <c r="BG527" s="288">
        <v>0.99</v>
      </c>
      <c r="BH527" s="286">
        <v>2.2999999999999998</v>
      </c>
      <c r="BI527" s="525">
        <v>69.3</v>
      </c>
      <c r="BJ527" s="285" cm="1">
        <f t="array" aca="1" ref="BJ527" ca="1">INDIRECT("'"&amp;$C527&amp;"'!"&amp;"$"&amp;$D527&amp;$BI$1&amp;"")</f>
        <v>2.11</v>
      </c>
      <c r="BK527" s="287">
        <v>0.98</v>
      </c>
      <c r="BL527" s="286">
        <v>0.42</v>
      </c>
      <c r="BM527" s="290" cm="1">
        <f t="array" aca="1" ref="BM527" ca="1">INDIRECT("'"&amp;$C527&amp;"'!"&amp;"$"&amp;$D527&amp;$BM$1&amp;"")</f>
        <v>1</v>
      </c>
      <c r="BN527" s="288"/>
      <c r="BO527" s="288">
        <v>0.99</v>
      </c>
      <c r="BP527" s="286">
        <v>0.11</v>
      </c>
      <c r="BQ527" s="291" cm="1">
        <f t="array" aca="1" ref="BQ527" ca="1">INDIRECT("'"&amp;$C527&amp;"'!"&amp;"$"&amp;$D527&amp;$BQ$1&amp;"")</f>
        <v>0.85</v>
      </c>
      <c r="BR527" s="288"/>
      <c r="BS527" s="288">
        <v>0.97</v>
      </c>
      <c r="BT527" s="286">
        <v>0.2</v>
      </c>
      <c r="BU527" s="291" cm="1">
        <f t="array" aca="1" ref="BU527" ca="1">INDIRECT("'"&amp;$C527&amp;"'!"&amp;"$"&amp;$D527&amp;74&amp;"")</f>
        <v>0</v>
      </c>
      <c r="BV527" s="288"/>
      <c r="BW527" s="288" t="s">
        <v>1</v>
      </c>
      <c r="BX527" s="286" t="s">
        <v>1</v>
      </c>
    </row>
    <row r="528" spans="1:76" ht="14.45" thickBot="1">
      <c r="A528" s="460">
        <v>45859</v>
      </c>
      <c r="B528" s="346">
        <v>0.95833333333333404</v>
      </c>
      <c r="C528" s="307">
        <v>21</v>
      </c>
      <c r="D528" s="308" t="s">
        <v>165</v>
      </c>
      <c r="E528" s="293">
        <v>14.1</v>
      </c>
      <c r="F528" s="294">
        <v>69.75</v>
      </c>
      <c r="G528" s="295" t="str" cm="1">
        <f t="array" aca="1" ref="G528" ca="1">INDIRECT("'"&amp;$C528&amp;"'!"&amp;"$"&amp;$D528&amp;$E$1&amp;"")</f>
        <v>CMS</v>
      </c>
      <c r="H528" s="296" t="s">
        <v>1</v>
      </c>
      <c r="I528" s="294" t="s">
        <v>1</v>
      </c>
      <c r="J528" s="295" cm="1">
        <f t="array" aca="1" ref="J528" ca="1">INDIRECT("'"&amp;$C528&amp;"'!"&amp;"$"&amp;$D528&amp;$J$1&amp;"")</f>
        <v>0</v>
      </c>
      <c r="K528" s="296"/>
      <c r="L528" s="296" t="s">
        <v>1</v>
      </c>
      <c r="M528" s="297" t="s">
        <v>1</v>
      </c>
      <c r="N528" s="293" cm="1">
        <f t="array" aca="1" ref="N528" ca="1">INDIRECT("'"&amp;$C528&amp;"'!"&amp;"$"&amp;$D528&amp;$N$1&amp;"")</f>
        <v>6.6</v>
      </c>
      <c r="O528" s="296"/>
      <c r="P528" s="296">
        <v>0.97</v>
      </c>
      <c r="Q528" s="294">
        <v>1.71</v>
      </c>
      <c r="R528" s="470" cm="1">
        <f t="array" aca="1" ref="R528" ca="1">INDIRECT("'"&amp;$C528&amp;"'!"&amp;"$"&amp;$D528&amp;$R$1&amp;"")</f>
        <v>6.6</v>
      </c>
      <c r="S528" s="296"/>
      <c r="T528" s="296">
        <v>0.97</v>
      </c>
      <c r="U528" s="294">
        <v>1.72</v>
      </c>
      <c r="V528" s="295" cm="1">
        <f t="array" aca="1" ref="V528" ca="1">INDIRECT("'"&amp;$C528&amp;"'!"&amp;"$"&amp;$D528&amp;$V$1&amp;"")</f>
        <v>0</v>
      </c>
      <c r="W528" s="296" t="s">
        <v>1</v>
      </c>
      <c r="X528" s="296" t="s">
        <v>1</v>
      </c>
      <c r="Y528" s="297" t="s">
        <v>1</v>
      </c>
      <c r="Z528" s="293" t="str" cm="1">
        <f t="array" aca="1" ref="Z528" ca="1">INDIRECT("'"&amp;$C528&amp;"'!"&amp;"$"&amp;$D528&amp;$Z$1&amp;"")</f>
        <v>CMS</v>
      </c>
      <c r="AA528" s="296" t="s">
        <v>1</v>
      </c>
      <c r="AB528" s="296" t="s">
        <v>1</v>
      </c>
      <c r="AC528" s="294" t="s">
        <v>1</v>
      </c>
      <c r="AD528" s="295" t="str" cm="1">
        <f t="array" aca="1" ref="AD528" ca="1">INDIRECT("'"&amp;$C528&amp;"'!"&amp;"$"&amp;$D528&amp;$AD$1&amp;"")</f>
        <v>CMS</v>
      </c>
      <c r="AE528" s="296" t="s">
        <v>1</v>
      </c>
      <c r="AF528" s="296" t="s">
        <v>1</v>
      </c>
      <c r="AG528" s="297" t="s">
        <v>1</v>
      </c>
      <c r="AH528" s="293" cm="1">
        <f t="array" aca="1" ref="AH528" ca="1">INDIRECT("'"&amp;$C528&amp;"'!"&amp;"$"&amp;$D528&amp;$AH$1&amp;"")</f>
        <v>0</v>
      </c>
      <c r="AI528" s="296" t="s">
        <v>1</v>
      </c>
      <c r="AJ528" s="296" t="s">
        <v>1</v>
      </c>
      <c r="AK528" s="294" t="s">
        <v>1</v>
      </c>
      <c r="AL528" s="293">
        <v>11.6</v>
      </c>
      <c r="AM528" s="297">
        <v>70.7</v>
      </c>
      <c r="AN528" s="293" cm="1">
        <f t="array" aca="1" ref="AN528" ca="1">INDIRECT("'"&amp;$C528&amp;"'!"&amp;"$"&amp;$D528&amp;$AL$1&amp;"")</f>
        <v>0</v>
      </c>
      <c r="AO528" s="296" t="s">
        <v>1</v>
      </c>
      <c r="AP528" s="294" t="s">
        <v>1</v>
      </c>
      <c r="AQ528" s="295" cm="1">
        <f t="array" aca="1" ref="AQ528" ca="1">INDIRECT("'"&amp;$C528&amp;"'!"&amp;"$"&amp;$D528&amp;$AQ$1&amp;"")</f>
        <v>2</v>
      </c>
      <c r="AR528" s="296">
        <v>0.94</v>
      </c>
      <c r="AS528" s="294">
        <v>0.9</v>
      </c>
      <c r="AT528" s="293">
        <v>13.8</v>
      </c>
      <c r="AU528" s="297">
        <v>70.900000000000006</v>
      </c>
      <c r="AV528" s="296" cm="1">
        <f t="array" aca="1" ref="AV528" ca="1">INDIRECT("'"&amp;$C528&amp;"'!"&amp;"$"&amp;$D528&amp;$AV$1&amp;"")</f>
        <v>0</v>
      </c>
      <c r="AW528" s="295" t="s">
        <v>1</v>
      </c>
      <c r="AX528" s="296" t="s">
        <v>1</v>
      </c>
      <c r="AY528" s="294" t="s">
        <v>1</v>
      </c>
      <c r="AZ528" s="296" cm="1">
        <f t="array" aca="1" ref="AZ528" ca="1">INDIRECT("'"&amp;$C528&amp;"'!"&amp;"$"&amp;$D528&amp;$AZ$1&amp;"")</f>
        <v>7</v>
      </c>
      <c r="BA528" s="295" t="s">
        <v>1</v>
      </c>
      <c r="BB528" s="296">
        <v>0.98</v>
      </c>
      <c r="BC528" s="294">
        <v>1.37</v>
      </c>
      <c r="BD528" s="298">
        <v>14.05</v>
      </c>
      <c r="BE528" s="297">
        <v>71.55</v>
      </c>
      <c r="BF528" s="298" cm="1">
        <f t="array" aca="1" ref="BF528" ca="1">INDIRECT("'"&amp;$C528&amp;"'!"&amp;"$"&amp;$D528&amp;$BF$1&amp;"")</f>
        <v>14.25</v>
      </c>
      <c r="BG528" s="296">
        <v>1</v>
      </c>
      <c r="BH528" s="294">
        <v>1.3</v>
      </c>
      <c r="BI528" s="526">
        <v>68.8</v>
      </c>
      <c r="BJ528" s="293" cm="1">
        <f t="array" aca="1" ref="BJ528" ca="1">INDIRECT("'"&amp;$C528&amp;"'!"&amp;"$"&amp;$D528&amp;$BI$1&amp;"")</f>
        <v>0</v>
      </c>
      <c r="BK528" s="295" t="s">
        <v>1</v>
      </c>
      <c r="BL528" s="294" t="s">
        <v>1</v>
      </c>
      <c r="BM528" s="298" cm="1">
        <f t="array" aca="1" ref="BM528" ca="1">INDIRECT("'"&amp;$C528&amp;"'!"&amp;"$"&amp;$D528&amp;$BM$1&amp;"")</f>
        <v>0.9</v>
      </c>
      <c r="BN528" s="296"/>
      <c r="BO528" s="296">
        <v>0.99</v>
      </c>
      <c r="BP528" s="294">
        <v>0.09</v>
      </c>
      <c r="BQ528" s="299" cm="1">
        <f t="array" aca="1" ref="BQ528" ca="1">INDIRECT("'"&amp;$C528&amp;"'!"&amp;"$"&amp;$D528&amp;$BQ$1&amp;"")</f>
        <v>0.8</v>
      </c>
      <c r="BR528" s="296"/>
      <c r="BS528" s="296">
        <v>0.96</v>
      </c>
      <c r="BT528" s="294">
        <v>0.2</v>
      </c>
      <c r="BU528" s="299" cm="1">
        <f t="array" aca="1" ref="BU528" ca="1">INDIRECT("'"&amp;$C528&amp;"'!"&amp;"$"&amp;$D528&amp;74&amp;"")</f>
        <v>0</v>
      </c>
      <c r="BV528" s="296"/>
      <c r="BW528" s="296" t="s">
        <v>1</v>
      </c>
      <c r="BX528" s="294" t="s">
        <v>1</v>
      </c>
    </row>
    <row r="529" spans="1:76" ht="14.45" thickBot="1"/>
    <row r="530" spans="1:76">
      <c r="A530" s="347">
        <v>45860</v>
      </c>
      <c r="B530" s="344">
        <v>0</v>
      </c>
      <c r="C530" s="302">
        <v>22</v>
      </c>
      <c r="D530" s="303" t="s">
        <v>142</v>
      </c>
      <c r="E530" s="272">
        <v>14.1</v>
      </c>
      <c r="F530" s="273">
        <v>70.099999999999994</v>
      </c>
      <c r="G530" s="274" t="str" cm="1">
        <f t="array" aca="1" ref="G530" ca="1">INDIRECT("'"&amp;$C530&amp;"'!"&amp;"$"&amp;$D530&amp;$E$1&amp;"")</f>
        <v>CMS</v>
      </c>
      <c r="H530" s="275" t="s">
        <v>1</v>
      </c>
      <c r="I530" s="273" t="s">
        <v>1</v>
      </c>
      <c r="J530" s="274" cm="1">
        <f t="array" aca="1" ref="J530" ca="1">INDIRECT("'"&amp;$C530&amp;"'!"&amp;"$"&amp;$D530&amp;$J$1&amp;"")</f>
        <v>0</v>
      </c>
      <c r="K530" s="275"/>
      <c r="L530" s="275" t="s">
        <v>1</v>
      </c>
      <c r="M530" s="276" t="s">
        <v>1</v>
      </c>
      <c r="N530" s="272" cm="1">
        <f t="array" aca="1" ref="N530" ca="1">INDIRECT("'"&amp;$C530&amp;"'!"&amp;"$"&amp;$D530&amp;$N$1&amp;"")</f>
        <v>6.8</v>
      </c>
      <c r="O530" s="275"/>
      <c r="P530" s="275">
        <v>0.98</v>
      </c>
      <c r="Q530" s="273">
        <v>1.56</v>
      </c>
      <c r="R530" s="467" cm="1">
        <f t="array" aca="1" ref="R530" ca="1">INDIRECT("'"&amp;$C530&amp;"'!"&amp;"$"&amp;$D530&amp;$R$1&amp;"")</f>
        <v>6.8</v>
      </c>
      <c r="S530" s="275"/>
      <c r="T530" s="275">
        <v>0.98</v>
      </c>
      <c r="U530" s="273">
        <v>1.58</v>
      </c>
      <c r="V530" s="274" cm="1">
        <f t="array" aca="1" ref="V530" ca="1">INDIRECT("'"&amp;$C530&amp;"'!"&amp;"$"&amp;$D530&amp;$V$1&amp;"")</f>
        <v>0</v>
      </c>
      <c r="W530" s="275" t="s">
        <v>1</v>
      </c>
      <c r="X530" s="275" t="s">
        <v>1</v>
      </c>
      <c r="Y530" s="276" t="s">
        <v>1</v>
      </c>
      <c r="Z530" s="272" t="str" cm="1">
        <f t="array" aca="1" ref="Z530" ca="1">INDIRECT("'"&amp;$C530&amp;"'!"&amp;"$"&amp;$D530&amp;$Z$1&amp;"")</f>
        <v>CMS</v>
      </c>
      <c r="AA530" s="275" t="s">
        <v>1</v>
      </c>
      <c r="AB530" s="275" t="s">
        <v>1</v>
      </c>
      <c r="AC530" s="273" t="s">
        <v>1</v>
      </c>
      <c r="AD530" s="274" t="str" cm="1">
        <f t="array" aca="1" ref="AD530" ca="1">INDIRECT("'"&amp;$C530&amp;"'!"&amp;"$"&amp;$D530&amp;$AD$1&amp;"")</f>
        <v>CMS</v>
      </c>
      <c r="AE530" s="275" t="s">
        <v>1</v>
      </c>
      <c r="AF530" s="275" t="s">
        <v>1</v>
      </c>
      <c r="AG530" s="273" t="s">
        <v>1</v>
      </c>
      <c r="AH530" s="272" cm="1">
        <f t="array" aca="1" ref="AH530" ca="1">INDIRECT("'"&amp;$C530&amp;"'!"&amp;"$"&amp;$D530&amp;$AH$1&amp;"")</f>
        <v>0</v>
      </c>
      <c r="AI530" s="275" t="s">
        <v>1</v>
      </c>
      <c r="AJ530" s="275" t="s">
        <v>1</v>
      </c>
      <c r="AK530" s="273" t="s">
        <v>1</v>
      </c>
      <c r="AL530" s="272">
        <v>11.6</v>
      </c>
      <c r="AM530" s="276">
        <v>70.900000000000006</v>
      </c>
      <c r="AN530" s="272" cm="1">
        <f t="array" aca="1" ref="AN530" ca="1">INDIRECT("'"&amp;$C530&amp;"'!"&amp;"$"&amp;$D530&amp;$AL$1&amp;"")</f>
        <v>0</v>
      </c>
      <c r="AO530" s="275" t="s">
        <v>1</v>
      </c>
      <c r="AP530" s="273" t="s">
        <v>1</v>
      </c>
      <c r="AQ530" s="274" cm="1">
        <f t="array" aca="1" ref="AQ530" ca="1">INDIRECT("'"&amp;$C530&amp;"'!"&amp;"$"&amp;$D530&amp;$AQ$1&amp;"")</f>
        <v>1.5</v>
      </c>
      <c r="AR530" s="275">
        <v>0.94</v>
      </c>
      <c r="AS530" s="273">
        <v>0.65</v>
      </c>
      <c r="AT530" s="272">
        <v>13.8</v>
      </c>
      <c r="AU530" s="276">
        <v>70.900000000000006</v>
      </c>
      <c r="AV530" s="275" cm="1">
        <f t="array" aca="1" ref="AV530" ca="1">INDIRECT("'"&amp;$C530&amp;"'!"&amp;"$"&amp;$D530&amp;$AV$1&amp;"")</f>
        <v>0</v>
      </c>
      <c r="AW530" s="274" t="s">
        <v>1</v>
      </c>
      <c r="AX530" s="275" t="s">
        <v>1</v>
      </c>
      <c r="AY530" s="273" t="s">
        <v>1</v>
      </c>
      <c r="AZ530" s="275" cm="1">
        <f t="array" aca="1" ref="AZ530" ca="1">INDIRECT("'"&amp;$C530&amp;"'!"&amp;"$"&amp;$D530&amp;$AZ$1&amp;"")</f>
        <v>5.5</v>
      </c>
      <c r="BA530" s="274" t="s">
        <v>1</v>
      </c>
      <c r="BB530" s="275">
        <v>0.98</v>
      </c>
      <c r="BC530" s="273">
        <v>0.98</v>
      </c>
      <c r="BD530" s="277">
        <v>14.08</v>
      </c>
      <c r="BE530" s="276">
        <v>71.64</v>
      </c>
      <c r="BF530" s="277" cm="1">
        <f t="array" aca="1" ref="BF530" ca="1">INDIRECT("'"&amp;$C530&amp;"'!"&amp;"$"&amp;$D530&amp;$BF$1&amp;"")</f>
        <v>14.22</v>
      </c>
      <c r="BG530" s="275">
        <v>1</v>
      </c>
      <c r="BH530" s="273">
        <v>1.2</v>
      </c>
      <c r="BI530" s="523">
        <v>69.400000000000006</v>
      </c>
      <c r="BJ530" s="272" cm="1">
        <f t="array" aca="1" ref="BJ530" ca="1">INDIRECT("'"&amp;$C530&amp;"'!"&amp;"$"&amp;$D530&amp;$BI$1&amp;"")</f>
        <v>0</v>
      </c>
      <c r="BK530" s="274" t="s">
        <v>1</v>
      </c>
      <c r="BL530" s="273" t="s">
        <v>1</v>
      </c>
      <c r="BM530" s="277" cm="1">
        <f t="array" aca="1" ref="BM530" ca="1">INDIRECT("'"&amp;$C530&amp;"'!"&amp;"$"&amp;$D530&amp;$BM$1&amp;"")</f>
        <v>0.89</v>
      </c>
      <c r="BN530" s="275"/>
      <c r="BO530" s="275">
        <v>0.99</v>
      </c>
      <c r="BP530" s="273">
        <v>0.09</v>
      </c>
      <c r="BQ530" s="277" cm="1">
        <f t="array" aca="1" ref="BQ530" ca="1">INDIRECT("'"&amp;$C530&amp;"'!"&amp;"$"&amp;$D530&amp;$BQ$1&amp;"")</f>
        <v>0.75</v>
      </c>
      <c r="BR530" s="275"/>
      <c r="BS530" s="275">
        <v>0.96</v>
      </c>
      <c r="BT530" s="273">
        <v>0.2</v>
      </c>
      <c r="BU530" s="358" cm="1">
        <f t="array" aca="1" ref="BU530" ca="1">INDIRECT("'"&amp;$C530&amp;"'!"&amp;"$"&amp;$D530&amp;74&amp;"")</f>
        <v>0</v>
      </c>
      <c r="BV530" s="275"/>
      <c r="BW530" s="275" t="s">
        <v>1</v>
      </c>
      <c r="BX530" s="273" t="s">
        <v>1</v>
      </c>
    </row>
    <row r="531" spans="1:76">
      <c r="A531" s="459">
        <v>45860</v>
      </c>
      <c r="B531" s="345">
        <v>4.1666666666666699E-2</v>
      </c>
      <c r="C531" s="305">
        <v>22</v>
      </c>
      <c r="D531" s="306" t="s">
        <v>143</v>
      </c>
      <c r="E531" s="278">
        <v>14.1</v>
      </c>
      <c r="F531" s="279">
        <v>70.040000000000006</v>
      </c>
      <c r="G531" s="280" t="str" cm="1">
        <f t="array" aca="1" ref="G531" ca="1">INDIRECT("'"&amp;$C531&amp;"'!"&amp;"$"&amp;$D531&amp;$E$1&amp;"")</f>
        <v>CMS</v>
      </c>
      <c r="H531" s="281" t="s">
        <v>1</v>
      </c>
      <c r="I531" s="279" t="s">
        <v>1</v>
      </c>
      <c r="J531" s="280" cm="1">
        <f t="array" aca="1" ref="J531" ca="1">INDIRECT("'"&amp;$C531&amp;"'!"&amp;"$"&amp;$D531&amp;$J$1&amp;"")</f>
        <v>0</v>
      </c>
      <c r="K531" s="281"/>
      <c r="L531" s="281" t="s">
        <v>1</v>
      </c>
      <c r="M531" s="282" t="s">
        <v>1</v>
      </c>
      <c r="N531" s="278" cm="1">
        <f t="array" aca="1" ref="N531" ca="1">INDIRECT("'"&amp;$C531&amp;"'!"&amp;"$"&amp;$D531&amp;$N$1&amp;"")</f>
        <v>6.6</v>
      </c>
      <c r="O531" s="281"/>
      <c r="P531" s="281">
        <v>0.99</v>
      </c>
      <c r="Q531" s="279">
        <v>1.1200000000000001</v>
      </c>
      <c r="R531" s="468" cm="1">
        <f t="array" aca="1" ref="R531" ca="1">INDIRECT("'"&amp;$C531&amp;"'!"&amp;"$"&amp;$D531&amp;$R$1&amp;"")</f>
        <v>6.5</v>
      </c>
      <c r="S531" s="281"/>
      <c r="T531" s="281">
        <v>0.98</v>
      </c>
      <c r="U531" s="279">
        <v>1.34</v>
      </c>
      <c r="V531" s="280" cm="1">
        <f t="array" aca="1" ref="V531" ca="1">INDIRECT("'"&amp;$C531&amp;"'!"&amp;"$"&amp;$D531&amp;$V$1&amp;"")</f>
        <v>0</v>
      </c>
      <c r="W531" s="281" t="s">
        <v>1</v>
      </c>
      <c r="X531" s="281" t="s">
        <v>1</v>
      </c>
      <c r="Y531" s="282" t="s">
        <v>1</v>
      </c>
      <c r="Z531" s="278" t="str" cm="1">
        <f t="array" aca="1" ref="Z531" ca="1">INDIRECT("'"&amp;$C531&amp;"'!"&amp;"$"&amp;$D531&amp;$Z$1&amp;"")</f>
        <v>CMS</v>
      </c>
      <c r="AA531" s="281" t="s">
        <v>1</v>
      </c>
      <c r="AB531" s="281" t="s">
        <v>1</v>
      </c>
      <c r="AC531" s="279" t="s">
        <v>1</v>
      </c>
      <c r="AD531" s="280" t="str" cm="1">
        <f t="array" aca="1" ref="AD531" ca="1">INDIRECT("'"&amp;$C531&amp;"'!"&amp;"$"&amp;$D531&amp;$AD$1&amp;"")</f>
        <v>CMS</v>
      </c>
      <c r="AE531" s="281" t="s">
        <v>1</v>
      </c>
      <c r="AF531" s="281" t="s">
        <v>1</v>
      </c>
      <c r="AG531" s="282" t="s">
        <v>1</v>
      </c>
      <c r="AH531" s="278" cm="1">
        <f t="array" aca="1" ref="AH531" ca="1">INDIRECT("'"&amp;$C531&amp;"'!"&amp;"$"&amp;$D531&amp;$AH$1&amp;"")</f>
        <v>0</v>
      </c>
      <c r="AI531" s="281" t="s">
        <v>1</v>
      </c>
      <c r="AJ531" s="281" t="s">
        <v>1</v>
      </c>
      <c r="AK531" s="279" t="s">
        <v>1</v>
      </c>
      <c r="AL531" s="278">
        <v>0</v>
      </c>
      <c r="AM531" s="282">
        <v>70.599999999999994</v>
      </c>
      <c r="AN531" s="278" cm="1">
        <f t="array" aca="1" ref="AN531" ca="1">INDIRECT("'"&amp;$C531&amp;"'!"&amp;"$"&amp;$D531&amp;$AL$1&amp;"")</f>
        <v>0</v>
      </c>
      <c r="AO531" s="281" t="s">
        <v>1</v>
      </c>
      <c r="AP531" s="279" t="s">
        <v>1</v>
      </c>
      <c r="AQ531" s="280" cm="1">
        <f t="array" aca="1" ref="AQ531" ca="1">INDIRECT("'"&amp;$C531&amp;"'!"&amp;"$"&amp;$D531&amp;$AQ$1&amp;"")</f>
        <v>0</v>
      </c>
      <c r="AR531" s="281" t="s">
        <v>1</v>
      </c>
      <c r="AS531" s="279" t="s">
        <v>1</v>
      </c>
      <c r="AT531" s="278">
        <v>13.8</v>
      </c>
      <c r="AU531" s="282">
        <v>71</v>
      </c>
      <c r="AV531" s="281" cm="1">
        <f t="array" aca="1" ref="AV531" ca="1">INDIRECT("'"&amp;$C531&amp;"'!"&amp;"$"&amp;$D531&amp;$AV$1&amp;"")</f>
        <v>0</v>
      </c>
      <c r="AW531" s="280" t="s">
        <v>1</v>
      </c>
      <c r="AX531" s="281" t="s">
        <v>1</v>
      </c>
      <c r="AY531" s="279" t="s">
        <v>1</v>
      </c>
      <c r="AZ531" s="281" cm="1">
        <f t="array" aca="1" ref="AZ531" ca="1">INDIRECT("'"&amp;$C531&amp;"'!"&amp;"$"&amp;$D531&amp;$AZ$1&amp;"")</f>
        <v>6</v>
      </c>
      <c r="BA531" s="280" t="s">
        <v>1</v>
      </c>
      <c r="BB531" s="281">
        <v>0.97</v>
      </c>
      <c r="BC531" s="279">
        <v>1.49</v>
      </c>
      <c r="BD531" s="283">
        <v>14.01</v>
      </c>
      <c r="BE531" s="282">
        <v>71.33</v>
      </c>
      <c r="BF531" s="283" cm="1">
        <f t="array" aca="1" ref="BF531" ca="1">INDIRECT("'"&amp;$C531&amp;"'!"&amp;"$"&amp;$D531&amp;$BF$1&amp;"")</f>
        <v>14.24</v>
      </c>
      <c r="BG531" s="281">
        <v>1</v>
      </c>
      <c r="BH531" s="279">
        <v>1.3</v>
      </c>
      <c r="BI531" s="524">
        <v>69.2</v>
      </c>
      <c r="BJ531" s="278" cm="1">
        <f t="array" aca="1" ref="BJ531" ca="1">INDIRECT("'"&amp;$C531&amp;"'!"&amp;"$"&amp;$D531&amp;$BI$1&amp;"")</f>
        <v>0</v>
      </c>
      <c r="BK531" s="280" t="s">
        <v>1</v>
      </c>
      <c r="BL531" s="279" t="s">
        <v>1</v>
      </c>
      <c r="BM531" s="283" cm="1">
        <f t="array" aca="1" ref="BM531" ca="1">INDIRECT("'"&amp;$C531&amp;"'!"&amp;"$"&amp;$D531&amp;$BM$1&amp;"")</f>
        <v>0.81</v>
      </c>
      <c r="BN531" s="281"/>
      <c r="BO531" s="281">
        <v>0.99</v>
      </c>
      <c r="BP531" s="279">
        <v>0.09</v>
      </c>
      <c r="BQ531" s="283" cm="1">
        <f t="array" aca="1" ref="BQ531" ca="1">INDIRECT("'"&amp;$C531&amp;"'!"&amp;"$"&amp;$D531&amp;$BQ$1&amp;"")</f>
        <v>0.71</v>
      </c>
      <c r="BR531" s="281"/>
      <c r="BS531" s="281">
        <v>0.96</v>
      </c>
      <c r="BT531" s="279">
        <v>0.18</v>
      </c>
      <c r="BU531" s="284" cm="1">
        <f t="array" aca="1" ref="BU531" ca="1">INDIRECT("'"&amp;$C531&amp;"'!"&amp;"$"&amp;$D531&amp;74&amp;"")</f>
        <v>0</v>
      </c>
      <c r="BV531" s="281"/>
      <c r="BW531" s="281" t="s">
        <v>1</v>
      </c>
      <c r="BX531" s="279" t="s">
        <v>1</v>
      </c>
    </row>
    <row r="532" spans="1:76">
      <c r="A532" s="459">
        <v>45860</v>
      </c>
      <c r="B532" s="345">
        <v>8.3333333333333301E-2</v>
      </c>
      <c r="C532" s="305">
        <v>22</v>
      </c>
      <c r="D532" s="306" t="s">
        <v>144</v>
      </c>
      <c r="E532" s="285">
        <v>14.1</v>
      </c>
      <c r="F532" s="286">
        <v>70.27</v>
      </c>
      <c r="G532" s="287" t="str" cm="1">
        <f t="array" aca="1" ref="G532" ca="1">INDIRECT("'"&amp;$C532&amp;"'!"&amp;"$"&amp;$D532&amp;$E$1&amp;"")</f>
        <v>CMS</v>
      </c>
      <c r="H532" s="288" t="s">
        <v>1</v>
      </c>
      <c r="I532" s="286" t="s">
        <v>1</v>
      </c>
      <c r="J532" s="287" cm="1">
        <f t="array" aca="1" ref="J532" ca="1">INDIRECT("'"&amp;$C532&amp;"'!"&amp;"$"&amp;$D532&amp;$J$1&amp;"")</f>
        <v>0</v>
      </c>
      <c r="K532" s="288"/>
      <c r="L532" s="288" t="s">
        <v>1</v>
      </c>
      <c r="M532" s="289" t="s">
        <v>1</v>
      </c>
      <c r="N532" s="285" cm="1">
        <f t="array" aca="1" ref="N532" ca="1">INDIRECT("'"&amp;$C532&amp;"'!"&amp;"$"&amp;$D532&amp;$N$1&amp;"")</f>
        <v>6.7</v>
      </c>
      <c r="O532" s="288"/>
      <c r="P532" s="288">
        <v>0.99</v>
      </c>
      <c r="Q532" s="286">
        <v>1.1299999999999999</v>
      </c>
      <c r="R532" s="285" cm="1">
        <f t="array" aca="1" ref="R532" ca="1">INDIRECT("'"&amp;$C532&amp;"'!"&amp;"$"&amp;$D532&amp;$R$1&amp;"")</f>
        <v>6.6</v>
      </c>
      <c r="S532" s="288"/>
      <c r="T532" s="288">
        <v>0.99</v>
      </c>
      <c r="U532" s="286">
        <v>1.07</v>
      </c>
      <c r="V532" s="287" cm="1">
        <f t="array" aca="1" ref="V532" ca="1">INDIRECT("'"&amp;$C532&amp;"'!"&amp;"$"&amp;$D532&amp;$V$1&amp;"")</f>
        <v>0</v>
      </c>
      <c r="W532" s="288" t="s">
        <v>1</v>
      </c>
      <c r="X532" s="288" t="s">
        <v>1</v>
      </c>
      <c r="Y532" s="289" t="s">
        <v>1</v>
      </c>
      <c r="Z532" s="278" t="str" cm="1">
        <f t="array" aca="1" ref="Z532" ca="1">INDIRECT("'"&amp;$C532&amp;"'!"&amp;"$"&amp;$D532&amp;$Z$1&amp;"")</f>
        <v>CMS</v>
      </c>
      <c r="AA532" s="288" t="s">
        <v>1</v>
      </c>
      <c r="AB532" s="288" t="s">
        <v>1</v>
      </c>
      <c r="AC532" s="286" t="s">
        <v>1</v>
      </c>
      <c r="AD532" s="287" t="str" cm="1">
        <f t="array" aca="1" ref="AD532" ca="1">INDIRECT("'"&amp;$C532&amp;"'!"&amp;"$"&amp;$D532&amp;$AD$1&amp;"")</f>
        <v>CMS</v>
      </c>
      <c r="AE532" s="288" t="s">
        <v>1</v>
      </c>
      <c r="AF532" s="288" t="s">
        <v>1</v>
      </c>
      <c r="AG532" s="289" t="s">
        <v>1</v>
      </c>
      <c r="AH532" s="285" cm="1">
        <f t="array" aca="1" ref="AH532" ca="1">INDIRECT("'"&amp;$C532&amp;"'!"&amp;"$"&amp;$D532&amp;$AH$1&amp;"")</f>
        <v>0</v>
      </c>
      <c r="AI532" s="288" t="s">
        <v>1</v>
      </c>
      <c r="AJ532" s="288" t="s">
        <v>1</v>
      </c>
      <c r="AK532" s="289" t="s">
        <v>1</v>
      </c>
      <c r="AL532" s="285">
        <v>0</v>
      </c>
      <c r="AM532" s="289">
        <v>70.8</v>
      </c>
      <c r="AN532" s="285" cm="1">
        <f t="array" aca="1" ref="AN532" ca="1">INDIRECT("'"&amp;$C532&amp;"'!"&amp;"$"&amp;$D532&amp;$AL$1&amp;"")</f>
        <v>0</v>
      </c>
      <c r="AO532" s="288" t="s">
        <v>1</v>
      </c>
      <c r="AP532" s="286" t="s">
        <v>1</v>
      </c>
      <c r="AQ532" s="287" cm="1">
        <f t="array" aca="1" ref="AQ532" ca="1">INDIRECT("'"&amp;$C532&amp;"'!"&amp;"$"&amp;$D532&amp;$AQ$1&amp;"")</f>
        <v>0</v>
      </c>
      <c r="AR532" s="288" t="s">
        <v>1</v>
      </c>
      <c r="AS532" s="286" t="s">
        <v>1</v>
      </c>
      <c r="AT532" s="285">
        <v>13.8</v>
      </c>
      <c r="AU532" s="289">
        <v>71</v>
      </c>
      <c r="AV532" s="288" cm="1">
        <f t="array" aca="1" ref="AV532" ca="1">INDIRECT("'"&amp;$C532&amp;"'!"&amp;"$"&amp;$D532&amp;$AV$1&amp;"")</f>
        <v>0</v>
      </c>
      <c r="AW532" s="287" t="s">
        <v>1</v>
      </c>
      <c r="AX532" s="288" t="s">
        <v>1</v>
      </c>
      <c r="AY532" s="286" t="s">
        <v>1</v>
      </c>
      <c r="AZ532" s="288" cm="1">
        <f t="array" aca="1" ref="AZ532" ca="1">INDIRECT("'"&amp;$C532&amp;"'!"&amp;"$"&amp;$D532&amp;$AZ$1&amp;"")</f>
        <v>5.5</v>
      </c>
      <c r="BA532" s="287" t="s">
        <v>1</v>
      </c>
      <c r="BB532" s="288">
        <v>0.98</v>
      </c>
      <c r="BC532" s="286">
        <v>1.37</v>
      </c>
      <c r="BD532" s="290">
        <v>14.04</v>
      </c>
      <c r="BE532" s="289">
        <v>71.47</v>
      </c>
      <c r="BF532" s="290" cm="1">
        <f t="array" aca="1" ref="BF532" ca="1">INDIRECT("'"&amp;$C532&amp;"'!"&amp;"$"&amp;$D532&amp;$BF$1&amp;"")</f>
        <v>14.25</v>
      </c>
      <c r="BG532" s="288">
        <v>1</v>
      </c>
      <c r="BH532" s="286">
        <v>1.3</v>
      </c>
      <c r="BI532" s="525">
        <v>69.400000000000006</v>
      </c>
      <c r="BJ532" s="285" cm="1">
        <f t="array" aca="1" ref="BJ532" ca="1">INDIRECT("'"&amp;$C532&amp;"'!"&amp;"$"&amp;$D532&amp;$BI$1&amp;"")</f>
        <v>0</v>
      </c>
      <c r="BK532" s="287" t="s">
        <v>1</v>
      </c>
      <c r="BL532" s="286" t="s">
        <v>1</v>
      </c>
      <c r="BM532" s="290" cm="1">
        <f t="array" aca="1" ref="BM532" ca="1">INDIRECT("'"&amp;$C532&amp;"'!"&amp;"$"&amp;$D532&amp;$BM$1&amp;"")</f>
        <v>0.79</v>
      </c>
      <c r="BN532" s="288"/>
      <c r="BO532" s="288">
        <v>0.99</v>
      </c>
      <c r="BP532" s="286">
        <v>0.08</v>
      </c>
      <c r="BQ532" s="290" cm="1">
        <f t="array" aca="1" ref="BQ532" ca="1">INDIRECT("'"&amp;$C532&amp;"'!"&amp;"$"&amp;$D532&amp;$BQ$1&amp;"")</f>
        <v>0.7</v>
      </c>
      <c r="BR532" s="288"/>
      <c r="BS532" s="288">
        <v>0.96</v>
      </c>
      <c r="BT532" s="286">
        <v>0.18</v>
      </c>
      <c r="BU532" s="291" cm="1">
        <f t="array" aca="1" ref="BU532" ca="1">INDIRECT("'"&amp;$C532&amp;"'!"&amp;"$"&amp;$D532&amp;74&amp;"")</f>
        <v>0</v>
      </c>
      <c r="BV532" s="288"/>
      <c r="BW532" s="288" t="s">
        <v>1</v>
      </c>
      <c r="BX532" s="286" t="s">
        <v>1</v>
      </c>
    </row>
    <row r="533" spans="1:76">
      <c r="A533" s="459">
        <v>45860</v>
      </c>
      <c r="B533" s="345">
        <v>0.125</v>
      </c>
      <c r="C533" s="305">
        <v>22</v>
      </c>
      <c r="D533" s="306" t="s">
        <v>145</v>
      </c>
      <c r="E533" s="278">
        <v>14.2</v>
      </c>
      <c r="F533" s="279">
        <v>70.41</v>
      </c>
      <c r="G533" s="280" t="str" cm="1">
        <f t="array" aca="1" ref="G533" ca="1">INDIRECT("'"&amp;$C533&amp;"'!"&amp;"$"&amp;$D533&amp;$E$1&amp;"")</f>
        <v>CMS</v>
      </c>
      <c r="H533" s="281" t="s">
        <v>1</v>
      </c>
      <c r="I533" s="279" t="s">
        <v>1</v>
      </c>
      <c r="J533" s="280" cm="1">
        <f t="array" aca="1" ref="J533" ca="1">INDIRECT("'"&amp;$C533&amp;"'!"&amp;"$"&amp;$D533&amp;$J$1&amp;"")</f>
        <v>2.5</v>
      </c>
      <c r="K533" s="281"/>
      <c r="L533" s="281">
        <v>0.94</v>
      </c>
      <c r="M533" s="282">
        <v>0.93</v>
      </c>
      <c r="N533" s="278" cm="1">
        <f t="array" aca="1" ref="N533" ca="1">INDIRECT("'"&amp;$C533&amp;"'!"&amp;"$"&amp;$D533&amp;$N$1&amp;"")</f>
        <v>4.4000000000000004</v>
      </c>
      <c r="O533" s="281"/>
      <c r="P533" s="281">
        <v>0.99</v>
      </c>
      <c r="Q533" s="279">
        <v>0.7</v>
      </c>
      <c r="R533" s="468" cm="1">
        <f t="array" aca="1" ref="R533" ca="1">INDIRECT("'"&amp;$C533&amp;"'!"&amp;"$"&amp;$D533&amp;$R$1&amp;"")</f>
        <v>6.7</v>
      </c>
      <c r="S533" s="281"/>
      <c r="T533" s="281">
        <v>0.99</v>
      </c>
      <c r="U533" s="279">
        <v>0.83</v>
      </c>
      <c r="V533" s="280" cm="1">
        <f t="array" aca="1" ref="V533" ca="1">INDIRECT("'"&amp;$C533&amp;"'!"&amp;"$"&amp;$D533&amp;$V$1&amp;"")</f>
        <v>0</v>
      </c>
      <c r="W533" s="281" t="s">
        <v>1</v>
      </c>
      <c r="X533" s="281" t="s">
        <v>1</v>
      </c>
      <c r="Y533" s="282" t="s">
        <v>1</v>
      </c>
      <c r="Z533" s="278" t="str" cm="1">
        <f t="array" aca="1" ref="Z533" ca="1">INDIRECT("'"&amp;$C533&amp;"'!"&amp;"$"&amp;$D533&amp;$Z$1&amp;"")</f>
        <v>CMS</v>
      </c>
      <c r="AA533" s="281" t="s">
        <v>1</v>
      </c>
      <c r="AB533" s="281" t="s">
        <v>1</v>
      </c>
      <c r="AC533" s="279" t="s">
        <v>1</v>
      </c>
      <c r="AD533" s="280" t="str" cm="1">
        <f t="array" aca="1" ref="AD533" ca="1">INDIRECT("'"&amp;$C533&amp;"'!"&amp;"$"&amp;$D533&amp;$AD$1&amp;"")</f>
        <v>CMS</v>
      </c>
      <c r="AE533" s="281" t="s">
        <v>1</v>
      </c>
      <c r="AF533" s="281" t="s">
        <v>1</v>
      </c>
      <c r="AG533" s="282" t="s">
        <v>1</v>
      </c>
      <c r="AH533" s="278" cm="1">
        <f t="array" aca="1" ref="AH533" ca="1">INDIRECT("'"&amp;$C533&amp;"'!"&amp;"$"&amp;$D533&amp;$AH$1&amp;"")</f>
        <v>0</v>
      </c>
      <c r="AI533" s="281" t="s">
        <v>1</v>
      </c>
      <c r="AJ533" s="281" t="s">
        <v>1</v>
      </c>
      <c r="AK533" s="279" t="s">
        <v>1</v>
      </c>
      <c r="AL533" s="278">
        <v>0</v>
      </c>
      <c r="AM533" s="282">
        <v>70.41</v>
      </c>
      <c r="AN533" s="278" cm="1">
        <f t="array" aca="1" ref="AN533" ca="1">INDIRECT("'"&amp;$C533&amp;"'!"&amp;"$"&amp;$D533&amp;$AL$1&amp;"")</f>
        <v>0</v>
      </c>
      <c r="AO533" s="281" t="s">
        <v>1</v>
      </c>
      <c r="AP533" s="279" t="s">
        <v>1</v>
      </c>
      <c r="AQ533" s="280" cm="1">
        <f t="array" aca="1" ref="AQ533" ca="1">INDIRECT("'"&amp;$C533&amp;"'!"&amp;"$"&amp;$D533&amp;$AQ$1&amp;"")</f>
        <v>0</v>
      </c>
      <c r="AR533" s="281" t="s">
        <v>1</v>
      </c>
      <c r="AS533" s="279" t="s">
        <v>1</v>
      </c>
      <c r="AT533" s="278">
        <v>13.8</v>
      </c>
      <c r="AU533" s="282">
        <v>71</v>
      </c>
      <c r="AV533" s="281" cm="1">
        <f t="array" aca="1" ref="AV533" ca="1">INDIRECT("'"&amp;$C533&amp;"'!"&amp;"$"&amp;$D533&amp;$AV$1&amp;"")</f>
        <v>0</v>
      </c>
      <c r="AW533" s="280" t="s">
        <v>1</v>
      </c>
      <c r="AX533" s="281" t="s">
        <v>1</v>
      </c>
      <c r="AY533" s="279" t="s">
        <v>1</v>
      </c>
      <c r="AZ533" s="281" cm="1">
        <f t="array" aca="1" ref="AZ533" ca="1">INDIRECT("'"&amp;$C533&amp;"'!"&amp;"$"&amp;$D533&amp;$AZ$1&amp;"")</f>
        <v>4.4000000000000004</v>
      </c>
      <c r="BA533" s="280" t="s">
        <v>1</v>
      </c>
      <c r="BB533" s="281">
        <v>0.97</v>
      </c>
      <c r="BC533" s="279">
        <v>1.06</v>
      </c>
      <c r="BD533" s="283">
        <v>14.08</v>
      </c>
      <c r="BE533" s="282">
        <v>71.64</v>
      </c>
      <c r="BF533" s="283" cm="1">
        <f t="array" aca="1" ref="BF533" ca="1">INDIRECT("'"&amp;$C533&amp;"'!"&amp;"$"&amp;$D533&amp;$BF$1&amp;"")</f>
        <v>13.8</v>
      </c>
      <c r="BG533" s="281">
        <v>1</v>
      </c>
      <c r="BH533" s="279">
        <v>1.2</v>
      </c>
      <c r="BI533" s="524">
        <v>69.599999999999994</v>
      </c>
      <c r="BJ533" s="278" cm="1">
        <f t="array" aca="1" ref="BJ533" ca="1">INDIRECT("'"&amp;$C533&amp;"'!"&amp;"$"&amp;$D533&amp;$BI$1&amp;"")</f>
        <v>0</v>
      </c>
      <c r="BK533" s="280" t="s">
        <v>1</v>
      </c>
      <c r="BL533" s="279" t="s">
        <v>1</v>
      </c>
      <c r="BM533" s="283" cm="1">
        <f t="array" aca="1" ref="BM533" ca="1">INDIRECT("'"&amp;$C533&amp;"'!"&amp;"$"&amp;$D533&amp;$BM$1&amp;"")</f>
        <v>0.78</v>
      </c>
      <c r="BN533" s="281"/>
      <c r="BO533" s="281">
        <v>0.99</v>
      </c>
      <c r="BP533" s="279">
        <v>0.08</v>
      </c>
      <c r="BQ533" s="283" cm="1">
        <f t="array" aca="1" ref="BQ533" ca="1">INDIRECT("'"&amp;$C533&amp;"'!"&amp;"$"&amp;$D533&amp;$BQ$1&amp;"")</f>
        <v>0.68</v>
      </c>
      <c r="BR533" s="281"/>
      <c r="BS533" s="281">
        <v>0.96</v>
      </c>
      <c r="BT533" s="279">
        <v>0.18</v>
      </c>
      <c r="BU533" s="284" cm="1">
        <f t="array" aca="1" ref="BU533" ca="1">INDIRECT("'"&amp;$C533&amp;"'!"&amp;"$"&amp;$D533&amp;74&amp;"")</f>
        <v>0</v>
      </c>
      <c r="BV533" s="281"/>
      <c r="BW533" s="281" t="s">
        <v>1</v>
      </c>
      <c r="BX533" s="279" t="s">
        <v>1</v>
      </c>
    </row>
    <row r="534" spans="1:76">
      <c r="A534" s="459">
        <v>45860</v>
      </c>
      <c r="B534" s="345">
        <v>0.16666666666666699</v>
      </c>
      <c r="C534" s="305">
        <v>22</v>
      </c>
      <c r="D534" s="306" t="s">
        <v>146</v>
      </c>
      <c r="E534" s="285">
        <v>14.2</v>
      </c>
      <c r="F534" s="286">
        <v>70.400000000000006</v>
      </c>
      <c r="G534" s="287" t="str" cm="1">
        <f t="array" aca="1" ref="G534" ca="1">INDIRECT("'"&amp;$C534&amp;"'!"&amp;"$"&amp;$D534&amp;$E$1&amp;"")</f>
        <v>CMS</v>
      </c>
      <c r="H534" s="288" t="s">
        <v>1</v>
      </c>
      <c r="I534" s="286" t="s">
        <v>1</v>
      </c>
      <c r="J534" s="287" cm="1">
        <f t="array" aca="1" ref="J534" ca="1">INDIRECT("'"&amp;$C534&amp;"'!"&amp;"$"&amp;$D534&amp;$J$1&amp;"")</f>
        <v>6.7</v>
      </c>
      <c r="K534" s="288"/>
      <c r="L534" s="288">
        <v>0.99</v>
      </c>
      <c r="M534" s="286">
        <v>1.04</v>
      </c>
      <c r="N534" s="285" cm="1">
        <f t="array" aca="1" ref="N534" ca="1">INDIRECT("'"&amp;$C534&amp;"'!"&amp;"$"&amp;$D534&amp;$N$1&amp;"")</f>
        <v>0</v>
      </c>
      <c r="O534" s="288"/>
      <c r="P534" s="288" t="s">
        <v>1</v>
      </c>
      <c r="Q534" s="286" t="s">
        <v>1</v>
      </c>
      <c r="R534" s="285" cm="1">
        <f t="array" aca="1" ref="R534" ca="1">INDIRECT("'"&amp;$C534&amp;"'!"&amp;"$"&amp;$D534&amp;$R$1&amp;"")</f>
        <v>6.7</v>
      </c>
      <c r="S534" s="288"/>
      <c r="T534" s="288">
        <v>0.98</v>
      </c>
      <c r="U534" s="286">
        <v>1.1399999999999999</v>
      </c>
      <c r="V534" s="287" cm="1">
        <f t="array" aca="1" ref="V534" ca="1">INDIRECT("'"&amp;$C534&amp;"'!"&amp;"$"&amp;$D534&amp;$V$1&amp;"")</f>
        <v>0</v>
      </c>
      <c r="W534" s="288" t="s">
        <v>1</v>
      </c>
      <c r="X534" s="288" t="s">
        <v>1</v>
      </c>
      <c r="Y534" s="289" t="s">
        <v>1</v>
      </c>
      <c r="Z534" s="285" t="str" cm="1">
        <f t="array" aca="1" ref="Z534" ca="1">INDIRECT("'"&amp;$C534&amp;"'!"&amp;"$"&amp;$D534&amp;$Z$1&amp;"")</f>
        <v>CMS</v>
      </c>
      <c r="AA534" s="288" t="s">
        <v>1</v>
      </c>
      <c r="AB534" s="288" t="s">
        <v>1</v>
      </c>
      <c r="AC534" s="286" t="s">
        <v>1</v>
      </c>
      <c r="AD534" s="287" t="str" cm="1">
        <f t="array" aca="1" ref="AD534" ca="1">INDIRECT("'"&amp;$C534&amp;"'!"&amp;"$"&amp;$D534&amp;$AD$1&amp;"")</f>
        <v>CMS</v>
      </c>
      <c r="AE534" s="288" t="s">
        <v>1</v>
      </c>
      <c r="AF534" s="288" t="s">
        <v>1</v>
      </c>
      <c r="AG534" s="289" t="s">
        <v>1</v>
      </c>
      <c r="AH534" s="285" cm="1">
        <f t="array" aca="1" ref="AH534" ca="1">INDIRECT("'"&amp;$C534&amp;"'!"&amp;"$"&amp;$D534&amp;$AH$1&amp;"")</f>
        <v>0</v>
      </c>
      <c r="AI534" s="288" t="s">
        <v>1</v>
      </c>
      <c r="AJ534" s="288" t="s">
        <v>1</v>
      </c>
      <c r="AK534" s="286" t="s">
        <v>1</v>
      </c>
      <c r="AL534" s="285">
        <v>0</v>
      </c>
      <c r="AM534" s="289">
        <v>70.8</v>
      </c>
      <c r="AN534" s="285" cm="1">
        <f t="array" aca="1" ref="AN534" ca="1">INDIRECT("'"&amp;$C534&amp;"'!"&amp;"$"&amp;$D534&amp;$AL$1&amp;"")</f>
        <v>0</v>
      </c>
      <c r="AO534" s="288" t="s">
        <v>1</v>
      </c>
      <c r="AP534" s="286" t="s">
        <v>1</v>
      </c>
      <c r="AQ534" s="287" cm="1">
        <f t="array" aca="1" ref="AQ534" ca="1">INDIRECT("'"&amp;$C534&amp;"'!"&amp;"$"&amp;$D534&amp;$AQ$1&amp;"")</f>
        <v>0</v>
      </c>
      <c r="AR534" s="288" t="s">
        <v>1</v>
      </c>
      <c r="AS534" s="286" t="s">
        <v>1</v>
      </c>
      <c r="AT534" s="285">
        <v>13.8</v>
      </c>
      <c r="AU534" s="289">
        <v>71</v>
      </c>
      <c r="AV534" s="288" cm="1">
        <f t="array" aca="1" ref="AV534" ca="1">INDIRECT("'"&amp;$C534&amp;"'!"&amp;"$"&amp;$D534&amp;$AV$1&amp;"")</f>
        <v>0</v>
      </c>
      <c r="AW534" s="287" t="s">
        <v>1</v>
      </c>
      <c r="AX534" s="288" t="s">
        <v>1</v>
      </c>
      <c r="AY534" s="286" t="s">
        <v>1</v>
      </c>
      <c r="AZ534" s="288" cm="1">
        <f t="array" aca="1" ref="AZ534" ca="1">INDIRECT("'"&amp;$C534&amp;"'!"&amp;"$"&amp;$D534&amp;$AZ$1&amp;"")</f>
        <v>5</v>
      </c>
      <c r="BA534" s="287" t="s">
        <v>1</v>
      </c>
      <c r="BB534" s="288">
        <v>0.98</v>
      </c>
      <c r="BC534" s="286">
        <v>1.03</v>
      </c>
      <c r="BD534" s="290">
        <v>14.08</v>
      </c>
      <c r="BE534" s="289">
        <v>71.66</v>
      </c>
      <c r="BF534" s="290" cm="1">
        <f t="array" aca="1" ref="BF534" ca="1">INDIRECT("'"&amp;$C534&amp;"'!"&amp;"$"&amp;$D534&amp;$BF$1&amp;"")</f>
        <v>13.27</v>
      </c>
      <c r="BG534" s="288">
        <v>1</v>
      </c>
      <c r="BH534" s="286">
        <v>1.2</v>
      </c>
      <c r="BI534" s="525">
        <v>69.599999999999994</v>
      </c>
      <c r="BJ534" s="285" cm="1">
        <f t="array" aca="1" ref="BJ534" ca="1">INDIRECT("'"&amp;$C534&amp;"'!"&amp;"$"&amp;$D534&amp;$BI$1&amp;"")</f>
        <v>0</v>
      </c>
      <c r="BK534" s="287" t="s">
        <v>1</v>
      </c>
      <c r="BL534" s="286" t="s">
        <v>1</v>
      </c>
      <c r="BM534" s="290" cm="1">
        <f t="array" aca="1" ref="BM534" ca="1">INDIRECT("'"&amp;$C534&amp;"'!"&amp;"$"&amp;$D534&amp;$BM$1&amp;"")</f>
        <v>0.78</v>
      </c>
      <c r="BN534" s="288"/>
      <c r="BO534" s="288">
        <v>0.99</v>
      </c>
      <c r="BP534" s="286">
        <v>0.08</v>
      </c>
      <c r="BQ534" s="290" cm="1">
        <f t="array" aca="1" ref="BQ534" ca="1">INDIRECT("'"&amp;$C534&amp;"'!"&amp;"$"&amp;$D534&amp;$BQ$1&amp;"")</f>
        <v>0.67</v>
      </c>
      <c r="BR534" s="288"/>
      <c r="BS534" s="288">
        <v>0.96</v>
      </c>
      <c r="BT534" s="286">
        <v>0.17</v>
      </c>
      <c r="BU534" s="291" cm="1">
        <f t="array" aca="1" ref="BU534" ca="1">INDIRECT("'"&amp;$C534&amp;"'!"&amp;"$"&amp;$D534&amp;74&amp;"")</f>
        <v>0</v>
      </c>
      <c r="BV534" s="288"/>
      <c r="BW534" s="288" t="s">
        <v>1</v>
      </c>
      <c r="BX534" s="286" t="s">
        <v>1</v>
      </c>
    </row>
    <row r="535" spans="1:76">
      <c r="A535" s="459">
        <v>45860</v>
      </c>
      <c r="B535" s="345">
        <v>0.20833333333333301</v>
      </c>
      <c r="C535" s="305">
        <v>22</v>
      </c>
      <c r="D535" s="306" t="s">
        <v>147</v>
      </c>
      <c r="E535" s="278">
        <v>14.1</v>
      </c>
      <c r="F535" s="279">
        <v>69.95</v>
      </c>
      <c r="G535" s="280" t="str" cm="1">
        <f t="array" aca="1" ref="G535" ca="1">INDIRECT("'"&amp;$C535&amp;"'!"&amp;"$"&amp;$D535&amp;$E$1&amp;"")</f>
        <v>CMS</v>
      </c>
      <c r="H535" s="281" t="s">
        <v>1</v>
      </c>
      <c r="I535" s="279" t="s">
        <v>1</v>
      </c>
      <c r="J535" s="280" cm="1">
        <f t="array" aca="1" ref="J535" ca="1">INDIRECT("'"&amp;$C535&amp;"'!"&amp;"$"&amp;$D535&amp;$J$1&amp;"")</f>
        <v>6.8</v>
      </c>
      <c r="K535" s="281"/>
      <c r="L535" s="281">
        <v>0.99</v>
      </c>
      <c r="M535" s="279">
        <v>1.07</v>
      </c>
      <c r="N535" s="278" cm="1">
        <f t="array" aca="1" ref="N535" ca="1">INDIRECT("'"&amp;$C535&amp;"'!"&amp;"$"&amp;$D535&amp;$N$1&amp;"")</f>
        <v>0</v>
      </c>
      <c r="O535" s="281"/>
      <c r="P535" s="281" t="s">
        <v>1</v>
      </c>
      <c r="Q535" s="279" t="s">
        <v>1</v>
      </c>
      <c r="R535" s="468" cm="1">
        <f t="array" aca="1" ref="R535" ca="1">INDIRECT("'"&amp;$C535&amp;"'!"&amp;"$"&amp;$D535&amp;$R$1&amp;"")</f>
        <v>6.8</v>
      </c>
      <c r="S535" s="281"/>
      <c r="T535" s="281">
        <v>0.96</v>
      </c>
      <c r="U535" s="279">
        <v>2.0099999999999998</v>
      </c>
      <c r="V535" s="280" cm="1">
        <f t="array" aca="1" ref="V535" ca="1">INDIRECT("'"&amp;$C535&amp;"'!"&amp;"$"&amp;$D535&amp;$V$1&amp;"")</f>
        <v>0</v>
      </c>
      <c r="W535" s="281" t="s">
        <v>1</v>
      </c>
      <c r="X535" s="281" t="s">
        <v>1</v>
      </c>
      <c r="Y535" s="282" t="s">
        <v>1</v>
      </c>
      <c r="Z535" s="278" t="str" cm="1">
        <f t="array" aca="1" ref="Z535" ca="1">INDIRECT("'"&amp;$C535&amp;"'!"&amp;"$"&amp;$D535&amp;$Z$1&amp;"")</f>
        <v>CMS</v>
      </c>
      <c r="AA535" s="281" t="s">
        <v>1</v>
      </c>
      <c r="AB535" s="281" t="s">
        <v>1</v>
      </c>
      <c r="AC535" s="279" t="s">
        <v>1</v>
      </c>
      <c r="AD535" s="280" t="str" cm="1">
        <f t="array" aca="1" ref="AD535" ca="1">INDIRECT("'"&amp;$C535&amp;"'!"&amp;"$"&amp;$D535&amp;$AD$1&amp;"")</f>
        <v>CMS</v>
      </c>
      <c r="AE535" s="281" t="s">
        <v>1</v>
      </c>
      <c r="AF535" s="281" t="s">
        <v>1</v>
      </c>
      <c r="AG535" s="282" t="s">
        <v>1</v>
      </c>
      <c r="AH535" s="278" cm="1">
        <f t="array" aca="1" ref="AH535" ca="1">INDIRECT("'"&amp;$C535&amp;"'!"&amp;"$"&amp;$D535&amp;$AH$1&amp;"")</f>
        <v>0</v>
      </c>
      <c r="AI535" s="281" t="s">
        <v>1</v>
      </c>
      <c r="AJ535" s="281" t="s">
        <v>1</v>
      </c>
      <c r="AK535" s="279" t="s">
        <v>1</v>
      </c>
      <c r="AL535" s="278">
        <v>0</v>
      </c>
      <c r="AM535" s="282"/>
      <c r="AN535" s="278" cm="1">
        <f t="array" aca="1" ref="AN535" ca="1">INDIRECT("'"&amp;$C535&amp;"'!"&amp;"$"&amp;$D535&amp;$AL$1&amp;"")</f>
        <v>0</v>
      </c>
      <c r="AO535" s="281" t="s">
        <v>1</v>
      </c>
      <c r="AP535" s="279" t="s">
        <v>1</v>
      </c>
      <c r="AQ535" s="280" cm="1">
        <f t="array" aca="1" ref="AQ535" ca="1">INDIRECT("'"&amp;$C535&amp;"'!"&amp;"$"&amp;$D535&amp;$AQ$1&amp;"")</f>
        <v>0</v>
      </c>
      <c r="AR535" s="281" t="s">
        <v>1</v>
      </c>
      <c r="AS535" s="279" t="s">
        <v>1</v>
      </c>
      <c r="AT535" s="278">
        <v>13.8</v>
      </c>
      <c r="AU535" s="282">
        <v>70.5</v>
      </c>
      <c r="AV535" s="281" cm="1">
        <f t="array" aca="1" ref="AV535" ca="1">INDIRECT("'"&amp;$C535&amp;"'!"&amp;"$"&amp;$D535&amp;$AV$1&amp;"")</f>
        <v>0</v>
      </c>
      <c r="AW535" s="280" t="s">
        <v>1</v>
      </c>
      <c r="AX535" s="281" t="s">
        <v>1</v>
      </c>
      <c r="AY535" s="279" t="s">
        <v>1</v>
      </c>
      <c r="AZ535" s="281" cm="1">
        <f t="array" aca="1" ref="AZ535" ca="1">INDIRECT("'"&amp;$C535&amp;"'!"&amp;"$"&amp;$D535&amp;$AZ$1&amp;"")</f>
        <v>6.3</v>
      </c>
      <c r="BA535" s="280" t="s">
        <v>1</v>
      </c>
      <c r="BB535" s="281">
        <v>0.97</v>
      </c>
      <c r="BC535" s="279">
        <v>1.49</v>
      </c>
      <c r="BD535" s="283">
        <v>14.03</v>
      </c>
      <c r="BE535" s="282">
        <v>71.400000000000006</v>
      </c>
      <c r="BF535" s="283" cm="1">
        <f t="array" aca="1" ref="BF535" ca="1">INDIRECT("'"&amp;$C535&amp;"'!"&amp;"$"&amp;$D535&amp;$BF$1&amp;"")</f>
        <v>14.26</v>
      </c>
      <c r="BG535" s="281">
        <v>1</v>
      </c>
      <c r="BH535" s="279">
        <v>1.2</v>
      </c>
      <c r="BI535" s="524">
        <v>69</v>
      </c>
      <c r="BJ535" s="278" cm="1">
        <f t="array" aca="1" ref="BJ535" ca="1">INDIRECT("'"&amp;$C535&amp;"'!"&amp;"$"&amp;$D535&amp;$BI$1&amp;"")</f>
        <v>0</v>
      </c>
      <c r="BK535" s="280" t="s">
        <v>1</v>
      </c>
      <c r="BL535" s="279" t="s">
        <v>1</v>
      </c>
      <c r="BM535" s="283" cm="1">
        <f t="array" aca="1" ref="BM535" ca="1">INDIRECT("'"&amp;$C535&amp;"'!"&amp;"$"&amp;$D535&amp;$BM$1&amp;"")</f>
        <v>0.93</v>
      </c>
      <c r="BN535" s="281"/>
      <c r="BO535" s="281">
        <v>0.99</v>
      </c>
      <c r="BP535" s="279">
        <v>0.12</v>
      </c>
      <c r="BQ535" s="283" cm="1">
        <f t="array" aca="1" ref="BQ535" ca="1">INDIRECT("'"&amp;$C535&amp;"'!"&amp;"$"&amp;$D535&amp;$BQ$1&amp;"")</f>
        <v>0.71</v>
      </c>
      <c r="BR535" s="281"/>
      <c r="BS535" s="281">
        <v>0.97</v>
      </c>
      <c r="BT535" s="279">
        <v>0.18</v>
      </c>
      <c r="BU535" s="284" cm="1">
        <f t="array" aca="1" ref="BU535" ca="1">INDIRECT("'"&amp;$C535&amp;"'!"&amp;"$"&amp;$D535&amp;74&amp;"")</f>
        <v>0</v>
      </c>
      <c r="BV535" s="281"/>
      <c r="BW535" s="281" t="s">
        <v>1</v>
      </c>
      <c r="BX535" s="279" t="s">
        <v>1</v>
      </c>
    </row>
    <row r="536" spans="1:76">
      <c r="A536" s="459">
        <v>45860</v>
      </c>
      <c r="B536" s="345">
        <v>0.25</v>
      </c>
      <c r="C536" s="305">
        <v>22</v>
      </c>
      <c r="D536" s="306" t="s">
        <v>148</v>
      </c>
      <c r="E536" s="285">
        <v>14.1</v>
      </c>
      <c r="F536" s="286">
        <v>69.709999999999994</v>
      </c>
      <c r="G536" s="287" t="str" cm="1">
        <f t="array" aca="1" ref="G536" ca="1">INDIRECT("'"&amp;$C536&amp;"'!"&amp;"$"&amp;$D536&amp;$E$1&amp;"")</f>
        <v>CMS</v>
      </c>
      <c r="H536" s="288" t="s">
        <v>1</v>
      </c>
      <c r="I536" s="286" t="s">
        <v>1</v>
      </c>
      <c r="J536" s="287" cm="1">
        <f t="array" aca="1" ref="J536" ca="1">INDIRECT("'"&amp;$C536&amp;"'!"&amp;"$"&amp;$D536&amp;$J$1&amp;"")</f>
        <v>7</v>
      </c>
      <c r="K536" s="288"/>
      <c r="L536" s="288">
        <v>0.99</v>
      </c>
      <c r="M536" s="286">
        <v>1.0900000000000001</v>
      </c>
      <c r="N536" s="285" cm="1">
        <f t="array" aca="1" ref="N536" ca="1">INDIRECT("'"&amp;$C536&amp;"'!"&amp;"$"&amp;$D536&amp;$N$1&amp;"")</f>
        <v>0</v>
      </c>
      <c r="O536" s="288"/>
      <c r="P536" s="288" t="s">
        <v>1</v>
      </c>
      <c r="Q536" s="286" t="s">
        <v>1</v>
      </c>
      <c r="R536" s="285" cm="1">
        <f t="array" aca="1" ref="R536" ca="1">INDIRECT("'"&amp;$C536&amp;"'!"&amp;"$"&amp;$D536&amp;$R$1&amp;"")</f>
        <v>7</v>
      </c>
      <c r="S536" s="288"/>
      <c r="T536" s="288">
        <v>0.95</v>
      </c>
      <c r="U536" s="286">
        <v>2.37</v>
      </c>
      <c r="V536" s="287" cm="1">
        <f t="array" aca="1" ref="V536" ca="1">INDIRECT("'"&amp;$C536&amp;"'!"&amp;"$"&amp;$D536&amp;$V$1&amp;"")</f>
        <v>0</v>
      </c>
      <c r="W536" s="288" t="s">
        <v>1</v>
      </c>
      <c r="X536" s="288" t="s">
        <v>1</v>
      </c>
      <c r="Y536" s="289" t="s">
        <v>1</v>
      </c>
      <c r="Z536" s="285" t="str" cm="1">
        <f t="array" aca="1" ref="Z536" ca="1">INDIRECT("'"&amp;$C536&amp;"'!"&amp;"$"&amp;$D536&amp;$Z$1&amp;"")</f>
        <v>CMS</v>
      </c>
      <c r="AA536" s="288" t="s">
        <v>1</v>
      </c>
      <c r="AB536" s="288" t="s">
        <v>1</v>
      </c>
      <c r="AC536" s="286" t="s">
        <v>1</v>
      </c>
      <c r="AD536" s="287" t="str" cm="1">
        <f t="array" aca="1" ref="AD536" ca="1">INDIRECT("'"&amp;$C536&amp;"'!"&amp;"$"&amp;$D536&amp;$AD$1&amp;"")</f>
        <v>CMS</v>
      </c>
      <c r="AE536" s="288" t="s">
        <v>1</v>
      </c>
      <c r="AF536" s="288" t="s">
        <v>1</v>
      </c>
      <c r="AG536" s="289" t="s">
        <v>1</v>
      </c>
      <c r="AH536" s="285" cm="1">
        <f t="array" aca="1" ref="AH536" ca="1">INDIRECT("'"&amp;$C536&amp;"'!"&amp;"$"&amp;$D536&amp;$AH$1&amp;"")</f>
        <v>0</v>
      </c>
      <c r="AI536" s="288" t="s">
        <v>1</v>
      </c>
      <c r="AJ536" s="288" t="s">
        <v>1</v>
      </c>
      <c r="AK536" s="286" t="s">
        <v>1</v>
      </c>
      <c r="AL536" s="285">
        <v>11.6</v>
      </c>
      <c r="AM536" s="289">
        <v>70.599999999999994</v>
      </c>
      <c r="AN536" s="285" cm="1">
        <f t="array" aca="1" ref="AN536" ca="1">INDIRECT("'"&amp;$C536&amp;"'!"&amp;"$"&amp;$D536&amp;$AL$1&amp;"")</f>
        <v>3.8</v>
      </c>
      <c r="AO536" s="288">
        <v>0.96</v>
      </c>
      <c r="AP536" s="286">
        <v>0.6</v>
      </c>
      <c r="AQ536" s="287" cm="1">
        <f t="array" aca="1" ref="AQ536" ca="1">INDIRECT("'"&amp;$C536&amp;"'!"&amp;"$"&amp;$D536&amp;$AQ$1&amp;"")</f>
        <v>0</v>
      </c>
      <c r="AR536" s="288" t="s">
        <v>1</v>
      </c>
      <c r="AS536" s="286" t="s">
        <v>1</v>
      </c>
      <c r="AT536" s="285">
        <v>13.8</v>
      </c>
      <c r="AU536" s="289">
        <v>70.7</v>
      </c>
      <c r="AV536" s="288" cm="1">
        <f t="array" aca="1" ref="AV536" ca="1">INDIRECT("'"&amp;$C536&amp;"'!"&amp;"$"&amp;$D536&amp;$AV$1&amp;"")</f>
        <v>0</v>
      </c>
      <c r="AW536" s="287" t="s">
        <v>1</v>
      </c>
      <c r="AX536" s="288" t="s">
        <v>1</v>
      </c>
      <c r="AY536" s="286" t="s">
        <v>1</v>
      </c>
      <c r="AZ536" s="288" cm="1">
        <f t="array" aca="1" ref="AZ536" ca="1">INDIRECT("'"&amp;$C536&amp;"'!"&amp;"$"&amp;$D536&amp;$AZ$1&amp;"")</f>
        <v>7</v>
      </c>
      <c r="BA536" s="287" t="s">
        <v>1</v>
      </c>
      <c r="BB536" s="288">
        <v>0.98</v>
      </c>
      <c r="BC536" s="286">
        <v>1.25</v>
      </c>
      <c r="BD536" s="290">
        <v>14.1</v>
      </c>
      <c r="BE536" s="289">
        <v>71.39</v>
      </c>
      <c r="BF536" s="290" cm="1">
        <f t="array" aca="1" ref="BF536" ca="1">INDIRECT("'"&amp;$C536&amp;"'!"&amp;"$"&amp;$D536&amp;$BF$1&amp;"")</f>
        <v>14.21</v>
      </c>
      <c r="BG536" s="288">
        <v>0.99</v>
      </c>
      <c r="BH536" s="286">
        <v>2.2999999999999998</v>
      </c>
      <c r="BI536" s="525">
        <v>68.900000000000006</v>
      </c>
      <c r="BJ536" s="285" cm="1">
        <f t="array" aca="1" ref="BJ536" ca="1">INDIRECT("'"&amp;$C536&amp;"'!"&amp;"$"&amp;$D536&amp;$BI$1&amp;"")</f>
        <v>0.8</v>
      </c>
      <c r="BK536" s="287">
        <v>0.98</v>
      </c>
      <c r="BL536" s="286">
        <v>1.25</v>
      </c>
      <c r="BM536" s="290" cm="1">
        <f t="array" aca="1" ref="BM536" ca="1">INDIRECT("'"&amp;$C536&amp;"'!"&amp;"$"&amp;$D536&amp;$BM$1&amp;"")</f>
        <v>1.21</v>
      </c>
      <c r="BN536" s="288"/>
      <c r="BO536" s="288">
        <v>0.99</v>
      </c>
      <c r="BP536" s="286">
        <v>0.14000000000000001</v>
      </c>
      <c r="BQ536" s="290" cm="1">
        <f t="array" aca="1" ref="BQ536" ca="1">INDIRECT("'"&amp;$C536&amp;"'!"&amp;"$"&amp;$D536&amp;$BQ$1&amp;"")</f>
        <v>0.81</v>
      </c>
      <c r="BR536" s="288"/>
      <c r="BS536" s="288">
        <v>0.97</v>
      </c>
      <c r="BT536" s="286">
        <v>0.19</v>
      </c>
      <c r="BU536" s="291" cm="1">
        <f t="array" aca="1" ref="BU536" ca="1">INDIRECT("'"&amp;$C536&amp;"'!"&amp;"$"&amp;$D536&amp;74&amp;"")</f>
        <v>0</v>
      </c>
      <c r="BV536" s="288"/>
      <c r="BW536" s="288" t="s">
        <v>1</v>
      </c>
      <c r="BX536" s="286" t="s">
        <v>1</v>
      </c>
    </row>
    <row r="537" spans="1:76">
      <c r="A537" s="459">
        <v>45860</v>
      </c>
      <c r="B537" s="345">
        <v>0.29166666666666702</v>
      </c>
      <c r="C537" s="305">
        <v>22</v>
      </c>
      <c r="D537" s="306" t="s">
        <v>149</v>
      </c>
      <c r="E537" s="278">
        <v>14.1</v>
      </c>
      <c r="F537" s="279">
        <v>69.760000000000005</v>
      </c>
      <c r="G537" s="280" t="str" cm="1">
        <f t="array" aca="1" ref="G537" ca="1">INDIRECT("'"&amp;$C537&amp;"'!"&amp;"$"&amp;$D537&amp;$E$1&amp;"")</f>
        <v>CMS</v>
      </c>
      <c r="H537" s="281" t="s">
        <v>1</v>
      </c>
      <c r="I537" s="279" t="s">
        <v>1</v>
      </c>
      <c r="J537" s="280" cm="1">
        <f t="array" aca="1" ref="J537" ca="1">INDIRECT("'"&amp;$C537&amp;"'!"&amp;"$"&amp;$D537&amp;$J$1&amp;"")</f>
        <v>6.7</v>
      </c>
      <c r="K537" s="281"/>
      <c r="L537" s="281">
        <v>0.98</v>
      </c>
      <c r="M537" s="282">
        <v>1.49</v>
      </c>
      <c r="N537" s="278" cm="1">
        <f t="array" aca="1" ref="N537" ca="1">INDIRECT("'"&amp;$C537&amp;"'!"&amp;"$"&amp;$D537&amp;$N$1&amp;"")</f>
        <v>0</v>
      </c>
      <c r="O537" s="281"/>
      <c r="P537" s="281" t="s">
        <v>1</v>
      </c>
      <c r="Q537" s="279" t="s">
        <v>1</v>
      </c>
      <c r="R537" s="468" cm="1">
        <f t="array" aca="1" ref="R537" ca="1">INDIRECT("'"&amp;$C537&amp;"'!"&amp;"$"&amp;$D537&amp;$R$1&amp;"")</f>
        <v>6.8</v>
      </c>
      <c r="S537" s="281"/>
      <c r="T537" s="281">
        <v>0.96</v>
      </c>
      <c r="U537" s="279">
        <v>2.0699999999999998</v>
      </c>
      <c r="V537" s="280" cm="1">
        <f t="array" aca="1" ref="V537" ca="1">INDIRECT("'"&amp;$C537&amp;"'!"&amp;"$"&amp;$D537&amp;$V$1&amp;"")</f>
        <v>0</v>
      </c>
      <c r="W537" s="281" t="s">
        <v>1</v>
      </c>
      <c r="X537" s="281" t="s">
        <v>1</v>
      </c>
      <c r="Y537" s="282" t="s">
        <v>1</v>
      </c>
      <c r="Z537" s="278" t="str" cm="1">
        <f t="array" aca="1" ref="Z537" ca="1">INDIRECT("'"&amp;$C537&amp;"'!"&amp;"$"&amp;$D537&amp;$Z$1&amp;"")</f>
        <v>CMS</v>
      </c>
      <c r="AA537" s="281" t="s">
        <v>1</v>
      </c>
      <c r="AB537" s="281" t="s">
        <v>1</v>
      </c>
      <c r="AC537" s="279" t="s">
        <v>1</v>
      </c>
      <c r="AD537" s="280" t="str" cm="1">
        <f t="array" aca="1" ref="AD537" ca="1">INDIRECT("'"&amp;$C537&amp;"'!"&amp;"$"&amp;$D537&amp;$AD$1&amp;"")</f>
        <v>CMS</v>
      </c>
      <c r="AE537" s="281" t="s">
        <v>1</v>
      </c>
      <c r="AF537" s="281" t="s">
        <v>1</v>
      </c>
      <c r="AG537" s="282" t="s">
        <v>1</v>
      </c>
      <c r="AH537" s="278" cm="1">
        <f t="array" aca="1" ref="AH537" ca="1">INDIRECT("'"&amp;$C537&amp;"'!"&amp;"$"&amp;$D537&amp;$AH$1&amp;"")</f>
        <v>0</v>
      </c>
      <c r="AI537" s="281" t="s">
        <v>1</v>
      </c>
      <c r="AJ537" s="281" t="s">
        <v>1</v>
      </c>
      <c r="AK537" s="279" t="s">
        <v>1</v>
      </c>
      <c r="AL537" s="278">
        <v>11.6</v>
      </c>
      <c r="AM537" s="282">
        <v>70.8</v>
      </c>
      <c r="AN537" s="278" cm="1">
        <f t="array" aca="1" ref="AN537" ca="1">INDIRECT("'"&amp;$C537&amp;"'!"&amp;"$"&amp;$D537&amp;$AL$1&amp;"")</f>
        <v>2</v>
      </c>
      <c r="AO537" s="281">
        <v>0.96</v>
      </c>
      <c r="AP537" s="279">
        <v>0.8</v>
      </c>
      <c r="AQ537" s="280" cm="1">
        <f t="array" aca="1" ref="AQ537" ca="1">INDIRECT("'"&amp;$C537&amp;"'!"&amp;"$"&amp;$D537&amp;$AQ$1&amp;"")</f>
        <v>0</v>
      </c>
      <c r="AR537" s="281" t="s">
        <v>1</v>
      </c>
      <c r="AS537" s="279" t="s">
        <v>1</v>
      </c>
      <c r="AT537" s="278">
        <v>13.8</v>
      </c>
      <c r="AU537" s="282">
        <v>70.5</v>
      </c>
      <c r="AV537" s="281" cm="1">
        <f t="array" aca="1" ref="AV537" ca="1">INDIRECT("'"&amp;$C537&amp;"'!"&amp;"$"&amp;$D537&amp;$AV$1&amp;"")</f>
        <v>0</v>
      </c>
      <c r="AW537" s="280" t="s">
        <v>1</v>
      </c>
      <c r="AX537" s="281" t="s">
        <v>1</v>
      </c>
      <c r="AY537" s="279" t="s">
        <v>1</v>
      </c>
      <c r="AZ537" s="281" cm="1">
        <f t="array" aca="1" ref="AZ537" ca="1">INDIRECT("'"&amp;$C537&amp;"'!"&amp;"$"&amp;$D537&amp;$AZ$1&amp;"")</f>
        <v>7</v>
      </c>
      <c r="BA537" s="280" t="s">
        <v>1</v>
      </c>
      <c r="BB537" s="281">
        <v>0.99</v>
      </c>
      <c r="BC537" s="279">
        <v>0.98</v>
      </c>
      <c r="BD537" s="283">
        <v>14.16</v>
      </c>
      <c r="BE537" s="282">
        <v>71.58</v>
      </c>
      <c r="BF537" s="283" cm="1">
        <f t="array" aca="1" ref="BF537" ca="1">INDIRECT("'"&amp;$C537&amp;"'!"&amp;"$"&amp;$D537&amp;$BF$1&amp;"")</f>
        <v>14.28</v>
      </c>
      <c r="BG537" s="281">
        <v>0.99</v>
      </c>
      <c r="BH537" s="279">
        <v>2.2999999999999998</v>
      </c>
      <c r="BI537" s="524">
        <v>68.8</v>
      </c>
      <c r="BJ537" s="278" cm="1">
        <f t="array" aca="1" ref="BJ537" ca="1">INDIRECT("'"&amp;$C537&amp;"'!"&amp;"$"&amp;$D537&amp;$BI$1&amp;"")</f>
        <v>0</v>
      </c>
      <c r="BK537" s="280" t="s">
        <v>1</v>
      </c>
      <c r="BL537" s="279" t="s">
        <v>1</v>
      </c>
      <c r="BM537" s="283" cm="1">
        <f t="array" aca="1" ref="BM537" ca="1">INDIRECT("'"&amp;$C537&amp;"'!"&amp;"$"&amp;$D537&amp;$BM$1&amp;"")</f>
        <v>1.17</v>
      </c>
      <c r="BN537" s="281"/>
      <c r="BO537" s="281">
        <v>0.99</v>
      </c>
      <c r="BP537" s="279">
        <v>0.13</v>
      </c>
      <c r="BQ537" s="284" cm="1">
        <f t="array" aca="1" ref="BQ537" ca="1">INDIRECT("'"&amp;$C537&amp;"'!"&amp;"$"&amp;$D537&amp;$BQ$1&amp;"")</f>
        <v>0.77</v>
      </c>
      <c r="BR537" s="281"/>
      <c r="BS537" s="281">
        <v>0.96</v>
      </c>
      <c r="BT537" s="279">
        <v>0.2</v>
      </c>
      <c r="BU537" s="284" cm="1">
        <f t="array" aca="1" ref="BU537" ca="1">INDIRECT("'"&amp;$C537&amp;"'!"&amp;"$"&amp;$D537&amp;74&amp;"")</f>
        <v>0</v>
      </c>
      <c r="BV537" s="281"/>
      <c r="BW537" s="281" t="s">
        <v>1</v>
      </c>
      <c r="BX537" s="279" t="s">
        <v>1</v>
      </c>
    </row>
    <row r="538" spans="1:76">
      <c r="A538" s="459">
        <v>45860</v>
      </c>
      <c r="B538" s="345">
        <v>0.33333333333333398</v>
      </c>
      <c r="C538" s="305">
        <v>22</v>
      </c>
      <c r="D538" s="306" t="s">
        <v>150</v>
      </c>
      <c r="E538" s="285">
        <v>14.1</v>
      </c>
      <c r="F538" s="286">
        <v>69.459999999999994</v>
      </c>
      <c r="G538" s="287" t="str" cm="1">
        <f t="array" aca="1" ref="G538" ca="1">INDIRECT("'"&amp;$C538&amp;"'!"&amp;"$"&amp;$D538&amp;$E$1&amp;"")</f>
        <v>CMS</v>
      </c>
      <c r="H538" s="288" t="s">
        <v>1</v>
      </c>
      <c r="I538" s="286" t="s">
        <v>1</v>
      </c>
      <c r="J538" s="287" cm="1">
        <f t="array" aca="1" ref="J538" ca="1">INDIRECT("'"&amp;$C538&amp;"'!"&amp;"$"&amp;$D538&amp;$J$1&amp;"")</f>
        <v>6.9</v>
      </c>
      <c r="K538" s="288"/>
      <c r="L538" s="288">
        <v>0.97</v>
      </c>
      <c r="M538" s="289">
        <v>1.86</v>
      </c>
      <c r="N538" s="285" cm="1">
        <f t="array" aca="1" ref="N538" ca="1">INDIRECT("'"&amp;$C538&amp;"'!"&amp;"$"&amp;$D538&amp;$N$1&amp;"")</f>
        <v>1.5</v>
      </c>
      <c r="O538" s="288"/>
      <c r="P538" s="288">
        <v>0.98</v>
      </c>
      <c r="Q538" s="286">
        <v>0.34</v>
      </c>
      <c r="R538" s="285" cm="1">
        <f t="array" aca="1" ref="R538" ca="1">INDIRECT("'"&amp;$C538&amp;"'!"&amp;"$"&amp;$D538&amp;$R$1&amp;"")</f>
        <v>6.9</v>
      </c>
      <c r="S538" s="288"/>
      <c r="T538" s="288">
        <v>0.94</v>
      </c>
      <c r="U538" s="286">
        <v>2.41</v>
      </c>
      <c r="V538" s="287" cm="1">
        <f t="array" aca="1" ref="V538" ca="1">INDIRECT("'"&amp;$C538&amp;"'!"&amp;"$"&amp;$D538&amp;$V$1&amp;"")</f>
        <v>0</v>
      </c>
      <c r="W538" s="288" t="s">
        <v>1</v>
      </c>
      <c r="X538" s="288" t="s">
        <v>1</v>
      </c>
      <c r="Y538" s="289" t="s">
        <v>1</v>
      </c>
      <c r="Z538" s="285" t="str" cm="1">
        <f t="array" aca="1" ref="Z538" ca="1">INDIRECT("'"&amp;$C538&amp;"'!"&amp;"$"&amp;$D538&amp;$Z$1&amp;"")</f>
        <v>CMS</v>
      </c>
      <c r="AA538" s="288" t="s">
        <v>1</v>
      </c>
      <c r="AB538" s="288" t="s">
        <v>1</v>
      </c>
      <c r="AC538" s="286" t="s">
        <v>1</v>
      </c>
      <c r="AD538" s="287" t="str" cm="1">
        <f t="array" aca="1" ref="AD538" ca="1">INDIRECT("'"&amp;$C538&amp;"'!"&amp;"$"&amp;$D538&amp;$AD$1&amp;"")</f>
        <v>CMS</v>
      </c>
      <c r="AE538" s="288" t="s">
        <v>1</v>
      </c>
      <c r="AF538" s="288" t="s">
        <v>1</v>
      </c>
      <c r="AG538" s="289" t="s">
        <v>1</v>
      </c>
      <c r="AH538" s="285" cm="1">
        <f t="array" aca="1" ref="AH538" ca="1">INDIRECT("'"&amp;$C538&amp;"'!"&amp;"$"&amp;$D538&amp;$AH$1&amp;"")</f>
        <v>0</v>
      </c>
      <c r="AI538" s="288" t="s">
        <v>1</v>
      </c>
      <c r="AJ538" s="288" t="s">
        <v>1</v>
      </c>
      <c r="AK538" s="286" t="s">
        <v>1</v>
      </c>
      <c r="AL538" s="285">
        <v>11.6</v>
      </c>
      <c r="AM538" s="289">
        <v>70.599999999999994</v>
      </c>
      <c r="AN538" s="285" cm="1">
        <f t="array" aca="1" ref="AN538" ca="1">INDIRECT("'"&amp;$C538&amp;"'!"&amp;"$"&amp;$D538&amp;$AL$1&amp;"")</f>
        <v>4</v>
      </c>
      <c r="AO538" s="288">
        <v>0.98</v>
      </c>
      <c r="AP538" s="286">
        <v>0.75</v>
      </c>
      <c r="AQ538" s="287" cm="1">
        <f t="array" aca="1" ref="AQ538" ca="1">INDIRECT("'"&amp;$C538&amp;"'!"&amp;"$"&amp;$D538&amp;$AQ$1&amp;"")</f>
        <v>0</v>
      </c>
      <c r="AR538" s="288" t="s">
        <v>1</v>
      </c>
      <c r="AS538" s="286" t="s">
        <v>1</v>
      </c>
      <c r="AT538" s="285">
        <v>13.9</v>
      </c>
      <c r="AU538" s="289">
        <v>70.7</v>
      </c>
      <c r="AV538" s="288" cm="1">
        <f t="array" aca="1" ref="AV538" ca="1">INDIRECT("'"&amp;$C538&amp;"'!"&amp;"$"&amp;$D538&amp;$AV$1&amp;"")</f>
        <v>0</v>
      </c>
      <c r="AW538" s="287" t="s">
        <v>1</v>
      </c>
      <c r="AX538" s="288" t="s">
        <v>1</v>
      </c>
      <c r="AY538" s="286" t="s">
        <v>1</v>
      </c>
      <c r="AZ538" s="288" cm="1">
        <f t="array" aca="1" ref="AZ538" ca="1">INDIRECT("'"&amp;$C538&amp;"'!"&amp;"$"&amp;$D538&amp;$AZ$1&amp;"")</f>
        <v>7</v>
      </c>
      <c r="BA538" s="287" t="s">
        <v>1</v>
      </c>
      <c r="BB538" s="288">
        <v>0.97</v>
      </c>
      <c r="BC538" s="286">
        <v>1.91</v>
      </c>
      <c r="BD538" s="290">
        <v>14.15</v>
      </c>
      <c r="BE538" s="289">
        <v>71.510000000000005</v>
      </c>
      <c r="BF538" s="290" cm="1">
        <f t="array" aca="1" ref="BF538" ca="1">INDIRECT("'"&amp;$C538&amp;"'!"&amp;"$"&amp;$D538&amp;$BF$1&amp;"")</f>
        <v>14.29</v>
      </c>
      <c r="BG538" s="288">
        <v>0.99</v>
      </c>
      <c r="BH538" s="286">
        <v>2.2999999999999998</v>
      </c>
      <c r="BI538" s="525">
        <v>68.599999999999994</v>
      </c>
      <c r="BJ538" s="285" cm="1">
        <f t="array" aca="1" ref="BJ538" ca="1">INDIRECT("'"&amp;$C538&amp;"'!"&amp;"$"&amp;$D538&amp;$BI$1&amp;"")</f>
        <v>2.04</v>
      </c>
      <c r="BK538" s="287">
        <v>0.96</v>
      </c>
      <c r="BL538" s="286">
        <v>0.59</v>
      </c>
      <c r="BM538" s="290" cm="1">
        <f t="array" aca="1" ref="BM538" ca="1">INDIRECT("'"&amp;$C538&amp;"'!"&amp;"$"&amp;$D538&amp;$BM$1&amp;"")</f>
        <v>1.1000000000000001</v>
      </c>
      <c r="BN538" s="288"/>
      <c r="BO538" s="288">
        <v>0.99</v>
      </c>
      <c r="BP538" s="286">
        <v>0.13</v>
      </c>
      <c r="BQ538" s="291" cm="1">
        <f t="array" aca="1" ref="BQ538" ca="1">INDIRECT("'"&amp;$C538&amp;"'!"&amp;"$"&amp;$D538&amp;$BQ$1&amp;"")</f>
        <v>0.73</v>
      </c>
      <c r="BR538" s="288"/>
      <c r="BS538" s="288">
        <v>0.96</v>
      </c>
      <c r="BT538" s="286">
        <v>0.21</v>
      </c>
      <c r="BU538" s="291" cm="1">
        <f t="array" aca="1" ref="BU538" ca="1">INDIRECT("'"&amp;$C538&amp;"'!"&amp;"$"&amp;$D538&amp;74&amp;"")</f>
        <v>0</v>
      </c>
      <c r="BV538" s="288"/>
      <c r="BW538" s="288" t="s">
        <v>1</v>
      </c>
      <c r="BX538" s="286" t="s">
        <v>1</v>
      </c>
    </row>
    <row r="539" spans="1:76">
      <c r="A539" s="459">
        <v>45860</v>
      </c>
      <c r="B539" s="345">
        <v>0.375</v>
      </c>
      <c r="C539" s="305">
        <v>22</v>
      </c>
      <c r="D539" s="306" t="s">
        <v>151</v>
      </c>
      <c r="E539" s="278">
        <v>14</v>
      </c>
      <c r="F539" s="279">
        <v>69.069999999999993</v>
      </c>
      <c r="G539" s="280" t="str" cm="1">
        <f t="array" aca="1" ref="G539" ca="1">INDIRECT("'"&amp;$C539&amp;"'!"&amp;"$"&amp;$D539&amp;$E$1&amp;"")</f>
        <v>CMS</v>
      </c>
      <c r="H539" s="281" t="s">
        <v>1</v>
      </c>
      <c r="I539" s="279" t="s">
        <v>1</v>
      </c>
      <c r="J539" s="280" cm="1">
        <f t="array" aca="1" ref="J539" ca="1">INDIRECT("'"&amp;$C539&amp;"'!"&amp;"$"&amp;$D539&amp;$J$1&amp;"")</f>
        <v>6.6</v>
      </c>
      <c r="K539" s="281"/>
      <c r="L539" s="281">
        <v>0.93</v>
      </c>
      <c r="M539" s="282">
        <v>2.58</v>
      </c>
      <c r="N539" s="278" cm="1">
        <f t="array" aca="1" ref="N539" ca="1">INDIRECT("'"&amp;$C539&amp;"'!"&amp;"$"&amp;$D539&amp;$N$1&amp;"")</f>
        <v>6.6</v>
      </c>
      <c r="O539" s="281"/>
      <c r="P539" s="281">
        <v>0.93</v>
      </c>
      <c r="Q539" s="279">
        <v>2.5499999999999998</v>
      </c>
      <c r="R539" s="468" cm="1">
        <f t="array" aca="1" ref="R539" ca="1">INDIRECT("'"&amp;$C539&amp;"'!"&amp;"$"&amp;$D539&amp;$R$1&amp;"")</f>
        <v>6.6</v>
      </c>
      <c r="S539" s="281"/>
      <c r="T539" s="281">
        <v>0.93</v>
      </c>
      <c r="U539" s="279">
        <v>2.59</v>
      </c>
      <c r="V539" s="280" cm="1">
        <f t="array" aca="1" ref="V539" ca="1">INDIRECT("'"&amp;$C539&amp;"'!"&amp;"$"&amp;$D539&amp;$V$1&amp;"")</f>
        <v>2.8</v>
      </c>
      <c r="W539" s="281">
        <f>3.8*3.43</f>
        <v>13.034000000000001</v>
      </c>
      <c r="X539" s="281">
        <v>0.92</v>
      </c>
      <c r="Y539" s="282">
        <v>1.1000000000000001</v>
      </c>
      <c r="Z539" s="278" t="str" cm="1">
        <f t="array" aca="1" ref="Z539" ca="1">INDIRECT("'"&amp;$C539&amp;"'!"&amp;"$"&amp;$D539&amp;$Z$1&amp;"")</f>
        <v>CMS</v>
      </c>
      <c r="AA539" s="281" t="s">
        <v>1</v>
      </c>
      <c r="AB539" s="281" t="s">
        <v>1</v>
      </c>
      <c r="AC539" s="279" t="s">
        <v>1</v>
      </c>
      <c r="AD539" s="280" t="str" cm="1">
        <f t="array" aca="1" ref="AD539" ca="1">INDIRECT("'"&amp;$C539&amp;"'!"&amp;"$"&amp;$D539&amp;$AD$1&amp;"")</f>
        <v>CMS</v>
      </c>
      <c r="AE539" s="281" t="s">
        <v>1</v>
      </c>
      <c r="AF539" s="281" t="s">
        <v>1</v>
      </c>
      <c r="AG539" s="282" t="s">
        <v>1</v>
      </c>
      <c r="AH539" s="278" cm="1">
        <f t="array" aca="1" ref="AH539" ca="1">INDIRECT("'"&amp;$C539&amp;"'!"&amp;"$"&amp;$D539&amp;$AH$1&amp;"")</f>
        <v>1.5</v>
      </c>
      <c r="AI539" s="281">
        <v>13.92</v>
      </c>
      <c r="AJ539" s="281">
        <v>0.99</v>
      </c>
      <c r="AK539" s="279">
        <v>0.189</v>
      </c>
      <c r="AL539" s="278">
        <v>11.6</v>
      </c>
      <c r="AM539" s="282">
        <v>70.5</v>
      </c>
      <c r="AN539" s="278" cm="1">
        <f t="array" aca="1" ref="AN539" ca="1">INDIRECT("'"&amp;$C539&amp;"'!"&amp;"$"&amp;$D539&amp;$AL$1&amp;"")</f>
        <v>3.8</v>
      </c>
      <c r="AO539" s="281">
        <v>0.96</v>
      </c>
      <c r="AP539" s="279">
        <v>0.92</v>
      </c>
      <c r="AQ539" s="280" cm="1">
        <f t="array" aca="1" ref="AQ539" ca="1">INDIRECT("'"&amp;$C539&amp;"'!"&amp;"$"&amp;$D539&amp;$AQ$1&amp;"")</f>
        <v>0</v>
      </c>
      <c r="AR539" s="281" t="s">
        <v>1</v>
      </c>
      <c r="AS539" s="279" t="s">
        <v>1</v>
      </c>
      <c r="AT539" s="278">
        <v>13.92</v>
      </c>
      <c r="AU539" s="282">
        <v>70.7</v>
      </c>
      <c r="AV539" s="281" cm="1">
        <f t="array" aca="1" ref="AV539" ca="1">INDIRECT("'"&amp;$C539&amp;"'!"&amp;"$"&amp;$D539&amp;$AV$1&amp;"")</f>
        <v>0</v>
      </c>
      <c r="AW539" s="280" t="s">
        <v>1</v>
      </c>
      <c r="AX539" s="281" t="s">
        <v>1</v>
      </c>
      <c r="AY539" s="279" t="s">
        <v>1</v>
      </c>
      <c r="AZ539" s="281" cm="1">
        <f t="array" aca="1" ref="AZ539" ca="1">INDIRECT("'"&amp;$C539&amp;"'!"&amp;"$"&amp;$D539&amp;$AZ$1&amp;"")</f>
        <v>7</v>
      </c>
      <c r="BA539" s="280" t="s">
        <v>1</v>
      </c>
      <c r="BB539" s="281">
        <v>0.97</v>
      </c>
      <c r="BC539" s="279">
        <v>1.91</v>
      </c>
      <c r="BD539" s="283">
        <v>14.21</v>
      </c>
      <c r="BE539" s="282">
        <v>71.489999999999995</v>
      </c>
      <c r="BF539" s="283" cm="1">
        <f t="array" aca="1" ref="BF539" ca="1">INDIRECT("'"&amp;$C539&amp;"'!"&amp;"$"&amp;$D539&amp;$BF$1&amp;"")</f>
        <v>14.28</v>
      </c>
      <c r="BG539" s="281">
        <v>0.98</v>
      </c>
      <c r="BH539" s="279">
        <v>3.46</v>
      </c>
      <c r="BI539" s="524">
        <v>67.5</v>
      </c>
      <c r="BJ539" s="278" cm="1">
        <f t="array" aca="1" ref="BJ539" ca="1">INDIRECT("'"&amp;$C539&amp;"'!"&amp;"$"&amp;$D539&amp;$BI$1&amp;"")</f>
        <v>0</v>
      </c>
      <c r="BK539" s="280" t="s">
        <v>1</v>
      </c>
      <c r="BL539" s="279" t="s">
        <v>1</v>
      </c>
      <c r="BM539" s="283" cm="1">
        <f t="array" aca="1" ref="BM539" ca="1">INDIRECT("'"&amp;$C539&amp;"'!"&amp;"$"&amp;$D539&amp;$BM$1&amp;"")</f>
        <v>1.1200000000000001</v>
      </c>
      <c r="BN539" s="281"/>
      <c r="BO539" s="281">
        <v>0.99</v>
      </c>
      <c r="BP539" s="279">
        <v>0.14000000000000001</v>
      </c>
      <c r="BQ539" s="284" cm="1">
        <f t="array" aca="1" ref="BQ539" ca="1">INDIRECT("'"&amp;$C539&amp;"'!"&amp;"$"&amp;$D539&amp;$BQ$1&amp;"")</f>
        <v>0.76</v>
      </c>
      <c r="BR539" s="281"/>
      <c r="BS539" s="281">
        <v>0.96</v>
      </c>
      <c r="BT539" s="279">
        <v>0.21</v>
      </c>
      <c r="BU539" s="284" cm="1">
        <f t="array" aca="1" ref="BU539" ca="1">INDIRECT("'"&amp;$C539&amp;"'!"&amp;"$"&amp;$D539&amp;74&amp;"")</f>
        <v>0</v>
      </c>
      <c r="BV539" s="281"/>
      <c r="BW539" s="281" t="s">
        <v>1</v>
      </c>
      <c r="BX539" s="279" t="s">
        <v>1</v>
      </c>
    </row>
    <row r="540" spans="1:76">
      <c r="A540" s="459">
        <v>45860</v>
      </c>
      <c r="B540" s="345">
        <v>0.41666666666666702</v>
      </c>
      <c r="C540" s="305">
        <v>22</v>
      </c>
      <c r="D540" s="306" t="s">
        <v>152</v>
      </c>
      <c r="E540" s="285">
        <v>14</v>
      </c>
      <c r="F540" s="286">
        <v>69.459999999999994</v>
      </c>
      <c r="G540" s="287" t="str" cm="1">
        <f t="array" aca="1" ref="G540" ca="1">INDIRECT("'"&amp;$C540&amp;"'!"&amp;"$"&amp;$D540&amp;$E$1&amp;"")</f>
        <v>CMS</v>
      </c>
      <c r="H540" s="288" t="s">
        <v>1</v>
      </c>
      <c r="I540" s="286" t="s">
        <v>1</v>
      </c>
      <c r="J540" s="287" cm="1">
        <f t="array" aca="1" ref="J540" ca="1">INDIRECT("'"&amp;$C540&amp;"'!"&amp;"$"&amp;$D540&amp;$J$1&amp;"")</f>
        <v>6.9</v>
      </c>
      <c r="K540" s="288"/>
      <c r="L540" s="288">
        <v>0.9</v>
      </c>
      <c r="M540" s="289">
        <v>3.3</v>
      </c>
      <c r="N540" s="285" cm="1">
        <f t="array" aca="1" ref="N540" ca="1">INDIRECT("'"&amp;$C540&amp;"'!"&amp;"$"&amp;$D540&amp;$N$1&amp;"")</f>
        <v>6.9</v>
      </c>
      <c r="O540" s="288"/>
      <c r="P540" s="288">
        <v>0.9</v>
      </c>
      <c r="Q540" s="286">
        <v>3.09</v>
      </c>
      <c r="R540" s="285" cm="1">
        <f t="array" aca="1" ref="R540" ca="1">INDIRECT("'"&amp;$C540&amp;"'!"&amp;"$"&amp;$D540&amp;$R$1&amp;"")</f>
        <v>6.9</v>
      </c>
      <c r="S540" s="288"/>
      <c r="T540" s="288">
        <v>0.9</v>
      </c>
      <c r="U540" s="286">
        <v>3.17</v>
      </c>
      <c r="V540" s="287" cm="1">
        <f t="array" aca="1" ref="V540" ca="1">INDIRECT("'"&amp;$C540&amp;"'!"&amp;"$"&amp;$D540&amp;$V$1&amp;"")</f>
        <v>2.8</v>
      </c>
      <c r="W540" s="288">
        <f>3.43*3.8</f>
        <v>13.034000000000001</v>
      </c>
      <c r="X540" s="288">
        <v>0.9</v>
      </c>
      <c r="Y540" s="289">
        <v>1.21</v>
      </c>
      <c r="Z540" s="285" t="str" cm="1">
        <f t="array" aca="1" ref="Z540" ca="1">INDIRECT("'"&amp;$C540&amp;"'!"&amp;"$"&amp;$D540&amp;$Z$1&amp;"")</f>
        <v>CMS</v>
      </c>
      <c r="AA540" s="288" t="s">
        <v>1</v>
      </c>
      <c r="AB540" s="288" t="s">
        <v>1</v>
      </c>
      <c r="AC540" s="286" t="s">
        <v>1</v>
      </c>
      <c r="AD540" s="287" t="str" cm="1">
        <f t="array" aca="1" ref="AD540" ca="1">INDIRECT("'"&amp;$C540&amp;"'!"&amp;"$"&amp;$D540&amp;$AD$1&amp;"")</f>
        <v>CMS</v>
      </c>
      <c r="AE540" s="288" t="s">
        <v>1</v>
      </c>
      <c r="AF540" s="288" t="s">
        <v>1</v>
      </c>
      <c r="AG540" s="289" t="s">
        <v>1</v>
      </c>
      <c r="AH540" s="285" cm="1">
        <f t="array" aca="1" ref="AH540" ca="1">INDIRECT("'"&amp;$C540&amp;"'!"&amp;"$"&amp;$D540&amp;$AH$1&amp;"")</f>
        <v>3.8</v>
      </c>
      <c r="AI540" s="288">
        <v>14</v>
      </c>
      <c r="AJ540" s="288">
        <v>0.98</v>
      </c>
      <c r="AK540" s="286">
        <v>0.44</v>
      </c>
      <c r="AL540" s="285">
        <v>11.6</v>
      </c>
      <c r="AM540" s="289">
        <v>70.8</v>
      </c>
      <c r="AN540" s="285" cm="1">
        <f t="array" aca="1" ref="AN540" ca="1">INDIRECT("'"&amp;$C540&amp;"'!"&amp;"$"&amp;$D540&amp;$AL$1&amp;"")</f>
        <v>3.9</v>
      </c>
      <c r="AO540" s="288">
        <v>0.96</v>
      </c>
      <c r="AP540" s="286">
        <v>1.1499999999999999</v>
      </c>
      <c r="AQ540" s="287" cm="1">
        <f t="array" aca="1" ref="AQ540" ca="1">INDIRECT("'"&amp;$C540&amp;"'!"&amp;"$"&amp;$D540&amp;$AQ$1&amp;"")</f>
        <v>0</v>
      </c>
      <c r="AR540" s="288" t="s">
        <v>1</v>
      </c>
      <c r="AS540" s="286" t="s">
        <v>1</v>
      </c>
      <c r="AT540" s="285">
        <v>13.97</v>
      </c>
      <c r="AU540" s="289">
        <v>70.7</v>
      </c>
      <c r="AV540" s="288" cm="1">
        <f t="array" aca="1" ref="AV540" ca="1">INDIRECT("'"&amp;$C540&amp;"'!"&amp;"$"&amp;$D540&amp;$AV$1&amp;"")</f>
        <v>0</v>
      </c>
      <c r="AW540" s="287" t="s">
        <v>1</v>
      </c>
      <c r="AX540" s="288" t="s">
        <v>1</v>
      </c>
      <c r="AY540" s="286" t="s">
        <v>1</v>
      </c>
      <c r="AZ540" s="288" cm="1">
        <f t="array" aca="1" ref="AZ540" ca="1">INDIRECT("'"&amp;$C540&amp;"'!"&amp;"$"&amp;$D540&amp;$AZ$1&amp;"")</f>
        <v>7</v>
      </c>
      <c r="BA540" s="287" t="s">
        <v>1</v>
      </c>
      <c r="BB540" s="288">
        <v>0.95</v>
      </c>
      <c r="BC540" s="286">
        <v>2.58</v>
      </c>
      <c r="BD540" s="290">
        <v>14.24</v>
      </c>
      <c r="BE540" s="289">
        <v>71.72</v>
      </c>
      <c r="BF540" s="290" cm="1">
        <f t="array" aca="1" ref="BF540" ca="1">INDIRECT("'"&amp;$C540&amp;"'!"&amp;"$"&amp;$D540&amp;$BF$1&amp;"")</f>
        <v>14.26</v>
      </c>
      <c r="BG540" s="288">
        <v>0.98</v>
      </c>
      <c r="BH540" s="286">
        <v>3.43</v>
      </c>
      <c r="BI540" s="525">
        <v>67.7</v>
      </c>
      <c r="BJ540" s="285" cm="1">
        <f t="array" aca="1" ref="BJ540" ca="1">INDIRECT("'"&amp;$C540&amp;"'!"&amp;"$"&amp;$D540&amp;$BI$1&amp;"")</f>
        <v>3.9000000000000004</v>
      </c>
      <c r="BK540" s="287">
        <v>0.95</v>
      </c>
      <c r="BL540" s="286">
        <v>1.2</v>
      </c>
      <c r="BM540" s="290" cm="1">
        <f t="array" aca="1" ref="BM540" ca="1">INDIRECT("'"&amp;$C540&amp;"'!"&amp;"$"&amp;$D540&amp;$BM$1&amp;"")</f>
        <v>1.23</v>
      </c>
      <c r="BN540" s="288"/>
      <c r="BO540" s="288">
        <v>0.99</v>
      </c>
      <c r="BP540" s="286">
        <v>0.14000000000000001</v>
      </c>
      <c r="BQ540" s="291" cm="1">
        <f t="array" aca="1" ref="BQ540" ca="1">INDIRECT("'"&amp;$C540&amp;"'!"&amp;"$"&amp;$D540&amp;$BQ$1&amp;"")</f>
        <v>0.82</v>
      </c>
      <c r="BR540" s="288"/>
      <c r="BS540" s="288">
        <v>0.96</v>
      </c>
      <c r="BT540" s="286">
        <v>0.23</v>
      </c>
      <c r="BU540" s="291" cm="1">
        <f t="array" aca="1" ref="BU540" ca="1">INDIRECT("'"&amp;$C540&amp;"'!"&amp;"$"&amp;$D540&amp;74&amp;"")</f>
        <v>0</v>
      </c>
      <c r="BV540" s="288"/>
      <c r="BW540" s="288" t="s">
        <v>1</v>
      </c>
      <c r="BX540" s="286" t="s">
        <v>1</v>
      </c>
    </row>
    <row r="541" spans="1:76">
      <c r="A541" s="459">
        <v>45860</v>
      </c>
      <c r="B541" s="345">
        <v>0.45833333333333398</v>
      </c>
      <c r="C541" s="305">
        <v>22</v>
      </c>
      <c r="D541" s="306" t="s">
        <v>153</v>
      </c>
      <c r="E541" s="278">
        <v>14</v>
      </c>
      <c r="F541" s="279">
        <v>69.12</v>
      </c>
      <c r="G541" s="280" t="str" cm="1">
        <f t="array" aca="1" ref="G541" ca="1">INDIRECT("'"&amp;$C541&amp;"'!"&amp;"$"&amp;$D541&amp;$E$1&amp;"")</f>
        <v>CMS</v>
      </c>
      <c r="H541" s="281" t="s">
        <v>1</v>
      </c>
      <c r="I541" s="279" t="s">
        <v>1</v>
      </c>
      <c r="J541" s="280" cm="1">
        <f t="array" aca="1" ref="J541" ca="1">INDIRECT("'"&amp;$C541&amp;"'!"&amp;"$"&amp;$D541&amp;$J$1&amp;"")</f>
        <v>6.5</v>
      </c>
      <c r="K541" s="281"/>
      <c r="L541" s="281">
        <v>0.89</v>
      </c>
      <c r="M541" s="282">
        <v>3.44</v>
      </c>
      <c r="N541" s="278" cm="1">
        <f t="array" aca="1" ref="N541" ca="1">INDIRECT("'"&amp;$C541&amp;"'!"&amp;"$"&amp;$D541&amp;$N$1&amp;"")</f>
        <v>6.5</v>
      </c>
      <c r="O541" s="281"/>
      <c r="P541" s="281">
        <v>0.89</v>
      </c>
      <c r="Q541" s="279">
        <v>3.39</v>
      </c>
      <c r="R541" s="468" cm="1">
        <f t="array" aca="1" ref="R541" ca="1">INDIRECT("'"&amp;$C541&amp;"'!"&amp;"$"&amp;$D541&amp;$R$1&amp;"")</f>
        <v>6.5</v>
      </c>
      <c r="S541" s="281"/>
      <c r="T541" s="281">
        <v>0.89</v>
      </c>
      <c r="U541" s="279">
        <v>3.42</v>
      </c>
      <c r="V541" s="280" cm="1">
        <f t="array" aca="1" ref="V541" ca="1">INDIRECT("'"&amp;$C541&amp;"'!"&amp;"$"&amp;$D541&amp;$V$1&amp;"")</f>
        <v>2.8</v>
      </c>
      <c r="W541" s="281">
        <f>3.41*3.8</f>
        <v>12.958</v>
      </c>
      <c r="X541" s="281">
        <v>0.9</v>
      </c>
      <c r="Y541" s="282">
        <v>1.23</v>
      </c>
      <c r="Z541" s="278" t="str" cm="1">
        <f t="array" aca="1" ref="Z541" ca="1">INDIRECT("'"&amp;$C541&amp;"'!"&amp;"$"&amp;$D541&amp;$Z$1&amp;"")</f>
        <v>CMS</v>
      </c>
      <c r="AA541" s="281" t="s">
        <v>1</v>
      </c>
      <c r="AB541" s="281" t="s">
        <v>1</v>
      </c>
      <c r="AC541" s="279" t="s">
        <v>1</v>
      </c>
      <c r="AD541" s="280" t="str" cm="1">
        <f t="array" aca="1" ref="AD541" ca="1">INDIRECT("'"&amp;$C541&amp;"'!"&amp;"$"&amp;$D541&amp;$AD$1&amp;"")</f>
        <v>CMS</v>
      </c>
      <c r="AE541" s="281" t="s">
        <v>1</v>
      </c>
      <c r="AF541" s="281" t="s">
        <v>1</v>
      </c>
      <c r="AG541" s="282" t="s">
        <v>1</v>
      </c>
      <c r="AH541" s="278" cm="1">
        <f t="array" aca="1" ref="AH541" ca="1">INDIRECT("'"&amp;$C541&amp;"'!"&amp;"$"&amp;$D541&amp;$AH$1&amp;"")</f>
        <v>3</v>
      </c>
      <c r="AI541" s="281">
        <v>14.08</v>
      </c>
      <c r="AJ541" s="281">
        <v>0.98</v>
      </c>
      <c r="AK541" s="279">
        <v>0.46899999999999997</v>
      </c>
      <c r="AL541" s="278">
        <v>11.6</v>
      </c>
      <c r="AM541" s="282">
        <v>70.900000000000006</v>
      </c>
      <c r="AN541" s="278" cm="1">
        <f t="array" aca="1" ref="AN541" ca="1">INDIRECT("'"&amp;$C541&amp;"'!"&amp;"$"&amp;$D541&amp;$AL$1&amp;"")</f>
        <v>3.8</v>
      </c>
      <c r="AO541" s="281">
        <v>0.95</v>
      </c>
      <c r="AP541" s="279">
        <v>1.34</v>
      </c>
      <c r="AQ541" s="280" cm="1">
        <f t="array" aca="1" ref="AQ541" ca="1">INDIRECT("'"&amp;$C541&amp;"'!"&amp;"$"&amp;$D541&amp;$AQ$1&amp;"")</f>
        <v>0</v>
      </c>
      <c r="AR541" s="281" t="s">
        <v>1</v>
      </c>
      <c r="AS541" s="279" t="s">
        <v>1</v>
      </c>
      <c r="AT541" s="278">
        <v>13.97</v>
      </c>
      <c r="AU541" s="282">
        <v>70.7</v>
      </c>
      <c r="AV541" s="281" cm="1">
        <f t="array" aca="1" ref="AV541" ca="1">INDIRECT("'"&amp;$C541&amp;"'!"&amp;"$"&amp;$D541&amp;$AV$1&amp;"")</f>
        <v>2.7</v>
      </c>
      <c r="AW541" s="280" t="s">
        <v>1</v>
      </c>
      <c r="AX541" s="281">
        <v>0.95</v>
      </c>
      <c r="AY541" s="279">
        <v>1.01</v>
      </c>
      <c r="AZ541" s="281" cm="1">
        <f t="array" aca="1" ref="AZ541" ca="1">INDIRECT("'"&amp;$C541&amp;"'!"&amp;"$"&amp;$D541&amp;$AZ$1&amp;"")</f>
        <v>7</v>
      </c>
      <c r="BA541" s="280" t="s">
        <v>1</v>
      </c>
      <c r="BB541" s="281">
        <v>0.94</v>
      </c>
      <c r="BC541" s="279">
        <v>1.95</v>
      </c>
      <c r="BD541" s="283">
        <v>14.36</v>
      </c>
      <c r="BE541" s="282">
        <v>71.92</v>
      </c>
      <c r="BF541" s="283" cm="1">
        <f t="array" aca="1" ref="BF541" ca="1">INDIRECT("'"&amp;$C541&amp;"'!"&amp;"$"&amp;$D541&amp;$BF$1&amp;"")</f>
        <v>14.27</v>
      </c>
      <c r="BG541" s="281">
        <v>0.96</v>
      </c>
      <c r="BH541" s="279">
        <v>4.53</v>
      </c>
      <c r="BI541" s="524">
        <v>67.5</v>
      </c>
      <c r="BJ541" s="278" cm="1">
        <f t="array" aca="1" ref="BJ541" ca="1">INDIRECT("'"&amp;$C541&amp;"'!"&amp;"$"&amp;$D541&amp;$BI$1&amp;"")</f>
        <v>2.2999999999999998</v>
      </c>
      <c r="BK541" s="280">
        <v>0.95</v>
      </c>
      <c r="BL541" s="279">
        <v>0.74</v>
      </c>
      <c r="BM541" s="283" cm="1">
        <f t="array" aca="1" ref="BM541" ca="1">INDIRECT("'"&amp;$C541&amp;"'!"&amp;"$"&amp;$D541&amp;$BM$1&amp;"")</f>
        <v>1.25</v>
      </c>
      <c r="BN541" s="281"/>
      <c r="BO541" s="281">
        <v>0.99</v>
      </c>
      <c r="BP541" s="279">
        <v>0.14000000000000001</v>
      </c>
      <c r="BQ541" s="284" cm="1">
        <f t="array" aca="1" ref="BQ541" ca="1">INDIRECT("'"&amp;$C541&amp;"'!"&amp;"$"&amp;$D541&amp;$BQ$1&amp;"")</f>
        <v>0.83</v>
      </c>
      <c r="BR541" s="281"/>
      <c r="BS541" s="281">
        <v>0.96</v>
      </c>
      <c r="BT541" s="279">
        <v>0.24</v>
      </c>
      <c r="BU541" s="284" cm="1">
        <f t="array" aca="1" ref="BU541" ca="1">INDIRECT("'"&amp;$C541&amp;"'!"&amp;"$"&amp;$D541&amp;74&amp;"")</f>
        <v>0</v>
      </c>
      <c r="BV541" s="281"/>
      <c r="BW541" s="281" t="s">
        <v>1</v>
      </c>
      <c r="BX541" s="279" t="s">
        <v>1</v>
      </c>
    </row>
    <row r="542" spans="1:76">
      <c r="A542" s="459">
        <v>45860</v>
      </c>
      <c r="B542" s="345">
        <v>0.5</v>
      </c>
      <c r="C542" s="305">
        <v>22</v>
      </c>
      <c r="D542" s="306" t="s">
        <v>154</v>
      </c>
      <c r="E542" s="285">
        <v>14</v>
      </c>
      <c r="F542" s="286">
        <v>69.81</v>
      </c>
      <c r="G542" s="287" t="str" cm="1">
        <f t="array" aca="1" ref="G542" ca="1">INDIRECT("'"&amp;$C542&amp;"'!"&amp;"$"&amp;$D542&amp;$E$1&amp;"")</f>
        <v>CMS</v>
      </c>
      <c r="H542" s="288" t="s">
        <v>1</v>
      </c>
      <c r="I542" s="286" t="s">
        <v>1</v>
      </c>
      <c r="J542" s="287" cm="1">
        <f t="array" aca="1" ref="J542" ca="1">INDIRECT("'"&amp;$C542&amp;"'!"&amp;"$"&amp;$D542&amp;$J$1&amp;"")</f>
        <v>6.5</v>
      </c>
      <c r="K542" s="288"/>
      <c r="L542" s="288">
        <v>0.9</v>
      </c>
      <c r="M542" s="289">
        <v>3.18</v>
      </c>
      <c r="N542" s="285" cm="1">
        <f t="array" aca="1" ref="N542" ca="1">INDIRECT("'"&amp;$C542&amp;"'!"&amp;"$"&amp;$D542&amp;$N$1&amp;"")</f>
        <v>6.5</v>
      </c>
      <c r="O542" s="288"/>
      <c r="P542" s="288">
        <v>0.9</v>
      </c>
      <c r="Q542" s="289">
        <v>3.12</v>
      </c>
      <c r="R542" s="285" cm="1">
        <f t="array" aca="1" ref="R542" ca="1">INDIRECT("'"&amp;$C542&amp;"'!"&amp;"$"&amp;$D542&amp;$R$1&amp;"")</f>
        <v>6.5</v>
      </c>
      <c r="S542" s="288"/>
      <c r="T542" s="288">
        <v>0.9</v>
      </c>
      <c r="U542" s="286">
        <v>3.17</v>
      </c>
      <c r="V542" s="287" cm="1">
        <f t="array" aca="1" ref="V542" ca="1">INDIRECT("'"&amp;$C542&amp;"'!"&amp;"$"&amp;$D542&amp;$V$1&amp;"")</f>
        <v>2.8</v>
      </c>
      <c r="W542" s="288">
        <f>3.42*3.8</f>
        <v>12.995999999999999</v>
      </c>
      <c r="X542" s="288">
        <v>0.9</v>
      </c>
      <c r="Y542" s="289">
        <v>1.23</v>
      </c>
      <c r="Z542" s="285" t="str" cm="1">
        <f t="array" aca="1" ref="Z542" ca="1">INDIRECT("'"&amp;$C542&amp;"'!"&amp;"$"&amp;$D542&amp;$Z$1&amp;"")</f>
        <v>CMS</v>
      </c>
      <c r="AA542" s="288" t="s">
        <v>1</v>
      </c>
      <c r="AB542" s="288" t="s">
        <v>1</v>
      </c>
      <c r="AC542" s="286" t="s">
        <v>1</v>
      </c>
      <c r="AD542" s="287" t="str" cm="1">
        <f t="array" aca="1" ref="AD542" ca="1">INDIRECT("'"&amp;$C542&amp;"'!"&amp;"$"&amp;$D542&amp;$AD$1&amp;"")</f>
        <v>CMS</v>
      </c>
      <c r="AE542" s="288" t="s">
        <v>1</v>
      </c>
      <c r="AF542" s="288" t="s">
        <v>1</v>
      </c>
      <c r="AG542" s="289" t="s">
        <v>1</v>
      </c>
      <c r="AH542" s="285" cm="1">
        <f t="array" aca="1" ref="AH542" ca="1">INDIRECT("'"&amp;$C542&amp;"'!"&amp;"$"&amp;$D542&amp;$AH$1&amp;"")</f>
        <v>3</v>
      </c>
      <c r="AI542" s="288">
        <v>14.12</v>
      </c>
      <c r="AJ542" s="288">
        <v>0.98</v>
      </c>
      <c r="AK542" s="286">
        <v>0.48199999999999998</v>
      </c>
      <c r="AL542" s="285">
        <v>11.6</v>
      </c>
      <c r="AM542" s="289">
        <v>70.900000000000006</v>
      </c>
      <c r="AN542" s="285" cm="1">
        <f t="array" aca="1" ref="AN542" ca="1">INDIRECT("'"&amp;$C542&amp;"'!"&amp;"$"&amp;$D542&amp;$AL$1&amp;"")</f>
        <v>1.9</v>
      </c>
      <c r="AO542" s="288">
        <v>0.9</v>
      </c>
      <c r="AP542" s="286">
        <v>1</v>
      </c>
      <c r="AQ542" s="287" cm="1">
        <f t="array" aca="1" ref="AQ542" ca="1">INDIRECT("'"&amp;$C542&amp;"'!"&amp;"$"&amp;$D542&amp;$AQ$1&amp;"")</f>
        <v>1.9</v>
      </c>
      <c r="AR542" s="288">
        <v>0.97</v>
      </c>
      <c r="AS542" s="286">
        <v>0.35</v>
      </c>
      <c r="AT542" s="285">
        <v>13.97</v>
      </c>
      <c r="AU542" s="289">
        <v>70.8</v>
      </c>
      <c r="AV542" s="288" cm="1">
        <f t="array" aca="1" ref="AV542" ca="1">INDIRECT("'"&amp;$C542&amp;"'!"&amp;"$"&amp;$D542&amp;$AV$1&amp;"")</f>
        <v>2.74</v>
      </c>
      <c r="AW542" s="287" t="s">
        <v>1</v>
      </c>
      <c r="AX542" s="288">
        <v>0.94</v>
      </c>
      <c r="AY542" s="286">
        <v>0.97</v>
      </c>
      <c r="AZ542" s="288" cm="1">
        <f t="array" aca="1" ref="AZ542" ca="1">INDIRECT("'"&amp;$C542&amp;"'!"&amp;"$"&amp;$D542&amp;$AZ$1&amp;"")</f>
        <v>7</v>
      </c>
      <c r="BA542" s="287" t="s">
        <v>1</v>
      </c>
      <c r="BB542" s="288">
        <v>0.95</v>
      </c>
      <c r="BC542" s="286">
        <v>1.87</v>
      </c>
      <c r="BD542" s="290">
        <v>14.27</v>
      </c>
      <c r="BE542" s="289">
        <v>71.819999999999993</v>
      </c>
      <c r="BF542" s="290" cm="1">
        <f t="array" aca="1" ref="BF542" ca="1">INDIRECT("'"&amp;$C542&amp;"'!"&amp;"$"&amp;$D542&amp;$BF$1&amp;"")</f>
        <v>14.27</v>
      </c>
      <c r="BG542" s="288">
        <v>0.98</v>
      </c>
      <c r="BH542" s="286">
        <v>3.52</v>
      </c>
      <c r="BI542" s="525">
        <v>67.599999999999994</v>
      </c>
      <c r="BJ542" s="285" cm="1">
        <f t="array" aca="1" ref="BJ542" ca="1">INDIRECT("'"&amp;$C542&amp;"'!"&amp;"$"&amp;$D542&amp;$BI$1&amp;"")</f>
        <v>3.1000000000000005</v>
      </c>
      <c r="BK542" s="287">
        <v>0.95</v>
      </c>
      <c r="BL542" s="286">
        <v>1</v>
      </c>
      <c r="BM542" s="290" cm="1">
        <f t="array" aca="1" ref="BM542" ca="1">INDIRECT("'"&amp;$C542&amp;"'!"&amp;"$"&amp;$D542&amp;$BM$1&amp;"")</f>
        <v>1.32</v>
      </c>
      <c r="BN542" s="288"/>
      <c r="BO542" s="288">
        <v>0.99</v>
      </c>
      <c r="BP542" s="286">
        <v>0.18</v>
      </c>
      <c r="BQ542" s="291" cm="1">
        <f t="array" aca="1" ref="BQ542" ca="1">INDIRECT("'"&amp;$C542&amp;"'!"&amp;"$"&amp;$D542&amp;$BQ$1&amp;"")</f>
        <v>0.85</v>
      </c>
      <c r="BR542" s="288"/>
      <c r="BS542" s="288">
        <v>0.96</v>
      </c>
      <c r="BT542" s="286">
        <v>0.23</v>
      </c>
      <c r="BU542" s="291" cm="1">
        <f t="array" aca="1" ref="BU542" ca="1">INDIRECT("'"&amp;$C542&amp;"'!"&amp;"$"&amp;$D542&amp;74&amp;"")</f>
        <v>0</v>
      </c>
      <c r="BV542" s="288"/>
      <c r="BW542" s="288" t="s">
        <v>1</v>
      </c>
      <c r="BX542" s="286" t="s">
        <v>1</v>
      </c>
    </row>
    <row r="543" spans="1:76">
      <c r="A543" s="459">
        <v>45860</v>
      </c>
      <c r="B543" s="345">
        <v>0.54166666666666696</v>
      </c>
      <c r="C543" s="305">
        <v>22</v>
      </c>
      <c r="D543" s="306" t="s">
        <v>155</v>
      </c>
      <c r="E543" s="278">
        <v>14</v>
      </c>
      <c r="F543" s="279">
        <v>69</v>
      </c>
      <c r="G543" s="280" t="str" cm="1">
        <f t="array" aca="1" ref="G543" ca="1">INDIRECT("'"&amp;$C543&amp;"'!"&amp;"$"&amp;$D543&amp;$E$1&amp;"")</f>
        <v>CMS</v>
      </c>
      <c r="H543" s="281" t="s">
        <v>1</v>
      </c>
      <c r="I543" s="279" t="s">
        <v>1</v>
      </c>
      <c r="J543" s="280" cm="1">
        <f t="array" aca="1" ref="J543" ca="1">INDIRECT("'"&amp;$C543&amp;"'!"&amp;"$"&amp;$D543&amp;$J$1&amp;"")</f>
        <v>6.7</v>
      </c>
      <c r="K543" s="281"/>
      <c r="L543" s="281">
        <v>0.89</v>
      </c>
      <c r="M543" s="279">
        <v>3.44</v>
      </c>
      <c r="N543" s="278" cm="1">
        <f t="array" aca="1" ref="N543" ca="1">INDIRECT("'"&amp;$C543&amp;"'!"&amp;"$"&amp;$D543&amp;$N$1&amp;"")</f>
        <v>6.7</v>
      </c>
      <c r="O543" s="281"/>
      <c r="P543" s="281">
        <v>0.89</v>
      </c>
      <c r="Q543" s="279">
        <v>3.42</v>
      </c>
      <c r="R543" s="468" cm="1">
        <f t="array" aca="1" ref="R543" ca="1">INDIRECT("'"&amp;$C543&amp;"'!"&amp;"$"&amp;$D543&amp;$R$1&amp;"")</f>
        <v>6.7</v>
      </c>
      <c r="S543" s="281"/>
      <c r="T543" s="281">
        <v>0.88</v>
      </c>
      <c r="U543" s="279">
        <v>3.54</v>
      </c>
      <c r="V543" s="280" cm="1">
        <f t="array" aca="1" ref="V543" ca="1">INDIRECT("'"&amp;$C543&amp;"'!"&amp;"$"&amp;$D543&amp;$V$1&amp;"")</f>
        <v>2.8</v>
      </c>
      <c r="W543" s="281">
        <f>3.4*3.8</f>
        <v>12.92</v>
      </c>
      <c r="X543" s="281">
        <v>0.9</v>
      </c>
      <c r="Y543" s="282">
        <v>1.25</v>
      </c>
      <c r="Z543" s="278" t="str" cm="1">
        <f t="array" aca="1" ref="Z543" ca="1">INDIRECT("'"&amp;$C543&amp;"'!"&amp;"$"&amp;$D543&amp;$Z$1&amp;"")</f>
        <v>CMS</v>
      </c>
      <c r="AA543" s="281" t="s">
        <v>1</v>
      </c>
      <c r="AB543" s="281" t="s">
        <v>1</v>
      </c>
      <c r="AC543" s="279" t="s">
        <v>1</v>
      </c>
      <c r="AD543" s="280" t="str" cm="1">
        <f t="array" aca="1" ref="AD543" ca="1">INDIRECT("'"&amp;$C543&amp;"'!"&amp;"$"&amp;$D543&amp;$AD$1&amp;"")</f>
        <v>CMS</v>
      </c>
      <c r="AE543" s="281" t="s">
        <v>1</v>
      </c>
      <c r="AF543" s="281" t="s">
        <v>1</v>
      </c>
      <c r="AG543" s="282" t="s">
        <v>1</v>
      </c>
      <c r="AH543" s="278" cm="1">
        <f t="array" aca="1" ref="AH543" ca="1">INDIRECT("'"&amp;$C543&amp;"'!"&amp;"$"&amp;$D543&amp;$AH$1&amp;"")</f>
        <v>3</v>
      </c>
      <c r="AI543" s="281">
        <v>14.08</v>
      </c>
      <c r="AJ543" s="281">
        <v>0.98</v>
      </c>
      <c r="AK543" s="279">
        <v>0.47399999999999998</v>
      </c>
      <c r="AL543" s="278">
        <v>11.6</v>
      </c>
      <c r="AM543" s="282">
        <v>70.8</v>
      </c>
      <c r="AN543" s="278" cm="1">
        <f t="array" aca="1" ref="AN543" ca="1">INDIRECT("'"&amp;$C543&amp;"'!"&amp;"$"&amp;$D543&amp;$AL$1&amp;"")</f>
        <v>0</v>
      </c>
      <c r="AO543" s="281" t="s">
        <v>1</v>
      </c>
      <c r="AP543" s="279" t="s">
        <v>1</v>
      </c>
      <c r="AQ543" s="280" cm="1">
        <f t="array" aca="1" ref="AQ543" ca="1">INDIRECT("'"&amp;$C543&amp;"'!"&amp;"$"&amp;$D543&amp;$AQ$1&amp;"")</f>
        <v>3.8</v>
      </c>
      <c r="AR543" s="281">
        <v>0.93</v>
      </c>
      <c r="AS543" s="279">
        <v>1.35</v>
      </c>
      <c r="AT543" s="278">
        <v>13.97</v>
      </c>
      <c r="AU543" s="282">
        <v>70.8</v>
      </c>
      <c r="AV543" s="281" cm="1">
        <f t="array" aca="1" ref="AV543" ca="1">INDIRECT("'"&amp;$C543&amp;"'!"&amp;"$"&amp;$D543&amp;$AV$1&amp;"")</f>
        <v>3</v>
      </c>
      <c r="AW543" s="280">
        <v>13.7</v>
      </c>
      <c r="AX543" s="281">
        <v>0.94</v>
      </c>
      <c r="AY543" s="279">
        <v>1.1299999999999999</v>
      </c>
      <c r="AZ543" s="281" cm="1">
        <f t="array" aca="1" ref="AZ543" ca="1">INDIRECT("'"&amp;$C543&amp;"'!"&amp;"$"&amp;$D543&amp;$AZ$1&amp;"")</f>
        <v>7</v>
      </c>
      <c r="BA543" s="280">
        <v>13.7</v>
      </c>
      <c r="BB543" s="281">
        <v>0.95</v>
      </c>
      <c r="BC543" s="279">
        <v>1.81</v>
      </c>
      <c r="BD543" s="283">
        <v>14.21</v>
      </c>
      <c r="BE543" s="282">
        <v>71.56</v>
      </c>
      <c r="BF543" s="283" cm="1">
        <f t="array" aca="1" ref="BF543" ca="1">INDIRECT("'"&amp;$C543&amp;"'!"&amp;"$"&amp;$D543&amp;$BF$1&amp;"")</f>
        <v>14.26</v>
      </c>
      <c r="BG543" s="281">
        <v>0.98</v>
      </c>
      <c r="BH543" s="279">
        <v>3.39</v>
      </c>
      <c r="BI543" s="524">
        <v>67.2</v>
      </c>
      <c r="BJ543" s="278" cm="1">
        <f t="array" aca="1" ref="BJ543" ca="1">INDIRECT("'"&amp;$C543&amp;"'!"&amp;"$"&amp;$D543&amp;$BI$1&amp;"")</f>
        <v>3.1000000000000005</v>
      </c>
      <c r="BK543" s="280">
        <v>0.95</v>
      </c>
      <c r="BL543" s="279">
        <v>0.98</v>
      </c>
      <c r="BM543" s="283" cm="1">
        <f t="array" aca="1" ref="BM543" ca="1">INDIRECT("'"&amp;$C543&amp;"'!"&amp;"$"&amp;$D543&amp;$BM$1&amp;"")</f>
        <v>1.32</v>
      </c>
      <c r="BN543" s="281"/>
      <c r="BO543" s="281">
        <v>0.99</v>
      </c>
      <c r="BP543" s="279">
        <v>0.16</v>
      </c>
      <c r="BQ543" s="284" cm="1">
        <f t="array" aca="1" ref="BQ543" ca="1">INDIRECT("'"&amp;$C543&amp;"'!"&amp;"$"&amp;$D543&amp;$BQ$1&amp;"")</f>
        <v>0.83</v>
      </c>
      <c r="BR543" s="281"/>
      <c r="BS543" s="281">
        <v>0.96</v>
      </c>
      <c r="BT543" s="279">
        <v>0.22</v>
      </c>
      <c r="BU543" s="284" cm="1">
        <f t="array" aca="1" ref="BU543" ca="1">INDIRECT("'"&amp;$C543&amp;"'!"&amp;"$"&amp;$D543&amp;74&amp;"")</f>
        <v>0</v>
      </c>
      <c r="BV543" s="281"/>
      <c r="BW543" s="281" t="s">
        <v>1</v>
      </c>
      <c r="BX543" s="279" t="s">
        <v>1</v>
      </c>
    </row>
    <row r="544" spans="1:76">
      <c r="A544" s="459">
        <v>45860</v>
      </c>
      <c r="B544" s="345">
        <v>0.58333333333333404</v>
      </c>
      <c r="C544" s="305">
        <v>22</v>
      </c>
      <c r="D544" s="306" t="s">
        <v>156</v>
      </c>
      <c r="E544" s="285">
        <v>14</v>
      </c>
      <c r="F544" s="286">
        <v>69.02</v>
      </c>
      <c r="G544" s="287" t="str" cm="1">
        <f t="array" aca="1" ref="G544" ca="1">INDIRECT("'"&amp;$C544&amp;"'!"&amp;"$"&amp;$D544&amp;$E$1&amp;"")</f>
        <v>CMS</v>
      </c>
      <c r="H544" s="288" t="s">
        <v>1</v>
      </c>
      <c r="I544" s="286" t="s">
        <v>1</v>
      </c>
      <c r="J544" s="287" cm="1">
        <f t="array" aca="1" ref="J544" ca="1">INDIRECT("'"&amp;$C544&amp;"'!"&amp;"$"&amp;$D544&amp;$J$1&amp;"")</f>
        <v>6.7</v>
      </c>
      <c r="K544" s="288"/>
      <c r="L544" s="288">
        <v>0.9</v>
      </c>
      <c r="M544" s="289">
        <v>3.22</v>
      </c>
      <c r="N544" s="285" cm="1">
        <f t="array" aca="1" ref="N544" ca="1">INDIRECT("'"&amp;$C544&amp;"'!"&amp;"$"&amp;$D544&amp;$N$1&amp;"")</f>
        <v>6.7</v>
      </c>
      <c r="O544" s="288"/>
      <c r="P544" s="288">
        <v>0.9</v>
      </c>
      <c r="Q544" s="286">
        <v>3.25</v>
      </c>
      <c r="R544" s="285" cm="1">
        <f t="array" aca="1" ref="R544" ca="1">INDIRECT("'"&amp;$C544&amp;"'!"&amp;"$"&amp;$D544&amp;$R$1&amp;"")</f>
        <v>6.7</v>
      </c>
      <c r="S544" s="288"/>
      <c r="T544" s="288">
        <v>0.9</v>
      </c>
      <c r="U544" s="286">
        <v>3.24</v>
      </c>
      <c r="V544" s="287" cm="1">
        <f t="array" aca="1" ref="V544" ca="1">INDIRECT("'"&amp;$C544&amp;"'!"&amp;"$"&amp;$D544&amp;$V$1&amp;"")</f>
        <v>2.8</v>
      </c>
      <c r="W544" s="288">
        <f>3.4*3.8</f>
        <v>12.92</v>
      </c>
      <c r="X544" s="288">
        <v>0.9</v>
      </c>
      <c r="Y544" s="289">
        <v>1.25</v>
      </c>
      <c r="Z544" s="285" t="str" cm="1">
        <f t="array" aca="1" ref="Z544" ca="1">INDIRECT("'"&amp;$C544&amp;"'!"&amp;"$"&amp;$D544&amp;$Z$1&amp;"")</f>
        <v>CMS</v>
      </c>
      <c r="AA544" s="288" t="s">
        <v>1</v>
      </c>
      <c r="AB544" s="288" t="s">
        <v>1</v>
      </c>
      <c r="AC544" s="286" t="s">
        <v>1</v>
      </c>
      <c r="AD544" s="287" t="str" cm="1">
        <f t="array" aca="1" ref="AD544" ca="1">INDIRECT("'"&amp;$C544&amp;"'!"&amp;"$"&amp;$D544&amp;$AD$1&amp;"")</f>
        <v>CMS</v>
      </c>
      <c r="AE544" s="288" t="s">
        <v>1</v>
      </c>
      <c r="AF544" s="288" t="s">
        <v>1</v>
      </c>
      <c r="AG544" s="289" t="s">
        <v>1</v>
      </c>
      <c r="AH544" s="285" cm="1">
        <f t="array" aca="1" ref="AH544" ca="1">INDIRECT("'"&amp;$C544&amp;"'!"&amp;"$"&amp;$D544&amp;$AH$1&amp;"")</f>
        <v>3</v>
      </c>
      <c r="AI544" s="288">
        <f>14.12</f>
        <v>14.12</v>
      </c>
      <c r="AJ544" s="288">
        <v>0.97</v>
      </c>
      <c r="AK544" s="286">
        <v>0.56899999999999995</v>
      </c>
      <c r="AL544" s="285">
        <v>11.7</v>
      </c>
      <c r="AM544" s="289">
        <v>70.8</v>
      </c>
      <c r="AN544" s="285" cm="1">
        <f t="array" aca="1" ref="AN544" ca="1">INDIRECT("'"&amp;$C544&amp;"'!"&amp;"$"&amp;$D544&amp;$AL$1&amp;"")</f>
        <v>0</v>
      </c>
      <c r="AO544" s="288" t="s">
        <v>1</v>
      </c>
      <c r="AP544" s="286" t="s">
        <v>1</v>
      </c>
      <c r="AQ544" s="287" cm="1">
        <f t="array" aca="1" ref="AQ544" ca="1">INDIRECT("'"&amp;$C544&amp;"'!"&amp;"$"&amp;$D544&amp;$AQ$1&amp;"")</f>
        <v>3.8</v>
      </c>
      <c r="AR544" s="288">
        <v>0.94</v>
      </c>
      <c r="AS544" s="286">
        <v>1.24</v>
      </c>
      <c r="AT544" s="285">
        <v>13.97</v>
      </c>
      <c r="AU544" s="289">
        <v>70.8</v>
      </c>
      <c r="AV544" s="288" cm="1">
        <f t="array" aca="1" ref="AV544" ca="1">INDIRECT("'"&amp;$C544&amp;"'!"&amp;"$"&amp;$D544&amp;$AV$1&amp;"")</f>
        <v>3.5</v>
      </c>
      <c r="AW544" s="287">
        <v>13.7</v>
      </c>
      <c r="AX544" s="288">
        <v>0.94</v>
      </c>
      <c r="AY544" s="286">
        <v>1.24</v>
      </c>
      <c r="AZ544" s="288" cm="1">
        <f t="array" aca="1" ref="AZ544" ca="1">INDIRECT("'"&amp;$C544&amp;"'!"&amp;"$"&amp;$D544&amp;$AZ$1&amp;"")</f>
        <v>7</v>
      </c>
      <c r="BA544" s="287">
        <v>13.7</v>
      </c>
      <c r="BB544" s="288">
        <v>0.95</v>
      </c>
      <c r="BC544" s="286">
        <v>1.85</v>
      </c>
      <c r="BD544" s="290">
        <v>14.35</v>
      </c>
      <c r="BE544" s="289">
        <v>71.91</v>
      </c>
      <c r="BF544" s="290" cm="1">
        <f t="array" aca="1" ref="BF544" ca="1">INDIRECT("'"&amp;$C544&amp;"'!"&amp;"$"&amp;$D544&amp;$BF$1&amp;"")</f>
        <v>14.26</v>
      </c>
      <c r="BG544" s="288">
        <v>0.96</v>
      </c>
      <c r="BH544" s="286">
        <v>4.55</v>
      </c>
      <c r="BI544" s="525">
        <v>67.2</v>
      </c>
      <c r="BJ544" s="285" cm="1">
        <f t="array" aca="1" ref="BJ544" ca="1">INDIRECT("'"&amp;$C544&amp;"'!"&amp;"$"&amp;$D544&amp;$BI$1&amp;"")</f>
        <v>4.7</v>
      </c>
      <c r="BK544" s="287">
        <v>0.95</v>
      </c>
      <c r="BL544" s="286">
        <v>1.5</v>
      </c>
      <c r="BM544" s="290" cm="1">
        <f t="array" aca="1" ref="BM544" ca="1">INDIRECT("'"&amp;$C544&amp;"'!"&amp;"$"&amp;$D544&amp;$BM$1&amp;"")</f>
        <v>1.37</v>
      </c>
      <c r="BN544" s="288"/>
      <c r="BO544" s="288">
        <v>0.99</v>
      </c>
      <c r="BP544" s="286">
        <v>0.17</v>
      </c>
      <c r="BQ544" s="291" cm="1">
        <f t="array" aca="1" ref="BQ544" ca="1">INDIRECT("'"&amp;$C544&amp;"'!"&amp;"$"&amp;$D544&amp;$BQ$1&amp;"")</f>
        <v>0.85</v>
      </c>
      <c r="BR544" s="288"/>
      <c r="BS544" s="288">
        <v>0.96</v>
      </c>
      <c r="BT544" s="286">
        <v>0.23</v>
      </c>
      <c r="BU544" s="291" cm="1">
        <f t="array" aca="1" ref="BU544" ca="1">INDIRECT("'"&amp;$C544&amp;"'!"&amp;"$"&amp;$D544&amp;74&amp;"")</f>
        <v>0</v>
      </c>
      <c r="BV544" s="288"/>
      <c r="BW544" s="288" t="s">
        <v>1</v>
      </c>
      <c r="BX544" s="286" t="s">
        <v>1</v>
      </c>
    </row>
    <row r="545" spans="1:76">
      <c r="A545" s="459">
        <v>45860</v>
      </c>
      <c r="B545" s="345">
        <v>0.625</v>
      </c>
      <c r="C545" s="305">
        <v>22</v>
      </c>
      <c r="D545" s="306" t="s">
        <v>157</v>
      </c>
      <c r="E545" s="278">
        <v>14</v>
      </c>
      <c r="F545" s="279">
        <v>69.22</v>
      </c>
      <c r="G545" s="280" t="str" cm="1">
        <f t="array" aca="1" ref="G545" ca="1">INDIRECT("'"&amp;$C545&amp;"'!"&amp;"$"&amp;$D545&amp;$E$1&amp;"")</f>
        <v>CMS</v>
      </c>
      <c r="H545" s="281" t="s">
        <v>1</v>
      </c>
      <c r="I545" s="279" t="s">
        <v>1</v>
      </c>
      <c r="J545" s="280" cm="1">
        <f t="array" aca="1" ref="J545" ca="1">INDIRECT("'"&amp;$C545&amp;"'!"&amp;"$"&amp;$D545&amp;$J$1&amp;"")</f>
        <v>6.7</v>
      </c>
      <c r="K545" s="281"/>
      <c r="L545" s="281">
        <v>0.9</v>
      </c>
      <c r="M545" s="282">
        <v>3.3</v>
      </c>
      <c r="N545" s="278" cm="1">
        <f t="array" aca="1" ref="N545" ca="1">INDIRECT("'"&amp;$C545&amp;"'!"&amp;"$"&amp;$D545&amp;$N$1&amp;"")</f>
        <v>6.7</v>
      </c>
      <c r="O545" s="281"/>
      <c r="P545" s="281">
        <v>0.9</v>
      </c>
      <c r="Q545" s="279">
        <v>3.21</v>
      </c>
      <c r="R545" s="468" cm="1">
        <f t="array" aca="1" ref="R545" ca="1">INDIRECT("'"&amp;$C545&amp;"'!"&amp;"$"&amp;$D545&amp;$R$1&amp;"")</f>
        <v>6.7</v>
      </c>
      <c r="S545" s="281"/>
      <c r="T545" s="281">
        <v>0.9</v>
      </c>
      <c r="U545" s="279">
        <v>3.25</v>
      </c>
      <c r="V545" s="280" cm="1">
        <f t="array" aca="1" ref="V545" ca="1">INDIRECT("'"&amp;$C545&amp;"'!"&amp;"$"&amp;$D545&amp;$V$1&amp;"")</f>
        <v>2.8</v>
      </c>
      <c r="W545" s="281">
        <f>3.41*3.8</f>
        <v>12.958</v>
      </c>
      <c r="X545" s="281">
        <v>0.9</v>
      </c>
      <c r="Y545" s="282">
        <v>0.34</v>
      </c>
      <c r="Z545" s="278" t="str" cm="1">
        <f t="array" aca="1" ref="Z545" ca="1">INDIRECT("'"&amp;$C545&amp;"'!"&amp;"$"&amp;$D545&amp;$Z$1&amp;"")</f>
        <v>CMS</v>
      </c>
      <c r="AA545" s="281" t="s">
        <v>1</v>
      </c>
      <c r="AB545" s="281" t="s">
        <v>1</v>
      </c>
      <c r="AC545" s="279" t="s">
        <v>1</v>
      </c>
      <c r="AD545" s="280" t="str" cm="1">
        <f t="array" aca="1" ref="AD545" ca="1">INDIRECT("'"&amp;$C545&amp;"'!"&amp;"$"&amp;$D545&amp;$AD$1&amp;"")</f>
        <v>CMS</v>
      </c>
      <c r="AE545" s="281" t="s">
        <v>1</v>
      </c>
      <c r="AF545" s="281" t="s">
        <v>1</v>
      </c>
      <c r="AG545" s="279" t="s">
        <v>1</v>
      </c>
      <c r="AH545" s="278" cm="1">
        <f t="array" aca="1" ref="AH545" ca="1">INDIRECT("'"&amp;$C545&amp;"'!"&amp;"$"&amp;$D545&amp;$AH$1&amp;"")</f>
        <v>3</v>
      </c>
      <c r="AI545" s="281">
        <f>14.12</f>
        <v>14.12</v>
      </c>
      <c r="AJ545" s="281">
        <v>0.97</v>
      </c>
      <c r="AK545" s="279">
        <v>0.58199999999999996</v>
      </c>
      <c r="AL545" s="278">
        <v>11.7</v>
      </c>
      <c r="AM545" s="282">
        <v>70.900000000000006</v>
      </c>
      <c r="AN545" s="278" cm="1">
        <f t="array" aca="1" ref="AN545" ca="1">INDIRECT("'"&amp;$C545&amp;"'!"&amp;"$"&amp;$D545&amp;$AL$1&amp;"")</f>
        <v>0</v>
      </c>
      <c r="AO545" s="281" t="s">
        <v>1</v>
      </c>
      <c r="AP545" s="279" t="s">
        <v>1</v>
      </c>
      <c r="AQ545" s="280" cm="1">
        <f t="array" aca="1" ref="AQ545" ca="1">INDIRECT("'"&amp;$C545&amp;"'!"&amp;"$"&amp;$D545&amp;$AQ$1&amp;"")</f>
        <v>3.7</v>
      </c>
      <c r="AR545" s="281">
        <v>0.94</v>
      </c>
      <c r="AS545" s="279">
        <v>1.39</v>
      </c>
      <c r="AT545" s="278">
        <v>13.99</v>
      </c>
      <c r="AU545" s="282">
        <v>70.900000000000006</v>
      </c>
      <c r="AV545" s="281" cm="1">
        <f t="array" aca="1" ref="AV545" ca="1">INDIRECT("'"&amp;$C545&amp;"'!"&amp;"$"&amp;$D545&amp;$AV$1&amp;"")</f>
        <v>3.5</v>
      </c>
      <c r="AW545" s="280">
        <v>13.7</v>
      </c>
      <c r="AX545" s="281">
        <v>0.96</v>
      </c>
      <c r="AY545" s="279">
        <v>0.92</v>
      </c>
      <c r="AZ545" s="281" cm="1">
        <f t="array" aca="1" ref="AZ545" ca="1">INDIRECT("'"&amp;$C545&amp;"'!"&amp;"$"&amp;$D545&amp;$AZ$1&amp;"")</f>
        <v>7</v>
      </c>
      <c r="BA545" s="280">
        <v>13.7</v>
      </c>
      <c r="BB545" s="281">
        <v>0.96</v>
      </c>
      <c r="BC545" s="279">
        <v>1.61</v>
      </c>
      <c r="BD545" s="283">
        <v>14.35</v>
      </c>
      <c r="BE545" s="282">
        <v>71.89</v>
      </c>
      <c r="BF545" s="283" cm="1">
        <f t="array" aca="1" ref="BF545" ca="1">INDIRECT("'"&amp;$C545&amp;"'!"&amp;"$"&amp;$D545&amp;$BF$1&amp;"")</f>
        <v>14.25</v>
      </c>
      <c r="BG545" s="281">
        <v>0.96</v>
      </c>
      <c r="BH545" s="279">
        <v>4.4800000000000004</v>
      </c>
      <c r="BI545" s="524">
        <v>67.400000000000006</v>
      </c>
      <c r="BJ545" s="278" cm="1">
        <f t="array" aca="1" ref="BJ545" ca="1">INDIRECT("'"&amp;$C545&amp;"'!"&amp;"$"&amp;$D545&amp;$BI$1&amp;"")</f>
        <v>4.7</v>
      </c>
      <c r="BK545" s="280">
        <v>0.95</v>
      </c>
      <c r="BL545" s="279">
        <v>1.5</v>
      </c>
      <c r="BM545" s="283" cm="1">
        <f t="array" aca="1" ref="BM545" ca="1">INDIRECT("'"&amp;$C545&amp;"'!"&amp;"$"&amp;$D545&amp;$BM$1&amp;"")</f>
        <v>1.36</v>
      </c>
      <c r="BN545" s="281"/>
      <c r="BO545" s="281">
        <v>0.99</v>
      </c>
      <c r="BP545" s="279">
        <v>0.17</v>
      </c>
      <c r="BQ545" s="284" cm="1">
        <f t="array" aca="1" ref="BQ545" ca="1">INDIRECT("'"&amp;$C545&amp;"'!"&amp;"$"&amp;$D545&amp;$BQ$1&amp;"")</f>
        <v>0.86</v>
      </c>
      <c r="BR545" s="281"/>
      <c r="BS545" s="281">
        <v>0.96</v>
      </c>
      <c r="BT545" s="279">
        <v>0.23</v>
      </c>
      <c r="BU545" s="284" cm="1">
        <f t="array" aca="1" ref="BU545" ca="1">INDIRECT("'"&amp;$C545&amp;"'!"&amp;"$"&amp;$D545&amp;74&amp;"")</f>
        <v>0</v>
      </c>
      <c r="BV545" s="281"/>
      <c r="BW545" s="281" t="s">
        <v>1</v>
      </c>
      <c r="BX545" s="279" t="s">
        <v>1</v>
      </c>
    </row>
    <row r="546" spans="1:76">
      <c r="A546" s="459">
        <v>45860</v>
      </c>
      <c r="B546" s="345">
        <v>0.66666666666666696</v>
      </c>
      <c r="C546" s="305">
        <v>22</v>
      </c>
      <c r="D546" s="306" t="s">
        <v>158</v>
      </c>
      <c r="E546" s="285">
        <v>14.1</v>
      </c>
      <c r="F546" s="286">
        <v>69.03</v>
      </c>
      <c r="G546" s="287" t="str" cm="1">
        <f t="array" aca="1" ref="G546" ca="1">INDIRECT("'"&amp;$C546&amp;"'!"&amp;"$"&amp;$D546&amp;$E$1&amp;"")</f>
        <v>CMS</v>
      </c>
      <c r="H546" s="288" t="s">
        <v>1</v>
      </c>
      <c r="I546" s="286" t="s">
        <v>1</v>
      </c>
      <c r="J546" s="287" cm="1">
        <f t="array" aca="1" ref="J546" ca="1">INDIRECT("'"&amp;$C546&amp;"'!"&amp;"$"&amp;$D546&amp;$J$1&amp;"")</f>
        <v>6.7</v>
      </c>
      <c r="K546" s="288"/>
      <c r="L546" s="288">
        <v>0.9</v>
      </c>
      <c r="M546" s="289">
        <v>3.23</v>
      </c>
      <c r="N546" s="285" cm="1">
        <f t="array" aca="1" ref="N546" ca="1">INDIRECT("'"&amp;$C546&amp;"'!"&amp;"$"&amp;$D546&amp;$N$1&amp;"")</f>
        <v>6.7</v>
      </c>
      <c r="O546" s="288"/>
      <c r="P546" s="288">
        <v>0.9</v>
      </c>
      <c r="Q546" s="286">
        <v>3.22</v>
      </c>
      <c r="R546" s="469" cm="1">
        <f t="array" aca="1" ref="R546" ca="1">INDIRECT("'"&amp;$C546&amp;"'!"&amp;"$"&amp;$D546&amp;$R$1&amp;"")</f>
        <v>6.7</v>
      </c>
      <c r="S546" s="288"/>
      <c r="T546" s="288">
        <v>0.9</v>
      </c>
      <c r="U546" s="286">
        <v>3.24</v>
      </c>
      <c r="V546" s="287" cm="1">
        <f t="array" aca="1" ref="V546" ca="1">INDIRECT("'"&amp;$C546&amp;"'!"&amp;"$"&amp;$D546&amp;$V$1&amp;"")</f>
        <v>2.8</v>
      </c>
      <c r="W546" s="288">
        <f>3.41*3.8</f>
        <v>12.958</v>
      </c>
      <c r="X546" s="288">
        <v>0.89</v>
      </c>
      <c r="Y546" s="289">
        <v>1.41</v>
      </c>
      <c r="Z546" s="285" t="str" cm="1">
        <f t="array" aca="1" ref="Z546" ca="1">INDIRECT("'"&amp;$C546&amp;"'!"&amp;"$"&amp;$D546&amp;$Z$1&amp;"")</f>
        <v>CMS</v>
      </c>
      <c r="AA546" s="288" t="s">
        <v>1</v>
      </c>
      <c r="AB546" s="288" t="s">
        <v>1</v>
      </c>
      <c r="AC546" s="286" t="s">
        <v>1</v>
      </c>
      <c r="AD546" s="287" t="str" cm="1">
        <f t="array" aca="1" ref="AD546" ca="1">INDIRECT("'"&amp;$C546&amp;"'!"&amp;"$"&amp;$D546&amp;$AD$1&amp;"")</f>
        <v>CMS</v>
      </c>
      <c r="AE546" s="288" t="s">
        <v>1</v>
      </c>
      <c r="AF546" s="288" t="s">
        <v>1</v>
      </c>
      <c r="AG546" s="289" t="s">
        <v>1</v>
      </c>
      <c r="AH546" s="285" cm="1">
        <f t="array" aca="1" ref="AH546" ca="1">INDIRECT("'"&amp;$C546&amp;"'!"&amp;"$"&amp;$D546&amp;$AH$1&amp;"")</f>
        <v>3</v>
      </c>
      <c r="AI546" s="288">
        <v>14.08</v>
      </c>
      <c r="AJ546" s="288">
        <v>0.98</v>
      </c>
      <c r="AK546" s="286">
        <v>0.49</v>
      </c>
      <c r="AL546" s="285">
        <v>11.6</v>
      </c>
      <c r="AM546" s="289">
        <v>70.900000000000006</v>
      </c>
      <c r="AN546" s="285" cm="1">
        <f t="array" aca="1" ref="AN546" ca="1">INDIRECT("'"&amp;$C546&amp;"'!"&amp;"$"&amp;$D546&amp;$AL$1&amp;"")</f>
        <v>0</v>
      </c>
      <c r="AO546" s="288" t="s">
        <v>1</v>
      </c>
      <c r="AP546" s="286" t="s">
        <v>1</v>
      </c>
      <c r="AQ546" s="287" cm="1">
        <f t="array" aca="1" ref="AQ546" ca="1">INDIRECT("'"&amp;$C546&amp;"'!"&amp;"$"&amp;$D546&amp;$AQ$1&amp;"")</f>
        <v>3.7</v>
      </c>
      <c r="AR546" s="288">
        <v>0.95</v>
      </c>
      <c r="AS546" s="286">
        <v>1.1000000000000001</v>
      </c>
      <c r="AT546" s="285">
        <v>13.98</v>
      </c>
      <c r="AU546" s="289">
        <v>70.900000000000006</v>
      </c>
      <c r="AV546" s="288" cm="1">
        <f t="array" aca="1" ref="AV546" ca="1">INDIRECT("'"&amp;$C546&amp;"'!"&amp;"$"&amp;$D546&amp;$AV$1&amp;"")</f>
        <v>2.9</v>
      </c>
      <c r="AW546" s="287" t="s">
        <v>1</v>
      </c>
      <c r="AX546" s="288">
        <v>0.96</v>
      </c>
      <c r="AY546" s="286">
        <v>0.81</v>
      </c>
      <c r="AZ546" s="288" cm="1">
        <f t="array" aca="1" ref="AZ546" ca="1">INDIRECT("'"&amp;$C546&amp;"'!"&amp;"$"&amp;$D546&amp;$AZ$1&amp;"")</f>
        <v>7</v>
      </c>
      <c r="BA546" s="287" t="s">
        <v>1</v>
      </c>
      <c r="BB546" s="288">
        <v>0.96</v>
      </c>
      <c r="BC546" s="286">
        <v>1.69</v>
      </c>
      <c r="BD546" s="290">
        <v>14.36</v>
      </c>
      <c r="BE546" s="289">
        <v>71.92</v>
      </c>
      <c r="BF546" s="290" cm="1">
        <f t="array" aca="1" ref="BF546" ca="1">INDIRECT("'"&amp;$C546&amp;"'!"&amp;"$"&amp;$D546&amp;$BF$1&amp;"")</f>
        <v>14.27</v>
      </c>
      <c r="BG546" s="288">
        <v>0.96</v>
      </c>
      <c r="BH546" s="286">
        <v>4.47</v>
      </c>
      <c r="BI546" s="525">
        <v>67.3</v>
      </c>
      <c r="BJ546" s="285" cm="1">
        <f t="array" aca="1" ref="BJ546" ca="1">INDIRECT("'"&amp;$C546&amp;"'!"&amp;"$"&amp;$D546&amp;$BI$1&amp;"")</f>
        <v>4.6000000000000005</v>
      </c>
      <c r="BK546" s="287">
        <v>0.95</v>
      </c>
      <c r="BL546" s="286">
        <v>1.5</v>
      </c>
      <c r="BM546" s="290" cm="1">
        <f t="array" aca="1" ref="BM546" ca="1">INDIRECT("'"&amp;$C546&amp;"'!"&amp;"$"&amp;$D546&amp;$BM$1&amp;"")</f>
        <v>1.3</v>
      </c>
      <c r="BN546" s="288"/>
      <c r="BO546" s="288">
        <v>0.99</v>
      </c>
      <c r="BP546" s="286">
        <v>0.16</v>
      </c>
      <c r="BQ546" s="291" cm="1">
        <f t="array" aca="1" ref="BQ546" ca="1">INDIRECT("'"&amp;$C546&amp;"'!"&amp;"$"&amp;$D546&amp;$BQ$1&amp;"")</f>
        <v>0.88</v>
      </c>
      <c r="BR546" s="288"/>
      <c r="BS546" s="288">
        <v>0.96</v>
      </c>
      <c r="BT546" s="286">
        <v>0.24</v>
      </c>
      <c r="BU546" s="291" cm="1">
        <f t="array" aca="1" ref="BU546" ca="1">INDIRECT("'"&amp;$C546&amp;"'!"&amp;"$"&amp;$D546&amp;74&amp;"")</f>
        <v>0</v>
      </c>
      <c r="BV546" s="288"/>
      <c r="BW546" s="288" t="s">
        <v>1</v>
      </c>
      <c r="BX546" s="286" t="s">
        <v>1</v>
      </c>
    </row>
    <row r="547" spans="1:76">
      <c r="A547" s="459">
        <v>45860</v>
      </c>
      <c r="B547" s="345">
        <v>0.70833333333333404</v>
      </c>
      <c r="C547" s="305">
        <v>22</v>
      </c>
      <c r="D547" s="306" t="s">
        <v>159</v>
      </c>
      <c r="E547" s="278">
        <v>14</v>
      </c>
      <c r="F547" s="279">
        <v>69.02</v>
      </c>
      <c r="G547" s="280" t="str" cm="1">
        <f t="array" aca="1" ref="G547" ca="1">INDIRECT("'"&amp;$C547&amp;"'!"&amp;"$"&amp;$D547&amp;$E$1&amp;"")</f>
        <v>CMS</v>
      </c>
      <c r="H547" s="281" t="s">
        <v>1</v>
      </c>
      <c r="I547" s="279" t="s">
        <v>1</v>
      </c>
      <c r="J547" s="280" cm="1">
        <f t="array" aca="1" ref="J547" ca="1">INDIRECT("'"&amp;$C547&amp;"'!"&amp;"$"&amp;$D547&amp;$J$1&amp;"")</f>
        <v>6.5</v>
      </c>
      <c r="K547" s="281"/>
      <c r="L547" s="281">
        <v>0.9</v>
      </c>
      <c r="M547" s="282">
        <v>3.2</v>
      </c>
      <c r="N547" s="278" cm="1">
        <f t="array" aca="1" ref="N547" ca="1">INDIRECT("'"&amp;$C547&amp;"'!"&amp;"$"&amp;$D547&amp;$N$1&amp;"")</f>
        <v>6.5</v>
      </c>
      <c r="O547" s="281"/>
      <c r="P547" s="281">
        <v>0.9</v>
      </c>
      <c r="Q547" s="279">
        <v>3.18</v>
      </c>
      <c r="R547" s="468" cm="1">
        <f t="array" aca="1" ref="R547" ca="1">INDIRECT("'"&amp;$C547&amp;"'!"&amp;"$"&amp;$D547&amp;$R$1&amp;"")</f>
        <v>6.5</v>
      </c>
      <c r="S547" s="281"/>
      <c r="T547" s="281">
        <v>0.9</v>
      </c>
      <c r="U547" s="279">
        <v>3.17</v>
      </c>
      <c r="V547" s="280" cm="1">
        <f t="array" aca="1" ref="V547" ca="1">INDIRECT("'"&amp;$C547&amp;"'!"&amp;"$"&amp;$D547&amp;$V$1&amp;"")</f>
        <v>2</v>
      </c>
      <c r="W547" s="281">
        <f>3.41*3.8</f>
        <v>12.958</v>
      </c>
      <c r="X547" s="281">
        <v>0.9</v>
      </c>
      <c r="Y547" s="282">
        <v>1.01</v>
      </c>
      <c r="Z547" s="278" t="str" cm="1">
        <f t="array" aca="1" ref="Z547" ca="1">INDIRECT("'"&amp;$C547&amp;"'!"&amp;"$"&amp;$D547&amp;$Z$1&amp;"")</f>
        <v>CMS</v>
      </c>
      <c r="AA547" s="281" t="s">
        <v>1</v>
      </c>
      <c r="AB547" s="281" t="s">
        <v>1</v>
      </c>
      <c r="AC547" s="279" t="s">
        <v>1</v>
      </c>
      <c r="AD547" s="280" t="str" cm="1">
        <f t="array" aca="1" ref="AD547" ca="1">INDIRECT("'"&amp;$C547&amp;"'!"&amp;"$"&amp;$D547&amp;$AD$1&amp;"")</f>
        <v>CMS</v>
      </c>
      <c r="AE547" s="281" t="s">
        <v>1</v>
      </c>
      <c r="AF547" s="281" t="s">
        <v>1</v>
      </c>
      <c r="AG547" s="282" t="s">
        <v>1</v>
      </c>
      <c r="AH547" s="278" cm="1">
        <f t="array" aca="1" ref="AH547" ca="1">INDIRECT("'"&amp;$C547&amp;"'!"&amp;"$"&amp;$D547&amp;$AH$1&amp;"")</f>
        <v>3</v>
      </c>
      <c r="AI547" s="281">
        <f>14.08</f>
        <v>14.08</v>
      </c>
      <c r="AJ547" s="281">
        <v>0.98</v>
      </c>
      <c r="AK547" s="279">
        <v>0.48399999999999999</v>
      </c>
      <c r="AL547" s="278">
        <v>11.6</v>
      </c>
      <c r="AM547" s="282">
        <v>70.900000000000006</v>
      </c>
      <c r="AN547" s="278" cm="1">
        <f t="array" aca="1" ref="AN547" ca="1">INDIRECT("'"&amp;$C547&amp;"'!"&amp;"$"&amp;$D547&amp;$AL$1&amp;"")</f>
        <v>0</v>
      </c>
      <c r="AO547" s="281" t="s">
        <v>1</v>
      </c>
      <c r="AP547" s="279" t="s">
        <v>1</v>
      </c>
      <c r="AQ547" s="280" cm="1">
        <f t="array" aca="1" ref="AQ547" ca="1">INDIRECT("'"&amp;$C547&amp;"'!"&amp;"$"&amp;$D547&amp;$AQ$1&amp;"")</f>
        <v>3.7</v>
      </c>
      <c r="AR547" s="281">
        <v>0.95</v>
      </c>
      <c r="AS547" s="279">
        <v>1.1399999999999999</v>
      </c>
      <c r="AT547" s="278">
        <v>13.97</v>
      </c>
      <c r="AU547" s="282">
        <v>70.900000000000006</v>
      </c>
      <c r="AV547" s="281" cm="1">
        <f t="array" aca="1" ref="AV547" ca="1">INDIRECT("'"&amp;$C547&amp;"'!"&amp;"$"&amp;$D547&amp;$AV$1&amp;"")</f>
        <v>2.7</v>
      </c>
      <c r="AW547" s="280" t="s">
        <v>1</v>
      </c>
      <c r="AX547" s="281">
        <v>0.96</v>
      </c>
      <c r="AY547" s="279">
        <v>0.74</v>
      </c>
      <c r="AZ547" s="281" cm="1">
        <f t="array" aca="1" ref="AZ547" ca="1">INDIRECT("'"&amp;$C547&amp;"'!"&amp;"$"&amp;$D547&amp;$AZ$1&amp;"")</f>
        <v>7</v>
      </c>
      <c r="BA547" s="280" t="s">
        <v>1</v>
      </c>
      <c r="BB547" s="281">
        <v>0.96</v>
      </c>
      <c r="BC547" s="279">
        <v>1.72</v>
      </c>
      <c r="BD547" s="283">
        <v>14.27</v>
      </c>
      <c r="BE547" s="282">
        <v>71.88</v>
      </c>
      <c r="BF547" s="283" cm="1">
        <f t="array" aca="1" ref="BF547" ca="1">INDIRECT("'"&amp;$C547&amp;"'!"&amp;"$"&amp;$D547&amp;$BF$1&amp;"")</f>
        <v>14.26</v>
      </c>
      <c r="BG547" s="281">
        <v>0.98</v>
      </c>
      <c r="BH547" s="279">
        <v>3.41</v>
      </c>
      <c r="BI547" s="524">
        <v>67.400000000000006</v>
      </c>
      <c r="BJ547" s="278" cm="1">
        <f t="array" aca="1" ref="BJ547" ca="1">INDIRECT("'"&amp;$C547&amp;"'!"&amp;"$"&amp;$D547&amp;$BI$1&amp;"")</f>
        <v>3.1000000000000005</v>
      </c>
      <c r="BK547" s="280">
        <v>0.95</v>
      </c>
      <c r="BL547" s="279">
        <v>1.1399999999999999</v>
      </c>
      <c r="BM547" s="283" cm="1">
        <f t="array" aca="1" ref="BM547" ca="1">INDIRECT("'"&amp;$C547&amp;"'!"&amp;"$"&amp;$D547&amp;$BM$1&amp;"")</f>
        <v>1.3</v>
      </c>
      <c r="BN547" s="281"/>
      <c r="BO547" s="281">
        <v>0.99</v>
      </c>
      <c r="BP547" s="279">
        <v>0.15</v>
      </c>
      <c r="BQ547" s="284" cm="1">
        <f t="array" aca="1" ref="BQ547" ca="1">INDIRECT("'"&amp;$C547&amp;"'!"&amp;"$"&amp;$D547&amp;$BQ$1&amp;"")</f>
        <v>0.88</v>
      </c>
      <c r="BR547" s="281"/>
      <c r="BS547" s="281">
        <v>0.96</v>
      </c>
      <c r="BT547" s="279">
        <v>0.24</v>
      </c>
      <c r="BU547" s="284" cm="1">
        <f t="array" aca="1" ref="BU547" ca="1">INDIRECT("'"&amp;$C547&amp;"'!"&amp;"$"&amp;$D547&amp;74&amp;"")</f>
        <v>0</v>
      </c>
      <c r="BV547" s="281"/>
      <c r="BW547" s="281" t="s">
        <v>1</v>
      </c>
      <c r="BX547" s="279" t="s">
        <v>1</v>
      </c>
    </row>
    <row r="548" spans="1:76">
      <c r="A548" s="459">
        <v>45860</v>
      </c>
      <c r="B548" s="345">
        <v>0.750000000000001</v>
      </c>
      <c r="C548" s="305">
        <v>22</v>
      </c>
      <c r="D548" s="306" t="s">
        <v>160</v>
      </c>
      <c r="E548" s="285">
        <v>14</v>
      </c>
      <c r="F548" s="286">
        <v>69.510000000000005</v>
      </c>
      <c r="G548" s="287" t="str" cm="1">
        <f t="array" aca="1" ref="G548" ca="1">INDIRECT("'"&amp;$C548&amp;"'!"&amp;"$"&amp;$D548&amp;$E$1&amp;"")</f>
        <v>CMS</v>
      </c>
      <c r="H548" s="288" t="s">
        <v>1</v>
      </c>
      <c r="I548" s="286" t="s">
        <v>1</v>
      </c>
      <c r="J548" s="287" cm="1">
        <f t="array" aca="1" ref="J548" ca="1">INDIRECT("'"&amp;$C548&amp;"'!"&amp;"$"&amp;$D548&amp;$J$1&amp;"")</f>
        <v>6.6</v>
      </c>
      <c r="K548" s="288"/>
      <c r="L548" s="288">
        <v>0.92</v>
      </c>
      <c r="M548" s="289">
        <v>2.81</v>
      </c>
      <c r="N548" s="285" cm="1">
        <f t="array" aca="1" ref="N548" ca="1">INDIRECT("'"&amp;$C548&amp;"'!"&amp;"$"&amp;$D548&amp;$N$1&amp;"")</f>
        <v>6.6</v>
      </c>
      <c r="O548" s="288"/>
      <c r="P548" s="288">
        <v>0.92</v>
      </c>
      <c r="Q548" s="286">
        <v>2.78</v>
      </c>
      <c r="R548" s="285" cm="1">
        <f t="array" aca="1" ref="R548" ca="1">INDIRECT("'"&amp;$C548&amp;"'!"&amp;"$"&amp;$D548&amp;$R$1&amp;"")</f>
        <v>6.6</v>
      </c>
      <c r="S548" s="288"/>
      <c r="T548" s="288">
        <v>0.92</v>
      </c>
      <c r="U548" s="286">
        <v>2.79</v>
      </c>
      <c r="V548" s="287" cm="1">
        <f t="array" aca="1" ref="V548" ca="1">INDIRECT("'"&amp;$C548&amp;"'!"&amp;"$"&amp;$D548&amp;$V$1&amp;"")</f>
        <v>2.8</v>
      </c>
      <c r="W548" s="288">
        <f>3.8*3.45</f>
        <v>13.11</v>
      </c>
      <c r="X548" s="288">
        <v>0.91</v>
      </c>
      <c r="Y548" s="289">
        <v>1.21</v>
      </c>
      <c r="Z548" s="285" t="str" cm="1">
        <f t="array" aca="1" ref="Z548" ca="1">INDIRECT("'"&amp;$C548&amp;"'!"&amp;"$"&amp;$D548&amp;$Z$1&amp;"")</f>
        <v>CMS</v>
      </c>
      <c r="AA548" s="288" t="s">
        <v>1</v>
      </c>
      <c r="AB548" s="288" t="s">
        <v>1</v>
      </c>
      <c r="AC548" s="286" t="s">
        <v>1</v>
      </c>
      <c r="AD548" s="287" t="str" cm="1">
        <f t="array" aca="1" ref="AD548" ca="1">INDIRECT("'"&amp;$C548&amp;"'!"&amp;"$"&amp;$D548&amp;$AD$1&amp;"")</f>
        <v>CMS</v>
      </c>
      <c r="AE548" s="288" t="s">
        <v>1</v>
      </c>
      <c r="AF548" s="288" t="s">
        <v>1</v>
      </c>
      <c r="AG548" s="289" t="s">
        <v>1</v>
      </c>
      <c r="AH548" s="285" cm="1">
        <f t="array" aca="1" ref="AH548" ca="1">INDIRECT("'"&amp;$C548&amp;"'!"&amp;"$"&amp;$D548&amp;$AH$1&amp;"")</f>
        <v>3.8</v>
      </c>
      <c r="AI548" s="288">
        <v>14.08</v>
      </c>
      <c r="AJ548" s="288">
        <v>0.98</v>
      </c>
      <c r="AK548" s="286">
        <v>0.47899999999999998</v>
      </c>
      <c r="AL548" s="285">
        <v>11.6</v>
      </c>
      <c r="AM548" s="289">
        <v>70.900000000000006</v>
      </c>
      <c r="AN548" s="285" cm="1">
        <f t="array" aca="1" ref="AN548" ca="1">INDIRECT("'"&amp;$C548&amp;"'!"&amp;"$"&amp;$D548&amp;$AL$1&amp;"")</f>
        <v>0</v>
      </c>
      <c r="AO548" s="288" t="s">
        <v>1</v>
      </c>
      <c r="AP548" s="286" t="s">
        <v>1</v>
      </c>
      <c r="AQ548" s="287" cm="1">
        <f t="array" aca="1" ref="AQ548" ca="1">INDIRECT("'"&amp;$C548&amp;"'!"&amp;"$"&amp;$D548&amp;$AQ$1&amp;"")</f>
        <v>3.8</v>
      </c>
      <c r="AR548" s="288">
        <v>0.95</v>
      </c>
      <c r="AS548" s="286">
        <v>1.1599999999999999</v>
      </c>
      <c r="AT548" s="285">
        <v>13.96</v>
      </c>
      <c r="AU548" s="289">
        <v>70.8</v>
      </c>
      <c r="AV548" s="288" cm="1">
        <f t="array" aca="1" ref="AV548" ca="1">INDIRECT("'"&amp;$C548&amp;"'!"&amp;"$"&amp;$D548&amp;$AV$1&amp;"")</f>
        <v>0</v>
      </c>
      <c r="AW548" s="287" t="s">
        <v>1</v>
      </c>
      <c r="AX548" s="288" t="s">
        <v>1</v>
      </c>
      <c r="AY548" s="286" t="s">
        <v>1</v>
      </c>
      <c r="AZ548" s="288" cm="1">
        <f t="array" aca="1" ref="AZ548" ca="1">INDIRECT("'"&amp;$C548&amp;"'!"&amp;"$"&amp;$D548&amp;$AZ$1&amp;"")</f>
        <v>7</v>
      </c>
      <c r="BA548" s="287" t="s">
        <v>1</v>
      </c>
      <c r="BB548" s="288">
        <v>0.96</v>
      </c>
      <c r="BC548" s="286">
        <v>1.98</v>
      </c>
      <c r="BD548" s="290">
        <v>14.27</v>
      </c>
      <c r="BE548" s="289">
        <v>72.02</v>
      </c>
      <c r="BF548" s="290" cm="1">
        <f t="array" aca="1" ref="BF548" ca="1">INDIRECT("'"&amp;$C548&amp;"'!"&amp;"$"&amp;$D548&amp;$BF$1&amp;"")</f>
        <v>14.26</v>
      </c>
      <c r="BG548" s="288">
        <v>0.98</v>
      </c>
      <c r="BH548" s="286">
        <v>3.43</v>
      </c>
      <c r="BI548" s="525">
        <v>68</v>
      </c>
      <c r="BJ548" s="285" cm="1">
        <f t="array" aca="1" ref="BJ548" ca="1">INDIRECT("'"&amp;$C548&amp;"'!"&amp;"$"&amp;$D548&amp;$BI$1&amp;"")</f>
        <v>3.9000000000000004</v>
      </c>
      <c r="BK548" s="287">
        <v>0.96</v>
      </c>
      <c r="BL548" s="286">
        <v>1.1000000000000001</v>
      </c>
      <c r="BM548" s="290" cm="1">
        <f t="array" aca="1" ref="BM548" ca="1">INDIRECT("'"&amp;$C548&amp;"'!"&amp;"$"&amp;$D548&amp;$BM$1&amp;"")</f>
        <v>1.18</v>
      </c>
      <c r="BN548" s="288"/>
      <c r="BO548" s="288">
        <v>0.99</v>
      </c>
      <c r="BP548" s="286">
        <v>0.13</v>
      </c>
      <c r="BQ548" s="291" cm="1">
        <f t="array" aca="1" ref="BQ548" ca="1">INDIRECT("'"&amp;$C548&amp;"'!"&amp;"$"&amp;$D548&amp;$BQ$1&amp;"")</f>
        <v>0.85</v>
      </c>
      <c r="BR548" s="288"/>
      <c r="BS548" s="288">
        <v>0.96</v>
      </c>
      <c r="BT548" s="286">
        <v>0.23</v>
      </c>
      <c r="BU548" s="291" cm="1">
        <f t="array" aca="1" ref="BU548" ca="1">INDIRECT("'"&amp;$C548&amp;"'!"&amp;"$"&amp;$D548&amp;74&amp;"")</f>
        <v>0</v>
      </c>
      <c r="BV548" s="288"/>
      <c r="BW548" s="288" t="s">
        <v>1</v>
      </c>
      <c r="BX548" s="286" t="s">
        <v>1</v>
      </c>
    </row>
    <row r="549" spans="1:76">
      <c r="A549" s="459">
        <v>45860</v>
      </c>
      <c r="B549" s="345">
        <v>0.79166666666666696</v>
      </c>
      <c r="C549" s="305">
        <v>22</v>
      </c>
      <c r="D549" s="306" t="s">
        <v>161</v>
      </c>
      <c r="E549" s="278">
        <v>14</v>
      </c>
      <c r="F549" s="279">
        <v>68.83</v>
      </c>
      <c r="G549" s="280" t="str" cm="1">
        <f t="array" aca="1" ref="G549" ca="1">INDIRECT("'"&amp;$C549&amp;"'!"&amp;"$"&amp;$D549&amp;$E$1&amp;"")</f>
        <v>CMS</v>
      </c>
      <c r="H549" s="281" t="s">
        <v>1</v>
      </c>
      <c r="I549" s="279" t="s">
        <v>1</v>
      </c>
      <c r="J549" s="280" cm="1">
        <f t="array" aca="1" ref="J549" ca="1">INDIRECT("'"&amp;$C549&amp;"'!"&amp;"$"&amp;$D549&amp;$J$1&amp;"")</f>
        <v>6.6</v>
      </c>
      <c r="K549" s="292"/>
      <c r="L549" s="281">
        <v>0.9</v>
      </c>
      <c r="M549" s="282">
        <v>3.24</v>
      </c>
      <c r="N549" s="278" cm="1">
        <f t="array" aca="1" ref="N549" ca="1">INDIRECT("'"&amp;$C549&amp;"'!"&amp;"$"&amp;$D549&amp;$N$1&amp;"")</f>
        <v>6.6</v>
      </c>
      <c r="O549" s="281"/>
      <c r="P549" s="281">
        <v>0.9</v>
      </c>
      <c r="Q549" s="279">
        <v>3.21</v>
      </c>
      <c r="R549" s="468" cm="1">
        <f t="array" aca="1" ref="R549" ca="1">INDIRECT("'"&amp;$C549&amp;"'!"&amp;"$"&amp;$D549&amp;$R$1&amp;"")</f>
        <v>6.6</v>
      </c>
      <c r="S549" s="281"/>
      <c r="T549" s="281">
        <v>0.9</v>
      </c>
      <c r="U549" s="279">
        <v>3.26</v>
      </c>
      <c r="V549" s="280" cm="1">
        <f t="array" aca="1" ref="V549" ca="1">INDIRECT("'"&amp;$C549&amp;"'!"&amp;"$"&amp;$D549&amp;$V$1&amp;"")</f>
        <v>2.8</v>
      </c>
      <c r="W549" s="281">
        <f>3.8*3.42</f>
        <v>12.995999999999999</v>
      </c>
      <c r="X549" s="281">
        <v>0.9</v>
      </c>
      <c r="Y549" s="282">
        <v>1.28</v>
      </c>
      <c r="Z549" s="278" t="str" cm="1">
        <f t="array" aca="1" ref="Z549" ca="1">INDIRECT("'"&amp;$C549&amp;"'!"&amp;"$"&amp;$D549&amp;$Z$1&amp;"")</f>
        <v>CMS</v>
      </c>
      <c r="AA549" s="281" t="s">
        <v>1</v>
      </c>
      <c r="AB549" s="281" t="s">
        <v>1</v>
      </c>
      <c r="AC549" s="279" t="s">
        <v>1</v>
      </c>
      <c r="AD549" s="280" t="str" cm="1">
        <f t="array" aca="1" ref="AD549" ca="1">INDIRECT("'"&amp;$C549&amp;"'!"&amp;"$"&amp;$D549&amp;$AD$1&amp;"")</f>
        <v>CMS</v>
      </c>
      <c r="AE549" s="281" t="s">
        <v>1</v>
      </c>
      <c r="AF549" s="281" t="s">
        <v>1</v>
      </c>
      <c r="AG549" s="282" t="s">
        <v>1</v>
      </c>
      <c r="AH549" s="278" cm="1">
        <f t="array" aca="1" ref="AH549" ca="1">INDIRECT("'"&amp;$C549&amp;"'!"&amp;"$"&amp;$D549&amp;$AH$1&amp;"")</f>
        <v>3.8</v>
      </c>
      <c r="AI549" s="281">
        <v>14.04</v>
      </c>
      <c r="AJ549" s="281">
        <v>0.98</v>
      </c>
      <c r="AK549" s="279">
        <v>0.48399999999999999</v>
      </c>
      <c r="AL549" s="278">
        <v>11.6</v>
      </c>
      <c r="AM549" s="282">
        <v>70.8</v>
      </c>
      <c r="AN549" s="278" cm="1">
        <f t="array" aca="1" ref="AN549" ca="1">INDIRECT("'"&amp;$C549&amp;"'!"&amp;"$"&amp;$D549&amp;$AL$1&amp;"")</f>
        <v>0</v>
      </c>
      <c r="AO549" s="281" t="s">
        <v>1</v>
      </c>
      <c r="AP549" s="279" t="s">
        <v>1</v>
      </c>
      <c r="AQ549" s="280" cm="1">
        <f t="array" aca="1" ref="AQ549" ca="1">INDIRECT("'"&amp;$C549&amp;"'!"&amp;"$"&amp;$D549&amp;$AQ$1&amp;"")</f>
        <v>3.8</v>
      </c>
      <c r="AR549" s="281">
        <v>0.94</v>
      </c>
      <c r="AS549" s="279">
        <v>1.23</v>
      </c>
      <c r="AT549" s="278">
        <v>13.97</v>
      </c>
      <c r="AU549" s="282">
        <v>70.8</v>
      </c>
      <c r="AV549" s="281" cm="1">
        <f t="array" aca="1" ref="AV549" ca="1">INDIRECT("'"&amp;$C549&amp;"'!"&amp;"$"&amp;$D549&amp;$AV$1&amp;"")</f>
        <v>5.4</v>
      </c>
      <c r="AW549" s="280">
        <v>13.7</v>
      </c>
      <c r="AX549" s="281">
        <v>0.96</v>
      </c>
      <c r="AY549" s="279">
        <v>1.31</v>
      </c>
      <c r="AZ549" s="281" cm="1">
        <f t="array" aca="1" ref="AZ549" ca="1">INDIRECT("'"&amp;$C549&amp;"'!"&amp;"$"&amp;$D549&amp;$AZ$1&amp;"")</f>
        <v>7</v>
      </c>
      <c r="BA549" s="280">
        <v>13.7</v>
      </c>
      <c r="BB549" s="281">
        <v>0.96</v>
      </c>
      <c r="BC549" s="279">
        <v>1.91</v>
      </c>
      <c r="BD549" s="283">
        <v>14.25</v>
      </c>
      <c r="BE549" s="282">
        <v>71.8</v>
      </c>
      <c r="BF549" s="283" cm="1">
        <f t="array" aca="1" ref="BF549" ca="1">INDIRECT("'"&amp;$C549&amp;"'!"&amp;"$"&amp;$D549&amp;$BF$1&amp;"")</f>
        <v>14.27</v>
      </c>
      <c r="BG549" s="281">
        <v>0.98</v>
      </c>
      <c r="BH549" s="279">
        <v>3.44</v>
      </c>
      <c r="BI549" s="524">
        <v>67.400000000000006</v>
      </c>
      <c r="BJ549" s="278" cm="1">
        <f t="array" aca="1" ref="BJ549" ca="1">INDIRECT("'"&amp;$C549&amp;"'!"&amp;"$"&amp;$D549&amp;$BI$1&amp;"")</f>
        <v>1.5</v>
      </c>
      <c r="BK549" s="280">
        <v>0.97</v>
      </c>
      <c r="BL549" s="279">
        <v>0.55000000000000004</v>
      </c>
      <c r="BM549" s="283" cm="1">
        <f t="array" aca="1" ref="BM549" ca="1">INDIRECT("'"&amp;$C549&amp;"'!"&amp;"$"&amp;$D549&amp;$BM$1&amp;"")</f>
        <v>1.4</v>
      </c>
      <c r="BN549" s="281"/>
      <c r="BO549" s="281">
        <v>0.99</v>
      </c>
      <c r="BP549" s="279">
        <v>0.14000000000000001</v>
      </c>
      <c r="BQ549" s="284" cm="1">
        <f t="array" aca="1" ref="BQ549" ca="1">INDIRECT("'"&amp;$C549&amp;"'!"&amp;"$"&amp;$D549&amp;$BQ$1&amp;"")</f>
        <v>0.97</v>
      </c>
      <c r="BR549" s="281"/>
      <c r="BS549" s="281">
        <v>0.97</v>
      </c>
      <c r="BT549" s="279">
        <v>0.23</v>
      </c>
      <c r="BU549" s="284" cm="1">
        <f t="array" aca="1" ref="BU549" ca="1">INDIRECT("'"&amp;$C549&amp;"'!"&amp;"$"&amp;$D549&amp;74&amp;"")</f>
        <v>0</v>
      </c>
      <c r="BV549" s="281"/>
      <c r="BW549" s="281" t="s">
        <v>1</v>
      </c>
      <c r="BX549" s="279" t="s">
        <v>1</v>
      </c>
    </row>
    <row r="550" spans="1:76">
      <c r="A550" s="459">
        <v>45860</v>
      </c>
      <c r="B550" s="345">
        <v>0.83333333333333337</v>
      </c>
      <c r="C550" s="305">
        <v>22</v>
      </c>
      <c r="D550" s="306" t="s">
        <v>162</v>
      </c>
      <c r="E550" s="285">
        <v>14.1</v>
      </c>
      <c r="F550" s="286">
        <v>69</v>
      </c>
      <c r="G550" s="287" t="str" cm="1">
        <f t="array" aca="1" ref="G550" ca="1">INDIRECT("'"&amp;$C550&amp;"'!"&amp;"$"&amp;$D550&amp;$E$1&amp;"")</f>
        <v>CMS</v>
      </c>
      <c r="H550" s="288" t="s">
        <v>1</v>
      </c>
      <c r="I550" s="286" t="s">
        <v>1</v>
      </c>
      <c r="J550" s="287" cm="1">
        <f t="array" aca="1" ref="J550" ca="1">INDIRECT("'"&amp;$C550&amp;"'!"&amp;"$"&amp;$D550&amp;$J$1&amp;"")</f>
        <v>6.7</v>
      </c>
      <c r="K550" s="288"/>
      <c r="L550" s="288">
        <v>0.96</v>
      </c>
      <c r="M550" s="289">
        <v>1.94</v>
      </c>
      <c r="N550" s="285" cm="1">
        <f t="array" aca="1" ref="N550" ca="1">INDIRECT("'"&amp;$C550&amp;"'!"&amp;"$"&amp;$D550&amp;$N$1&amp;"")</f>
        <v>6.7</v>
      </c>
      <c r="O550" s="288"/>
      <c r="P550" s="288">
        <v>0.96</v>
      </c>
      <c r="Q550" s="286">
        <v>1.94</v>
      </c>
      <c r="R550" s="285" cm="1">
        <f t="array" aca="1" ref="R550" ca="1">INDIRECT("'"&amp;$C550&amp;"'!"&amp;"$"&amp;$D550&amp;$R$1&amp;"")</f>
        <v>6.7</v>
      </c>
      <c r="S550" s="288"/>
      <c r="T550" s="288">
        <v>0.96</v>
      </c>
      <c r="U550" s="286">
        <v>1.94</v>
      </c>
      <c r="V550" s="287" cm="1">
        <f t="array" aca="1" ref="V550" ca="1">INDIRECT("'"&amp;$C550&amp;"'!"&amp;"$"&amp;$D550&amp;$V$1&amp;"")</f>
        <v>2.8</v>
      </c>
      <c r="W550" s="288">
        <f>3.8*3.46</f>
        <v>13.148</v>
      </c>
      <c r="X550" s="288">
        <v>0.91</v>
      </c>
      <c r="Y550" s="289">
        <v>1.19</v>
      </c>
      <c r="Z550" s="285" t="str" cm="1">
        <f t="array" aca="1" ref="Z550" ca="1">INDIRECT("'"&amp;$C550&amp;"'!"&amp;"$"&amp;$D550&amp;$Z$1&amp;"")</f>
        <v>CMS</v>
      </c>
      <c r="AA550" s="288" t="s">
        <v>1</v>
      </c>
      <c r="AB550" s="288" t="s">
        <v>1</v>
      </c>
      <c r="AC550" s="286" t="s">
        <v>1</v>
      </c>
      <c r="AD550" s="287" t="str" cm="1">
        <f t="array" aca="1" ref="AD550" ca="1">INDIRECT("'"&amp;$C550&amp;"'!"&amp;"$"&amp;$D550&amp;$AD$1&amp;"")</f>
        <v>CMS</v>
      </c>
      <c r="AE550" s="288" t="s">
        <v>1</v>
      </c>
      <c r="AF550" s="288" t="s">
        <v>1</v>
      </c>
      <c r="AG550" s="289" t="s">
        <v>1</v>
      </c>
      <c r="AH550" s="285" cm="1">
        <f t="array" aca="1" ref="AH550" ca="1">INDIRECT("'"&amp;$C550&amp;"'!"&amp;"$"&amp;$D550&amp;$AH$1&amp;"")</f>
        <v>3.8</v>
      </c>
      <c r="AI550" s="288">
        <v>14.05</v>
      </c>
      <c r="AJ550" s="288">
        <v>0.99</v>
      </c>
      <c r="AK550" s="286">
        <v>0.23200000000000001</v>
      </c>
      <c r="AL550" s="285">
        <v>11.6</v>
      </c>
      <c r="AM550" s="289">
        <v>71</v>
      </c>
      <c r="AN550" s="285" cm="1">
        <f t="array" aca="1" ref="AN550" ca="1">INDIRECT("'"&amp;$C550&amp;"'!"&amp;"$"&amp;$D550&amp;$AL$1&amp;"")</f>
        <v>0</v>
      </c>
      <c r="AO550" s="288" t="s">
        <v>1</v>
      </c>
      <c r="AP550" s="286" t="s">
        <v>1</v>
      </c>
      <c r="AQ550" s="287" cm="1">
        <f t="array" aca="1" ref="AQ550" ca="1">INDIRECT("'"&amp;$C550&amp;"'!"&amp;"$"&amp;$D550&amp;$AQ$1&amp;"")</f>
        <v>3.8</v>
      </c>
      <c r="AR550" s="288">
        <v>0.96</v>
      </c>
      <c r="AS550" s="286">
        <v>1.02</v>
      </c>
      <c r="AT550" s="285">
        <v>13.97</v>
      </c>
      <c r="AU550" s="289">
        <v>70.8</v>
      </c>
      <c r="AV550" s="288" cm="1">
        <f t="array" aca="1" ref="AV550" ca="1">INDIRECT("'"&amp;$C550&amp;"'!"&amp;"$"&amp;$D550&amp;$AV$1&amp;"")</f>
        <v>3</v>
      </c>
      <c r="AW550" s="287" t="s">
        <v>1</v>
      </c>
      <c r="AX550" s="288">
        <v>0.97</v>
      </c>
      <c r="AY550" s="286">
        <v>0.88</v>
      </c>
      <c r="AZ550" s="288" cm="1">
        <f t="array" aca="1" ref="AZ550" ca="1">INDIRECT("'"&amp;$C550&amp;"'!"&amp;"$"&amp;$D550&amp;$AZ$1&amp;"")</f>
        <v>7</v>
      </c>
      <c r="BA550" s="287" t="s">
        <v>1</v>
      </c>
      <c r="BB550" s="288">
        <v>0.97</v>
      </c>
      <c r="BC550" s="286">
        <v>1.54</v>
      </c>
      <c r="BD550" s="290">
        <v>14.3</v>
      </c>
      <c r="BE550" s="289">
        <v>71.98</v>
      </c>
      <c r="BF550" s="290" cm="1">
        <f t="array" aca="1" ref="BF550" ca="1">INDIRECT("'"&amp;$C550&amp;"'!"&amp;"$"&amp;$D550&amp;$BF$1&amp;"")</f>
        <v>14.26</v>
      </c>
      <c r="BG550" s="288">
        <v>0.98</v>
      </c>
      <c r="BH550" s="286">
        <v>3.42</v>
      </c>
      <c r="BI550" s="525">
        <v>67.900000000000006</v>
      </c>
      <c r="BJ550" s="285" cm="1">
        <f t="array" aca="1" ref="BJ550" ca="1">INDIRECT("'"&amp;$C550&amp;"'!"&amp;"$"&amp;$D550&amp;$BI$1&amp;"")</f>
        <v>0.8</v>
      </c>
      <c r="BK550" s="287">
        <v>0.97</v>
      </c>
      <c r="BL550" s="286">
        <v>0.23</v>
      </c>
      <c r="BM550" s="290" cm="1">
        <f t="array" aca="1" ref="BM550" ca="1">INDIRECT("'"&amp;$C550&amp;"'!"&amp;"$"&amp;$D550&amp;$BM$1&amp;"")</f>
        <v>1.44</v>
      </c>
      <c r="BN550" s="288"/>
      <c r="BO550" s="288">
        <v>0.99</v>
      </c>
      <c r="BP550" s="286">
        <v>0.15</v>
      </c>
      <c r="BQ550" s="291" cm="1">
        <f t="array" aca="1" ref="BQ550" ca="1">INDIRECT("'"&amp;$C550&amp;"'!"&amp;"$"&amp;$D550&amp;$BQ$1&amp;"")</f>
        <v>1.02</v>
      </c>
      <c r="BR550" s="288"/>
      <c r="BS550" s="288">
        <v>0.97</v>
      </c>
      <c r="BT550" s="286">
        <v>0.26</v>
      </c>
      <c r="BU550" s="291" cm="1">
        <f t="array" aca="1" ref="BU550" ca="1">INDIRECT("'"&amp;$C550&amp;"'!"&amp;"$"&amp;$D550&amp;74&amp;"")</f>
        <v>0</v>
      </c>
      <c r="BV550" s="288"/>
      <c r="BW550" s="288" t="s">
        <v>1</v>
      </c>
      <c r="BX550" s="286" t="s">
        <v>1</v>
      </c>
    </row>
    <row r="551" spans="1:76">
      <c r="A551" s="459">
        <v>45860</v>
      </c>
      <c r="B551" s="345">
        <v>0.875000000000001</v>
      </c>
      <c r="C551" s="305">
        <v>22</v>
      </c>
      <c r="D551" s="306" t="s">
        <v>163</v>
      </c>
      <c r="E551" s="278">
        <v>14.1</v>
      </c>
      <c r="F551" s="279">
        <v>69.349999999999994</v>
      </c>
      <c r="G551" s="280" t="str" cm="1">
        <f t="array" aca="1" ref="G551" ca="1">INDIRECT("'"&amp;$C551&amp;"'!"&amp;"$"&amp;$D551&amp;$E$1&amp;"")</f>
        <v>CMS</v>
      </c>
      <c r="H551" s="281" t="s">
        <v>1</v>
      </c>
      <c r="I551" s="279" t="s">
        <v>1</v>
      </c>
      <c r="J551" s="280" cm="1">
        <f t="array" aca="1" ref="J551" ca="1">INDIRECT("'"&amp;$C551&amp;"'!"&amp;"$"&amp;$D551&amp;$J$1&amp;"")</f>
        <v>6.6</v>
      </c>
      <c r="K551" s="281"/>
      <c r="L551" s="281">
        <v>0.96</v>
      </c>
      <c r="M551" s="282">
        <v>1.91</v>
      </c>
      <c r="N551" s="278" cm="1">
        <f t="array" aca="1" ref="N551" ca="1">INDIRECT("'"&amp;$C551&amp;"'!"&amp;"$"&amp;$D551&amp;$N$1&amp;"")</f>
        <v>6.6</v>
      </c>
      <c r="O551" s="281"/>
      <c r="P551" s="281">
        <v>0.96</v>
      </c>
      <c r="Q551" s="279">
        <v>1.91</v>
      </c>
      <c r="R551" s="468" cm="1">
        <f t="array" aca="1" ref="R551" ca="1">INDIRECT("'"&amp;$C551&amp;"'!"&amp;"$"&amp;$D551&amp;$R$1&amp;"")</f>
        <v>6.6</v>
      </c>
      <c r="S551" s="281"/>
      <c r="T551" s="281">
        <v>0.96</v>
      </c>
      <c r="U551" s="279">
        <v>1.91</v>
      </c>
      <c r="V551" s="280" cm="1">
        <f t="array" aca="1" ref="V551" ca="1">INDIRECT("'"&amp;$C551&amp;"'!"&amp;"$"&amp;$D551&amp;$V$1&amp;"")</f>
        <v>2.8</v>
      </c>
      <c r="W551" s="281">
        <f>3.8*3.49</f>
        <v>13.262</v>
      </c>
      <c r="X551" s="281">
        <v>0.94</v>
      </c>
      <c r="Y551" s="282">
        <v>0.95</v>
      </c>
      <c r="Z551" s="278" t="str" cm="1">
        <f t="array" aca="1" ref="Z551" ca="1">INDIRECT("'"&amp;$C551&amp;"'!"&amp;"$"&amp;$D551&amp;$Z$1&amp;"")</f>
        <v>CMS</v>
      </c>
      <c r="AA551" s="281" t="s">
        <v>1</v>
      </c>
      <c r="AB551" s="281" t="s">
        <v>1</v>
      </c>
      <c r="AC551" s="279" t="s">
        <v>1</v>
      </c>
      <c r="AD551" s="280" t="str" cm="1">
        <f t="array" aca="1" ref="AD551" ca="1">INDIRECT("'"&amp;$C551&amp;"'!"&amp;"$"&amp;$D551&amp;$AD$1&amp;"")</f>
        <v>CMS</v>
      </c>
      <c r="AE551" s="281" t="s">
        <v>1</v>
      </c>
      <c r="AF551" s="281" t="s">
        <v>1</v>
      </c>
      <c r="AG551" s="282" t="s">
        <v>1</v>
      </c>
      <c r="AH551" s="278" cm="1">
        <f t="array" aca="1" ref="AH551" ca="1">INDIRECT("'"&amp;$C551&amp;"'!"&amp;"$"&amp;$D551&amp;$AH$1&amp;"")</f>
        <v>3.8</v>
      </c>
      <c r="AI551" s="281">
        <v>14.04</v>
      </c>
      <c r="AJ551" s="281">
        <v>0.98</v>
      </c>
      <c r="AK551" s="279">
        <v>0.51900000000000002</v>
      </c>
      <c r="AL551" s="278">
        <v>11.6</v>
      </c>
      <c r="AM551" s="282">
        <v>70.8</v>
      </c>
      <c r="AN551" s="278" cm="1">
        <f t="array" aca="1" ref="AN551" ca="1">INDIRECT("'"&amp;$C551&amp;"'!"&amp;"$"&amp;$D551&amp;$AL$1&amp;"")</f>
        <v>0</v>
      </c>
      <c r="AO551" s="281" t="s">
        <v>1</v>
      </c>
      <c r="AP551" s="279" t="s">
        <v>1</v>
      </c>
      <c r="AQ551" s="280" cm="1">
        <f t="array" aca="1" ref="AQ551" ca="1">INDIRECT("'"&amp;$C551&amp;"'!"&amp;"$"&amp;$D551&amp;$AQ$1&amp;"")</f>
        <v>3.7</v>
      </c>
      <c r="AR551" s="281">
        <v>0.96</v>
      </c>
      <c r="AS551" s="279">
        <v>1.2</v>
      </c>
      <c r="AT551" s="278">
        <v>13.97</v>
      </c>
      <c r="AU551" s="282">
        <v>70.8</v>
      </c>
      <c r="AV551" s="281" cm="1">
        <f t="array" aca="1" ref="AV551" ca="1">INDIRECT("'"&amp;$C551&amp;"'!"&amp;"$"&amp;$D551&amp;$AV$1&amp;"")</f>
        <v>0</v>
      </c>
      <c r="AW551" s="280" t="s">
        <v>1</v>
      </c>
      <c r="AX551" s="281" t="s">
        <v>1</v>
      </c>
      <c r="AY551" s="279" t="s">
        <v>1</v>
      </c>
      <c r="AZ551" s="281" cm="1">
        <f t="array" aca="1" ref="AZ551" ca="1">INDIRECT("'"&amp;$C551&amp;"'!"&amp;"$"&amp;$D551&amp;$AZ$1&amp;"")</f>
        <v>7</v>
      </c>
      <c r="BA551" s="280" t="s">
        <v>1</v>
      </c>
      <c r="BB551" s="281">
        <v>0.97</v>
      </c>
      <c r="BC551" s="279">
        <v>1.89</v>
      </c>
      <c r="BD551" s="283">
        <v>14.16</v>
      </c>
      <c r="BE551" s="282">
        <v>71.64</v>
      </c>
      <c r="BF551" s="283" cm="1">
        <f t="array" aca="1" ref="BF551" ca="1">INDIRECT("'"&amp;$C551&amp;"'!"&amp;"$"&amp;$D551&amp;$BF$1&amp;"")</f>
        <v>14.22</v>
      </c>
      <c r="BG551" s="281">
        <v>0.99</v>
      </c>
      <c r="BH551" s="279">
        <v>2.4</v>
      </c>
      <c r="BI551" s="524">
        <v>68.400000000000006</v>
      </c>
      <c r="BJ551" s="278" cm="1">
        <f t="array" aca="1" ref="BJ551" ca="1">INDIRECT("'"&amp;$C551&amp;"'!"&amp;"$"&amp;$D551&amp;$BI$1&amp;"")</f>
        <v>0</v>
      </c>
      <c r="BK551" s="280" t="s">
        <v>1</v>
      </c>
      <c r="BL551" s="279" t="s">
        <v>1</v>
      </c>
      <c r="BM551" s="283" cm="1">
        <f t="array" aca="1" ref="BM551" ca="1">INDIRECT("'"&amp;$C551&amp;"'!"&amp;"$"&amp;$D551&amp;$BM$1&amp;"")</f>
        <v>1.26</v>
      </c>
      <c r="BN551" s="281"/>
      <c r="BO551" s="281">
        <v>0.99</v>
      </c>
      <c r="BP551" s="279">
        <v>0.1</v>
      </c>
      <c r="BQ551" s="284" cm="1">
        <f t="array" aca="1" ref="BQ551" ca="1">INDIRECT("'"&amp;$C551&amp;"'!"&amp;"$"&amp;$D551&amp;$BQ$1&amp;"")</f>
        <v>0.97</v>
      </c>
      <c r="BR551" s="281"/>
      <c r="BS551" s="281">
        <v>0.97</v>
      </c>
      <c r="BT551" s="279">
        <v>0.24</v>
      </c>
      <c r="BU551" s="284" cm="1">
        <f t="array" aca="1" ref="BU551" ca="1">INDIRECT("'"&amp;$C551&amp;"'!"&amp;"$"&amp;$D551&amp;74&amp;"")</f>
        <v>0</v>
      </c>
      <c r="BV551" s="281"/>
      <c r="BW551" s="281" t="s">
        <v>1</v>
      </c>
      <c r="BX551" s="279" t="s">
        <v>1</v>
      </c>
    </row>
    <row r="552" spans="1:76">
      <c r="A552" s="459">
        <v>45860</v>
      </c>
      <c r="B552" s="345">
        <v>0.91666666666666696</v>
      </c>
      <c r="C552" s="305">
        <v>22</v>
      </c>
      <c r="D552" s="306" t="s">
        <v>164</v>
      </c>
      <c r="E552" s="285">
        <v>14.2</v>
      </c>
      <c r="F552" s="286">
        <v>70.010000000000005</v>
      </c>
      <c r="G552" s="287" t="str" cm="1">
        <f t="array" aca="1" ref="G552" ca="1">INDIRECT("'"&amp;$C552&amp;"'!"&amp;"$"&amp;$D552&amp;$E$1&amp;"")</f>
        <v>CMS</v>
      </c>
      <c r="H552" s="288" t="s">
        <v>1</v>
      </c>
      <c r="I552" s="286" t="s">
        <v>1</v>
      </c>
      <c r="J552" s="287" cm="1">
        <f t="array" aca="1" ref="J552" ca="1">INDIRECT("'"&amp;$C552&amp;"'!"&amp;"$"&amp;$D552&amp;$J$1&amp;"")</f>
        <v>6.5</v>
      </c>
      <c r="K552" s="288"/>
      <c r="L552" s="288">
        <v>0.96</v>
      </c>
      <c r="M552" s="289">
        <v>1.87</v>
      </c>
      <c r="N552" s="285" cm="1">
        <f t="array" aca="1" ref="N552" ca="1">INDIRECT("'"&amp;$C552&amp;"'!"&amp;"$"&amp;$D552&amp;$N$1&amp;"")</f>
        <v>6.5</v>
      </c>
      <c r="O552" s="288"/>
      <c r="P552" s="288">
        <v>0.96</v>
      </c>
      <c r="Q552" s="286">
        <v>1.87</v>
      </c>
      <c r="R552" s="285" cm="1">
        <f t="array" aca="1" ref="R552" ca="1">INDIRECT("'"&amp;$C552&amp;"'!"&amp;"$"&amp;$D552&amp;$R$1&amp;"")</f>
        <v>6.5</v>
      </c>
      <c r="S552" s="288"/>
      <c r="T552" s="288">
        <v>0.96</v>
      </c>
      <c r="U552" s="286">
        <v>1.87</v>
      </c>
      <c r="V552" s="287" cm="1">
        <f t="array" aca="1" ref="V552" ca="1">INDIRECT("'"&amp;$C552&amp;"'!"&amp;"$"&amp;$D552&amp;$V$1&amp;"")</f>
        <v>2</v>
      </c>
      <c r="W552" s="288">
        <f>3.8*3.55</f>
        <v>13.489999999999998</v>
      </c>
      <c r="X552" s="288">
        <v>0.97</v>
      </c>
      <c r="Y552" s="289">
        <v>0.52</v>
      </c>
      <c r="Z552" s="285" t="str" cm="1">
        <f t="array" aca="1" ref="Z552" ca="1">INDIRECT("'"&amp;$C552&amp;"'!"&amp;"$"&amp;$D552&amp;$Z$1&amp;"")</f>
        <v>CMS</v>
      </c>
      <c r="AA552" s="288" t="s">
        <v>1</v>
      </c>
      <c r="AB552" s="288" t="s">
        <v>1</v>
      </c>
      <c r="AC552" s="286" t="s">
        <v>1</v>
      </c>
      <c r="AD552" s="287" t="str" cm="1">
        <f t="array" aca="1" ref="AD552" ca="1">INDIRECT("'"&amp;$C552&amp;"'!"&amp;"$"&amp;$D552&amp;$AD$1&amp;"")</f>
        <v>CMS</v>
      </c>
      <c r="AE552" s="288" t="s">
        <v>1</v>
      </c>
      <c r="AF552" s="288" t="s">
        <v>1</v>
      </c>
      <c r="AG552" s="289" t="s">
        <v>1</v>
      </c>
      <c r="AH552" s="285" cm="1">
        <f t="array" aca="1" ref="AH552" ca="1">INDIRECT("'"&amp;$C552&amp;"'!"&amp;"$"&amp;$D552&amp;$AH$1&amp;"")</f>
        <v>0</v>
      </c>
      <c r="AI552" s="288" t="s">
        <v>1</v>
      </c>
      <c r="AJ552" s="288" t="s">
        <v>1</v>
      </c>
      <c r="AK552" s="286" t="s">
        <v>1</v>
      </c>
      <c r="AL552" s="285">
        <v>11.6</v>
      </c>
      <c r="AM552" s="289">
        <v>71.099999999999994</v>
      </c>
      <c r="AN552" s="285" cm="1">
        <f t="array" aca="1" ref="AN552" ca="1">INDIRECT("'"&amp;$C552&amp;"'!"&amp;"$"&amp;$D552&amp;$AL$1&amp;"")</f>
        <v>0</v>
      </c>
      <c r="AO552" s="288" t="s">
        <v>1</v>
      </c>
      <c r="AP552" s="286" t="s">
        <v>1</v>
      </c>
      <c r="AQ552" s="287" cm="1">
        <f t="array" aca="1" ref="AQ552" ca="1">INDIRECT("'"&amp;$C552&amp;"'!"&amp;"$"&amp;$D552&amp;$AQ$1&amp;"")</f>
        <v>3.8</v>
      </c>
      <c r="AR552" s="288">
        <v>0.97</v>
      </c>
      <c r="AS552" s="286">
        <v>0.99</v>
      </c>
      <c r="AT552" s="285">
        <v>13.8</v>
      </c>
      <c r="AU552" s="289">
        <v>70.7</v>
      </c>
      <c r="AV552" s="288" cm="1">
        <f t="array" aca="1" ref="AV552" ca="1">INDIRECT("'"&amp;$C552&amp;"'!"&amp;"$"&amp;$D552&amp;$AV$1&amp;"")</f>
        <v>0</v>
      </c>
      <c r="AW552" s="287" t="s">
        <v>1</v>
      </c>
      <c r="AX552" s="288" t="s">
        <v>1</v>
      </c>
      <c r="AY552" s="286" t="s">
        <v>1</v>
      </c>
      <c r="AZ552" s="288" cm="1">
        <f t="array" aca="1" ref="AZ552" ca="1">INDIRECT("'"&amp;$C552&amp;"'!"&amp;"$"&amp;$D552&amp;$AZ$1&amp;"")</f>
        <v>7</v>
      </c>
      <c r="BA552" s="287" t="s">
        <v>1</v>
      </c>
      <c r="BB552" s="288">
        <v>0.98</v>
      </c>
      <c r="BC552" s="286">
        <v>1.57</v>
      </c>
      <c r="BD552" s="290">
        <v>14.15</v>
      </c>
      <c r="BE552" s="289">
        <v>71.64</v>
      </c>
      <c r="BF552" s="290" cm="1">
        <f t="array" aca="1" ref="BF552" ca="1">INDIRECT("'"&amp;$C552&amp;"'!"&amp;"$"&amp;$D552&amp;$BF$1&amp;"")</f>
        <v>14.26</v>
      </c>
      <c r="BG552" s="288">
        <v>0.99</v>
      </c>
      <c r="BH552" s="286">
        <v>2.4</v>
      </c>
      <c r="BI552" s="525">
        <v>69</v>
      </c>
      <c r="BJ552" s="285" cm="1">
        <f t="array" aca="1" ref="BJ552" ca="1">INDIRECT("'"&amp;$C552&amp;"'!"&amp;"$"&amp;$D552&amp;$BI$1&amp;"")</f>
        <v>0</v>
      </c>
      <c r="BK552" s="287" t="s">
        <v>1</v>
      </c>
      <c r="BL552" s="286" t="s">
        <v>1</v>
      </c>
      <c r="BM552" s="290" cm="1">
        <f t="array" aca="1" ref="BM552" ca="1">INDIRECT("'"&amp;$C552&amp;"'!"&amp;"$"&amp;$D552&amp;$BM$1&amp;"")</f>
        <v>1.17</v>
      </c>
      <c r="BN552" s="288"/>
      <c r="BO552" s="288">
        <v>0.99</v>
      </c>
      <c r="BP552" s="286">
        <v>0.1</v>
      </c>
      <c r="BQ552" s="291" cm="1">
        <f t="array" aca="1" ref="BQ552" ca="1">INDIRECT("'"&amp;$C552&amp;"'!"&amp;"$"&amp;$D552&amp;$BQ$1&amp;"")</f>
        <v>0.92</v>
      </c>
      <c r="BR552" s="288"/>
      <c r="BS552" s="288">
        <v>0.97</v>
      </c>
      <c r="BT552" s="286">
        <v>0.22</v>
      </c>
      <c r="BU552" s="291" cm="1">
        <f t="array" aca="1" ref="BU552" ca="1">INDIRECT("'"&amp;$C552&amp;"'!"&amp;"$"&amp;$D552&amp;74&amp;"")</f>
        <v>0</v>
      </c>
      <c r="BV552" s="288"/>
      <c r="BW552" s="288" t="s">
        <v>1</v>
      </c>
      <c r="BX552" s="286" t="s">
        <v>1</v>
      </c>
    </row>
    <row r="553" spans="1:76" ht="14.45" thickBot="1">
      <c r="A553" s="460">
        <v>45860</v>
      </c>
      <c r="B553" s="346">
        <v>0.95833333333333404</v>
      </c>
      <c r="C553" s="307">
        <v>22</v>
      </c>
      <c r="D553" s="308" t="s">
        <v>165</v>
      </c>
      <c r="E553" s="293">
        <v>14.2</v>
      </c>
      <c r="F553" s="294">
        <v>70.099999999999994</v>
      </c>
      <c r="G553" s="295" t="str" cm="1">
        <f t="array" aca="1" ref="G553" ca="1">INDIRECT("'"&amp;$C553&amp;"'!"&amp;"$"&amp;$D553&amp;$E$1&amp;"")</f>
        <v>CMS</v>
      </c>
      <c r="H553" s="296" t="s">
        <v>1</v>
      </c>
      <c r="I553" s="294" t="s">
        <v>1</v>
      </c>
      <c r="J553" s="295" cm="1">
        <f t="array" aca="1" ref="J553" ca="1">INDIRECT("'"&amp;$C553&amp;"'!"&amp;"$"&amp;$D553&amp;$J$1&amp;"")</f>
        <v>6.7</v>
      </c>
      <c r="K553" s="296"/>
      <c r="L553" s="296">
        <v>0.96</v>
      </c>
      <c r="M553" s="297">
        <v>1.91</v>
      </c>
      <c r="N553" s="293" cm="1">
        <f t="array" aca="1" ref="N553" ca="1">INDIRECT("'"&amp;$C553&amp;"'!"&amp;"$"&amp;$D553&amp;$N$1&amp;"")</f>
        <v>6.7</v>
      </c>
      <c r="O553" s="296"/>
      <c r="P553" s="296">
        <v>0.96</v>
      </c>
      <c r="Q553" s="294">
        <v>1.91</v>
      </c>
      <c r="R553" s="470" cm="1">
        <f t="array" aca="1" ref="R553" ca="1">INDIRECT("'"&amp;$C553&amp;"'!"&amp;"$"&amp;$D553&amp;$R$1&amp;"")</f>
        <v>6.7</v>
      </c>
      <c r="S553" s="296"/>
      <c r="T553" s="296">
        <v>0.96</v>
      </c>
      <c r="U553" s="294">
        <v>1.91</v>
      </c>
      <c r="V553" s="295" cm="1">
        <f t="array" aca="1" ref="V553" ca="1">INDIRECT("'"&amp;$C553&amp;"'!"&amp;"$"&amp;$D553&amp;$V$1&amp;"")</f>
        <v>0</v>
      </c>
      <c r="W553" s="296" t="s">
        <v>1</v>
      </c>
      <c r="X553" s="296" t="s">
        <v>1</v>
      </c>
      <c r="Y553" s="297" t="s">
        <v>1</v>
      </c>
      <c r="Z553" s="293" t="str" cm="1">
        <f t="array" aca="1" ref="Z553" ca="1">INDIRECT("'"&amp;$C553&amp;"'!"&amp;"$"&amp;$D553&amp;$Z$1&amp;"")</f>
        <v>CMS</v>
      </c>
      <c r="AA553" s="296" t="s">
        <v>1</v>
      </c>
      <c r="AB553" s="296" t="s">
        <v>1</v>
      </c>
      <c r="AC553" s="294" t="s">
        <v>1</v>
      </c>
      <c r="AD553" s="295" t="str" cm="1">
        <f t="array" aca="1" ref="AD553" ca="1">INDIRECT("'"&amp;$C553&amp;"'!"&amp;"$"&amp;$D553&amp;$AD$1&amp;"")</f>
        <v>CMS</v>
      </c>
      <c r="AE553" s="296" t="s">
        <v>1</v>
      </c>
      <c r="AF553" s="296" t="s">
        <v>1</v>
      </c>
      <c r="AG553" s="297" t="s">
        <v>1</v>
      </c>
      <c r="AH553" s="293" cm="1">
        <f t="array" aca="1" ref="AH553" ca="1">INDIRECT("'"&amp;$C553&amp;"'!"&amp;"$"&amp;$D553&amp;$AH$1&amp;"")</f>
        <v>0</v>
      </c>
      <c r="AI553" s="296" t="s">
        <v>1</v>
      </c>
      <c r="AJ553" s="296" t="s">
        <v>1</v>
      </c>
      <c r="AK553" s="294" t="s">
        <v>1</v>
      </c>
      <c r="AL553" s="293">
        <v>11.6</v>
      </c>
      <c r="AM553" s="297">
        <v>71</v>
      </c>
      <c r="AN553" s="293" cm="1">
        <f t="array" aca="1" ref="AN553" ca="1">INDIRECT("'"&amp;$C553&amp;"'!"&amp;"$"&amp;$D553&amp;$AL$1&amp;"")</f>
        <v>0</v>
      </c>
      <c r="AO553" s="296" t="s">
        <v>1</v>
      </c>
      <c r="AP553" s="294" t="s">
        <v>1</v>
      </c>
      <c r="AQ553" s="295" cm="1">
        <f t="array" aca="1" ref="AQ553" ca="1">INDIRECT("'"&amp;$C553&amp;"'!"&amp;"$"&amp;$D553&amp;$AQ$1&amp;"")</f>
        <v>2</v>
      </c>
      <c r="AR553" s="296">
        <v>0.97</v>
      </c>
      <c r="AS553" s="294">
        <v>0.88</v>
      </c>
      <c r="AT553" s="293">
        <v>13.8</v>
      </c>
      <c r="AU553" s="297">
        <v>70.8</v>
      </c>
      <c r="AV553" s="296" cm="1">
        <f t="array" aca="1" ref="AV553" ca="1">INDIRECT("'"&amp;$C553&amp;"'!"&amp;"$"&amp;$D553&amp;$AV$1&amp;"")</f>
        <v>0</v>
      </c>
      <c r="AW553" s="295" t="s">
        <v>1</v>
      </c>
      <c r="AX553" s="296" t="s">
        <v>1</v>
      </c>
      <c r="AY553" s="294" t="s">
        <v>1</v>
      </c>
      <c r="AZ553" s="296" cm="1">
        <f t="array" aca="1" ref="AZ553" ca="1">INDIRECT("'"&amp;$C553&amp;"'!"&amp;"$"&amp;$D553&amp;$AZ$1&amp;"")</f>
        <v>7</v>
      </c>
      <c r="BA553" s="295" t="s">
        <v>1</v>
      </c>
      <c r="BB553" s="296">
        <v>0.98</v>
      </c>
      <c r="BC553" s="294">
        <v>1.59</v>
      </c>
      <c r="BD553" s="298">
        <v>14.12</v>
      </c>
      <c r="BE553" s="297">
        <v>71.61</v>
      </c>
      <c r="BF553" s="298" cm="1">
        <f t="array" aca="1" ref="BF553" ca="1">INDIRECT("'"&amp;$C553&amp;"'!"&amp;"$"&amp;$D553&amp;$BF$1&amp;"")</f>
        <v>14.29</v>
      </c>
      <c r="BG553" s="296">
        <v>0.99</v>
      </c>
      <c r="BH553" s="294">
        <v>2.2999999999999998</v>
      </c>
      <c r="BI553" s="526">
        <v>68.900000000000006</v>
      </c>
      <c r="BJ553" s="293" cm="1">
        <f t="array" aca="1" ref="BJ553" ca="1">INDIRECT("'"&amp;$C553&amp;"'!"&amp;"$"&amp;$D553&amp;$BI$1&amp;"")</f>
        <v>0</v>
      </c>
      <c r="BK553" s="295" t="s">
        <v>1</v>
      </c>
      <c r="BL553" s="294" t="s">
        <v>1</v>
      </c>
      <c r="BM553" s="298" cm="1">
        <f t="array" aca="1" ref="BM553" ca="1">INDIRECT("'"&amp;$C553&amp;"'!"&amp;"$"&amp;$D553&amp;$BM$1&amp;"")</f>
        <v>1.08</v>
      </c>
      <c r="BN553" s="296"/>
      <c r="BO553" s="296">
        <v>0.99</v>
      </c>
      <c r="BP553" s="294">
        <v>0.1</v>
      </c>
      <c r="BQ553" s="299" cm="1">
        <f t="array" aca="1" ref="BQ553" ca="1">INDIRECT("'"&amp;$C553&amp;"'!"&amp;"$"&amp;$D553&amp;$BQ$1&amp;"")</f>
        <v>0.85</v>
      </c>
      <c r="BR553" s="296"/>
      <c r="BS553" s="296">
        <v>0.97</v>
      </c>
      <c r="BT553" s="294">
        <v>0.21</v>
      </c>
      <c r="BU553" s="299" cm="1">
        <f t="array" aca="1" ref="BU553" ca="1">INDIRECT("'"&amp;$C553&amp;"'!"&amp;"$"&amp;$D553&amp;74&amp;"")</f>
        <v>0</v>
      </c>
      <c r="BV553" s="296"/>
      <c r="BW553" s="296" t="s">
        <v>1</v>
      </c>
      <c r="BX553" s="294" t="s">
        <v>1</v>
      </c>
    </row>
    <row r="554" spans="1:76" ht="14.45" thickBot="1"/>
    <row r="555" spans="1:76">
      <c r="A555" s="347">
        <v>45861</v>
      </c>
      <c r="B555" s="344">
        <v>0</v>
      </c>
      <c r="C555" s="302">
        <v>23</v>
      </c>
      <c r="D555" s="303" t="s">
        <v>142</v>
      </c>
      <c r="E555" s="272">
        <v>14.2</v>
      </c>
      <c r="F555" s="273">
        <v>70.39</v>
      </c>
      <c r="G555" s="274" t="str" cm="1">
        <f t="array" aca="1" ref="G555" ca="1">INDIRECT("'"&amp;$C555&amp;"'!"&amp;"$"&amp;$D555&amp;$E$1&amp;"")</f>
        <v>CMS</v>
      </c>
      <c r="H555" s="275" t="s">
        <v>1</v>
      </c>
      <c r="I555" s="273" t="s">
        <v>1</v>
      </c>
      <c r="J555" s="274" cm="1">
        <f t="array" aca="1" ref="J555" ca="1">INDIRECT("'"&amp;$C555&amp;"'!"&amp;"$"&amp;$D555&amp;$J$1&amp;"")</f>
        <v>6.5</v>
      </c>
      <c r="K555" s="275"/>
      <c r="L555" s="275">
        <v>0.98</v>
      </c>
      <c r="M555" s="276">
        <v>1.36</v>
      </c>
      <c r="N555" s="272" cm="1">
        <f t="array" aca="1" ref="N555" ca="1">INDIRECT("'"&amp;$C555&amp;"'!"&amp;"$"&amp;$D555&amp;$N$1&amp;"")</f>
        <v>7</v>
      </c>
      <c r="O555" s="275"/>
      <c r="P555" s="275">
        <v>0.98</v>
      </c>
      <c r="Q555" s="273">
        <v>1.49</v>
      </c>
      <c r="R555" s="467" cm="1">
        <f t="array" aca="1" ref="R555" ca="1">INDIRECT("'"&amp;$C555&amp;"'!"&amp;"$"&amp;$D555&amp;$R$1&amp;"")</f>
        <v>6.5</v>
      </c>
      <c r="S555" s="275"/>
      <c r="T555" s="275">
        <v>0.98</v>
      </c>
      <c r="U555" s="273">
        <v>1.36</v>
      </c>
      <c r="V555" s="274" cm="1">
        <f t="array" aca="1" ref="V555" ca="1">INDIRECT("'"&amp;$C555&amp;"'!"&amp;"$"&amp;$D555&amp;$V$1&amp;"")</f>
        <v>0</v>
      </c>
      <c r="W555" s="275" t="s">
        <v>1</v>
      </c>
      <c r="X555" s="275" t="s">
        <v>1</v>
      </c>
      <c r="Y555" s="276" t="s">
        <v>1</v>
      </c>
      <c r="Z555" s="272" t="str" cm="1">
        <f t="array" aca="1" ref="Z555" ca="1">INDIRECT("'"&amp;$C555&amp;"'!"&amp;"$"&amp;$D555&amp;$Z$1&amp;"")</f>
        <v>CMS</v>
      </c>
      <c r="AA555" s="275" t="s">
        <v>1</v>
      </c>
      <c r="AB555" s="275" t="s">
        <v>1</v>
      </c>
      <c r="AC555" s="273" t="s">
        <v>1</v>
      </c>
      <c r="AD555" s="274" t="str" cm="1">
        <f t="array" aca="1" ref="AD555" ca="1">INDIRECT("'"&amp;$C555&amp;"'!"&amp;"$"&amp;$D555&amp;$AD$1&amp;"")</f>
        <v>CMS</v>
      </c>
      <c r="AE555" s="275" t="s">
        <v>1</v>
      </c>
      <c r="AF555" s="275" t="s">
        <v>1</v>
      </c>
      <c r="AG555" s="273" t="s">
        <v>1</v>
      </c>
      <c r="AH555" s="272" cm="1">
        <f t="array" aca="1" ref="AH555" ca="1">INDIRECT("'"&amp;$C555&amp;"'!"&amp;"$"&amp;$D555&amp;$AH$1&amp;"")</f>
        <v>0</v>
      </c>
      <c r="AI555" s="275" t="s">
        <v>1</v>
      </c>
      <c r="AJ555" s="275" t="s">
        <v>1</v>
      </c>
      <c r="AK555" s="273" t="s">
        <v>1</v>
      </c>
      <c r="AL555" s="272">
        <v>11.6</v>
      </c>
      <c r="AM555" s="276">
        <v>70.8</v>
      </c>
      <c r="AN555" s="272" cm="1">
        <f t="array" aca="1" ref="AN555" ca="1">INDIRECT("'"&amp;$C555&amp;"'!"&amp;"$"&amp;$D555&amp;$AL$1&amp;"")</f>
        <v>0</v>
      </c>
      <c r="AO555" s="275" t="s">
        <v>1</v>
      </c>
      <c r="AP555" s="273" t="s">
        <v>1</v>
      </c>
      <c r="AQ555" s="274" cm="1">
        <f t="array" aca="1" ref="AQ555" ca="1">INDIRECT("'"&amp;$C555&amp;"'!"&amp;"$"&amp;$D555&amp;$AQ$1&amp;"")</f>
        <v>1.5</v>
      </c>
      <c r="AR555" s="275">
        <v>0.97</v>
      </c>
      <c r="AS555" s="273">
        <v>1.28</v>
      </c>
      <c r="AT555" s="272">
        <v>13.8</v>
      </c>
      <c r="AU555" s="276">
        <v>70.900000000000006</v>
      </c>
      <c r="AV555" s="275" cm="1">
        <f t="array" aca="1" ref="AV555" ca="1">INDIRECT("'"&amp;$C555&amp;"'!"&amp;"$"&amp;$D555&amp;$AV$1&amp;"")</f>
        <v>0</v>
      </c>
      <c r="AW555" s="274" t="s">
        <v>1</v>
      </c>
      <c r="AX555" s="275" t="s">
        <v>1</v>
      </c>
      <c r="AY555" s="273" t="s">
        <v>1</v>
      </c>
      <c r="AZ555" s="275" cm="1">
        <f t="array" aca="1" ref="AZ555" ca="1">INDIRECT("'"&amp;$C555&amp;"'!"&amp;"$"&amp;$D555&amp;$AZ$1&amp;"")</f>
        <v>4.5999999999999996</v>
      </c>
      <c r="BA555" s="274" t="s">
        <v>1</v>
      </c>
      <c r="BB555" s="275">
        <v>0.99</v>
      </c>
      <c r="BC555" s="273">
        <v>0.45</v>
      </c>
      <c r="BD555" s="277">
        <v>14.16</v>
      </c>
      <c r="BE555" s="276">
        <v>71.69</v>
      </c>
      <c r="BF555" s="277" cm="1">
        <f t="array" aca="1" ref="BF555" ca="1">INDIRECT("'"&amp;$C555&amp;"'!"&amp;"$"&amp;$D555&amp;$BF$1&amp;"")</f>
        <v>14.26</v>
      </c>
      <c r="BG555" s="275">
        <v>0.99</v>
      </c>
      <c r="BH555" s="273">
        <v>2.4</v>
      </c>
      <c r="BI555" s="523">
        <v>69.099999999999994</v>
      </c>
      <c r="BJ555" s="272" cm="1">
        <f t="array" aca="1" ref="BJ555" ca="1">INDIRECT("'"&amp;$C555&amp;"'!"&amp;"$"&amp;$D555&amp;$BI$1&amp;"")</f>
        <v>0</v>
      </c>
      <c r="BK555" s="274" t="s">
        <v>1</v>
      </c>
      <c r="BL555" s="273" t="s">
        <v>1</v>
      </c>
      <c r="BM555" s="277" cm="1">
        <f t="array" aca="1" ref="BM555" ca="1">INDIRECT("'"&amp;$C555&amp;"'!"&amp;"$"&amp;$D555&amp;$BM$1&amp;"")</f>
        <v>0.96</v>
      </c>
      <c r="BN555" s="275"/>
      <c r="BO555" s="275">
        <v>1</v>
      </c>
      <c r="BP555" s="273">
        <v>0.08</v>
      </c>
      <c r="BQ555" s="277" cm="1">
        <f t="array" aca="1" ref="BQ555" ca="1">INDIRECT("'"&amp;$C555&amp;"'!"&amp;"$"&amp;$D555&amp;$BQ$1&amp;"")</f>
        <v>0.81</v>
      </c>
      <c r="BR555" s="275"/>
      <c r="BS555" s="275">
        <v>0.97</v>
      </c>
      <c r="BT555" s="273">
        <v>0.2</v>
      </c>
      <c r="BU555" s="358" cm="1">
        <f t="array" aca="1" ref="BU555" ca="1">INDIRECT("'"&amp;$C555&amp;"'!"&amp;"$"&amp;$D555&amp;74&amp;"")</f>
        <v>0</v>
      </c>
      <c r="BV555" s="275"/>
      <c r="BW555" s="275" t="s">
        <v>1</v>
      </c>
      <c r="BX555" s="273" t="s">
        <v>1</v>
      </c>
    </row>
    <row r="556" spans="1:76">
      <c r="A556" s="459">
        <v>45861</v>
      </c>
      <c r="B556" s="345">
        <v>4.1666666666666699E-2</v>
      </c>
      <c r="C556" s="305">
        <v>23</v>
      </c>
      <c r="D556" s="306" t="s">
        <v>143</v>
      </c>
      <c r="E556" s="278">
        <v>14.1</v>
      </c>
      <c r="F556" s="279">
        <v>70.06</v>
      </c>
      <c r="G556" s="280" t="str" cm="1">
        <f t="array" aca="1" ref="G556" ca="1">INDIRECT("'"&amp;$C556&amp;"'!"&amp;"$"&amp;$D556&amp;$E$1&amp;"")</f>
        <v>CMS</v>
      </c>
      <c r="H556" s="281" t="s">
        <v>1</v>
      </c>
      <c r="I556" s="279" t="s">
        <v>1</v>
      </c>
      <c r="J556" s="280" cm="1">
        <f t="array" aca="1" ref="J556" ca="1">INDIRECT("'"&amp;$C556&amp;"'!"&amp;"$"&amp;$D556&amp;$J$1&amp;"")</f>
        <v>6.7</v>
      </c>
      <c r="K556" s="281"/>
      <c r="L556" s="281">
        <v>0.98</v>
      </c>
      <c r="M556" s="282">
        <v>1.41</v>
      </c>
      <c r="N556" s="278" cm="1">
        <f t="array" aca="1" ref="N556" ca="1">INDIRECT("'"&amp;$C556&amp;"'!"&amp;"$"&amp;$D556&amp;$N$1&amp;"")</f>
        <v>0</v>
      </c>
      <c r="O556" s="281"/>
      <c r="P556" s="281" t="s">
        <v>1</v>
      </c>
      <c r="Q556" s="279" t="s">
        <v>1</v>
      </c>
      <c r="R556" s="468" cm="1">
        <f t="array" aca="1" ref="R556" ca="1">INDIRECT("'"&amp;$C556&amp;"'!"&amp;"$"&amp;$D556&amp;$R$1&amp;"")</f>
        <v>6.7</v>
      </c>
      <c r="S556" s="281"/>
      <c r="T556" s="281">
        <v>0.98</v>
      </c>
      <c r="U556" s="279">
        <v>1.41</v>
      </c>
      <c r="V556" s="280" cm="1">
        <f t="array" aca="1" ref="V556" ca="1">INDIRECT("'"&amp;$C556&amp;"'!"&amp;"$"&amp;$D556&amp;$V$1&amp;"")</f>
        <v>0</v>
      </c>
      <c r="W556" s="281" t="s">
        <v>1</v>
      </c>
      <c r="X556" s="281" t="s">
        <v>1</v>
      </c>
      <c r="Y556" s="282" t="s">
        <v>1</v>
      </c>
      <c r="Z556" s="278" t="str" cm="1">
        <f t="array" aca="1" ref="Z556" ca="1">INDIRECT("'"&amp;$C556&amp;"'!"&amp;"$"&amp;$D556&amp;$Z$1&amp;"")</f>
        <v>CMS</v>
      </c>
      <c r="AA556" s="281" t="s">
        <v>1</v>
      </c>
      <c r="AB556" s="281" t="s">
        <v>1</v>
      </c>
      <c r="AC556" s="279" t="s">
        <v>1</v>
      </c>
      <c r="AD556" s="280" t="str" cm="1">
        <f t="array" aca="1" ref="AD556" ca="1">INDIRECT("'"&amp;$C556&amp;"'!"&amp;"$"&amp;$D556&amp;$AD$1&amp;"")</f>
        <v>CMS</v>
      </c>
      <c r="AE556" s="281" t="s">
        <v>1</v>
      </c>
      <c r="AF556" s="281" t="s">
        <v>1</v>
      </c>
      <c r="AG556" s="282" t="s">
        <v>1</v>
      </c>
      <c r="AH556" s="278" cm="1">
        <f t="array" aca="1" ref="AH556" ca="1">INDIRECT("'"&amp;$C556&amp;"'!"&amp;"$"&amp;$D556&amp;$AH$1&amp;"")</f>
        <v>0</v>
      </c>
      <c r="AI556" s="281" t="s">
        <v>1</v>
      </c>
      <c r="AJ556" s="281" t="s">
        <v>1</v>
      </c>
      <c r="AK556" s="279" t="s">
        <v>1</v>
      </c>
      <c r="AL556" s="278">
        <v>11.6</v>
      </c>
      <c r="AM556" s="282">
        <v>71</v>
      </c>
      <c r="AN556" s="278" cm="1">
        <f t="array" aca="1" ref="AN556" ca="1">INDIRECT("'"&amp;$C556&amp;"'!"&amp;"$"&amp;$D556&amp;$AL$1&amp;"")</f>
        <v>0</v>
      </c>
      <c r="AO556" s="281" t="s">
        <v>1</v>
      </c>
      <c r="AP556" s="279" t="s">
        <v>1</v>
      </c>
      <c r="AQ556" s="280" cm="1">
        <f t="array" aca="1" ref="AQ556" ca="1">INDIRECT("'"&amp;$C556&amp;"'!"&amp;"$"&amp;$D556&amp;$AQ$1&amp;"")</f>
        <v>1.5</v>
      </c>
      <c r="AR556" s="281">
        <v>0.97</v>
      </c>
      <c r="AS556" s="279">
        <v>1.28</v>
      </c>
      <c r="AT556" s="278">
        <v>13.8</v>
      </c>
      <c r="AU556" s="282">
        <v>71</v>
      </c>
      <c r="AV556" s="281" cm="1">
        <f t="array" aca="1" ref="AV556" ca="1">INDIRECT("'"&amp;$C556&amp;"'!"&amp;"$"&amp;$D556&amp;$AV$1&amp;"")</f>
        <v>0</v>
      </c>
      <c r="AW556" s="280" t="s">
        <v>1</v>
      </c>
      <c r="AX556" s="281" t="s">
        <v>1</v>
      </c>
      <c r="AY556" s="279" t="s">
        <v>1</v>
      </c>
      <c r="AZ556" s="281" cm="1">
        <f t="array" aca="1" ref="AZ556" ca="1">INDIRECT("'"&amp;$C556&amp;"'!"&amp;"$"&amp;$D556&amp;$AZ$1&amp;"")</f>
        <v>7</v>
      </c>
      <c r="BA556" s="280" t="s">
        <v>1</v>
      </c>
      <c r="BB556" s="281">
        <v>1</v>
      </c>
      <c r="BC556" s="279">
        <v>0.38</v>
      </c>
      <c r="BD556" s="283">
        <v>14.2</v>
      </c>
      <c r="BE556" s="282">
        <v>71.97</v>
      </c>
      <c r="BF556" s="283" cm="1">
        <f t="array" aca="1" ref="BF556" ca="1">INDIRECT("'"&amp;$C556&amp;"'!"&amp;"$"&amp;$D556&amp;$BF$1&amp;"")</f>
        <v>14.25</v>
      </c>
      <c r="BG556" s="281">
        <v>0.99</v>
      </c>
      <c r="BH556" s="279">
        <v>2.2999999999999998</v>
      </c>
      <c r="BI556" s="524">
        <v>69.3</v>
      </c>
      <c r="BJ556" s="278" cm="1">
        <f t="array" aca="1" ref="BJ556" ca="1">INDIRECT("'"&amp;$C556&amp;"'!"&amp;"$"&amp;$D556&amp;$BI$1&amp;"")</f>
        <v>0</v>
      </c>
      <c r="BK556" s="280" t="s">
        <v>1</v>
      </c>
      <c r="BL556" s="279" t="s">
        <v>1</v>
      </c>
      <c r="BM556" s="283" cm="1">
        <f t="array" aca="1" ref="BM556" ca="1">INDIRECT("'"&amp;$C556&amp;"'!"&amp;"$"&amp;$D556&amp;$BM$1&amp;"")</f>
        <v>0.88</v>
      </c>
      <c r="BN556" s="281"/>
      <c r="BO556" s="281">
        <v>1</v>
      </c>
      <c r="BP556" s="279">
        <v>7.0000000000000007E-2</v>
      </c>
      <c r="BQ556" s="283" cm="1">
        <f t="array" aca="1" ref="BQ556" ca="1">INDIRECT("'"&amp;$C556&amp;"'!"&amp;"$"&amp;$D556&amp;$BQ$1&amp;"")</f>
        <v>0.77</v>
      </c>
      <c r="BR556" s="281"/>
      <c r="BS556" s="281">
        <v>0.97</v>
      </c>
      <c r="BT556" s="279">
        <v>0.19</v>
      </c>
      <c r="BU556" s="284" cm="1">
        <f t="array" aca="1" ref="BU556" ca="1">INDIRECT("'"&amp;$C556&amp;"'!"&amp;"$"&amp;$D556&amp;74&amp;"")</f>
        <v>0</v>
      </c>
      <c r="BV556" s="281"/>
      <c r="BW556" s="281" t="s">
        <v>1</v>
      </c>
      <c r="BX556" s="279" t="s">
        <v>1</v>
      </c>
    </row>
    <row r="557" spans="1:76">
      <c r="A557" s="459">
        <v>45861</v>
      </c>
      <c r="B557" s="345">
        <v>8.3333333333333301E-2</v>
      </c>
      <c r="C557" s="305">
        <v>23</v>
      </c>
      <c r="D557" s="306" t="s">
        <v>144</v>
      </c>
      <c r="E557" s="285">
        <v>14.1</v>
      </c>
      <c r="F557" s="286">
        <v>69.87</v>
      </c>
      <c r="G557" s="287" t="str" cm="1">
        <f t="array" aca="1" ref="G557" ca="1">INDIRECT("'"&amp;$C557&amp;"'!"&amp;"$"&amp;$D557&amp;$E$1&amp;"")</f>
        <v>CMS</v>
      </c>
      <c r="H557" s="288" t="s">
        <v>1</v>
      </c>
      <c r="I557" s="286" t="s">
        <v>1</v>
      </c>
      <c r="J557" s="287" cm="1">
        <f t="array" aca="1" ref="J557" ca="1">INDIRECT("'"&amp;$C557&amp;"'!"&amp;"$"&amp;$D557&amp;$J$1&amp;"")</f>
        <v>6.5</v>
      </c>
      <c r="K557" s="288"/>
      <c r="L557" s="288">
        <v>0.98</v>
      </c>
      <c r="M557" s="289">
        <v>1.23</v>
      </c>
      <c r="N557" s="285" cm="1">
        <f t="array" aca="1" ref="N557" ca="1">INDIRECT("'"&amp;$C557&amp;"'!"&amp;"$"&amp;$D557&amp;$N$1&amp;"")</f>
        <v>0</v>
      </c>
      <c r="O557" s="288"/>
      <c r="P557" s="288" t="s">
        <v>1</v>
      </c>
      <c r="Q557" s="286" t="s">
        <v>1</v>
      </c>
      <c r="R557" s="285" cm="1">
        <f t="array" aca="1" ref="R557" ca="1">INDIRECT("'"&amp;$C557&amp;"'!"&amp;"$"&amp;$D557&amp;$R$1&amp;"")</f>
        <v>6.5</v>
      </c>
      <c r="S557" s="288"/>
      <c r="T557" s="288">
        <v>0.98</v>
      </c>
      <c r="U557" s="286">
        <v>1.23</v>
      </c>
      <c r="V557" s="287" cm="1">
        <f t="array" aca="1" ref="V557" ca="1">INDIRECT("'"&amp;$C557&amp;"'!"&amp;"$"&amp;$D557&amp;$V$1&amp;"")</f>
        <v>0</v>
      </c>
      <c r="W557" s="288" t="s">
        <v>1</v>
      </c>
      <c r="X557" s="288" t="s">
        <v>1</v>
      </c>
      <c r="Y557" s="289" t="s">
        <v>1</v>
      </c>
      <c r="Z557" s="278" t="str" cm="1">
        <f t="array" aca="1" ref="Z557" ca="1">INDIRECT("'"&amp;$C557&amp;"'!"&amp;"$"&amp;$D557&amp;$Z$1&amp;"")</f>
        <v>CMS</v>
      </c>
      <c r="AA557" s="288" t="s">
        <v>1</v>
      </c>
      <c r="AB557" s="288" t="s">
        <v>1</v>
      </c>
      <c r="AC557" s="286" t="s">
        <v>1</v>
      </c>
      <c r="AD557" s="287" t="str" cm="1">
        <f t="array" aca="1" ref="AD557" ca="1">INDIRECT("'"&amp;$C557&amp;"'!"&amp;"$"&amp;$D557&amp;$AD$1&amp;"")</f>
        <v>CMS</v>
      </c>
      <c r="AE557" s="288" t="s">
        <v>1</v>
      </c>
      <c r="AF557" s="288" t="s">
        <v>1</v>
      </c>
      <c r="AG557" s="289" t="s">
        <v>1</v>
      </c>
      <c r="AH557" s="285" cm="1">
        <f t="array" aca="1" ref="AH557" ca="1">INDIRECT("'"&amp;$C557&amp;"'!"&amp;"$"&amp;$D557&amp;$AH$1&amp;"")</f>
        <v>0</v>
      </c>
      <c r="AI557" s="288" t="s">
        <v>1</v>
      </c>
      <c r="AJ557" s="288" t="s">
        <v>1</v>
      </c>
      <c r="AK557" s="289" t="s">
        <v>1</v>
      </c>
      <c r="AL557" s="285">
        <v>11.6</v>
      </c>
      <c r="AM557" s="289">
        <v>70.8</v>
      </c>
      <c r="AN557" s="285" cm="1">
        <f t="array" aca="1" ref="AN557" ca="1">INDIRECT("'"&amp;$C557&amp;"'!"&amp;"$"&amp;$D557&amp;$AL$1&amp;"")</f>
        <v>0</v>
      </c>
      <c r="AO557" s="288" t="s">
        <v>1</v>
      </c>
      <c r="AP557" s="286" t="s">
        <v>1</v>
      </c>
      <c r="AQ557" s="287" cm="1">
        <f t="array" aca="1" ref="AQ557" ca="1">INDIRECT("'"&amp;$C557&amp;"'!"&amp;"$"&amp;$D557&amp;$AQ$1&amp;"")</f>
        <v>2</v>
      </c>
      <c r="AR557" s="288">
        <v>0.95</v>
      </c>
      <c r="AS557" s="286">
        <v>0.52</v>
      </c>
      <c r="AT557" s="285">
        <v>13.8</v>
      </c>
      <c r="AU557" s="289">
        <v>71</v>
      </c>
      <c r="AV557" s="288" cm="1">
        <f t="array" aca="1" ref="AV557" ca="1">INDIRECT("'"&amp;$C557&amp;"'!"&amp;"$"&amp;$D557&amp;$AV$1&amp;"")</f>
        <v>0</v>
      </c>
      <c r="AW557" s="287" t="s">
        <v>1</v>
      </c>
      <c r="AX557" s="288" t="s">
        <v>1</v>
      </c>
      <c r="AY557" s="286" t="s">
        <v>1</v>
      </c>
      <c r="AZ557" s="288" cm="1">
        <f t="array" aca="1" ref="AZ557" ca="1">INDIRECT("'"&amp;$C557&amp;"'!"&amp;"$"&amp;$D557&amp;$AZ$1&amp;"")</f>
        <v>7</v>
      </c>
      <c r="BA557" s="287" t="s">
        <v>1</v>
      </c>
      <c r="BB557" s="288">
        <v>0.99</v>
      </c>
      <c r="BC557" s="286">
        <v>0.56000000000000005</v>
      </c>
      <c r="BD557" s="290">
        <v>14.19</v>
      </c>
      <c r="BE557" s="289">
        <v>71.819999999999993</v>
      </c>
      <c r="BF557" s="290" cm="1">
        <f t="array" aca="1" ref="BF557" ca="1">INDIRECT("'"&amp;$C557&amp;"'!"&amp;"$"&amp;$D557&amp;$BF$1&amp;"")</f>
        <v>14.27</v>
      </c>
      <c r="BG557" s="288">
        <v>0.99</v>
      </c>
      <c r="BH557" s="286">
        <v>2.2999999999999998</v>
      </c>
      <c r="BI557" s="525">
        <v>69.2</v>
      </c>
      <c r="BJ557" s="285" cm="1">
        <f t="array" aca="1" ref="BJ557" ca="1">INDIRECT("'"&amp;$C557&amp;"'!"&amp;"$"&amp;$D557&amp;$BI$1&amp;"")</f>
        <v>0</v>
      </c>
      <c r="BK557" s="287" t="s">
        <v>1</v>
      </c>
      <c r="BL557" s="286" t="s">
        <v>1</v>
      </c>
      <c r="BM557" s="290" cm="1">
        <f t="array" aca="1" ref="BM557" ca="1">INDIRECT("'"&amp;$C557&amp;"'!"&amp;"$"&amp;$D557&amp;$BM$1&amp;"")</f>
        <v>0.87</v>
      </c>
      <c r="BN557" s="288"/>
      <c r="BO557" s="288">
        <v>1</v>
      </c>
      <c r="BP557" s="286">
        <v>7.0000000000000007E-2</v>
      </c>
      <c r="BQ557" s="290" cm="1">
        <f t="array" aca="1" ref="BQ557" ca="1">INDIRECT("'"&amp;$C557&amp;"'!"&amp;"$"&amp;$D557&amp;$BQ$1&amp;"")</f>
        <v>0.73</v>
      </c>
      <c r="BR557" s="288"/>
      <c r="BS557" s="288">
        <v>0.97</v>
      </c>
      <c r="BT557" s="286">
        <v>0.19</v>
      </c>
      <c r="BU557" s="291" cm="1">
        <f t="array" aca="1" ref="BU557" ca="1">INDIRECT("'"&amp;$C557&amp;"'!"&amp;"$"&amp;$D557&amp;74&amp;"")</f>
        <v>0</v>
      </c>
      <c r="BV557" s="288"/>
      <c r="BW557" s="288" t="s">
        <v>1</v>
      </c>
      <c r="BX557" s="286" t="s">
        <v>1</v>
      </c>
    </row>
    <row r="558" spans="1:76">
      <c r="A558" s="459">
        <v>45861</v>
      </c>
      <c r="B558" s="345">
        <v>0.125</v>
      </c>
      <c r="C558" s="305">
        <v>23</v>
      </c>
      <c r="D558" s="306" t="s">
        <v>145</v>
      </c>
      <c r="E558" s="278">
        <v>14.1</v>
      </c>
      <c r="F558" s="279">
        <v>70.010000000000005</v>
      </c>
      <c r="G558" s="280" t="str" cm="1">
        <f t="array" aca="1" ref="G558" ca="1">INDIRECT("'"&amp;$C558&amp;"'!"&amp;"$"&amp;$D558&amp;$E$1&amp;"")</f>
        <v>CMS</v>
      </c>
      <c r="H558" s="281" t="s">
        <v>1</v>
      </c>
      <c r="I558" s="279" t="s">
        <v>1</v>
      </c>
      <c r="J558" s="280" t="str" cm="1">
        <f t="array" aca="1" ref="J558" ca="1">INDIRECT("'"&amp;$C558&amp;"'!"&amp;"$"&amp;$D558&amp;$J$1&amp;"")</f>
        <v>CMS</v>
      </c>
      <c r="K558" s="281"/>
      <c r="L558" s="281" t="s">
        <v>1</v>
      </c>
      <c r="M558" s="282" t="s">
        <v>1</v>
      </c>
      <c r="N558" s="278" cm="1">
        <f t="array" aca="1" ref="N558" ca="1">INDIRECT("'"&amp;$C558&amp;"'!"&amp;"$"&amp;$D558&amp;$N$1&amp;"")</f>
        <v>6.5</v>
      </c>
      <c r="O558" s="281"/>
      <c r="P558" s="281">
        <v>0.96</v>
      </c>
      <c r="Q558" s="279">
        <v>1.96</v>
      </c>
      <c r="R558" s="468" cm="1">
        <f t="array" aca="1" ref="R558" ca="1">INDIRECT("'"&amp;$C558&amp;"'!"&amp;"$"&amp;$D558&amp;$R$1&amp;"")</f>
        <v>6.5</v>
      </c>
      <c r="S558" s="281"/>
      <c r="T558" s="281">
        <v>0.96</v>
      </c>
      <c r="U558" s="279">
        <v>1.96</v>
      </c>
      <c r="V558" s="280" cm="1">
        <f t="array" aca="1" ref="V558" ca="1">INDIRECT("'"&amp;$C558&amp;"'!"&amp;"$"&amp;$D558&amp;$V$1&amp;"")</f>
        <v>0</v>
      </c>
      <c r="W558" s="281" t="s">
        <v>1</v>
      </c>
      <c r="X558" s="281" t="s">
        <v>1</v>
      </c>
      <c r="Y558" s="282" t="s">
        <v>1</v>
      </c>
      <c r="Z558" s="278" t="str" cm="1">
        <f t="array" aca="1" ref="Z558" ca="1">INDIRECT("'"&amp;$C558&amp;"'!"&amp;"$"&amp;$D558&amp;$Z$1&amp;"")</f>
        <v>CMS</v>
      </c>
      <c r="AA558" s="281" t="s">
        <v>1</v>
      </c>
      <c r="AB558" s="281" t="s">
        <v>1</v>
      </c>
      <c r="AC558" s="279" t="s">
        <v>1</v>
      </c>
      <c r="AD558" s="280" t="str" cm="1">
        <f t="array" aca="1" ref="AD558" ca="1">INDIRECT("'"&amp;$C558&amp;"'!"&amp;"$"&amp;$D558&amp;$AD$1&amp;"")</f>
        <v>CMS</v>
      </c>
      <c r="AE558" s="281" t="s">
        <v>1</v>
      </c>
      <c r="AF558" s="281" t="s">
        <v>1</v>
      </c>
      <c r="AG558" s="282" t="s">
        <v>1</v>
      </c>
      <c r="AH558" s="278" cm="1">
        <f t="array" aca="1" ref="AH558" ca="1">INDIRECT("'"&amp;$C558&amp;"'!"&amp;"$"&amp;$D558&amp;$AH$1&amp;"")</f>
        <v>0</v>
      </c>
      <c r="AI558" s="281" t="s">
        <v>1</v>
      </c>
      <c r="AJ558" s="281" t="s">
        <v>1</v>
      </c>
      <c r="AK558" s="279" t="s">
        <v>1</v>
      </c>
      <c r="AL558" s="278">
        <v>11.6</v>
      </c>
      <c r="AM558" s="282">
        <v>71</v>
      </c>
      <c r="AN558" s="278" cm="1">
        <f t="array" aca="1" ref="AN558" ca="1">INDIRECT("'"&amp;$C558&amp;"'!"&amp;"$"&amp;$D558&amp;$AL$1&amp;"")</f>
        <v>0</v>
      </c>
      <c r="AO558" s="281" t="s">
        <v>1</v>
      </c>
      <c r="AP558" s="279" t="s">
        <v>1</v>
      </c>
      <c r="AQ558" s="280" cm="1">
        <f t="array" aca="1" ref="AQ558" ca="1">INDIRECT("'"&amp;$C558&amp;"'!"&amp;"$"&amp;$D558&amp;$AQ$1&amp;"")</f>
        <v>2</v>
      </c>
      <c r="AR558" s="281">
        <v>0.97</v>
      </c>
      <c r="AS558" s="279">
        <v>0.5</v>
      </c>
      <c r="AT558" s="278">
        <v>13.8</v>
      </c>
      <c r="AU558" s="282">
        <v>71</v>
      </c>
      <c r="AV558" s="281" cm="1">
        <f t="array" aca="1" ref="AV558" ca="1">INDIRECT("'"&amp;$C558&amp;"'!"&amp;"$"&amp;$D558&amp;$AV$1&amp;"")</f>
        <v>0</v>
      </c>
      <c r="AW558" s="280" t="s">
        <v>1</v>
      </c>
      <c r="AX558" s="281" t="s">
        <v>1</v>
      </c>
      <c r="AY558" s="279" t="s">
        <v>1</v>
      </c>
      <c r="AZ558" s="281" cm="1">
        <f t="array" aca="1" ref="AZ558" ca="1">INDIRECT("'"&amp;$C558&amp;"'!"&amp;"$"&amp;$D558&amp;$AZ$1&amp;"")</f>
        <v>6.9</v>
      </c>
      <c r="BA558" s="280" t="s">
        <v>1</v>
      </c>
      <c r="BB558" s="281">
        <v>0.99</v>
      </c>
      <c r="BC558" s="279">
        <v>0.73</v>
      </c>
      <c r="BD558" s="283">
        <v>14.18</v>
      </c>
      <c r="BE558" s="282">
        <v>71.900000000000006</v>
      </c>
      <c r="BF558" s="283" cm="1">
        <f t="array" aca="1" ref="BF558" ca="1">INDIRECT("'"&amp;$C558&amp;"'!"&amp;"$"&amp;$D558&amp;$BF$1&amp;"")</f>
        <v>14.26</v>
      </c>
      <c r="BG558" s="281">
        <v>0.99</v>
      </c>
      <c r="BH558" s="279">
        <v>2.2999999999999998</v>
      </c>
      <c r="BI558" s="524">
        <v>69.2</v>
      </c>
      <c r="BJ558" s="278" cm="1">
        <f t="array" aca="1" ref="BJ558" ca="1">INDIRECT("'"&amp;$C558&amp;"'!"&amp;"$"&amp;$D558&amp;$BI$1&amp;"")</f>
        <v>0</v>
      </c>
      <c r="BK558" s="280" t="s">
        <v>1</v>
      </c>
      <c r="BL558" s="279" t="s">
        <v>1</v>
      </c>
      <c r="BM558" s="283" cm="1">
        <f t="array" aca="1" ref="BM558" ca="1">INDIRECT("'"&amp;$C558&amp;"'!"&amp;"$"&amp;$D558&amp;$BM$1&amp;"")</f>
        <v>0.83</v>
      </c>
      <c r="BN558" s="281"/>
      <c r="BO558" s="281">
        <v>1</v>
      </c>
      <c r="BP558" s="279">
        <v>0.06</v>
      </c>
      <c r="BQ558" s="283" cm="1">
        <f t="array" aca="1" ref="BQ558" ca="1">INDIRECT("'"&amp;$C558&amp;"'!"&amp;"$"&amp;$D558&amp;$BQ$1&amp;"")</f>
        <v>0.72</v>
      </c>
      <c r="BR558" s="281"/>
      <c r="BS558" s="281">
        <v>0.97</v>
      </c>
      <c r="BT558" s="279">
        <v>0.19</v>
      </c>
      <c r="BU558" s="284" cm="1">
        <f t="array" aca="1" ref="BU558" ca="1">INDIRECT("'"&amp;$C558&amp;"'!"&amp;"$"&amp;$D558&amp;74&amp;"")</f>
        <v>0</v>
      </c>
      <c r="BV558" s="281"/>
      <c r="BW558" s="281" t="s">
        <v>1</v>
      </c>
      <c r="BX558" s="279" t="s">
        <v>1</v>
      </c>
    </row>
    <row r="559" spans="1:76">
      <c r="A559" s="459">
        <v>45861</v>
      </c>
      <c r="B559" s="345">
        <v>0.16666666666666699</v>
      </c>
      <c r="C559" s="305">
        <v>23</v>
      </c>
      <c r="D559" s="306" t="s">
        <v>146</v>
      </c>
      <c r="E559" s="285">
        <v>14.1</v>
      </c>
      <c r="F559" s="286">
        <v>69.959999999999994</v>
      </c>
      <c r="G559" s="287" t="str" cm="1">
        <f t="array" aca="1" ref="G559" ca="1">INDIRECT("'"&amp;$C559&amp;"'!"&amp;"$"&amp;$D559&amp;$E$1&amp;"")</f>
        <v>CMS</v>
      </c>
      <c r="H559" s="288" t="s">
        <v>1</v>
      </c>
      <c r="I559" s="286" t="s">
        <v>1</v>
      </c>
      <c r="J559" s="287" t="str" cm="1">
        <f t="array" aca="1" ref="J559" ca="1">INDIRECT("'"&amp;$C559&amp;"'!"&amp;"$"&amp;$D559&amp;$J$1&amp;"")</f>
        <v>CMS</v>
      </c>
      <c r="K559" s="288"/>
      <c r="L559" s="288" t="s">
        <v>1</v>
      </c>
      <c r="M559" s="286" t="s">
        <v>1</v>
      </c>
      <c r="N559" s="285" cm="1">
        <f t="array" aca="1" ref="N559" ca="1">INDIRECT("'"&amp;$C559&amp;"'!"&amp;"$"&amp;$D559&amp;$N$1&amp;"")</f>
        <v>6.5</v>
      </c>
      <c r="O559" s="288"/>
      <c r="P559" s="288">
        <v>0.98</v>
      </c>
      <c r="Q559" s="286">
        <v>1.24</v>
      </c>
      <c r="R559" s="285" cm="1">
        <f t="array" aca="1" ref="R559" ca="1">INDIRECT("'"&amp;$C559&amp;"'!"&amp;"$"&amp;$D559&amp;$R$1&amp;"")</f>
        <v>6.5</v>
      </c>
      <c r="S559" s="288"/>
      <c r="T559" s="288">
        <v>0.98</v>
      </c>
      <c r="U559" s="286">
        <v>1.24</v>
      </c>
      <c r="V559" s="287" cm="1">
        <f t="array" aca="1" ref="V559" ca="1">INDIRECT("'"&amp;$C559&amp;"'!"&amp;"$"&amp;$D559&amp;$V$1&amp;"")</f>
        <v>0</v>
      </c>
      <c r="W559" s="288" t="s">
        <v>1</v>
      </c>
      <c r="X559" s="288" t="s">
        <v>1</v>
      </c>
      <c r="Y559" s="289" t="s">
        <v>1</v>
      </c>
      <c r="Z559" s="285" t="str" cm="1">
        <f t="array" aca="1" ref="Z559" ca="1">INDIRECT("'"&amp;$C559&amp;"'!"&amp;"$"&amp;$D559&amp;$Z$1&amp;"")</f>
        <v>CMS</v>
      </c>
      <c r="AA559" s="288" t="s">
        <v>1</v>
      </c>
      <c r="AB559" s="288" t="s">
        <v>1</v>
      </c>
      <c r="AC559" s="286" t="s">
        <v>1</v>
      </c>
      <c r="AD559" s="287" t="str" cm="1">
        <f t="array" aca="1" ref="AD559" ca="1">INDIRECT("'"&amp;$C559&amp;"'!"&amp;"$"&amp;$D559&amp;$AD$1&amp;"")</f>
        <v>CMS</v>
      </c>
      <c r="AE559" s="288" t="s">
        <v>1</v>
      </c>
      <c r="AF559" s="288" t="s">
        <v>1</v>
      </c>
      <c r="AG559" s="289" t="s">
        <v>1</v>
      </c>
      <c r="AH559" s="285" cm="1">
        <f t="array" aca="1" ref="AH559" ca="1">INDIRECT("'"&amp;$C559&amp;"'!"&amp;"$"&amp;$D559&amp;$AH$1&amp;"")</f>
        <v>0</v>
      </c>
      <c r="AI559" s="288" t="s">
        <v>1</v>
      </c>
      <c r="AJ559" s="288" t="s">
        <v>1</v>
      </c>
      <c r="AK559" s="286" t="s">
        <v>1</v>
      </c>
      <c r="AL559" s="285">
        <v>11.6</v>
      </c>
      <c r="AM559" s="289">
        <v>70.900000000000006</v>
      </c>
      <c r="AN559" s="285" cm="1">
        <f t="array" aca="1" ref="AN559" ca="1">INDIRECT("'"&amp;$C559&amp;"'!"&amp;"$"&amp;$D559&amp;$AL$1&amp;"")</f>
        <v>0</v>
      </c>
      <c r="AO559" s="288" t="s">
        <v>1</v>
      </c>
      <c r="AP559" s="286" t="s">
        <v>1</v>
      </c>
      <c r="AQ559" s="287" cm="1">
        <f t="array" aca="1" ref="AQ559" ca="1">INDIRECT("'"&amp;$C559&amp;"'!"&amp;"$"&amp;$D559&amp;$AQ$1&amp;"")</f>
        <v>1.5</v>
      </c>
      <c r="AR559" s="288">
        <v>0.97</v>
      </c>
      <c r="AS559" s="286">
        <v>0.51</v>
      </c>
      <c r="AT559" s="285">
        <v>13.8</v>
      </c>
      <c r="AU559" s="289">
        <v>71</v>
      </c>
      <c r="AV559" s="288" cm="1">
        <f t="array" aca="1" ref="AV559" ca="1">INDIRECT("'"&amp;$C559&amp;"'!"&amp;"$"&amp;$D559&amp;$AV$1&amp;"")</f>
        <v>0</v>
      </c>
      <c r="AW559" s="287" t="s">
        <v>1</v>
      </c>
      <c r="AX559" s="288" t="s">
        <v>1</v>
      </c>
      <c r="AY559" s="286" t="s">
        <v>1</v>
      </c>
      <c r="AZ559" s="288" cm="1">
        <f t="array" aca="1" ref="AZ559" ca="1">INDIRECT("'"&amp;$C559&amp;"'!"&amp;"$"&amp;$D559&amp;$AZ$1&amp;"")</f>
        <v>6.4</v>
      </c>
      <c r="BA559" s="287" t="s">
        <v>1</v>
      </c>
      <c r="BB559" s="288">
        <v>0.99</v>
      </c>
      <c r="BC559" s="286">
        <v>0.79</v>
      </c>
      <c r="BD559" s="290">
        <v>14.21</v>
      </c>
      <c r="BE559" s="289">
        <v>72</v>
      </c>
      <c r="BF559" s="290" cm="1">
        <f t="array" aca="1" ref="BF559" ca="1">INDIRECT("'"&amp;$C559&amp;"'!"&amp;"$"&amp;$D559&amp;$BF$1&amp;"")</f>
        <v>14.28</v>
      </c>
      <c r="BG559" s="288">
        <v>0.99</v>
      </c>
      <c r="BH559" s="286">
        <v>2.2999999999999998</v>
      </c>
      <c r="BI559" s="525">
        <v>69.099999999999994</v>
      </c>
      <c r="BJ559" s="285" cm="1">
        <f t="array" aca="1" ref="BJ559" ca="1">INDIRECT("'"&amp;$C559&amp;"'!"&amp;"$"&amp;$D559&amp;$BI$1&amp;"")</f>
        <v>0</v>
      </c>
      <c r="BK559" s="287" t="s">
        <v>1</v>
      </c>
      <c r="BL559" s="286" t="s">
        <v>1</v>
      </c>
      <c r="BM559" s="290" cm="1">
        <f t="array" aca="1" ref="BM559" ca="1">INDIRECT("'"&amp;$C559&amp;"'!"&amp;"$"&amp;$D559&amp;$BM$1&amp;"")</f>
        <v>0.79</v>
      </c>
      <c r="BN559" s="288"/>
      <c r="BO559" s="288">
        <v>1</v>
      </c>
      <c r="BP559" s="286">
        <v>0.06</v>
      </c>
      <c r="BQ559" s="290" cm="1">
        <f t="array" aca="1" ref="BQ559" ca="1">INDIRECT("'"&amp;$C559&amp;"'!"&amp;"$"&amp;$D559&amp;$BQ$1&amp;"")</f>
        <v>0.71</v>
      </c>
      <c r="BR559" s="288"/>
      <c r="BS559" s="288">
        <v>0.97</v>
      </c>
      <c r="BT559" s="286">
        <v>0.19</v>
      </c>
      <c r="BU559" s="291" cm="1">
        <f t="array" aca="1" ref="BU559" ca="1">INDIRECT("'"&amp;$C559&amp;"'!"&amp;"$"&amp;$D559&amp;74&amp;"")</f>
        <v>0</v>
      </c>
      <c r="BV559" s="288"/>
      <c r="BW559" s="288" t="s">
        <v>1</v>
      </c>
      <c r="BX559" s="286" t="s">
        <v>1</v>
      </c>
    </row>
    <row r="560" spans="1:76">
      <c r="A560" s="459">
        <v>45861</v>
      </c>
      <c r="B560" s="345">
        <v>0.20833333333333301</v>
      </c>
      <c r="C560" s="305">
        <v>23</v>
      </c>
      <c r="D560" s="306" t="s">
        <v>147</v>
      </c>
      <c r="E560" s="278">
        <v>14.1</v>
      </c>
      <c r="F560" s="279" t="s">
        <v>168</v>
      </c>
      <c r="G560" s="280" t="str" cm="1">
        <f t="array" aca="1" ref="G560" ca="1">INDIRECT("'"&amp;$C560&amp;"'!"&amp;"$"&amp;$D560&amp;$E$1&amp;"")</f>
        <v>CMS</v>
      </c>
      <c r="H560" s="281" t="s">
        <v>1</v>
      </c>
      <c r="I560" s="279" t="s">
        <v>1</v>
      </c>
      <c r="J560" s="280" t="str" cm="1">
        <f t="array" aca="1" ref="J560" ca="1">INDIRECT("'"&amp;$C560&amp;"'!"&amp;"$"&amp;$D560&amp;$J$1&amp;"")</f>
        <v>CMS</v>
      </c>
      <c r="K560" s="281"/>
      <c r="L560" s="281" t="s">
        <v>1</v>
      </c>
      <c r="M560" s="279" t="s">
        <v>1</v>
      </c>
      <c r="N560" s="278" cm="1">
        <f t="array" aca="1" ref="N560" ca="1">INDIRECT("'"&amp;$C560&amp;"'!"&amp;"$"&amp;$D560&amp;$N$1&amp;"")</f>
        <v>6.7</v>
      </c>
      <c r="O560" s="281"/>
      <c r="P560" s="281">
        <v>0.98</v>
      </c>
      <c r="Q560" s="279">
        <v>1.34</v>
      </c>
      <c r="R560" s="468" cm="1">
        <f t="array" aca="1" ref="R560" ca="1">INDIRECT("'"&amp;$C560&amp;"'!"&amp;"$"&amp;$D560&amp;$R$1&amp;"")</f>
        <v>6.7</v>
      </c>
      <c r="S560" s="281"/>
      <c r="T560" s="281">
        <v>0.98</v>
      </c>
      <c r="U560" s="279">
        <v>1.34</v>
      </c>
      <c r="V560" s="280" cm="1">
        <f t="array" aca="1" ref="V560" ca="1">INDIRECT("'"&amp;$C560&amp;"'!"&amp;"$"&amp;$D560&amp;$V$1&amp;"")</f>
        <v>0</v>
      </c>
      <c r="W560" s="281" t="s">
        <v>1</v>
      </c>
      <c r="X560" s="281" t="s">
        <v>1</v>
      </c>
      <c r="Y560" s="282" t="s">
        <v>1</v>
      </c>
      <c r="Z560" s="278" t="str" cm="1">
        <f t="array" aca="1" ref="Z560" ca="1">INDIRECT("'"&amp;$C560&amp;"'!"&amp;"$"&amp;$D560&amp;$Z$1&amp;"")</f>
        <v>CMS</v>
      </c>
      <c r="AA560" s="281" t="s">
        <v>1</v>
      </c>
      <c r="AB560" s="281" t="s">
        <v>1</v>
      </c>
      <c r="AC560" s="279" t="s">
        <v>1</v>
      </c>
      <c r="AD560" s="280" t="str" cm="1">
        <f t="array" aca="1" ref="AD560" ca="1">INDIRECT("'"&amp;$C560&amp;"'!"&amp;"$"&amp;$D560&amp;$AD$1&amp;"")</f>
        <v>CMS</v>
      </c>
      <c r="AE560" s="281" t="s">
        <v>1</v>
      </c>
      <c r="AF560" s="281" t="s">
        <v>1</v>
      </c>
      <c r="AG560" s="282" t="s">
        <v>1</v>
      </c>
      <c r="AH560" s="278" cm="1">
        <f t="array" aca="1" ref="AH560" ca="1">INDIRECT("'"&amp;$C560&amp;"'!"&amp;"$"&amp;$D560&amp;$AH$1&amp;"")</f>
        <v>0</v>
      </c>
      <c r="AI560" s="281" t="s">
        <v>1</v>
      </c>
      <c r="AJ560" s="281" t="s">
        <v>1</v>
      </c>
      <c r="AK560" s="279" t="s">
        <v>1</v>
      </c>
      <c r="AL560" s="278">
        <v>11.6</v>
      </c>
      <c r="AM560" s="282">
        <v>70.7</v>
      </c>
      <c r="AN560" s="278" cm="1">
        <f t="array" aca="1" ref="AN560" ca="1">INDIRECT("'"&amp;$C560&amp;"'!"&amp;"$"&amp;$D560&amp;$AL$1&amp;"")</f>
        <v>0</v>
      </c>
      <c r="AO560" s="281" t="s">
        <v>1</v>
      </c>
      <c r="AP560" s="279" t="s">
        <v>1</v>
      </c>
      <c r="AQ560" s="280" cm="1">
        <f t="array" aca="1" ref="AQ560" ca="1">INDIRECT("'"&amp;$C560&amp;"'!"&amp;"$"&amp;$D560&amp;$AQ$1&amp;"")</f>
        <v>1.7</v>
      </c>
      <c r="AR560" s="281">
        <v>0.97</v>
      </c>
      <c r="AS560" s="279">
        <v>0.5</v>
      </c>
      <c r="AT560" s="278">
        <v>13.8</v>
      </c>
      <c r="AU560" s="282">
        <v>71</v>
      </c>
      <c r="AV560" s="281" cm="1">
        <f t="array" aca="1" ref="AV560" ca="1">INDIRECT("'"&amp;$C560&amp;"'!"&amp;"$"&amp;$D560&amp;$AV$1&amp;"")</f>
        <v>0</v>
      </c>
      <c r="AW560" s="280" t="s">
        <v>1</v>
      </c>
      <c r="AX560" s="281" t="s">
        <v>1</v>
      </c>
      <c r="AY560" s="279" t="s">
        <v>1</v>
      </c>
      <c r="AZ560" s="281" cm="1">
        <f t="array" aca="1" ref="AZ560" ca="1">INDIRECT("'"&amp;$C560&amp;"'!"&amp;"$"&amp;$D560&amp;$AZ$1&amp;"")</f>
        <v>6.3</v>
      </c>
      <c r="BA560" s="280" t="s">
        <v>1</v>
      </c>
      <c r="BB560" s="281">
        <v>0.99</v>
      </c>
      <c r="BC560" s="279">
        <v>0.86</v>
      </c>
      <c r="BD560" s="283">
        <v>14.2</v>
      </c>
      <c r="BE560" s="282">
        <v>71.930000000000007</v>
      </c>
      <c r="BF560" s="283" cm="1">
        <f t="array" aca="1" ref="BF560" ca="1">INDIRECT("'"&amp;$C560&amp;"'!"&amp;"$"&amp;$D560&amp;$BF$1&amp;"")</f>
        <v>14.24</v>
      </c>
      <c r="BG560" s="281">
        <v>0.99</v>
      </c>
      <c r="BH560" s="279">
        <v>2.2999999999999998</v>
      </c>
      <c r="BI560" s="524">
        <v>69</v>
      </c>
      <c r="BJ560" s="278" cm="1">
        <f t="array" aca="1" ref="BJ560" ca="1">INDIRECT("'"&amp;$C560&amp;"'!"&amp;"$"&amp;$D560&amp;$BI$1&amp;"")</f>
        <v>0</v>
      </c>
      <c r="BK560" s="280" t="s">
        <v>1</v>
      </c>
      <c r="BL560" s="279" t="s">
        <v>1</v>
      </c>
      <c r="BM560" s="283" cm="1">
        <f t="array" aca="1" ref="BM560" ca="1">INDIRECT("'"&amp;$C560&amp;"'!"&amp;"$"&amp;$D560&amp;$BM$1&amp;"")</f>
        <v>0.83499999999999996</v>
      </c>
      <c r="BN560" s="281"/>
      <c r="BO560" s="281">
        <v>0.99</v>
      </c>
      <c r="BP560" s="279">
        <v>0.06</v>
      </c>
      <c r="BQ560" s="283" cm="1">
        <f t="array" aca="1" ref="BQ560" ca="1">INDIRECT("'"&amp;$C560&amp;"'!"&amp;"$"&amp;$D560&amp;$BQ$1&amp;"")</f>
        <v>0.73</v>
      </c>
      <c r="BR560" s="281"/>
      <c r="BS560" s="281">
        <v>0.97</v>
      </c>
      <c r="BT560" s="279">
        <v>0.18</v>
      </c>
      <c r="BU560" s="284" cm="1">
        <f t="array" aca="1" ref="BU560" ca="1">INDIRECT("'"&amp;$C560&amp;"'!"&amp;"$"&amp;$D560&amp;74&amp;"")</f>
        <v>0</v>
      </c>
      <c r="BV560" s="281"/>
      <c r="BW560" s="281" t="s">
        <v>1</v>
      </c>
      <c r="BX560" s="279" t="s">
        <v>1</v>
      </c>
    </row>
    <row r="561" spans="1:76">
      <c r="A561" s="459">
        <v>45861</v>
      </c>
      <c r="B561" s="345">
        <v>0.25</v>
      </c>
      <c r="C561" s="305">
        <v>23</v>
      </c>
      <c r="D561" s="306" t="s">
        <v>148</v>
      </c>
      <c r="E561" s="285">
        <v>14</v>
      </c>
      <c r="F561" s="286">
        <v>69.48</v>
      </c>
      <c r="G561" s="287" t="str" cm="1">
        <f t="array" aca="1" ref="G561" ca="1">INDIRECT("'"&amp;$C561&amp;"'!"&amp;"$"&amp;$D561&amp;$E$1&amp;"")</f>
        <v>CMS</v>
      </c>
      <c r="H561" s="288" t="s">
        <v>1</v>
      </c>
      <c r="I561" s="286" t="s">
        <v>1</v>
      </c>
      <c r="J561" s="287" t="str" cm="1">
        <f t="array" aca="1" ref="J561" ca="1">INDIRECT("'"&amp;$C561&amp;"'!"&amp;"$"&amp;$D561&amp;$J$1&amp;"")</f>
        <v>CMS</v>
      </c>
      <c r="K561" s="288"/>
      <c r="L561" s="288" t="s">
        <v>1</v>
      </c>
      <c r="M561" s="286" t="s">
        <v>1</v>
      </c>
      <c r="N561" s="285" cm="1">
        <f t="array" aca="1" ref="N561" ca="1">INDIRECT("'"&amp;$C561&amp;"'!"&amp;"$"&amp;$D561&amp;$N$1&amp;"")</f>
        <v>6.8</v>
      </c>
      <c r="O561" s="288"/>
      <c r="P561" s="288">
        <v>0.96</v>
      </c>
      <c r="Q561" s="286">
        <v>2.0299999999999998</v>
      </c>
      <c r="R561" s="285" cm="1">
        <f t="array" aca="1" ref="R561" ca="1">INDIRECT("'"&amp;$C561&amp;"'!"&amp;"$"&amp;$D561&amp;$R$1&amp;"")</f>
        <v>6.8</v>
      </c>
      <c r="S561" s="288"/>
      <c r="T561" s="288">
        <v>0.96</v>
      </c>
      <c r="U561" s="286">
        <v>2.0299999999999998</v>
      </c>
      <c r="V561" s="287" cm="1">
        <f t="array" aca="1" ref="V561" ca="1">INDIRECT("'"&amp;$C561&amp;"'!"&amp;"$"&amp;$D561&amp;$V$1&amp;"")</f>
        <v>0</v>
      </c>
      <c r="W561" s="288" t="s">
        <v>1</v>
      </c>
      <c r="X561" s="288" t="s">
        <v>1</v>
      </c>
      <c r="Y561" s="289" t="s">
        <v>1</v>
      </c>
      <c r="Z561" s="285" t="str" cm="1">
        <f t="array" aca="1" ref="Z561" ca="1">INDIRECT("'"&amp;$C561&amp;"'!"&amp;"$"&amp;$D561&amp;$Z$1&amp;"")</f>
        <v>CMS</v>
      </c>
      <c r="AA561" s="288" t="s">
        <v>1</v>
      </c>
      <c r="AB561" s="288" t="s">
        <v>1</v>
      </c>
      <c r="AC561" s="286" t="s">
        <v>1</v>
      </c>
      <c r="AD561" s="287" t="str" cm="1">
        <f t="array" aca="1" ref="AD561" ca="1">INDIRECT("'"&amp;$C561&amp;"'!"&amp;"$"&amp;$D561&amp;$AD$1&amp;"")</f>
        <v>CMS</v>
      </c>
      <c r="AE561" s="288" t="s">
        <v>1</v>
      </c>
      <c r="AF561" s="288" t="s">
        <v>1</v>
      </c>
      <c r="AG561" s="289" t="s">
        <v>1</v>
      </c>
      <c r="AH561" s="285" cm="1">
        <f t="array" aca="1" ref="AH561" ca="1">INDIRECT("'"&amp;$C561&amp;"'!"&amp;"$"&amp;$D561&amp;$AH$1&amp;"")</f>
        <v>0</v>
      </c>
      <c r="AI561" s="288" t="s">
        <v>1</v>
      </c>
      <c r="AJ561" s="288" t="s">
        <v>1</v>
      </c>
      <c r="AK561" s="286" t="s">
        <v>1</v>
      </c>
      <c r="AL561" s="285">
        <v>11.6</v>
      </c>
      <c r="AM561" s="289">
        <v>70.7</v>
      </c>
      <c r="AN561" s="285" cm="1">
        <f t="array" aca="1" ref="AN561" ca="1">INDIRECT("'"&amp;$C561&amp;"'!"&amp;"$"&amp;$D561&amp;$AL$1&amp;"")</f>
        <v>0</v>
      </c>
      <c r="AO561" s="288" t="s">
        <v>1</v>
      </c>
      <c r="AP561" s="286" t="s">
        <v>1</v>
      </c>
      <c r="AQ561" s="287" cm="1">
        <f t="array" aca="1" ref="AQ561" ca="1">INDIRECT("'"&amp;$C561&amp;"'!"&amp;"$"&amp;$D561&amp;$AQ$1&amp;"")</f>
        <v>3.5</v>
      </c>
      <c r="AR561" s="288">
        <v>0.98</v>
      </c>
      <c r="AS561" s="286">
        <v>0.7</v>
      </c>
      <c r="AT561" s="285">
        <v>13.8</v>
      </c>
      <c r="AU561" s="289">
        <v>71</v>
      </c>
      <c r="AV561" s="288" cm="1">
        <f t="array" aca="1" ref="AV561" ca="1">INDIRECT("'"&amp;$C561&amp;"'!"&amp;"$"&amp;$D561&amp;$AV$1&amp;"")</f>
        <v>0</v>
      </c>
      <c r="AW561" s="287" t="s">
        <v>1</v>
      </c>
      <c r="AX561" s="288" t="s">
        <v>1</v>
      </c>
      <c r="AY561" s="286" t="s">
        <v>1</v>
      </c>
      <c r="AZ561" s="288" cm="1">
        <f t="array" aca="1" ref="AZ561" ca="1">INDIRECT("'"&amp;$C561&amp;"'!"&amp;"$"&amp;$D561&amp;$AZ$1&amp;"")</f>
        <v>7</v>
      </c>
      <c r="BA561" s="287" t="s">
        <v>1</v>
      </c>
      <c r="BB561" s="288">
        <v>0.98</v>
      </c>
      <c r="BC561" s="286">
        <v>1.1599999999999999</v>
      </c>
      <c r="BD561" s="290">
        <v>14.12</v>
      </c>
      <c r="BE561" s="289">
        <v>71.52</v>
      </c>
      <c r="BF561" s="290" cm="1">
        <f t="array" aca="1" ref="BF561" ca="1">INDIRECT("'"&amp;$C561&amp;"'!"&amp;"$"&amp;$D561&amp;$BF$1&amp;"")</f>
        <v>14.26</v>
      </c>
      <c r="BG561" s="288">
        <v>0.99</v>
      </c>
      <c r="BH561" s="286">
        <v>2.2999999999999998</v>
      </c>
      <c r="BI561" s="525">
        <v>68.7</v>
      </c>
      <c r="BJ561" s="285" cm="1">
        <f t="array" aca="1" ref="BJ561" ca="1">INDIRECT("'"&amp;$C561&amp;"'!"&amp;"$"&amp;$D561&amp;$BI$1&amp;"")</f>
        <v>0</v>
      </c>
      <c r="BK561" s="287" t="s">
        <v>1</v>
      </c>
      <c r="BL561" s="286" t="s">
        <v>1</v>
      </c>
      <c r="BM561" s="290" cm="1">
        <f t="array" aca="1" ref="BM561" ca="1">INDIRECT("'"&amp;$C561&amp;"'!"&amp;"$"&amp;$D561&amp;$BM$1&amp;"")</f>
        <v>0.92</v>
      </c>
      <c r="BN561" s="288"/>
      <c r="BO561" s="288">
        <v>0.99</v>
      </c>
      <c r="BP561" s="286">
        <v>0.08</v>
      </c>
      <c r="BQ561" s="290" cm="1">
        <f t="array" aca="1" ref="BQ561" ca="1">INDIRECT("'"&amp;$C561&amp;"'!"&amp;"$"&amp;$D561&amp;$BQ$1&amp;"")</f>
        <v>0.76</v>
      </c>
      <c r="BR561" s="288"/>
      <c r="BS561" s="288">
        <v>0.97</v>
      </c>
      <c r="BT561" s="286">
        <v>0.19</v>
      </c>
      <c r="BU561" s="291" cm="1">
        <f t="array" aca="1" ref="BU561" ca="1">INDIRECT("'"&amp;$C561&amp;"'!"&amp;"$"&amp;$D561&amp;74&amp;"")</f>
        <v>0</v>
      </c>
      <c r="BV561" s="288"/>
      <c r="BW561" s="288" t="s">
        <v>1</v>
      </c>
      <c r="BX561" s="286" t="s">
        <v>1</v>
      </c>
    </row>
    <row r="562" spans="1:76">
      <c r="A562" s="459">
        <v>45861</v>
      </c>
      <c r="B562" s="345">
        <v>0.29166666666666702</v>
      </c>
      <c r="C562" s="305">
        <v>23</v>
      </c>
      <c r="D562" s="306" t="s">
        <v>149</v>
      </c>
      <c r="E562" s="278">
        <v>14</v>
      </c>
      <c r="F562" s="279">
        <v>69.34</v>
      </c>
      <c r="G562" s="280" t="str" cm="1">
        <f t="array" aca="1" ref="G562" ca="1">INDIRECT("'"&amp;$C562&amp;"'!"&amp;"$"&amp;$D562&amp;$E$1&amp;"")</f>
        <v>CMS</v>
      </c>
      <c r="H562" s="281" t="s">
        <v>1</v>
      </c>
      <c r="I562" s="279" t="s">
        <v>1</v>
      </c>
      <c r="J562" s="280" cm="1">
        <f t="array" aca="1" ref="J562" ca="1">INDIRECT("'"&amp;$C562&amp;"'!"&amp;"$"&amp;$D562&amp;$J$1&amp;"")</f>
        <v>0</v>
      </c>
      <c r="K562" s="281"/>
      <c r="L562" s="281" t="s">
        <v>1</v>
      </c>
      <c r="M562" s="279" t="s">
        <v>1</v>
      </c>
      <c r="N562" s="278" cm="1">
        <f t="array" aca="1" ref="N562" ca="1">INDIRECT("'"&amp;$C562&amp;"'!"&amp;"$"&amp;$D562&amp;$N$1&amp;"")</f>
        <v>6.9</v>
      </c>
      <c r="O562" s="281"/>
      <c r="P562" s="281">
        <v>0.95</v>
      </c>
      <c r="Q562" s="279">
        <v>2.3199999999999998</v>
      </c>
      <c r="R562" s="468" cm="1">
        <f t="array" aca="1" ref="R562" ca="1">INDIRECT("'"&amp;$C562&amp;"'!"&amp;"$"&amp;$D562&amp;$R$1&amp;"")</f>
        <v>6.9</v>
      </c>
      <c r="S562" s="281"/>
      <c r="T562" s="281">
        <v>0.95</v>
      </c>
      <c r="U562" s="279">
        <v>2.3199999999999998</v>
      </c>
      <c r="V562" s="280" cm="1">
        <f t="array" aca="1" ref="V562" ca="1">INDIRECT("'"&amp;$C562&amp;"'!"&amp;"$"&amp;$D562&amp;$V$1&amp;"")</f>
        <v>0</v>
      </c>
      <c r="W562" s="281" t="s">
        <v>1</v>
      </c>
      <c r="X562" s="281" t="s">
        <v>1</v>
      </c>
      <c r="Y562" s="282" t="s">
        <v>1</v>
      </c>
      <c r="Z562" s="278" t="str" cm="1">
        <f t="array" aca="1" ref="Z562" ca="1">INDIRECT("'"&amp;$C562&amp;"'!"&amp;"$"&amp;$D562&amp;$Z$1&amp;"")</f>
        <v>CMS</v>
      </c>
      <c r="AA562" s="281" t="s">
        <v>1</v>
      </c>
      <c r="AB562" s="281" t="s">
        <v>1</v>
      </c>
      <c r="AC562" s="279" t="s">
        <v>1</v>
      </c>
      <c r="AD562" s="280" t="str" cm="1">
        <f t="array" aca="1" ref="AD562" ca="1">INDIRECT("'"&amp;$C562&amp;"'!"&amp;"$"&amp;$D562&amp;$AD$1&amp;"")</f>
        <v>CMS</v>
      </c>
      <c r="AE562" s="281" t="s">
        <v>1</v>
      </c>
      <c r="AF562" s="281" t="s">
        <v>1</v>
      </c>
      <c r="AG562" s="282" t="s">
        <v>1</v>
      </c>
      <c r="AH562" s="278" cm="1">
        <f t="array" aca="1" ref="AH562" ca="1">INDIRECT("'"&amp;$C562&amp;"'!"&amp;"$"&amp;$D562&amp;$AH$1&amp;"")</f>
        <v>0</v>
      </c>
      <c r="AI562" s="281" t="s">
        <v>1</v>
      </c>
      <c r="AJ562" s="281" t="s">
        <v>1</v>
      </c>
      <c r="AK562" s="279" t="s">
        <v>1</v>
      </c>
      <c r="AL562" s="278">
        <v>11.6</v>
      </c>
      <c r="AM562" s="282">
        <v>70.7</v>
      </c>
      <c r="AN562" s="278" cm="1">
        <f t="array" aca="1" ref="AN562" ca="1">INDIRECT("'"&amp;$C562&amp;"'!"&amp;"$"&amp;$D562&amp;$AL$1&amp;"")</f>
        <v>2.5</v>
      </c>
      <c r="AO562" s="281">
        <v>0.95</v>
      </c>
      <c r="AP562" s="279">
        <v>0.88</v>
      </c>
      <c r="AQ562" s="280" cm="1">
        <f t="array" aca="1" ref="AQ562" ca="1">INDIRECT("'"&amp;$C562&amp;"'!"&amp;"$"&amp;$D562&amp;$AQ$1&amp;"")</f>
        <v>0</v>
      </c>
      <c r="AR562" s="281" t="s">
        <v>1</v>
      </c>
      <c r="AS562" s="279" t="s">
        <v>1</v>
      </c>
      <c r="AT562" s="278">
        <v>13.8</v>
      </c>
      <c r="AU562" s="282">
        <v>71</v>
      </c>
      <c r="AV562" s="281" cm="1">
        <f t="array" aca="1" ref="AV562" ca="1">INDIRECT("'"&amp;$C562&amp;"'!"&amp;"$"&amp;$D562&amp;$AV$1&amp;"")</f>
        <v>0</v>
      </c>
      <c r="AW562" s="280" t="s">
        <v>1</v>
      </c>
      <c r="AX562" s="281" t="s">
        <v>1</v>
      </c>
      <c r="AY562" s="279" t="s">
        <v>1</v>
      </c>
      <c r="AZ562" s="281" cm="1">
        <f t="array" aca="1" ref="AZ562" ca="1">INDIRECT("'"&amp;$C562&amp;"'!"&amp;"$"&amp;$D562&amp;$AZ$1&amp;"")</f>
        <v>7</v>
      </c>
      <c r="BA562" s="280" t="s">
        <v>1</v>
      </c>
      <c r="BB562" s="281">
        <v>0.98</v>
      </c>
      <c r="BC562" s="279">
        <v>1.29</v>
      </c>
      <c r="BD562" s="283">
        <v>14.15</v>
      </c>
      <c r="BE562" s="282">
        <v>71.58</v>
      </c>
      <c r="BF562" s="283" cm="1">
        <f t="array" aca="1" ref="BF562" ca="1">INDIRECT("'"&amp;$C562&amp;"'!"&amp;"$"&amp;$D562&amp;$BF$1&amp;"")</f>
        <v>14.27</v>
      </c>
      <c r="BG562" s="281">
        <v>0.99</v>
      </c>
      <c r="BH562" s="279">
        <v>2.2999999999999998</v>
      </c>
      <c r="BI562" s="524">
        <v>68.599999999999994</v>
      </c>
      <c r="BJ562" s="278" cm="1">
        <f t="array" aca="1" ref="BJ562" ca="1">INDIRECT("'"&amp;$C562&amp;"'!"&amp;"$"&amp;$D562&amp;$BI$1&amp;"")</f>
        <v>0</v>
      </c>
      <c r="BK562" s="280" t="s">
        <v>1</v>
      </c>
      <c r="BL562" s="279" t="s">
        <v>1</v>
      </c>
      <c r="BM562" s="283" cm="1">
        <f t="array" aca="1" ref="BM562" ca="1">INDIRECT("'"&amp;$C562&amp;"'!"&amp;"$"&amp;$D562&amp;$BM$1&amp;"")</f>
        <v>1</v>
      </c>
      <c r="BN562" s="281"/>
      <c r="BO562" s="281">
        <v>0.99</v>
      </c>
      <c r="BP562" s="279">
        <v>0.1</v>
      </c>
      <c r="BQ562" s="284" cm="1">
        <f t="array" aca="1" ref="BQ562" ca="1">INDIRECT("'"&amp;$C562&amp;"'!"&amp;"$"&amp;$D562&amp;$BQ$1&amp;"")</f>
        <v>0.74</v>
      </c>
      <c r="BR562" s="281"/>
      <c r="BS562" s="281">
        <v>0.96</v>
      </c>
      <c r="BT562" s="279">
        <v>0.2</v>
      </c>
      <c r="BU562" s="284" cm="1">
        <f t="array" aca="1" ref="BU562" ca="1">INDIRECT("'"&amp;$C562&amp;"'!"&amp;"$"&amp;$D562&amp;74&amp;"")</f>
        <v>0</v>
      </c>
      <c r="BV562" s="281"/>
      <c r="BW562" s="281" t="s">
        <v>1</v>
      </c>
      <c r="BX562" s="279" t="s">
        <v>1</v>
      </c>
    </row>
    <row r="563" spans="1:76">
      <c r="A563" s="459">
        <v>45861</v>
      </c>
      <c r="B563" s="345">
        <v>0.33333333333333398</v>
      </c>
      <c r="C563" s="305">
        <v>23</v>
      </c>
      <c r="D563" s="306" t="s">
        <v>150</v>
      </c>
      <c r="E563" s="285">
        <v>14.1</v>
      </c>
      <c r="F563" s="286">
        <v>69.28</v>
      </c>
      <c r="G563" s="287" t="str" cm="1">
        <f t="array" aca="1" ref="G563" ca="1">INDIRECT("'"&amp;$C563&amp;"'!"&amp;"$"&amp;$D563&amp;$E$1&amp;"")</f>
        <v>CMS</v>
      </c>
      <c r="H563" s="288" t="s">
        <v>1</v>
      </c>
      <c r="I563" s="286" t="s">
        <v>1</v>
      </c>
      <c r="J563" s="287" cm="1">
        <f t="array" aca="1" ref="J563" ca="1">INDIRECT("'"&amp;$C563&amp;"'!"&amp;"$"&amp;$D563&amp;$J$1&amp;"")</f>
        <v>1.5</v>
      </c>
      <c r="K563" s="288"/>
      <c r="L563" s="288">
        <v>0.96</v>
      </c>
      <c r="M563" s="289">
        <v>0.46</v>
      </c>
      <c r="N563" s="285" cm="1">
        <f t="array" aca="1" ref="N563" ca="1">INDIRECT("'"&amp;$C563&amp;"'!"&amp;"$"&amp;$D563&amp;$N$1&amp;"")</f>
        <v>6.9</v>
      </c>
      <c r="O563" s="288"/>
      <c r="P563" s="288">
        <v>0.95</v>
      </c>
      <c r="Q563" s="286">
        <v>2.11</v>
      </c>
      <c r="R563" s="285" cm="1">
        <f t="array" aca="1" ref="R563" ca="1">INDIRECT("'"&amp;$C563&amp;"'!"&amp;"$"&amp;$D563&amp;$R$1&amp;"")</f>
        <v>6.9</v>
      </c>
      <c r="S563" s="288"/>
      <c r="T563" s="288">
        <v>0.95</v>
      </c>
      <c r="U563" s="286">
        <v>2.11</v>
      </c>
      <c r="V563" s="287" cm="1">
        <f t="array" aca="1" ref="V563" ca="1">INDIRECT("'"&amp;$C563&amp;"'!"&amp;"$"&amp;$D563&amp;$V$1&amp;"")</f>
        <v>0</v>
      </c>
      <c r="W563" s="288" t="s">
        <v>1</v>
      </c>
      <c r="X563" s="288" t="s">
        <v>1</v>
      </c>
      <c r="Y563" s="289" t="s">
        <v>1</v>
      </c>
      <c r="Z563" s="285" t="str" cm="1">
        <f t="array" aca="1" ref="Z563" ca="1">INDIRECT("'"&amp;$C563&amp;"'!"&amp;"$"&amp;$D563&amp;$Z$1&amp;"")</f>
        <v>CMS</v>
      </c>
      <c r="AA563" s="288" t="s">
        <v>1</v>
      </c>
      <c r="AB563" s="288" t="s">
        <v>1</v>
      </c>
      <c r="AC563" s="286" t="s">
        <v>1</v>
      </c>
      <c r="AD563" s="287" t="str" cm="1">
        <f t="array" aca="1" ref="AD563" ca="1">INDIRECT("'"&amp;$C563&amp;"'!"&amp;"$"&amp;$D563&amp;$AD$1&amp;"")</f>
        <v>CMS</v>
      </c>
      <c r="AE563" s="288" t="s">
        <v>1</v>
      </c>
      <c r="AF563" s="288" t="s">
        <v>1</v>
      </c>
      <c r="AG563" s="289" t="s">
        <v>1</v>
      </c>
      <c r="AH563" s="285" cm="1">
        <f t="array" aca="1" ref="AH563" ca="1">INDIRECT("'"&amp;$C563&amp;"'!"&amp;"$"&amp;$D563&amp;$AH$1&amp;"")</f>
        <v>0</v>
      </c>
      <c r="AI563" s="288" t="s">
        <v>1</v>
      </c>
      <c r="AJ563" s="288" t="s">
        <v>1</v>
      </c>
      <c r="AK563" s="286" t="s">
        <v>1</v>
      </c>
      <c r="AL563" s="285">
        <v>11.6</v>
      </c>
      <c r="AM563" s="289">
        <v>70.5</v>
      </c>
      <c r="AN563" s="285" cm="1">
        <f t="array" aca="1" ref="AN563" ca="1">INDIRECT("'"&amp;$C563&amp;"'!"&amp;"$"&amp;$D563&amp;$AL$1&amp;"")</f>
        <v>3.9</v>
      </c>
      <c r="AO563" s="288">
        <v>0.97</v>
      </c>
      <c r="AP563" s="286">
        <v>0.96</v>
      </c>
      <c r="AQ563" s="287" cm="1">
        <f t="array" aca="1" ref="AQ563" ca="1">INDIRECT("'"&amp;$C563&amp;"'!"&amp;"$"&amp;$D563&amp;$AQ$1&amp;"")</f>
        <v>0</v>
      </c>
      <c r="AR563" s="288" t="s">
        <v>1</v>
      </c>
      <c r="AS563" s="286" t="s">
        <v>1</v>
      </c>
      <c r="AT563" s="285">
        <v>13.8</v>
      </c>
      <c r="AU563" s="289">
        <v>70.8</v>
      </c>
      <c r="AV563" s="288" cm="1">
        <f t="array" aca="1" ref="AV563" ca="1">INDIRECT("'"&amp;$C563&amp;"'!"&amp;"$"&amp;$D563&amp;$AV$1&amp;"")</f>
        <v>0</v>
      </c>
      <c r="AW563" s="287" t="s">
        <v>1</v>
      </c>
      <c r="AX563" s="288" t="s">
        <v>1</v>
      </c>
      <c r="AY563" s="286" t="s">
        <v>1</v>
      </c>
      <c r="AZ563" s="288" cm="1">
        <f t="array" aca="1" ref="AZ563" ca="1">INDIRECT("'"&amp;$C563&amp;"'!"&amp;"$"&amp;$D563&amp;$AZ$1&amp;"")</f>
        <v>7</v>
      </c>
      <c r="BA563" s="287" t="s">
        <v>1</v>
      </c>
      <c r="BB563" s="288">
        <v>0.98</v>
      </c>
      <c r="BC563" s="286">
        <v>1.29</v>
      </c>
      <c r="BD563" s="290">
        <v>14.15</v>
      </c>
      <c r="BE563" s="289">
        <v>71.58</v>
      </c>
      <c r="BF563" s="290" cm="1">
        <f t="array" aca="1" ref="BF563" ca="1">INDIRECT("'"&amp;$C563&amp;"'!"&amp;"$"&amp;$D563&amp;$BF$1&amp;"")</f>
        <v>14.26</v>
      </c>
      <c r="BG563" s="288">
        <v>0.99</v>
      </c>
      <c r="BH563" s="286">
        <v>2.2999999999999998</v>
      </c>
      <c r="BI563" s="525">
        <v>68.400000000000006</v>
      </c>
      <c r="BJ563" s="285" cm="1">
        <f t="array" aca="1" ref="BJ563" ca="1">INDIRECT("'"&amp;$C563&amp;"'!"&amp;"$"&amp;$D563&amp;$BI$1&amp;"")</f>
        <v>3.5</v>
      </c>
      <c r="BK563" s="287">
        <v>0.96</v>
      </c>
      <c r="BL563" s="286">
        <v>0.91</v>
      </c>
      <c r="BM563" s="290" cm="1">
        <f t="array" aca="1" ref="BM563" ca="1">INDIRECT("'"&amp;$C563&amp;"'!"&amp;"$"&amp;$D563&amp;$BM$1&amp;"")</f>
        <v>1.03</v>
      </c>
      <c r="BN563" s="288"/>
      <c r="BO563" s="288">
        <v>0.99</v>
      </c>
      <c r="BP563" s="286">
        <v>0.13</v>
      </c>
      <c r="BQ563" s="291" cm="1">
        <f t="array" aca="1" ref="BQ563" ca="1">INDIRECT("'"&amp;$C563&amp;"'!"&amp;"$"&amp;$D563&amp;$BQ$1&amp;"")</f>
        <v>0.76</v>
      </c>
      <c r="BR563" s="288"/>
      <c r="BS563" s="288">
        <v>0.96</v>
      </c>
      <c r="BT563" s="286">
        <v>0.21</v>
      </c>
      <c r="BU563" s="291" cm="1">
        <f t="array" aca="1" ref="BU563" ca="1">INDIRECT("'"&amp;$C563&amp;"'!"&amp;"$"&amp;$D563&amp;74&amp;"")</f>
        <v>0</v>
      </c>
      <c r="BV563" s="288"/>
      <c r="BW563" s="288" t="s">
        <v>1</v>
      </c>
      <c r="BX563" s="286" t="s">
        <v>1</v>
      </c>
    </row>
    <row r="564" spans="1:76">
      <c r="A564" s="459">
        <v>45861</v>
      </c>
      <c r="B564" s="345">
        <v>0.375</v>
      </c>
      <c r="C564" s="305">
        <v>23</v>
      </c>
      <c r="D564" s="306" t="s">
        <v>151</v>
      </c>
      <c r="E564" s="278">
        <v>14</v>
      </c>
      <c r="F564" s="279">
        <v>68.55</v>
      </c>
      <c r="G564" s="280" t="str" cm="1">
        <f t="array" aca="1" ref="G564" ca="1">INDIRECT("'"&amp;$C564&amp;"'!"&amp;"$"&amp;$D564&amp;$E$1&amp;"")</f>
        <v>CMS</v>
      </c>
      <c r="H564" s="281" t="s">
        <v>1</v>
      </c>
      <c r="I564" s="279" t="s">
        <v>1</v>
      </c>
      <c r="J564" s="280" cm="1">
        <f t="array" aca="1" ref="J564" ca="1">INDIRECT("'"&amp;$C564&amp;"'!"&amp;"$"&amp;$D564&amp;$J$1&amp;"")</f>
        <v>6.7</v>
      </c>
      <c r="K564" s="281"/>
      <c r="L564" s="281">
        <v>0.93</v>
      </c>
      <c r="M564" s="282">
        <v>2.72</v>
      </c>
      <c r="N564" s="278" cm="1">
        <f t="array" aca="1" ref="N564" ca="1">INDIRECT("'"&amp;$C564&amp;"'!"&amp;"$"&amp;$D564&amp;$N$1&amp;"")</f>
        <v>6.7</v>
      </c>
      <c r="O564" s="281"/>
      <c r="P564" s="281">
        <v>0.93</v>
      </c>
      <c r="Q564" s="279">
        <v>2.78</v>
      </c>
      <c r="R564" s="468" cm="1">
        <f t="array" aca="1" ref="R564" ca="1">INDIRECT("'"&amp;$C564&amp;"'!"&amp;"$"&amp;$D564&amp;$R$1&amp;"")</f>
        <v>6.7</v>
      </c>
      <c r="S564" s="281"/>
      <c r="T564" s="281">
        <v>0.93</v>
      </c>
      <c r="U564" s="279">
        <v>2.71</v>
      </c>
      <c r="V564" s="280" cm="1">
        <f t="array" aca="1" ref="V564" ca="1">INDIRECT("'"&amp;$C564&amp;"'!"&amp;"$"&amp;$D564&amp;$V$1&amp;"")</f>
        <v>2</v>
      </c>
      <c r="W564" s="281">
        <f>3.8*3.42</f>
        <v>12.995999999999999</v>
      </c>
      <c r="X564" s="281">
        <v>0.92</v>
      </c>
      <c r="Y564" s="282">
        <v>1.06</v>
      </c>
      <c r="Z564" s="278" t="str" cm="1">
        <f t="array" aca="1" ref="Z564" ca="1">INDIRECT("'"&amp;$C564&amp;"'!"&amp;"$"&amp;$D564&amp;$Z$1&amp;"")</f>
        <v>CMS</v>
      </c>
      <c r="AA564" s="281" t="s">
        <v>1</v>
      </c>
      <c r="AB564" s="281" t="s">
        <v>1</v>
      </c>
      <c r="AC564" s="279" t="s">
        <v>1</v>
      </c>
      <c r="AD564" s="280" t="str" cm="1">
        <f t="array" aca="1" ref="AD564" ca="1">INDIRECT("'"&amp;$C564&amp;"'!"&amp;"$"&amp;$D564&amp;$AD$1&amp;"")</f>
        <v>CMS</v>
      </c>
      <c r="AE564" s="281" t="s">
        <v>1</v>
      </c>
      <c r="AF564" s="281" t="s">
        <v>1</v>
      </c>
      <c r="AG564" s="282" t="s">
        <v>1</v>
      </c>
      <c r="AH564" s="278" cm="1">
        <f t="array" aca="1" ref="AH564" ca="1">INDIRECT("'"&amp;$C564&amp;"'!"&amp;"$"&amp;$D564&amp;$AH$1&amp;"")</f>
        <v>2</v>
      </c>
      <c r="AI564" s="281">
        <v>14</v>
      </c>
      <c r="AJ564" s="281">
        <v>1</v>
      </c>
      <c r="AK564" s="279">
        <v>5.8999999999999997E-2</v>
      </c>
      <c r="AL564" s="278">
        <v>11.6</v>
      </c>
      <c r="AM564" s="282">
        <v>70.599999999999994</v>
      </c>
      <c r="AN564" s="278" cm="1">
        <f t="array" aca="1" ref="AN564" ca="1">INDIRECT("'"&amp;$C564&amp;"'!"&amp;"$"&amp;$D564&amp;$AL$1&amp;"")</f>
        <v>3.8</v>
      </c>
      <c r="AO564" s="281">
        <v>0.93</v>
      </c>
      <c r="AP564" s="279">
        <v>1.3</v>
      </c>
      <c r="AQ564" s="280" cm="1">
        <f t="array" aca="1" ref="AQ564" ca="1">INDIRECT("'"&amp;$C564&amp;"'!"&amp;"$"&amp;$D564&amp;$AQ$1&amp;"")</f>
        <v>0</v>
      </c>
      <c r="AR564" s="281" t="s">
        <v>1</v>
      </c>
      <c r="AS564" s="279" t="s">
        <v>1</v>
      </c>
      <c r="AT564" s="278">
        <v>13.91</v>
      </c>
      <c r="AU564" s="282">
        <v>70.400000000000006</v>
      </c>
      <c r="AV564" s="281" cm="1">
        <f t="array" aca="1" ref="AV564" ca="1">INDIRECT("'"&amp;$C564&amp;"'!"&amp;"$"&amp;$D564&amp;$AV$1&amp;"")</f>
        <v>0</v>
      </c>
      <c r="AW564" s="280" t="s">
        <v>1</v>
      </c>
      <c r="AX564" s="281" t="s">
        <v>1</v>
      </c>
      <c r="AY564" s="279" t="s">
        <v>1</v>
      </c>
      <c r="AZ564" s="281" cm="1">
        <f t="array" aca="1" ref="AZ564" ca="1">INDIRECT("'"&amp;$C564&amp;"'!"&amp;"$"&amp;$D564&amp;$AZ$1&amp;"")</f>
        <v>7</v>
      </c>
      <c r="BA564" s="280" t="s">
        <v>1</v>
      </c>
      <c r="BB564" s="281">
        <v>0.97</v>
      </c>
      <c r="BC564" s="279">
        <v>1.9</v>
      </c>
      <c r="BD564" s="283">
        <v>14.35</v>
      </c>
      <c r="BE564" s="282">
        <v>71.88</v>
      </c>
      <c r="BF564" s="283" cm="1">
        <f t="array" aca="1" ref="BF564" ca="1">INDIRECT("'"&amp;$C564&amp;"'!"&amp;"$"&amp;$D564&amp;$BF$1&amp;"")</f>
        <v>14.26</v>
      </c>
      <c r="BG564" s="281">
        <v>0.96</v>
      </c>
      <c r="BH564" s="279">
        <v>4.49</v>
      </c>
      <c r="BI564" s="524">
        <v>67.5</v>
      </c>
      <c r="BJ564" s="278" cm="1">
        <f t="array" aca="1" ref="BJ564" ca="1">INDIRECT("'"&amp;$C564&amp;"'!"&amp;"$"&amp;$D564&amp;$BI$1&amp;"")</f>
        <v>0</v>
      </c>
      <c r="BK564" s="280" t="s">
        <v>1</v>
      </c>
      <c r="BL564" s="279" t="s">
        <v>1</v>
      </c>
      <c r="BM564" s="283" cm="1">
        <f t="array" aca="1" ref="BM564" ca="1">INDIRECT("'"&amp;$C564&amp;"'!"&amp;"$"&amp;$D564&amp;$BM$1&amp;"")</f>
        <v>1.1499999999999999</v>
      </c>
      <c r="BN564" s="281"/>
      <c r="BO564" s="281">
        <v>0.99</v>
      </c>
      <c r="BP564" s="279">
        <v>0.16</v>
      </c>
      <c r="BQ564" s="284" cm="1">
        <f t="array" aca="1" ref="BQ564" ca="1">INDIRECT("'"&amp;$C564&amp;"'!"&amp;"$"&amp;$D564&amp;$BQ$1&amp;"")</f>
        <v>0.82</v>
      </c>
      <c r="BR564" s="281"/>
      <c r="BS564" s="281">
        <v>0.96</v>
      </c>
      <c r="BT564" s="279">
        <v>0.22</v>
      </c>
      <c r="BU564" s="284" cm="1">
        <f t="array" aca="1" ref="BU564" ca="1">INDIRECT("'"&amp;$C564&amp;"'!"&amp;"$"&amp;$D564&amp;74&amp;"")</f>
        <v>0</v>
      </c>
      <c r="BV564" s="281"/>
      <c r="BW564" s="281" t="s">
        <v>1</v>
      </c>
      <c r="BX564" s="279" t="s">
        <v>1</v>
      </c>
    </row>
    <row r="565" spans="1:76">
      <c r="A565" s="459">
        <v>45861</v>
      </c>
      <c r="B565" s="345">
        <v>0.41666666666666702</v>
      </c>
      <c r="C565" s="305">
        <v>23</v>
      </c>
      <c r="D565" s="306" t="s">
        <v>152</v>
      </c>
      <c r="E565" s="285">
        <v>14</v>
      </c>
      <c r="F565" s="286">
        <v>69.180000000000007</v>
      </c>
      <c r="G565" s="287" t="str" cm="1">
        <f t="array" aca="1" ref="G565" ca="1">INDIRECT("'"&amp;$C565&amp;"'!"&amp;"$"&amp;$D565&amp;$E$1&amp;"")</f>
        <v>CMS</v>
      </c>
      <c r="H565" s="288" t="s">
        <v>1</v>
      </c>
      <c r="I565" s="286" t="s">
        <v>1</v>
      </c>
      <c r="J565" s="287" cm="1">
        <f t="array" aca="1" ref="J565" ca="1">INDIRECT("'"&amp;$C565&amp;"'!"&amp;"$"&amp;$D565&amp;$J$1&amp;"")</f>
        <v>6.6</v>
      </c>
      <c r="K565" s="288"/>
      <c r="L565" s="288">
        <v>0.9</v>
      </c>
      <c r="M565" s="289">
        <v>3.14</v>
      </c>
      <c r="N565" s="285" cm="1">
        <f t="array" aca="1" ref="N565" ca="1">INDIRECT("'"&amp;$C565&amp;"'!"&amp;"$"&amp;$D565&amp;$N$1&amp;"")</f>
        <v>6.6</v>
      </c>
      <c r="O565" s="288"/>
      <c r="P565" s="288">
        <v>0.9</v>
      </c>
      <c r="Q565" s="286">
        <v>3.17</v>
      </c>
      <c r="R565" s="285" cm="1">
        <f t="array" aca="1" ref="R565" ca="1">INDIRECT("'"&amp;$C565&amp;"'!"&amp;"$"&amp;$D565&amp;$R$1&amp;"")</f>
        <v>6.6</v>
      </c>
      <c r="S565" s="288"/>
      <c r="T565" s="288">
        <v>0.9</v>
      </c>
      <c r="U565" s="286">
        <v>3.12</v>
      </c>
      <c r="V565" s="287" cm="1">
        <f t="array" aca="1" ref="V565" ca="1">INDIRECT("'"&amp;$C565&amp;"'!"&amp;"$"&amp;$D565&amp;$V$1&amp;"")</f>
        <v>2.8</v>
      </c>
      <c r="W565" s="288">
        <f>3.43*3.8</f>
        <v>13.034000000000001</v>
      </c>
      <c r="X565" s="288">
        <v>0.89</v>
      </c>
      <c r="Y565" s="289">
        <v>1.31</v>
      </c>
      <c r="Z565" s="285" t="str" cm="1">
        <f t="array" aca="1" ref="Z565" ca="1">INDIRECT("'"&amp;$C565&amp;"'!"&amp;"$"&amp;$D565&amp;$Z$1&amp;"")</f>
        <v>CMS</v>
      </c>
      <c r="AA565" s="288" t="s">
        <v>1</v>
      </c>
      <c r="AB565" s="288" t="s">
        <v>1</v>
      </c>
      <c r="AC565" s="286" t="s">
        <v>1</v>
      </c>
      <c r="AD565" s="287" t="str" cm="1">
        <f t="array" aca="1" ref="AD565" ca="1">INDIRECT("'"&amp;$C565&amp;"'!"&amp;"$"&amp;$D565&amp;$AD$1&amp;"")</f>
        <v>CMS</v>
      </c>
      <c r="AE565" s="288" t="s">
        <v>1</v>
      </c>
      <c r="AF565" s="288" t="s">
        <v>1</v>
      </c>
      <c r="AG565" s="289" t="s">
        <v>1</v>
      </c>
      <c r="AH565" s="285" cm="1">
        <f t="array" aca="1" ref="AH565" ca="1">INDIRECT("'"&amp;$C565&amp;"'!"&amp;"$"&amp;$D565&amp;$AH$1&amp;"")</f>
        <v>3.8</v>
      </c>
      <c r="AI565" s="288">
        <v>14.08</v>
      </c>
      <c r="AJ565" s="288">
        <v>0.98</v>
      </c>
      <c r="AK565" s="286">
        <v>0.44900000000000001</v>
      </c>
      <c r="AL565" s="285">
        <v>11.6</v>
      </c>
      <c r="AM565" s="289">
        <v>70.7</v>
      </c>
      <c r="AN565" s="285" cm="1">
        <f t="array" aca="1" ref="AN565" ca="1">INDIRECT("'"&amp;$C565&amp;"'!"&amp;"$"&amp;$D565&amp;$AL$1&amp;"")</f>
        <v>3.8</v>
      </c>
      <c r="AO565" s="288">
        <v>0.96</v>
      </c>
      <c r="AP565" s="286">
        <v>1.23</v>
      </c>
      <c r="AQ565" s="287" cm="1">
        <f t="array" aca="1" ref="AQ565" ca="1">INDIRECT("'"&amp;$C565&amp;"'!"&amp;"$"&amp;$D565&amp;$AQ$1&amp;"")</f>
        <v>0</v>
      </c>
      <c r="AR565" s="288" t="s">
        <v>1</v>
      </c>
      <c r="AS565" s="286" t="s">
        <v>1</v>
      </c>
      <c r="AT565" s="285">
        <v>13.91</v>
      </c>
      <c r="AU565" s="289">
        <v>70.400000000000006</v>
      </c>
      <c r="AV565" s="288" cm="1">
        <f t="array" aca="1" ref="AV565" ca="1">INDIRECT("'"&amp;$C565&amp;"'!"&amp;"$"&amp;$D565&amp;$AV$1&amp;"")</f>
        <v>0</v>
      </c>
      <c r="AW565" s="287" t="s">
        <v>1</v>
      </c>
      <c r="AX565" s="288" t="s">
        <v>1</v>
      </c>
      <c r="AY565" s="286" t="s">
        <v>1</v>
      </c>
      <c r="AZ565" s="288" cm="1">
        <f t="array" aca="1" ref="AZ565" ca="1">INDIRECT("'"&amp;$C565&amp;"'!"&amp;"$"&amp;$D565&amp;$AZ$1&amp;"")</f>
        <v>7.2</v>
      </c>
      <c r="BA565" s="287" t="s">
        <v>1</v>
      </c>
      <c r="BB565" s="288">
        <v>0.97</v>
      </c>
      <c r="BC565" s="286">
        <v>1.7</v>
      </c>
      <c r="BD565" s="290">
        <v>14.37</v>
      </c>
      <c r="BE565" s="289">
        <v>72.03</v>
      </c>
      <c r="BF565" s="290" cm="1">
        <f t="array" aca="1" ref="BF565" ca="1">INDIRECT("'"&amp;$C565&amp;"'!"&amp;"$"&amp;$D565&amp;$BF$1&amp;"")</f>
        <v>14.28</v>
      </c>
      <c r="BG565" s="288">
        <v>0.96</v>
      </c>
      <c r="BH565" s="286">
        <v>4.5</v>
      </c>
      <c r="BI565" s="525">
        <v>67.7</v>
      </c>
      <c r="BJ565" s="285" cm="1">
        <f t="array" aca="1" ref="BJ565" ca="1">INDIRECT("'"&amp;$C565&amp;"'!"&amp;"$"&amp;$D565&amp;$BI$1&amp;"")</f>
        <v>2.2000000000000002</v>
      </c>
      <c r="BK565" s="287">
        <v>0.96</v>
      </c>
      <c r="BL565" s="286">
        <v>0.64</v>
      </c>
      <c r="BM565" s="290" cm="1">
        <f t="array" aca="1" ref="BM565" ca="1">INDIRECT("'"&amp;$C565&amp;"'!"&amp;"$"&amp;$D565&amp;$BM$1&amp;"")</f>
        <v>1.1599999999999999</v>
      </c>
      <c r="BN565" s="288"/>
      <c r="BO565" s="288">
        <v>0.99</v>
      </c>
      <c r="BP565" s="286">
        <v>0.15</v>
      </c>
      <c r="BQ565" s="291" cm="1">
        <f t="array" aca="1" ref="BQ565" ca="1">INDIRECT("'"&amp;$C565&amp;"'!"&amp;"$"&amp;$D565&amp;$BQ$1&amp;"")</f>
        <v>0.87</v>
      </c>
      <c r="BR565" s="288"/>
      <c r="BS565" s="288">
        <v>0.96</v>
      </c>
      <c r="BT565" s="286">
        <v>0.23</v>
      </c>
      <c r="BU565" s="291" cm="1">
        <f t="array" aca="1" ref="BU565" ca="1">INDIRECT("'"&amp;$C565&amp;"'!"&amp;"$"&amp;$D565&amp;74&amp;"")</f>
        <v>0</v>
      </c>
      <c r="BV565" s="288"/>
      <c r="BW565" s="288" t="s">
        <v>1</v>
      </c>
      <c r="BX565" s="286" t="s">
        <v>1</v>
      </c>
    </row>
    <row r="566" spans="1:76">
      <c r="A566" s="459">
        <v>45861</v>
      </c>
      <c r="B566" s="345">
        <v>0.45833333333333398</v>
      </c>
      <c r="C566" s="305">
        <v>23</v>
      </c>
      <c r="D566" s="306" t="s">
        <v>153</v>
      </c>
      <c r="E566" s="278">
        <v>14</v>
      </c>
      <c r="F566" s="279">
        <v>69.290000000000006</v>
      </c>
      <c r="G566" s="280" t="str" cm="1">
        <f t="array" aca="1" ref="G566" ca="1">INDIRECT("'"&amp;$C566&amp;"'!"&amp;"$"&amp;$D566&amp;$E$1&amp;"")</f>
        <v>CMS</v>
      </c>
      <c r="H566" s="281" t="s">
        <v>1</v>
      </c>
      <c r="I566" s="279" t="s">
        <v>1</v>
      </c>
      <c r="J566" s="280" cm="1">
        <f t="array" aca="1" ref="J566" ca="1">INDIRECT("'"&amp;$C566&amp;"'!"&amp;"$"&amp;$D566&amp;$J$1&amp;"")</f>
        <v>6.8</v>
      </c>
      <c r="K566" s="281"/>
      <c r="L566" s="281">
        <v>0.9</v>
      </c>
      <c r="M566" s="282">
        <v>3.31</v>
      </c>
      <c r="N566" s="278" cm="1">
        <f t="array" aca="1" ref="N566" ca="1">INDIRECT("'"&amp;$C566&amp;"'!"&amp;"$"&amp;$D566&amp;$N$1&amp;"")</f>
        <v>6.8</v>
      </c>
      <c r="O566" s="281"/>
      <c r="P566" s="281">
        <v>0.9</v>
      </c>
      <c r="Q566" s="279">
        <v>3.29</v>
      </c>
      <c r="R566" s="468" cm="1">
        <f t="array" aca="1" ref="R566" ca="1">INDIRECT("'"&amp;$C566&amp;"'!"&amp;"$"&amp;$D566&amp;$R$1&amp;"")</f>
        <v>6.8</v>
      </c>
      <c r="S566" s="281"/>
      <c r="T566" s="281">
        <v>0.9</v>
      </c>
      <c r="U566" s="279">
        <v>3.32</v>
      </c>
      <c r="V566" s="280" cm="1">
        <f t="array" aca="1" ref="V566" ca="1">INDIRECT("'"&amp;$C566&amp;"'!"&amp;"$"&amp;$D566&amp;$V$1&amp;"")</f>
        <v>2.8</v>
      </c>
      <c r="W566" s="281">
        <f>3.43*3.8</f>
        <v>13.034000000000001</v>
      </c>
      <c r="X566" s="281">
        <v>0.89</v>
      </c>
      <c r="Y566" s="282">
        <v>1.3</v>
      </c>
      <c r="Z566" s="278" t="str" cm="1">
        <f t="array" aca="1" ref="Z566" ca="1">INDIRECT("'"&amp;$C566&amp;"'!"&amp;"$"&amp;$D566&amp;$Z$1&amp;"")</f>
        <v>CMS</v>
      </c>
      <c r="AA566" s="281" t="s">
        <v>1</v>
      </c>
      <c r="AB566" s="281" t="s">
        <v>1</v>
      </c>
      <c r="AC566" s="279" t="s">
        <v>1</v>
      </c>
      <c r="AD566" s="280" t="str" cm="1">
        <f t="array" aca="1" ref="AD566" ca="1">INDIRECT("'"&amp;$C566&amp;"'!"&amp;"$"&amp;$D566&amp;$AD$1&amp;"")</f>
        <v>CMS</v>
      </c>
      <c r="AE566" s="281" t="s">
        <v>1</v>
      </c>
      <c r="AF566" s="281" t="s">
        <v>1</v>
      </c>
      <c r="AG566" s="282" t="s">
        <v>1</v>
      </c>
      <c r="AH566" s="278" cm="1">
        <f t="array" aca="1" ref="AH566" ca="1">INDIRECT("'"&amp;$C566&amp;"'!"&amp;"$"&amp;$D566&amp;$AH$1&amp;"")</f>
        <v>3.8</v>
      </c>
      <c r="AI566" s="281">
        <v>14.08</v>
      </c>
      <c r="AJ566" s="281">
        <v>0.98</v>
      </c>
      <c r="AK566" s="279">
        <v>0.46700000000000003</v>
      </c>
      <c r="AL566" s="278">
        <v>11.6</v>
      </c>
      <c r="AM566" s="282">
        <v>70.8</v>
      </c>
      <c r="AN566" s="278" cm="1">
        <f t="array" aca="1" ref="AN566" ca="1">INDIRECT("'"&amp;$C566&amp;"'!"&amp;"$"&amp;$D566&amp;$AL$1&amp;"")</f>
        <v>3.8</v>
      </c>
      <c r="AO566" s="281">
        <v>0.95</v>
      </c>
      <c r="AP566" s="279">
        <v>1.2</v>
      </c>
      <c r="AQ566" s="280" cm="1">
        <f t="array" aca="1" ref="AQ566" ca="1">INDIRECT("'"&amp;$C566&amp;"'!"&amp;"$"&amp;$D566&amp;$AQ$1&amp;"")</f>
        <v>0</v>
      </c>
      <c r="AR566" s="281" t="s">
        <v>1</v>
      </c>
      <c r="AS566" s="279" t="s">
        <v>1</v>
      </c>
      <c r="AT566" s="278">
        <v>13.92</v>
      </c>
      <c r="AU566" s="282">
        <v>70.3</v>
      </c>
      <c r="AV566" s="281" cm="1">
        <f t="array" aca="1" ref="AV566" ca="1">INDIRECT("'"&amp;$C566&amp;"'!"&amp;"$"&amp;$D566&amp;$AV$1&amp;"")</f>
        <v>0</v>
      </c>
      <c r="AW566" s="280" t="s">
        <v>1</v>
      </c>
      <c r="AX566" s="281" t="s">
        <v>1</v>
      </c>
      <c r="AY566" s="279" t="s">
        <v>1</v>
      </c>
      <c r="AZ566" s="281" cm="1">
        <f t="array" aca="1" ref="AZ566" ca="1">INDIRECT("'"&amp;$C566&amp;"'!"&amp;"$"&amp;$D566&amp;$AZ$1&amp;"")</f>
        <v>7.3</v>
      </c>
      <c r="BA566" s="280" t="s">
        <v>1</v>
      </c>
      <c r="BB566" s="281">
        <v>0.97</v>
      </c>
      <c r="BC566" s="279">
        <v>1.8</v>
      </c>
      <c r="BD566" s="283">
        <v>14.33</v>
      </c>
      <c r="BE566" s="282">
        <v>71.819999999999993</v>
      </c>
      <c r="BF566" s="283" cm="1">
        <f t="array" aca="1" ref="BF566" ca="1">INDIRECT("'"&amp;$C566&amp;"'!"&amp;"$"&amp;$D566&amp;$BF$1&amp;"")</f>
        <v>14.25</v>
      </c>
      <c r="BG566" s="281">
        <v>0.96</v>
      </c>
      <c r="BH566" s="279">
        <v>4.42</v>
      </c>
      <c r="BI566" s="524">
        <v>67.8</v>
      </c>
      <c r="BJ566" s="278" cm="1">
        <f t="array" aca="1" ref="BJ566" ca="1">INDIRECT("'"&amp;$C566&amp;"'!"&amp;"$"&amp;$D566&amp;$BI$1&amp;"")</f>
        <v>3</v>
      </c>
      <c r="BK566" s="280">
        <v>0.96</v>
      </c>
      <c r="BL566" s="279">
        <v>0.87</v>
      </c>
      <c r="BM566" s="283" cm="1">
        <f t="array" aca="1" ref="BM566" ca="1">INDIRECT("'"&amp;$C566&amp;"'!"&amp;"$"&amp;$D566&amp;$BM$1&amp;"")</f>
        <v>1.22</v>
      </c>
      <c r="BN566" s="281"/>
      <c r="BO566" s="281">
        <v>0.99</v>
      </c>
      <c r="BP566" s="279">
        <v>0.16</v>
      </c>
      <c r="BQ566" s="284" cm="1">
        <f t="array" aca="1" ref="BQ566" ca="1">INDIRECT("'"&amp;$C566&amp;"'!"&amp;"$"&amp;$D566&amp;$BQ$1&amp;"")</f>
        <v>0.86</v>
      </c>
      <c r="BR566" s="281"/>
      <c r="BS566" s="281">
        <v>0.96</v>
      </c>
      <c r="BT566" s="279">
        <v>0.24</v>
      </c>
      <c r="BU566" s="284" cm="1">
        <f t="array" aca="1" ref="BU566" ca="1">INDIRECT("'"&amp;$C566&amp;"'!"&amp;"$"&amp;$D566&amp;74&amp;"")</f>
        <v>0</v>
      </c>
      <c r="BV566" s="281"/>
      <c r="BW566" s="281" t="s">
        <v>1</v>
      </c>
      <c r="BX566" s="279" t="s">
        <v>1</v>
      </c>
    </row>
    <row r="567" spans="1:76">
      <c r="A567" s="459">
        <v>45861</v>
      </c>
      <c r="B567" s="345">
        <v>0.5</v>
      </c>
      <c r="C567" s="305">
        <v>23</v>
      </c>
      <c r="D567" s="306" t="s">
        <v>154</v>
      </c>
      <c r="E567" s="285">
        <v>14</v>
      </c>
      <c r="F567" s="286">
        <v>69.459999999999994</v>
      </c>
      <c r="G567" s="287" t="str" cm="1">
        <f t="array" aca="1" ref="G567" ca="1">INDIRECT("'"&amp;$C567&amp;"'!"&amp;"$"&amp;$D567&amp;$E$1&amp;"")</f>
        <v>CMS</v>
      </c>
      <c r="H567" s="288" t="s">
        <v>1</v>
      </c>
      <c r="I567" s="286" t="s">
        <v>1</v>
      </c>
      <c r="J567" s="287" cm="1">
        <f t="array" aca="1" ref="J567" ca="1">INDIRECT("'"&amp;$C567&amp;"'!"&amp;"$"&amp;$D567&amp;$J$1&amp;"")</f>
        <v>6.6</v>
      </c>
      <c r="K567" s="288"/>
      <c r="L567" s="288">
        <v>0.9</v>
      </c>
      <c r="M567" s="289">
        <v>3.16</v>
      </c>
      <c r="N567" s="285" cm="1">
        <f t="array" aca="1" ref="N567" ca="1">INDIRECT("'"&amp;$C567&amp;"'!"&amp;"$"&amp;$D567&amp;$N$1&amp;"")</f>
        <v>6.6</v>
      </c>
      <c r="O567" s="288"/>
      <c r="P567" s="288">
        <v>0.9</v>
      </c>
      <c r="Q567" s="289">
        <v>3.19</v>
      </c>
      <c r="R567" s="285" cm="1">
        <f t="array" aca="1" ref="R567" ca="1">INDIRECT("'"&amp;$C567&amp;"'!"&amp;"$"&amp;$D567&amp;$R$1&amp;"")</f>
        <v>6.6</v>
      </c>
      <c r="S567" s="288"/>
      <c r="T567" s="288">
        <v>0.9</v>
      </c>
      <c r="U567" s="286">
        <v>3.14</v>
      </c>
      <c r="V567" s="287" cm="1">
        <f t="array" aca="1" ref="V567" ca="1">INDIRECT("'"&amp;$C567&amp;"'!"&amp;"$"&amp;$D567&amp;$V$1&amp;"")</f>
        <v>2.8</v>
      </c>
      <c r="W567" s="288">
        <f>3.44*3.8</f>
        <v>13.071999999999999</v>
      </c>
      <c r="X567" s="288">
        <v>0.89</v>
      </c>
      <c r="Y567" s="289">
        <v>1.31</v>
      </c>
      <c r="Z567" s="285" t="str" cm="1">
        <f t="array" aca="1" ref="Z567" ca="1">INDIRECT("'"&amp;$C567&amp;"'!"&amp;"$"&amp;$D567&amp;$Z$1&amp;"")</f>
        <v>CMS</v>
      </c>
      <c r="AA567" s="288" t="s">
        <v>1</v>
      </c>
      <c r="AB567" s="288" t="s">
        <v>1</v>
      </c>
      <c r="AC567" s="286" t="s">
        <v>1</v>
      </c>
      <c r="AD567" s="287" t="str" cm="1">
        <f t="array" aca="1" ref="AD567" ca="1">INDIRECT("'"&amp;$C567&amp;"'!"&amp;"$"&amp;$D567&amp;$AD$1&amp;"")</f>
        <v>CMS</v>
      </c>
      <c r="AE567" s="288" t="s">
        <v>1</v>
      </c>
      <c r="AF567" s="288" t="s">
        <v>1</v>
      </c>
      <c r="AG567" s="289" t="s">
        <v>1</v>
      </c>
      <c r="AH567" s="285" cm="1">
        <f t="array" aca="1" ref="AH567" ca="1">INDIRECT("'"&amp;$C567&amp;"'!"&amp;"$"&amp;$D567&amp;$AH$1&amp;"")</f>
        <v>3.8</v>
      </c>
      <c r="AI567" s="288">
        <v>14.08</v>
      </c>
      <c r="AJ567" s="288">
        <v>0.98</v>
      </c>
      <c r="AK567" s="286">
        <v>0.45600000000000002</v>
      </c>
      <c r="AL567" s="285">
        <v>11.6</v>
      </c>
      <c r="AM567" s="289">
        <v>70.8</v>
      </c>
      <c r="AN567" s="285" cm="1">
        <f t="array" aca="1" ref="AN567" ca="1">INDIRECT("'"&amp;$C567&amp;"'!"&amp;"$"&amp;$D567&amp;$AL$1&amp;"")</f>
        <v>3.8</v>
      </c>
      <c r="AO567" s="288">
        <v>0.95</v>
      </c>
      <c r="AP567" s="286">
        <v>1.2</v>
      </c>
      <c r="AQ567" s="287" cm="1">
        <f t="array" aca="1" ref="AQ567" ca="1">INDIRECT("'"&amp;$C567&amp;"'!"&amp;"$"&amp;$D567&amp;$AQ$1&amp;"")</f>
        <v>0</v>
      </c>
      <c r="AR567" s="288" t="s">
        <v>1</v>
      </c>
      <c r="AS567" s="286" t="s">
        <v>1</v>
      </c>
      <c r="AT567" s="285">
        <v>13.92</v>
      </c>
      <c r="AU567" s="289">
        <v>70.3</v>
      </c>
      <c r="AV567" s="288" cm="1">
        <f t="array" aca="1" ref="AV567" ca="1">INDIRECT("'"&amp;$C567&amp;"'!"&amp;"$"&amp;$D567&amp;$AV$1&amp;"")</f>
        <v>0</v>
      </c>
      <c r="AW567" s="287" t="s">
        <v>1</v>
      </c>
      <c r="AX567" s="288" t="s">
        <v>1</v>
      </c>
      <c r="AY567" s="286" t="s">
        <v>1</v>
      </c>
      <c r="AZ567" s="288" cm="1">
        <f t="array" aca="1" ref="AZ567" ca="1">INDIRECT("'"&amp;$C567&amp;"'!"&amp;"$"&amp;$D567&amp;$AZ$1&amp;"")</f>
        <v>7.1</v>
      </c>
      <c r="BA567" s="287" t="s">
        <v>1</v>
      </c>
      <c r="BB567" s="288">
        <v>0.97</v>
      </c>
      <c r="BC567" s="286">
        <v>1.8</v>
      </c>
      <c r="BD567" s="290">
        <v>14.32</v>
      </c>
      <c r="BE567" s="289">
        <v>71.819999999999993</v>
      </c>
      <c r="BF567" s="290" cm="1">
        <f t="array" aca="1" ref="BF567" ca="1">INDIRECT("'"&amp;$C567&amp;"'!"&amp;"$"&amp;$D567&amp;$BF$1&amp;"")</f>
        <v>14.25</v>
      </c>
      <c r="BG567" s="288">
        <v>0.96</v>
      </c>
      <c r="BH567" s="286">
        <v>4.43</v>
      </c>
      <c r="BI567" s="525">
        <v>68</v>
      </c>
      <c r="BJ567" s="285" cm="1">
        <f t="array" aca="1" ref="BJ567" ca="1">INDIRECT("'"&amp;$C567&amp;"'!"&amp;"$"&amp;$D567&amp;$BI$1&amp;"")</f>
        <v>3</v>
      </c>
      <c r="BK567" s="287">
        <v>0.96</v>
      </c>
      <c r="BL567" s="286">
        <v>0.88</v>
      </c>
      <c r="BM567" s="290" cm="1">
        <f t="array" aca="1" ref="BM567" ca="1">INDIRECT("'"&amp;$C567&amp;"'!"&amp;"$"&amp;$D567&amp;$BM$1&amp;"")</f>
        <v>1.2</v>
      </c>
      <c r="BN567" s="288"/>
      <c r="BO567" s="288">
        <v>0.99</v>
      </c>
      <c r="BP567" s="286">
        <v>0.16</v>
      </c>
      <c r="BQ567" s="291" cm="1">
        <f t="array" aca="1" ref="BQ567" ca="1">INDIRECT("'"&amp;$C567&amp;"'!"&amp;"$"&amp;$D567&amp;$BQ$1&amp;"")</f>
        <v>0.91</v>
      </c>
      <c r="BR567" s="288"/>
      <c r="BS567" s="288">
        <v>0.96</v>
      </c>
      <c r="BT567" s="286">
        <v>0.25</v>
      </c>
      <c r="BU567" s="291" cm="1">
        <f t="array" aca="1" ref="BU567" ca="1">INDIRECT("'"&amp;$C567&amp;"'!"&amp;"$"&amp;$D567&amp;74&amp;"")</f>
        <v>0</v>
      </c>
      <c r="BV567" s="288"/>
      <c r="BW567" s="288" t="s">
        <v>1</v>
      </c>
      <c r="BX567" s="286" t="s">
        <v>1</v>
      </c>
    </row>
    <row r="568" spans="1:76">
      <c r="A568" s="459">
        <v>45861</v>
      </c>
      <c r="B568" s="345">
        <v>0.54166666666666696</v>
      </c>
      <c r="C568" s="305">
        <v>23</v>
      </c>
      <c r="D568" s="306" t="s">
        <v>155</v>
      </c>
      <c r="E568" s="278">
        <v>14</v>
      </c>
      <c r="F568" s="279">
        <v>69.209999999999994</v>
      </c>
      <c r="G568" s="280" t="str" cm="1">
        <f t="array" aca="1" ref="G568" ca="1">INDIRECT("'"&amp;$C568&amp;"'!"&amp;"$"&amp;$D568&amp;$E$1&amp;"")</f>
        <v>CMS</v>
      </c>
      <c r="H568" s="281" t="s">
        <v>1</v>
      </c>
      <c r="I568" s="279" t="s">
        <v>1</v>
      </c>
      <c r="J568" s="280" cm="1">
        <f t="array" aca="1" ref="J568" ca="1">INDIRECT("'"&amp;$C568&amp;"'!"&amp;"$"&amp;$D568&amp;$J$1&amp;"")</f>
        <v>6.7</v>
      </c>
      <c r="K568" s="281"/>
      <c r="L568" s="281">
        <v>0.9</v>
      </c>
      <c r="M568" s="279">
        <v>3.28</v>
      </c>
      <c r="N568" s="278" cm="1">
        <f t="array" aca="1" ref="N568" ca="1">INDIRECT("'"&amp;$C568&amp;"'!"&amp;"$"&amp;$D568&amp;$N$1&amp;"")</f>
        <v>6.7</v>
      </c>
      <c r="O568" s="281"/>
      <c r="P568" s="281">
        <v>0.9</v>
      </c>
      <c r="Q568" s="279">
        <v>3.25</v>
      </c>
      <c r="R568" s="468" cm="1">
        <f t="array" aca="1" ref="R568" ca="1">INDIRECT("'"&amp;$C568&amp;"'!"&amp;"$"&amp;$D568&amp;$R$1&amp;"")</f>
        <v>6.7</v>
      </c>
      <c r="S568" s="281"/>
      <c r="T568" s="281">
        <v>0.89</v>
      </c>
      <c r="U568" s="279">
        <v>3.35</v>
      </c>
      <c r="V568" s="280" cm="1">
        <f t="array" aca="1" ref="V568" ca="1">INDIRECT("'"&amp;$C568&amp;"'!"&amp;"$"&amp;$D568&amp;$V$1&amp;"")</f>
        <v>2.8</v>
      </c>
      <c r="W568" s="281">
        <f>3.43*3.8</f>
        <v>13.034000000000001</v>
      </c>
      <c r="X568" s="281">
        <v>0.89</v>
      </c>
      <c r="Y568" s="282">
        <v>1.31</v>
      </c>
      <c r="Z568" s="278" t="str" cm="1">
        <f t="array" aca="1" ref="Z568" ca="1">INDIRECT("'"&amp;$C568&amp;"'!"&amp;"$"&amp;$D568&amp;$Z$1&amp;"")</f>
        <v>CMS</v>
      </c>
      <c r="AA568" s="281" t="s">
        <v>1</v>
      </c>
      <c r="AB568" s="281" t="s">
        <v>1</v>
      </c>
      <c r="AC568" s="279" t="s">
        <v>1</v>
      </c>
      <c r="AD568" s="280" t="str" cm="1">
        <f t="array" aca="1" ref="AD568" ca="1">INDIRECT("'"&amp;$C568&amp;"'!"&amp;"$"&amp;$D568&amp;$AD$1&amp;"")</f>
        <v>CMS</v>
      </c>
      <c r="AE568" s="281" t="s">
        <v>1</v>
      </c>
      <c r="AF568" s="281" t="s">
        <v>1</v>
      </c>
      <c r="AG568" s="282" t="s">
        <v>1</v>
      </c>
      <c r="AH568" s="278" cm="1">
        <f t="array" aca="1" ref="AH568" ca="1">INDIRECT("'"&amp;$C568&amp;"'!"&amp;"$"&amp;$D568&amp;$AH$1&amp;"")</f>
        <v>3.8</v>
      </c>
      <c r="AI568" s="281">
        <v>14.08</v>
      </c>
      <c r="AJ568" s="281">
        <v>0.98</v>
      </c>
      <c r="AK568" s="279">
        <v>0.46100000000000002</v>
      </c>
      <c r="AL568" s="278">
        <v>11.6</v>
      </c>
      <c r="AM568" s="282">
        <v>70.7</v>
      </c>
      <c r="AN568" s="278" cm="1">
        <f t="array" aca="1" ref="AN568" ca="1">INDIRECT("'"&amp;$C568&amp;"'!"&amp;"$"&amp;$D568&amp;$AL$1&amp;"")</f>
        <v>3.7</v>
      </c>
      <c r="AO568" s="281">
        <v>0.95</v>
      </c>
      <c r="AP568" s="279">
        <v>1.2</v>
      </c>
      <c r="AQ568" s="280" cm="1">
        <f t="array" aca="1" ref="AQ568" ca="1">INDIRECT("'"&amp;$C568&amp;"'!"&amp;"$"&amp;$D568&amp;$AQ$1&amp;"")</f>
        <v>0</v>
      </c>
      <c r="AR568" s="281" t="s">
        <v>1</v>
      </c>
      <c r="AS568" s="279" t="s">
        <v>1</v>
      </c>
      <c r="AT568" s="278">
        <v>13.92</v>
      </c>
      <c r="AU568" s="282">
        <v>70.400000000000006</v>
      </c>
      <c r="AV568" s="281" cm="1">
        <f t="array" aca="1" ref="AV568" ca="1">INDIRECT("'"&amp;$C568&amp;"'!"&amp;"$"&amp;$D568&amp;$AV$1&amp;"")</f>
        <v>0</v>
      </c>
      <c r="AW568" s="280">
        <v>13.7</v>
      </c>
      <c r="AX568" s="281" t="s">
        <v>1</v>
      </c>
      <c r="AY568" s="279" t="s">
        <v>1</v>
      </c>
      <c r="AZ568" s="281" cm="1">
        <f t="array" aca="1" ref="AZ568" ca="1">INDIRECT("'"&amp;$C568&amp;"'!"&amp;"$"&amp;$D568&amp;$AZ$1&amp;"")</f>
        <v>7.2</v>
      </c>
      <c r="BA568" s="280">
        <v>13.7</v>
      </c>
      <c r="BB568" s="281">
        <v>0.97</v>
      </c>
      <c r="BC568" s="279">
        <v>1.9</v>
      </c>
      <c r="BD568" s="283">
        <v>14.37</v>
      </c>
      <c r="BE568" s="282">
        <v>71.989999999999995</v>
      </c>
      <c r="BF568" s="283" cm="1">
        <f t="array" aca="1" ref="BF568" ca="1">INDIRECT("'"&amp;$C568&amp;"'!"&amp;"$"&amp;$D568&amp;$BF$1&amp;"")</f>
        <v>14.27</v>
      </c>
      <c r="BG568" s="281">
        <v>0.96</v>
      </c>
      <c r="BH568" s="279">
        <v>4.47</v>
      </c>
      <c r="BI568" s="524">
        <v>67.599999999999994</v>
      </c>
      <c r="BJ568" s="278" cm="1">
        <f t="array" aca="1" ref="BJ568" ca="1">INDIRECT("'"&amp;$C568&amp;"'!"&amp;"$"&amp;$D568&amp;$BI$1&amp;"")</f>
        <v>0.7</v>
      </c>
      <c r="BK568" s="280">
        <v>0.97</v>
      </c>
      <c r="BL568" s="279">
        <v>0.17</v>
      </c>
      <c r="BM568" s="283" cm="1">
        <f t="array" aca="1" ref="BM568" ca="1">INDIRECT("'"&amp;$C568&amp;"'!"&amp;"$"&amp;$D568&amp;$BM$1&amp;"")</f>
        <v>1.1599999999999999</v>
      </c>
      <c r="BN568" s="281"/>
      <c r="BO568" s="281">
        <v>0.99</v>
      </c>
      <c r="BP568" s="279">
        <v>0.15</v>
      </c>
      <c r="BQ568" s="284" cm="1">
        <f t="array" aca="1" ref="BQ568" ca="1">INDIRECT("'"&amp;$C568&amp;"'!"&amp;"$"&amp;$D568&amp;$BQ$1&amp;"")</f>
        <v>0.88</v>
      </c>
      <c r="BR568" s="281"/>
      <c r="BS568" s="281">
        <v>0.96</v>
      </c>
      <c r="BT568" s="279">
        <v>0.24</v>
      </c>
      <c r="BU568" s="284" cm="1">
        <f t="array" aca="1" ref="BU568" ca="1">INDIRECT("'"&amp;$C568&amp;"'!"&amp;"$"&amp;$D568&amp;74&amp;"")</f>
        <v>0</v>
      </c>
      <c r="BV568" s="281"/>
      <c r="BW568" s="281" t="s">
        <v>1</v>
      </c>
      <c r="BX568" s="279" t="s">
        <v>1</v>
      </c>
    </row>
    <row r="569" spans="1:76">
      <c r="A569" s="459">
        <v>45861</v>
      </c>
      <c r="B569" s="345">
        <v>0.58333333333333404</v>
      </c>
      <c r="C569" s="305">
        <v>23</v>
      </c>
      <c r="D569" s="306" t="s">
        <v>156</v>
      </c>
      <c r="E569" s="285">
        <v>14</v>
      </c>
      <c r="F569" s="286">
        <v>69.180000000000007</v>
      </c>
      <c r="G569" s="287" t="str" cm="1">
        <f t="array" aca="1" ref="G569" ca="1">INDIRECT("'"&amp;$C569&amp;"'!"&amp;"$"&amp;$D569&amp;$E$1&amp;"")</f>
        <v>CMS</v>
      </c>
      <c r="H569" s="288" t="s">
        <v>1</v>
      </c>
      <c r="I569" s="286" t="s">
        <v>1</v>
      </c>
      <c r="J569" s="287" cm="1">
        <f t="array" aca="1" ref="J569" ca="1">INDIRECT("'"&amp;$C569&amp;"'!"&amp;"$"&amp;$D569&amp;$J$1&amp;"")</f>
        <v>6.2</v>
      </c>
      <c r="K569" s="288"/>
      <c r="L569" s="288">
        <v>0.9</v>
      </c>
      <c r="M569" s="289">
        <v>3.13</v>
      </c>
      <c r="N569" s="285" cm="1">
        <f t="array" aca="1" ref="N569" ca="1">INDIRECT("'"&amp;$C569&amp;"'!"&amp;"$"&amp;$D569&amp;$N$1&amp;"")</f>
        <v>6.2</v>
      </c>
      <c r="O569" s="288"/>
      <c r="P569" s="288">
        <v>0.9</v>
      </c>
      <c r="Q569" s="286">
        <v>3.12</v>
      </c>
      <c r="R569" s="285" cm="1">
        <f t="array" aca="1" ref="R569" ca="1">INDIRECT("'"&amp;$C569&amp;"'!"&amp;"$"&amp;$D569&amp;$R$1&amp;"")</f>
        <v>6.2</v>
      </c>
      <c r="S569" s="288"/>
      <c r="T569" s="288">
        <v>0.9</v>
      </c>
      <c r="U569" s="286">
        <v>3.15</v>
      </c>
      <c r="V569" s="287" cm="1">
        <f t="array" aca="1" ref="V569" ca="1">INDIRECT("'"&amp;$C569&amp;"'!"&amp;"$"&amp;$D569&amp;$V$1&amp;"")</f>
        <v>2.6</v>
      </c>
      <c r="W569" s="288">
        <f>3.8*3.42</f>
        <v>12.995999999999999</v>
      </c>
      <c r="X569" s="288">
        <v>0.89</v>
      </c>
      <c r="Y569" s="289">
        <v>1.28</v>
      </c>
      <c r="Z569" s="285" t="str" cm="1">
        <f t="array" aca="1" ref="Z569" ca="1">INDIRECT("'"&amp;$C569&amp;"'!"&amp;"$"&amp;$D569&amp;$Z$1&amp;"")</f>
        <v>CMS</v>
      </c>
      <c r="AA569" s="288" t="s">
        <v>1</v>
      </c>
      <c r="AB569" s="288" t="s">
        <v>1</v>
      </c>
      <c r="AC569" s="286" t="s">
        <v>1</v>
      </c>
      <c r="AD569" s="287" t="str" cm="1">
        <f t="array" aca="1" ref="AD569" ca="1">INDIRECT("'"&amp;$C569&amp;"'!"&amp;"$"&amp;$D569&amp;$AD$1&amp;"")</f>
        <v>CMS</v>
      </c>
      <c r="AE569" s="288" t="s">
        <v>1</v>
      </c>
      <c r="AF569" s="288" t="s">
        <v>1</v>
      </c>
      <c r="AG569" s="289" t="s">
        <v>1</v>
      </c>
      <c r="AH569" s="285" cm="1">
        <f t="array" aca="1" ref="AH569" ca="1">INDIRECT("'"&amp;$C569&amp;"'!"&amp;"$"&amp;$D569&amp;$AH$1&amp;"")</f>
        <v>3.8</v>
      </c>
      <c r="AI569" s="288">
        <v>14.08</v>
      </c>
      <c r="AJ569" s="288">
        <v>0.98</v>
      </c>
      <c r="AK569" s="286">
        <v>0.46800000000000003</v>
      </c>
      <c r="AL569" s="285">
        <v>11.6</v>
      </c>
      <c r="AM569" s="289">
        <v>70.7</v>
      </c>
      <c r="AN569" s="285" cm="1">
        <f t="array" aca="1" ref="AN569" ca="1">INDIRECT("'"&amp;$C569&amp;"'!"&amp;"$"&amp;$D569&amp;$AL$1&amp;"")</f>
        <v>3.8</v>
      </c>
      <c r="AO569" s="288">
        <v>0.96</v>
      </c>
      <c r="AP569" s="286">
        <v>0.86</v>
      </c>
      <c r="AQ569" s="287" cm="1">
        <f t="array" aca="1" ref="AQ569" ca="1">INDIRECT("'"&amp;$C569&amp;"'!"&amp;"$"&amp;$D569&amp;$AQ$1&amp;"")</f>
        <v>0</v>
      </c>
      <c r="AR569" s="288" t="s">
        <v>1</v>
      </c>
      <c r="AS569" s="286" t="s">
        <v>1</v>
      </c>
      <c r="AT569" s="285">
        <v>13.88</v>
      </c>
      <c r="AU569" s="289">
        <v>70.3</v>
      </c>
      <c r="AV569" s="288" cm="1">
        <f t="array" aca="1" ref="AV569" ca="1">INDIRECT("'"&amp;$C569&amp;"'!"&amp;"$"&amp;$D569&amp;$AV$1&amp;"")</f>
        <v>0</v>
      </c>
      <c r="AW569" s="287">
        <v>13.7</v>
      </c>
      <c r="AX569" s="288" t="s">
        <v>1</v>
      </c>
      <c r="AY569" s="286" t="s">
        <v>1</v>
      </c>
      <c r="AZ569" s="288" cm="1">
        <f t="array" aca="1" ref="AZ569" ca="1">INDIRECT("'"&amp;$C569&amp;"'!"&amp;"$"&amp;$D569&amp;$AZ$1&amp;"")</f>
        <v>7</v>
      </c>
      <c r="BA569" s="287">
        <v>13.7</v>
      </c>
      <c r="BB569" s="288">
        <v>0.96</v>
      </c>
      <c r="BC569" s="286">
        <v>2.1</v>
      </c>
      <c r="BD569" s="290">
        <v>14.2</v>
      </c>
      <c r="BE569" s="289">
        <v>71.48</v>
      </c>
      <c r="BF569" s="290" cm="1">
        <f t="array" aca="1" ref="BF569" ca="1">INDIRECT("'"&amp;$C569&amp;"'!"&amp;"$"&amp;$D569&amp;$BF$1&amp;"")</f>
        <v>14.27</v>
      </c>
      <c r="BG569" s="288">
        <v>0.98</v>
      </c>
      <c r="BH569" s="286">
        <v>3.44</v>
      </c>
      <c r="BI569" s="525">
        <v>67.5</v>
      </c>
      <c r="BJ569" s="285" cm="1">
        <f t="array" aca="1" ref="BJ569" ca="1">INDIRECT("'"&amp;$C569&amp;"'!"&amp;"$"&amp;$D569&amp;$BI$1&amp;"")</f>
        <v>1.5</v>
      </c>
      <c r="BK569" s="287">
        <v>0.97</v>
      </c>
      <c r="BL569" s="286">
        <v>0.37</v>
      </c>
      <c r="BM569" s="290" cm="1">
        <f t="array" aca="1" ref="BM569" ca="1">INDIRECT("'"&amp;$C569&amp;"'!"&amp;"$"&amp;$D569&amp;$BM$1&amp;"")</f>
        <v>1.2</v>
      </c>
      <c r="BN569" s="288"/>
      <c r="BO569" s="288">
        <v>0.99</v>
      </c>
      <c r="BP569" s="286">
        <v>0.18</v>
      </c>
      <c r="BQ569" s="291" cm="1">
        <f t="array" aca="1" ref="BQ569" ca="1">INDIRECT("'"&amp;$C569&amp;"'!"&amp;"$"&amp;$D569&amp;$BQ$1&amp;"")</f>
        <v>0.9</v>
      </c>
      <c r="BR569" s="288"/>
      <c r="BS569" s="288">
        <v>0.96</v>
      </c>
      <c r="BT569" s="286">
        <v>0.24</v>
      </c>
      <c r="BU569" s="291" cm="1">
        <f t="array" aca="1" ref="BU569" ca="1">INDIRECT("'"&amp;$C569&amp;"'!"&amp;"$"&amp;$D569&amp;74&amp;"")</f>
        <v>0</v>
      </c>
      <c r="BV569" s="288"/>
      <c r="BW569" s="288" t="s">
        <v>1</v>
      </c>
      <c r="BX569" s="286" t="s">
        <v>1</v>
      </c>
    </row>
    <row r="570" spans="1:76">
      <c r="A570" s="459">
        <v>45861</v>
      </c>
      <c r="B570" s="345">
        <v>0.625</v>
      </c>
      <c r="C570" s="305">
        <v>23</v>
      </c>
      <c r="D570" s="306" t="s">
        <v>157</v>
      </c>
      <c r="E570" s="278">
        <v>14</v>
      </c>
      <c r="F570" s="279">
        <v>69.180000000000007</v>
      </c>
      <c r="G570" s="280" t="str" cm="1">
        <f t="array" aca="1" ref="G570" ca="1">INDIRECT("'"&amp;$C570&amp;"'!"&amp;"$"&amp;$D570&amp;$E$1&amp;"")</f>
        <v>CMS</v>
      </c>
      <c r="H570" s="281" t="s">
        <v>1</v>
      </c>
      <c r="I570" s="279" t="s">
        <v>1</v>
      </c>
      <c r="J570" s="280" cm="1">
        <f t="array" aca="1" ref="J570" ca="1">INDIRECT("'"&amp;$C570&amp;"'!"&amp;"$"&amp;$D570&amp;$J$1&amp;"")</f>
        <v>6.6</v>
      </c>
      <c r="K570" s="281"/>
      <c r="L570" s="281">
        <v>0.9</v>
      </c>
      <c r="M570" s="282">
        <v>3.18</v>
      </c>
      <c r="N570" s="278" cm="1">
        <f t="array" aca="1" ref="N570" ca="1">INDIRECT("'"&amp;$C570&amp;"'!"&amp;"$"&amp;$D570&amp;$N$1&amp;"")</f>
        <v>6.6</v>
      </c>
      <c r="O570" s="281"/>
      <c r="P570" s="281">
        <v>0.9</v>
      </c>
      <c r="Q570" s="279">
        <v>3.19</v>
      </c>
      <c r="R570" s="468" cm="1">
        <f t="array" aca="1" ref="R570" ca="1">INDIRECT("'"&amp;$C570&amp;"'!"&amp;"$"&amp;$D570&amp;$R$1&amp;"")</f>
        <v>6.6</v>
      </c>
      <c r="S570" s="281"/>
      <c r="T570" s="281">
        <v>0.89</v>
      </c>
      <c r="U570" s="279">
        <v>3.31</v>
      </c>
      <c r="V570" s="280" cm="1">
        <f t="array" aca="1" ref="V570" ca="1">INDIRECT("'"&amp;$C570&amp;"'!"&amp;"$"&amp;$D570&amp;$V$1&amp;"")</f>
        <v>2.8</v>
      </c>
      <c r="W570" s="281">
        <f>3.8*3.42</f>
        <v>12.995999999999999</v>
      </c>
      <c r="X570" s="281">
        <v>0.89</v>
      </c>
      <c r="Y570" s="282">
        <v>1.34</v>
      </c>
      <c r="Z570" s="278" t="str" cm="1">
        <f t="array" aca="1" ref="Z570" ca="1">INDIRECT("'"&amp;$C570&amp;"'!"&amp;"$"&amp;$D570&amp;$Z$1&amp;"")</f>
        <v>CMS</v>
      </c>
      <c r="AA570" s="281" t="s">
        <v>1</v>
      </c>
      <c r="AB570" s="281" t="s">
        <v>1</v>
      </c>
      <c r="AC570" s="279" t="s">
        <v>1</v>
      </c>
      <c r="AD570" s="280" t="str" cm="1">
        <f t="array" aca="1" ref="AD570" ca="1">INDIRECT("'"&amp;$C570&amp;"'!"&amp;"$"&amp;$D570&amp;$AD$1&amp;"")</f>
        <v>CMS</v>
      </c>
      <c r="AE570" s="281" t="s">
        <v>1</v>
      </c>
      <c r="AF570" s="281" t="s">
        <v>1</v>
      </c>
      <c r="AG570" s="279" t="s">
        <v>1</v>
      </c>
      <c r="AH570" s="278" cm="1">
        <f t="array" aca="1" ref="AH570" ca="1">INDIRECT("'"&amp;$C570&amp;"'!"&amp;"$"&amp;$D570&amp;$AH$1&amp;"")</f>
        <v>3.8</v>
      </c>
      <c r="AI570" s="281">
        <v>14.08</v>
      </c>
      <c r="AJ570" s="281">
        <v>0.97</v>
      </c>
      <c r="AK570" s="279">
        <v>0.52</v>
      </c>
      <c r="AL570" s="278">
        <v>11.6</v>
      </c>
      <c r="AM570" s="282">
        <v>70.8</v>
      </c>
      <c r="AN570" s="278" cm="1">
        <f t="array" aca="1" ref="AN570" ca="1">INDIRECT("'"&amp;$C570&amp;"'!"&amp;"$"&amp;$D570&amp;$AL$1&amp;"")</f>
        <v>0</v>
      </c>
      <c r="AO570" s="281" t="s">
        <v>1</v>
      </c>
      <c r="AP570" s="279" t="s">
        <v>1</v>
      </c>
      <c r="AQ570" s="280" cm="1">
        <f t="array" aca="1" ref="AQ570" ca="1">INDIRECT("'"&amp;$C570&amp;"'!"&amp;"$"&amp;$D570&amp;$AQ$1&amp;"")</f>
        <v>3.8</v>
      </c>
      <c r="AR570" s="281">
        <v>0.96</v>
      </c>
      <c r="AS570" s="279">
        <v>0.78</v>
      </c>
      <c r="AT570" s="278">
        <v>13.93</v>
      </c>
      <c r="AU570" s="282">
        <v>70.400000000000006</v>
      </c>
      <c r="AV570" s="281" cm="1">
        <f t="array" aca="1" ref="AV570" ca="1">INDIRECT("'"&amp;$C570&amp;"'!"&amp;"$"&amp;$D570&amp;$AV$1&amp;"")</f>
        <v>0</v>
      </c>
      <c r="AW570" s="280">
        <v>13.7</v>
      </c>
      <c r="AX570" s="281" t="s">
        <v>1</v>
      </c>
      <c r="AY570" s="279" t="s">
        <v>1</v>
      </c>
      <c r="AZ570" s="281" cm="1">
        <f t="array" aca="1" ref="AZ570" ca="1">INDIRECT("'"&amp;$C570&amp;"'!"&amp;"$"&amp;$D570&amp;$AZ$1&amp;"")</f>
        <v>7</v>
      </c>
      <c r="BA570" s="280">
        <v>13.7</v>
      </c>
      <c r="BB570" s="281">
        <v>0.96</v>
      </c>
      <c r="BC570" s="279">
        <v>2</v>
      </c>
      <c r="BD570" s="283">
        <v>14.34</v>
      </c>
      <c r="BE570" s="282">
        <v>71.89</v>
      </c>
      <c r="BF570" s="283" cm="1">
        <f t="array" aca="1" ref="BF570" ca="1">INDIRECT("'"&amp;$C570&amp;"'!"&amp;"$"&amp;$D570&amp;$BF$1&amp;"")</f>
        <v>14.26</v>
      </c>
      <c r="BG570" s="281">
        <v>0.96</v>
      </c>
      <c r="BH570" s="279">
        <v>4.46</v>
      </c>
      <c r="BI570" s="524">
        <v>67.5</v>
      </c>
      <c r="BJ570" s="278" cm="1">
        <f t="array" aca="1" ref="BJ570" ca="1">INDIRECT("'"&amp;$C570&amp;"'!"&amp;"$"&amp;$D570&amp;$BI$1&amp;"")</f>
        <v>1.4</v>
      </c>
      <c r="BK570" s="280">
        <v>0.97</v>
      </c>
      <c r="BL570" s="279">
        <v>0.35</v>
      </c>
      <c r="BM570" s="283" cm="1">
        <f t="array" aca="1" ref="BM570" ca="1">INDIRECT("'"&amp;$C570&amp;"'!"&amp;"$"&amp;$D570&amp;$BM$1&amp;"")</f>
        <v>1.22</v>
      </c>
      <c r="BN570" s="281"/>
      <c r="BO570" s="281">
        <v>0.99</v>
      </c>
      <c r="BP570" s="279">
        <v>0.16</v>
      </c>
      <c r="BQ570" s="284" cm="1">
        <f t="array" aca="1" ref="BQ570" ca="1">INDIRECT("'"&amp;$C570&amp;"'!"&amp;"$"&amp;$D570&amp;$BQ$1&amp;"")</f>
        <v>0.91</v>
      </c>
      <c r="BR570" s="281"/>
      <c r="BS570" s="281">
        <v>0.96</v>
      </c>
      <c r="BT570" s="279">
        <v>0.24</v>
      </c>
      <c r="BU570" s="284" cm="1">
        <f t="array" aca="1" ref="BU570" ca="1">INDIRECT("'"&amp;$C570&amp;"'!"&amp;"$"&amp;$D570&amp;74&amp;"")</f>
        <v>0</v>
      </c>
      <c r="BV570" s="281"/>
      <c r="BW570" s="281" t="s">
        <v>1</v>
      </c>
      <c r="BX570" s="279" t="s">
        <v>1</v>
      </c>
    </row>
    <row r="571" spans="1:76">
      <c r="A571" s="459">
        <v>45861</v>
      </c>
      <c r="B571" s="345">
        <v>0.66666666666666696</v>
      </c>
      <c r="C571" s="305">
        <v>23</v>
      </c>
      <c r="D571" s="306" t="s">
        <v>158</v>
      </c>
      <c r="E571" s="285">
        <v>14</v>
      </c>
      <c r="F571" s="286">
        <v>69.22</v>
      </c>
      <c r="G571" s="287" t="str" cm="1">
        <f t="array" aca="1" ref="G571" ca="1">INDIRECT("'"&amp;$C571&amp;"'!"&amp;"$"&amp;$D571&amp;$E$1&amp;"")</f>
        <v>CMS</v>
      </c>
      <c r="H571" s="288" t="s">
        <v>1</v>
      </c>
      <c r="I571" s="286" t="s">
        <v>1</v>
      </c>
      <c r="J571" s="287" cm="1">
        <f t="array" aca="1" ref="J571" ca="1">INDIRECT("'"&amp;$C571&amp;"'!"&amp;"$"&amp;$D571&amp;$J$1&amp;"")</f>
        <v>6.5</v>
      </c>
      <c r="K571" s="288"/>
      <c r="L571" s="288">
        <v>0.91</v>
      </c>
      <c r="M571" s="289">
        <v>3.02</v>
      </c>
      <c r="N571" s="285" cm="1">
        <f t="array" aca="1" ref="N571" ca="1">INDIRECT("'"&amp;$C571&amp;"'!"&amp;"$"&amp;$D571&amp;$N$1&amp;"")</f>
        <v>6.5</v>
      </c>
      <c r="O571" s="288"/>
      <c r="P571" s="288">
        <v>0.91</v>
      </c>
      <c r="Q571" s="286">
        <v>3.08</v>
      </c>
      <c r="R571" s="469" cm="1">
        <f t="array" aca="1" ref="R571" ca="1">INDIRECT("'"&amp;$C571&amp;"'!"&amp;"$"&amp;$D571&amp;$R$1&amp;"")</f>
        <v>6.5</v>
      </c>
      <c r="S571" s="288"/>
      <c r="T571" s="288">
        <v>0.91</v>
      </c>
      <c r="U571" s="286">
        <v>3.01</v>
      </c>
      <c r="V571" s="287" cm="1">
        <f t="array" aca="1" ref="V571" ca="1">INDIRECT("'"&amp;$C571&amp;"'!"&amp;"$"&amp;$D571&amp;$V$1&amp;"")</f>
        <v>2.8</v>
      </c>
      <c r="W571" s="288">
        <f>3.8*3.43</f>
        <v>13.034000000000001</v>
      </c>
      <c r="X571" s="288">
        <v>0.89</v>
      </c>
      <c r="Y571" s="289">
        <v>1.35</v>
      </c>
      <c r="Z571" s="285" t="str" cm="1">
        <f t="array" aca="1" ref="Z571" ca="1">INDIRECT("'"&amp;$C571&amp;"'!"&amp;"$"&amp;$D571&amp;$Z$1&amp;"")</f>
        <v>CMS</v>
      </c>
      <c r="AA571" s="288" t="s">
        <v>1</v>
      </c>
      <c r="AB571" s="288" t="s">
        <v>1</v>
      </c>
      <c r="AC571" s="286" t="s">
        <v>1</v>
      </c>
      <c r="AD571" s="287" t="str" cm="1">
        <f t="array" aca="1" ref="AD571" ca="1">INDIRECT("'"&amp;$C571&amp;"'!"&amp;"$"&amp;$D571&amp;$AD$1&amp;"")</f>
        <v>CMS</v>
      </c>
      <c r="AE571" s="288" t="s">
        <v>1</v>
      </c>
      <c r="AF571" s="288" t="s">
        <v>1</v>
      </c>
      <c r="AG571" s="289" t="s">
        <v>1</v>
      </c>
      <c r="AH571" s="285" cm="1">
        <f t="array" aca="1" ref="AH571" ca="1">INDIRECT("'"&amp;$C571&amp;"'!"&amp;"$"&amp;$D571&amp;$AH$1&amp;"")</f>
        <v>3</v>
      </c>
      <c r="AI571" s="288">
        <v>14.08</v>
      </c>
      <c r="AJ571" s="288">
        <v>0.98</v>
      </c>
      <c r="AK571" s="286">
        <v>0.45200000000000001</v>
      </c>
      <c r="AL571" s="285">
        <v>11.6</v>
      </c>
      <c r="AM571" s="289">
        <v>70.7</v>
      </c>
      <c r="AN571" s="285" cm="1">
        <f t="array" aca="1" ref="AN571" ca="1">INDIRECT("'"&amp;$C571&amp;"'!"&amp;"$"&amp;$D571&amp;$AL$1&amp;"")</f>
        <v>0</v>
      </c>
      <c r="AO571" s="288" t="s">
        <v>1</v>
      </c>
      <c r="AP571" s="286" t="s">
        <v>1</v>
      </c>
      <c r="AQ571" s="287" cm="1">
        <f t="array" aca="1" ref="AQ571" ca="1">INDIRECT("'"&amp;$C571&amp;"'!"&amp;"$"&amp;$D571&amp;$AQ$1&amp;"")</f>
        <v>3.8</v>
      </c>
      <c r="AR571" s="288">
        <v>0.95</v>
      </c>
      <c r="AS571" s="286">
        <v>1.33</v>
      </c>
      <c r="AT571" s="285">
        <v>13.94</v>
      </c>
      <c r="AU571" s="289">
        <v>70.5</v>
      </c>
      <c r="AV571" s="288" cm="1">
        <f t="array" aca="1" ref="AV571" ca="1">INDIRECT("'"&amp;$C571&amp;"'!"&amp;"$"&amp;$D571&amp;$AV$1&amp;"")</f>
        <v>0</v>
      </c>
      <c r="AW571" s="287" t="s">
        <v>1</v>
      </c>
      <c r="AX571" s="288" t="s">
        <v>1</v>
      </c>
      <c r="AY571" s="286" t="s">
        <v>1</v>
      </c>
      <c r="AZ571" s="288" cm="1">
        <f t="array" aca="1" ref="AZ571" ca="1">INDIRECT("'"&amp;$C571&amp;"'!"&amp;"$"&amp;$D571&amp;$AZ$1&amp;"")</f>
        <v>7</v>
      </c>
      <c r="BA571" s="287" t="s">
        <v>1</v>
      </c>
      <c r="BB571" s="288">
        <v>0.96</v>
      </c>
      <c r="BC571" s="286">
        <v>2.1</v>
      </c>
      <c r="BD571" s="290">
        <v>14.36</v>
      </c>
      <c r="BE571" s="289">
        <v>71.78</v>
      </c>
      <c r="BF571" s="290" cm="1">
        <f t="array" aca="1" ref="BF571" ca="1">INDIRECT("'"&amp;$C571&amp;"'!"&amp;"$"&amp;$D571&amp;$BF$1&amp;"")</f>
        <v>14.27</v>
      </c>
      <c r="BG571" s="288">
        <v>0.98</v>
      </c>
      <c r="BH571" s="286">
        <v>3.42</v>
      </c>
      <c r="BI571" s="525">
        <v>67.400000000000006</v>
      </c>
      <c r="BJ571" s="285" cm="1">
        <f t="array" aca="1" ref="BJ571" ca="1">INDIRECT("'"&amp;$C571&amp;"'!"&amp;"$"&amp;$D571&amp;$BI$1&amp;"")</f>
        <v>1.4</v>
      </c>
      <c r="BK571" s="287">
        <v>0.97</v>
      </c>
      <c r="BL571" s="286">
        <v>0.34</v>
      </c>
      <c r="BM571" s="290" cm="1">
        <f t="array" aca="1" ref="BM571" ca="1">INDIRECT("'"&amp;$C571&amp;"'!"&amp;"$"&amp;$D571&amp;$BM$1&amp;"")</f>
        <v>1.18</v>
      </c>
      <c r="BN571" s="288"/>
      <c r="BO571" s="288">
        <v>0.99</v>
      </c>
      <c r="BP571" s="286">
        <v>0.16</v>
      </c>
      <c r="BQ571" s="291" cm="1">
        <f t="array" aca="1" ref="BQ571" ca="1">INDIRECT("'"&amp;$C571&amp;"'!"&amp;"$"&amp;$D571&amp;$BQ$1&amp;"")</f>
        <v>0.9</v>
      </c>
      <c r="BR571" s="288"/>
      <c r="BS571" s="288">
        <v>0.96</v>
      </c>
      <c r="BT571" s="286">
        <v>0.24</v>
      </c>
      <c r="BU571" s="291" cm="1">
        <f t="array" aca="1" ref="BU571" ca="1">INDIRECT("'"&amp;$C571&amp;"'!"&amp;"$"&amp;$D571&amp;74&amp;"")</f>
        <v>0</v>
      </c>
      <c r="BV571" s="288"/>
      <c r="BW571" s="288" t="s">
        <v>1</v>
      </c>
      <c r="BX571" s="286" t="s">
        <v>1</v>
      </c>
    </row>
    <row r="572" spans="1:76">
      <c r="A572" s="459">
        <v>45861</v>
      </c>
      <c r="B572" s="345">
        <v>0.70833333333333404</v>
      </c>
      <c r="C572" s="305">
        <v>23</v>
      </c>
      <c r="D572" s="306" t="s">
        <v>159</v>
      </c>
      <c r="E572" s="278">
        <v>14</v>
      </c>
      <c r="F572" s="279">
        <v>69.09</v>
      </c>
      <c r="G572" s="280" t="str" cm="1">
        <f t="array" aca="1" ref="G572" ca="1">INDIRECT("'"&amp;$C572&amp;"'!"&amp;"$"&amp;$D572&amp;$E$1&amp;"")</f>
        <v>CMS</v>
      </c>
      <c r="H572" s="281" t="s">
        <v>1</v>
      </c>
      <c r="I572" s="279" t="s">
        <v>1</v>
      </c>
      <c r="J572" s="280" cm="1">
        <f t="array" aca="1" ref="J572" ca="1">INDIRECT("'"&amp;$C572&amp;"'!"&amp;"$"&amp;$D572&amp;$J$1&amp;"")</f>
        <v>6.5</v>
      </c>
      <c r="K572" s="281"/>
      <c r="L572" s="281">
        <v>0.9</v>
      </c>
      <c r="M572" s="282">
        <v>3.12</v>
      </c>
      <c r="N572" s="278" cm="1">
        <f t="array" aca="1" ref="N572" ca="1">INDIRECT("'"&amp;$C572&amp;"'!"&amp;"$"&amp;$D572&amp;$N$1&amp;"")</f>
        <v>6.5</v>
      </c>
      <c r="O572" s="281"/>
      <c r="P572" s="281">
        <v>0.9</v>
      </c>
      <c r="Q572" s="279">
        <v>3.17</v>
      </c>
      <c r="R572" s="468" cm="1">
        <f t="array" aca="1" ref="R572" ca="1">INDIRECT("'"&amp;$C572&amp;"'!"&amp;"$"&amp;$D572&amp;$R$1&amp;"")</f>
        <v>6.5</v>
      </c>
      <c r="S572" s="281"/>
      <c r="T572" s="281">
        <v>0.9</v>
      </c>
      <c r="U572" s="279">
        <v>3.15</v>
      </c>
      <c r="V572" s="280" cm="1">
        <f t="array" aca="1" ref="V572" ca="1">INDIRECT("'"&amp;$C572&amp;"'!"&amp;"$"&amp;$D572&amp;$V$1&amp;"")</f>
        <v>2.8</v>
      </c>
      <c r="W572" s="281">
        <f>3.8*3.43</f>
        <v>13.034000000000001</v>
      </c>
      <c r="X572" s="281">
        <v>0.9</v>
      </c>
      <c r="Y572" s="282">
        <v>1.24</v>
      </c>
      <c r="Z572" s="278" t="str" cm="1">
        <f t="array" aca="1" ref="Z572" ca="1">INDIRECT("'"&amp;$C572&amp;"'!"&amp;"$"&amp;$D572&amp;$Z$1&amp;"")</f>
        <v>CMS</v>
      </c>
      <c r="AA572" s="281" t="s">
        <v>1</v>
      </c>
      <c r="AB572" s="281" t="s">
        <v>1</v>
      </c>
      <c r="AC572" s="279" t="s">
        <v>1</v>
      </c>
      <c r="AD572" s="280" t="str" cm="1">
        <f t="array" aca="1" ref="AD572" ca="1">INDIRECT("'"&amp;$C572&amp;"'!"&amp;"$"&amp;$D572&amp;$AD$1&amp;"")</f>
        <v>CMS</v>
      </c>
      <c r="AE572" s="281" t="s">
        <v>1</v>
      </c>
      <c r="AF572" s="281" t="s">
        <v>1</v>
      </c>
      <c r="AG572" s="282" t="s">
        <v>1</v>
      </c>
      <c r="AH572" s="278" cm="1">
        <f t="array" aca="1" ref="AH572" ca="1">INDIRECT("'"&amp;$C572&amp;"'!"&amp;"$"&amp;$D572&amp;$AH$1&amp;"")</f>
        <v>3</v>
      </c>
      <c r="AI572" s="281">
        <v>14.08</v>
      </c>
      <c r="AJ572" s="281">
        <v>0.98</v>
      </c>
      <c r="AK572" s="279">
        <v>0.47</v>
      </c>
      <c r="AL572" s="278">
        <v>11.6</v>
      </c>
      <c r="AM572" s="282">
        <v>70.7</v>
      </c>
      <c r="AN572" s="278" cm="1">
        <f t="array" aca="1" ref="AN572" ca="1">INDIRECT("'"&amp;$C572&amp;"'!"&amp;"$"&amp;$D572&amp;$AL$1&amp;"")</f>
        <v>0</v>
      </c>
      <c r="AO572" s="281" t="s">
        <v>1</v>
      </c>
      <c r="AP572" s="279" t="s">
        <v>1</v>
      </c>
      <c r="AQ572" s="280" cm="1">
        <f t="array" aca="1" ref="AQ572" ca="1">INDIRECT("'"&amp;$C572&amp;"'!"&amp;"$"&amp;$D572&amp;$AQ$1&amp;"")</f>
        <v>3.8</v>
      </c>
      <c r="AR572" s="281">
        <v>0.95</v>
      </c>
      <c r="AS572" s="279">
        <v>1.29</v>
      </c>
      <c r="AT572" s="278">
        <v>13.95</v>
      </c>
      <c r="AU572" s="282">
        <v>70.5</v>
      </c>
      <c r="AV572" s="281" cm="1">
        <f t="array" aca="1" ref="AV572" ca="1">INDIRECT("'"&amp;$C572&amp;"'!"&amp;"$"&amp;$D572&amp;$AV$1&amp;"")</f>
        <v>0</v>
      </c>
      <c r="AW572" s="280" t="s">
        <v>1</v>
      </c>
      <c r="AX572" s="281" t="s">
        <v>1</v>
      </c>
      <c r="AY572" s="279" t="s">
        <v>1</v>
      </c>
      <c r="AZ572" s="281" cm="1">
        <f t="array" aca="1" ref="AZ572" ca="1">INDIRECT("'"&amp;$C572&amp;"'!"&amp;"$"&amp;$D572&amp;$AZ$1&amp;"")</f>
        <v>7</v>
      </c>
      <c r="BA572" s="280" t="s">
        <v>1</v>
      </c>
      <c r="BB572" s="281">
        <v>0.96</v>
      </c>
      <c r="BC572" s="279">
        <v>2.1</v>
      </c>
      <c r="BD572" s="283">
        <v>14.3</v>
      </c>
      <c r="BE572" s="282">
        <v>71.989999999999995</v>
      </c>
      <c r="BF572" s="283" cm="1">
        <f t="array" aca="1" ref="BF572" ca="1">INDIRECT("'"&amp;$C572&amp;"'!"&amp;"$"&amp;$D572&amp;$BF$1&amp;"")</f>
        <v>14.26</v>
      </c>
      <c r="BG572" s="281">
        <v>0.98</v>
      </c>
      <c r="BH572" s="279">
        <v>3.41</v>
      </c>
      <c r="BI572" s="524">
        <v>67.400000000000006</v>
      </c>
      <c r="BJ572" s="278" cm="1">
        <f t="array" aca="1" ref="BJ572" ca="1">INDIRECT("'"&amp;$C572&amp;"'!"&amp;"$"&amp;$D572&amp;$BI$1&amp;"")</f>
        <v>0.7</v>
      </c>
      <c r="BK572" s="280">
        <v>0.97</v>
      </c>
      <c r="BL572" s="279">
        <v>0.17</v>
      </c>
      <c r="BM572" s="283" cm="1">
        <f t="array" aca="1" ref="BM572" ca="1">INDIRECT("'"&amp;$C572&amp;"'!"&amp;"$"&amp;$D572&amp;$BM$1&amp;"")</f>
        <v>1.1299999999999999</v>
      </c>
      <c r="BN572" s="281"/>
      <c r="BO572" s="281">
        <v>0.99</v>
      </c>
      <c r="BP572" s="279">
        <v>0.15</v>
      </c>
      <c r="BQ572" s="284" cm="1">
        <f t="array" aca="1" ref="BQ572" ca="1">INDIRECT("'"&amp;$C572&amp;"'!"&amp;"$"&amp;$D572&amp;$BQ$1&amp;"")</f>
        <v>0.89</v>
      </c>
      <c r="BR572" s="281"/>
      <c r="BS572" s="281">
        <v>0.96</v>
      </c>
      <c r="BT572" s="279">
        <v>0.24</v>
      </c>
      <c r="BU572" s="284" cm="1">
        <f t="array" aca="1" ref="BU572" ca="1">INDIRECT("'"&amp;$C572&amp;"'!"&amp;"$"&amp;$D572&amp;74&amp;"")</f>
        <v>0</v>
      </c>
      <c r="BV572" s="281"/>
      <c r="BW572" s="281" t="s">
        <v>1</v>
      </c>
      <c r="BX572" s="279" t="s">
        <v>1</v>
      </c>
    </row>
    <row r="573" spans="1:76">
      <c r="A573" s="459">
        <v>45861</v>
      </c>
      <c r="B573" s="345">
        <v>0.750000000000001</v>
      </c>
      <c r="C573" s="305">
        <v>23</v>
      </c>
      <c r="D573" s="306" t="s">
        <v>160</v>
      </c>
      <c r="E573" s="285">
        <v>14</v>
      </c>
      <c r="F573" s="286">
        <v>69.12</v>
      </c>
      <c r="G573" s="287" t="str" cm="1">
        <f t="array" aca="1" ref="G573" ca="1">INDIRECT("'"&amp;$C573&amp;"'!"&amp;"$"&amp;$D573&amp;$E$1&amp;"")</f>
        <v>CMS</v>
      </c>
      <c r="H573" s="288" t="s">
        <v>1</v>
      </c>
      <c r="I573" s="286" t="s">
        <v>1</v>
      </c>
      <c r="J573" s="287" cm="1">
        <f t="array" aca="1" ref="J573" ca="1">INDIRECT("'"&amp;$C573&amp;"'!"&amp;"$"&amp;$D573&amp;$J$1&amp;"")</f>
        <v>6.8</v>
      </c>
      <c r="K573" s="288"/>
      <c r="L573" s="288">
        <v>0.91</v>
      </c>
      <c r="M573" s="289">
        <v>3.18</v>
      </c>
      <c r="N573" s="285" cm="1">
        <f t="array" aca="1" ref="N573" ca="1">INDIRECT("'"&amp;$C573&amp;"'!"&amp;"$"&amp;$D573&amp;$N$1&amp;"")</f>
        <v>6.8</v>
      </c>
      <c r="O573" s="288"/>
      <c r="P573" s="288">
        <v>0.91</v>
      </c>
      <c r="Q573" s="286">
        <v>3.24</v>
      </c>
      <c r="R573" s="285" cm="1">
        <f t="array" aca="1" ref="R573" ca="1">INDIRECT("'"&amp;$C573&amp;"'!"&amp;"$"&amp;$D573&amp;$R$1&amp;"")</f>
        <v>6.8</v>
      </c>
      <c r="S573" s="288"/>
      <c r="T573" s="288">
        <v>0.91</v>
      </c>
      <c r="U573" s="286">
        <v>3.21</v>
      </c>
      <c r="V573" s="287" cm="1">
        <f t="array" aca="1" ref="V573" ca="1">INDIRECT("'"&amp;$C573&amp;"'!"&amp;"$"&amp;$D573&amp;$V$1&amp;"")</f>
        <v>2.8</v>
      </c>
      <c r="W573" s="288">
        <f>3.45*3.8</f>
        <v>13.11</v>
      </c>
      <c r="X573" s="288">
        <v>0.9</v>
      </c>
      <c r="Y573" s="289">
        <v>1.26</v>
      </c>
      <c r="Z573" s="285" t="str" cm="1">
        <f t="array" aca="1" ref="Z573" ca="1">INDIRECT("'"&amp;$C573&amp;"'!"&amp;"$"&amp;$D573&amp;$Z$1&amp;"")</f>
        <v>CMS</v>
      </c>
      <c r="AA573" s="288" t="s">
        <v>1</v>
      </c>
      <c r="AB573" s="288" t="s">
        <v>1</v>
      </c>
      <c r="AC573" s="286" t="s">
        <v>1</v>
      </c>
      <c r="AD573" s="287" t="str" cm="1">
        <f t="array" aca="1" ref="AD573" ca="1">INDIRECT("'"&amp;$C573&amp;"'!"&amp;"$"&amp;$D573&amp;$AD$1&amp;"")</f>
        <v>CMS</v>
      </c>
      <c r="AE573" s="288" t="s">
        <v>1</v>
      </c>
      <c r="AF573" s="288" t="s">
        <v>1</v>
      </c>
      <c r="AG573" s="289" t="s">
        <v>1</v>
      </c>
      <c r="AH573" s="285" cm="1">
        <f t="array" aca="1" ref="AH573" ca="1">INDIRECT("'"&amp;$C573&amp;"'!"&amp;"$"&amp;$D573&amp;$AH$1&amp;"")</f>
        <v>3.5</v>
      </c>
      <c r="AI573" s="288">
        <v>14.08</v>
      </c>
      <c r="AJ573" s="288">
        <v>0.98</v>
      </c>
      <c r="AK573" s="286">
        <v>0.46500000000000002</v>
      </c>
      <c r="AL573" s="285">
        <v>11.6</v>
      </c>
      <c r="AM573" s="289">
        <v>70.8</v>
      </c>
      <c r="AN573" s="285" cm="1">
        <f t="array" aca="1" ref="AN573" ca="1">INDIRECT("'"&amp;$C573&amp;"'!"&amp;"$"&amp;$D573&amp;$AL$1&amp;"")</f>
        <v>0</v>
      </c>
      <c r="AO573" s="288" t="s">
        <v>1</v>
      </c>
      <c r="AP573" s="286" t="s">
        <v>1</v>
      </c>
      <c r="AQ573" s="287" cm="1">
        <f t="array" aca="1" ref="AQ573" ca="1">INDIRECT("'"&amp;$C573&amp;"'!"&amp;"$"&amp;$D573&amp;$AQ$1&amp;"")</f>
        <v>3.8</v>
      </c>
      <c r="AR573" s="288">
        <v>0.94</v>
      </c>
      <c r="AS573" s="286">
        <v>1.29</v>
      </c>
      <c r="AT573" s="285">
        <v>13.94</v>
      </c>
      <c r="AU573" s="289">
        <v>70.5</v>
      </c>
      <c r="AV573" s="288" cm="1">
        <f t="array" aca="1" ref="AV573" ca="1">INDIRECT("'"&amp;$C573&amp;"'!"&amp;"$"&amp;$D573&amp;$AV$1&amp;"")</f>
        <v>0</v>
      </c>
      <c r="AW573" s="287" t="s">
        <v>1</v>
      </c>
      <c r="AX573" s="288" t="s">
        <v>1</v>
      </c>
      <c r="AY573" s="286" t="s">
        <v>1</v>
      </c>
      <c r="AZ573" s="288" cm="1">
        <f t="array" aca="1" ref="AZ573" ca="1">INDIRECT("'"&amp;$C573&amp;"'!"&amp;"$"&amp;$D573&amp;$AZ$1&amp;"")</f>
        <v>7</v>
      </c>
      <c r="BA573" s="287" t="s">
        <v>1</v>
      </c>
      <c r="BB573" s="288">
        <v>0.96</v>
      </c>
      <c r="BC573" s="286">
        <v>2.2000000000000002</v>
      </c>
      <c r="BD573" s="290">
        <v>14.25</v>
      </c>
      <c r="BE573" s="289">
        <v>71.86</v>
      </c>
      <c r="BF573" s="290" cm="1">
        <f t="array" aca="1" ref="BF573" ca="1">INDIRECT("'"&amp;$C573&amp;"'!"&amp;"$"&amp;$D573&amp;$BF$1&amp;"")</f>
        <v>14.27</v>
      </c>
      <c r="BG573" s="288">
        <v>0.98</v>
      </c>
      <c r="BH573" s="286">
        <v>3.36</v>
      </c>
      <c r="BI573" s="525">
        <v>67.599999999999994</v>
      </c>
      <c r="BJ573" s="285" cm="1">
        <f t="array" aca="1" ref="BJ573" ca="1">INDIRECT("'"&amp;$C573&amp;"'!"&amp;"$"&amp;$D573&amp;$BI$1&amp;"")</f>
        <v>0</v>
      </c>
      <c r="BK573" s="287" t="s">
        <v>1</v>
      </c>
      <c r="BL573" s="286" t="s">
        <v>1</v>
      </c>
      <c r="BM573" s="290" cm="1">
        <f t="array" aca="1" ref="BM573" ca="1">INDIRECT("'"&amp;$C573&amp;"'!"&amp;"$"&amp;$D573&amp;$BM$1&amp;"")</f>
        <v>1.1200000000000001</v>
      </c>
      <c r="BN573" s="288"/>
      <c r="BO573" s="288">
        <v>0.99</v>
      </c>
      <c r="BP573" s="286">
        <v>0.13</v>
      </c>
      <c r="BQ573" s="291" cm="1">
        <f t="array" aca="1" ref="BQ573" ca="1">INDIRECT("'"&amp;$C573&amp;"'!"&amp;"$"&amp;$D573&amp;$BQ$1&amp;"")</f>
        <v>0.84</v>
      </c>
      <c r="BR573" s="288"/>
      <c r="BS573" s="288">
        <v>0.96</v>
      </c>
      <c r="BT573" s="286">
        <v>0.24</v>
      </c>
      <c r="BU573" s="291" cm="1">
        <f t="array" aca="1" ref="BU573" ca="1">INDIRECT("'"&amp;$C573&amp;"'!"&amp;"$"&amp;$D573&amp;74&amp;"")</f>
        <v>0</v>
      </c>
      <c r="BV573" s="288"/>
      <c r="BW573" s="288" t="s">
        <v>1</v>
      </c>
      <c r="BX573" s="286" t="s">
        <v>1</v>
      </c>
    </row>
    <row r="574" spans="1:76">
      <c r="A574" s="459">
        <v>45861</v>
      </c>
      <c r="B574" s="345">
        <v>0.79166666666666696</v>
      </c>
      <c r="C574" s="305">
        <v>23</v>
      </c>
      <c r="D574" s="306" t="s">
        <v>161</v>
      </c>
      <c r="E574" s="278">
        <v>14.1</v>
      </c>
      <c r="F574" s="279">
        <v>69.92</v>
      </c>
      <c r="G574" s="280" t="str" cm="1">
        <f t="array" aca="1" ref="G574" ca="1">INDIRECT("'"&amp;$C574&amp;"'!"&amp;"$"&amp;$D574&amp;$E$1&amp;"")</f>
        <v>CMS</v>
      </c>
      <c r="H574" s="281" t="s">
        <v>1</v>
      </c>
      <c r="I574" s="279" t="s">
        <v>1</v>
      </c>
      <c r="J574" s="280" cm="1">
        <f t="array" aca="1" ref="J574" ca="1">INDIRECT("'"&amp;$C574&amp;"'!"&amp;"$"&amp;$D574&amp;$J$1&amp;"")</f>
        <v>6.7</v>
      </c>
      <c r="K574" s="292"/>
      <c r="L574" s="281">
        <v>0.95</v>
      </c>
      <c r="M574" s="282">
        <v>2.2599999999999998</v>
      </c>
      <c r="N574" s="278" cm="1">
        <f t="array" aca="1" ref="N574" ca="1">INDIRECT("'"&amp;$C574&amp;"'!"&amp;"$"&amp;$D574&amp;$N$1&amp;"")</f>
        <v>6.7</v>
      </c>
      <c r="O574" s="281"/>
      <c r="P574" s="281">
        <v>0.95</v>
      </c>
      <c r="Q574" s="279">
        <v>2.2200000000000002</v>
      </c>
      <c r="R574" s="468" cm="1">
        <f t="array" aca="1" ref="R574" ca="1">INDIRECT("'"&amp;$C574&amp;"'!"&amp;"$"&amp;$D574&amp;$R$1&amp;"")</f>
        <v>6.7</v>
      </c>
      <c r="S574" s="281"/>
      <c r="T574" s="281">
        <v>0.95</v>
      </c>
      <c r="U574" s="279">
        <v>2.25</v>
      </c>
      <c r="V574" s="280" cm="1">
        <f t="array" aca="1" ref="V574" ca="1">INDIRECT("'"&amp;$C574&amp;"'!"&amp;"$"&amp;$D574&amp;$V$1&amp;"")</f>
        <v>2.8</v>
      </c>
      <c r="W574" s="281">
        <f>3.49*3.8</f>
        <v>13.262</v>
      </c>
      <c r="X574" s="281">
        <v>0.91</v>
      </c>
      <c r="Y574" s="282">
        <v>1.18</v>
      </c>
      <c r="Z574" s="278" t="str" cm="1">
        <f t="array" aca="1" ref="Z574" ca="1">INDIRECT("'"&amp;$C574&amp;"'!"&amp;"$"&amp;$D574&amp;$Z$1&amp;"")</f>
        <v>CMS</v>
      </c>
      <c r="AA574" s="281" t="s">
        <v>1</v>
      </c>
      <c r="AB574" s="281" t="s">
        <v>1</v>
      </c>
      <c r="AC574" s="279" t="s">
        <v>1</v>
      </c>
      <c r="AD574" s="280" t="str" cm="1">
        <f t="array" aca="1" ref="AD574" ca="1">INDIRECT("'"&amp;$C574&amp;"'!"&amp;"$"&amp;$D574&amp;$AD$1&amp;"")</f>
        <v>CMS</v>
      </c>
      <c r="AE574" s="281" t="s">
        <v>1</v>
      </c>
      <c r="AF574" s="281" t="s">
        <v>1</v>
      </c>
      <c r="AG574" s="282" t="s">
        <v>1</v>
      </c>
      <c r="AH574" s="278" cm="1">
        <f t="array" aca="1" ref="AH574" ca="1">INDIRECT("'"&amp;$C574&amp;"'!"&amp;"$"&amp;$D574&amp;$AH$1&amp;"")</f>
        <v>3.8</v>
      </c>
      <c r="AI574" s="281">
        <v>14.04</v>
      </c>
      <c r="AJ574" s="281">
        <v>0.98</v>
      </c>
      <c r="AK574" s="279">
        <v>0.32700000000000001</v>
      </c>
      <c r="AL574" s="278">
        <v>11.6</v>
      </c>
      <c r="AM574" s="282" t="s">
        <v>169</v>
      </c>
      <c r="AN574" s="278" cm="1">
        <f t="array" aca="1" ref="AN574" ca="1">INDIRECT("'"&amp;$C574&amp;"'!"&amp;"$"&amp;$D574&amp;$AL$1&amp;"")</f>
        <v>0</v>
      </c>
      <c r="AO574" s="281" t="s">
        <v>1</v>
      </c>
      <c r="AP574" s="279" t="s">
        <v>1</v>
      </c>
      <c r="AQ574" s="280" cm="1">
        <f t="array" aca="1" ref="AQ574" ca="1">INDIRECT("'"&amp;$C574&amp;"'!"&amp;"$"&amp;$D574&amp;$AQ$1&amp;"")</f>
        <v>3.8</v>
      </c>
      <c r="AR574" s="281">
        <v>0.97</v>
      </c>
      <c r="AS574" s="279">
        <v>0.89</v>
      </c>
      <c r="AT574" s="278">
        <v>13.97</v>
      </c>
      <c r="AU574" s="282">
        <v>70.5</v>
      </c>
      <c r="AV574" s="281" cm="1">
        <f t="array" aca="1" ref="AV574" ca="1">INDIRECT("'"&amp;$C574&amp;"'!"&amp;"$"&amp;$D574&amp;$AV$1&amp;"")</f>
        <v>0</v>
      </c>
      <c r="AW574" s="280">
        <v>13.7</v>
      </c>
      <c r="AX574" s="281" t="s">
        <v>1</v>
      </c>
      <c r="AY574" s="279" t="s">
        <v>1</v>
      </c>
      <c r="AZ574" s="281" cm="1">
        <f t="array" aca="1" ref="AZ574" ca="1">INDIRECT("'"&amp;$C574&amp;"'!"&amp;"$"&amp;$D574&amp;$AZ$1&amp;"")</f>
        <v>7</v>
      </c>
      <c r="BA574" s="280">
        <v>13.7</v>
      </c>
      <c r="BB574" s="281">
        <v>0.98</v>
      </c>
      <c r="BC574" s="279">
        <v>1.6</v>
      </c>
      <c r="BD574" s="283">
        <v>14.28</v>
      </c>
      <c r="BE574" s="282">
        <v>71.98</v>
      </c>
      <c r="BF574" s="283" cm="1">
        <f t="array" aca="1" ref="BF574" ca="1">INDIRECT("'"&amp;$C574&amp;"'!"&amp;"$"&amp;$D574&amp;$BF$1&amp;"")</f>
        <v>14.27</v>
      </c>
      <c r="BG574" s="281">
        <v>0.98</v>
      </c>
      <c r="BH574" s="279">
        <v>3.33</v>
      </c>
      <c r="BI574" s="524">
        <v>68.599999999999994</v>
      </c>
      <c r="BJ574" s="278" cm="1">
        <f t="array" aca="1" ref="BJ574" ca="1">INDIRECT("'"&amp;$C574&amp;"'!"&amp;"$"&amp;$D574&amp;$BI$1&amp;"")</f>
        <v>3</v>
      </c>
      <c r="BK574" s="280">
        <v>0.98</v>
      </c>
      <c r="BL574" s="279">
        <v>0.6</v>
      </c>
      <c r="BM574" s="283" cm="1">
        <f t="array" aca="1" ref="BM574" ca="1">INDIRECT("'"&amp;$C574&amp;"'!"&amp;"$"&amp;$D574&amp;$BM$1&amp;"")</f>
        <v>1.37</v>
      </c>
      <c r="BN574" s="281"/>
      <c r="BO574" s="281">
        <v>0.99</v>
      </c>
      <c r="BP574" s="279">
        <v>0.14000000000000001</v>
      </c>
      <c r="BQ574" s="284" cm="1">
        <f t="array" aca="1" ref="BQ574" ca="1">INDIRECT("'"&amp;$C574&amp;"'!"&amp;"$"&amp;$D574&amp;$BQ$1&amp;"")</f>
        <v>0.97</v>
      </c>
      <c r="BR574" s="281"/>
      <c r="BS574" s="281">
        <v>0.97</v>
      </c>
      <c r="BT574" s="279">
        <v>0.25</v>
      </c>
      <c r="BU574" s="284" cm="1">
        <f t="array" aca="1" ref="BU574" ca="1">INDIRECT("'"&amp;$C574&amp;"'!"&amp;"$"&amp;$D574&amp;74&amp;"")</f>
        <v>0</v>
      </c>
      <c r="BV574" s="281"/>
      <c r="BW574" s="281" t="s">
        <v>1</v>
      </c>
      <c r="BX574" s="279" t="s">
        <v>1</v>
      </c>
    </row>
    <row r="575" spans="1:76">
      <c r="A575" s="459">
        <v>45861</v>
      </c>
      <c r="B575" s="345">
        <v>0.83333333333333337</v>
      </c>
      <c r="C575" s="305">
        <v>23</v>
      </c>
      <c r="D575" s="306" t="s">
        <v>162</v>
      </c>
      <c r="E575" s="285">
        <v>14</v>
      </c>
      <c r="F575" s="286">
        <v>69.73</v>
      </c>
      <c r="G575" s="287" t="str" cm="1">
        <f t="array" aca="1" ref="G575" ca="1">INDIRECT("'"&amp;$C575&amp;"'!"&amp;"$"&amp;$D575&amp;$E$1&amp;"")</f>
        <v>CMS</v>
      </c>
      <c r="H575" s="288" t="s">
        <v>1</v>
      </c>
      <c r="I575" s="286" t="s">
        <v>1</v>
      </c>
      <c r="J575" s="287" cm="1">
        <f t="array" aca="1" ref="J575" ca="1">INDIRECT("'"&amp;$C575&amp;"'!"&amp;"$"&amp;$D575&amp;$J$1&amp;"")</f>
        <v>6.7</v>
      </c>
      <c r="K575" s="288"/>
      <c r="L575" s="288">
        <v>0.94</v>
      </c>
      <c r="M575" s="289">
        <v>2.37</v>
      </c>
      <c r="N575" s="285" cm="1">
        <f t="array" aca="1" ref="N575" ca="1">INDIRECT("'"&amp;$C575&amp;"'!"&amp;"$"&amp;$D575&amp;$N$1&amp;"")</f>
        <v>6.7</v>
      </c>
      <c r="O575" s="288"/>
      <c r="P575" s="288">
        <v>0.94</v>
      </c>
      <c r="Q575" s="286">
        <v>2.39</v>
      </c>
      <c r="R575" s="285" cm="1">
        <f t="array" aca="1" ref="R575" ca="1">INDIRECT("'"&amp;$C575&amp;"'!"&amp;"$"&amp;$D575&amp;$R$1&amp;"")</f>
        <v>6.7</v>
      </c>
      <c r="S575" s="288"/>
      <c r="T575" s="288">
        <v>0.94</v>
      </c>
      <c r="U575" s="286">
        <v>2.3199999999999998</v>
      </c>
      <c r="V575" s="287" cm="1">
        <f t="array" aca="1" ref="V575" ca="1">INDIRECT("'"&amp;$C575&amp;"'!"&amp;"$"&amp;$D575&amp;$V$1&amp;"")</f>
        <v>2.8</v>
      </c>
      <c r="W575" s="288">
        <f>3.49*3.8</f>
        <v>13.262</v>
      </c>
      <c r="X575" s="288">
        <v>0.91</v>
      </c>
      <c r="Y575" s="289">
        <v>1.17</v>
      </c>
      <c r="Z575" s="285" t="str" cm="1">
        <f t="array" aca="1" ref="Z575" ca="1">INDIRECT("'"&amp;$C575&amp;"'!"&amp;"$"&amp;$D575&amp;$Z$1&amp;"")</f>
        <v>CMS</v>
      </c>
      <c r="AA575" s="288" t="s">
        <v>1</v>
      </c>
      <c r="AB575" s="288" t="s">
        <v>1</v>
      </c>
      <c r="AC575" s="286" t="s">
        <v>1</v>
      </c>
      <c r="AD575" s="287" t="str" cm="1">
        <f t="array" aca="1" ref="AD575" ca="1">INDIRECT("'"&amp;$C575&amp;"'!"&amp;"$"&amp;$D575&amp;$AD$1&amp;"")</f>
        <v>CMS</v>
      </c>
      <c r="AE575" s="288" t="s">
        <v>1</v>
      </c>
      <c r="AF575" s="288" t="s">
        <v>1</v>
      </c>
      <c r="AG575" s="289" t="s">
        <v>1</v>
      </c>
      <c r="AH575" s="285" cm="1">
        <f t="array" aca="1" ref="AH575" ca="1">INDIRECT("'"&amp;$C575&amp;"'!"&amp;"$"&amp;$D575&amp;$AH$1&amp;"")</f>
        <v>3.8</v>
      </c>
      <c r="AI575" s="288">
        <v>14.04</v>
      </c>
      <c r="AJ575" s="288">
        <v>0.99</v>
      </c>
      <c r="AK575" s="286">
        <v>0.29099999999999998</v>
      </c>
      <c r="AL575" s="285">
        <v>11.6</v>
      </c>
      <c r="AM575" s="289">
        <v>70.900000000000006</v>
      </c>
      <c r="AN575" s="285" cm="1">
        <f t="array" aca="1" ref="AN575" ca="1">INDIRECT("'"&amp;$C575&amp;"'!"&amp;"$"&amp;$D575&amp;$AL$1&amp;"")</f>
        <v>0</v>
      </c>
      <c r="AO575" s="288" t="s">
        <v>1</v>
      </c>
      <c r="AP575" s="286" t="s">
        <v>1</v>
      </c>
      <c r="AQ575" s="287" cm="1">
        <f t="array" aca="1" ref="AQ575" ca="1">INDIRECT("'"&amp;$C575&amp;"'!"&amp;"$"&amp;$D575&amp;$AQ$1&amp;"")</f>
        <v>3.8</v>
      </c>
      <c r="AR575" s="288">
        <v>0.99</v>
      </c>
      <c r="AS575" s="286">
        <v>0.45</v>
      </c>
      <c r="AT575" s="285">
        <v>13.96</v>
      </c>
      <c r="AU575" s="289">
        <v>70.400000000000006</v>
      </c>
      <c r="AV575" s="288" cm="1">
        <f t="array" aca="1" ref="AV575" ca="1">INDIRECT("'"&amp;$C575&amp;"'!"&amp;"$"&amp;$D575&amp;$AV$1&amp;"")</f>
        <v>0</v>
      </c>
      <c r="AW575" s="287" t="s">
        <v>1</v>
      </c>
      <c r="AX575" s="288" t="s">
        <v>1</v>
      </c>
      <c r="AY575" s="286" t="s">
        <v>1</v>
      </c>
      <c r="AZ575" s="288" cm="1">
        <f t="array" aca="1" ref="AZ575" ca="1">INDIRECT("'"&amp;$C575&amp;"'!"&amp;"$"&amp;$D575&amp;$AZ$1&amp;"")</f>
        <v>7</v>
      </c>
      <c r="BA575" s="287" t="s">
        <v>1</v>
      </c>
      <c r="BB575" s="288">
        <v>0.97</v>
      </c>
      <c r="BC575" s="286">
        <v>1.9</v>
      </c>
      <c r="BD575" s="290">
        <v>14.33</v>
      </c>
      <c r="BE575" s="289">
        <v>72.09</v>
      </c>
      <c r="BF575" s="290" cm="1">
        <f t="array" aca="1" ref="BF575" ca="1">INDIRECT("'"&amp;$C575&amp;"'!"&amp;"$"&amp;$D575&amp;$BF$1&amp;"")</f>
        <v>14.26</v>
      </c>
      <c r="BG575" s="288">
        <v>0.98</v>
      </c>
      <c r="BH575" s="286">
        <v>3.41</v>
      </c>
      <c r="BI575" s="525">
        <v>68.3</v>
      </c>
      <c r="BJ575" s="285" cm="1">
        <f t="array" aca="1" ref="BJ575" ca="1">INDIRECT("'"&amp;$C575&amp;"'!"&amp;"$"&amp;$D575&amp;$BI$1&amp;"")</f>
        <v>0</v>
      </c>
      <c r="BK575" s="287" t="s">
        <v>1</v>
      </c>
      <c r="BL575" s="286" t="s">
        <v>1</v>
      </c>
      <c r="BM575" s="290" cm="1">
        <f t="array" aca="1" ref="BM575" ca="1">INDIRECT("'"&amp;$C575&amp;"'!"&amp;"$"&amp;$D575&amp;$BM$1&amp;"")</f>
        <v>1.4</v>
      </c>
      <c r="BN575" s="288"/>
      <c r="BO575" s="288">
        <v>0.99</v>
      </c>
      <c r="BP575" s="286">
        <v>0.14000000000000001</v>
      </c>
      <c r="BQ575" s="291" cm="1">
        <f t="array" aca="1" ref="BQ575" ca="1">INDIRECT("'"&amp;$C575&amp;"'!"&amp;"$"&amp;$D575&amp;$BQ$1&amp;"")</f>
        <v>1.02</v>
      </c>
      <c r="BR575" s="288"/>
      <c r="BS575" s="288">
        <v>0.97</v>
      </c>
      <c r="BT575" s="286">
        <v>0.24</v>
      </c>
      <c r="BU575" s="291" cm="1">
        <f t="array" aca="1" ref="BU575" ca="1">INDIRECT("'"&amp;$C575&amp;"'!"&amp;"$"&amp;$D575&amp;74&amp;"")</f>
        <v>0</v>
      </c>
      <c r="BV575" s="288"/>
      <c r="BW575" s="288" t="s">
        <v>1</v>
      </c>
      <c r="BX575" s="286" t="s">
        <v>1</v>
      </c>
    </row>
    <row r="576" spans="1:76">
      <c r="A576" s="459">
        <v>45861</v>
      </c>
      <c r="B576" s="345">
        <v>0.875000000000001</v>
      </c>
      <c r="C576" s="305">
        <v>23</v>
      </c>
      <c r="D576" s="306" t="s">
        <v>163</v>
      </c>
      <c r="E576" s="278">
        <v>14.1</v>
      </c>
      <c r="F576" s="279">
        <v>69.400000000000006</v>
      </c>
      <c r="G576" s="280" t="str" cm="1">
        <f t="array" aca="1" ref="G576" ca="1">INDIRECT("'"&amp;$C576&amp;"'!"&amp;"$"&amp;$D576&amp;$E$1&amp;"")</f>
        <v>CMS</v>
      </c>
      <c r="H576" s="281" t="s">
        <v>1</v>
      </c>
      <c r="I576" s="279" t="s">
        <v>1</v>
      </c>
      <c r="J576" s="280" cm="1">
        <f t="array" aca="1" ref="J576" ca="1">INDIRECT("'"&amp;$C576&amp;"'!"&amp;"$"&amp;$D576&amp;$J$1&amp;"")</f>
        <v>6.7</v>
      </c>
      <c r="K576" s="281"/>
      <c r="L576" s="281">
        <v>0.95</v>
      </c>
      <c r="M576" s="282">
        <v>2.17</v>
      </c>
      <c r="N576" s="278" cm="1">
        <f t="array" aca="1" ref="N576" ca="1">INDIRECT("'"&amp;$C576&amp;"'!"&amp;"$"&amp;$D576&amp;$N$1&amp;"")</f>
        <v>6.7</v>
      </c>
      <c r="O576" s="281"/>
      <c r="P576" s="281">
        <v>0.95</v>
      </c>
      <c r="Q576" s="279">
        <v>2.17</v>
      </c>
      <c r="R576" s="468" cm="1">
        <f t="array" aca="1" ref="R576" ca="1">INDIRECT("'"&amp;$C576&amp;"'!"&amp;"$"&amp;$D576&amp;$R$1&amp;"")</f>
        <v>6.7</v>
      </c>
      <c r="S576" s="281"/>
      <c r="T576" s="281">
        <v>0.95</v>
      </c>
      <c r="U576" s="279">
        <v>2.17</v>
      </c>
      <c r="V576" s="280" cm="1">
        <f t="array" aca="1" ref="V576" ca="1">INDIRECT("'"&amp;$C576&amp;"'!"&amp;"$"&amp;$D576&amp;$V$1&amp;"")</f>
        <v>0</v>
      </c>
      <c r="W576" s="281" t="s">
        <v>1</v>
      </c>
      <c r="X576" s="281" t="s">
        <v>1</v>
      </c>
      <c r="Y576" s="282" t="s">
        <v>1</v>
      </c>
      <c r="Z576" s="278" t="str" cm="1">
        <f t="array" aca="1" ref="Z576" ca="1">INDIRECT("'"&amp;$C576&amp;"'!"&amp;"$"&amp;$D576&amp;$Z$1&amp;"")</f>
        <v>CMS</v>
      </c>
      <c r="AA576" s="281" t="s">
        <v>1</v>
      </c>
      <c r="AB576" s="281" t="s">
        <v>1</v>
      </c>
      <c r="AC576" s="279" t="s">
        <v>1</v>
      </c>
      <c r="AD576" s="280" t="str" cm="1">
        <f t="array" aca="1" ref="AD576" ca="1">INDIRECT("'"&amp;$C576&amp;"'!"&amp;"$"&amp;$D576&amp;$AD$1&amp;"")</f>
        <v>CMS</v>
      </c>
      <c r="AE576" s="281" t="s">
        <v>1</v>
      </c>
      <c r="AF576" s="281" t="s">
        <v>1</v>
      </c>
      <c r="AG576" s="282" t="s">
        <v>1</v>
      </c>
      <c r="AH576" s="278" cm="1">
        <f t="array" aca="1" ref="AH576" ca="1">INDIRECT("'"&amp;$C576&amp;"'!"&amp;"$"&amp;$D576&amp;$AH$1&amp;"")</f>
        <v>3</v>
      </c>
      <c r="AI576" s="281">
        <v>14.08</v>
      </c>
      <c r="AJ576" s="281">
        <v>0.99</v>
      </c>
      <c r="AK576" s="279">
        <v>0.441</v>
      </c>
      <c r="AL576" s="278">
        <v>11.6</v>
      </c>
      <c r="AM576" s="282">
        <v>70.900000000000006</v>
      </c>
      <c r="AN576" s="278" cm="1">
        <f t="array" aca="1" ref="AN576" ca="1">INDIRECT("'"&amp;$C576&amp;"'!"&amp;"$"&amp;$D576&amp;$AL$1&amp;"")</f>
        <v>0</v>
      </c>
      <c r="AO576" s="281" t="s">
        <v>1</v>
      </c>
      <c r="AP576" s="279" t="s">
        <v>1</v>
      </c>
      <c r="AQ576" s="280" cm="1">
        <f t="array" aca="1" ref="AQ576" ca="1">INDIRECT("'"&amp;$C576&amp;"'!"&amp;"$"&amp;$D576&amp;$AQ$1&amp;"")</f>
        <v>3.8</v>
      </c>
      <c r="AR576" s="281">
        <v>0.99</v>
      </c>
      <c r="AS576" s="279">
        <v>0.6</v>
      </c>
      <c r="AT576" s="278">
        <v>13.96</v>
      </c>
      <c r="AU576" s="282">
        <v>70.7</v>
      </c>
      <c r="AV576" s="281" t="str" cm="1">
        <f t="array" aca="1" ref="AV576" ca="1">INDIRECT("'"&amp;$C576&amp;"'!"&amp;"$"&amp;$D576&amp;$AV$1&amp;"")</f>
        <v>CMS</v>
      </c>
      <c r="AW576" s="280" t="s">
        <v>1</v>
      </c>
      <c r="AX576" s="281" t="s">
        <v>1</v>
      </c>
      <c r="AY576" s="279" t="s">
        <v>1</v>
      </c>
      <c r="AZ576" s="281" cm="1">
        <f t="array" aca="1" ref="AZ576" ca="1">INDIRECT("'"&amp;$C576&amp;"'!"&amp;"$"&amp;$D576&amp;$AZ$1&amp;"")</f>
        <v>7</v>
      </c>
      <c r="BA576" s="280" t="s">
        <v>1</v>
      </c>
      <c r="BB576" s="281">
        <v>0.97</v>
      </c>
      <c r="BC576" s="279">
        <v>1.89</v>
      </c>
      <c r="BD576" s="283">
        <v>14.18</v>
      </c>
      <c r="BE576" s="282">
        <v>71.91</v>
      </c>
      <c r="BF576" s="283" cm="1">
        <f t="array" aca="1" ref="BF576" ca="1">INDIRECT("'"&amp;$C576&amp;"'!"&amp;"$"&amp;$D576&amp;$BF$1&amp;"")</f>
        <v>14.26</v>
      </c>
      <c r="BG576" s="281">
        <v>0.99</v>
      </c>
      <c r="BH576" s="279">
        <v>2.2999999999999998</v>
      </c>
      <c r="BI576" s="524">
        <v>68.5</v>
      </c>
      <c r="BJ576" s="278" cm="1">
        <f t="array" aca="1" ref="BJ576" ca="1">INDIRECT("'"&amp;$C576&amp;"'!"&amp;"$"&amp;$D576&amp;$BI$1&amp;"")</f>
        <v>0.8</v>
      </c>
      <c r="BK576" s="280">
        <v>0.98</v>
      </c>
      <c r="BL576" s="279">
        <v>0.16</v>
      </c>
      <c r="BM576" s="283" cm="1">
        <f t="array" aca="1" ref="BM576" ca="1">INDIRECT("'"&amp;$C576&amp;"'!"&amp;"$"&amp;$D576&amp;$BM$1&amp;"")</f>
        <v>1.28</v>
      </c>
      <c r="BN576" s="281"/>
      <c r="BO576" s="281">
        <v>0.99</v>
      </c>
      <c r="BP576" s="279">
        <v>0.11</v>
      </c>
      <c r="BQ576" s="284" cm="1">
        <f t="array" aca="1" ref="BQ576" ca="1">INDIRECT("'"&amp;$C576&amp;"'!"&amp;"$"&amp;$D576&amp;$BQ$1&amp;"")</f>
        <v>0.99</v>
      </c>
      <c r="BR576" s="281"/>
      <c r="BS576" s="281">
        <v>0.97</v>
      </c>
      <c r="BT576" s="279">
        <v>0.25</v>
      </c>
      <c r="BU576" s="284" cm="1">
        <f t="array" aca="1" ref="BU576" ca="1">INDIRECT("'"&amp;$C576&amp;"'!"&amp;"$"&amp;$D576&amp;74&amp;"")</f>
        <v>0</v>
      </c>
      <c r="BV576" s="281"/>
      <c r="BW576" s="281" t="s">
        <v>1</v>
      </c>
      <c r="BX576" s="279" t="s">
        <v>1</v>
      </c>
    </row>
    <row r="577" spans="1:76">
      <c r="A577" s="459">
        <v>45861</v>
      </c>
      <c r="B577" s="345">
        <v>0.91666666666666696</v>
      </c>
      <c r="C577" s="305">
        <v>23</v>
      </c>
      <c r="D577" s="306" t="s">
        <v>164</v>
      </c>
      <c r="E577" s="285">
        <v>14.1</v>
      </c>
      <c r="F577" s="286">
        <v>69.83</v>
      </c>
      <c r="G577" s="287" t="str" cm="1">
        <f t="array" aca="1" ref="G577" ca="1">INDIRECT("'"&amp;$C577&amp;"'!"&amp;"$"&amp;$D577&amp;$E$1&amp;"")</f>
        <v>CMS</v>
      </c>
      <c r="H577" s="288" t="s">
        <v>1</v>
      </c>
      <c r="I577" s="286" t="s">
        <v>1</v>
      </c>
      <c r="J577" s="287" cm="1">
        <f t="array" aca="1" ref="J577" ca="1">INDIRECT("'"&amp;$C577&amp;"'!"&amp;"$"&amp;$D577&amp;$J$1&amp;"")</f>
        <v>6.8</v>
      </c>
      <c r="K577" s="288"/>
      <c r="L577" s="288">
        <v>0.97</v>
      </c>
      <c r="M577" s="289">
        <v>1.59</v>
      </c>
      <c r="N577" s="285" cm="1">
        <f t="array" aca="1" ref="N577" ca="1">INDIRECT("'"&amp;$C577&amp;"'!"&amp;"$"&amp;$D577&amp;$N$1&amp;"")</f>
        <v>6.8</v>
      </c>
      <c r="O577" s="288"/>
      <c r="P577" s="288">
        <v>0.97</v>
      </c>
      <c r="Q577" s="286">
        <v>1.59</v>
      </c>
      <c r="R577" s="285" cm="1">
        <f t="array" aca="1" ref="R577" ca="1">INDIRECT("'"&amp;$C577&amp;"'!"&amp;"$"&amp;$D577&amp;$R$1&amp;"")</f>
        <v>6.8</v>
      </c>
      <c r="S577" s="288"/>
      <c r="T577" s="288">
        <v>0.97</v>
      </c>
      <c r="U577" s="286">
        <v>1.59</v>
      </c>
      <c r="V577" s="287" cm="1">
        <f t="array" aca="1" ref="V577" ca="1">INDIRECT("'"&amp;$C577&amp;"'!"&amp;"$"&amp;$D577&amp;$V$1&amp;"")</f>
        <v>0</v>
      </c>
      <c r="W577" s="288" t="s">
        <v>1</v>
      </c>
      <c r="X577" s="288" t="s">
        <v>1</v>
      </c>
      <c r="Y577" s="289" t="s">
        <v>1</v>
      </c>
      <c r="Z577" s="285" t="str" cm="1">
        <f t="array" aca="1" ref="Z577" ca="1">INDIRECT("'"&amp;$C577&amp;"'!"&amp;"$"&amp;$D577&amp;$Z$1&amp;"")</f>
        <v>CMS</v>
      </c>
      <c r="AA577" s="288" t="s">
        <v>1</v>
      </c>
      <c r="AB577" s="288" t="s">
        <v>1</v>
      </c>
      <c r="AC577" s="286" t="s">
        <v>1</v>
      </c>
      <c r="AD577" s="287" t="str" cm="1">
        <f t="array" aca="1" ref="AD577" ca="1">INDIRECT("'"&amp;$C577&amp;"'!"&amp;"$"&amp;$D577&amp;$AD$1&amp;"")</f>
        <v>CMS</v>
      </c>
      <c r="AE577" s="288" t="s">
        <v>1</v>
      </c>
      <c r="AF577" s="288" t="s">
        <v>1</v>
      </c>
      <c r="AG577" s="289" t="s">
        <v>1</v>
      </c>
      <c r="AH577" s="285" cm="1">
        <f t="array" aca="1" ref="AH577" ca="1">INDIRECT("'"&amp;$C577&amp;"'!"&amp;"$"&amp;$D577&amp;$AH$1&amp;"")</f>
        <v>0</v>
      </c>
      <c r="AI577" s="288" t="s">
        <v>1</v>
      </c>
      <c r="AJ577" s="288" t="s">
        <v>1</v>
      </c>
      <c r="AK577" s="286" t="s">
        <v>1</v>
      </c>
      <c r="AL577" s="285">
        <v>11.6</v>
      </c>
      <c r="AM577" s="289">
        <v>71</v>
      </c>
      <c r="AN577" s="285" cm="1">
        <f t="array" aca="1" ref="AN577" ca="1">INDIRECT("'"&amp;$C577&amp;"'!"&amp;"$"&amp;$D577&amp;$AL$1&amp;"")</f>
        <v>0</v>
      </c>
      <c r="AO577" s="288" t="s">
        <v>1</v>
      </c>
      <c r="AP577" s="286" t="s">
        <v>1</v>
      </c>
      <c r="AQ577" s="287" cm="1">
        <f t="array" aca="1" ref="AQ577" ca="1">INDIRECT("'"&amp;$C577&amp;"'!"&amp;"$"&amp;$D577&amp;$AQ$1&amp;"")</f>
        <v>3.8</v>
      </c>
      <c r="AR577" s="288">
        <v>0.99</v>
      </c>
      <c r="AS577" s="286">
        <v>0.5</v>
      </c>
      <c r="AT577" s="285">
        <v>13.96</v>
      </c>
      <c r="AU577" s="289">
        <v>70.7</v>
      </c>
      <c r="AV577" s="288" t="str" cm="1">
        <f t="array" aca="1" ref="AV577" ca="1">INDIRECT("'"&amp;$C577&amp;"'!"&amp;"$"&amp;$D577&amp;$AV$1&amp;"")</f>
        <v>CMS</v>
      </c>
      <c r="AW577" s="287" t="s">
        <v>1</v>
      </c>
      <c r="AX577" s="288" t="s">
        <v>1</v>
      </c>
      <c r="AY577" s="286" t="s">
        <v>1</v>
      </c>
      <c r="AZ577" s="288" cm="1">
        <f t="array" aca="1" ref="AZ577" ca="1">INDIRECT("'"&amp;$C577&amp;"'!"&amp;"$"&amp;$D577&amp;$AZ$1&amp;"")</f>
        <v>7</v>
      </c>
      <c r="BA577" s="287" t="s">
        <v>1</v>
      </c>
      <c r="BB577" s="288">
        <v>0.98</v>
      </c>
      <c r="BC577" s="286">
        <v>1.58</v>
      </c>
      <c r="BD577" s="290">
        <v>14.22</v>
      </c>
      <c r="BE577" s="289">
        <v>71.92</v>
      </c>
      <c r="BF577" s="290" cm="1">
        <f t="array" aca="1" ref="BF577" ca="1">INDIRECT("'"&amp;$C577&amp;"'!"&amp;"$"&amp;$D577&amp;$BF$1&amp;"")</f>
        <v>14.27</v>
      </c>
      <c r="BG577" s="288">
        <v>0.99</v>
      </c>
      <c r="BH577" s="286">
        <v>2.2999999999999998</v>
      </c>
      <c r="BI577" s="525">
        <v>69.099999999999994</v>
      </c>
      <c r="BJ577" s="285" cm="1">
        <f t="array" aca="1" ref="BJ577" ca="1">INDIRECT("'"&amp;$C577&amp;"'!"&amp;"$"&amp;$D577&amp;$BI$1&amp;"")</f>
        <v>0</v>
      </c>
      <c r="BK577" s="287" t="s">
        <v>1</v>
      </c>
      <c r="BL577" s="286" t="s">
        <v>1</v>
      </c>
      <c r="BM577" s="290" cm="1">
        <f t="array" aca="1" ref="BM577" ca="1">INDIRECT("'"&amp;$C577&amp;"'!"&amp;"$"&amp;$D577&amp;$BM$1&amp;"")</f>
        <v>1.2</v>
      </c>
      <c r="BN577" s="288"/>
      <c r="BO577" s="288">
        <v>0.99</v>
      </c>
      <c r="BP577" s="286">
        <v>0.1</v>
      </c>
      <c r="BQ577" s="291" cm="1">
        <f t="array" aca="1" ref="BQ577" ca="1">INDIRECT("'"&amp;$C577&amp;"'!"&amp;"$"&amp;$D577&amp;$BQ$1&amp;"")</f>
        <v>0.92</v>
      </c>
      <c r="BR577" s="288"/>
      <c r="BS577" s="288">
        <v>0.97</v>
      </c>
      <c r="BT577" s="286">
        <v>0.24</v>
      </c>
      <c r="BU577" s="291" cm="1">
        <f t="array" aca="1" ref="BU577" ca="1">INDIRECT("'"&amp;$C577&amp;"'!"&amp;"$"&amp;$D577&amp;74&amp;"")</f>
        <v>0</v>
      </c>
      <c r="BV577" s="288"/>
      <c r="BW577" s="288" t="s">
        <v>1</v>
      </c>
      <c r="BX577" s="286" t="s">
        <v>1</v>
      </c>
    </row>
    <row r="578" spans="1:76" ht="14.45" thickBot="1">
      <c r="A578" s="460">
        <v>45861</v>
      </c>
      <c r="B578" s="346">
        <v>0.95833333333333404</v>
      </c>
      <c r="C578" s="307">
        <v>23</v>
      </c>
      <c r="D578" s="308" t="s">
        <v>165</v>
      </c>
      <c r="E578" s="293">
        <v>14.1</v>
      </c>
      <c r="F578" s="294">
        <v>70.31</v>
      </c>
      <c r="G578" s="295" t="str" cm="1">
        <f t="array" aca="1" ref="G578" ca="1">INDIRECT("'"&amp;$C578&amp;"'!"&amp;"$"&amp;$D578&amp;$E$1&amp;"")</f>
        <v>CMS</v>
      </c>
      <c r="H578" s="296" t="s">
        <v>1</v>
      </c>
      <c r="I578" s="294" t="s">
        <v>1</v>
      </c>
      <c r="J578" s="295" cm="1">
        <f t="array" aca="1" ref="J578" ca="1">INDIRECT("'"&amp;$C578&amp;"'!"&amp;"$"&amp;$D578&amp;$J$1&amp;"")</f>
        <v>6.6</v>
      </c>
      <c r="K578" s="296"/>
      <c r="L578" s="296">
        <v>0.97</v>
      </c>
      <c r="M578" s="297">
        <v>1.55</v>
      </c>
      <c r="N578" s="293" cm="1">
        <f t="array" aca="1" ref="N578" ca="1">INDIRECT("'"&amp;$C578&amp;"'!"&amp;"$"&amp;$D578&amp;$N$1&amp;"")</f>
        <v>6.6</v>
      </c>
      <c r="O578" s="296"/>
      <c r="P578" s="296">
        <v>0.97</v>
      </c>
      <c r="Q578" s="294">
        <v>1.55</v>
      </c>
      <c r="R578" s="470" cm="1">
        <f t="array" aca="1" ref="R578" ca="1">INDIRECT("'"&amp;$C578&amp;"'!"&amp;"$"&amp;$D578&amp;$R$1&amp;"")</f>
        <v>6.6</v>
      </c>
      <c r="S578" s="296"/>
      <c r="T578" s="296">
        <v>0.97</v>
      </c>
      <c r="U578" s="294">
        <v>1.55</v>
      </c>
      <c r="V578" s="295" cm="1">
        <f t="array" aca="1" ref="V578" ca="1">INDIRECT("'"&amp;$C578&amp;"'!"&amp;"$"&amp;$D578&amp;$V$1&amp;"")</f>
        <v>0</v>
      </c>
      <c r="W578" s="296" t="s">
        <v>1</v>
      </c>
      <c r="X578" s="296" t="s">
        <v>1</v>
      </c>
      <c r="Y578" s="297" t="s">
        <v>1</v>
      </c>
      <c r="Z578" s="293" t="str" cm="1">
        <f t="array" aca="1" ref="Z578" ca="1">INDIRECT("'"&amp;$C578&amp;"'!"&amp;"$"&amp;$D578&amp;$Z$1&amp;"")</f>
        <v>CMS</v>
      </c>
      <c r="AA578" s="296" t="s">
        <v>1</v>
      </c>
      <c r="AB578" s="296" t="s">
        <v>1</v>
      </c>
      <c r="AC578" s="294" t="s">
        <v>1</v>
      </c>
      <c r="AD578" s="295" t="str" cm="1">
        <f t="array" aca="1" ref="AD578" ca="1">INDIRECT("'"&amp;$C578&amp;"'!"&amp;"$"&amp;$D578&amp;$AD$1&amp;"")</f>
        <v>CMS</v>
      </c>
      <c r="AE578" s="296" t="s">
        <v>1</v>
      </c>
      <c r="AF578" s="296" t="s">
        <v>1</v>
      </c>
      <c r="AG578" s="297" t="s">
        <v>1</v>
      </c>
      <c r="AH578" s="293" cm="1">
        <f t="array" aca="1" ref="AH578" ca="1">INDIRECT("'"&amp;$C578&amp;"'!"&amp;"$"&amp;$D578&amp;$AH$1&amp;"")</f>
        <v>0</v>
      </c>
      <c r="AI578" s="296" t="s">
        <v>1</v>
      </c>
      <c r="AJ578" s="296" t="s">
        <v>1</v>
      </c>
      <c r="AK578" s="294" t="s">
        <v>1</v>
      </c>
      <c r="AL578" s="293">
        <v>11.6</v>
      </c>
      <c r="AM578" s="297">
        <v>71.2</v>
      </c>
      <c r="AN578" s="293" cm="1">
        <f t="array" aca="1" ref="AN578" ca="1">INDIRECT("'"&amp;$C578&amp;"'!"&amp;"$"&amp;$D578&amp;$AL$1&amp;"")</f>
        <v>0</v>
      </c>
      <c r="AO578" s="296" t="s">
        <v>1</v>
      </c>
      <c r="AP578" s="294" t="s">
        <v>1</v>
      </c>
      <c r="AQ578" s="295" cm="1">
        <f t="array" aca="1" ref="AQ578" ca="1">INDIRECT("'"&amp;$C578&amp;"'!"&amp;"$"&amp;$D578&amp;$AQ$1&amp;"")</f>
        <v>1.5</v>
      </c>
      <c r="AR578" s="296">
        <v>0.96</v>
      </c>
      <c r="AS578" s="294">
        <v>0.44</v>
      </c>
      <c r="AT578" s="293">
        <v>13.96</v>
      </c>
      <c r="AU578" s="297">
        <v>70.7</v>
      </c>
      <c r="AV578" s="296" cm="1">
        <f t="array" aca="1" ref="AV578" ca="1">INDIRECT("'"&amp;$C578&amp;"'!"&amp;"$"&amp;$D578&amp;$AV$1&amp;"")</f>
        <v>0</v>
      </c>
      <c r="AW578" s="295" t="s">
        <v>1</v>
      </c>
      <c r="AX578" s="296" t="s">
        <v>1</v>
      </c>
      <c r="AY578" s="294" t="s">
        <v>1</v>
      </c>
      <c r="AZ578" s="296" cm="1">
        <f t="array" aca="1" ref="AZ578" ca="1">INDIRECT("'"&amp;$C578&amp;"'!"&amp;"$"&amp;$D578&amp;$AZ$1&amp;"")</f>
        <v>6.5</v>
      </c>
      <c r="BA578" s="295" t="s">
        <v>1</v>
      </c>
      <c r="BB578" s="296">
        <v>0.98</v>
      </c>
      <c r="BC578" s="294">
        <v>1.29</v>
      </c>
      <c r="BD578" s="298">
        <v>14.21</v>
      </c>
      <c r="BE578" s="297">
        <v>71.930000000000007</v>
      </c>
      <c r="BF578" s="298" cm="1">
        <f t="array" aca="1" ref="BF578" ca="1">INDIRECT("'"&amp;$C578&amp;"'!"&amp;"$"&amp;$D578&amp;$BF$1&amp;"")</f>
        <v>14.26</v>
      </c>
      <c r="BG578" s="296">
        <v>0.99</v>
      </c>
      <c r="BH578" s="294">
        <v>2.2999999999999998</v>
      </c>
      <c r="BI578" s="526">
        <v>69.400000000000006</v>
      </c>
      <c r="BJ578" s="293" cm="1">
        <f t="array" aca="1" ref="BJ578" ca="1">INDIRECT("'"&amp;$C578&amp;"'!"&amp;"$"&amp;$D578&amp;$BI$1&amp;"")</f>
        <v>0</v>
      </c>
      <c r="BK578" s="295" t="s">
        <v>1</v>
      </c>
      <c r="BL578" s="294" t="s">
        <v>1</v>
      </c>
      <c r="BM578" s="298" cm="1">
        <f t="array" aca="1" ref="BM578" ca="1">INDIRECT("'"&amp;$C578&amp;"'!"&amp;"$"&amp;$D578&amp;$BM$1&amp;"")</f>
        <v>1</v>
      </c>
      <c r="BN578" s="296"/>
      <c r="BO578" s="296">
        <v>0.99</v>
      </c>
      <c r="BP578" s="294">
        <v>0.09</v>
      </c>
      <c r="BQ578" s="299" cm="1">
        <f t="array" aca="1" ref="BQ578" ca="1">INDIRECT("'"&amp;$C578&amp;"'!"&amp;"$"&amp;$D578&amp;$BQ$1&amp;"")</f>
        <v>0.86</v>
      </c>
      <c r="BR578" s="296"/>
      <c r="BS578" s="296">
        <v>0.97</v>
      </c>
      <c r="BT578" s="294">
        <v>0.22</v>
      </c>
      <c r="BU578" s="299" cm="1">
        <f t="array" aca="1" ref="BU578" ca="1">INDIRECT("'"&amp;$C578&amp;"'!"&amp;"$"&amp;$D578&amp;74&amp;"")</f>
        <v>0</v>
      </c>
      <c r="BV578" s="296"/>
      <c r="BW578" s="296" t="s">
        <v>1</v>
      </c>
      <c r="BX578" s="294" t="s">
        <v>1</v>
      </c>
    </row>
    <row r="579" spans="1:76" ht="14.45" thickBot="1"/>
    <row r="580" spans="1:76">
      <c r="A580" s="347">
        <v>45862</v>
      </c>
      <c r="B580" s="344">
        <v>0</v>
      </c>
      <c r="C580" s="302">
        <v>24</v>
      </c>
      <c r="D580" s="303" t="s">
        <v>142</v>
      </c>
      <c r="E580" s="272">
        <v>14.2</v>
      </c>
      <c r="F580" s="273">
        <v>70.599999999999994</v>
      </c>
      <c r="G580" s="274" t="str" cm="1">
        <f t="array" aca="1" ref="G580" ca="1">INDIRECT("'"&amp;$C580&amp;"'!"&amp;"$"&amp;$D580&amp;$E$1&amp;"")</f>
        <v>CMS</v>
      </c>
      <c r="H580" s="275" t="s">
        <v>1</v>
      </c>
      <c r="I580" s="273" t="s">
        <v>1</v>
      </c>
      <c r="J580" s="274" cm="1">
        <f t="array" aca="1" ref="J580" ca="1">INDIRECT("'"&amp;$C580&amp;"'!"&amp;"$"&amp;$D580&amp;$J$1&amp;"")</f>
        <v>6.7</v>
      </c>
      <c r="K580" s="275"/>
      <c r="L580" s="275">
        <v>0.98</v>
      </c>
      <c r="M580" s="276">
        <v>1.3</v>
      </c>
      <c r="N580" s="272" cm="1">
        <f t="array" aca="1" ref="N580" ca="1">INDIRECT("'"&amp;$C580&amp;"'!"&amp;"$"&amp;$D580&amp;$N$1&amp;"")</f>
        <v>6.7</v>
      </c>
      <c r="O580" s="275"/>
      <c r="P580" s="275">
        <v>0.98</v>
      </c>
      <c r="Q580" s="273">
        <v>1.3</v>
      </c>
      <c r="R580" s="467" cm="1">
        <f t="array" aca="1" ref="R580" ca="1">INDIRECT("'"&amp;$C580&amp;"'!"&amp;"$"&amp;$D580&amp;$R$1&amp;"")</f>
        <v>6.7</v>
      </c>
      <c r="S580" s="275"/>
      <c r="T580" s="275">
        <v>0.98</v>
      </c>
      <c r="U580" s="273">
        <v>1.3</v>
      </c>
      <c r="V580" s="274" cm="1">
        <f t="array" aca="1" ref="V580" ca="1">INDIRECT("'"&amp;$C580&amp;"'!"&amp;"$"&amp;$D580&amp;$V$1&amp;"")</f>
        <v>0</v>
      </c>
      <c r="W580" s="275" t="s">
        <v>1</v>
      </c>
      <c r="X580" s="275" t="s">
        <v>1</v>
      </c>
      <c r="Y580" s="276" t="s">
        <v>1</v>
      </c>
      <c r="Z580" s="272" t="str" cm="1">
        <f t="array" aca="1" ref="Z580" ca="1">INDIRECT("'"&amp;$C580&amp;"'!"&amp;"$"&amp;$D580&amp;$Z$1&amp;"")</f>
        <v>CMS</v>
      </c>
      <c r="AA580" s="275" t="s">
        <v>1</v>
      </c>
      <c r="AB580" s="275" t="s">
        <v>1</v>
      </c>
      <c r="AC580" s="273" t="s">
        <v>1</v>
      </c>
      <c r="AD580" s="274" t="str" cm="1">
        <f t="array" aca="1" ref="AD580" ca="1">INDIRECT("'"&amp;$C580&amp;"'!"&amp;"$"&amp;$D580&amp;$AD$1&amp;"")</f>
        <v>CMS</v>
      </c>
      <c r="AE580" s="275" t="s">
        <v>1</v>
      </c>
      <c r="AF580" s="275" t="s">
        <v>1</v>
      </c>
      <c r="AG580" s="273" t="s">
        <v>1</v>
      </c>
      <c r="AH580" s="272" cm="1">
        <f t="array" aca="1" ref="AH580" ca="1">INDIRECT("'"&amp;$C580&amp;"'!"&amp;"$"&amp;$D580&amp;$AH$1&amp;"")</f>
        <v>0</v>
      </c>
      <c r="AI580" s="275" t="s">
        <v>1</v>
      </c>
      <c r="AJ580" s="275" t="s">
        <v>1</v>
      </c>
      <c r="AK580" s="273" t="s">
        <v>1</v>
      </c>
      <c r="AL580" s="272">
        <v>11.6</v>
      </c>
      <c r="AM580" s="276">
        <v>71.099999999999994</v>
      </c>
      <c r="AN580" s="272" cm="1">
        <f t="array" aca="1" ref="AN580" ca="1">INDIRECT("'"&amp;$C580&amp;"'!"&amp;"$"&amp;$D580&amp;$AL$1&amp;"")</f>
        <v>0</v>
      </c>
      <c r="AO580" s="275" t="s">
        <v>1</v>
      </c>
      <c r="AP580" s="273" t="s">
        <v>1</v>
      </c>
      <c r="AQ580" s="274" cm="1">
        <f t="array" aca="1" ref="AQ580" ca="1">INDIRECT("'"&amp;$C580&amp;"'!"&amp;"$"&amp;$D580&amp;$AQ$1&amp;"")</f>
        <v>4.0999999999999996</v>
      </c>
      <c r="AR580" s="275">
        <v>0.99</v>
      </c>
      <c r="AS580" s="273">
        <v>0.4</v>
      </c>
      <c r="AT580" s="272">
        <v>13.8</v>
      </c>
      <c r="AU580" s="276">
        <v>70.900000000000006</v>
      </c>
      <c r="AV580" s="275" cm="1">
        <f t="array" aca="1" ref="AV580" ca="1">INDIRECT("'"&amp;$C580&amp;"'!"&amp;"$"&amp;$D580&amp;$AV$1&amp;"")</f>
        <v>0</v>
      </c>
      <c r="AW580" s="274" t="s">
        <v>1</v>
      </c>
      <c r="AX580" s="275" t="s">
        <v>1</v>
      </c>
      <c r="AY580" s="273" t="s">
        <v>1</v>
      </c>
      <c r="AZ580" s="275" cm="1">
        <f t="array" aca="1" ref="AZ580" ca="1">INDIRECT("'"&amp;$C580&amp;"'!"&amp;"$"&amp;$D580&amp;$AZ$1&amp;"")</f>
        <v>0.92</v>
      </c>
      <c r="BA580" s="274" t="s">
        <v>1</v>
      </c>
      <c r="BB580" s="275">
        <v>0.91</v>
      </c>
      <c r="BC580" s="273">
        <v>1.1100000000000001</v>
      </c>
      <c r="BD580" s="277">
        <v>14.23</v>
      </c>
      <c r="BE580" s="276">
        <v>72.16</v>
      </c>
      <c r="BF580" s="277" cm="1">
        <f t="array" aca="1" ref="BF580" ca="1">INDIRECT("'"&amp;$C580&amp;"'!"&amp;"$"&amp;$D580&amp;$BF$1&amp;"")</f>
        <v>14.22</v>
      </c>
      <c r="BG580" s="275">
        <v>0.99</v>
      </c>
      <c r="BH580" s="273">
        <v>2.2999999999999998</v>
      </c>
      <c r="BI580" s="523">
        <v>69.900000000000006</v>
      </c>
      <c r="BJ580" s="272" cm="1">
        <f t="array" aca="1" ref="BJ580" ca="1">INDIRECT("'"&amp;$C580&amp;"'!"&amp;"$"&amp;$D580&amp;$BI$1&amp;"")</f>
        <v>0</v>
      </c>
      <c r="BK580" s="274" t="s">
        <v>1</v>
      </c>
      <c r="BL580" s="273" t="s">
        <v>1</v>
      </c>
      <c r="BM580" s="277" cm="1">
        <f t="array" aca="1" ref="BM580" ca="1">INDIRECT("'"&amp;$C580&amp;"'!"&amp;"$"&amp;$D580&amp;$BM$1&amp;"")</f>
        <v>0.95</v>
      </c>
      <c r="BN580" s="275"/>
      <c r="BO580" s="275">
        <v>1</v>
      </c>
      <c r="BP580" s="273">
        <v>0.08</v>
      </c>
      <c r="BQ580" s="277" cm="1">
        <f t="array" aca="1" ref="BQ580" ca="1">INDIRECT("'"&amp;$C580&amp;"'!"&amp;"$"&amp;$D580&amp;$BQ$1&amp;"")</f>
        <v>0.83</v>
      </c>
      <c r="BR580" s="275"/>
      <c r="BS580" s="275">
        <v>0.97</v>
      </c>
      <c r="BT580" s="273">
        <v>0.21</v>
      </c>
      <c r="BU580" s="358" cm="1">
        <f t="array" aca="1" ref="BU580" ca="1">INDIRECT("'"&amp;$C580&amp;"'!"&amp;"$"&amp;$D580&amp;74&amp;"")</f>
        <v>0</v>
      </c>
      <c r="BV580" s="275"/>
      <c r="BW580" s="275" t="s">
        <v>1</v>
      </c>
      <c r="BX580" s="273" t="s">
        <v>1</v>
      </c>
    </row>
    <row r="581" spans="1:76">
      <c r="A581" s="459">
        <v>45862</v>
      </c>
      <c r="B581" s="345">
        <v>4.1666666666666699E-2</v>
      </c>
      <c r="C581" s="305">
        <v>24</v>
      </c>
      <c r="D581" s="306" t="s">
        <v>143</v>
      </c>
      <c r="E581" s="278">
        <v>14.1</v>
      </c>
      <c r="F581" s="279">
        <v>70.3</v>
      </c>
      <c r="G581" s="280" t="str" cm="1">
        <f t="array" aca="1" ref="G581" ca="1">INDIRECT("'"&amp;$C581&amp;"'!"&amp;"$"&amp;$D581&amp;$E$1&amp;"")</f>
        <v>CMS</v>
      </c>
      <c r="H581" s="281" t="s">
        <v>1</v>
      </c>
      <c r="I581" s="279" t="s">
        <v>1</v>
      </c>
      <c r="J581" s="280" cm="1">
        <f t="array" aca="1" ref="J581" ca="1">INDIRECT("'"&amp;$C581&amp;"'!"&amp;"$"&amp;$D581&amp;$J$1&amp;"")</f>
        <v>6.6</v>
      </c>
      <c r="K581" s="281"/>
      <c r="L581" s="281">
        <v>0.98</v>
      </c>
      <c r="M581" s="282">
        <v>1.36</v>
      </c>
      <c r="N581" s="278" cm="1">
        <f t="array" aca="1" ref="N581" ca="1">INDIRECT("'"&amp;$C581&amp;"'!"&amp;"$"&amp;$D581&amp;$N$1&amp;"")</f>
        <v>2.2000000000000002</v>
      </c>
      <c r="O581" s="281"/>
      <c r="P581" s="281">
        <v>0.99</v>
      </c>
      <c r="Q581" s="279">
        <v>0.25</v>
      </c>
      <c r="R581" s="468" cm="1">
        <f t="array" aca="1" ref="R581" ca="1">INDIRECT("'"&amp;$C581&amp;"'!"&amp;"$"&amp;$D581&amp;$R$1&amp;"")</f>
        <v>6.6</v>
      </c>
      <c r="S581" s="281"/>
      <c r="T581" s="281">
        <v>0.98</v>
      </c>
      <c r="U581" s="279">
        <v>1.36</v>
      </c>
      <c r="V581" s="280" cm="1">
        <f t="array" aca="1" ref="V581" ca="1">INDIRECT("'"&amp;$C581&amp;"'!"&amp;"$"&amp;$D581&amp;$V$1&amp;"")</f>
        <v>0</v>
      </c>
      <c r="W581" s="281" t="s">
        <v>1</v>
      </c>
      <c r="X581" s="281" t="s">
        <v>1</v>
      </c>
      <c r="Y581" s="282" t="s">
        <v>1</v>
      </c>
      <c r="Z581" s="278" t="str" cm="1">
        <f t="array" aca="1" ref="Z581" ca="1">INDIRECT("'"&amp;$C581&amp;"'!"&amp;"$"&amp;$D581&amp;$Z$1&amp;"")</f>
        <v>CMS</v>
      </c>
      <c r="AA581" s="281" t="s">
        <v>1</v>
      </c>
      <c r="AB581" s="281" t="s">
        <v>1</v>
      </c>
      <c r="AC581" s="279" t="s">
        <v>1</v>
      </c>
      <c r="AD581" s="280" t="str" cm="1">
        <f t="array" aca="1" ref="AD581" ca="1">INDIRECT("'"&amp;$C581&amp;"'!"&amp;"$"&amp;$D581&amp;$AD$1&amp;"")</f>
        <v>CMS</v>
      </c>
      <c r="AE581" s="281" t="s">
        <v>1</v>
      </c>
      <c r="AF581" s="281" t="s">
        <v>1</v>
      </c>
      <c r="AG581" s="282" t="s">
        <v>1</v>
      </c>
      <c r="AH581" s="278" cm="1">
        <f t="array" aca="1" ref="AH581" ca="1">INDIRECT("'"&amp;$C581&amp;"'!"&amp;"$"&amp;$D581&amp;$AH$1&amp;"")</f>
        <v>0</v>
      </c>
      <c r="AI581" s="281" t="s">
        <v>1</v>
      </c>
      <c r="AJ581" s="281" t="s">
        <v>1</v>
      </c>
      <c r="AK581" s="279" t="s">
        <v>1</v>
      </c>
      <c r="AL581" s="278">
        <v>11.6</v>
      </c>
      <c r="AM581" s="282">
        <v>71.2</v>
      </c>
      <c r="AN581" s="278" cm="1">
        <f t="array" aca="1" ref="AN581" ca="1">INDIRECT("'"&amp;$C581&amp;"'!"&amp;"$"&amp;$D581&amp;$AL$1&amp;"")</f>
        <v>0</v>
      </c>
      <c r="AO581" s="281" t="s">
        <v>1</v>
      </c>
      <c r="AP581" s="279" t="s">
        <v>1</v>
      </c>
      <c r="AQ581" s="280" cm="1">
        <f t="array" aca="1" ref="AQ581" ca="1">INDIRECT("'"&amp;$C581&amp;"'!"&amp;"$"&amp;$D581&amp;$AQ$1&amp;"")</f>
        <v>1.5</v>
      </c>
      <c r="AR581" s="281">
        <v>0.97</v>
      </c>
      <c r="AS581" s="279">
        <v>0.35</v>
      </c>
      <c r="AT581" s="278">
        <v>13.8</v>
      </c>
      <c r="AU581" s="282">
        <v>71</v>
      </c>
      <c r="AV581" s="281" cm="1">
        <f t="array" aca="1" ref="AV581" ca="1">INDIRECT("'"&amp;$C581&amp;"'!"&amp;"$"&amp;$D581&amp;$AV$1&amp;"")</f>
        <v>0</v>
      </c>
      <c r="AW581" s="280" t="s">
        <v>1</v>
      </c>
      <c r="AX581" s="281" t="s">
        <v>1</v>
      </c>
      <c r="AY581" s="279" t="s">
        <v>1</v>
      </c>
      <c r="AZ581" s="281" cm="1">
        <f t="array" aca="1" ref="AZ581" ca="1">INDIRECT("'"&amp;$C581&amp;"'!"&amp;"$"&amp;$D581&amp;$AZ$1&amp;"")</f>
        <v>6.3</v>
      </c>
      <c r="BA581" s="280" t="s">
        <v>1</v>
      </c>
      <c r="BB581" s="281">
        <v>0.99</v>
      </c>
      <c r="BC581" s="279">
        <v>0.71</v>
      </c>
      <c r="BD581" s="283">
        <v>14.26</v>
      </c>
      <c r="BE581" s="282">
        <v>72.14</v>
      </c>
      <c r="BF581" s="283" cm="1">
        <f t="array" aca="1" ref="BF581" ca="1">INDIRECT("'"&amp;$C581&amp;"'!"&amp;"$"&amp;$D581&amp;$BF$1&amp;"")</f>
        <v>14.22</v>
      </c>
      <c r="BG581" s="281">
        <v>0.99</v>
      </c>
      <c r="BH581" s="279">
        <v>2.2999999999999998</v>
      </c>
      <c r="BI581" s="524">
        <v>69.599999999999994</v>
      </c>
      <c r="BJ581" s="278" cm="1">
        <f t="array" aca="1" ref="BJ581" ca="1">INDIRECT("'"&amp;$C581&amp;"'!"&amp;"$"&amp;$D581&amp;$BI$1&amp;"")</f>
        <v>0</v>
      </c>
      <c r="BK581" s="280" t="s">
        <v>1</v>
      </c>
      <c r="BL581" s="279" t="s">
        <v>1</v>
      </c>
      <c r="BM581" s="283" cm="1">
        <f t="array" aca="1" ref="BM581" ca="1">INDIRECT("'"&amp;$C581&amp;"'!"&amp;"$"&amp;$D581&amp;$BM$1&amp;"")</f>
        <v>0.98</v>
      </c>
      <c r="BN581" s="281"/>
      <c r="BO581" s="281">
        <v>1</v>
      </c>
      <c r="BP581" s="279">
        <v>0.1</v>
      </c>
      <c r="BQ581" s="283" cm="1">
        <f t="array" aca="1" ref="BQ581" ca="1">INDIRECT("'"&amp;$C581&amp;"'!"&amp;"$"&amp;$D581&amp;$BQ$1&amp;"")</f>
        <v>0.79</v>
      </c>
      <c r="BR581" s="281"/>
      <c r="BS581" s="281">
        <v>0.97</v>
      </c>
      <c r="BT581" s="279">
        <v>0.2</v>
      </c>
      <c r="BU581" s="284" cm="1">
        <f t="array" aca="1" ref="BU581" ca="1">INDIRECT("'"&amp;$C581&amp;"'!"&amp;"$"&amp;$D581&amp;74&amp;"")</f>
        <v>0</v>
      </c>
      <c r="BV581" s="281"/>
      <c r="BW581" s="281" t="s">
        <v>1</v>
      </c>
      <c r="BX581" s="279" t="s">
        <v>1</v>
      </c>
    </row>
    <row r="582" spans="1:76">
      <c r="A582" s="459">
        <v>45862</v>
      </c>
      <c r="B582" s="345">
        <v>8.3333333333333301E-2</v>
      </c>
      <c r="C582" s="305">
        <v>24</v>
      </c>
      <c r="D582" s="306" t="s">
        <v>144</v>
      </c>
      <c r="E582" s="285">
        <v>14.1</v>
      </c>
      <c r="F582" s="286">
        <v>70.08</v>
      </c>
      <c r="G582" s="287" t="str" cm="1">
        <f t="array" aca="1" ref="G582" ca="1">INDIRECT("'"&amp;$C582&amp;"'!"&amp;"$"&amp;$D582&amp;$E$1&amp;"")</f>
        <v>CMS</v>
      </c>
      <c r="H582" s="288" t="s">
        <v>1</v>
      </c>
      <c r="I582" s="286" t="s">
        <v>1</v>
      </c>
      <c r="J582" s="287" cm="1">
        <f t="array" aca="1" ref="J582" ca="1">INDIRECT("'"&amp;$C582&amp;"'!"&amp;"$"&amp;$D582&amp;$J$1&amp;"")</f>
        <v>6.6</v>
      </c>
      <c r="K582" s="288"/>
      <c r="L582" s="288">
        <v>0.98</v>
      </c>
      <c r="M582" s="289">
        <v>1.37</v>
      </c>
      <c r="N582" s="285" cm="1">
        <f t="array" aca="1" ref="N582" ca="1">INDIRECT("'"&amp;$C582&amp;"'!"&amp;"$"&amp;$D582&amp;$N$1&amp;"")</f>
        <v>0</v>
      </c>
      <c r="O582" s="288"/>
      <c r="P582" s="288" t="s">
        <v>1</v>
      </c>
      <c r="Q582" s="286" t="s">
        <v>1</v>
      </c>
      <c r="R582" s="285" cm="1">
        <f t="array" aca="1" ref="R582" ca="1">INDIRECT("'"&amp;$C582&amp;"'!"&amp;"$"&amp;$D582&amp;$R$1&amp;"")</f>
        <v>6.6</v>
      </c>
      <c r="S582" s="288"/>
      <c r="T582" s="288">
        <v>0.98</v>
      </c>
      <c r="U582" s="286">
        <v>1.37</v>
      </c>
      <c r="V582" s="287" cm="1">
        <f t="array" aca="1" ref="V582" ca="1">INDIRECT("'"&amp;$C582&amp;"'!"&amp;"$"&amp;$D582&amp;$V$1&amp;"")</f>
        <v>0</v>
      </c>
      <c r="W582" s="288" t="s">
        <v>1</v>
      </c>
      <c r="X582" s="288" t="s">
        <v>1</v>
      </c>
      <c r="Y582" s="289" t="s">
        <v>1</v>
      </c>
      <c r="Z582" s="278" t="str" cm="1">
        <f t="array" aca="1" ref="Z582" ca="1">INDIRECT("'"&amp;$C582&amp;"'!"&amp;"$"&amp;$D582&amp;$Z$1&amp;"")</f>
        <v>CMS</v>
      </c>
      <c r="AA582" s="288" t="s">
        <v>1</v>
      </c>
      <c r="AB582" s="288" t="s">
        <v>1</v>
      </c>
      <c r="AC582" s="286" t="s">
        <v>1</v>
      </c>
      <c r="AD582" s="287" t="str" cm="1">
        <f t="array" aca="1" ref="AD582" ca="1">INDIRECT("'"&amp;$C582&amp;"'!"&amp;"$"&amp;$D582&amp;$AD$1&amp;"")</f>
        <v>CMS</v>
      </c>
      <c r="AE582" s="288" t="s">
        <v>1</v>
      </c>
      <c r="AF582" s="288" t="s">
        <v>1</v>
      </c>
      <c r="AG582" s="289" t="s">
        <v>1</v>
      </c>
      <c r="AH582" s="285" cm="1">
        <f t="array" aca="1" ref="AH582" ca="1">INDIRECT("'"&amp;$C582&amp;"'!"&amp;"$"&amp;$D582&amp;$AH$1&amp;"")</f>
        <v>0</v>
      </c>
      <c r="AI582" s="288" t="s">
        <v>1</v>
      </c>
      <c r="AJ582" s="288" t="s">
        <v>1</v>
      </c>
      <c r="AK582" s="289" t="s">
        <v>1</v>
      </c>
      <c r="AL582" s="285">
        <v>11.6</v>
      </c>
      <c r="AM582" s="289">
        <v>71</v>
      </c>
      <c r="AN582" s="285" cm="1">
        <f t="array" aca="1" ref="AN582" ca="1">INDIRECT("'"&amp;$C582&amp;"'!"&amp;"$"&amp;$D582&amp;$AL$1&amp;"")</f>
        <v>0</v>
      </c>
      <c r="AO582" s="288" t="s">
        <v>1</v>
      </c>
      <c r="AP582" s="286" t="s">
        <v>1</v>
      </c>
      <c r="AQ582" s="287" cm="1">
        <f t="array" aca="1" ref="AQ582" ca="1">INDIRECT("'"&amp;$C582&amp;"'!"&amp;"$"&amp;$D582&amp;$AQ$1&amp;"")</f>
        <v>1.5</v>
      </c>
      <c r="AR582" s="288">
        <v>0.95</v>
      </c>
      <c r="AS582" s="286">
        <v>0.55000000000000004</v>
      </c>
      <c r="AT582" s="285">
        <v>13.8</v>
      </c>
      <c r="AU582" s="289">
        <v>71</v>
      </c>
      <c r="AV582" s="288" cm="1">
        <f t="array" aca="1" ref="AV582" ca="1">INDIRECT("'"&amp;$C582&amp;"'!"&amp;"$"&amp;$D582&amp;$AV$1&amp;"")</f>
        <v>0</v>
      </c>
      <c r="AW582" s="287" t="s">
        <v>1</v>
      </c>
      <c r="AX582" s="288" t="s">
        <v>1</v>
      </c>
      <c r="AY582" s="286" t="s">
        <v>1</v>
      </c>
      <c r="AZ582" s="288" cm="1">
        <f t="array" aca="1" ref="AZ582" ca="1">INDIRECT("'"&amp;$C582&amp;"'!"&amp;"$"&amp;$D582&amp;$AZ$1&amp;"")</f>
        <v>6.8</v>
      </c>
      <c r="BA582" s="287" t="s">
        <v>1</v>
      </c>
      <c r="BB582" s="288">
        <v>0.98</v>
      </c>
      <c r="BC582" s="286">
        <v>1.1299999999999999</v>
      </c>
      <c r="BD582" s="290">
        <v>14.07</v>
      </c>
      <c r="BE582" s="289">
        <v>71.599999999999994</v>
      </c>
      <c r="BF582" s="290" cm="1">
        <f t="array" aca="1" ref="BF582" ca="1">INDIRECT("'"&amp;$C582&amp;"'!"&amp;"$"&amp;$D582&amp;$BF$1&amp;"")</f>
        <v>14.26</v>
      </c>
      <c r="BG582" s="288">
        <v>1</v>
      </c>
      <c r="BH582" s="286">
        <v>1.2</v>
      </c>
      <c r="BI582" s="525">
        <v>69.400000000000006</v>
      </c>
      <c r="BJ582" s="285" cm="1">
        <f t="array" aca="1" ref="BJ582" ca="1">INDIRECT("'"&amp;$C582&amp;"'!"&amp;"$"&amp;$D582&amp;$BI$1&amp;"")</f>
        <v>0</v>
      </c>
      <c r="BK582" s="287" t="s">
        <v>1</v>
      </c>
      <c r="BL582" s="286" t="s">
        <v>1</v>
      </c>
      <c r="BM582" s="290" cm="1">
        <f t="array" aca="1" ref="BM582" ca="1">INDIRECT("'"&amp;$C582&amp;"'!"&amp;"$"&amp;$D582&amp;$BM$1&amp;"")</f>
        <v>0.96</v>
      </c>
      <c r="BN582" s="288"/>
      <c r="BO582" s="288">
        <v>1</v>
      </c>
      <c r="BP582" s="286">
        <v>0.09</v>
      </c>
      <c r="BQ582" s="290" cm="1">
        <f t="array" aca="1" ref="BQ582" ca="1">INDIRECT("'"&amp;$C582&amp;"'!"&amp;"$"&amp;$D582&amp;$BQ$1&amp;"")</f>
        <v>0.75</v>
      </c>
      <c r="BR582" s="288"/>
      <c r="BS582" s="288">
        <v>0.97</v>
      </c>
      <c r="BT582" s="286">
        <v>0.2</v>
      </c>
      <c r="BU582" s="291" cm="1">
        <f t="array" aca="1" ref="BU582" ca="1">INDIRECT("'"&amp;$C582&amp;"'!"&amp;"$"&amp;$D582&amp;74&amp;"")</f>
        <v>0</v>
      </c>
      <c r="BV582" s="288"/>
      <c r="BW582" s="288" t="s">
        <v>1</v>
      </c>
      <c r="BX582" s="286" t="s">
        <v>1</v>
      </c>
    </row>
    <row r="583" spans="1:76">
      <c r="A583" s="459">
        <v>45862</v>
      </c>
      <c r="B583" s="345">
        <v>0.125</v>
      </c>
      <c r="C583" s="305">
        <v>24</v>
      </c>
      <c r="D583" s="306" t="s">
        <v>145</v>
      </c>
      <c r="E583" s="278">
        <v>14</v>
      </c>
      <c r="F583" s="279">
        <v>70.040000000000006</v>
      </c>
      <c r="G583" s="280" t="str" cm="1">
        <f t="array" aca="1" ref="G583" ca="1">INDIRECT("'"&amp;$C583&amp;"'!"&amp;"$"&amp;$D583&amp;$E$1&amp;"")</f>
        <v>CMS</v>
      </c>
      <c r="H583" s="281" t="s">
        <v>1</v>
      </c>
      <c r="I583" s="279" t="s">
        <v>1</v>
      </c>
      <c r="J583" s="280" cm="1">
        <f t="array" aca="1" ref="J583" ca="1">INDIRECT("'"&amp;$C583&amp;"'!"&amp;"$"&amp;$D583&amp;$J$1&amp;"")</f>
        <v>6.6</v>
      </c>
      <c r="K583" s="281"/>
      <c r="L583" s="281">
        <v>0.98</v>
      </c>
      <c r="M583" s="282">
        <v>1.38</v>
      </c>
      <c r="N583" s="278" cm="1">
        <f t="array" aca="1" ref="N583" ca="1">INDIRECT("'"&amp;$C583&amp;"'!"&amp;"$"&amp;$D583&amp;$N$1&amp;"")</f>
        <v>0</v>
      </c>
      <c r="O583" s="281"/>
      <c r="P583" s="281" t="s">
        <v>1</v>
      </c>
      <c r="Q583" s="279" t="s">
        <v>1</v>
      </c>
      <c r="R583" s="468" cm="1">
        <f t="array" aca="1" ref="R583" ca="1">INDIRECT("'"&amp;$C583&amp;"'!"&amp;"$"&amp;$D583&amp;$R$1&amp;"")</f>
        <v>6.6</v>
      </c>
      <c r="S583" s="281"/>
      <c r="T583" s="281">
        <v>0.98</v>
      </c>
      <c r="U583" s="279">
        <v>1.38</v>
      </c>
      <c r="V583" s="280" cm="1">
        <f t="array" aca="1" ref="V583" ca="1">INDIRECT("'"&amp;$C583&amp;"'!"&amp;"$"&amp;$D583&amp;$V$1&amp;"")</f>
        <v>0</v>
      </c>
      <c r="W583" s="281" t="s">
        <v>1</v>
      </c>
      <c r="X583" s="281" t="s">
        <v>1</v>
      </c>
      <c r="Y583" s="282" t="s">
        <v>1</v>
      </c>
      <c r="Z583" s="278" t="str" cm="1">
        <f t="array" aca="1" ref="Z583" ca="1">INDIRECT("'"&amp;$C583&amp;"'!"&amp;"$"&amp;$D583&amp;$Z$1&amp;"")</f>
        <v>CMS</v>
      </c>
      <c r="AA583" s="281" t="s">
        <v>1</v>
      </c>
      <c r="AB583" s="281" t="s">
        <v>1</v>
      </c>
      <c r="AC583" s="279" t="s">
        <v>1</v>
      </c>
      <c r="AD583" s="280" t="str" cm="1">
        <f t="array" aca="1" ref="AD583" ca="1">INDIRECT("'"&amp;$C583&amp;"'!"&amp;"$"&amp;$D583&amp;$AD$1&amp;"")</f>
        <v>CMS</v>
      </c>
      <c r="AE583" s="281" t="s">
        <v>1</v>
      </c>
      <c r="AF583" s="281" t="s">
        <v>1</v>
      </c>
      <c r="AG583" s="282" t="s">
        <v>1</v>
      </c>
      <c r="AH583" s="278" cm="1">
        <f t="array" aca="1" ref="AH583" ca="1">INDIRECT("'"&amp;$C583&amp;"'!"&amp;"$"&amp;$D583&amp;$AH$1&amp;"")</f>
        <v>0</v>
      </c>
      <c r="AI583" s="281" t="s">
        <v>1</v>
      </c>
      <c r="AJ583" s="281" t="s">
        <v>1</v>
      </c>
      <c r="AK583" s="279" t="s">
        <v>1</v>
      </c>
      <c r="AL583" s="278">
        <v>11.6</v>
      </c>
      <c r="AM583" s="282">
        <v>71</v>
      </c>
      <c r="AN583" s="278" cm="1">
        <f t="array" aca="1" ref="AN583" ca="1">INDIRECT("'"&amp;$C583&amp;"'!"&amp;"$"&amp;$D583&amp;$AL$1&amp;"")</f>
        <v>0</v>
      </c>
      <c r="AO583" s="281" t="s">
        <v>1</v>
      </c>
      <c r="AP583" s="279" t="s">
        <v>1</v>
      </c>
      <c r="AQ583" s="280" cm="1">
        <f t="array" aca="1" ref="AQ583" ca="1">INDIRECT("'"&amp;$C583&amp;"'!"&amp;"$"&amp;$D583&amp;$AQ$1&amp;"")</f>
        <v>1.5</v>
      </c>
      <c r="AR583" s="281">
        <v>0.95</v>
      </c>
      <c r="AS583" s="279">
        <v>0.66</v>
      </c>
      <c r="AT583" s="278">
        <v>13.8</v>
      </c>
      <c r="AU583" s="282">
        <v>71</v>
      </c>
      <c r="AV583" s="281" cm="1">
        <f t="array" aca="1" ref="AV583" ca="1">INDIRECT("'"&amp;$C583&amp;"'!"&amp;"$"&amp;$D583&amp;$AV$1&amp;"")</f>
        <v>0</v>
      </c>
      <c r="AW583" s="280" t="s">
        <v>1</v>
      </c>
      <c r="AX583" s="281" t="s">
        <v>1</v>
      </c>
      <c r="AY583" s="279" t="s">
        <v>1</v>
      </c>
      <c r="AZ583" s="281" cm="1">
        <f t="array" aca="1" ref="AZ583" ca="1">INDIRECT("'"&amp;$C583&amp;"'!"&amp;"$"&amp;$D583&amp;$AZ$1&amp;"")</f>
        <v>6.8</v>
      </c>
      <c r="BA583" s="280" t="s">
        <v>1</v>
      </c>
      <c r="BB583" s="281">
        <v>0.98</v>
      </c>
      <c r="BC583" s="279">
        <v>1.05</v>
      </c>
      <c r="BD583" s="283">
        <v>14.07</v>
      </c>
      <c r="BE583" s="282">
        <v>71.66</v>
      </c>
      <c r="BF583" s="283" cm="1">
        <f t="array" aca="1" ref="BF583" ca="1">INDIRECT("'"&amp;$C583&amp;"'!"&amp;"$"&amp;$D583&amp;$BF$1&amp;"")</f>
        <v>14.25</v>
      </c>
      <c r="BG583" s="281">
        <v>1</v>
      </c>
      <c r="BH583" s="279">
        <v>1.3</v>
      </c>
      <c r="BI583" s="524">
        <v>69.3</v>
      </c>
      <c r="BJ583" s="278" cm="1">
        <f t="array" aca="1" ref="BJ583" ca="1">INDIRECT("'"&amp;$C583&amp;"'!"&amp;"$"&amp;$D583&amp;$BI$1&amp;"")</f>
        <v>0</v>
      </c>
      <c r="BK583" s="280" t="s">
        <v>1</v>
      </c>
      <c r="BL583" s="279" t="s">
        <v>1</v>
      </c>
      <c r="BM583" s="283" cm="1">
        <f t="array" aca="1" ref="BM583" ca="1">INDIRECT("'"&amp;$C583&amp;"'!"&amp;"$"&amp;$D583&amp;$BM$1&amp;"")</f>
        <v>0.94</v>
      </c>
      <c r="BN583" s="281"/>
      <c r="BO583" s="281">
        <v>1</v>
      </c>
      <c r="BP583" s="279">
        <v>0.09</v>
      </c>
      <c r="BQ583" s="283" cm="1">
        <f t="array" aca="1" ref="BQ583" ca="1">INDIRECT("'"&amp;$C583&amp;"'!"&amp;"$"&amp;$D583&amp;$BQ$1&amp;"")</f>
        <v>0.76</v>
      </c>
      <c r="BR583" s="281"/>
      <c r="BS583" s="281">
        <v>0.96</v>
      </c>
      <c r="BT583" s="279">
        <v>0.2</v>
      </c>
      <c r="BU583" s="284" cm="1">
        <f t="array" aca="1" ref="BU583" ca="1">INDIRECT("'"&amp;$C583&amp;"'!"&amp;"$"&amp;$D583&amp;74&amp;"")</f>
        <v>0</v>
      </c>
      <c r="BV583" s="281"/>
      <c r="BW583" s="281" t="s">
        <v>1</v>
      </c>
      <c r="BX583" s="279" t="s">
        <v>1</v>
      </c>
    </row>
    <row r="584" spans="1:76">
      <c r="A584" s="459">
        <v>45862</v>
      </c>
      <c r="B584" s="345">
        <v>0.16666666666666699</v>
      </c>
      <c r="C584" s="305">
        <v>24</v>
      </c>
      <c r="D584" s="306" t="s">
        <v>146</v>
      </c>
      <c r="E584" s="285">
        <v>14</v>
      </c>
      <c r="F584" s="286">
        <v>70.069999999999993</v>
      </c>
      <c r="G584" s="287" t="str" cm="1">
        <f t="array" aca="1" ref="G584" ca="1">INDIRECT("'"&amp;$C584&amp;"'!"&amp;"$"&amp;$D584&amp;$E$1&amp;"")</f>
        <v>CMS</v>
      </c>
      <c r="H584" s="288" t="s">
        <v>1</v>
      </c>
      <c r="I584" s="286" t="s">
        <v>1</v>
      </c>
      <c r="J584" s="287" cm="1">
        <f t="array" aca="1" ref="J584" ca="1">INDIRECT("'"&amp;$C584&amp;"'!"&amp;"$"&amp;$D584&amp;$J$1&amp;"")</f>
        <v>6.7</v>
      </c>
      <c r="K584" s="288"/>
      <c r="L584" s="288">
        <v>0.98</v>
      </c>
      <c r="M584" s="286">
        <v>1.4</v>
      </c>
      <c r="N584" s="285" cm="1">
        <f t="array" aca="1" ref="N584" ca="1">INDIRECT("'"&amp;$C584&amp;"'!"&amp;"$"&amp;$D584&amp;$N$1&amp;"")</f>
        <v>0</v>
      </c>
      <c r="O584" s="288"/>
      <c r="P584" s="288" t="s">
        <v>1</v>
      </c>
      <c r="Q584" s="286" t="s">
        <v>1</v>
      </c>
      <c r="R584" s="285" cm="1">
        <f t="array" aca="1" ref="R584" ca="1">INDIRECT("'"&amp;$C584&amp;"'!"&amp;"$"&amp;$D584&amp;$R$1&amp;"")</f>
        <v>6.7</v>
      </c>
      <c r="S584" s="288"/>
      <c r="T584" s="288">
        <v>0.98</v>
      </c>
      <c r="U584" s="286">
        <v>1.4</v>
      </c>
      <c r="V584" s="287" cm="1">
        <f t="array" aca="1" ref="V584" ca="1">INDIRECT("'"&amp;$C584&amp;"'!"&amp;"$"&amp;$D584&amp;$V$1&amp;"")</f>
        <v>0</v>
      </c>
      <c r="W584" s="288" t="s">
        <v>1</v>
      </c>
      <c r="X584" s="288" t="s">
        <v>1</v>
      </c>
      <c r="Y584" s="289" t="s">
        <v>1</v>
      </c>
      <c r="Z584" s="285" t="str" cm="1">
        <f t="array" aca="1" ref="Z584" ca="1">INDIRECT("'"&amp;$C584&amp;"'!"&amp;"$"&amp;$D584&amp;$Z$1&amp;"")</f>
        <v>CMS</v>
      </c>
      <c r="AA584" s="288" t="s">
        <v>1</v>
      </c>
      <c r="AB584" s="288" t="s">
        <v>1</v>
      </c>
      <c r="AC584" s="286" t="s">
        <v>1</v>
      </c>
      <c r="AD584" s="287" t="str" cm="1">
        <f t="array" aca="1" ref="AD584" ca="1">INDIRECT("'"&amp;$C584&amp;"'!"&amp;"$"&amp;$D584&amp;$AD$1&amp;"")</f>
        <v>CMS</v>
      </c>
      <c r="AE584" s="288" t="s">
        <v>1</v>
      </c>
      <c r="AF584" s="288" t="s">
        <v>1</v>
      </c>
      <c r="AG584" s="289" t="s">
        <v>1</v>
      </c>
      <c r="AH584" s="285" cm="1">
        <f t="array" aca="1" ref="AH584" ca="1">INDIRECT("'"&amp;$C584&amp;"'!"&amp;"$"&amp;$D584&amp;$AH$1&amp;"")</f>
        <v>0</v>
      </c>
      <c r="AI584" s="288" t="s">
        <v>1</v>
      </c>
      <c r="AJ584" s="288" t="s">
        <v>1</v>
      </c>
      <c r="AK584" s="286" t="s">
        <v>1</v>
      </c>
      <c r="AL584" s="285">
        <v>11.6</v>
      </c>
      <c r="AM584" s="289">
        <v>70.900000000000006</v>
      </c>
      <c r="AN584" s="285" cm="1">
        <f t="array" aca="1" ref="AN584" ca="1">INDIRECT("'"&amp;$C584&amp;"'!"&amp;"$"&amp;$D584&amp;$AL$1&amp;"")</f>
        <v>0</v>
      </c>
      <c r="AO584" s="288" t="s">
        <v>1</v>
      </c>
      <c r="AP584" s="286" t="s">
        <v>1</v>
      </c>
      <c r="AQ584" s="287" cm="1">
        <f t="array" aca="1" ref="AQ584" ca="1">INDIRECT("'"&amp;$C584&amp;"'!"&amp;"$"&amp;$D584&amp;$AQ$1&amp;"")</f>
        <v>1.6</v>
      </c>
      <c r="AR584" s="288">
        <v>0.94</v>
      </c>
      <c r="AS584" s="286">
        <v>0.66</v>
      </c>
      <c r="AT584" s="285">
        <v>13.8</v>
      </c>
      <c r="AU584" s="289">
        <v>71</v>
      </c>
      <c r="AV584" s="288" cm="1">
        <f t="array" aca="1" ref="AV584" ca="1">INDIRECT("'"&amp;$C584&amp;"'!"&amp;"$"&amp;$D584&amp;$AV$1&amp;"")</f>
        <v>0</v>
      </c>
      <c r="AW584" s="287" t="s">
        <v>1</v>
      </c>
      <c r="AX584" s="288" t="s">
        <v>1</v>
      </c>
      <c r="AY584" s="286" t="s">
        <v>1</v>
      </c>
      <c r="AZ584" s="288" cm="1">
        <f t="array" aca="1" ref="AZ584" ca="1">INDIRECT("'"&amp;$C584&amp;"'!"&amp;"$"&amp;$D584&amp;$AZ$1&amp;"")</f>
        <v>5.8</v>
      </c>
      <c r="BA584" s="287" t="s">
        <v>1</v>
      </c>
      <c r="BB584" s="288">
        <v>0.98</v>
      </c>
      <c r="BC584" s="286">
        <v>1.17</v>
      </c>
      <c r="BD584" s="290">
        <v>14.09</v>
      </c>
      <c r="BE584" s="289">
        <v>71.66</v>
      </c>
      <c r="BF584" s="290" cm="1">
        <f t="array" aca="1" ref="BF584" ca="1">INDIRECT("'"&amp;$C584&amp;"'!"&amp;"$"&amp;$D584&amp;$BF$1&amp;"")</f>
        <v>14.24</v>
      </c>
      <c r="BG584" s="288">
        <v>1</v>
      </c>
      <c r="BH584" s="286">
        <v>1.3</v>
      </c>
      <c r="BI584" s="525">
        <v>69.3</v>
      </c>
      <c r="BJ584" s="285" cm="1">
        <f t="array" aca="1" ref="BJ584" ca="1">INDIRECT("'"&amp;$C584&amp;"'!"&amp;"$"&amp;$D584&amp;$BI$1&amp;"")</f>
        <v>0</v>
      </c>
      <c r="BK584" s="287" t="s">
        <v>1</v>
      </c>
      <c r="BL584" s="286" t="s">
        <v>1</v>
      </c>
      <c r="BM584" s="290" cm="1">
        <f t="array" aca="1" ref="BM584" ca="1">INDIRECT("'"&amp;$C584&amp;"'!"&amp;"$"&amp;$D584&amp;$BM$1&amp;"")</f>
        <v>0.92</v>
      </c>
      <c r="BN584" s="288"/>
      <c r="BO584" s="288">
        <v>0.99</v>
      </c>
      <c r="BP584" s="286">
        <v>0.09</v>
      </c>
      <c r="BQ584" s="290" cm="1">
        <f t="array" aca="1" ref="BQ584" ca="1">INDIRECT("'"&amp;$C584&amp;"'!"&amp;"$"&amp;$D584&amp;$BQ$1&amp;"")</f>
        <v>0.75</v>
      </c>
      <c r="BR584" s="288"/>
      <c r="BS584" s="288">
        <v>0.96</v>
      </c>
      <c r="BT584" s="286">
        <v>0.2</v>
      </c>
      <c r="BU584" s="291" cm="1">
        <f t="array" aca="1" ref="BU584" ca="1">INDIRECT("'"&amp;$C584&amp;"'!"&amp;"$"&amp;$D584&amp;74&amp;"")</f>
        <v>0</v>
      </c>
      <c r="BV584" s="288"/>
      <c r="BW584" s="288" t="s">
        <v>1</v>
      </c>
      <c r="BX584" s="286" t="s">
        <v>1</v>
      </c>
    </row>
    <row r="585" spans="1:76">
      <c r="A585" s="459">
        <v>45862</v>
      </c>
      <c r="B585" s="345">
        <v>0.20833333333333301</v>
      </c>
      <c r="C585" s="305">
        <v>24</v>
      </c>
      <c r="D585" s="306" t="s">
        <v>147</v>
      </c>
      <c r="E585" s="278">
        <v>14</v>
      </c>
      <c r="F585" s="279">
        <v>69.84</v>
      </c>
      <c r="G585" s="280" t="str" cm="1">
        <f t="array" aca="1" ref="G585" ca="1">INDIRECT("'"&amp;$C585&amp;"'!"&amp;"$"&amp;$D585&amp;$E$1&amp;"")</f>
        <v>CMS</v>
      </c>
      <c r="H585" s="281" t="s">
        <v>1</v>
      </c>
      <c r="I585" s="279" t="s">
        <v>1</v>
      </c>
      <c r="J585" s="280" cm="1">
        <f t="array" aca="1" ref="J585" ca="1">INDIRECT("'"&amp;$C585&amp;"'!"&amp;"$"&amp;$D585&amp;$J$1&amp;"")</f>
        <v>6.7</v>
      </c>
      <c r="K585" s="281"/>
      <c r="L585" s="281">
        <v>0.99</v>
      </c>
      <c r="M585" s="279">
        <v>1.01</v>
      </c>
      <c r="N585" s="278" cm="1">
        <f t="array" aca="1" ref="N585" ca="1">INDIRECT("'"&amp;$C585&amp;"'!"&amp;"$"&amp;$D585&amp;$N$1&amp;"")</f>
        <v>6.7</v>
      </c>
      <c r="O585" s="281"/>
      <c r="P585" s="281" t="s">
        <v>1</v>
      </c>
      <c r="Q585" s="279" t="s">
        <v>1</v>
      </c>
      <c r="R585" s="468" cm="1">
        <f t="array" aca="1" ref="R585" ca="1">INDIRECT("'"&amp;$C585&amp;"'!"&amp;"$"&amp;$D585&amp;$R$1&amp;"")</f>
        <v>0</v>
      </c>
      <c r="S585" s="281"/>
      <c r="T585" s="281">
        <v>0.98</v>
      </c>
      <c r="U585" s="279">
        <v>1.7</v>
      </c>
      <c r="V585" s="280" cm="1">
        <f t="array" aca="1" ref="V585" ca="1">INDIRECT("'"&amp;$C585&amp;"'!"&amp;"$"&amp;$D585&amp;$V$1&amp;"")</f>
        <v>0</v>
      </c>
      <c r="W585" s="281" t="s">
        <v>1</v>
      </c>
      <c r="X585" s="281" t="s">
        <v>1</v>
      </c>
      <c r="Y585" s="282" t="s">
        <v>1</v>
      </c>
      <c r="Z585" s="278" t="str" cm="1">
        <f t="array" aca="1" ref="Z585" ca="1">INDIRECT("'"&amp;$C585&amp;"'!"&amp;"$"&amp;$D585&amp;$Z$1&amp;"")</f>
        <v>CMS</v>
      </c>
      <c r="AA585" s="281" t="s">
        <v>1</v>
      </c>
      <c r="AB585" s="281" t="s">
        <v>1</v>
      </c>
      <c r="AC585" s="279" t="s">
        <v>1</v>
      </c>
      <c r="AD585" s="280" t="str" cm="1">
        <f t="array" aca="1" ref="AD585" ca="1">INDIRECT("'"&amp;$C585&amp;"'!"&amp;"$"&amp;$D585&amp;$AD$1&amp;"")</f>
        <v>CMS</v>
      </c>
      <c r="AE585" s="281" t="s">
        <v>1</v>
      </c>
      <c r="AF585" s="281" t="s">
        <v>1</v>
      </c>
      <c r="AG585" s="282" t="s">
        <v>1</v>
      </c>
      <c r="AH585" s="278" cm="1">
        <f t="array" aca="1" ref="AH585" ca="1">INDIRECT("'"&amp;$C585&amp;"'!"&amp;"$"&amp;$D585&amp;$AH$1&amp;"")</f>
        <v>0</v>
      </c>
      <c r="AI585" s="281" t="s">
        <v>1</v>
      </c>
      <c r="AJ585" s="281" t="s">
        <v>1</v>
      </c>
      <c r="AK585" s="279" t="s">
        <v>1</v>
      </c>
      <c r="AL585" s="278">
        <v>11.6</v>
      </c>
      <c r="AM585" s="282">
        <v>70.8</v>
      </c>
      <c r="AN585" s="278" cm="1">
        <f t="array" aca="1" ref="AN585" ca="1">INDIRECT("'"&amp;$C585&amp;"'!"&amp;"$"&amp;$D585&amp;$AL$1&amp;"")</f>
        <v>0</v>
      </c>
      <c r="AO585" s="281" t="s">
        <v>1</v>
      </c>
      <c r="AP585" s="279" t="s">
        <v>1</v>
      </c>
      <c r="AQ585" s="280" cm="1">
        <f t="array" aca="1" ref="AQ585" ca="1">INDIRECT("'"&amp;$C585&amp;"'!"&amp;"$"&amp;$D585&amp;$AQ$1&amp;"")</f>
        <v>1.6</v>
      </c>
      <c r="AR585" s="281">
        <v>0.94</v>
      </c>
      <c r="AS585" s="279">
        <v>0.77</v>
      </c>
      <c r="AT585" s="278">
        <v>13.8</v>
      </c>
      <c r="AU585" s="282">
        <v>71</v>
      </c>
      <c r="AV585" s="281" cm="1">
        <f t="array" aca="1" ref="AV585" ca="1">INDIRECT("'"&amp;$C585&amp;"'!"&amp;"$"&amp;$D585&amp;$AV$1&amp;"")</f>
        <v>0</v>
      </c>
      <c r="AW585" s="280" t="s">
        <v>1</v>
      </c>
      <c r="AX585" s="281" t="s">
        <v>1</v>
      </c>
      <c r="AY585" s="279" t="s">
        <v>1</v>
      </c>
      <c r="AZ585" s="281" cm="1">
        <f t="array" aca="1" ref="AZ585" ca="1">INDIRECT("'"&amp;$C585&amp;"'!"&amp;"$"&amp;$D585&amp;$AZ$1&amp;"")</f>
        <v>6.8</v>
      </c>
      <c r="BA585" s="280" t="s">
        <v>1</v>
      </c>
      <c r="BB585" s="281">
        <v>0.98</v>
      </c>
      <c r="BC585" s="279">
        <v>1.35</v>
      </c>
      <c r="BD585" s="283">
        <v>14.07</v>
      </c>
      <c r="BE585" s="282">
        <v>71.53</v>
      </c>
      <c r="BF585" s="283" cm="1">
        <f t="array" aca="1" ref="BF585" ca="1">INDIRECT("'"&amp;$C585&amp;"'!"&amp;"$"&amp;$D585&amp;$BF$1&amp;"")</f>
        <v>14.28</v>
      </c>
      <c r="BG585" s="281">
        <v>1</v>
      </c>
      <c r="BH585" s="279">
        <v>1.3</v>
      </c>
      <c r="BI585" s="524">
        <v>69</v>
      </c>
      <c r="BJ585" s="278" cm="1">
        <f t="array" aca="1" ref="BJ585" ca="1">INDIRECT("'"&amp;$C585&amp;"'!"&amp;"$"&amp;$D585&amp;$BI$1&amp;"")</f>
        <v>0</v>
      </c>
      <c r="BK585" s="280" t="s">
        <v>1</v>
      </c>
      <c r="BL585" s="279" t="s">
        <v>1</v>
      </c>
      <c r="BM585" s="283" cm="1">
        <f t="array" aca="1" ref="BM585" ca="1">INDIRECT("'"&amp;$C585&amp;"'!"&amp;"$"&amp;$D585&amp;$BM$1&amp;"")</f>
        <v>0.97</v>
      </c>
      <c r="BN585" s="281"/>
      <c r="BO585" s="281">
        <v>0.99</v>
      </c>
      <c r="BP585" s="279">
        <v>0.09</v>
      </c>
      <c r="BQ585" s="283" cm="1">
        <f t="array" aca="1" ref="BQ585" ca="1">INDIRECT("'"&amp;$C585&amp;"'!"&amp;"$"&amp;$D585&amp;$BQ$1&amp;"")</f>
        <v>0.77</v>
      </c>
      <c r="BR585" s="281"/>
      <c r="BS585" s="281">
        <v>0.97</v>
      </c>
      <c r="BT585" s="279">
        <v>0.19</v>
      </c>
      <c r="BU585" s="284" cm="1">
        <f t="array" aca="1" ref="BU585" ca="1">INDIRECT("'"&amp;$C585&amp;"'!"&amp;"$"&amp;$D585&amp;74&amp;"")</f>
        <v>0</v>
      </c>
      <c r="BV585" s="281"/>
      <c r="BW585" s="281" t="s">
        <v>1</v>
      </c>
      <c r="BX585" s="279" t="s">
        <v>1</v>
      </c>
    </row>
    <row r="586" spans="1:76">
      <c r="A586" s="459">
        <v>45862</v>
      </c>
      <c r="B586" s="345">
        <v>0.25</v>
      </c>
      <c r="C586" s="305">
        <v>24</v>
      </c>
      <c r="D586" s="306" t="s">
        <v>148</v>
      </c>
      <c r="E586" s="285">
        <v>14</v>
      </c>
      <c r="F586" s="286">
        <v>69.59</v>
      </c>
      <c r="G586" s="287" t="str" cm="1">
        <f t="array" aca="1" ref="G586" ca="1">INDIRECT("'"&amp;$C586&amp;"'!"&amp;"$"&amp;$D586&amp;$E$1&amp;"")</f>
        <v>CMS</v>
      </c>
      <c r="H586" s="288" t="s">
        <v>1</v>
      </c>
      <c r="I586" s="286" t="s">
        <v>1</v>
      </c>
      <c r="J586" s="287" cm="1">
        <f t="array" aca="1" ref="J586" ca="1">INDIRECT("'"&amp;$C586&amp;"'!"&amp;"$"&amp;$D586&amp;$J$1&amp;"")</f>
        <v>6.7</v>
      </c>
      <c r="K586" s="288"/>
      <c r="L586" s="288">
        <v>0.98</v>
      </c>
      <c r="M586" s="286">
        <v>1.24</v>
      </c>
      <c r="N586" s="285" cm="1">
        <f t="array" aca="1" ref="N586" ca="1">INDIRECT("'"&amp;$C586&amp;"'!"&amp;"$"&amp;$D586&amp;$N$1&amp;"")</f>
        <v>6.7</v>
      </c>
      <c r="O586" s="288"/>
      <c r="P586" s="288">
        <v>0.98</v>
      </c>
      <c r="Q586" s="286">
        <v>1.24</v>
      </c>
      <c r="R586" s="285" cm="1">
        <f t="array" aca="1" ref="R586" ca="1">INDIRECT("'"&amp;$C586&amp;"'!"&amp;"$"&amp;$D586&amp;$R$1&amp;"")</f>
        <v>0</v>
      </c>
      <c r="S586" s="288"/>
      <c r="T586" s="288" t="s">
        <v>1</v>
      </c>
      <c r="U586" s="286" t="s">
        <v>1</v>
      </c>
      <c r="V586" s="287" cm="1">
        <f t="array" aca="1" ref="V586" ca="1">INDIRECT("'"&amp;$C586&amp;"'!"&amp;"$"&amp;$D586&amp;$V$1&amp;"")</f>
        <v>0</v>
      </c>
      <c r="W586" s="288" t="s">
        <v>1</v>
      </c>
      <c r="X586" s="288" t="s">
        <v>1</v>
      </c>
      <c r="Y586" s="289" t="s">
        <v>1</v>
      </c>
      <c r="Z586" s="285" t="str" cm="1">
        <f t="array" aca="1" ref="Z586" ca="1">INDIRECT("'"&amp;$C586&amp;"'!"&amp;"$"&amp;$D586&amp;$Z$1&amp;"")</f>
        <v>CMS</v>
      </c>
      <c r="AA586" s="288" t="s">
        <v>1</v>
      </c>
      <c r="AB586" s="288" t="s">
        <v>1</v>
      </c>
      <c r="AC586" s="286" t="s">
        <v>1</v>
      </c>
      <c r="AD586" s="287" t="str" cm="1">
        <f t="array" aca="1" ref="AD586" ca="1">INDIRECT("'"&amp;$C586&amp;"'!"&amp;"$"&amp;$D586&amp;$AD$1&amp;"")</f>
        <v>CMS</v>
      </c>
      <c r="AE586" s="288" t="s">
        <v>1</v>
      </c>
      <c r="AF586" s="288" t="s">
        <v>1</v>
      </c>
      <c r="AG586" s="289" t="s">
        <v>1</v>
      </c>
      <c r="AH586" s="285" cm="1">
        <f t="array" aca="1" ref="AH586" ca="1">INDIRECT("'"&amp;$C586&amp;"'!"&amp;"$"&amp;$D586&amp;$AH$1&amp;"")</f>
        <v>0</v>
      </c>
      <c r="AI586" s="288" t="s">
        <v>1</v>
      </c>
      <c r="AJ586" s="288" t="s">
        <v>1</v>
      </c>
      <c r="AK586" s="286" t="s">
        <v>1</v>
      </c>
      <c r="AL586" s="285">
        <v>11.6</v>
      </c>
      <c r="AM586" s="289">
        <v>70.8</v>
      </c>
      <c r="AN586" s="285" cm="1">
        <f t="array" aca="1" ref="AN586" ca="1">INDIRECT("'"&amp;$C586&amp;"'!"&amp;"$"&amp;$D586&amp;$AL$1&amp;"")</f>
        <v>0</v>
      </c>
      <c r="AO586" s="288" t="s">
        <v>1</v>
      </c>
      <c r="AP586" s="286" t="s">
        <v>1</v>
      </c>
      <c r="AQ586" s="287" cm="1">
        <f t="array" aca="1" ref="AQ586" ca="1">INDIRECT("'"&amp;$C586&amp;"'!"&amp;"$"&amp;$D586&amp;$AQ$1&amp;"")</f>
        <v>3.5</v>
      </c>
      <c r="AR586" s="288">
        <v>0.99</v>
      </c>
      <c r="AS586" s="286">
        <v>0.44</v>
      </c>
      <c r="AT586" s="285">
        <v>13.8</v>
      </c>
      <c r="AU586" s="289">
        <v>70.900000000000006</v>
      </c>
      <c r="AV586" s="288" cm="1">
        <f t="array" aca="1" ref="AV586" ca="1">INDIRECT("'"&amp;$C586&amp;"'!"&amp;"$"&amp;$D586&amp;$AV$1&amp;"")</f>
        <v>0</v>
      </c>
      <c r="AW586" s="287" t="s">
        <v>1</v>
      </c>
      <c r="AX586" s="288" t="s">
        <v>1</v>
      </c>
      <c r="AY586" s="286" t="s">
        <v>1</v>
      </c>
      <c r="AZ586" s="288" cm="1">
        <f t="array" aca="1" ref="AZ586" ca="1">INDIRECT("'"&amp;$C586&amp;"'!"&amp;"$"&amp;$D586&amp;$AZ$1&amp;"")</f>
        <v>7</v>
      </c>
      <c r="BA586" s="287" t="s">
        <v>1</v>
      </c>
      <c r="BB586" s="288">
        <v>0.98</v>
      </c>
      <c r="BC586" s="286">
        <v>1.25</v>
      </c>
      <c r="BD586" s="290">
        <v>14.17</v>
      </c>
      <c r="BE586" s="289">
        <v>71.790000000000006</v>
      </c>
      <c r="BF586" s="290" cm="1">
        <f t="array" aca="1" ref="BF586" ca="1">INDIRECT("'"&amp;$C586&amp;"'!"&amp;"$"&amp;$D586&amp;$BF$1&amp;"")</f>
        <v>14.27</v>
      </c>
      <c r="BG586" s="288">
        <v>0.99</v>
      </c>
      <c r="BH586" s="286">
        <v>2.2999999999999998</v>
      </c>
      <c r="BI586" s="525">
        <v>68.900000000000006</v>
      </c>
      <c r="BJ586" s="285" cm="1">
        <f t="array" aca="1" ref="BJ586" ca="1">INDIRECT("'"&amp;$C586&amp;"'!"&amp;"$"&amp;$D586&amp;$BI$1&amp;"")</f>
        <v>0</v>
      </c>
      <c r="BK586" s="287" t="s">
        <v>1</v>
      </c>
      <c r="BL586" s="286" t="s">
        <v>1</v>
      </c>
      <c r="BM586" s="290" cm="1">
        <f t="array" aca="1" ref="BM586" ca="1">INDIRECT("'"&amp;$C586&amp;"'!"&amp;"$"&amp;$D586&amp;$BM$1&amp;"")</f>
        <v>1.02</v>
      </c>
      <c r="BN586" s="288"/>
      <c r="BO586" s="288">
        <v>0.99</v>
      </c>
      <c r="BP586" s="286">
        <v>0.09</v>
      </c>
      <c r="BQ586" s="290" cm="1">
        <f t="array" aca="1" ref="BQ586" ca="1">INDIRECT("'"&amp;$C586&amp;"'!"&amp;"$"&amp;$D586&amp;$BQ$1&amp;"")</f>
        <v>0.79</v>
      </c>
      <c r="BR586" s="288"/>
      <c r="BS586" s="288">
        <v>0.97</v>
      </c>
      <c r="BT586" s="286">
        <v>0.2</v>
      </c>
      <c r="BU586" s="291" cm="1">
        <f t="array" aca="1" ref="BU586" ca="1">INDIRECT("'"&amp;$C586&amp;"'!"&amp;"$"&amp;$D586&amp;74&amp;"")</f>
        <v>0</v>
      </c>
      <c r="BV586" s="288"/>
      <c r="BW586" s="288" t="s">
        <v>1</v>
      </c>
      <c r="BX586" s="286" t="s">
        <v>1</v>
      </c>
    </row>
    <row r="587" spans="1:76">
      <c r="A587" s="459">
        <v>45862</v>
      </c>
      <c r="B587" s="345">
        <v>0.29166666666666702</v>
      </c>
      <c r="C587" s="305">
        <v>24</v>
      </c>
      <c r="D587" s="306" t="s">
        <v>149</v>
      </c>
      <c r="E587" s="278">
        <v>14</v>
      </c>
      <c r="F587" s="279">
        <v>69.39</v>
      </c>
      <c r="G587" s="280" t="str" cm="1">
        <f t="array" aca="1" ref="G587" ca="1">INDIRECT("'"&amp;$C587&amp;"'!"&amp;"$"&amp;$D587&amp;$E$1&amp;"")</f>
        <v>CMS</v>
      </c>
      <c r="H587" s="281" t="s">
        <v>1</v>
      </c>
      <c r="I587" s="279" t="s">
        <v>1</v>
      </c>
      <c r="J587" s="280" cm="1">
        <f t="array" aca="1" ref="J587" ca="1">INDIRECT("'"&amp;$C587&amp;"'!"&amp;"$"&amp;$D587&amp;$J$1&amp;"")</f>
        <v>6.6</v>
      </c>
      <c r="K587" s="281"/>
      <c r="L587" s="281">
        <v>0.95</v>
      </c>
      <c r="M587" s="282">
        <v>2.2000000000000002</v>
      </c>
      <c r="N587" s="278" cm="1">
        <f t="array" aca="1" ref="N587" ca="1">INDIRECT("'"&amp;$C587&amp;"'!"&amp;"$"&amp;$D587&amp;$N$1&amp;"")</f>
        <v>6.7</v>
      </c>
      <c r="O587" s="281"/>
      <c r="P587" s="281">
        <v>0.95</v>
      </c>
      <c r="Q587" s="279">
        <v>2.2000000000000002</v>
      </c>
      <c r="R587" s="468" cm="1">
        <f t="array" aca="1" ref="R587" ca="1">INDIRECT("'"&amp;$C587&amp;"'!"&amp;"$"&amp;$D587&amp;$R$1&amp;"")</f>
        <v>0</v>
      </c>
      <c r="S587" s="281"/>
      <c r="T587" s="281" t="s">
        <v>1</v>
      </c>
      <c r="U587" s="279" t="s">
        <v>1</v>
      </c>
      <c r="V587" s="280" cm="1">
        <f t="array" aca="1" ref="V587" ca="1">INDIRECT("'"&amp;$C587&amp;"'!"&amp;"$"&amp;$D587&amp;$V$1&amp;"")</f>
        <v>0</v>
      </c>
      <c r="W587" s="281" t="s">
        <v>1</v>
      </c>
      <c r="X587" s="281" t="s">
        <v>1</v>
      </c>
      <c r="Y587" s="282" t="s">
        <v>1</v>
      </c>
      <c r="Z587" s="278" t="str" cm="1">
        <f t="array" aca="1" ref="Z587" ca="1">INDIRECT("'"&amp;$C587&amp;"'!"&amp;"$"&amp;$D587&amp;$Z$1&amp;"")</f>
        <v>CMS</v>
      </c>
      <c r="AA587" s="281" t="s">
        <v>1</v>
      </c>
      <c r="AB587" s="281" t="s">
        <v>1</v>
      </c>
      <c r="AC587" s="279" t="s">
        <v>1</v>
      </c>
      <c r="AD587" s="280" t="str" cm="1">
        <f t="array" aca="1" ref="AD587" ca="1">INDIRECT("'"&amp;$C587&amp;"'!"&amp;"$"&amp;$D587&amp;$AD$1&amp;"")</f>
        <v>CMS</v>
      </c>
      <c r="AE587" s="281" t="s">
        <v>1</v>
      </c>
      <c r="AF587" s="281" t="s">
        <v>1</v>
      </c>
      <c r="AG587" s="282" t="s">
        <v>1</v>
      </c>
      <c r="AH587" s="278" cm="1">
        <f t="array" aca="1" ref="AH587" ca="1">INDIRECT("'"&amp;$C587&amp;"'!"&amp;"$"&amp;$D587&amp;$AH$1&amp;"")</f>
        <v>0</v>
      </c>
      <c r="AI587" s="281" t="s">
        <v>1</v>
      </c>
      <c r="AJ587" s="281" t="s">
        <v>1</v>
      </c>
      <c r="AK587" s="279" t="s">
        <v>1</v>
      </c>
      <c r="AL587" s="278">
        <v>11.6</v>
      </c>
      <c r="AM587" s="282">
        <v>70.8</v>
      </c>
      <c r="AN587" s="278" cm="1">
        <f t="array" aca="1" ref="AN587" ca="1">INDIRECT("'"&amp;$C587&amp;"'!"&amp;"$"&amp;$D587&amp;$AL$1&amp;"")</f>
        <v>2.5</v>
      </c>
      <c r="AO587" s="281">
        <v>0.97</v>
      </c>
      <c r="AP587" s="279">
        <v>0.55000000000000004</v>
      </c>
      <c r="AQ587" s="280" cm="1">
        <f t="array" aca="1" ref="AQ587" ca="1">INDIRECT("'"&amp;$C587&amp;"'!"&amp;"$"&amp;$D587&amp;$AQ$1&amp;"")</f>
        <v>0</v>
      </c>
      <c r="AR587" s="281" t="s">
        <v>1</v>
      </c>
      <c r="AS587" s="279" t="s">
        <v>1</v>
      </c>
      <c r="AT587" s="278">
        <v>13.8</v>
      </c>
      <c r="AU587" s="282">
        <v>70.900000000000006</v>
      </c>
      <c r="AV587" s="281" cm="1">
        <f t="array" aca="1" ref="AV587" ca="1">INDIRECT("'"&amp;$C587&amp;"'!"&amp;"$"&amp;$D587&amp;$AV$1&amp;"")</f>
        <v>0</v>
      </c>
      <c r="AW587" s="280" t="s">
        <v>1</v>
      </c>
      <c r="AX587" s="281" t="s">
        <v>1</v>
      </c>
      <c r="AY587" s="279" t="s">
        <v>1</v>
      </c>
      <c r="AZ587" s="281" cm="1">
        <f t="array" aca="1" ref="AZ587" ca="1">INDIRECT("'"&amp;$C587&amp;"'!"&amp;"$"&amp;$D587&amp;$AZ$1&amp;"")</f>
        <v>7</v>
      </c>
      <c r="BA587" s="280" t="s">
        <v>1</v>
      </c>
      <c r="BB587" s="281">
        <v>0.97</v>
      </c>
      <c r="BC587" s="279">
        <v>1.54</v>
      </c>
      <c r="BD587" s="283">
        <v>14.16</v>
      </c>
      <c r="BE587" s="282">
        <v>71.73</v>
      </c>
      <c r="BF587" s="283" cm="1">
        <f t="array" aca="1" ref="BF587" ca="1">INDIRECT("'"&amp;$C587&amp;"'!"&amp;"$"&amp;$D587&amp;$BF$1&amp;"")</f>
        <v>14.25</v>
      </c>
      <c r="BG587" s="281">
        <v>0.99</v>
      </c>
      <c r="BH587" s="279">
        <v>2.2999999999999998</v>
      </c>
      <c r="BI587" s="524">
        <v>68.7</v>
      </c>
      <c r="BJ587" s="278" cm="1">
        <f t="array" aca="1" ref="BJ587" ca="1">INDIRECT("'"&amp;$C587&amp;"'!"&amp;"$"&amp;$D587&amp;$BI$1&amp;"")</f>
        <v>0</v>
      </c>
      <c r="BK587" s="280" t="s">
        <v>1</v>
      </c>
      <c r="BL587" s="279" t="s">
        <v>1</v>
      </c>
      <c r="BM587" s="283" cm="1">
        <f t="array" aca="1" ref="BM587" ca="1">INDIRECT("'"&amp;$C587&amp;"'!"&amp;"$"&amp;$D587&amp;$BM$1&amp;"")</f>
        <v>1.05</v>
      </c>
      <c r="BN587" s="281"/>
      <c r="BO587" s="281">
        <v>0.99</v>
      </c>
      <c r="BP587" s="279">
        <v>0.12</v>
      </c>
      <c r="BQ587" s="284" cm="1">
        <f t="array" aca="1" ref="BQ587" ca="1">INDIRECT("'"&amp;$C587&amp;"'!"&amp;"$"&amp;$D587&amp;$BQ$1&amp;"")</f>
        <v>0.79</v>
      </c>
      <c r="BR587" s="281"/>
      <c r="BS587" s="281">
        <v>0.96</v>
      </c>
      <c r="BT587" s="279">
        <v>0.21</v>
      </c>
      <c r="BU587" s="284" cm="1">
        <f t="array" aca="1" ref="BU587" ca="1">INDIRECT("'"&amp;$C587&amp;"'!"&amp;"$"&amp;$D587&amp;74&amp;"")</f>
        <v>0</v>
      </c>
      <c r="BV587" s="281"/>
      <c r="BW587" s="281" t="s">
        <v>1</v>
      </c>
      <c r="BX587" s="279" t="s">
        <v>1</v>
      </c>
    </row>
    <row r="588" spans="1:76">
      <c r="A588" s="459">
        <v>45862</v>
      </c>
      <c r="B588" s="345">
        <v>0.33333333333333398</v>
      </c>
      <c r="C588" s="305">
        <v>24</v>
      </c>
      <c r="D588" s="306" t="s">
        <v>150</v>
      </c>
      <c r="E588" s="285">
        <v>14</v>
      </c>
      <c r="F588" s="286">
        <v>69.33</v>
      </c>
      <c r="G588" s="287" t="str" cm="1">
        <f t="array" aca="1" ref="G588" ca="1">INDIRECT("'"&amp;$C588&amp;"'!"&amp;"$"&amp;$D588&amp;$E$1&amp;"")</f>
        <v>CMS</v>
      </c>
      <c r="H588" s="288" t="s">
        <v>1</v>
      </c>
      <c r="I588" s="286" t="s">
        <v>1</v>
      </c>
      <c r="J588" s="287" cm="1">
        <f t="array" aca="1" ref="J588" ca="1">INDIRECT("'"&amp;$C588&amp;"'!"&amp;"$"&amp;$D588&amp;$J$1&amp;"")</f>
        <v>6.6</v>
      </c>
      <c r="K588" s="288"/>
      <c r="L588" s="288">
        <v>0.94</v>
      </c>
      <c r="M588" s="289">
        <v>2.2999999999999998</v>
      </c>
      <c r="N588" s="285" cm="1">
        <f t="array" aca="1" ref="N588" ca="1">INDIRECT("'"&amp;$C588&amp;"'!"&amp;"$"&amp;$D588&amp;$N$1&amp;"")</f>
        <v>6.6</v>
      </c>
      <c r="O588" s="288"/>
      <c r="P588" s="288">
        <v>0.94</v>
      </c>
      <c r="Q588" s="286">
        <v>2</v>
      </c>
      <c r="R588" s="285" cm="1">
        <f t="array" aca="1" ref="R588" ca="1">INDIRECT("'"&amp;$C588&amp;"'!"&amp;"$"&amp;$D588&amp;$R$1&amp;"")</f>
        <v>3.6</v>
      </c>
      <c r="S588" s="288"/>
      <c r="T588" s="288">
        <v>0.94</v>
      </c>
      <c r="U588" s="286">
        <v>1.3</v>
      </c>
      <c r="V588" s="287" cm="1">
        <f t="array" aca="1" ref="V588" ca="1">INDIRECT("'"&amp;$C588&amp;"'!"&amp;"$"&amp;$D588&amp;$V$1&amp;"")</f>
        <v>0</v>
      </c>
      <c r="W588" s="288" t="s">
        <v>1</v>
      </c>
      <c r="X588" s="288" t="s">
        <v>1</v>
      </c>
      <c r="Y588" s="289" t="s">
        <v>1</v>
      </c>
      <c r="Z588" s="285" t="str" cm="1">
        <f t="array" aca="1" ref="Z588" ca="1">INDIRECT("'"&amp;$C588&amp;"'!"&amp;"$"&amp;$D588&amp;$Z$1&amp;"")</f>
        <v>CMS</v>
      </c>
      <c r="AA588" s="288" t="s">
        <v>1</v>
      </c>
      <c r="AB588" s="288" t="s">
        <v>1</v>
      </c>
      <c r="AC588" s="286" t="s">
        <v>1</v>
      </c>
      <c r="AD588" s="287" t="str" cm="1">
        <f t="array" aca="1" ref="AD588" ca="1">INDIRECT("'"&amp;$C588&amp;"'!"&amp;"$"&amp;$D588&amp;$AD$1&amp;"")</f>
        <v>CMS</v>
      </c>
      <c r="AE588" s="288" t="s">
        <v>1</v>
      </c>
      <c r="AF588" s="288" t="s">
        <v>1</v>
      </c>
      <c r="AG588" s="289" t="s">
        <v>1</v>
      </c>
      <c r="AH588" s="285" cm="1">
        <f t="array" aca="1" ref="AH588" ca="1">INDIRECT("'"&amp;$C588&amp;"'!"&amp;"$"&amp;$D588&amp;$AH$1&amp;"")</f>
        <v>0</v>
      </c>
      <c r="AI588" s="288" t="s">
        <v>1</v>
      </c>
      <c r="AJ588" s="288" t="s">
        <v>1</v>
      </c>
      <c r="AK588" s="286" t="s">
        <v>1</v>
      </c>
      <c r="AL588" s="285">
        <v>11.6</v>
      </c>
      <c r="AM588" s="289">
        <v>70.7</v>
      </c>
      <c r="AN588" s="285" cm="1">
        <f t="array" aca="1" ref="AN588" ca="1">INDIRECT("'"&amp;$C588&amp;"'!"&amp;"$"&amp;$D588&amp;$AL$1&amp;"")</f>
        <v>3.8</v>
      </c>
      <c r="AO588" s="288">
        <v>0.97</v>
      </c>
      <c r="AP588" s="286">
        <v>0.79</v>
      </c>
      <c r="AQ588" s="287" cm="1">
        <f t="array" aca="1" ref="AQ588" ca="1">INDIRECT("'"&amp;$C588&amp;"'!"&amp;"$"&amp;$D588&amp;$AQ$1&amp;"")</f>
        <v>0</v>
      </c>
      <c r="AR588" s="288" t="s">
        <v>1</v>
      </c>
      <c r="AS588" s="286" t="s">
        <v>1</v>
      </c>
      <c r="AT588" s="285">
        <v>13.8</v>
      </c>
      <c r="AU588" s="289">
        <v>70.7</v>
      </c>
      <c r="AV588" s="288" cm="1">
        <f t="array" aca="1" ref="AV588" ca="1">INDIRECT("'"&amp;$C588&amp;"'!"&amp;"$"&amp;$D588&amp;$AV$1&amp;"")</f>
        <v>0</v>
      </c>
      <c r="AW588" s="287" t="s">
        <v>1</v>
      </c>
      <c r="AX588" s="288" t="s">
        <v>1</v>
      </c>
      <c r="AY588" s="286" t="s">
        <v>1</v>
      </c>
      <c r="AZ588" s="288" cm="1">
        <f t="array" aca="1" ref="AZ588" ca="1">INDIRECT("'"&amp;$C588&amp;"'!"&amp;"$"&amp;$D588&amp;$AZ$1&amp;"")</f>
        <v>7</v>
      </c>
      <c r="BA588" s="287" t="s">
        <v>1</v>
      </c>
      <c r="BB588" s="288">
        <v>0.98</v>
      </c>
      <c r="BC588" s="286">
        <v>1.57</v>
      </c>
      <c r="BD588" s="290">
        <v>14.11</v>
      </c>
      <c r="BE588" s="289">
        <v>71.41</v>
      </c>
      <c r="BF588" s="290" cm="1">
        <f t="array" aca="1" ref="BF588" ca="1">INDIRECT("'"&amp;$C588&amp;"'!"&amp;"$"&amp;$D588&amp;$BF$1&amp;"")</f>
        <v>14.26</v>
      </c>
      <c r="BG588" s="288">
        <v>0.99</v>
      </c>
      <c r="BH588" s="286">
        <v>2.2999999999999998</v>
      </c>
      <c r="BI588" s="525">
        <v>68.400000000000006</v>
      </c>
      <c r="BJ588" s="285" cm="1">
        <f t="array" aca="1" ref="BJ588" ca="1">INDIRECT("'"&amp;$C588&amp;"'!"&amp;"$"&amp;$D588&amp;$BI$1&amp;"")</f>
        <v>0</v>
      </c>
      <c r="BK588" s="287" t="s">
        <v>1</v>
      </c>
      <c r="BL588" s="286" t="s">
        <v>1</v>
      </c>
      <c r="BM588" s="290" cm="1">
        <f t="array" aca="1" ref="BM588" ca="1">INDIRECT("'"&amp;$C588&amp;"'!"&amp;"$"&amp;$D588&amp;$BM$1&amp;"")</f>
        <v>1.1299999999999999</v>
      </c>
      <c r="BN588" s="288"/>
      <c r="BO588" s="288">
        <v>0.99</v>
      </c>
      <c r="BP588" s="286">
        <v>0.15</v>
      </c>
      <c r="BQ588" s="291" cm="1">
        <f t="array" aca="1" ref="BQ588" ca="1">INDIRECT("'"&amp;$C588&amp;"'!"&amp;"$"&amp;$D588&amp;$BQ$1&amp;"")</f>
        <v>0.78</v>
      </c>
      <c r="BR588" s="288"/>
      <c r="BS588" s="288">
        <v>0.96</v>
      </c>
      <c r="BT588" s="286">
        <v>0.22</v>
      </c>
      <c r="BU588" s="291" cm="1">
        <f t="array" aca="1" ref="BU588" ca="1">INDIRECT("'"&amp;$C588&amp;"'!"&amp;"$"&amp;$D588&amp;74&amp;"")</f>
        <v>0</v>
      </c>
      <c r="BV588" s="288"/>
      <c r="BW588" s="288" t="s">
        <v>1</v>
      </c>
      <c r="BX588" s="286" t="s">
        <v>1</v>
      </c>
    </row>
    <row r="589" spans="1:76">
      <c r="A589" s="459">
        <v>45862</v>
      </c>
      <c r="B589" s="345">
        <v>0.375</v>
      </c>
      <c r="C589" s="305">
        <v>24</v>
      </c>
      <c r="D589" s="306" t="s">
        <v>151</v>
      </c>
      <c r="E589" s="278">
        <v>14</v>
      </c>
      <c r="F589" s="279">
        <v>69.17</v>
      </c>
      <c r="G589" s="280" t="str" cm="1">
        <f t="array" aca="1" ref="G589" ca="1">INDIRECT("'"&amp;$C589&amp;"'!"&amp;"$"&amp;$D589&amp;$E$1&amp;"")</f>
        <v>CMS</v>
      </c>
      <c r="H589" s="281" t="s">
        <v>1</v>
      </c>
      <c r="I589" s="279" t="s">
        <v>1</v>
      </c>
      <c r="J589" s="280" cm="1">
        <f t="array" aca="1" ref="J589" ca="1">INDIRECT("'"&amp;$C589&amp;"'!"&amp;"$"&amp;$D589&amp;$J$1&amp;"")</f>
        <v>6.6</v>
      </c>
      <c r="K589" s="281"/>
      <c r="L589" s="281">
        <v>0.91</v>
      </c>
      <c r="M589" s="282">
        <v>2.95</v>
      </c>
      <c r="N589" s="278" cm="1">
        <f t="array" aca="1" ref="N589" ca="1">INDIRECT("'"&amp;$C589&amp;"'!"&amp;"$"&amp;$D589&amp;$N$1&amp;"")</f>
        <v>6.6</v>
      </c>
      <c r="O589" s="281"/>
      <c r="P589" s="281">
        <v>0.91</v>
      </c>
      <c r="Q589" s="279">
        <v>2.93</v>
      </c>
      <c r="R589" s="468" cm="1">
        <f t="array" aca="1" ref="R589" ca="1">INDIRECT("'"&amp;$C589&amp;"'!"&amp;"$"&amp;$D589&amp;$R$1&amp;"")</f>
        <v>6.6</v>
      </c>
      <c r="S589" s="281"/>
      <c r="T589" s="281">
        <v>0.91</v>
      </c>
      <c r="U589" s="279">
        <v>2.98</v>
      </c>
      <c r="V589" s="280" cm="1">
        <f t="array" aca="1" ref="V589" ca="1">INDIRECT("'"&amp;$C589&amp;"'!"&amp;"$"&amp;$D589&amp;$V$1&amp;"")</f>
        <v>1.6</v>
      </c>
      <c r="W589" s="281">
        <f>3.8*3.43</f>
        <v>13.034000000000001</v>
      </c>
      <c r="X589" s="281">
        <v>0.93</v>
      </c>
      <c r="Y589" s="282">
        <v>0.84899999999999998</v>
      </c>
      <c r="Z589" s="278" t="str" cm="1">
        <f t="array" aca="1" ref="Z589" ca="1">INDIRECT("'"&amp;$C589&amp;"'!"&amp;"$"&amp;$D589&amp;$Z$1&amp;"")</f>
        <v>CMS</v>
      </c>
      <c r="AA589" s="281" t="s">
        <v>1</v>
      </c>
      <c r="AB589" s="281" t="s">
        <v>1</v>
      </c>
      <c r="AC589" s="279" t="s">
        <v>1</v>
      </c>
      <c r="AD589" s="280" t="str" cm="1">
        <f t="array" aca="1" ref="AD589" ca="1">INDIRECT("'"&amp;$C589&amp;"'!"&amp;"$"&amp;$D589&amp;$AD$1&amp;"")</f>
        <v>CMS</v>
      </c>
      <c r="AE589" s="281" t="s">
        <v>1</v>
      </c>
      <c r="AF589" s="281" t="s">
        <v>1</v>
      </c>
      <c r="AG589" s="282" t="s">
        <v>1</v>
      </c>
      <c r="AH589" s="278" cm="1">
        <f t="array" aca="1" ref="AH589" ca="1">INDIRECT("'"&amp;$C589&amp;"'!"&amp;"$"&amp;$D589&amp;$AH$1&amp;"")</f>
        <v>0</v>
      </c>
      <c r="AI589" s="281" t="s">
        <v>1</v>
      </c>
      <c r="AJ589" s="281" t="s">
        <v>1</v>
      </c>
      <c r="AK589" s="279" t="s">
        <v>1</v>
      </c>
      <c r="AL589" s="278">
        <v>11.6</v>
      </c>
      <c r="AM589" s="282">
        <v>70.400000000000006</v>
      </c>
      <c r="AN589" s="278" cm="1">
        <f t="array" aca="1" ref="AN589" ca="1">INDIRECT("'"&amp;$C589&amp;"'!"&amp;"$"&amp;$D589&amp;$AL$1&amp;"")</f>
        <v>3.8</v>
      </c>
      <c r="AO589" s="281">
        <v>0.96</v>
      </c>
      <c r="AP589" s="279">
        <v>1.18</v>
      </c>
      <c r="AQ589" s="280" cm="1">
        <f t="array" aca="1" ref="AQ589" ca="1">INDIRECT("'"&amp;$C589&amp;"'!"&amp;"$"&amp;$D589&amp;$AQ$1&amp;"")</f>
        <v>0</v>
      </c>
      <c r="AR589" s="281" t="s">
        <v>1</v>
      </c>
      <c r="AS589" s="279" t="s">
        <v>1</v>
      </c>
      <c r="AT589" s="278">
        <v>13.97</v>
      </c>
      <c r="AU589" s="282">
        <v>70.7</v>
      </c>
      <c r="AV589" s="281" cm="1">
        <f t="array" aca="1" ref="AV589" ca="1">INDIRECT("'"&amp;$C589&amp;"'!"&amp;"$"&amp;$D589&amp;$AV$1&amp;"")</f>
        <v>0</v>
      </c>
      <c r="AW589" s="280" t="s">
        <v>1</v>
      </c>
      <c r="AX589" s="281" t="s">
        <v>1</v>
      </c>
      <c r="AY589" s="279" t="s">
        <v>1</v>
      </c>
      <c r="AZ589" s="281" cm="1">
        <f t="array" aca="1" ref="AZ589" ca="1">INDIRECT("'"&amp;$C589&amp;"'!"&amp;"$"&amp;$D589&amp;$AZ$1&amp;"")</f>
        <v>7</v>
      </c>
      <c r="BA589" s="280" t="s">
        <v>1</v>
      </c>
      <c r="BB589" s="281">
        <v>0.95</v>
      </c>
      <c r="BC589" s="279">
        <v>2.6</v>
      </c>
      <c r="BD589" s="283">
        <v>14.22</v>
      </c>
      <c r="BE589" s="282">
        <v>71.489999999999995</v>
      </c>
      <c r="BF589" s="283" cm="1">
        <f t="array" aca="1" ref="BF589" ca="1">INDIRECT("'"&amp;$C589&amp;"'!"&amp;"$"&amp;$D589&amp;$BF$1&amp;"")</f>
        <v>14.27</v>
      </c>
      <c r="BG589" s="281">
        <v>0.98</v>
      </c>
      <c r="BH589" s="279">
        <v>3.4</v>
      </c>
      <c r="BI589" s="524">
        <v>67.7</v>
      </c>
      <c r="BJ589" s="278" cm="1">
        <f t="array" aca="1" ref="BJ589" ca="1">INDIRECT("'"&amp;$C589&amp;"'!"&amp;"$"&amp;$D589&amp;$BI$1&amp;"")</f>
        <v>0.8</v>
      </c>
      <c r="BK589" s="280">
        <v>0.96</v>
      </c>
      <c r="BL589" s="279">
        <v>0.23</v>
      </c>
      <c r="BM589" s="283" cm="1">
        <f t="array" aca="1" ref="BM589" ca="1">INDIRECT("'"&amp;$C589&amp;"'!"&amp;"$"&amp;$D589&amp;$BM$1&amp;"")</f>
        <v>1.17</v>
      </c>
      <c r="BN589" s="281"/>
      <c r="BO589" s="281">
        <v>0.99</v>
      </c>
      <c r="BP589" s="279">
        <v>0.16</v>
      </c>
      <c r="BQ589" s="284" cm="1">
        <f t="array" aca="1" ref="BQ589" ca="1">INDIRECT("'"&amp;$C589&amp;"'!"&amp;"$"&amp;$D589&amp;$BQ$1&amp;"")</f>
        <v>0.83</v>
      </c>
      <c r="BR589" s="281"/>
      <c r="BS589" s="281">
        <v>0.96</v>
      </c>
      <c r="BT589" s="279">
        <v>0.23</v>
      </c>
      <c r="BU589" s="284" cm="1">
        <f t="array" aca="1" ref="BU589" ca="1">INDIRECT("'"&amp;$C589&amp;"'!"&amp;"$"&amp;$D589&amp;74&amp;"")</f>
        <v>0</v>
      </c>
      <c r="BV589" s="281"/>
      <c r="BW589" s="281" t="s">
        <v>1</v>
      </c>
      <c r="BX589" s="279" t="s">
        <v>1</v>
      </c>
    </row>
    <row r="590" spans="1:76">
      <c r="A590" s="459">
        <v>45862</v>
      </c>
      <c r="B590" s="345">
        <v>0.41666666666666702</v>
      </c>
      <c r="C590" s="305">
        <v>24</v>
      </c>
      <c r="D590" s="306" t="s">
        <v>152</v>
      </c>
      <c r="E590" s="285">
        <v>14</v>
      </c>
      <c r="F590" s="286">
        <v>69.36</v>
      </c>
      <c r="G590" s="287" t="str" cm="1">
        <f t="array" aca="1" ref="G590" ca="1">INDIRECT("'"&amp;$C590&amp;"'!"&amp;"$"&amp;$D590&amp;$E$1&amp;"")</f>
        <v>CMS</v>
      </c>
      <c r="H590" s="288" t="s">
        <v>1</v>
      </c>
      <c r="I590" s="286" t="s">
        <v>1</v>
      </c>
      <c r="J590" s="287" cm="1">
        <f t="array" aca="1" ref="J590" ca="1">INDIRECT("'"&amp;$C590&amp;"'!"&amp;"$"&amp;$D590&amp;$J$1&amp;"")</f>
        <v>6.6</v>
      </c>
      <c r="K590" s="288"/>
      <c r="L590" s="288">
        <v>0.9</v>
      </c>
      <c r="M590" s="289">
        <v>3.18</v>
      </c>
      <c r="N590" s="285" cm="1">
        <f t="array" aca="1" ref="N590" ca="1">INDIRECT("'"&amp;$C590&amp;"'!"&amp;"$"&amp;$D590&amp;$N$1&amp;"")</f>
        <v>6.6</v>
      </c>
      <c r="O590" s="288"/>
      <c r="P590" s="288">
        <v>0.9</v>
      </c>
      <c r="Q590" s="286">
        <v>3.15</v>
      </c>
      <c r="R590" s="285" cm="1">
        <f t="array" aca="1" ref="R590" ca="1">INDIRECT("'"&amp;$C590&amp;"'!"&amp;"$"&amp;$D590&amp;$R$1&amp;"")</f>
        <v>6.6</v>
      </c>
      <c r="S590" s="288"/>
      <c r="T590" s="288">
        <v>0.9</v>
      </c>
      <c r="U590" s="286">
        <v>3.19</v>
      </c>
      <c r="V590" s="287" cm="1">
        <f t="array" aca="1" ref="V590" ca="1">INDIRECT("'"&amp;$C590&amp;"'!"&amp;"$"&amp;$D590&amp;$V$1&amp;"")</f>
        <v>2.8</v>
      </c>
      <c r="W590" s="288">
        <f>3.42*3.8</f>
        <v>12.995999999999999</v>
      </c>
      <c r="X590" s="288">
        <v>0.89</v>
      </c>
      <c r="Y590" s="289">
        <v>1.34</v>
      </c>
      <c r="Z590" s="285" t="str" cm="1">
        <f t="array" aca="1" ref="Z590" ca="1">INDIRECT("'"&amp;$C590&amp;"'!"&amp;"$"&amp;$D590&amp;$Z$1&amp;"")</f>
        <v>CMS</v>
      </c>
      <c r="AA590" s="288" t="s">
        <v>1</v>
      </c>
      <c r="AB590" s="288" t="s">
        <v>1</v>
      </c>
      <c r="AC590" s="286" t="s">
        <v>1</v>
      </c>
      <c r="AD590" s="287" t="str" cm="1">
        <f t="array" aca="1" ref="AD590" ca="1">INDIRECT("'"&amp;$C590&amp;"'!"&amp;"$"&amp;$D590&amp;$AD$1&amp;"")</f>
        <v>CMS</v>
      </c>
      <c r="AE590" s="288" t="s">
        <v>1</v>
      </c>
      <c r="AF590" s="288" t="s">
        <v>1</v>
      </c>
      <c r="AG590" s="289" t="s">
        <v>1</v>
      </c>
      <c r="AH590" s="285" cm="1">
        <f t="array" aca="1" ref="AH590" ca="1">INDIRECT("'"&amp;$C590&amp;"'!"&amp;"$"&amp;$D590&amp;$AH$1&amp;"")</f>
        <v>3.8</v>
      </c>
      <c r="AI590" s="288">
        <v>14</v>
      </c>
      <c r="AJ590" s="288">
        <v>0.99</v>
      </c>
      <c r="AK590" s="286">
        <v>0.18</v>
      </c>
      <c r="AL590" s="285">
        <v>11.7</v>
      </c>
      <c r="AM590" s="289">
        <v>70.8</v>
      </c>
      <c r="AN590" s="285" cm="1">
        <f t="array" aca="1" ref="AN590" ca="1">INDIRECT("'"&amp;$C590&amp;"'!"&amp;"$"&amp;$D590&amp;$AL$1&amp;"")</f>
        <v>3.8</v>
      </c>
      <c r="AO590" s="288">
        <v>0.93</v>
      </c>
      <c r="AP590" s="286">
        <v>1.57</v>
      </c>
      <c r="AQ590" s="287" cm="1">
        <f t="array" aca="1" ref="AQ590" ca="1">INDIRECT("'"&amp;$C590&amp;"'!"&amp;"$"&amp;$D590&amp;$AQ$1&amp;"")</f>
        <v>0</v>
      </c>
      <c r="AR590" s="288" t="s">
        <v>1</v>
      </c>
      <c r="AS590" s="286" t="s">
        <v>1</v>
      </c>
      <c r="AT590" s="285">
        <v>13.98</v>
      </c>
      <c r="AU590" s="289">
        <v>70.7</v>
      </c>
      <c r="AV590" s="288" cm="1">
        <f t="array" aca="1" ref="AV590" ca="1">INDIRECT("'"&amp;$C590&amp;"'!"&amp;"$"&amp;$D590&amp;$AV$1&amp;"")</f>
        <v>0</v>
      </c>
      <c r="AW590" s="287" t="s">
        <v>1</v>
      </c>
      <c r="AX590" s="288" t="s">
        <v>1</v>
      </c>
      <c r="AY590" s="286" t="s">
        <v>1</v>
      </c>
      <c r="AZ590" s="288" cm="1">
        <f t="array" aca="1" ref="AZ590" ca="1">INDIRECT("'"&amp;$C590&amp;"'!"&amp;"$"&amp;$D590&amp;$AZ$1&amp;"")</f>
        <v>7</v>
      </c>
      <c r="BA590" s="287" t="s">
        <v>1</v>
      </c>
      <c r="BB590" s="288">
        <v>0.95</v>
      </c>
      <c r="BC590" s="286">
        <v>2.6</v>
      </c>
      <c r="BD590" s="290">
        <v>14.27</v>
      </c>
      <c r="BE590" s="289">
        <v>71.760000000000005</v>
      </c>
      <c r="BF590" s="290" cm="1">
        <f t="array" aca="1" ref="BF590" ca="1">INDIRECT("'"&amp;$C590&amp;"'!"&amp;"$"&amp;$D590&amp;$BF$1&amp;"")</f>
        <v>14.24</v>
      </c>
      <c r="BG590" s="288">
        <v>0.98</v>
      </c>
      <c r="BH590" s="286">
        <v>3.4</v>
      </c>
      <c r="BI590" s="525">
        <v>67.5</v>
      </c>
      <c r="BJ590" s="285" cm="1">
        <f t="array" aca="1" ref="BJ590" ca="1">INDIRECT("'"&amp;$C590&amp;"'!"&amp;"$"&amp;$D590&amp;$BI$1&amp;"")</f>
        <v>3.2</v>
      </c>
      <c r="BK590" s="287">
        <v>0.95</v>
      </c>
      <c r="BL590" s="286">
        <v>1</v>
      </c>
      <c r="BM590" s="290" cm="1">
        <f t="array" aca="1" ref="BM590" ca="1">INDIRECT("'"&amp;$C590&amp;"'!"&amp;"$"&amp;$D590&amp;$BM$1&amp;"")</f>
        <v>1.17</v>
      </c>
      <c r="BN590" s="288"/>
      <c r="BO590" s="288">
        <v>0.99</v>
      </c>
      <c r="BP590" s="286">
        <v>0.16</v>
      </c>
      <c r="BQ590" s="291" cm="1">
        <f t="array" aca="1" ref="BQ590" ca="1">INDIRECT("'"&amp;$C590&amp;"'!"&amp;"$"&amp;$D590&amp;$BQ$1&amp;"")</f>
        <v>0.89</v>
      </c>
      <c r="BR590" s="288"/>
      <c r="BS590" s="288">
        <v>0.96</v>
      </c>
      <c r="BT590" s="286">
        <v>0.25</v>
      </c>
      <c r="BU590" s="291" cm="1">
        <f t="array" aca="1" ref="BU590" ca="1">INDIRECT("'"&amp;$C590&amp;"'!"&amp;"$"&amp;$D590&amp;74&amp;"")</f>
        <v>0</v>
      </c>
      <c r="BV590" s="288"/>
      <c r="BW590" s="288" t="s">
        <v>1</v>
      </c>
      <c r="BX590" s="286" t="s">
        <v>1</v>
      </c>
    </row>
    <row r="591" spans="1:76">
      <c r="A591" s="459">
        <v>45862</v>
      </c>
      <c r="B591" s="345">
        <v>0.45833333333333398</v>
      </c>
      <c r="C591" s="305">
        <v>24</v>
      </c>
      <c r="D591" s="306" t="s">
        <v>153</v>
      </c>
      <c r="E591" s="278">
        <v>14</v>
      </c>
      <c r="F591" s="279">
        <v>69.3</v>
      </c>
      <c r="G591" s="280" t="str" cm="1">
        <f t="array" aca="1" ref="G591" ca="1">INDIRECT("'"&amp;$C591&amp;"'!"&amp;"$"&amp;$D591&amp;$E$1&amp;"")</f>
        <v>CMS</v>
      </c>
      <c r="H591" s="281" t="s">
        <v>1</v>
      </c>
      <c r="I591" s="279" t="s">
        <v>1</v>
      </c>
      <c r="J591" s="280" cm="1">
        <f t="array" aca="1" ref="J591" ca="1">INDIRECT("'"&amp;$C591&amp;"'!"&amp;"$"&amp;$D591&amp;$J$1&amp;"")</f>
        <v>6.7</v>
      </c>
      <c r="K591" s="281"/>
      <c r="L591" s="281">
        <v>0.9</v>
      </c>
      <c r="M591" s="282">
        <v>3.16</v>
      </c>
      <c r="N591" s="278" cm="1">
        <f t="array" aca="1" ref="N591" ca="1">INDIRECT("'"&amp;$C591&amp;"'!"&amp;"$"&amp;$D591&amp;$N$1&amp;"")</f>
        <v>6.7</v>
      </c>
      <c r="O591" s="281"/>
      <c r="P591" s="281">
        <v>0.9</v>
      </c>
      <c r="Q591" s="279">
        <v>3.12</v>
      </c>
      <c r="R591" s="468" cm="1">
        <f t="array" aca="1" ref="R591" ca="1">INDIRECT("'"&amp;$C591&amp;"'!"&amp;"$"&amp;$D591&amp;$R$1&amp;"")</f>
        <v>6.7</v>
      </c>
      <c r="S591" s="281"/>
      <c r="T591" s="281">
        <v>0.9</v>
      </c>
      <c r="U591" s="279">
        <v>3.18</v>
      </c>
      <c r="V591" s="280" cm="1">
        <f t="array" aca="1" ref="V591" ca="1">INDIRECT("'"&amp;$C591&amp;"'!"&amp;"$"&amp;$D591&amp;$V$1&amp;"")</f>
        <v>2.8</v>
      </c>
      <c r="W591" s="281">
        <f>3.43*3.8</f>
        <v>13.034000000000001</v>
      </c>
      <c r="X591" s="281">
        <v>0.89</v>
      </c>
      <c r="Y591" s="282">
        <v>1.33</v>
      </c>
      <c r="Z591" s="278" t="str" cm="1">
        <f t="array" aca="1" ref="Z591" ca="1">INDIRECT("'"&amp;$C591&amp;"'!"&amp;"$"&amp;$D591&amp;$Z$1&amp;"")</f>
        <v>CMS</v>
      </c>
      <c r="AA591" s="281" t="s">
        <v>1</v>
      </c>
      <c r="AB591" s="281" t="s">
        <v>1</v>
      </c>
      <c r="AC591" s="279" t="s">
        <v>1</v>
      </c>
      <c r="AD591" s="280" t="str" cm="1">
        <f t="array" aca="1" ref="AD591" ca="1">INDIRECT("'"&amp;$C591&amp;"'!"&amp;"$"&amp;$D591&amp;$AD$1&amp;"")</f>
        <v>CMS</v>
      </c>
      <c r="AE591" s="281" t="s">
        <v>1</v>
      </c>
      <c r="AF591" s="281" t="s">
        <v>1</v>
      </c>
      <c r="AG591" s="282" t="s">
        <v>1</v>
      </c>
      <c r="AH591" s="278" cm="1">
        <f t="array" aca="1" ref="AH591" ca="1">INDIRECT("'"&amp;$C591&amp;"'!"&amp;"$"&amp;$D591&amp;$AH$1&amp;"")</f>
        <v>3.8</v>
      </c>
      <c r="AI591" s="281">
        <v>14.04</v>
      </c>
      <c r="AJ591" s="281">
        <v>0.98</v>
      </c>
      <c r="AK591" s="279">
        <v>0.45</v>
      </c>
      <c r="AL591" s="278">
        <v>11.7</v>
      </c>
      <c r="AM591" s="282">
        <v>70.7</v>
      </c>
      <c r="AN591" s="278" cm="1">
        <f t="array" aca="1" ref="AN591" ca="1">INDIRECT("'"&amp;$C591&amp;"'!"&amp;"$"&amp;$D591&amp;$AL$1&amp;"")</f>
        <v>3.8</v>
      </c>
      <c r="AO591" s="281">
        <v>0.91</v>
      </c>
      <c r="AP591" s="279">
        <v>1.71</v>
      </c>
      <c r="AQ591" s="280" cm="1">
        <f t="array" aca="1" ref="AQ591" ca="1">INDIRECT("'"&amp;$C591&amp;"'!"&amp;"$"&amp;$D591&amp;$AQ$1&amp;"")</f>
        <v>0</v>
      </c>
      <c r="AR591" s="281" t="s">
        <v>1</v>
      </c>
      <c r="AS591" s="279" t="s">
        <v>1</v>
      </c>
      <c r="AT591" s="278">
        <v>13.98</v>
      </c>
      <c r="AU591" s="282">
        <v>70.7</v>
      </c>
      <c r="AV591" s="281" cm="1">
        <f t="array" aca="1" ref="AV591" ca="1">INDIRECT("'"&amp;$C591&amp;"'!"&amp;"$"&amp;$D591&amp;$AV$1&amp;"")</f>
        <v>0</v>
      </c>
      <c r="AW591" s="280" t="s">
        <v>1</v>
      </c>
      <c r="AX591" s="281" t="s">
        <v>1</v>
      </c>
      <c r="AY591" s="279" t="s">
        <v>1</v>
      </c>
      <c r="AZ591" s="281" cm="1">
        <f t="array" aca="1" ref="AZ591" ca="1">INDIRECT("'"&amp;$C591&amp;"'!"&amp;"$"&amp;$D591&amp;$AZ$1&amp;"")</f>
        <v>7</v>
      </c>
      <c r="BA591" s="280" t="s">
        <v>1</v>
      </c>
      <c r="BB591" s="281">
        <v>0.95</v>
      </c>
      <c r="BC591" s="279">
        <v>2.6</v>
      </c>
      <c r="BD591" s="283">
        <v>14.2</v>
      </c>
      <c r="BE591" s="282">
        <v>71.48</v>
      </c>
      <c r="BF591" s="283" cm="1">
        <f t="array" aca="1" ref="BF591" ca="1">INDIRECT("'"&amp;$C591&amp;"'!"&amp;"$"&amp;$D591&amp;$BF$1&amp;"")</f>
        <v>14.17</v>
      </c>
      <c r="BG591" s="281">
        <v>0.98</v>
      </c>
      <c r="BH591" s="279">
        <v>3.4</v>
      </c>
      <c r="BI591" s="524">
        <v>67.5</v>
      </c>
      <c r="BJ591" s="278" cm="1">
        <f t="array" aca="1" ref="BJ591" ca="1">INDIRECT("'"&amp;$C591&amp;"'!"&amp;"$"&amp;$D591&amp;$BI$1&amp;"")</f>
        <v>3.2</v>
      </c>
      <c r="BK591" s="280">
        <v>0.93</v>
      </c>
      <c r="BL591" s="279">
        <v>1.2</v>
      </c>
      <c r="BM591" s="283" cm="1">
        <f t="array" aca="1" ref="BM591" ca="1">INDIRECT("'"&amp;$C591&amp;"'!"&amp;"$"&amp;$D591&amp;$BM$1&amp;"")</f>
        <v>1.17</v>
      </c>
      <c r="BN591" s="281"/>
      <c r="BO591" s="281">
        <v>0.99</v>
      </c>
      <c r="BP591" s="279">
        <v>0.16</v>
      </c>
      <c r="BQ591" s="284" cm="1">
        <f t="array" aca="1" ref="BQ591" ca="1">INDIRECT("'"&amp;$C591&amp;"'!"&amp;"$"&amp;$D591&amp;$BQ$1&amp;"")</f>
        <v>0.98</v>
      </c>
      <c r="BR591" s="281"/>
      <c r="BS591" s="281">
        <v>0.96</v>
      </c>
      <c r="BT591" s="279">
        <v>0.25</v>
      </c>
      <c r="BU591" s="284" cm="1">
        <f t="array" aca="1" ref="BU591" ca="1">INDIRECT("'"&amp;$C591&amp;"'!"&amp;"$"&amp;$D591&amp;74&amp;"")</f>
        <v>0</v>
      </c>
      <c r="BV591" s="281"/>
      <c r="BW591" s="281" t="s">
        <v>1</v>
      </c>
      <c r="BX591" s="279" t="s">
        <v>1</v>
      </c>
    </row>
    <row r="592" spans="1:76">
      <c r="A592" s="459">
        <v>45862</v>
      </c>
      <c r="B592" s="345">
        <v>0.5</v>
      </c>
      <c r="C592" s="305">
        <v>24</v>
      </c>
      <c r="D592" s="306" t="s">
        <v>154</v>
      </c>
      <c r="E592" s="285">
        <v>14</v>
      </c>
      <c r="F592" s="286">
        <v>69.31</v>
      </c>
      <c r="G592" s="287" t="str" cm="1">
        <f t="array" aca="1" ref="G592" ca="1">INDIRECT("'"&amp;$C592&amp;"'!"&amp;"$"&amp;$D592&amp;$E$1&amp;"")</f>
        <v>CMS</v>
      </c>
      <c r="H592" s="288" t="s">
        <v>1</v>
      </c>
      <c r="I592" s="286" t="s">
        <v>1</v>
      </c>
      <c r="J592" s="287" cm="1">
        <f t="array" aca="1" ref="J592" ca="1">INDIRECT("'"&amp;$C592&amp;"'!"&amp;"$"&amp;$D592&amp;$J$1&amp;"")</f>
        <v>6.4</v>
      </c>
      <c r="K592" s="288"/>
      <c r="L592" s="288">
        <v>0.9</v>
      </c>
      <c r="M592" s="289">
        <v>3.35</v>
      </c>
      <c r="N592" s="285" cm="1">
        <f t="array" aca="1" ref="N592" ca="1">INDIRECT("'"&amp;$C592&amp;"'!"&amp;"$"&amp;$D592&amp;$N$1&amp;"")</f>
        <v>6.4</v>
      </c>
      <c r="O592" s="288"/>
      <c r="P592" s="288">
        <v>0.9</v>
      </c>
      <c r="Q592" s="289">
        <v>3.31</v>
      </c>
      <c r="R592" s="285" cm="1">
        <f t="array" aca="1" ref="R592" ca="1">INDIRECT("'"&amp;$C592&amp;"'!"&amp;"$"&amp;$D592&amp;$R$1&amp;"")</f>
        <v>6.4</v>
      </c>
      <c r="S592" s="288"/>
      <c r="T592" s="288">
        <v>0.9</v>
      </c>
      <c r="U592" s="286">
        <v>3.32</v>
      </c>
      <c r="V592" s="287" cm="1">
        <f t="array" aca="1" ref="V592" ca="1">INDIRECT("'"&amp;$C592&amp;"'!"&amp;"$"&amp;$D592&amp;$V$1&amp;"")</f>
        <v>2.8</v>
      </c>
      <c r="W592" s="288">
        <f>3.43*3.8</f>
        <v>13.034000000000001</v>
      </c>
      <c r="X592" s="288">
        <v>0.89</v>
      </c>
      <c r="Y592" s="289">
        <v>1.31</v>
      </c>
      <c r="Z592" s="285" t="str" cm="1">
        <f t="array" aca="1" ref="Z592" ca="1">INDIRECT("'"&amp;$C592&amp;"'!"&amp;"$"&amp;$D592&amp;$Z$1&amp;"")</f>
        <v>CMS</v>
      </c>
      <c r="AA592" s="288" t="s">
        <v>1</v>
      </c>
      <c r="AB592" s="288" t="s">
        <v>1</v>
      </c>
      <c r="AC592" s="286" t="s">
        <v>1</v>
      </c>
      <c r="AD592" s="287" t="str" cm="1">
        <f t="array" aca="1" ref="AD592" ca="1">INDIRECT("'"&amp;$C592&amp;"'!"&amp;"$"&amp;$D592&amp;$AD$1&amp;"")</f>
        <v>CMS</v>
      </c>
      <c r="AE592" s="288" t="s">
        <v>1</v>
      </c>
      <c r="AF592" s="288" t="s">
        <v>1</v>
      </c>
      <c r="AG592" s="289" t="s">
        <v>1</v>
      </c>
      <c r="AH592" s="285" cm="1">
        <f t="array" aca="1" ref="AH592" ca="1">INDIRECT("'"&amp;$C592&amp;"'!"&amp;"$"&amp;$D592&amp;$AH$1&amp;"")</f>
        <v>3.8</v>
      </c>
      <c r="AI592" s="288">
        <v>14.04</v>
      </c>
      <c r="AJ592" s="288">
        <v>0.98</v>
      </c>
      <c r="AK592" s="286">
        <v>0.46200000000000002</v>
      </c>
      <c r="AL592" s="285">
        <v>11.7</v>
      </c>
      <c r="AM592" s="289">
        <v>70.900000000000006</v>
      </c>
      <c r="AN592" s="285" cm="1">
        <f t="array" aca="1" ref="AN592" ca="1">INDIRECT("'"&amp;$C592&amp;"'!"&amp;"$"&amp;$D592&amp;$AL$1&amp;"")</f>
        <v>3.8</v>
      </c>
      <c r="AO592" s="288">
        <v>0.91</v>
      </c>
      <c r="AP592" s="286">
        <v>1.71</v>
      </c>
      <c r="AQ592" s="287" cm="1">
        <f t="array" aca="1" ref="AQ592" ca="1">INDIRECT("'"&amp;$C592&amp;"'!"&amp;"$"&amp;$D592&amp;$AQ$1&amp;"")</f>
        <v>0</v>
      </c>
      <c r="AR592" s="288" t="s">
        <v>1</v>
      </c>
      <c r="AS592" s="286" t="s">
        <v>1</v>
      </c>
      <c r="AT592" s="285">
        <v>13.98</v>
      </c>
      <c r="AU592" s="289">
        <v>70.7</v>
      </c>
      <c r="AV592" s="288" cm="1">
        <f t="array" aca="1" ref="AV592" ca="1">INDIRECT("'"&amp;$C592&amp;"'!"&amp;"$"&amp;$D592&amp;$AV$1&amp;"")</f>
        <v>0</v>
      </c>
      <c r="AW592" s="287" t="s">
        <v>1</v>
      </c>
      <c r="AX592" s="288" t="s">
        <v>1</v>
      </c>
      <c r="AY592" s="286" t="s">
        <v>1</v>
      </c>
      <c r="AZ592" s="288" cm="1">
        <f t="array" aca="1" ref="AZ592" ca="1">INDIRECT("'"&amp;$C592&amp;"'!"&amp;"$"&amp;$D592&amp;$AZ$1&amp;"")</f>
        <v>7</v>
      </c>
      <c r="BA592" s="287" t="s">
        <v>1</v>
      </c>
      <c r="BB592" s="288">
        <v>0.95</v>
      </c>
      <c r="BC592" s="286">
        <v>2.6</v>
      </c>
      <c r="BD592" s="290">
        <v>14.22</v>
      </c>
      <c r="BE592" s="289">
        <v>71.58</v>
      </c>
      <c r="BF592" s="290" cm="1">
        <f t="array" aca="1" ref="BF592" ca="1">INDIRECT("'"&amp;$C592&amp;"'!"&amp;"$"&amp;$D592&amp;$BF$1&amp;"")</f>
        <v>14.22</v>
      </c>
      <c r="BG592" s="288">
        <v>0.98</v>
      </c>
      <c r="BH592" s="286">
        <v>3.5</v>
      </c>
      <c r="BI592" s="525">
        <v>67.599999999999994</v>
      </c>
      <c r="BJ592" s="285" cm="1">
        <f t="array" aca="1" ref="BJ592" ca="1">INDIRECT("'"&amp;$C592&amp;"'!"&amp;"$"&amp;$D592&amp;$BI$1&amp;"")</f>
        <v>3.2</v>
      </c>
      <c r="BK592" s="287">
        <v>0.93</v>
      </c>
      <c r="BL592" s="286">
        <v>1.2</v>
      </c>
      <c r="BM592" s="290" cm="1">
        <f t="array" aca="1" ref="BM592" ca="1">INDIRECT("'"&amp;$C592&amp;"'!"&amp;"$"&amp;$D592&amp;$BM$1&amp;"")</f>
        <v>1.2</v>
      </c>
      <c r="BN592" s="288"/>
      <c r="BO592" s="288">
        <v>0.99</v>
      </c>
      <c r="BP592" s="286">
        <v>0.16</v>
      </c>
      <c r="BQ592" s="291" cm="1">
        <f t="array" aca="1" ref="BQ592" ca="1">INDIRECT("'"&amp;$C592&amp;"'!"&amp;"$"&amp;$D592&amp;$BQ$1&amp;"")</f>
        <v>0.85</v>
      </c>
      <c r="BR592" s="288"/>
      <c r="BS592" s="288">
        <v>0.96</v>
      </c>
      <c r="BT592" s="286">
        <v>0.24</v>
      </c>
      <c r="BU592" s="291" cm="1">
        <f t="array" aca="1" ref="BU592" ca="1">INDIRECT("'"&amp;$C592&amp;"'!"&amp;"$"&amp;$D592&amp;74&amp;"")</f>
        <v>0</v>
      </c>
      <c r="BV592" s="288"/>
      <c r="BW592" s="288" t="s">
        <v>1</v>
      </c>
      <c r="BX592" s="286" t="s">
        <v>1</v>
      </c>
    </row>
    <row r="593" spans="1:76">
      <c r="A593" s="459">
        <v>45862</v>
      </c>
      <c r="B593" s="345">
        <v>0.54166666666666696</v>
      </c>
      <c r="C593" s="305">
        <v>24</v>
      </c>
      <c r="D593" s="306" t="s">
        <v>155</v>
      </c>
      <c r="E593" s="278">
        <v>14</v>
      </c>
      <c r="F593" s="279">
        <v>69.17</v>
      </c>
      <c r="G593" s="280" t="str" cm="1">
        <f t="array" aca="1" ref="G593" ca="1">INDIRECT("'"&amp;$C593&amp;"'!"&amp;"$"&amp;$D593&amp;$E$1&amp;"")</f>
        <v>CMS</v>
      </c>
      <c r="H593" s="281" t="s">
        <v>1</v>
      </c>
      <c r="I593" s="279" t="s">
        <v>1</v>
      </c>
      <c r="J593" s="280" cm="1">
        <f t="array" aca="1" ref="J593" ca="1">INDIRECT("'"&amp;$C593&amp;"'!"&amp;"$"&amp;$D593&amp;$J$1&amp;"")</f>
        <v>6.7</v>
      </c>
      <c r="K593" s="281"/>
      <c r="L593" s="281">
        <v>0.9</v>
      </c>
      <c r="M593" s="279">
        <v>3.17</v>
      </c>
      <c r="N593" s="278" cm="1">
        <f t="array" aca="1" ref="N593" ca="1">INDIRECT("'"&amp;$C593&amp;"'!"&amp;"$"&amp;$D593&amp;$N$1&amp;"")</f>
        <v>6.7</v>
      </c>
      <c r="O593" s="281"/>
      <c r="P593" s="281">
        <v>0.9</v>
      </c>
      <c r="Q593" s="279">
        <v>3.19</v>
      </c>
      <c r="R593" s="468" cm="1">
        <f t="array" aca="1" ref="R593" ca="1">INDIRECT("'"&amp;$C593&amp;"'!"&amp;"$"&amp;$D593&amp;$R$1&amp;"")</f>
        <v>6.7</v>
      </c>
      <c r="S593" s="281"/>
      <c r="T593" s="281">
        <v>0.88</v>
      </c>
      <c r="U593" s="279">
        <v>3.67</v>
      </c>
      <c r="V593" s="280" cm="1">
        <f t="array" aca="1" ref="V593" ca="1">INDIRECT("'"&amp;$C593&amp;"'!"&amp;"$"&amp;$D593&amp;$V$1&amp;"")</f>
        <v>2.8</v>
      </c>
      <c r="W593" s="281">
        <f>3.41*3.8</f>
        <v>12.958</v>
      </c>
      <c r="X593" s="281">
        <v>0.89</v>
      </c>
      <c r="Y593" s="282">
        <v>1.33</v>
      </c>
      <c r="Z593" s="278" t="str" cm="1">
        <f t="array" aca="1" ref="Z593" ca="1">INDIRECT("'"&amp;$C593&amp;"'!"&amp;"$"&amp;$D593&amp;$Z$1&amp;"")</f>
        <v>CMS</v>
      </c>
      <c r="AA593" s="281" t="s">
        <v>1</v>
      </c>
      <c r="AB593" s="281" t="s">
        <v>1</v>
      </c>
      <c r="AC593" s="279" t="s">
        <v>1</v>
      </c>
      <c r="AD593" s="280" t="str" cm="1">
        <f t="array" aca="1" ref="AD593" ca="1">INDIRECT("'"&amp;$C593&amp;"'!"&amp;"$"&amp;$D593&amp;$AD$1&amp;"")</f>
        <v>CMS</v>
      </c>
      <c r="AE593" s="281" t="s">
        <v>1</v>
      </c>
      <c r="AF593" s="281" t="s">
        <v>1</v>
      </c>
      <c r="AG593" s="282" t="s">
        <v>1</v>
      </c>
      <c r="AH593" s="278" cm="1">
        <f t="array" aca="1" ref="AH593" ca="1">INDIRECT("'"&amp;$C593&amp;"'!"&amp;"$"&amp;$D593&amp;$AH$1&amp;"")</f>
        <v>3.8</v>
      </c>
      <c r="AI593" s="281">
        <v>14.04</v>
      </c>
      <c r="AJ593" s="281">
        <v>0.98</v>
      </c>
      <c r="AK593" s="279">
        <v>0.45700000000000002</v>
      </c>
      <c r="AL593" s="278">
        <v>11.7</v>
      </c>
      <c r="AM593" s="282">
        <v>70.8</v>
      </c>
      <c r="AN593" s="278" cm="1">
        <f t="array" aca="1" ref="AN593" ca="1">INDIRECT("'"&amp;$C593&amp;"'!"&amp;"$"&amp;$D593&amp;$AL$1&amp;"")</f>
        <v>3.8</v>
      </c>
      <c r="AO593" s="281">
        <v>0.92</v>
      </c>
      <c r="AP593" s="279">
        <v>1.69</v>
      </c>
      <c r="AQ593" s="280" cm="1">
        <f t="array" aca="1" ref="AQ593" ca="1">INDIRECT("'"&amp;$C593&amp;"'!"&amp;"$"&amp;$D593&amp;$AQ$1&amp;"")</f>
        <v>0</v>
      </c>
      <c r="AR593" s="281" t="s">
        <v>1</v>
      </c>
      <c r="AS593" s="279" t="s">
        <v>1</v>
      </c>
      <c r="AT593" s="278">
        <v>13.98</v>
      </c>
      <c r="AU593" s="282">
        <v>70.7</v>
      </c>
      <c r="AV593" s="281" cm="1">
        <f t="array" aca="1" ref="AV593" ca="1">INDIRECT("'"&amp;$C593&amp;"'!"&amp;"$"&amp;$D593&amp;$AV$1&amp;"")</f>
        <v>0</v>
      </c>
      <c r="AW593" s="280">
        <v>13.7</v>
      </c>
      <c r="AX593" s="281" t="s">
        <v>1</v>
      </c>
      <c r="AY593" s="279" t="s">
        <v>1</v>
      </c>
      <c r="AZ593" s="281" cm="1">
        <f t="array" aca="1" ref="AZ593" ca="1">INDIRECT("'"&amp;$C593&amp;"'!"&amp;"$"&amp;$D593&amp;$AZ$1&amp;"")</f>
        <v>7</v>
      </c>
      <c r="BA593" s="280">
        <v>13.7</v>
      </c>
      <c r="BB593" s="281">
        <v>0.95</v>
      </c>
      <c r="BC593" s="279">
        <v>2.6</v>
      </c>
      <c r="BD593" s="283">
        <v>14.26</v>
      </c>
      <c r="BE593" s="282">
        <v>71.680000000000007</v>
      </c>
      <c r="BF593" s="283" cm="1">
        <f t="array" aca="1" ref="BF593" ca="1">INDIRECT("'"&amp;$C593&amp;"'!"&amp;"$"&amp;$D593&amp;$BF$1&amp;"")</f>
        <v>14.29</v>
      </c>
      <c r="BG593" s="281">
        <v>0.98</v>
      </c>
      <c r="BH593" s="279">
        <v>3.4</v>
      </c>
      <c r="BI593" s="524">
        <v>67.5</v>
      </c>
      <c r="BJ593" s="278" cm="1">
        <f t="array" aca="1" ref="BJ593" ca="1">INDIRECT("'"&amp;$C593&amp;"'!"&amp;"$"&amp;$D593&amp;$BI$1&amp;"")</f>
        <v>1.5</v>
      </c>
      <c r="BK593" s="280">
        <v>0.93</v>
      </c>
      <c r="BL593" s="279">
        <v>0.59</v>
      </c>
      <c r="BM593" s="283" cm="1">
        <f t="array" aca="1" ref="BM593" ca="1">INDIRECT("'"&amp;$C593&amp;"'!"&amp;"$"&amp;$D593&amp;$BM$1&amp;"")</f>
        <v>1.21</v>
      </c>
      <c r="BN593" s="281"/>
      <c r="BO593" s="281">
        <v>0.99</v>
      </c>
      <c r="BP593" s="279">
        <v>0.16</v>
      </c>
      <c r="BQ593" s="284" cm="1">
        <f t="array" aca="1" ref="BQ593" ca="1">INDIRECT("'"&amp;$C593&amp;"'!"&amp;"$"&amp;$D593&amp;$BQ$1&amp;"")</f>
        <v>0.86</v>
      </c>
      <c r="BR593" s="281"/>
      <c r="BS593" s="281">
        <v>0.96</v>
      </c>
      <c r="BT593" s="279">
        <v>0.24</v>
      </c>
      <c r="BU593" s="284" cm="1">
        <f t="array" aca="1" ref="BU593" ca="1">INDIRECT("'"&amp;$C593&amp;"'!"&amp;"$"&amp;$D593&amp;74&amp;"")</f>
        <v>0</v>
      </c>
      <c r="BV593" s="281"/>
      <c r="BW593" s="281" t="s">
        <v>1</v>
      </c>
      <c r="BX593" s="279" t="s">
        <v>1</v>
      </c>
    </row>
    <row r="594" spans="1:76">
      <c r="A594" s="459">
        <v>45862</v>
      </c>
      <c r="B594" s="345">
        <v>0.58333333333333404</v>
      </c>
      <c r="C594" s="305">
        <v>24</v>
      </c>
      <c r="D594" s="306" t="s">
        <v>156</v>
      </c>
      <c r="E594" s="285">
        <v>14</v>
      </c>
      <c r="F594" s="286">
        <v>69.11</v>
      </c>
      <c r="G594" s="287" t="str" cm="1">
        <f t="array" aca="1" ref="G594" ca="1">INDIRECT("'"&amp;$C594&amp;"'!"&amp;"$"&amp;$D594&amp;$E$1&amp;"")</f>
        <v>CMS</v>
      </c>
      <c r="H594" s="288" t="s">
        <v>1</v>
      </c>
      <c r="I594" s="286" t="s">
        <v>1</v>
      </c>
      <c r="J594" s="287" cm="1">
        <f t="array" aca="1" ref="J594" ca="1">INDIRECT("'"&amp;$C594&amp;"'!"&amp;"$"&amp;$D594&amp;$J$1&amp;"")</f>
        <v>6.7</v>
      </c>
      <c r="K594" s="288"/>
      <c r="L594" s="288">
        <v>0.9</v>
      </c>
      <c r="M594" s="289">
        <v>3.18</v>
      </c>
      <c r="N594" s="285" cm="1">
        <f t="array" aca="1" ref="N594" ca="1">INDIRECT("'"&amp;$C594&amp;"'!"&amp;"$"&amp;$D594&amp;$N$1&amp;"")</f>
        <v>6.7</v>
      </c>
      <c r="O594" s="288"/>
      <c r="P594" s="288">
        <v>0.9</v>
      </c>
      <c r="Q594" s="286">
        <v>3.2</v>
      </c>
      <c r="R594" s="285" cm="1">
        <f t="array" aca="1" ref="R594" ca="1">INDIRECT("'"&amp;$C594&amp;"'!"&amp;"$"&amp;$D594&amp;$R$1&amp;"")</f>
        <v>6.7</v>
      </c>
      <c r="S594" s="288"/>
      <c r="T594" s="288">
        <v>0.9</v>
      </c>
      <c r="U594" s="286">
        <v>3.19</v>
      </c>
      <c r="V594" s="287" cm="1">
        <f t="array" aca="1" ref="V594" ca="1">INDIRECT("'"&amp;$C594&amp;"'!"&amp;"$"&amp;$D594&amp;$V$1&amp;"")</f>
        <v>2.8</v>
      </c>
      <c r="W594" s="288">
        <f>3.4*3.8</f>
        <v>12.92</v>
      </c>
      <c r="X594" s="288">
        <v>0.89</v>
      </c>
      <c r="Y594" s="289">
        <v>1.34</v>
      </c>
      <c r="Z594" s="285" t="str" cm="1">
        <f t="array" aca="1" ref="Z594" ca="1">INDIRECT("'"&amp;$C594&amp;"'!"&amp;"$"&amp;$D594&amp;$Z$1&amp;"")</f>
        <v>CMS</v>
      </c>
      <c r="AA594" s="288" t="s">
        <v>1</v>
      </c>
      <c r="AB594" s="288" t="s">
        <v>1</v>
      </c>
      <c r="AC594" s="286" t="s">
        <v>1</v>
      </c>
      <c r="AD594" s="287" t="str" cm="1">
        <f t="array" aca="1" ref="AD594" ca="1">INDIRECT("'"&amp;$C594&amp;"'!"&amp;"$"&amp;$D594&amp;$AD$1&amp;"")</f>
        <v>CMS</v>
      </c>
      <c r="AE594" s="288" t="s">
        <v>1</v>
      </c>
      <c r="AF594" s="288" t="s">
        <v>1</v>
      </c>
      <c r="AG594" s="289" t="s">
        <v>1</v>
      </c>
      <c r="AH594" s="285" cm="1">
        <f t="array" aca="1" ref="AH594" ca="1">INDIRECT("'"&amp;$C594&amp;"'!"&amp;"$"&amp;$D594&amp;$AH$1&amp;"")</f>
        <v>3.8</v>
      </c>
      <c r="AI594" s="288">
        <v>14.08</v>
      </c>
      <c r="AJ594" s="288">
        <v>0.97</v>
      </c>
      <c r="AK594" s="286">
        <v>0.56399999999999995</v>
      </c>
      <c r="AL594" s="285">
        <v>11.7</v>
      </c>
      <c r="AM594" s="289">
        <v>70.7</v>
      </c>
      <c r="AN594" s="285" cm="1">
        <f t="array" aca="1" ref="AN594" ca="1">INDIRECT("'"&amp;$C594&amp;"'!"&amp;"$"&amp;$D594&amp;$AL$1&amp;"")</f>
        <v>0</v>
      </c>
      <c r="AO594" s="288" t="s">
        <v>1</v>
      </c>
      <c r="AP594" s="286" t="s">
        <v>1</v>
      </c>
      <c r="AQ594" s="287" cm="1">
        <f t="array" aca="1" ref="AQ594" ca="1">INDIRECT("'"&amp;$C594&amp;"'!"&amp;"$"&amp;$D594&amp;$AQ$1&amp;"")</f>
        <v>3.8</v>
      </c>
      <c r="AR594" s="288">
        <v>0.9</v>
      </c>
      <c r="AS594" s="286">
        <v>1.79</v>
      </c>
      <c r="AT594" s="285">
        <v>14</v>
      </c>
      <c r="AU594" s="289">
        <v>70.7</v>
      </c>
      <c r="AV594" s="288" cm="1">
        <f t="array" aca="1" ref="AV594" ca="1">INDIRECT("'"&amp;$C594&amp;"'!"&amp;"$"&amp;$D594&amp;$AV$1&amp;"")</f>
        <v>0</v>
      </c>
      <c r="AW594" s="287">
        <v>13.7</v>
      </c>
      <c r="AX594" s="288" t="s">
        <v>1</v>
      </c>
      <c r="AY594" s="286" t="s">
        <v>1</v>
      </c>
      <c r="AZ594" s="288" cm="1">
        <f t="array" aca="1" ref="AZ594" ca="1">INDIRECT("'"&amp;$C594&amp;"'!"&amp;"$"&amp;$D594&amp;$AZ$1&amp;"")</f>
        <v>7</v>
      </c>
      <c r="BA594" s="287">
        <v>13.7</v>
      </c>
      <c r="BB594" s="288">
        <v>0.95</v>
      </c>
      <c r="BC594" s="286">
        <v>2.6</v>
      </c>
      <c r="BD594" s="290">
        <v>14.25</v>
      </c>
      <c r="BE594" s="289">
        <v>71.67</v>
      </c>
      <c r="BF594" s="290" cm="1">
        <f t="array" aca="1" ref="BF594" ca="1">INDIRECT("'"&amp;$C594&amp;"'!"&amp;"$"&amp;$D594&amp;$BF$1&amp;"")</f>
        <v>14.25</v>
      </c>
      <c r="BG594" s="288">
        <v>0.98</v>
      </c>
      <c r="BH594" s="286">
        <v>3.4</v>
      </c>
      <c r="BI594" s="525">
        <v>67.3</v>
      </c>
      <c r="BJ594" s="285" cm="1">
        <f t="array" aca="1" ref="BJ594" ca="1">INDIRECT("'"&amp;$C594&amp;"'!"&amp;"$"&amp;$D594&amp;$BI$1&amp;"")</f>
        <v>2.2000000000000002</v>
      </c>
      <c r="BK594" s="287">
        <v>0.93</v>
      </c>
      <c r="BL594" s="286">
        <v>0.84</v>
      </c>
      <c r="BM594" s="290" cm="1">
        <f t="array" aca="1" ref="BM594" ca="1">INDIRECT("'"&amp;$C594&amp;"'!"&amp;"$"&amp;$D594&amp;$BM$1&amp;"")</f>
        <v>1.22</v>
      </c>
      <c r="BN594" s="288"/>
      <c r="BO594" s="288">
        <v>0.99</v>
      </c>
      <c r="BP594" s="286">
        <v>0.17</v>
      </c>
      <c r="BQ594" s="291" cm="1">
        <f t="array" aca="1" ref="BQ594" ca="1">INDIRECT("'"&amp;$C594&amp;"'!"&amp;"$"&amp;$D594&amp;$BQ$1&amp;"")</f>
        <v>0.83</v>
      </c>
      <c r="BR594" s="288"/>
      <c r="BS594" s="288">
        <v>0.96</v>
      </c>
      <c r="BT594" s="286">
        <v>0.24</v>
      </c>
      <c r="BU594" s="291" cm="1">
        <f t="array" aca="1" ref="BU594" ca="1">INDIRECT("'"&amp;$C594&amp;"'!"&amp;"$"&amp;$D594&amp;74&amp;"")</f>
        <v>0</v>
      </c>
      <c r="BV594" s="288"/>
      <c r="BW594" s="288" t="s">
        <v>1</v>
      </c>
      <c r="BX594" s="286" t="s">
        <v>1</v>
      </c>
    </row>
    <row r="595" spans="1:76">
      <c r="A595" s="459">
        <v>45862</v>
      </c>
      <c r="B595" s="345">
        <v>0.625</v>
      </c>
      <c r="C595" s="305">
        <v>24</v>
      </c>
      <c r="D595" s="306" t="s">
        <v>157</v>
      </c>
      <c r="E595" s="278">
        <v>14.1</v>
      </c>
      <c r="F595" s="279">
        <v>69.14</v>
      </c>
      <c r="G595" s="280" t="str" cm="1">
        <f t="array" aca="1" ref="G595" ca="1">INDIRECT("'"&amp;$C595&amp;"'!"&amp;"$"&amp;$D595&amp;$E$1&amp;"")</f>
        <v>CMS</v>
      </c>
      <c r="H595" s="281" t="s">
        <v>1</v>
      </c>
      <c r="I595" s="279" t="s">
        <v>1</v>
      </c>
      <c r="J595" s="280" cm="1">
        <f t="array" aca="1" ref="J595" ca="1">INDIRECT("'"&amp;$C595&amp;"'!"&amp;"$"&amp;$D595&amp;$J$1&amp;"")</f>
        <v>6.7</v>
      </c>
      <c r="K595" s="281"/>
      <c r="L595" s="281">
        <v>0.9</v>
      </c>
      <c r="M595" s="282">
        <v>3.17</v>
      </c>
      <c r="N595" s="278" cm="1">
        <f t="array" aca="1" ref="N595" ca="1">INDIRECT("'"&amp;$C595&amp;"'!"&amp;"$"&amp;$D595&amp;$N$1&amp;"")</f>
        <v>6.7</v>
      </c>
      <c r="O595" s="281"/>
      <c r="P595" s="281">
        <v>0.9</v>
      </c>
      <c r="Q595" s="279">
        <v>3.15</v>
      </c>
      <c r="R595" s="468" cm="1">
        <f t="array" aca="1" ref="R595" ca="1">INDIRECT("'"&amp;$C595&amp;"'!"&amp;"$"&amp;$D595&amp;$R$1&amp;"")</f>
        <v>6.7</v>
      </c>
      <c r="S595" s="281"/>
      <c r="T595" s="281">
        <v>0.9</v>
      </c>
      <c r="U595" s="279">
        <v>3.19</v>
      </c>
      <c r="V595" s="280" cm="1">
        <f t="array" aca="1" ref="V595" ca="1">INDIRECT("'"&amp;$C595&amp;"'!"&amp;"$"&amp;$D595&amp;$V$1&amp;"")</f>
        <v>2.8</v>
      </c>
      <c r="W595" s="281">
        <f>3.4*3.8</f>
        <v>12.92</v>
      </c>
      <c r="X595" s="281">
        <v>0.89</v>
      </c>
      <c r="Y595" s="282">
        <v>1.32</v>
      </c>
      <c r="Z595" s="278" t="str" cm="1">
        <f t="array" aca="1" ref="Z595" ca="1">INDIRECT("'"&amp;$C595&amp;"'!"&amp;"$"&amp;$D595&amp;$Z$1&amp;"")</f>
        <v>CMS</v>
      </c>
      <c r="AA595" s="281" t="s">
        <v>1</v>
      </c>
      <c r="AB595" s="281" t="s">
        <v>1</v>
      </c>
      <c r="AC595" s="279" t="s">
        <v>1</v>
      </c>
      <c r="AD595" s="280" t="str" cm="1">
        <f t="array" aca="1" ref="AD595" ca="1">INDIRECT("'"&amp;$C595&amp;"'!"&amp;"$"&amp;$D595&amp;$AD$1&amp;"")</f>
        <v>CMS</v>
      </c>
      <c r="AE595" s="281" t="s">
        <v>1</v>
      </c>
      <c r="AF595" s="281" t="s">
        <v>1</v>
      </c>
      <c r="AG595" s="279" t="s">
        <v>1</v>
      </c>
      <c r="AH595" s="278" cm="1">
        <f t="array" aca="1" ref="AH595" ca="1">INDIRECT("'"&amp;$C595&amp;"'!"&amp;"$"&amp;$D595&amp;$AH$1&amp;"")</f>
        <v>3.8</v>
      </c>
      <c r="AI595" s="281">
        <v>14.04</v>
      </c>
      <c r="AJ595" s="281">
        <v>0.98</v>
      </c>
      <c r="AK595" s="279">
        <v>0.45200000000000001</v>
      </c>
      <c r="AL595" s="278">
        <v>11.7</v>
      </c>
      <c r="AM595" s="282">
        <v>70.8</v>
      </c>
      <c r="AN595" s="278" cm="1">
        <f t="array" aca="1" ref="AN595" ca="1">INDIRECT("'"&amp;$C595&amp;"'!"&amp;"$"&amp;$D595&amp;$AL$1&amp;"")</f>
        <v>0</v>
      </c>
      <c r="AO595" s="281" t="s">
        <v>1</v>
      </c>
      <c r="AP595" s="279" t="s">
        <v>1</v>
      </c>
      <c r="AQ595" s="280" cm="1">
        <f t="array" aca="1" ref="AQ595" ca="1">INDIRECT("'"&amp;$C595&amp;"'!"&amp;"$"&amp;$D595&amp;$AQ$1&amp;"")</f>
        <v>3.8</v>
      </c>
      <c r="AR595" s="281">
        <v>0.9</v>
      </c>
      <c r="AS595" s="279">
        <v>1.71</v>
      </c>
      <c r="AT595" s="278">
        <v>14</v>
      </c>
      <c r="AU595" s="282">
        <v>70.599999999999994</v>
      </c>
      <c r="AV595" s="281" cm="1">
        <f t="array" aca="1" ref="AV595" ca="1">INDIRECT("'"&amp;$C595&amp;"'!"&amp;"$"&amp;$D595&amp;$AV$1&amp;"")</f>
        <v>0</v>
      </c>
      <c r="AW595" s="280">
        <v>13.7</v>
      </c>
      <c r="AX595" s="281" t="s">
        <v>1</v>
      </c>
      <c r="AY595" s="279" t="s">
        <v>1</v>
      </c>
      <c r="AZ595" s="281" cm="1">
        <f t="array" aca="1" ref="AZ595" ca="1">INDIRECT("'"&amp;$C595&amp;"'!"&amp;"$"&amp;$D595&amp;$AZ$1&amp;"")</f>
        <v>7</v>
      </c>
      <c r="BA595" s="280">
        <v>13.7</v>
      </c>
      <c r="BB595" s="281">
        <v>0.95</v>
      </c>
      <c r="BC595" s="279">
        <v>2.6</v>
      </c>
      <c r="BD595" s="283">
        <v>14.26</v>
      </c>
      <c r="BE595" s="282">
        <v>71.739999999999995</v>
      </c>
      <c r="BF595" s="283" cm="1">
        <f t="array" aca="1" ref="BF595" ca="1">INDIRECT("'"&amp;$C595&amp;"'!"&amp;"$"&amp;$D595&amp;$BF$1&amp;"")</f>
        <v>14.28</v>
      </c>
      <c r="BG595" s="281">
        <v>0.98</v>
      </c>
      <c r="BH595" s="279">
        <v>3.4</v>
      </c>
      <c r="BI595" s="524">
        <v>67.400000000000006</v>
      </c>
      <c r="BJ595" s="278" cm="1">
        <f t="array" aca="1" ref="BJ595" ca="1">INDIRECT("'"&amp;$C595&amp;"'!"&amp;"$"&amp;$D595&amp;$BI$1&amp;"")</f>
        <v>3.1</v>
      </c>
      <c r="BK595" s="280">
        <v>0.94</v>
      </c>
      <c r="BL595" s="279">
        <v>1.1000000000000001</v>
      </c>
      <c r="BM595" s="283" cm="1">
        <f t="array" aca="1" ref="BM595" ca="1">INDIRECT("'"&amp;$C595&amp;"'!"&amp;"$"&amp;$D595&amp;$BM$1&amp;"")</f>
        <v>1.25</v>
      </c>
      <c r="BN595" s="281"/>
      <c r="BO595" s="281">
        <v>0.99</v>
      </c>
      <c r="BP595" s="279">
        <v>0.17</v>
      </c>
      <c r="BQ595" s="284" cm="1">
        <f t="array" aca="1" ref="BQ595" ca="1">INDIRECT("'"&amp;$C595&amp;"'!"&amp;"$"&amp;$D595&amp;$BQ$1&amp;"")</f>
        <v>0.86</v>
      </c>
      <c r="BR595" s="281"/>
      <c r="BS595" s="281">
        <v>0.96</v>
      </c>
      <c r="BT595" s="279">
        <v>0.25</v>
      </c>
      <c r="BU595" s="284" cm="1">
        <f t="array" aca="1" ref="BU595" ca="1">INDIRECT("'"&amp;$C595&amp;"'!"&amp;"$"&amp;$D595&amp;74&amp;"")</f>
        <v>0</v>
      </c>
      <c r="BV595" s="281"/>
      <c r="BW595" s="281" t="s">
        <v>1</v>
      </c>
      <c r="BX595" s="279" t="s">
        <v>1</v>
      </c>
    </row>
    <row r="596" spans="1:76">
      <c r="A596" s="459">
        <v>45862</v>
      </c>
      <c r="B596" s="345">
        <v>0.66666666666666696</v>
      </c>
      <c r="C596" s="305">
        <v>24</v>
      </c>
      <c r="D596" s="306" t="s">
        <v>158</v>
      </c>
      <c r="E596" s="285">
        <v>14.1</v>
      </c>
      <c r="F596" s="286">
        <v>69.08</v>
      </c>
      <c r="G596" s="287" t="str" cm="1">
        <f t="array" aca="1" ref="G596" ca="1">INDIRECT("'"&amp;$C596&amp;"'!"&amp;"$"&amp;$D596&amp;$E$1&amp;"")</f>
        <v>CMS</v>
      </c>
      <c r="H596" s="288" t="s">
        <v>1</v>
      </c>
      <c r="I596" s="286" t="s">
        <v>1</v>
      </c>
      <c r="J596" s="287" cm="1">
        <f t="array" aca="1" ref="J596" ca="1">INDIRECT("'"&amp;$C596&amp;"'!"&amp;"$"&amp;$D596&amp;$J$1&amp;"")</f>
        <v>6.6</v>
      </c>
      <c r="K596" s="288"/>
      <c r="L596" s="288">
        <v>0.9</v>
      </c>
      <c r="M596" s="289">
        <v>3.09</v>
      </c>
      <c r="N596" s="285" cm="1">
        <f t="array" aca="1" ref="N596" ca="1">INDIRECT("'"&amp;$C596&amp;"'!"&amp;"$"&amp;$D596&amp;$N$1&amp;"")</f>
        <v>6.6</v>
      </c>
      <c r="O596" s="288"/>
      <c r="P596" s="288">
        <v>0.9</v>
      </c>
      <c r="Q596" s="286">
        <v>3.06</v>
      </c>
      <c r="R596" s="469" cm="1">
        <f t="array" aca="1" ref="R596" ca="1">INDIRECT("'"&amp;$C596&amp;"'!"&amp;"$"&amp;$D596&amp;$R$1&amp;"")</f>
        <v>6.6</v>
      </c>
      <c r="S596" s="288"/>
      <c r="T596" s="288">
        <v>0.9</v>
      </c>
      <c r="U596" s="286">
        <v>3.08</v>
      </c>
      <c r="V596" s="287" cm="1">
        <f t="array" aca="1" ref="V596" ca="1">INDIRECT("'"&amp;$C596&amp;"'!"&amp;"$"&amp;$D596&amp;$V$1&amp;"")</f>
        <v>2.8</v>
      </c>
      <c r="W596" s="288">
        <f>3.41*3.8</f>
        <v>12.958</v>
      </c>
      <c r="X596" s="288">
        <v>0.89</v>
      </c>
      <c r="Y596" s="289">
        <v>1.34</v>
      </c>
      <c r="Z596" s="285" t="str" cm="1">
        <f t="array" aca="1" ref="Z596" ca="1">INDIRECT("'"&amp;$C596&amp;"'!"&amp;"$"&amp;$D596&amp;$Z$1&amp;"")</f>
        <v>CMS</v>
      </c>
      <c r="AA596" s="288" t="s">
        <v>1</v>
      </c>
      <c r="AB596" s="288" t="s">
        <v>1</v>
      </c>
      <c r="AC596" s="286" t="s">
        <v>1</v>
      </c>
      <c r="AD596" s="287" t="str" cm="1">
        <f t="array" aca="1" ref="AD596" ca="1">INDIRECT("'"&amp;$C596&amp;"'!"&amp;"$"&amp;$D596&amp;$AD$1&amp;"")</f>
        <v>CMS</v>
      </c>
      <c r="AE596" s="288" t="s">
        <v>1</v>
      </c>
      <c r="AF596" s="288" t="s">
        <v>1</v>
      </c>
      <c r="AG596" s="289" t="s">
        <v>1</v>
      </c>
      <c r="AH596" s="285" cm="1">
        <f t="array" aca="1" ref="AH596" ca="1">INDIRECT("'"&amp;$C596&amp;"'!"&amp;"$"&amp;$D596&amp;$AH$1&amp;"")</f>
        <v>3.8</v>
      </c>
      <c r="AI596" s="288">
        <v>14.08</v>
      </c>
      <c r="AJ596" s="288">
        <v>0.98</v>
      </c>
      <c r="AK596" s="286">
        <v>0.47099999999999997</v>
      </c>
      <c r="AL596" s="285">
        <v>11.7</v>
      </c>
      <c r="AM596" s="289">
        <v>70.7</v>
      </c>
      <c r="AN596" s="285" cm="1">
        <f t="array" aca="1" ref="AN596" ca="1">INDIRECT("'"&amp;$C596&amp;"'!"&amp;"$"&amp;$D596&amp;$AL$1&amp;"")</f>
        <v>0</v>
      </c>
      <c r="AO596" s="288" t="s">
        <v>1</v>
      </c>
      <c r="AP596" s="286" t="s">
        <v>1</v>
      </c>
      <c r="AQ596" s="287" cm="1">
        <f t="array" aca="1" ref="AQ596" ca="1">INDIRECT("'"&amp;$C596&amp;"'!"&amp;"$"&amp;$D596&amp;$AQ$1&amp;"")</f>
        <v>3.8</v>
      </c>
      <c r="AR596" s="288">
        <v>0.94</v>
      </c>
      <c r="AS596" s="286">
        <v>1.69</v>
      </c>
      <c r="AT596" s="285">
        <v>14</v>
      </c>
      <c r="AU596" s="289">
        <v>70.599999999999994</v>
      </c>
      <c r="AV596" s="288" cm="1">
        <f t="array" aca="1" ref="AV596" ca="1">INDIRECT("'"&amp;$C596&amp;"'!"&amp;"$"&amp;$D596&amp;$AV$1&amp;"")</f>
        <v>0</v>
      </c>
      <c r="AW596" s="287" t="s">
        <v>1</v>
      </c>
      <c r="AX596" s="288" t="s">
        <v>1</v>
      </c>
      <c r="AY596" s="286" t="s">
        <v>1</v>
      </c>
      <c r="AZ596" s="288" cm="1">
        <f t="array" aca="1" ref="AZ596" ca="1">INDIRECT("'"&amp;$C596&amp;"'!"&amp;"$"&amp;$D596&amp;$AZ$1&amp;"")</f>
        <v>7</v>
      </c>
      <c r="BA596" s="287" t="s">
        <v>1</v>
      </c>
      <c r="BB596" s="288">
        <v>0.94</v>
      </c>
      <c r="BC596" s="286">
        <v>1.69</v>
      </c>
      <c r="BD596" s="290">
        <v>14.3</v>
      </c>
      <c r="BE596" s="289">
        <v>71.86</v>
      </c>
      <c r="BF596" s="290" cm="1">
        <f t="array" aca="1" ref="BF596" ca="1">INDIRECT("'"&amp;$C596&amp;"'!"&amp;"$"&amp;$D596&amp;$BF$1&amp;"")</f>
        <v>14.29</v>
      </c>
      <c r="BG596" s="288">
        <v>0.98</v>
      </c>
      <c r="BH596" s="286">
        <v>3.4</v>
      </c>
      <c r="BI596" s="525">
        <v>67.400000000000006</v>
      </c>
      <c r="BJ596" s="285" cm="1">
        <f t="array" aca="1" ref="BJ596" ca="1">INDIRECT("'"&amp;$C596&amp;"'!"&amp;"$"&amp;$D596&amp;$BI$1&amp;"")</f>
        <v>1.5</v>
      </c>
      <c r="BK596" s="287">
        <v>0.94</v>
      </c>
      <c r="BL596" s="286">
        <v>0.86</v>
      </c>
      <c r="BM596" s="290" cm="1">
        <f t="array" aca="1" ref="BM596" ca="1">INDIRECT("'"&amp;$C596&amp;"'!"&amp;"$"&amp;$D596&amp;$BM$1&amp;"")</f>
        <v>1.24</v>
      </c>
      <c r="BN596" s="288"/>
      <c r="BO596" s="288">
        <v>0.99</v>
      </c>
      <c r="BP596" s="286">
        <v>0.15</v>
      </c>
      <c r="BQ596" s="291" cm="1">
        <f t="array" aca="1" ref="BQ596" ca="1">INDIRECT("'"&amp;$C596&amp;"'!"&amp;"$"&amp;$D596&amp;$BQ$1&amp;"")</f>
        <v>0.86</v>
      </c>
      <c r="BR596" s="288"/>
      <c r="BS596" s="288">
        <v>0.96</v>
      </c>
      <c r="BT596" s="286">
        <v>0.24</v>
      </c>
      <c r="BU596" s="291" cm="1">
        <f t="array" aca="1" ref="BU596" ca="1">INDIRECT("'"&amp;$C596&amp;"'!"&amp;"$"&amp;$D596&amp;74&amp;"")</f>
        <v>0</v>
      </c>
      <c r="BV596" s="288"/>
      <c r="BW596" s="288" t="s">
        <v>1</v>
      </c>
      <c r="BX596" s="286" t="s">
        <v>1</v>
      </c>
    </row>
    <row r="597" spans="1:76">
      <c r="A597" s="459">
        <v>45862</v>
      </c>
      <c r="B597" s="345">
        <v>0.70833333333333404</v>
      </c>
      <c r="C597" s="305">
        <v>24</v>
      </c>
      <c r="D597" s="306" t="s">
        <v>159</v>
      </c>
      <c r="E597" s="278">
        <v>14.1</v>
      </c>
      <c r="F597" s="279">
        <v>69.319999999999993</v>
      </c>
      <c r="G597" s="280" t="str" cm="1">
        <f t="array" aca="1" ref="G597" ca="1">INDIRECT("'"&amp;$C597&amp;"'!"&amp;"$"&amp;$D597&amp;$E$1&amp;"")</f>
        <v>CMS</v>
      </c>
      <c r="H597" s="281" t="s">
        <v>1</v>
      </c>
      <c r="I597" s="279" t="s">
        <v>1</v>
      </c>
      <c r="J597" s="280" cm="1">
        <f t="array" aca="1" ref="J597" ca="1">INDIRECT("'"&amp;$C597&amp;"'!"&amp;"$"&amp;$D597&amp;$J$1&amp;"")</f>
        <v>6.6</v>
      </c>
      <c r="K597" s="281"/>
      <c r="L597" s="281">
        <v>0.94</v>
      </c>
      <c r="M597" s="282">
        <v>2.36</v>
      </c>
      <c r="N597" s="278" cm="1">
        <f t="array" aca="1" ref="N597" ca="1">INDIRECT("'"&amp;$C597&amp;"'!"&amp;"$"&amp;$D597&amp;$N$1&amp;"")</f>
        <v>6.6</v>
      </c>
      <c r="O597" s="281"/>
      <c r="P597" s="281">
        <v>0.94</v>
      </c>
      <c r="Q597" s="279">
        <v>2.38</v>
      </c>
      <c r="R597" s="468" cm="1">
        <f t="array" aca="1" ref="R597" ca="1">INDIRECT("'"&amp;$C597&amp;"'!"&amp;"$"&amp;$D597&amp;$R$1&amp;"")</f>
        <v>6.6</v>
      </c>
      <c r="S597" s="281"/>
      <c r="T597" s="281">
        <v>0.94</v>
      </c>
      <c r="U597" s="279">
        <v>2.35</v>
      </c>
      <c r="V597" s="280" cm="1">
        <f t="array" aca="1" ref="V597" ca="1">INDIRECT("'"&amp;$C597&amp;"'!"&amp;"$"&amp;$D597&amp;$V$1&amp;"")</f>
        <v>2.8</v>
      </c>
      <c r="W597" s="281">
        <f>3.42*3.8</f>
        <v>12.995999999999999</v>
      </c>
      <c r="X597" s="281">
        <v>0.89</v>
      </c>
      <c r="Y597" s="282">
        <v>1.23</v>
      </c>
      <c r="Z597" s="278" t="str" cm="1">
        <f t="array" aca="1" ref="Z597" ca="1">INDIRECT("'"&amp;$C597&amp;"'!"&amp;"$"&amp;$D597&amp;$Z$1&amp;"")</f>
        <v>CMS</v>
      </c>
      <c r="AA597" s="281" t="s">
        <v>1</v>
      </c>
      <c r="AB597" s="281" t="s">
        <v>1</v>
      </c>
      <c r="AC597" s="279" t="s">
        <v>1</v>
      </c>
      <c r="AD597" s="280" t="str" cm="1">
        <f t="array" aca="1" ref="AD597" ca="1">INDIRECT("'"&amp;$C597&amp;"'!"&amp;"$"&amp;$D597&amp;$AD$1&amp;"")</f>
        <v>CMS</v>
      </c>
      <c r="AE597" s="281" t="s">
        <v>1</v>
      </c>
      <c r="AF597" s="281" t="s">
        <v>1</v>
      </c>
      <c r="AG597" s="282" t="s">
        <v>1</v>
      </c>
      <c r="AH597" s="278" cm="1">
        <f t="array" aca="1" ref="AH597" ca="1">INDIRECT("'"&amp;$C597&amp;"'!"&amp;"$"&amp;$D597&amp;$AH$1&amp;"")</f>
        <v>3.8</v>
      </c>
      <c r="AI597" s="281">
        <v>14.08</v>
      </c>
      <c r="AJ597" s="281">
        <v>0.98</v>
      </c>
      <c r="AK597" s="279">
        <v>0.437</v>
      </c>
      <c r="AL597" s="278">
        <v>11.7</v>
      </c>
      <c r="AM597" s="282">
        <v>70.7</v>
      </c>
      <c r="AN597" s="278" cm="1">
        <f t="array" aca="1" ref="AN597" ca="1">INDIRECT("'"&amp;$C597&amp;"'!"&amp;"$"&amp;$D597&amp;$AL$1&amp;"")</f>
        <v>0</v>
      </c>
      <c r="AO597" s="281" t="s">
        <v>1</v>
      </c>
      <c r="AP597" s="279" t="s">
        <v>1</v>
      </c>
      <c r="AQ597" s="280" cm="1">
        <f t="array" aca="1" ref="AQ597" ca="1">INDIRECT("'"&amp;$C597&amp;"'!"&amp;"$"&amp;$D597&amp;$AQ$1&amp;"")</f>
        <v>3.8</v>
      </c>
      <c r="AR597" s="281">
        <v>0.94</v>
      </c>
      <c r="AS597" s="279">
        <v>1.58</v>
      </c>
      <c r="AT597" s="278">
        <v>14</v>
      </c>
      <c r="AU597" s="282">
        <v>70.599999999999994</v>
      </c>
      <c r="AV597" s="281" cm="1">
        <f t="array" aca="1" ref="AV597" ca="1">INDIRECT("'"&amp;$C597&amp;"'!"&amp;"$"&amp;$D597&amp;$AV$1&amp;"")</f>
        <v>0</v>
      </c>
      <c r="AW597" s="280" t="s">
        <v>1</v>
      </c>
      <c r="AX597" s="281" t="s">
        <v>1</v>
      </c>
      <c r="AY597" s="279" t="s">
        <v>1</v>
      </c>
      <c r="AZ597" s="281" cm="1">
        <f t="array" aca="1" ref="AZ597" ca="1">INDIRECT("'"&amp;$C597&amp;"'!"&amp;"$"&amp;$D597&amp;$AZ$1&amp;"")</f>
        <v>7</v>
      </c>
      <c r="BA597" s="280" t="s">
        <v>1</v>
      </c>
      <c r="BB597" s="281">
        <v>0.95</v>
      </c>
      <c r="BC597" s="279">
        <v>2.6</v>
      </c>
      <c r="BD597" s="283">
        <v>14.3</v>
      </c>
      <c r="BE597" s="282">
        <v>71.91</v>
      </c>
      <c r="BF597" s="283" cm="1">
        <f t="array" aca="1" ref="BF597" ca="1">INDIRECT("'"&amp;$C597&amp;"'!"&amp;"$"&amp;$D597&amp;$BF$1&amp;"")</f>
        <v>14.25</v>
      </c>
      <c r="BG597" s="281">
        <v>0.98</v>
      </c>
      <c r="BH597" s="279">
        <v>3.4</v>
      </c>
      <c r="BI597" s="524">
        <v>67.7</v>
      </c>
      <c r="BJ597" s="278" cm="1">
        <f t="array" aca="1" ref="BJ597" ca="1">INDIRECT("'"&amp;$C597&amp;"'!"&amp;"$"&amp;$D597&amp;$BI$1&amp;"")</f>
        <v>1.5</v>
      </c>
      <c r="BK597" s="280">
        <v>0.96</v>
      </c>
      <c r="BL597" s="279">
        <v>0.47</v>
      </c>
      <c r="BM597" s="283" cm="1">
        <f t="array" aca="1" ref="BM597" ca="1">INDIRECT("'"&amp;$C597&amp;"'!"&amp;"$"&amp;$D597&amp;$BM$1&amp;"")</f>
        <v>1.19</v>
      </c>
      <c r="BN597" s="281"/>
      <c r="BO597" s="281">
        <v>0.99</v>
      </c>
      <c r="BP597" s="279">
        <v>0.15</v>
      </c>
      <c r="BQ597" s="284" cm="1">
        <f t="array" aca="1" ref="BQ597" ca="1">INDIRECT("'"&amp;$C597&amp;"'!"&amp;"$"&amp;$D597&amp;$BQ$1&amp;"")</f>
        <v>0.9</v>
      </c>
      <c r="BR597" s="281"/>
      <c r="BS597" s="281">
        <v>0.96</v>
      </c>
      <c r="BT597" s="279">
        <v>0.25</v>
      </c>
      <c r="BU597" s="284" cm="1">
        <f t="array" aca="1" ref="BU597" ca="1">INDIRECT("'"&amp;$C597&amp;"'!"&amp;"$"&amp;$D597&amp;74&amp;"")</f>
        <v>0</v>
      </c>
      <c r="BV597" s="281"/>
      <c r="BW597" s="281" t="s">
        <v>1</v>
      </c>
      <c r="BX597" s="279" t="s">
        <v>1</v>
      </c>
    </row>
    <row r="598" spans="1:76">
      <c r="A598" s="459">
        <v>45862</v>
      </c>
      <c r="B598" s="345">
        <v>0.750000000000001</v>
      </c>
      <c r="C598" s="305">
        <v>24</v>
      </c>
      <c r="D598" s="306" t="s">
        <v>160</v>
      </c>
      <c r="E598" s="285">
        <v>14</v>
      </c>
      <c r="F598" s="286">
        <v>69.53</v>
      </c>
      <c r="G598" s="287" t="str" cm="1">
        <f t="array" aca="1" ref="G598" ca="1">INDIRECT("'"&amp;$C598&amp;"'!"&amp;"$"&amp;$D598&amp;$E$1&amp;"")</f>
        <v>CMS</v>
      </c>
      <c r="H598" s="288" t="s">
        <v>1</v>
      </c>
      <c r="I598" s="286" t="s">
        <v>1</v>
      </c>
      <c r="J598" s="287" cm="1">
        <f t="array" aca="1" ref="J598" ca="1">INDIRECT("'"&amp;$C598&amp;"'!"&amp;"$"&amp;$D598&amp;$J$1&amp;"")</f>
        <v>6.8</v>
      </c>
      <c r="K598" s="288"/>
      <c r="L598" s="288">
        <v>0.94</v>
      </c>
      <c r="M598" s="289">
        <v>2.39</v>
      </c>
      <c r="N598" s="285" cm="1">
        <f t="array" aca="1" ref="N598" ca="1">INDIRECT("'"&amp;$C598&amp;"'!"&amp;"$"&amp;$D598&amp;$N$1&amp;"")</f>
        <v>6.8</v>
      </c>
      <c r="O598" s="288"/>
      <c r="P598" s="288">
        <v>0.94</v>
      </c>
      <c r="Q598" s="286">
        <v>2.42</v>
      </c>
      <c r="R598" s="285" cm="1">
        <f t="array" aca="1" ref="R598" ca="1">INDIRECT("'"&amp;$C598&amp;"'!"&amp;"$"&amp;$D598&amp;$R$1&amp;"")</f>
        <v>6.8</v>
      </c>
      <c r="S598" s="288"/>
      <c r="T598" s="288">
        <v>0.94</v>
      </c>
      <c r="U598" s="286">
        <v>2.36</v>
      </c>
      <c r="V598" s="287" cm="1">
        <f t="array" aca="1" ref="V598" ca="1">INDIRECT("'"&amp;$C598&amp;"'!"&amp;"$"&amp;$D598&amp;$V$1&amp;"")</f>
        <v>2.8</v>
      </c>
      <c r="W598" s="288">
        <f>3.8*3.45</f>
        <v>13.11</v>
      </c>
      <c r="X598" s="288">
        <v>0.89</v>
      </c>
      <c r="Y598" s="289">
        <v>1.31</v>
      </c>
      <c r="Z598" s="285" t="str" cm="1">
        <f t="array" aca="1" ref="Z598" ca="1">INDIRECT("'"&amp;$C598&amp;"'!"&amp;"$"&amp;$D598&amp;$Z$1&amp;"")</f>
        <v>CMS</v>
      </c>
      <c r="AA598" s="288" t="s">
        <v>1</v>
      </c>
      <c r="AB598" s="288" t="s">
        <v>1</v>
      </c>
      <c r="AC598" s="286" t="s">
        <v>1</v>
      </c>
      <c r="AD598" s="287" t="str" cm="1">
        <f t="array" aca="1" ref="AD598" ca="1">INDIRECT("'"&amp;$C598&amp;"'!"&amp;"$"&amp;$D598&amp;$AD$1&amp;"")</f>
        <v>CMS</v>
      </c>
      <c r="AE598" s="288" t="s">
        <v>1</v>
      </c>
      <c r="AF598" s="288" t="s">
        <v>1</v>
      </c>
      <c r="AG598" s="289" t="s">
        <v>1</v>
      </c>
      <c r="AH598" s="285" cm="1">
        <f t="array" aca="1" ref="AH598" ca="1">INDIRECT("'"&amp;$C598&amp;"'!"&amp;"$"&amp;$D598&amp;$AH$1&amp;"")</f>
        <v>3.8</v>
      </c>
      <c r="AI598" s="288">
        <v>14.04</v>
      </c>
      <c r="AJ598" s="288">
        <v>0.98</v>
      </c>
      <c r="AK598" s="286">
        <v>0.45600000000000002</v>
      </c>
      <c r="AL598" s="285">
        <v>11.7</v>
      </c>
      <c r="AM598" s="289">
        <v>70.900000000000006</v>
      </c>
      <c r="AN598" s="285" cm="1">
        <f t="array" aca="1" ref="AN598" ca="1">INDIRECT("'"&amp;$C598&amp;"'!"&amp;"$"&amp;$D598&amp;$AL$1&amp;"")</f>
        <v>0</v>
      </c>
      <c r="AO598" s="288" t="s">
        <v>1</v>
      </c>
      <c r="AP598" s="286" t="s">
        <v>1</v>
      </c>
      <c r="AQ598" s="287" cm="1">
        <f t="array" aca="1" ref="AQ598" ca="1">INDIRECT("'"&amp;$C598&amp;"'!"&amp;"$"&amp;$D598&amp;$AQ$1&amp;"")</f>
        <v>3.7</v>
      </c>
      <c r="AR598" s="288">
        <v>0.95</v>
      </c>
      <c r="AS598" s="286">
        <v>2.6</v>
      </c>
      <c r="AT598" s="285">
        <v>13.98</v>
      </c>
      <c r="AU598" s="289">
        <v>70.7</v>
      </c>
      <c r="AV598" s="288" cm="1">
        <f t="array" aca="1" ref="AV598" ca="1">INDIRECT("'"&amp;$C598&amp;"'!"&amp;"$"&amp;$D598&amp;$AV$1&amp;"")</f>
        <v>0</v>
      </c>
      <c r="AW598" s="287" t="s">
        <v>1</v>
      </c>
      <c r="AX598" s="288" t="s">
        <v>1</v>
      </c>
      <c r="AY598" s="286" t="s">
        <v>1</v>
      </c>
      <c r="AZ598" s="288" cm="1">
        <f t="array" aca="1" ref="AZ598" ca="1">INDIRECT("'"&amp;$C598&amp;"'!"&amp;"$"&amp;$D598&amp;$AZ$1&amp;"")</f>
        <v>7</v>
      </c>
      <c r="BA598" s="287" t="s">
        <v>1</v>
      </c>
      <c r="BB598" s="288">
        <v>0.95</v>
      </c>
      <c r="BC598" s="286">
        <v>2.6</v>
      </c>
      <c r="BD598" s="290">
        <v>14.27</v>
      </c>
      <c r="BE598" s="289">
        <v>71.81</v>
      </c>
      <c r="BF598" s="290" cm="1">
        <f t="array" aca="1" ref="BF598" ca="1">INDIRECT("'"&amp;$C598&amp;"'!"&amp;"$"&amp;$D598&amp;$BF$1&amp;"")</f>
        <v>14.16</v>
      </c>
      <c r="BG598" s="288">
        <v>0.98</v>
      </c>
      <c r="BH598" s="286">
        <v>3.4</v>
      </c>
      <c r="BI598" s="525">
        <v>67.900000000000006</v>
      </c>
      <c r="BJ598" s="285" cm="1">
        <f t="array" aca="1" ref="BJ598" ca="1">INDIRECT("'"&amp;$C598&amp;"'!"&amp;"$"&amp;$D598&amp;$BI$1&amp;"")</f>
        <v>0.8</v>
      </c>
      <c r="BK598" s="287">
        <v>0.97</v>
      </c>
      <c r="BL598" s="286">
        <v>0.23</v>
      </c>
      <c r="BM598" s="290" cm="1">
        <f t="array" aca="1" ref="BM598" ca="1">INDIRECT("'"&amp;$C598&amp;"'!"&amp;"$"&amp;$D598&amp;$BM$1&amp;"")</f>
        <v>0.96</v>
      </c>
      <c r="BN598" s="288"/>
      <c r="BO598" s="288">
        <v>0.99</v>
      </c>
      <c r="BP598" s="286">
        <v>0.15</v>
      </c>
      <c r="BQ598" s="291" cm="1">
        <f t="array" aca="1" ref="BQ598" ca="1">INDIRECT("'"&amp;$C598&amp;"'!"&amp;"$"&amp;$D598&amp;$BQ$1&amp;"")</f>
        <v>0.95</v>
      </c>
      <c r="BR598" s="288"/>
      <c r="BS598" s="288">
        <v>0.97</v>
      </c>
      <c r="BT598" s="286">
        <v>0.25</v>
      </c>
      <c r="BU598" s="291" cm="1">
        <f t="array" aca="1" ref="BU598" ca="1">INDIRECT("'"&amp;$C598&amp;"'!"&amp;"$"&amp;$D598&amp;74&amp;"")</f>
        <v>0</v>
      </c>
      <c r="BV598" s="288"/>
      <c r="BW598" s="288" t="s">
        <v>1</v>
      </c>
      <c r="BX598" s="286" t="s">
        <v>1</v>
      </c>
    </row>
    <row r="599" spans="1:76">
      <c r="A599" s="459">
        <v>45862</v>
      </c>
      <c r="B599" s="345">
        <v>0.79166666666666696</v>
      </c>
      <c r="C599" s="305">
        <v>24</v>
      </c>
      <c r="D599" s="306" t="s">
        <v>161</v>
      </c>
      <c r="E599" s="278">
        <v>14</v>
      </c>
      <c r="F599" s="279">
        <v>69.819999999999993</v>
      </c>
      <c r="G599" s="280" t="str" cm="1">
        <f t="array" aca="1" ref="G599" ca="1">INDIRECT("'"&amp;$C599&amp;"'!"&amp;"$"&amp;$D599&amp;$E$1&amp;"")</f>
        <v>CMS</v>
      </c>
      <c r="H599" s="281" t="s">
        <v>1</v>
      </c>
      <c r="I599" s="279" t="s">
        <v>1</v>
      </c>
      <c r="J599" s="280" cm="1">
        <f t="array" aca="1" ref="J599" ca="1">INDIRECT("'"&amp;$C599&amp;"'!"&amp;"$"&amp;$D599&amp;$J$1&amp;"")</f>
        <v>6.5</v>
      </c>
      <c r="K599" s="292"/>
      <c r="L599" s="281">
        <v>0.96</v>
      </c>
      <c r="M599" s="282">
        <v>1.95</v>
      </c>
      <c r="N599" s="278" cm="1">
        <f t="array" aca="1" ref="N599" ca="1">INDIRECT("'"&amp;$C599&amp;"'!"&amp;"$"&amp;$D599&amp;$N$1&amp;"")</f>
        <v>6.5</v>
      </c>
      <c r="O599" s="281"/>
      <c r="P599" s="281">
        <v>0.96</v>
      </c>
      <c r="Q599" s="279">
        <v>1.98</v>
      </c>
      <c r="R599" s="468" cm="1">
        <f t="array" aca="1" ref="R599" ca="1">INDIRECT("'"&amp;$C599&amp;"'!"&amp;"$"&amp;$D599&amp;$R$1&amp;"")</f>
        <v>6.5</v>
      </c>
      <c r="S599" s="281"/>
      <c r="T599" s="281">
        <v>0.96</v>
      </c>
      <c r="U599" s="279">
        <v>1.99</v>
      </c>
      <c r="V599" s="280" cm="1">
        <f t="array" aca="1" ref="V599" ca="1">INDIRECT("'"&amp;$C599&amp;"'!"&amp;"$"&amp;$D599&amp;$V$1&amp;"")</f>
        <v>2.8</v>
      </c>
      <c r="W599" s="281">
        <f>3.8*3.48</f>
        <v>13.224</v>
      </c>
      <c r="X599" s="281">
        <v>0.92</v>
      </c>
      <c r="Y599" s="282">
        <v>1.1399999999999999</v>
      </c>
      <c r="Z599" s="278" t="str" cm="1">
        <f t="array" aca="1" ref="Z599" ca="1">INDIRECT("'"&amp;$C599&amp;"'!"&amp;"$"&amp;$D599&amp;$Z$1&amp;"")</f>
        <v>CMS</v>
      </c>
      <c r="AA599" s="281" t="s">
        <v>1</v>
      </c>
      <c r="AB599" s="281" t="s">
        <v>1</v>
      </c>
      <c r="AC599" s="279" t="s">
        <v>1</v>
      </c>
      <c r="AD599" s="280" t="str" cm="1">
        <f t="array" aca="1" ref="AD599" ca="1">INDIRECT("'"&amp;$C599&amp;"'!"&amp;"$"&amp;$D599&amp;$AD$1&amp;"")</f>
        <v>CMS</v>
      </c>
      <c r="AE599" s="281" t="s">
        <v>1</v>
      </c>
      <c r="AF599" s="281" t="s">
        <v>1</v>
      </c>
      <c r="AG599" s="282" t="s">
        <v>1</v>
      </c>
      <c r="AH599" s="278" cm="1">
        <f t="array" aca="1" ref="AH599" ca="1">INDIRECT("'"&amp;$C599&amp;"'!"&amp;"$"&amp;$D599&amp;$AH$1&amp;"")</f>
        <v>3.8</v>
      </c>
      <c r="AI599" s="281">
        <v>14</v>
      </c>
      <c r="AJ599" s="281">
        <v>0.99</v>
      </c>
      <c r="AK599" s="279">
        <v>0.23100000000000001</v>
      </c>
      <c r="AL599" s="278">
        <v>11.7</v>
      </c>
      <c r="AM599" s="282">
        <v>71</v>
      </c>
      <c r="AN599" s="278" cm="1">
        <f t="array" aca="1" ref="AN599" ca="1">INDIRECT("'"&amp;$C599&amp;"'!"&amp;"$"&amp;$D599&amp;$AL$1&amp;"")</f>
        <v>0</v>
      </c>
      <c r="AO599" s="281" t="s">
        <v>1</v>
      </c>
      <c r="AP599" s="279" t="s">
        <v>1</v>
      </c>
      <c r="AQ599" s="280" cm="1">
        <f t="array" aca="1" ref="AQ599" ca="1">INDIRECT("'"&amp;$C599&amp;"'!"&amp;"$"&amp;$D599&amp;$AQ$1&amp;"")</f>
        <v>3.8</v>
      </c>
      <c r="AR599" s="281">
        <v>0.94</v>
      </c>
      <c r="AS599" s="279">
        <v>1.36</v>
      </c>
      <c r="AT599" s="278">
        <v>13.98</v>
      </c>
      <c r="AU599" s="282">
        <v>70.7</v>
      </c>
      <c r="AV599" s="281" cm="1">
        <f t="array" aca="1" ref="AV599" ca="1">INDIRECT("'"&amp;$C599&amp;"'!"&amp;"$"&amp;$D599&amp;$AV$1&amp;"")</f>
        <v>0</v>
      </c>
      <c r="AW599" s="280">
        <v>13.7</v>
      </c>
      <c r="AX599" s="281" t="s">
        <v>1</v>
      </c>
      <c r="AY599" s="279" t="s">
        <v>1</v>
      </c>
      <c r="AZ599" s="281" cm="1">
        <f t="array" aca="1" ref="AZ599" ca="1">INDIRECT("'"&amp;$C599&amp;"'!"&amp;"$"&amp;$D599&amp;$AZ$1&amp;"")</f>
        <v>7</v>
      </c>
      <c r="BA599" s="280">
        <v>13.7</v>
      </c>
      <c r="BB599" s="281">
        <v>0.95</v>
      </c>
      <c r="BC599" s="279">
        <v>2.6</v>
      </c>
      <c r="BD599" s="283">
        <v>14.29</v>
      </c>
      <c r="BE599" s="282">
        <v>71.930000000000007</v>
      </c>
      <c r="BF599" s="283" cm="1">
        <f t="array" aca="1" ref="BF599" ca="1">INDIRECT("'"&amp;$C599&amp;"'!"&amp;"$"&amp;$D599&amp;$BF$1&amp;"")</f>
        <v>14.24</v>
      </c>
      <c r="BG599" s="281">
        <v>0.98</v>
      </c>
      <c r="BH599" s="279">
        <v>3.3</v>
      </c>
      <c r="BI599" s="524">
        <v>68.2</v>
      </c>
      <c r="BJ599" s="278" cm="1">
        <f t="array" aca="1" ref="BJ599" ca="1">INDIRECT("'"&amp;$C599&amp;"'!"&amp;"$"&amp;$D599&amp;$BI$1&amp;"")</f>
        <v>3.9000000000000004</v>
      </c>
      <c r="BK599" s="280">
        <v>0.97</v>
      </c>
      <c r="BL599" s="279">
        <v>0.95</v>
      </c>
      <c r="BM599" s="283" cm="1">
        <f t="array" aca="1" ref="BM599" ca="1">INDIRECT("'"&amp;$C599&amp;"'!"&amp;"$"&amp;$D599&amp;$BM$1&amp;"")</f>
        <v>1.2</v>
      </c>
      <c r="BN599" s="281"/>
      <c r="BO599" s="281">
        <v>0.99</v>
      </c>
      <c r="BP599" s="279">
        <v>0.12</v>
      </c>
      <c r="BQ599" s="284" cm="1">
        <f t="array" aca="1" ref="BQ599" ca="1">INDIRECT("'"&amp;$C599&amp;"'!"&amp;"$"&amp;$D599&amp;$BQ$1&amp;"")</f>
        <v>0.98</v>
      </c>
      <c r="BR599" s="281"/>
      <c r="BS599" s="281">
        <v>0.97</v>
      </c>
      <c r="BT599" s="279">
        <v>0.25</v>
      </c>
      <c r="BU599" s="284" cm="1">
        <f t="array" aca="1" ref="BU599" ca="1">INDIRECT("'"&amp;$C599&amp;"'!"&amp;"$"&amp;$D599&amp;74&amp;"")</f>
        <v>0</v>
      </c>
      <c r="BV599" s="281"/>
      <c r="BW599" s="281" t="s">
        <v>1</v>
      </c>
      <c r="BX599" s="279" t="s">
        <v>1</v>
      </c>
    </row>
    <row r="600" spans="1:76">
      <c r="A600" s="459">
        <v>45862</v>
      </c>
      <c r="B600" s="345">
        <v>0.83333333333333337</v>
      </c>
      <c r="C600" s="305">
        <v>24</v>
      </c>
      <c r="D600" s="306" t="s">
        <v>162</v>
      </c>
      <c r="E600" s="285">
        <v>14</v>
      </c>
      <c r="F600" s="286">
        <v>69.67</v>
      </c>
      <c r="G600" s="287" t="str" cm="1">
        <f t="array" aca="1" ref="G600" ca="1">INDIRECT("'"&amp;$C600&amp;"'!"&amp;"$"&amp;$D600&amp;$E$1&amp;"")</f>
        <v>CMS</v>
      </c>
      <c r="H600" s="288" t="s">
        <v>1</v>
      </c>
      <c r="I600" s="286" t="s">
        <v>1</v>
      </c>
      <c r="J600" s="287" cm="1">
        <f t="array" aca="1" ref="J600" ca="1">INDIRECT("'"&amp;$C600&amp;"'!"&amp;"$"&amp;$D600&amp;$J$1&amp;"")</f>
        <v>6.8</v>
      </c>
      <c r="K600" s="288"/>
      <c r="L600" s="288">
        <v>0.96</v>
      </c>
      <c r="M600" s="289">
        <v>2.02</v>
      </c>
      <c r="N600" s="285" cm="1">
        <f t="array" aca="1" ref="N600" ca="1">INDIRECT("'"&amp;$C600&amp;"'!"&amp;"$"&amp;$D600&amp;$N$1&amp;"")</f>
        <v>6.8</v>
      </c>
      <c r="O600" s="288"/>
      <c r="P600" s="288">
        <v>0.96</v>
      </c>
      <c r="Q600" s="286">
        <v>2.04</v>
      </c>
      <c r="R600" s="285" cm="1">
        <f t="array" aca="1" ref="R600" ca="1">INDIRECT("'"&amp;$C600&amp;"'!"&amp;"$"&amp;$D600&amp;$R$1&amp;"")</f>
        <v>6.8</v>
      </c>
      <c r="S600" s="288"/>
      <c r="T600" s="288">
        <v>0.95</v>
      </c>
      <c r="U600" s="286">
        <v>2.12</v>
      </c>
      <c r="V600" s="287" cm="1">
        <f t="array" aca="1" ref="V600" ca="1">INDIRECT("'"&amp;$C600&amp;"'!"&amp;"$"&amp;$D600&amp;$V$1&amp;"")</f>
        <v>2.5</v>
      </c>
      <c r="W600" s="288">
        <f>3.8*3.48</f>
        <v>13.224</v>
      </c>
      <c r="X600" s="288">
        <v>0.93</v>
      </c>
      <c r="Y600" s="289">
        <v>1.03</v>
      </c>
      <c r="Z600" s="285" t="str" cm="1">
        <f t="array" aca="1" ref="Z600" ca="1">INDIRECT("'"&amp;$C600&amp;"'!"&amp;"$"&amp;$D600&amp;$Z$1&amp;"")</f>
        <v>CMS</v>
      </c>
      <c r="AA600" s="288" t="s">
        <v>1</v>
      </c>
      <c r="AB600" s="288" t="s">
        <v>1</v>
      </c>
      <c r="AC600" s="286" t="s">
        <v>1</v>
      </c>
      <c r="AD600" s="287" t="str" cm="1">
        <f t="array" aca="1" ref="AD600" ca="1">INDIRECT("'"&amp;$C600&amp;"'!"&amp;"$"&amp;$D600&amp;$AD$1&amp;"")</f>
        <v>CMS</v>
      </c>
      <c r="AE600" s="288" t="s">
        <v>1</v>
      </c>
      <c r="AF600" s="288" t="s">
        <v>1</v>
      </c>
      <c r="AG600" s="289" t="s">
        <v>1</v>
      </c>
      <c r="AH600" s="285" cm="1">
        <f t="array" aca="1" ref="AH600" ca="1">INDIRECT("'"&amp;$C600&amp;"'!"&amp;"$"&amp;$D600&amp;$AH$1&amp;"")</f>
        <v>3</v>
      </c>
      <c r="AI600" s="288">
        <v>14</v>
      </c>
      <c r="AJ600" s="288">
        <v>0.98</v>
      </c>
      <c r="AK600" s="286">
        <v>0.51300000000000001</v>
      </c>
      <c r="AL600" s="285">
        <v>11.7</v>
      </c>
      <c r="AM600" s="289">
        <v>70.8</v>
      </c>
      <c r="AN600" s="285" cm="1">
        <f t="array" aca="1" ref="AN600" ca="1">INDIRECT("'"&amp;$C600&amp;"'!"&amp;"$"&amp;$D600&amp;$AL$1&amp;"")</f>
        <v>0</v>
      </c>
      <c r="AO600" s="288" t="s">
        <v>1</v>
      </c>
      <c r="AP600" s="286" t="s">
        <v>1</v>
      </c>
      <c r="AQ600" s="287" cm="1">
        <f t="array" aca="1" ref="AQ600" ca="1">INDIRECT("'"&amp;$C600&amp;"'!"&amp;"$"&amp;$D600&amp;$AQ$1&amp;"")</f>
        <v>3.9</v>
      </c>
      <c r="AR600" s="288">
        <v>0.95</v>
      </c>
      <c r="AS600" s="286">
        <v>1.28</v>
      </c>
      <c r="AT600" s="285">
        <v>13.98</v>
      </c>
      <c r="AU600" s="289">
        <v>70.7</v>
      </c>
      <c r="AV600" s="288" cm="1">
        <f t="array" aca="1" ref="AV600" ca="1">INDIRECT("'"&amp;$C600&amp;"'!"&amp;"$"&amp;$D600&amp;$AV$1&amp;"")</f>
        <v>0</v>
      </c>
      <c r="AW600" s="287" t="s">
        <v>1</v>
      </c>
      <c r="AX600" s="288" t="s">
        <v>1</v>
      </c>
      <c r="AY600" s="286" t="s">
        <v>1</v>
      </c>
      <c r="AZ600" s="288" cm="1">
        <f t="array" aca="1" ref="AZ600" ca="1">INDIRECT("'"&amp;$C600&amp;"'!"&amp;"$"&amp;$D600&amp;$AZ$1&amp;"")</f>
        <v>7</v>
      </c>
      <c r="BA600" s="287" t="s">
        <v>1</v>
      </c>
      <c r="BB600" s="288">
        <v>0.95</v>
      </c>
      <c r="BC600" s="286">
        <v>2.6</v>
      </c>
      <c r="BD600" s="290">
        <v>14.14</v>
      </c>
      <c r="BE600" s="289">
        <v>71.5</v>
      </c>
      <c r="BF600" s="290" cm="1">
        <f t="array" aca="1" ref="BF600" ca="1">INDIRECT("'"&amp;$C600&amp;"'!"&amp;"$"&amp;$D600&amp;$BF$1&amp;"")</f>
        <v>14.24</v>
      </c>
      <c r="BG600" s="288">
        <v>0.99</v>
      </c>
      <c r="BH600" s="286">
        <v>2.2999999999999998</v>
      </c>
      <c r="BI600" s="525">
        <v>68.3</v>
      </c>
      <c r="BJ600" s="285" cm="1">
        <f t="array" aca="1" ref="BJ600" ca="1">INDIRECT("'"&amp;$C600&amp;"'!"&amp;"$"&amp;$D600&amp;$BI$1&amp;"")</f>
        <v>0</v>
      </c>
      <c r="BK600" s="287" t="s">
        <v>1</v>
      </c>
      <c r="BL600" s="286" t="s">
        <v>1</v>
      </c>
      <c r="BM600" s="290" cm="1">
        <f t="array" aca="1" ref="BM600" ca="1">INDIRECT("'"&amp;$C600&amp;"'!"&amp;"$"&amp;$D600&amp;$BM$1&amp;"")</f>
        <v>0.96</v>
      </c>
      <c r="BN600" s="288"/>
      <c r="BO600" s="288">
        <v>0.99</v>
      </c>
      <c r="BP600" s="286">
        <v>0.11</v>
      </c>
      <c r="BQ600" s="291" cm="1">
        <f t="array" aca="1" ref="BQ600" ca="1">INDIRECT("'"&amp;$C600&amp;"'!"&amp;"$"&amp;$D600&amp;$BQ$1&amp;"")</f>
        <v>0.95</v>
      </c>
      <c r="BR600" s="288"/>
      <c r="BS600" s="288">
        <v>0.98</v>
      </c>
      <c r="BT600" s="286">
        <v>0.23</v>
      </c>
      <c r="BU600" s="291" cm="1">
        <f t="array" aca="1" ref="BU600" ca="1">INDIRECT("'"&amp;$C600&amp;"'!"&amp;"$"&amp;$D600&amp;74&amp;"")</f>
        <v>0</v>
      </c>
      <c r="BV600" s="288"/>
      <c r="BW600" s="288" t="s">
        <v>1</v>
      </c>
      <c r="BX600" s="286" t="s">
        <v>1</v>
      </c>
    </row>
    <row r="601" spans="1:76">
      <c r="A601" s="459">
        <v>45862</v>
      </c>
      <c r="B601" s="345">
        <v>0.875000000000001</v>
      </c>
      <c r="C601" s="305">
        <v>24</v>
      </c>
      <c r="D601" s="306" t="s">
        <v>163</v>
      </c>
      <c r="E601" s="278">
        <v>14</v>
      </c>
      <c r="F601" s="279">
        <v>69.36</v>
      </c>
      <c r="G601" s="280" t="str" cm="1">
        <f t="array" aca="1" ref="G601" ca="1">INDIRECT("'"&amp;$C601&amp;"'!"&amp;"$"&amp;$D601&amp;$E$1&amp;"")</f>
        <v>CMS</v>
      </c>
      <c r="H601" s="281" t="s">
        <v>1</v>
      </c>
      <c r="I601" s="279" t="s">
        <v>1</v>
      </c>
      <c r="J601" s="280" cm="1">
        <f t="array" aca="1" ref="J601" ca="1">INDIRECT("'"&amp;$C601&amp;"'!"&amp;"$"&amp;$D601&amp;$J$1&amp;"")</f>
        <v>6.7</v>
      </c>
      <c r="K601" s="281"/>
      <c r="L601" s="281">
        <v>0.95</v>
      </c>
      <c r="M601" s="282">
        <v>2.2000000000000002</v>
      </c>
      <c r="N601" s="278" cm="1">
        <f t="array" aca="1" ref="N601" ca="1">INDIRECT("'"&amp;$C601&amp;"'!"&amp;"$"&amp;$D601&amp;$N$1&amp;"")</f>
        <v>6.7</v>
      </c>
      <c r="O601" s="281"/>
      <c r="P601" s="281">
        <v>0.95</v>
      </c>
      <c r="Q601" s="279">
        <v>2.2000000000000002</v>
      </c>
      <c r="R601" s="468" t="str" cm="1">
        <f t="array" aca="1" ref="R601" ca="1">INDIRECT("'"&amp;$C601&amp;"'!"&amp;"$"&amp;$D601&amp;$R$1&amp;"")</f>
        <v>CMS</v>
      </c>
      <c r="S601" s="281"/>
      <c r="T601" s="281" t="s">
        <v>1</v>
      </c>
      <c r="U601" s="279" t="s">
        <v>1</v>
      </c>
      <c r="V601" s="280" cm="1">
        <f t="array" aca="1" ref="V601" ca="1">INDIRECT("'"&amp;$C601&amp;"'!"&amp;"$"&amp;$D601&amp;$V$1&amp;"")</f>
        <v>2.6</v>
      </c>
      <c r="W601" s="281">
        <f>3.8*3.51</f>
        <v>13.337999999999999</v>
      </c>
      <c r="X601" s="281">
        <v>0.93</v>
      </c>
      <c r="Y601" s="282">
        <v>1.0900000000000001</v>
      </c>
      <c r="Z601" s="278" t="str" cm="1">
        <f t="array" aca="1" ref="Z601" ca="1">INDIRECT("'"&amp;$C601&amp;"'!"&amp;"$"&amp;$D601&amp;$Z$1&amp;"")</f>
        <v>CMS</v>
      </c>
      <c r="AA601" s="281" t="s">
        <v>1</v>
      </c>
      <c r="AB601" s="281" t="s">
        <v>1</v>
      </c>
      <c r="AC601" s="279" t="s">
        <v>1</v>
      </c>
      <c r="AD601" s="280" t="str" cm="1">
        <f t="array" aca="1" ref="AD601" ca="1">INDIRECT("'"&amp;$C601&amp;"'!"&amp;"$"&amp;$D601&amp;$AD$1&amp;"")</f>
        <v>CMS</v>
      </c>
      <c r="AE601" s="281" t="s">
        <v>1</v>
      </c>
      <c r="AF601" s="281" t="s">
        <v>1</v>
      </c>
      <c r="AG601" s="282" t="s">
        <v>1</v>
      </c>
      <c r="AH601" s="278" cm="1">
        <f t="array" aca="1" ref="AH601" ca="1">INDIRECT("'"&amp;$C601&amp;"'!"&amp;"$"&amp;$D601&amp;$AH$1&amp;"")</f>
        <v>3.8</v>
      </c>
      <c r="AI601" s="281">
        <v>14</v>
      </c>
      <c r="AJ601" s="281">
        <v>0.99</v>
      </c>
      <c r="AK601" s="279">
        <v>0.3</v>
      </c>
      <c r="AL601" s="278">
        <v>11.6</v>
      </c>
      <c r="AM601" s="282">
        <v>70.8</v>
      </c>
      <c r="AN601" s="278" cm="1">
        <f t="array" aca="1" ref="AN601" ca="1">INDIRECT("'"&amp;$C601&amp;"'!"&amp;"$"&amp;$D601&amp;$AL$1&amp;"")</f>
        <v>0</v>
      </c>
      <c r="AO601" s="281" t="s">
        <v>1</v>
      </c>
      <c r="AP601" s="279" t="s">
        <v>1</v>
      </c>
      <c r="AQ601" s="280" cm="1">
        <f t="array" aca="1" ref="AQ601" ca="1">INDIRECT("'"&amp;$C601&amp;"'!"&amp;"$"&amp;$D601&amp;$AQ$1&amp;"")</f>
        <v>3.8</v>
      </c>
      <c r="AR601" s="281">
        <v>0.98</v>
      </c>
      <c r="AS601" s="279">
        <v>0.68</v>
      </c>
      <c r="AT601" s="278">
        <v>13.94</v>
      </c>
      <c r="AU601" s="282">
        <v>70.5</v>
      </c>
      <c r="AV601" s="281" cm="1">
        <f t="array" aca="1" ref="AV601" ca="1">INDIRECT("'"&amp;$C601&amp;"'!"&amp;"$"&amp;$D601&amp;$AV$1&amp;"")</f>
        <v>0</v>
      </c>
      <c r="AW601" s="280" t="s">
        <v>1</v>
      </c>
      <c r="AX601" s="281" t="s">
        <v>1</v>
      </c>
      <c r="AY601" s="279" t="s">
        <v>1</v>
      </c>
      <c r="AZ601" s="281" cm="1">
        <f t="array" aca="1" ref="AZ601" ca="1">INDIRECT("'"&amp;$C601&amp;"'!"&amp;"$"&amp;$D601&amp;$AZ$1&amp;"")</f>
        <v>7</v>
      </c>
      <c r="BA601" s="280" t="s">
        <v>1</v>
      </c>
      <c r="BB601" s="281">
        <v>0.97</v>
      </c>
      <c r="BC601" s="279">
        <v>1.8</v>
      </c>
      <c r="BD601" s="283">
        <v>14.15</v>
      </c>
      <c r="BE601" s="282">
        <v>71.66</v>
      </c>
      <c r="BF601" s="283" cm="1">
        <f t="array" aca="1" ref="BF601" ca="1">INDIRECT("'"&amp;$C601&amp;"'!"&amp;"$"&amp;$D601&amp;$BF$1&amp;"")</f>
        <v>14.27</v>
      </c>
      <c r="BG601" s="281">
        <v>0.99</v>
      </c>
      <c r="BH601" s="279">
        <v>2.2999999999999998</v>
      </c>
      <c r="BI601" s="524">
        <v>68.400000000000006</v>
      </c>
      <c r="BJ601" s="278" cm="1">
        <f t="array" aca="1" ref="BJ601" ca="1">INDIRECT("'"&amp;$C601&amp;"'!"&amp;"$"&amp;$D601&amp;$BI$1&amp;"")</f>
        <v>4.5999999999999996</v>
      </c>
      <c r="BK601" s="280">
        <v>0.98</v>
      </c>
      <c r="BL601" s="279">
        <v>0.92</v>
      </c>
      <c r="BM601" s="283" cm="1">
        <f t="array" aca="1" ref="BM601" ca="1">INDIRECT("'"&amp;$C601&amp;"'!"&amp;"$"&amp;$D601&amp;$BM$1&amp;"")</f>
        <v>1</v>
      </c>
      <c r="BN601" s="281"/>
      <c r="BO601" s="281">
        <v>0.99</v>
      </c>
      <c r="BP601" s="279">
        <v>0.1</v>
      </c>
      <c r="BQ601" s="284" cm="1">
        <f t="array" aca="1" ref="BQ601" ca="1">INDIRECT("'"&amp;$C601&amp;"'!"&amp;"$"&amp;$D601&amp;$BQ$1&amp;"")</f>
        <v>0.85</v>
      </c>
      <c r="BR601" s="281"/>
      <c r="BS601" s="281">
        <v>0.96</v>
      </c>
      <c r="BT601" s="279">
        <v>0.24</v>
      </c>
      <c r="BU601" s="284" cm="1">
        <f t="array" aca="1" ref="BU601" ca="1">INDIRECT("'"&amp;$C601&amp;"'!"&amp;"$"&amp;$D601&amp;74&amp;"")</f>
        <v>0</v>
      </c>
      <c r="BV601" s="281"/>
      <c r="BW601" s="281" t="s">
        <v>1</v>
      </c>
      <c r="BX601" s="279" t="s">
        <v>1</v>
      </c>
    </row>
    <row r="602" spans="1:76">
      <c r="A602" s="459">
        <v>45862</v>
      </c>
      <c r="B602" s="345">
        <v>0.91666666666666696</v>
      </c>
      <c r="C602" s="305">
        <v>24</v>
      </c>
      <c r="D602" s="306" t="s">
        <v>164</v>
      </c>
      <c r="E602" s="285">
        <v>14</v>
      </c>
      <c r="F602" s="286">
        <v>69.459999999999994</v>
      </c>
      <c r="G602" s="287" t="str" cm="1">
        <f t="array" aca="1" ref="G602" ca="1">INDIRECT("'"&amp;$C602&amp;"'!"&amp;"$"&amp;$D602&amp;$E$1&amp;"")</f>
        <v>CMS</v>
      </c>
      <c r="H602" s="288" t="s">
        <v>1</v>
      </c>
      <c r="I602" s="286" t="s">
        <v>1</v>
      </c>
      <c r="J602" s="287" cm="1">
        <f t="array" aca="1" ref="J602" ca="1">INDIRECT("'"&amp;$C602&amp;"'!"&amp;"$"&amp;$D602&amp;$J$1&amp;"")</f>
        <v>6.7</v>
      </c>
      <c r="K602" s="288"/>
      <c r="L602" s="288">
        <v>0.96</v>
      </c>
      <c r="M602" s="289">
        <v>1.8</v>
      </c>
      <c r="N602" s="285" cm="1">
        <f t="array" aca="1" ref="N602" ca="1">INDIRECT("'"&amp;$C602&amp;"'!"&amp;"$"&amp;$D602&amp;$N$1&amp;"")</f>
        <v>6.7</v>
      </c>
      <c r="O602" s="288"/>
      <c r="P602" s="288">
        <v>0.96</v>
      </c>
      <c r="Q602" s="286">
        <v>1.8</v>
      </c>
      <c r="R602" s="285" t="str" cm="1">
        <f t="array" aca="1" ref="R602" ca="1">INDIRECT("'"&amp;$C602&amp;"'!"&amp;"$"&amp;$D602&amp;$R$1&amp;"")</f>
        <v>CMS</v>
      </c>
      <c r="S602" s="288"/>
      <c r="T602" s="288" t="s">
        <v>1</v>
      </c>
      <c r="U602" s="286" t="s">
        <v>1</v>
      </c>
      <c r="V602" s="287" cm="1">
        <f t="array" aca="1" ref="V602" ca="1">INDIRECT("'"&amp;$C602&amp;"'!"&amp;"$"&amp;$D602&amp;$V$1&amp;"")</f>
        <v>2.8</v>
      </c>
      <c r="W602" s="288">
        <f>3.53*3.8</f>
        <v>13.413999999999998</v>
      </c>
      <c r="X602" s="288">
        <v>0.93</v>
      </c>
      <c r="Y602" s="289">
        <v>1.1200000000000001</v>
      </c>
      <c r="Z602" s="285" t="str" cm="1">
        <f t="array" aca="1" ref="Z602" ca="1">INDIRECT("'"&amp;$C602&amp;"'!"&amp;"$"&amp;$D602&amp;$Z$1&amp;"")</f>
        <v>CMS</v>
      </c>
      <c r="AA602" s="288" t="s">
        <v>1</v>
      </c>
      <c r="AB602" s="288" t="s">
        <v>1</v>
      </c>
      <c r="AC602" s="286" t="s">
        <v>1</v>
      </c>
      <c r="AD602" s="287" t="str" cm="1">
        <f t="array" aca="1" ref="AD602" ca="1">INDIRECT("'"&amp;$C602&amp;"'!"&amp;"$"&amp;$D602&amp;$AD$1&amp;"")</f>
        <v>CMS</v>
      </c>
      <c r="AE602" s="288" t="s">
        <v>1</v>
      </c>
      <c r="AF602" s="288" t="s">
        <v>1</v>
      </c>
      <c r="AG602" s="289" t="s">
        <v>1</v>
      </c>
      <c r="AH602" s="285" cm="1">
        <f t="array" aca="1" ref="AH602" ca="1">INDIRECT("'"&amp;$C602&amp;"'!"&amp;"$"&amp;$D602&amp;$AH$1&amp;"")</f>
        <v>3.8</v>
      </c>
      <c r="AI602" s="288">
        <v>14</v>
      </c>
      <c r="AJ602" s="288">
        <v>0.99</v>
      </c>
      <c r="AK602" s="286">
        <v>0.222</v>
      </c>
      <c r="AL602" s="285">
        <v>11.6</v>
      </c>
      <c r="AM602" s="289">
        <v>70.8</v>
      </c>
      <c r="AN602" s="285" cm="1">
        <f t="array" aca="1" ref="AN602" ca="1">INDIRECT("'"&amp;$C602&amp;"'!"&amp;"$"&amp;$D602&amp;$AL$1&amp;"")</f>
        <v>0</v>
      </c>
      <c r="AO602" s="288" t="s">
        <v>1</v>
      </c>
      <c r="AP602" s="286" t="s">
        <v>1</v>
      </c>
      <c r="AQ602" s="287" cm="1">
        <f t="array" aca="1" ref="AQ602" ca="1">INDIRECT("'"&amp;$C602&amp;"'!"&amp;"$"&amp;$D602&amp;$AQ$1&amp;"")</f>
        <v>4</v>
      </c>
      <c r="AR602" s="288">
        <v>0.99</v>
      </c>
      <c r="AS602" s="286">
        <v>0.62</v>
      </c>
      <c r="AT602" s="285">
        <v>13.96</v>
      </c>
      <c r="AU602" s="289">
        <v>70.5</v>
      </c>
      <c r="AV602" s="288" cm="1">
        <f t="array" aca="1" ref="AV602" ca="1">INDIRECT("'"&amp;$C602&amp;"'!"&amp;"$"&amp;$D602&amp;$AV$1&amp;"")</f>
        <v>0</v>
      </c>
      <c r="AW602" s="287" t="s">
        <v>1</v>
      </c>
      <c r="AX602" s="288" t="s">
        <v>1</v>
      </c>
      <c r="AY602" s="286" t="s">
        <v>1</v>
      </c>
      <c r="AZ602" s="288" cm="1">
        <f t="array" aca="1" ref="AZ602" ca="1">INDIRECT("'"&amp;$C602&amp;"'!"&amp;"$"&amp;$D602&amp;$AZ$1&amp;"")</f>
        <v>7</v>
      </c>
      <c r="BA602" s="287" t="s">
        <v>1</v>
      </c>
      <c r="BB602" s="288">
        <v>0.98</v>
      </c>
      <c r="BC602" s="286">
        <v>1.7</v>
      </c>
      <c r="BD602" s="290">
        <v>14.19</v>
      </c>
      <c r="BE602" s="289">
        <v>71.88</v>
      </c>
      <c r="BF602" s="290" cm="1">
        <f t="array" aca="1" ref="BF602" ca="1">INDIRECT("'"&amp;$C602&amp;"'!"&amp;"$"&amp;$D602&amp;$BF$1&amp;"")</f>
        <v>14.29</v>
      </c>
      <c r="BG602" s="288">
        <v>0.99</v>
      </c>
      <c r="BH602" s="286">
        <v>2.2999999999999998</v>
      </c>
      <c r="BI602" s="525">
        <v>68.2</v>
      </c>
      <c r="BJ602" s="285" cm="1">
        <f t="array" aca="1" ref="BJ602" ca="1">INDIRECT("'"&amp;$C602&amp;"'!"&amp;"$"&amp;$D602&amp;$BI$1&amp;"")</f>
        <v>0</v>
      </c>
      <c r="BK602" s="287" t="s">
        <v>1</v>
      </c>
      <c r="BL602" s="286" t="s">
        <v>1</v>
      </c>
      <c r="BM602" s="290" cm="1">
        <f t="array" aca="1" ref="BM602" ca="1">INDIRECT("'"&amp;$C602&amp;"'!"&amp;"$"&amp;$D602&amp;$BM$1&amp;"")</f>
        <v>1</v>
      </c>
      <c r="BN602" s="288"/>
      <c r="BO602" s="288">
        <v>0.99</v>
      </c>
      <c r="BP602" s="286">
        <v>0.1</v>
      </c>
      <c r="BQ602" s="291" cm="1">
        <f t="array" aca="1" ref="BQ602" ca="1">INDIRECT("'"&amp;$C602&amp;"'!"&amp;"$"&amp;$D602&amp;$BQ$1&amp;"")</f>
        <v>0.89</v>
      </c>
      <c r="BR602" s="288"/>
      <c r="BS602" s="288">
        <v>0.97</v>
      </c>
      <c r="BT602" s="286">
        <v>0.23</v>
      </c>
      <c r="BU602" s="291" cm="1">
        <f t="array" aca="1" ref="BU602" ca="1">INDIRECT("'"&amp;$C602&amp;"'!"&amp;"$"&amp;$D602&amp;74&amp;"")</f>
        <v>0</v>
      </c>
      <c r="BV602" s="288"/>
      <c r="BW602" s="288" t="s">
        <v>1</v>
      </c>
      <c r="BX602" s="286" t="s">
        <v>1</v>
      </c>
    </row>
    <row r="603" spans="1:76" ht="14.45" thickBot="1">
      <c r="A603" s="460">
        <v>45862</v>
      </c>
      <c r="B603" s="346">
        <v>0.95833333333333404</v>
      </c>
      <c r="C603" s="307">
        <v>24</v>
      </c>
      <c r="D603" s="308" t="s">
        <v>165</v>
      </c>
      <c r="E603" s="293">
        <v>14</v>
      </c>
      <c r="F603" s="294">
        <v>69.239999999999995</v>
      </c>
      <c r="G603" s="295" t="str" cm="1">
        <f t="array" aca="1" ref="G603" ca="1">INDIRECT("'"&amp;$C603&amp;"'!"&amp;"$"&amp;$D603&amp;$E$1&amp;"")</f>
        <v>CMS</v>
      </c>
      <c r="H603" s="296" t="s">
        <v>1</v>
      </c>
      <c r="I603" s="294" t="s">
        <v>1</v>
      </c>
      <c r="J603" s="295" cm="1">
        <f t="array" aca="1" ref="J603" ca="1">INDIRECT("'"&amp;$C603&amp;"'!"&amp;"$"&amp;$D603&amp;$J$1&amp;"")</f>
        <v>6.7</v>
      </c>
      <c r="K603" s="296"/>
      <c r="L603" s="296">
        <v>0.96</v>
      </c>
      <c r="M603" s="297">
        <v>1.88</v>
      </c>
      <c r="N603" s="293" cm="1">
        <f t="array" aca="1" ref="N603" ca="1">INDIRECT("'"&amp;$C603&amp;"'!"&amp;"$"&amp;$D603&amp;$N$1&amp;"")</f>
        <v>6.7</v>
      </c>
      <c r="O603" s="296"/>
      <c r="P603" s="296">
        <v>0.94</v>
      </c>
      <c r="Q603" s="294">
        <v>2.4</v>
      </c>
      <c r="R603" s="470" t="str" cm="1">
        <f t="array" aca="1" ref="R603" ca="1">INDIRECT("'"&amp;$C603&amp;"'!"&amp;"$"&amp;$D603&amp;$R$1&amp;"")</f>
        <v>CMS</v>
      </c>
      <c r="S603" s="296"/>
      <c r="T603" s="296" t="s">
        <v>1</v>
      </c>
      <c r="U603" s="294" t="s">
        <v>1</v>
      </c>
      <c r="V603" s="295" cm="1">
        <f t="array" aca="1" ref="V603" ca="1">INDIRECT("'"&amp;$C603&amp;"'!"&amp;"$"&amp;$D603&amp;$V$1&amp;"")</f>
        <v>0</v>
      </c>
      <c r="W603" s="296" t="s">
        <v>1</v>
      </c>
      <c r="X603" s="296" t="s">
        <v>1</v>
      </c>
      <c r="Y603" s="297" t="s">
        <v>1</v>
      </c>
      <c r="Z603" s="293" t="str" cm="1">
        <f t="array" aca="1" ref="Z603" ca="1">INDIRECT("'"&amp;$C603&amp;"'!"&amp;"$"&amp;$D603&amp;$Z$1&amp;"")</f>
        <v>CMS</v>
      </c>
      <c r="AA603" s="296" t="s">
        <v>1</v>
      </c>
      <c r="AB603" s="296" t="s">
        <v>1</v>
      </c>
      <c r="AC603" s="294" t="s">
        <v>1</v>
      </c>
      <c r="AD603" s="295" t="str" cm="1">
        <f t="array" aca="1" ref="AD603" ca="1">INDIRECT("'"&amp;$C603&amp;"'!"&amp;"$"&amp;$D603&amp;$AD$1&amp;"")</f>
        <v>CMS</v>
      </c>
      <c r="AE603" s="296" t="s">
        <v>1</v>
      </c>
      <c r="AF603" s="296" t="s">
        <v>1</v>
      </c>
      <c r="AG603" s="297" t="s">
        <v>1</v>
      </c>
      <c r="AH603" s="293" cm="1">
        <f t="array" aca="1" ref="AH603" ca="1">INDIRECT("'"&amp;$C603&amp;"'!"&amp;"$"&amp;$D603&amp;$AH$1&amp;"")</f>
        <v>3.8</v>
      </c>
      <c r="AI603" s="296">
        <v>14</v>
      </c>
      <c r="AJ603" s="296">
        <v>0.99</v>
      </c>
      <c r="AK603" s="294">
        <v>0.183</v>
      </c>
      <c r="AL603" s="293">
        <v>11.6</v>
      </c>
      <c r="AM603" s="297">
        <v>70.900000000000006</v>
      </c>
      <c r="AN603" s="293" cm="1">
        <f t="array" aca="1" ref="AN603" ca="1">INDIRECT("'"&amp;$C603&amp;"'!"&amp;"$"&amp;$D603&amp;$AL$1&amp;"")</f>
        <v>0</v>
      </c>
      <c r="AO603" s="296" t="s">
        <v>1</v>
      </c>
      <c r="AP603" s="294" t="s">
        <v>1</v>
      </c>
      <c r="AQ603" s="295" cm="1">
        <f t="array" aca="1" ref="AQ603" ca="1">INDIRECT("'"&amp;$C603&amp;"'!"&amp;"$"&amp;$D603&amp;$AQ$1&amp;"")</f>
        <v>4</v>
      </c>
      <c r="AR603" s="296">
        <v>0.99</v>
      </c>
      <c r="AS603" s="294">
        <v>0.65</v>
      </c>
      <c r="AT603" s="293">
        <v>13.94</v>
      </c>
      <c r="AU603" s="297">
        <v>70.400000000000006</v>
      </c>
      <c r="AV603" s="296" cm="1">
        <f t="array" aca="1" ref="AV603" ca="1">INDIRECT("'"&amp;$C603&amp;"'!"&amp;"$"&amp;$D603&amp;$AV$1&amp;"")</f>
        <v>0</v>
      </c>
      <c r="AW603" s="295" t="s">
        <v>1</v>
      </c>
      <c r="AX603" s="296" t="s">
        <v>1</v>
      </c>
      <c r="AY603" s="294" t="s">
        <v>1</v>
      </c>
      <c r="AZ603" s="296" cm="1">
        <f t="array" aca="1" ref="AZ603" ca="1">INDIRECT("'"&amp;$C603&amp;"'!"&amp;"$"&amp;$D603&amp;$AZ$1&amp;"")</f>
        <v>7</v>
      </c>
      <c r="BA603" s="295" t="s">
        <v>1</v>
      </c>
      <c r="BB603" s="296">
        <v>0.97</v>
      </c>
      <c r="BC603" s="294">
        <v>1.8</v>
      </c>
      <c r="BD603" s="298">
        <v>14.18</v>
      </c>
      <c r="BE603" s="297">
        <v>71.87</v>
      </c>
      <c r="BF603" s="298" cm="1">
        <f t="array" aca="1" ref="BF603" ca="1">INDIRECT("'"&amp;$C603&amp;"'!"&amp;"$"&amp;$D603&amp;$BF$1&amp;"")</f>
        <v>14.25</v>
      </c>
      <c r="BG603" s="296">
        <v>0.99</v>
      </c>
      <c r="BH603" s="294">
        <v>2.2999999999999998</v>
      </c>
      <c r="BI603" s="526">
        <v>68.3</v>
      </c>
      <c r="BJ603" s="293" cm="1">
        <f t="array" aca="1" ref="BJ603" ca="1">INDIRECT("'"&amp;$C603&amp;"'!"&amp;"$"&amp;$D603&amp;$BI$1&amp;"")</f>
        <v>0</v>
      </c>
      <c r="BK603" s="295" t="s">
        <v>1</v>
      </c>
      <c r="BL603" s="294" t="s">
        <v>1</v>
      </c>
      <c r="BM603" s="298" cm="1">
        <f t="array" aca="1" ref="BM603" ca="1">INDIRECT("'"&amp;$C603&amp;"'!"&amp;"$"&amp;$D603&amp;$BM$1&amp;"")</f>
        <v>1</v>
      </c>
      <c r="BN603" s="296"/>
      <c r="BO603" s="296">
        <v>0.99</v>
      </c>
      <c r="BP603" s="294">
        <v>0.11</v>
      </c>
      <c r="BQ603" s="299" cm="1">
        <f t="array" aca="1" ref="BQ603" ca="1">INDIRECT("'"&amp;$C603&amp;"'!"&amp;"$"&amp;$D603&amp;$BQ$1&amp;"")</f>
        <v>0.85</v>
      </c>
      <c r="BR603" s="296"/>
      <c r="BS603" s="296">
        <v>0.97</v>
      </c>
      <c r="BT603" s="294">
        <v>0.23</v>
      </c>
      <c r="BU603" s="299" cm="1">
        <f t="array" aca="1" ref="BU603" ca="1">INDIRECT("'"&amp;$C603&amp;"'!"&amp;"$"&amp;$D603&amp;74&amp;"")</f>
        <v>0</v>
      </c>
      <c r="BV603" s="296"/>
      <c r="BW603" s="296" t="s">
        <v>1</v>
      </c>
      <c r="BX603" s="294" t="s">
        <v>1</v>
      </c>
    </row>
    <row r="604" spans="1:76" ht="14.45" thickBot="1"/>
    <row r="605" spans="1:76">
      <c r="A605" s="347">
        <v>45863</v>
      </c>
      <c r="B605" s="344">
        <v>0</v>
      </c>
      <c r="C605" s="302">
        <v>25</v>
      </c>
      <c r="D605" s="303" t="s">
        <v>142</v>
      </c>
      <c r="E605" s="272">
        <v>14</v>
      </c>
      <c r="F605" s="273">
        <v>69.540000000000006</v>
      </c>
      <c r="G605" s="274" t="str" cm="1">
        <f t="array" aca="1" ref="G605" ca="1">INDIRECT("'"&amp;$C605&amp;"'!"&amp;"$"&amp;$D605&amp;$E$1&amp;"")</f>
        <v>CMS</v>
      </c>
      <c r="H605" s="275" t="s">
        <v>1</v>
      </c>
      <c r="I605" s="273" t="s">
        <v>1</v>
      </c>
      <c r="J605" s="274" cm="1">
        <f t="array" aca="1" ref="J605" ca="1">INDIRECT("'"&amp;$C605&amp;"'!"&amp;"$"&amp;$D605&amp;$J$1&amp;"")</f>
        <v>6.8</v>
      </c>
      <c r="K605" s="275"/>
      <c r="L605" s="275">
        <v>0.96</v>
      </c>
      <c r="M605" s="276">
        <v>1.9</v>
      </c>
      <c r="N605" s="272" cm="1">
        <f t="array" aca="1" ref="N605" ca="1">INDIRECT("'"&amp;$C605&amp;"'!"&amp;"$"&amp;$D605&amp;$N$1&amp;"")</f>
        <v>6.8</v>
      </c>
      <c r="O605" s="275"/>
      <c r="P605" s="275">
        <v>0.96</v>
      </c>
      <c r="Q605" s="273">
        <v>1.9</v>
      </c>
      <c r="R605" s="467" t="str" cm="1">
        <f t="array" aca="1" ref="R605" ca="1">INDIRECT("'"&amp;$C605&amp;"'!"&amp;"$"&amp;$D605&amp;$R$1&amp;"")</f>
        <v>CMS</v>
      </c>
      <c r="S605" s="275"/>
      <c r="T605" s="275" t="s">
        <v>1</v>
      </c>
      <c r="U605" s="273" t="s">
        <v>1</v>
      </c>
      <c r="V605" s="274" cm="1">
        <f t="array" aca="1" ref="V605" ca="1">INDIRECT("'"&amp;$C605&amp;"'!"&amp;"$"&amp;$D605&amp;$V$1&amp;"")</f>
        <v>0</v>
      </c>
      <c r="W605" s="275" t="s">
        <v>1</v>
      </c>
      <c r="X605" s="275" t="s">
        <v>1</v>
      </c>
      <c r="Y605" s="276" t="s">
        <v>1</v>
      </c>
      <c r="Z605" s="272" t="str" cm="1">
        <f t="array" aca="1" ref="Z605" ca="1">INDIRECT("'"&amp;$C605&amp;"'!"&amp;"$"&amp;$D605&amp;$Z$1&amp;"")</f>
        <v>CMS</v>
      </c>
      <c r="AA605" s="275" t="s">
        <v>1</v>
      </c>
      <c r="AB605" s="275" t="s">
        <v>1</v>
      </c>
      <c r="AC605" s="273" t="s">
        <v>1</v>
      </c>
      <c r="AD605" s="274" t="str" cm="1">
        <f t="array" aca="1" ref="AD605" ca="1">INDIRECT("'"&amp;$C605&amp;"'!"&amp;"$"&amp;$D605&amp;$AD$1&amp;"")</f>
        <v>CMS</v>
      </c>
      <c r="AE605" s="275" t="s">
        <v>1</v>
      </c>
      <c r="AF605" s="275" t="s">
        <v>1</v>
      </c>
      <c r="AG605" s="273" t="s">
        <v>1</v>
      </c>
      <c r="AH605" s="272" cm="1">
        <f t="array" aca="1" ref="AH605" ca="1">INDIRECT("'"&amp;$C605&amp;"'!"&amp;"$"&amp;$D605&amp;$AH$1&amp;"")</f>
        <v>0</v>
      </c>
      <c r="AI605" s="275" t="s">
        <v>1</v>
      </c>
      <c r="AJ605" s="275" t="s">
        <v>1</v>
      </c>
      <c r="AK605" s="273" t="s">
        <v>1</v>
      </c>
      <c r="AL605" s="272">
        <v>11.6</v>
      </c>
      <c r="AM605" s="276">
        <v>70.900000000000006</v>
      </c>
      <c r="AN605" s="272" cm="1">
        <f t="array" aca="1" ref="AN605" ca="1">INDIRECT("'"&amp;$C605&amp;"'!"&amp;"$"&amp;$D605&amp;$AL$1&amp;"")</f>
        <v>0</v>
      </c>
      <c r="AO605" s="275" t="s">
        <v>1</v>
      </c>
      <c r="AP605" s="273" t="s">
        <v>1</v>
      </c>
      <c r="AQ605" s="274" cm="1">
        <f t="array" aca="1" ref="AQ605" ca="1">INDIRECT("'"&amp;$C605&amp;"'!"&amp;"$"&amp;$D605&amp;$AQ$1&amp;"")</f>
        <v>3.8</v>
      </c>
      <c r="AR605" s="275">
        <v>0.98</v>
      </c>
      <c r="AS605" s="273">
        <v>0.8</v>
      </c>
      <c r="AT605" s="272">
        <v>13.94</v>
      </c>
      <c r="AU605" s="276">
        <v>70.400000000000006</v>
      </c>
      <c r="AV605" s="275" cm="1">
        <f t="array" aca="1" ref="AV605" ca="1">INDIRECT("'"&amp;$C605&amp;"'!"&amp;"$"&amp;$D605&amp;$AV$1&amp;"")</f>
        <v>0</v>
      </c>
      <c r="AW605" s="274" t="s">
        <v>1</v>
      </c>
      <c r="AX605" s="275" t="s">
        <v>1</v>
      </c>
      <c r="AY605" s="273" t="s">
        <v>1</v>
      </c>
      <c r="AZ605" s="275" cm="1">
        <f t="array" aca="1" ref="AZ605" ca="1">INDIRECT("'"&amp;$C605&amp;"'!"&amp;"$"&amp;$D605&amp;$AZ$1&amp;"")</f>
        <v>7.2</v>
      </c>
      <c r="BA605" s="274" t="s">
        <v>1</v>
      </c>
      <c r="BB605" s="275">
        <v>0.97</v>
      </c>
      <c r="BC605" s="273">
        <v>2</v>
      </c>
      <c r="BD605" s="277">
        <v>13.99</v>
      </c>
      <c r="BE605" s="276">
        <v>71.36</v>
      </c>
      <c r="BF605" s="277" cm="1">
        <f t="array" aca="1" ref="BF605" ca="1">INDIRECT("'"&amp;$C605&amp;"'!"&amp;"$"&amp;$D605&amp;$BF$1&amp;"")</f>
        <v>14.32</v>
      </c>
      <c r="BG605" s="275">
        <v>1</v>
      </c>
      <c r="BH605" s="273">
        <v>1.3</v>
      </c>
      <c r="BI605" s="523">
        <v>68.599999999999994</v>
      </c>
      <c r="BJ605" s="272" cm="1">
        <f t="array" aca="1" ref="BJ605" ca="1">INDIRECT("'"&amp;$C605&amp;"'!"&amp;"$"&amp;$D605&amp;$BI$1&amp;"")</f>
        <v>0</v>
      </c>
      <c r="BK605" s="274" t="s">
        <v>1</v>
      </c>
      <c r="BL605" s="273" t="s">
        <v>1</v>
      </c>
      <c r="BM605" s="277" cm="1">
        <f t="array" aca="1" ref="BM605" ca="1">INDIRECT("'"&amp;$C605&amp;"'!"&amp;"$"&amp;$D605&amp;$BM$1&amp;"")</f>
        <v>0.93</v>
      </c>
      <c r="BN605" s="275"/>
      <c r="BO605" s="275">
        <v>0.99</v>
      </c>
      <c r="BP605" s="273">
        <v>0.09</v>
      </c>
      <c r="BQ605" s="277" cm="1">
        <f t="array" aca="1" ref="BQ605" ca="1">INDIRECT("'"&amp;$C605&amp;"'!"&amp;"$"&amp;$D605&amp;$BQ$1&amp;"")</f>
        <v>0.8</v>
      </c>
      <c r="BR605" s="275"/>
      <c r="BS605" s="275">
        <v>0.97</v>
      </c>
      <c r="BT605" s="273">
        <v>0.2</v>
      </c>
      <c r="BU605" s="358" cm="1">
        <f t="array" aca="1" ref="BU605" ca="1">INDIRECT("'"&amp;$C605&amp;"'!"&amp;"$"&amp;$D605&amp;74&amp;"")</f>
        <v>0</v>
      </c>
      <c r="BV605" s="275"/>
      <c r="BW605" s="275" t="s">
        <v>1</v>
      </c>
      <c r="BX605" s="273" t="s">
        <v>1</v>
      </c>
    </row>
    <row r="606" spans="1:76">
      <c r="A606" s="459">
        <v>45863</v>
      </c>
      <c r="B606" s="345">
        <v>4.1666666666666699E-2</v>
      </c>
      <c r="C606" s="305">
        <v>25</v>
      </c>
      <c r="D606" s="306" t="s">
        <v>143</v>
      </c>
      <c r="E606" s="278">
        <v>14.1</v>
      </c>
      <c r="F606" s="279">
        <v>69.900000000000006</v>
      </c>
      <c r="G606" s="280" t="str" cm="1">
        <f t="array" aca="1" ref="G606" ca="1">INDIRECT("'"&amp;$C606&amp;"'!"&amp;"$"&amp;$D606&amp;$E$1&amp;"")</f>
        <v>CMS</v>
      </c>
      <c r="H606" s="281" t="s">
        <v>1</v>
      </c>
      <c r="I606" s="279" t="s">
        <v>1</v>
      </c>
      <c r="J606" s="280" cm="1">
        <f t="array" aca="1" ref="J606" ca="1">INDIRECT("'"&amp;$C606&amp;"'!"&amp;"$"&amp;$D606&amp;$J$1&amp;"")</f>
        <v>6.8</v>
      </c>
      <c r="K606" s="281"/>
      <c r="L606" s="281">
        <v>0.96</v>
      </c>
      <c r="M606" s="282">
        <v>1.9</v>
      </c>
      <c r="N606" s="278" cm="1">
        <f t="array" aca="1" ref="N606" ca="1">INDIRECT("'"&amp;$C606&amp;"'!"&amp;"$"&amp;$D606&amp;$N$1&amp;"")</f>
        <v>6.8</v>
      </c>
      <c r="O606" s="281"/>
      <c r="P606" s="281">
        <v>0.99</v>
      </c>
      <c r="Q606" s="279">
        <v>1.05</v>
      </c>
      <c r="R606" s="468" t="str" cm="1">
        <f t="array" aca="1" ref="R606" ca="1">INDIRECT("'"&amp;$C606&amp;"'!"&amp;"$"&amp;$D606&amp;$R$1&amp;"")</f>
        <v>CMS</v>
      </c>
      <c r="S606" s="281"/>
      <c r="T606" s="281" t="s">
        <v>1</v>
      </c>
      <c r="U606" s="279" t="s">
        <v>1</v>
      </c>
      <c r="V606" s="280" cm="1">
        <f t="array" aca="1" ref="V606" ca="1">INDIRECT("'"&amp;$C606&amp;"'!"&amp;"$"&amp;$D606&amp;$V$1&amp;"")</f>
        <v>0</v>
      </c>
      <c r="W606" s="281" t="s">
        <v>1</v>
      </c>
      <c r="X606" s="281" t="s">
        <v>1</v>
      </c>
      <c r="Y606" s="282" t="s">
        <v>1</v>
      </c>
      <c r="Z606" s="278" t="str" cm="1">
        <f t="array" aca="1" ref="Z606" ca="1">INDIRECT("'"&amp;$C606&amp;"'!"&amp;"$"&amp;$D606&amp;$Z$1&amp;"")</f>
        <v>CMS</v>
      </c>
      <c r="AA606" s="281" t="s">
        <v>1</v>
      </c>
      <c r="AB606" s="281" t="s">
        <v>1</v>
      </c>
      <c r="AC606" s="279" t="s">
        <v>1</v>
      </c>
      <c r="AD606" s="280" t="str" cm="1">
        <f t="array" aca="1" ref="AD606" ca="1">INDIRECT("'"&amp;$C606&amp;"'!"&amp;"$"&amp;$D606&amp;$AD$1&amp;"")</f>
        <v>CMS</v>
      </c>
      <c r="AE606" s="281" t="s">
        <v>1</v>
      </c>
      <c r="AF606" s="281" t="s">
        <v>1</v>
      </c>
      <c r="AG606" s="282" t="s">
        <v>1</v>
      </c>
      <c r="AH606" s="278" cm="1">
        <f t="array" aca="1" ref="AH606" ca="1">INDIRECT("'"&amp;$C606&amp;"'!"&amp;"$"&amp;$D606&amp;$AH$1&amp;"")</f>
        <v>0</v>
      </c>
      <c r="AI606" s="281" t="s">
        <v>1</v>
      </c>
      <c r="AJ606" s="281" t="s">
        <v>1</v>
      </c>
      <c r="AK606" s="279" t="s">
        <v>1</v>
      </c>
      <c r="AL606" s="278">
        <v>11.6</v>
      </c>
      <c r="AM606" s="282">
        <v>70.8</v>
      </c>
      <c r="AN606" s="278" cm="1">
        <f t="array" aca="1" ref="AN606" ca="1">INDIRECT("'"&amp;$C606&amp;"'!"&amp;"$"&amp;$D606&amp;$AL$1&amp;"")</f>
        <v>0</v>
      </c>
      <c r="AO606" s="281" t="s">
        <v>1</v>
      </c>
      <c r="AP606" s="279" t="s">
        <v>1</v>
      </c>
      <c r="AQ606" s="280" cm="1">
        <f t="array" aca="1" ref="AQ606" ca="1">INDIRECT("'"&amp;$C606&amp;"'!"&amp;"$"&amp;$D606&amp;$AQ$1&amp;"")</f>
        <v>1.5</v>
      </c>
      <c r="AR606" s="281">
        <v>0.94</v>
      </c>
      <c r="AS606" s="279">
        <v>0.63</v>
      </c>
      <c r="AT606" s="278">
        <v>13.96</v>
      </c>
      <c r="AU606" s="282">
        <v>70.5</v>
      </c>
      <c r="AV606" s="281" cm="1">
        <f t="array" aca="1" ref="AV606" ca="1">INDIRECT("'"&amp;$C606&amp;"'!"&amp;"$"&amp;$D606&amp;$AV$1&amp;"")</f>
        <v>0</v>
      </c>
      <c r="AW606" s="280" t="s">
        <v>1</v>
      </c>
      <c r="AX606" s="281" t="s">
        <v>1</v>
      </c>
      <c r="AY606" s="279" t="s">
        <v>1</v>
      </c>
      <c r="AZ606" s="281" cm="1">
        <f t="array" aca="1" ref="AZ606" ca="1">INDIRECT("'"&amp;$C606&amp;"'!"&amp;"$"&amp;$D606&amp;$AZ$1&amp;"")</f>
        <v>6.5</v>
      </c>
      <c r="BA606" s="280" t="s">
        <v>1</v>
      </c>
      <c r="BB606" s="281">
        <v>0.97</v>
      </c>
      <c r="BC606" s="279">
        <v>1.7</v>
      </c>
      <c r="BD606" s="283">
        <v>14.08</v>
      </c>
      <c r="BE606" s="282">
        <v>71.64</v>
      </c>
      <c r="BF606" s="283" cm="1">
        <f t="array" aca="1" ref="BF606" ca="1">INDIRECT("'"&amp;$C606&amp;"'!"&amp;"$"&amp;$D606&amp;$BF$1&amp;"")</f>
        <v>14.29</v>
      </c>
      <c r="BG606" s="281">
        <v>1</v>
      </c>
      <c r="BH606" s="279">
        <v>1.3</v>
      </c>
      <c r="BI606" s="524">
        <v>69</v>
      </c>
      <c r="BJ606" s="278" cm="1">
        <f t="array" aca="1" ref="BJ606" ca="1">INDIRECT("'"&amp;$C606&amp;"'!"&amp;"$"&amp;$D606&amp;$BI$1&amp;"")</f>
        <v>0</v>
      </c>
      <c r="BK606" s="280" t="s">
        <v>1</v>
      </c>
      <c r="BL606" s="279" t="s">
        <v>1</v>
      </c>
      <c r="BM606" s="283" cm="1">
        <f t="array" aca="1" ref="BM606" ca="1">INDIRECT("'"&amp;$C606&amp;"'!"&amp;"$"&amp;$D606&amp;$BM$1&amp;"")</f>
        <v>0.9</v>
      </c>
      <c r="BN606" s="281"/>
      <c r="BO606" s="281">
        <v>0.99</v>
      </c>
      <c r="BP606" s="279">
        <v>0.09</v>
      </c>
      <c r="BQ606" s="283" cm="1">
        <f t="array" aca="1" ref="BQ606" ca="1">INDIRECT("'"&amp;$C606&amp;"'!"&amp;"$"&amp;$D606&amp;$BQ$1&amp;"")</f>
        <v>0.76</v>
      </c>
      <c r="BR606" s="281"/>
      <c r="BS606" s="281">
        <v>0.96</v>
      </c>
      <c r="BT606" s="279">
        <v>0.2</v>
      </c>
      <c r="BU606" s="284" cm="1">
        <f t="array" aca="1" ref="BU606" ca="1">INDIRECT("'"&amp;$C606&amp;"'!"&amp;"$"&amp;$D606&amp;74&amp;"")</f>
        <v>0</v>
      </c>
      <c r="BV606" s="281"/>
      <c r="BW606" s="281" t="s">
        <v>1</v>
      </c>
      <c r="BX606" s="279" t="s">
        <v>1</v>
      </c>
    </row>
    <row r="607" spans="1:76">
      <c r="A607" s="459">
        <v>45863</v>
      </c>
      <c r="B607" s="345">
        <v>8.3333333333333301E-2</v>
      </c>
      <c r="C607" s="305">
        <v>25</v>
      </c>
      <c r="D607" s="306" t="s">
        <v>144</v>
      </c>
      <c r="E607" s="285">
        <v>14.1</v>
      </c>
      <c r="F607" s="286">
        <v>69.87</v>
      </c>
      <c r="G607" s="287" t="str" cm="1">
        <f t="array" aca="1" ref="G607" ca="1">INDIRECT("'"&amp;$C607&amp;"'!"&amp;"$"&amp;$D607&amp;$E$1&amp;"")</f>
        <v>CMS</v>
      </c>
      <c r="H607" s="288" t="s">
        <v>1</v>
      </c>
      <c r="I607" s="286" t="s">
        <v>1</v>
      </c>
      <c r="J607" s="287" cm="1">
        <f t="array" aca="1" ref="J607" ca="1">INDIRECT("'"&amp;$C607&amp;"'!"&amp;"$"&amp;$D607&amp;$J$1&amp;"")</f>
        <v>6.7</v>
      </c>
      <c r="K607" s="288"/>
      <c r="L607" s="288">
        <v>0.96</v>
      </c>
      <c r="M607" s="289">
        <v>1.9</v>
      </c>
      <c r="N607" s="285" cm="1">
        <f t="array" aca="1" ref="N607" ca="1">INDIRECT("'"&amp;$C607&amp;"'!"&amp;"$"&amp;$D607&amp;$N$1&amp;"")</f>
        <v>6.7</v>
      </c>
      <c r="O607" s="288"/>
      <c r="P607" s="288">
        <v>0.96</v>
      </c>
      <c r="Q607" s="286">
        <v>1.9</v>
      </c>
      <c r="R607" s="285" t="str" cm="1">
        <f t="array" aca="1" ref="R607" ca="1">INDIRECT("'"&amp;$C607&amp;"'!"&amp;"$"&amp;$D607&amp;$R$1&amp;"")</f>
        <v>CMS</v>
      </c>
      <c r="S607" s="288"/>
      <c r="T607" s="288" t="s">
        <v>1</v>
      </c>
      <c r="U607" s="286" t="s">
        <v>1</v>
      </c>
      <c r="V607" s="287" cm="1">
        <f t="array" aca="1" ref="V607" ca="1">INDIRECT("'"&amp;$C607&amp;"'!"&amp;"$"&amp;$D607&amp;$V$1&amp;"")</f>
        <v>0</v>
      </c>
      <c r="W607" s="288" t="s">
        <v>1</v>
      </c>
      <c r="X607" s="288" t="s">
        <v>1</v>
      </c>
      <c r="Y607" s="289" t="s">
        <v>1</v>
      </c>
      <c r="Z607" s="278" t="str" cm="1">
        <f t="array" aca="1" ref="Z607" ca="1">INDIRECT("'"&amp;$C607&amp;"'!"&amp;"$"&amp;$D607&amp;$Z$1&amp;"")</f>
        <v>CMS</v>
      </c>
      <c r="AA607" s="288" t="s">
        <v>1</v>
      </c>
      <c r="AB607" s="288" t="s">
        <v>1</v>
      </c>
      <c r="AC607" s="286" t="s">
        <v>1</v>
      </c>
      <c r="AD607" s="287" t="str" cm="1">
        <f t="array" aca="1" ref="AD607" ca="1">INDIRECT("'"&amp;$C607&amp;"'!"&amp;"$"&amp;$D607&amp;$AD$1&amp;"")</f>
        <v>CMS</v>
      </c>
      <c r="AE607" s="288" t="s">
        <v>1</v>
      </c>
      <c r="AF607" s="288" t="s">
        <v>1</v>
      </c>
      <c r="AG607" s="289" t="s">
        <v>1</v>
      </c>
      <c r="AH607" s="285" cm="1">
        <f t="array" aca="1" ref="AH607" ca="1">INDIRECT("'"&amp;$C607&amp;"'!"&amp;"$"&amp;$D607&amp;$AH$1&amp;"")</f>
        <v>0</v>
      </c>
      <c r="AI607" s="288" t="s">
        <v>1</v>
      </c>
      <c r="AJ607" s="288" t="s">
        <v>1</v>
      </c>
      <c r="AK607" s="289" t="s">
        <v>1</v>
      </c>
      <c r="AL607" s="285" t="s">
        <v>1</v>
      </c>
      <c r="AM607" s="289">
        <v>70.8</v>
      </c>
      <c r="AN607" s="285" cm="1">
        <f t="array" aca="1" ref="AN607" ca="1">INDIRECT("'"&amp;$C607&amp;"'!"&amp;"$"&amp;$D607&amp;$AL$1&amp;"")</f>
        <v>0</v>
      </c>
      <c r="AO607" s="288" t="s">
        <v>1</v>
      </c>
      <c r="AP607" s="286" t="s">
        <v>1</v>
      </c>
      <c r="AQ607" s="287" cm="1">
        <f t="array" aca="1" ref="AQ607" ca="1">INDIRECT("'"&amp;$C607&amp;"'!"&amp;"$"&amp;$D607&amp;$AQ$1&amp;"")</f>
        <v>0</v>
      </c>
      <c r="AR607" s="288" t="s">
        <v>1</v>
      </c>
      <c r="AS607" s="286" t="s">
        <v>1</v>
      </c>
      <c r="AT607" s="285">
        <v>13.92</v>
      </c>
      <c r="AU607" s="289">
        <v>70.5</v>
      </c>
      <c r="AV607" s="288" cm="1">
        <f t="array" aca="1" ref="AV607" ca="1">INDIRECT("'"&amp;$C607&amp;"'!"&amp;"$"&amp;$D607&amp;$AV$1&amp;"")</f>
        <v>0</v>
      </c>
      <c r="AW607" s="287" t="s">
        <v>1</v>
      </c>
      <c r="AX607" s="288" t="s">
        <v>1</v>
      </c>
      <c r="AY607" s="286" t="s">
        <v>1</v>
      </c>
      <c r="AZ607" s="288" cm="1">
        <f t="array" aca="1" ref="AZ607" ca="1">INDIRECT("'"&amp;$C607&amp;"'!"&amp;"$"&amp;$D607&amp;$AZ$1&amp;"")</f>
        <v>7.2</v>
      </c>
      <c r="BA607" s="287" t="s">
        <v>1</v>
      </c>
      <c r="BB607" s="288">
        <v>0.97</v>
      </c>
      <c r="BC607" s="286">
        <v>1.9</v>
      </c>
      <c r="BD607" s="290">
        <v>14.09</v>
      </c>
      <c r="BE607" s="289">
        <v>71.790000000000006</v>
      </c>
      <c r="BF607" s="290" cm="1">
        <f t="array" aca="1" ref="BF607" ca="1">INDIRECT("'"&amp;$C607&amp;"'!"&amp;"$"&amp;$D607&amp;$BF$1&amp;"")</f>
        <v>14.3</v>
      </c>
      <c r="BG607" s="288">
        <v>1</v>
      </c>
      <c r="BH607" s="286">
        <v>1.2</v>
      </c>
      <c r="BI607" s="525">
        <v>69.099999999999994</v>
      </c>
      <c r="BJ607" s="285" cm="1">
        <f t="array" aca="1" ref="BJ607" ca="1">INDIRECT("'"&amp;$C607&amp;"'!"&amp;"$"&amp;$D607&amp;$BI$1&amp;"")</f>
        <v>0</v>
      </c>
      <c r="BK607" s="287" t="s">
        <v>1</v>
      </c>
      <c r="BL607" s="286" t="s">
        <v>1</v>
      </c>
      <c r="BM607" s="290" cm="1">
        <f t="array" aca="1" ref="BM607" ca="1">INDIRECT("'"&amp;$C607&amp;"'!"&amp;"$"&amp;$D607&amp;$BM$1&amp;"")</f>
        <v>0.89</v>
      </c>
      <c r="BN607" s="288"/>
      <c r="BO607" s="288">
        <v>0.99</v>
      </c>
      <c r="BP607" s="286">
        <v>0.09</v>
      </c>
      <c r="BQ607" s="290" cm="1">
        <f t="array" aca="1" ref="BQ607" ca="1">INDIRECT("'"&amp;$C607&amp;"'!"&amp;"$"&amp;$D607&amp;$BQ$1&amp;"")</f>
        <v>0.74</v>
      </c>
      <c r="BR607" s="288"/>
      <c r="BS607" s="288">
        <v>0.96</v>
      </c>
      <c r="BT607" s="286">
        <v>0.19</v>
      </c>
      <c r="BU607" s="291" cm="1">
        <f t="array" aca="1" ref="BU607" ca="1">INDIRECT("'"&amp;$C607&amp;"'!"&amp;"$"&amp;$D607&amp;74&amp;"")</f>
        <v>0</v>
      </c>
      <c r="BV607" s="288"/>
      <c r="BW607" s="288" t="s">
        <v>1</v>
      </c>
      <c r="BX607" s="286" t="s">
        <v>1</v>
      </c>
    </row>
    <row r="608" spans="1:76">
      <c r="A608" s="459">
        <v>45863</v>
      </c>
      <c r="B608" s="345">
        <v>0.125</v>
      </c>
      <c r="C608" s="305">
        <v>25</v>
      </c>
      <c r="D608" s="306" t="s">
        <v>145</v>
      </c>
      <c r="E608" s="278">
        <v>14</v>
      </c>
      <c r="F608" s="279">
        <v>69.8</v>
      </c>
      <c r="G608" s="280" t="str" cm="1">
        <f t="array" aca="1" ref="G608" ca="1">INDIRECT("'"&amp;$C608&amp;"'!"&amp;"$"&amp;$D608&amp;$E$1&amp;"")</f>
        <v>CMS</v>
      </c>
      <c r="H608" s="281" t="s">
        <v>1</v>
      </c>
      <c r="I608" s="279" t="s">
        <v>1</v>
      </c>
      <c r="J608" s="280" cm="1">
        <f t="array" aca="1" ref="J608" ca="1">INDIRECT("'"&amp;$C608&amp;"'!"&amp;"$"&amp;$D608&amp;$J$1&amp;"")</f>
        <v>6.5</v>
      </c>
      <c r="K608" s="281"/>
      <c r="L608" s="281">
        <v>0.96</v>
      </c>
      <c r="M608" s="282">
        <v>1.89</v>
      </c>
      <c r="N608" s="278" cm="1">
        <f t="array" aca="1" ref="N608" ca="1">INDIRECT("'"&amp;$C608&amp;"'!"&amp;"$"&amp;$D608&amp;$N$1&amp;"")</f>
        <v>6.5</v>
      </c>
      <c r="O608" s="281"/>
      <c r="P608" s="281">
        <v>0.96</v>
      </c>
      <c r="Q608" s="279">
        <v>1.89</v>
      </c>
      <c r="R608" s="468" t="str" cm="1">
        <f t="array" aca="1" ref="R608" ca="1">INDIRECT("'"&amp;$C608&amp;"'!"&amp;"$"&amp;$D608&amp;$R$1&amp;"")</f>
        <v>CMS</v>
      </c>
      <c r="S608" s="281"/>
      <c r="T608" s="281" t="s">
        <v>1</v>
      </c>
      <c r="U608" s="279" t="s">
        <v>1</v>
      </c>
      <c r="V608" s="280" cm="1">
        <f t="array" aca="1" ref="V608" ca="1">INDIRECT("'"&amp;$C608&amp;"'!"&amp;"$"&amp;$D608&amp;$V$1&amp;"")</f>
        <v>0</v>
      </c>
      <c r="W608" s="281" t="s">
        <v>1</v>
      </c>
      <c r="X608" s="281" t="s">
        <v>1</v>
      </c>
      <c r="Y608" s="282" t="s">
        <v>1</v>
      </c>
      <c r="Z608" s="278" t="str" cm="1">
        <f t="array" aca="1" ref="Z608" ca="1">INDIRECT("'"&amp;$C608&amp;"'!"&amp;"$"&amp;$D608&amp;$Z$1&amp;"")</f>
        <v>CMS</v>
      </c>
      <c r="AA608" s="281" t="s">
        <v>1</v>
      </c>
      <c r="AB608" s="281" t="s">
        <v>1</v>
      </c>
      <c r="AC608" s="279" t="s">
        <v>1</v>
      </c>
      <c r="AD608" s="280" t="str" cm="1">
        <f t="array" aca="1" ref="AD608" ca="1">INDIRECT("'"&amp;$C608&amp;"'!"&amp;"$"&amp;$D608&amp;$AD$1&amp;"")</f>
        <v>CMS</v>
      </c>
      <c r="AE608" s="281" t="s">
        <v>1</v>
      </c>
      <c r="AF608" s="281" t="s">
        <v>1</v>
      </c>
      <c r="AG608" s="282" t="s">
        <v>1</v>
      </c>
      <c r="AH608" s="278" cm="1">
        <f t="array" aca="1" ref="AH608" ca="1">INDIRECT("'"&amp;$C608&amp;"'!"&amp;"$"&amp;$D608&amp;$AH$1&amp;"")</f>
        <v>0</v>
      </c>
      <c r="AI608" s="281" t="s">
        <v>1</v>
      </c>
      <c r="AJ608" s="281" t="s">
        <v>1</v>
      </c>
      <c r="AK608" s="279" t="s">
        <v>1</v>
      </c>
      <c r="AL608" s="278" t="s">
        <v>1</v>
      </c>
      <c r="AM608" s="282">
        <v>70.7</v>
      </c>
      <c r="AN608" s="278" cm="1">
        <f t="array" aca="1" ref="AN608" ca="1">INDIRECT("'"&amp;$C608&amp;"'!"&amp;"$"&amp;$D608&amp;$AL$1&amp;"")</f>
        <v>0</v>
      </c>
      <c r="AO608" s="281" t="s">
        <v>1</v>
      </c>
      <c r="AP608" s="279" t="s">
        <v>1</v>
      </c>
      <c r="AQ608" s="280" cm="1">
        <f t="array" aca="1" ref="AQ608" ca="1">INDIRECT("'"&amp;$C608&amp;"'!"&amp;"$"&amp;$D608&amp;$AQ$1&amp;"")</f>
        <v>0</v>
      </c>
      <c r="AR608" s="281" t="s">
        <v>1</v>
      </c>
      <c r="AS608" s="279" t="s">
        <v>1</v>
      </c>
      <c r="AT608" s="278">
        <v>13.92</v>
      </c>
      <c r="AU608" s="282">
        <v>70.400000000000006</v>
      </c>
      <c r="AV608" s="281" cm="1">
        <f t="array" aca="1" ref="AV608" ca="1">INDIRECT("'"&amp;$C608&amp;"'!"&amp;"$"&amp;$D608&amp;$AV$1&amp;"")</f>
        <v>0</v>
      </c>
      <c r="AW608" s="280" t="s">
        <v>1</v>
      </c>
      <c r="AX608" s="281" t="s">
        <v>1</v>
      </c>
      <c r="AY608" s="279" t="s">
        <v>1</v>
      </c>
      <c r="AZ608" s="281" cm="1">
        <f t="array" aca="1" ref="AZ608" ca="1">INDIRECT("'"&amp;$C608&amp;"'!"&amp;"$"&amp;$D608&amp;$AZ$1&amp;"")</f>
        <v>7</v>
      </c>
      <c r="BA608" s="280" t="s">
        <v>1</v>
      </c>
      <c r="BB608" s="281">
        <v>0.96</v>
      </c>
      <c r="BC608" s="279">
        <v>1.9</v>
      </c>
      <c r="BD608" s="283">
        <v>14.03</v>
      </c>
      <c r="BE608" s="282">
        <v>71.459999999999994</v>
      </c>
      <c r="BF608" s="283" cm="1">
        <f t="array" aca="1" ref="BF608" ca="1">INDIRECT("'"&amp;$C608&amp;"'!"&amp;"$"&amp;$D608&amp;$BF$1&amp;"")</f>
        <v>14.31</v>
      </c>
      <c r="BG608" s="281">
        <v>1</v>
      </c>
      <c r="BH608" s="279">
        <v>1.3</v>
      </c>
      <c r="BI608" s="524">
        <v>68.900000000000006</v>
      </c>
      <c r="BJ608" s="278" cm="1">
        <f t="array" aca="1" ref="BJ608" ca="1">INDIRECT("'"&amp;$C608&amp;"'!"&amp;"$"&amp;$D608&amp;$BI$1&amp;"")</f>
        <v>0</v>
      </c>
      <c r="BK608" s="280" t="s">
        <v>1</v>
      </c>
      <c r="BL608" s="279" t="s">
        <v>1</v>
      </c>
      <c r="BM608" s="283" cm="1">
        <f t="array" aca="1" ref="BM608" ca="1">INDIRECT("'"&amp;$C608&amp;"'!"&amp;"$"&amp;$D608&amp;$BM$1&amp;"")</f>
        <v>0.93</v>
      </c>
      <c r="BN608" s="281"/>
      <c r="BO608" s="281">
        <v>0.99</v>
      </c>
      <c r="BP608" s="279">
        <v>0.08</v>
      </c>
      <c r="BQ608" s="283" cm="1">
        <f t="array" aca="1" ref="BQ608" ca="1">INDIRECT("'"&amp;$C608&amp;"'!"&amp;"$"&amp;$D608&amp;$BQ$1&amp;"")</f>
        <v>0.72</v>
      </c>
      <c r="BR608" s="281"/>
      <c r="BS608" s="281">
        <v>0.96</v>
      </c>
      <c r="BT608" s="279">
        <v>0.98</v>
      </c>
      <c r="BU608" s="284" cm="1">
        <f t="array" aca="1" ref="BU608" ca="1">INDIRECT("'"&amp;$C608&amp;"'!"&amp;"$"&amp;$D608&amp;74&amp;"")</f>
        <v>0</v>
      </c>
      <c r="BV608" s="281"/>
      <c r="BW608" s="281" t="s">
        <v>1</v>
      </c>
      <c r="BX608" s="279" t="s">
        <v>1</v>
      </c>
    </row>
    <row r="609" spans="1:76">
      <c r="A609" s="459">
        <v>45863</v>
      </c>
      <c r="B609" s="345">
        <v>0.16666666666666699</v>
      </c>
      <c r="C609" s="305">
        <v>25</v>
      </c>
      <c r="D609" s="306" t="s">
        <v>146</v>
      </c>
      <c r="E609" s="285">
        <v>14.1</v>
      </c>
      <c r="F609" s="286">
        <v>69.84</v>
      </c>
      <c r="G609" s="287" t="str" cm="1">
        <f t="array" aca="1" ref="G609" ca="1">INDIRECT("'"&amp;$C609&amp;"'!"&amp;"$"&amp;$D609&amp;$E$1&amp;"")</f>
        <v>CMS</v>
      </c>
      <c r="H609" s="288" t="s">
        <v>1</v>
      </c>
      <c r="I609" s="286" t="s">
        <v>1</v>
      </c>
      <c r="J609" s="287" cm="1">
        <f t="array" aca="1" ref="J609" ca="1">INDIRECT("'"&amp;$C609&amp;"'!"&amp;"$"&amp;$D609&amp;$J$1&amp;"")</f>
        <v>6.6</v>
      </c>
      <c r="K609" s="288"/>
      <c r="L609" s="288">
        <v>0.98</v>
      </c>
      <c r="M609" s="286">
        <v>1.47</v>
      </c>
      <c r="N609" s="285" cm="1">
        <f t="array" aca="1" ref="N609" ca="1">INDIRECT("'"&amp;$C609&amp;"'!"&amp;"$"&amp;$D609&amp;$N$1&amp;"")</f>
        <v>6.6</v>
      </c>
      <c r="O609" s="288"/>
      <c r="P609" s="288">
        <v>0.98</v>
      </c>
      <c r="Q609" s="286">
        <v>1.47</v>
      </c>
      <c r="R609" s="285" t="str" cm="1">
        <f t="array" aca="1" ref="R609" ca="1">INDIRECT("'"&amp;$C609&amp;"'!"&amp;"$"&amp;$D609&amp;$R$1&amp;"")</f>
        <v>CMS</v>
      </c>
      <c r="S609" s="288"/>
      <c r="T609" s="288" t="s">
        <v>1</v>
      </c>
      <c r="U609" s="286" t="s">
        <v>1</v>
      </c>
      <c r="V609" s="287" cm="1">
        <f t="array" aca="1" ref="V609" ca="1">INDIRECT("'"&amp;$C609&amp;"'!"&amp;"$"&amp;$D609&amp;$V$1&amp;"")</f>
        <v>0</v>
      </c>
      <c r="W609" s="288" t="s">
        <v>1</v>
      </c>
      <c r="X609" s="288" t="s">
        <v>1</v>
      </c>
      <c r="Y609" s="289" t="s">
        <v>1</v>
      </c>
      <c r="Z609" s="285" t="str" cm="1">
        <f t="array" aca="1" ref="Z609" ca="1">INDIRECT("'"&amp;$C609&amp;"'!"&amp;"$"&amp;$D609&amp;$Z$1&amp;"")</f>
        <v>CMS</v>
      </c>
      <c r="AA609" s="288" t="s">
        <v>1</v>
      </c>
      <c r="AB609" s="288" t="s">
        <v>1</v>
      </c>
      <c r="AC609" s="286" t="s">
        <v>1</v>
      </c>
      <c r="AD609" s="287" t="str" cm="1">
        <f t="array" aca="1" ref="AD609" ca="1">INDIRECT("'"&amp;$C609&amp;"'!"&amp;"$"&amp;$D609&amp;$AD$1&amp;"")</f>
        <v>CMS</v>
      </c>
      <c r="AE609" s="288" t="s">
        <v>1</v>
      </c>
      <c r="AF609" s="288" t="s">
        <v>1</v>
      </c>
      <c r="AG609" s="289" t="s">
        <v>1</v>
      </c>
      <c r="AH609" s="285" cm="1">
        <f t="array" aca="1" ref="AH609" ca="1">INDIRECT("'"&amp;$C609&amp;"'!"&amp;"$"&amp;$D609&amp;$AH$1&amp;"")</f>
        <v>0</v>
      </c>
      <c r="AI609" s="288" t="s">
        <v>1</v>
      </c>
      <c r="AJ609" s="288" t="s">
        <v>1</v>
      </c>
      <c r="AK609" s="286" t="s">
        <v>1</v>
      </c>
      <c r="AL609" s="285" t="s">
        <v>1</v>
      </c>
      <c r="AM609" s="289">
        <v>70.7</v>
      </c>
      <c r="AN609" s="285" cm="1">
        <f t="array" aca="1" ref="AN609" ca="1">INDIRECT("'"&amp;$C609&amp;"'!"&amp;"$"&amp;$D609&amp;$AL$1&amp;"")</f>
        <v>0</v>
      </c>
      <c r="AO609" s="288" t="s">
        <v>1</v>
      </c>
      <c r="AP609" s="286" t="s">
        <v>1</v>
      </c>
      <c r="AQ609" s="287" cm="1">
        <f t="array" aca="1" ref="AQ609" ca="1">INDIRECT("'"&amp;$C609&amp;"'!"&amp;"$"&amp;$D609&amp;$AQ$1&amp;"")</f>
        <v>0</v>
      </c>
      <c r="AR609" s="288" t="s">
        <v>1</v>
      </c>
      <c r="AS609" s="286" t="s">
        <v>1</v>
      </c>
      <c r="AT609" s="285">
        <v>13.91</v>
      </c>
      <c r="AU609" s="289">
        <v>70.3</v>
      </c>
      <c r="AV609" s="288" cm="1">
        <f t="array" aca="1" ref="AV609" ca="1">INDIRECT("'"&amp;$C609&amp;"'!"&amp;"$"&amp;$D609&amp;$AV$1&amp;"")</f>
        <v>0</v>
      </c>
      <c r="AW609" s="287" t="s">
        <v>1</v>
      </c>
      <c r="AX609" s="288" t="s">
        <v>1</v>
      </c>
      <c r="AY609" s="286" t="s">
        <v>1</v>
      </c>
      <c r="AZ609" s="288" cm="1">
        <f t="array" aca="1" ref="AZ609" ca="1">INDIRECT("'"&amp;$C609&amp;"'!"&amp;"$"&amp;$D609&amp;$AZ$1&amp;"")</f>
        <v>6.5</v>
      </c>
      <c r="BA609" s="287" t="s">
        <v>1</v>
      </c>
      <c r="BB609" s="288">
        <v>0.96</v>
      </c>
      <c r="BC609" s="286">
        <v>2</v>
      </c>
      <c r="BD609" s="290">
        <v>14.02</v>
      </c>
      <c r="BE609" s="289">
        <v>71.37</v>
      </c>
      <c r="BF609" s="290" cm="1">
        <f t="array" aca="1" ref="BF609" ca="1">INDIRECT("'"&amp;$C609&amp;"'!"&amp;"$"&amp;$D609&amp;$BF$1&amp;"")</f>
        <v>14.28</v>
      </c>
      <c r="BG609" s="288">
        <v>1</v>
      </c>
      <c r="BH609" s="286">
        <v>1.3</v>
      </c>
      <c r="BI609" s="525">
        <v>68.900000000000006</v>
      </c>
      <c r="BJ609" s="285" cm="1">
        <f t="array" aca="1" ref="BJ609" ca="1">INDIRECT("'"&amp;$C609&amp;"'!"&amp;"$"&amp;$D609&amp;$BI$1&amp;"")</f>
        <v>0</v>
      </c>
      <c r="BK609" s="287" t="s">
        <v>1</v>
      </c>
      <c r="BL609" s="286" t="s">
        <v>1</v>
      </c>
      <c r="BM609" s="290" cm="1">
        <f t="array" aca="1" ref="BM609" ca="1">INDIRECT("'"&amp;$C609&amp;"'!"&amp;"$"&amp;$D609&amp;$BM$1&amp;"")</f>
        <v>0.92</v>
      </c>
      <c r="BN609" s="288"/>
      <c r="BO609" s="288">
        <v>0.99</v>
      </c>
      <c r="BP609" s="286">
        <v>0.09</v>
      </c>
      <c r="BQ609" s="290" cm="1">
        <f t="array" aca="1" ref="BQ609" ca="1">INDIRECT("'"&amp;$C609&amp;"'!"&amp;"$"&amp;$D609&amp;$BQ$1&amp;"")</f>
        <v>0.7</v>
      </c>
      <c r="BR609" s="288"/>
      <c r="BS609" s="288">
        <v>0.96</v>
      </c>
      <c r="BT609" s="286">
        <v>0.19</v>
      </c>
      <c r="BU609" s="291" cm="1">
        <f t="array" aca="1" ref="BU609" ca="1">INDIRECT("'"&amp;$C609&amp;"'!"&amp;"$"&amp;$D609&amp;74&amp;"")</f>
        <v>0</v>
      </c>
      <c r="BV609" s="288"/>
      <c r="BW609" s="288" t="s">
        <v>1</v>
      </c>
      <c r="BX609" s="286" t="s">
        <v>1</v>
      </c>
    </row>
    <row r="610" spans="1:76">
      <c r="A610" s="459">
        <v>45863</v>
      </c>
      <c r="B610" s="345">
        <v>0.20833333333333301</v>
      </c>
      <c r="C610" s="305">
        <v>25</v>
      </c>
      <c r="D610" s="306" t="s">
        <v>147</v>
      </c>
      <c r="E610" s="278">
        <v>14.1</v>
      </c>
      <c r="F610" s="279">
        <v>69.78</v>
      </c>
      <c r="G610" s="280" t="str" cm="1">
        <f t="array" aca="1" ref="G610" ca="1">INDIRECT("'"&amp;$C610&amp;"'!"&amp;"$"&amp;$D610&amp;$E$1&amp;"")</f>
        <v>CMS</v>
      </c>
      <c r="H610" s="281" t="s">
        <v>1</v>
      </c>
      <c r="I610" s="279" t="s">
        <v>1</v>
      </c>
      <c r="J610" s="280" cm="1">
        <f t="array" aca="1" ref="J610" ca="1">INDIRECT("'"&amp;$C610&amp;"'!"&amp;"$"&amp;$D610&amp;$J$1&amp;"")</f>
        <v>6.8</v>
      </c>
      <c r="K610" s="281"/>
      <c r="L610" s="281">
        <v>0.98</v>
      </c>
      <c r="M610" s="279">
        <v>1.38</v>
      </c>
      <c r="N610" s="278" cm="1">
        <f t="array" aca="1" ref="N610" ca="1">INDIRECT("'"&amp;$C610&amp;"'!"&amp;"$"&amp;$D610&amp;$N$1&amp;"")</f>
        <v>6.8</v>
      </c>
      <c r="O610" s="281"/>
      <c r="P610" s="281">
        <v>0.98</v>
      </c>
      <c r="Q610" s="279">
        <v>1.38</v>
      </c>
      <c r="R610" s="468" t="str" cm="1">
        <f t="array" aca="1" ref="R610" ca="1">INDIRECT("'"&amp;$C610&amp;"'!"&amp;"$"&amp;$D610&amp;$R$1&amp;"")</f>
        <v>CMS</v>
      </c>
      <c r="S610" s="281"/>
      <c r="T610" s="281" t="s">
        <v>1</v>
      </c>
      <c r="U610" s="279" t="s">
        <v>1</v>
      </c>
      <c r="V610" s="280" cm="1">
        <f t="array" aca="1" ref="V610" ca="1">INDIRECT("'"&amp;$C610&amp;"'!"&amp;"$"&amp;$D610&amp;$V$1&amp;"")</f>
        <v>0</v>
      </c>
      <c r="W610" s="281" t="s">
        <v>1</v>
      </c>
      <c r="X610" s="281" t="s">
        <v>1</v>
      </c>
      <c r="Y610" s="282" t="s">
        <v>1</v>
      </c>
      <c r="Z610" s="278" t="str" cm="1">
        <f t="array" aca="1" ref="Z610" ca="1">INDIRECT("'"&amp;$C610&amp;"'!"&amp;"$"&amp;$D610&amp;$Z$1&amp;"")</f>
        <v>CMS</v>
      </c>
      <c r="AA610" s="281" t="s">
        <v>1</v>
      </c>
      <c r="AB610" s="281" t="s">
        <v>1</v>
      </c>
      <c r="AC610" s="279" t="s">
        <v>1</v>
      </c>
      <c r="AD610" s="280" t="str" cm="1">
        <f t="array" aca="1" ref="AD610" ca="1">INDIRECT("'"&amp;$C610&amp;"'!"&amp;"$"&amp;$D610&amp;$AD$1&amp;"")</f>
        <v>CMS</v>
      </c>
      <c r="AE610" s="281" t="s">
        <v>1</v>
      </c>
      <c r="AF610" s="281" t="s">
        <v>1</v>
      </c>
      <c r="AG610" s="282" t="s">
        <v>1</v>
      </c>
      <c r="AH610" s="278" cm="1">
        <f t="array" aca="1" ref="AH610" ca="1">INDIRECT("'"&amp;$C610&amp;"'!"&amp;"$"&amp;$D610&amp;$AH$1&amp;"")</f>
        <v>0</v>
      </c>
      <c r="AI610" s="281" t="s">
        <v>1</v>
      </c>
      <c r="AJ610" s="281" t="s">
        <v>1</v>
      </c>
      <c r="AK610" s="279" t="s">
        <v>1</v>
      </c>
      <c r="AL610" s="278" t="s">
        <v>1</v>
      </c>
      <c r="AM610" s="282">
        <v>70.7</v>
      </c>
      <c r="AN610" s="278" cm="1">
        <f t="array" aca="1" ref="AN610" ca="1">INDIRECT("'"&amp;$C610&amp;"'!"&amp;"$"&amp;$D610&amp;$AL$1&amp;"")</f>
        <v>0</v>
      </c>
      <c r="AO610" s="281" t="s">
        <v>1</v>
      </c>
      <c r="AP610" s="279" t="s">
        <v>1</v>
      </c>
      <c r="AQ610" s="280" cm="1">
        <f t="array" aca="1" ref="AQ610" ca="1">INDIRECT("'"&amp;$C610&amp;"'!"&amp;"$"&amp;$D610&amp;$AQ$1&amp;"")</f>
        <v>0</v>
      </c>
      <c r="AR610" s="281" t="s">
        <v>1</v>
      </c>
      <c r="AS610" s="279" t="s">
        <v>1</v>
      </c>
      <c r="AT610" s="278">
        <v>13.87</v>
      </c>
      <c r="AU610" s="282">
        <v>70.3</v>
      </c>
      <c r="AV610" s="281" cm="1">
        <f t="array" aca="1" ref="AV610" ca="1">INDIRECT("'"&amp;$C610&amp;"'!"&amp;"$"&amp;$D610&amp;$AV$1&amp;"")</f>
        <v>0</v>
      </c>
      <c r="AW610" s="280" t="s">
        <v>1</v>
      </c>
      <c r="AX610" s="281" t="s">
        <v>1</v>
      </c>
      <c r="AY610" s="279" t="s">
        <v>1</v>
      </c>
      <c r="AZ610" s="281" cm="1">
        <f t="array" aca="1" ref="AZ610" ca="1">INDIRECT("'"&amp;$C610&amp;"'!"&amp;"$"&amp;$D610&amp;$AZ$1&amp;"")</f>
        <v>6</v>
      </c>
      <c r="BA610" s="280" t="s">
        <v>1</v>
      </c>
      <c r="BB610" s="281">
        <v>0.96</v>
      </c>
      <c r="BC610" s="279">
        <v>1.9</v>
      </c>
      <c r="BD610" s="283">
        <v>13.96</v>
      </c>
      <c r="BE610" s="282">
        <v>71.37</v>
      </c>
      <c r="BF610" s="283" cm="1">
        <f t="array" aca="1" ref="BF610" ca="1">INDIRECT("'"&amp;$C610&amp;"'!"&amp;"$"&amp;$D610&amp;$BF$1&amp;"")</f>
        <v>14.27</v>
      </c>
      <c r="BG610" s="281">
        <v>1</v>
      </c>
      <c r="BH610" s="279">
        <v>1.2</v>
      </c>
      <c r="BI610" s="524">
        <v>68.8</v>
      </c>
      <c r="BJ610" s="278" cm="1">
        <f t="array" aca="1" ref="BJ610" ca="1">INDIRECT("'"&amp;$C610&amp;"'!"&amp;"$"&amp;$D610&amp;$BI$1&amp;"")</f>
        <v>0</v>
      </c>
      <c r="BK610" s="280" t="s">
        <v>1</v>
      </c>
      <c r="BL610" s="279" t="s">
        <v>1</v>
      </c>
      <c r="BM610" s="283" cm="1">
        <f t="array" aca="1" ref="BM610" ca="1">INDIRECT("'"&amp;$C610&amp;"'!"&amp;"$"&amp;$D610&amp;$BM$1&amp;"")</f>
        <v>0.94</v>
      </c>
      <c r="BN610" s="281"/>
      <c r="BO610" s="281">
        <v>0.99</v>
      </c>
      <c r="BP610" s="279">
        <v>0.09</v>
      </c>
      <c r="BQ610" s="283" cm="1">
        <f t="array" aca="1" ref="BQ610" ca="1">INDIRECT("'"&amp;$C610&amp;"'!"&amp;"$"&amp;$D610&amp;$BQ$1&amp;"")</f>
        <v>0.7</v>
      </c>
      <c r="BR610" s="281"/>
      <c r="BS610" s="281">
        <v>0.96</v>
      </c>
      <c r="BT610" s="279">
        <v>0.19</v>
      </c>
      <c r="BU610" s="284" cm="1">
        <f t="array" aca="1" ref="BU610" ca="1">INDIRECT("'"&amp;$C610&amp;"'!"&amp;"$"&amp;$D610&amp;74&amp;"")</f>
        <v>0</v>
      </c>
      <c r="BV610" s="281"/>
      <c r="BW610" s="281" t="s">
        <v>1</v>
      </c>
      <c r="BX610" s="279" t="s">
        <v>1</v>
      </c>
    </row>
    <row r="611" spans="1:76">
      <c r="A611" s="459">
        <v>45863</v>
      </c>
      <c r="B611" s="345">
        <v>0.25</v>
      </c>
      <c r="C611" s="305">
        <v>25</v>
      </c>
      <c r="D611" s="306" t="s">
        <v>148</v>
      </c>
      <c r="E611" s="285">
        <v>14.06</v>
      </c>
      <c r="F611" s="286">
        <v>69.7</v>
      </c>
      <c r="G611" s="287" t="str" cm="1">
        <f t="array" aca="1" ref="G611" ca="1">INDIRECT("'"&amp;$C611&amp;"'!"&amp;"$"&amp;$D611&amp;$E$1&amp;"")</f>
        <v>CMS</v>
      </c>
      <c r="H611" s="288" t="s">
        <v>1</v>
      </c>
      <c r="I611" s="286" t="s">
        <v>1</v>
      </c>
      <c r="J611" s="287" cm="1">
        <f t="array" aca="1" ref="J611" ca="1">INDIRECT("'"&amp;$C611&amp;"'!"&amp;"$"&amp;$D611&amp;$J$1&amp;"")</f>
        <v>6.6</v>
      </c>
      <c r="K611" s="288"/>
      <c r="L611" s="288">
        <v>0.98</v>
      </c>
      <c r="M611" s="286">
        <v>1.48</v>
      </c>
      <c r="N611" s="285" cm="1">
        <f t="array" aca="1" ref="N611" ca="1">INDIRECT("'"&amp;$C611&amp;"'!"&amp;"$"&amp;$D611&amp;$N$1&amp;"")</f>
        <v>6.6</v>
      </c>
      <c r="O611" s="288"/>
      <c r="P611" s="288">
        <v>0.98</v>
      </c>
      <c r="Q611" s="286">
        <v>1.48</v>
      </c>
      <c r="R611" s="285" t="str" cm="1">
        <f t="array" aca="1" ref="R611" ca="1">INDIRECT("'"&amp;$C611&amp;"'!"&amp;"$"&amp;$D611&amp;$R$1&amp;"")</f>
        <v>CMS</v>
      </c>
      <c r="S611" s="288"/>
      <c r="T611" s="288" t="s">
        <v>1</v>
      </c>
      <c r="U611" s="286" t="s">
        <v>1</v>
      </c>
      <c r="V611" s="287" cm="1">
        <f t="array" aca="1" ref="V611" ca="1">INDIRECT("'"&amp;$C611&amp;"'!"&amp;"$"&amp;$D611&amp;$V$1&amp;"")</f>
        <v>0</v>
      </c>
      <c r="W611" s="288" t="s">
        <v>1</v>
      </c>
      <c r="X611" s="288" t="s">
        <v>1</v>
      </c>
      <c r="Y611" s="289" t="s">
        <v>1</v>
      </c>
      <c r="Z611" s="285" t="str" cm="1">
        <f t="array" aca="1" ref="Z611" ca="1">INDIRECT("'"&amp;$C611&amp;"'!"&amp;"$"&amp;$D611&amp;$Z$1&amp;"")</f>
        <v>CMS</v>
      </c>
      <c r="AA611" s="288" t="s">
        <v>1</v>
      </c>
      <c r="AB611" s="288" t="s">
        <v>1</v>
      </c>
      <c r="AC611" s="286" t="s">
        <v>1</v>
      </c>
      <c r="AD611" s="287" t="str" cm="1">
        <f t="array" aca="1" ref="AD611" ca="1">INDIRECT("'"&amp;$C611&amp;"'!"&amp;"$"&amp;$D611&amp;$AD$1&amp;"")</f>
        <v>CMS</v>
      </c>
      <c r="AE611" s="288" t="s">
        <v>1</v>
      </c>
      <c r="AF611" s="288" t="s">
        <v>1</v>
      </c>
      <c r="AG611" s="289" t="s">
        <v>1</v>
      </c>
      <c r="AH611" s="285" cm="1">
        <f t="array" aca="1" ref="AH611" ca="1">INDIRECT("'"&amp;$C611&amp;"'!"&amp;"$"&amp;$D611&amp;$AH$1&amp;"")</f>
        <v>0</v>
      </c>
      <c r="AI611" s="288" t="s">
        <v>1</v>
      </c>
      <c r="AJ611" s="288" t="s">
        <v>1</v>
      </c>
      <c r="AK611" s="286" t="s">
        <v>1</v>
      </c>
      <c r="AL611" s="285" t="s">
        <v>1</v>
      </c>
      <c r="AM611" s="289">
        <v>70</v>
      </c>
      <c r="AN611" s="285" cm="1">
        <f t="array" aca="1" ref="AN611" ca="1">INDIRECT("'"&amp;$C611&amp;"'!"&amp;"$"&amp;$D611&amp;$AL$1&amp;"")</f>
        <v>0</v>
      </c>
      <c r="AO611" s="288" t="s">
        <v>1</v>
      </c>
      <c r="AP611" s="286" t="s">
        <v>1</v>
      </c>
      <c r="AQ611" s="287" cm="1">
        <f t="array" aca="1" ref="AQ611" ca="1">INDIRECT("'"&amp;$C611&amp;"'!"&amp;"$"&amp;$D611&amp;$AQ$1&amp;"")</f>
        <v>0</v>
      </c>
      <c r="AR611" s="288" t="s">
        <v>1</v>
      </c>
      <c r="AS611" s="286" t="s">
        <v>1</v>
      </c>
      <c r="AT611" s="285">
        <v>13.87</v>
      </c>
      <c r="AU611" s="289">
        <v>70.3</v>
      </c>
      <c r="AV611" s="288" cm="1">
        <f t="array" aca="1" ref="AV611" ca="1">INDIRECT("'"&amp;$C611&amp;"'!"&amp;"$"&amp;$D611&amp;$AV$1&amp;"")</f>
        <v>0</v>
      </c>
      <c r="AW611" s="287" t="s">
        <v>1</v>
      </c>
      <c r="AX611" s="288" t="s">
        <v>1</v>
      </c>
      <c r="AY611" s="286" t="s">
        <v>1</v>
      </c>
      <c r="AZ611" s="288" cm="1">
        <f t="array" aca="1" ref="AZ611" ca="1">INDIRECT("'"&amp;$C611&amp;"'!"&amp;"$"&amp;$D611&amp;$AZ$1&amp;"")</f>
        <v>7</v>
      </c>
      <c r="BA611" s="287" t="s">
        <v>1</v>
      </c>
      <c r="BB611" s="288">
        <v>0.96</v>
      </c>
      <c r="BC611" s="286">
        <v>2</v>
      </c>
      <c r="BD611" s="290">
        <v>13.93</v>
      </c>
      <c r="BE611" s="289">
        <v>71.040000000000006</v>
      </c>
      <c r="BF611" s="290" cm="1">
        <f t="array" aca="1" ref="BF611" ca="1">INDIRECT("'"&amp;$C611&amp;"'!"&amp;"$"&amp;$D611&amp;$BF$1&amp;"")</f>
        <v>14.24</v>
      </c>
      <c r="BG611" s="288">
        <v>1</v>
      </c>
      <c r="BH611" s="286">
        <v>1.3</v>
      </c>
      <c r="BI611" s="525">
        <v>68.8</v>
      </c>
      <c r="BJ611" s="285" cm="1">
        <f t="array" aca="1" ref="BJ611" ca="1">INDIRECT("'"&amp;$C611&amp;"'!"&amp;"$"&amp;$D611&amp;$BI$1&amp;"")</f>
        <v>1.5</v>
      </c>
      <c r="BK611" s="287">
        <v>0.98</v>
      </c>
      <c r="BL611" s="286">
        <v>0.28999999999999998</v>
      </c>
      <c r="BM611" s="290" cm="1">
        <f t="array" aca="1" ref="BM611" ca="1">INDIRECT("'"&amp;$C611&amp;"'!"&amp;"$"&amp;$D611&amp;$BM$1&amp;"")</f>
        <v>0.99</v>
      </c>
      <c r="BN611" s="288"/>
      <c r="BO611" s="288">
        <v>0.99</v>
      </c>
      <c r="BP611" s="286">
        <v>0.09</v>
      </c>
      <c r="BQ611" s="290" cm="1">
        <f t="array" aca="1" ref="BQ611" ca="1">INDIRECT("'"&amp;$C611&amp;"'!"&amp;"$"&amp;$D611&amp;$BQ$1&amp;"")</f>
        <v>0.74</v>
      </c>
      <c r="BR611" s="288"/>
      <c r="BS611" s="288">
        <v>0.96</v>
      </c>
      <c r="BT611" s="286">
        <v>0.19</v>
      </c>
      <c r="BU611" s="291" cm="1">
        <f t="array" aca="1" ref="BU611" ca="1">INDIRECT("'"&amp;$C611&amp;"'!"&amp;"$"&amp;$D611&amp;74&amp;"")</f>
        <v>0</v>
      </c>
      <c r="BV611" s="288"/>
      <c r="BW611" s="288" t="s">
        <v>1</v>
      </c>
      <c r="BX611" s="286" t="s">
        <v>1</v>
      </c>
    </row>
    <row r="612" spans="1:76">
      <c r="A612" s="459">
        <v>45863</v>
      </c>
      <c r="B612" s="345">
        <v>0.29166666666666702</v>
      </c>
      <c r="C612" s="305">
        <v>25</v>
      </c>
      <c r="D612" s="306" t="s">
        <v>149</v>
      </c>
      <c r="E612" s="278">
        <v>13.9</v>
      </c>
      <c r="F612" s="279">
        <v>69.319999999999993</v>
      </c>
      <c r="G612" s="280" t="str" cm="1">
        <f t="array" aca="1" ref="G612" ca="1">INDIRECT("'"&amp;$C612&amp;"'!"&amp;"$"&amp;$D612&amp;$E$1&amp;"")</f>
        <v>CMS</v>
      </c>
      <c r="H612" s="281" t="s">
        <v>1</v>
      </c>
      <c r="I612" s="279" t="s">
        <v>1</v>
      </c>
      <c r="J612" s="280" cm="1">
        <f t="array" aca="1" ref="J612" ca="1">INDIRECT("'"&amp;$C612&amp;"'!"&amp;"$"&amp;$D612&amp;$J$1&amp;"")</f>
        <v>6.6</v>
      </c>
      <c r="K612" s="281"/>
      <c r="L612" s="281">
        <v>0.96</v>
      </c>
      <c r="M612" s="282">
        <v>1.9</v>
      </c>
      <c r="N612" s="278" cm="1">
        <f t="array" aca="1" ref="N612" ca="1">INDIRECT("'"&amp;$C612&amp;"'!"&amp;"$"&amp;$D612&amp;$N$1&amp;"")</f>
        <v>6.6</v>
      </c>
      <c r="O612" s="281"/>
      <c r="P612" s="281">
        <v>0.96</v>
      </c>
      <c r="Q612" s="279">
        <v>1.99</v>
      </c>
      <c r="R612" s="468" t="str" cm="1">
        <f t="array" aca="1" ref="R612" ca="1">INDIRECT("'"&amp;$C612&amp;"'!"&amp;"$"&amp;$D612&amp;$R$1&amp;"")</f>
        <v>CMS</v>
      </c>
      <c r="S612" s="281"/>
      <c r="T612" s="281" t="s">
        <v>1</v>
      </c>
      <c r="U612" s="279" t="s">
        <v>1</v>
      </c>
      <c r="V612" s="280" t="str" cm="1">
        <f t="array" aca="1" ref="V612" ca="1">INDIRECT("'"&amp;$C612&amp;"'!"&amp;"$"&amp;$D612&amp;$V$1&amp;"")</f>
        <v>CMS</v>
      </c>
      <c r="W612" s="281" t="s">
        <v>1</v>
      </c>
      <c r="X612" s="281" t="s">
        <v>1</v>
      </c>
      <c r="Y612" s="282" t="s">
        <v>1</v>
      </c>
      <c r="Z612" s="278" t="str" cm="1">
        <f t="array" aca="1" ref="Z612" ca="1">INDIRECT("'"&amp;$C612&amp;"'!"&amp;"$"&amp;$D612&amp;$Z$1&amp;"")</f>
        <v>CMS</v>
      </c>
      <c r="AA612" s="281" t="s">
        <v>1</v>
      </c>
      <c r="AB612" s="281" t="s">
        <v>1</v>
      </c>
      <c r="AC612" s="279" t="s">
        <v>1</v>
      </c>
      <c r="AD612" s="280" t="str" cm="1">
        <f t="array" aca="1" ref="AD612" ca="1">INDIRECT("'"&amp;$C612&amp;"'!"&amp;"$"&amp;$D612&amp;$AD$1&amp;"")</f>
        <v>CMS</v>
      </c>
      <c r="AE612" s="281" t="s">
        <v>1</v>
      </c>
      <c r="AF612" s="281" t="s">
        <v>1</v>
      </c>
      <c r="AG612" s="282" t="s">
        <v>1</v>
      </c>
      <c r="AH612" s="278" cm="1">
        <f t="array" aca="1" ref="AH612" ca="1">INDIRECT("'"&amp;$C612&amp;"'!"&amp;"$"&amp;$D612&amp;$AH$1&amp;"")</f>
        <v>0</v>
      </c>
      <c r="AI612" s="281" t="s">
        <v>1</v>
      </c>
      <c r="AJ612" s="281" t="s">
        <v>1</v>
      </c>
      <c r="AK612" s="279" t="s">
        <v>1</v>
      </c>
      <c r="AL612" s="278">
        <v>11.5</v>
      </c>
      <c r="AM612" s="282">
        <v>70.400000000000006</v>
      </c>
      <c r="AN612" s="278" cm="1">
        <f t="array" aca="1" ref="AN612" ca="1">INDIRECT("'"&amp;$C612&amp;"'!"&amp;"$"&amp;$D612&amp;$AL$1&amp;"")</f>
        <v>2</v>
      </c>
      <c r="AO612" s="281">
        <v>0.98</v>
      </c>
      <c r="AP612" s="279">
        <v>0.46</v>
      </c>
      <c r="AQ612" s="280" cm="1">
        <f t="array" aca="1" ref="AQ612" ca="1">INDIRECT("'"&amp;$C612&amp;"'!"&amp;"$"&amp;$D612&amp;$AQ$1&amp;"")</f>
        <v>0</v>
      </c>
      <c r="AR612" s="281" t="s">
        <v>1</v>
      </c>
      <c r="AS612" s="279" t="s">
        <v>1</v>
      </c>
      <c r="AT612" s="278">
        <v>13.9</v>
      </c>
      <c r="AU612" s="282">
        <v>70.400000000000006</v>
      </c>
      <c r="AV612" s="281" cm="1">
        <f t="array" aca="1" ref="AV612" ca="1">INDIRECT("'"&amp;$C612&amp;"'!"&amp;"$"&amp;$D612&amp;$AV$1&amp;"")</f>
        <v>0</v>
      </c>
      <c r="AW612" s="280" t="s">
        <v>1</v>
      </c>
      <c r="AX612" s="281" t="s">
        <v>1</v>
      </c>
      <c r="AY612" s="279" t="s">
        <v>1</v>
      </c>
      <c r="AZ612" s="281" cm="1">
        <f t="array" aca="1" ref="AZ612" ca="1">INDIRECT("'"&amp;$C612&amp;"'!"&amp;"$"&amp;$D612&amp;$AZ$1&amp;"")</f>
        <v>7</v>
      </c>
      <c r="BA612" s="280" t="s">
        <v>1</v>
      </c>
      <c r="BB612" s="281">
        <v>0.98</v>
      </c>
      <c r="BC612" s="279">
        <v>1.3</v>
      </c>
      <c r="BD612" s="283">
        <v>14.2</v>
      </c>
      <c r="BE612" s="282">
        <v>71.88</v>
      </c>
      <c r="BF612" s="283" cm="1">
        <f t="array" aca="1" ref="BF612" ca="1">INDIRECT("'"&amp;$C612&amp;"'!"&amp;"$"&amp;$D612&amp;$BF$1&amp;"")</f>
        <v>14.28</v>
      </c>
      <c r="BG612" s="281">
        <v>0.99</v>
      </c>
      <c r="BH612" s="279">
        <v>2.2999999999999998</v>
      </c>
      <c r="BI612" s="524">
        <v>68.599999999999994</v>
      </c>
      <c r="BJ612" s="278" cm="1">
        <f t="array" aca="1" ref="BJ612" ca="1">INDIRECT("'"&amp;$C612&amp;"'!"&amp;"$"&amp;$D612&amp;$BI$1&amp;"")</f>
        <v>0</v>
      </c>
      <c r="BK612" s="280" t="s">
        <v>1</v>
      </c>
      <c r="BL612" s="279" t="s">
        <v>1</v>
      </c>
      <c r="BM612" s="283" cm="1">
        <f t="array" aca="1" ref="BM612" ca="1">INDIRECT("'"&amp;$C612&amp;"'!"&amp;"$"&amp;$D612&amp;$BM$1&amp;"")</f>
        <v>1</v>
      </c>
      <c r="BN612" s="281"/>
      <c r="BO612" s="281">
        <v>0.99</v>
      </c>
      <c r="BP612" s="279">
        <v>0.12</v>
      </c>
      <c r="BQ612" s="284" cm="1">
        <f t="array" aca="1" ref="BQ612" ca="1">INDIRECT("'"&amp;$C612&amp;"'!"&amp;"$"&amp;$D612&amp;$BQ$1&amp;"")</f>
        <v>0.76</v>
      </c>
      <c r="BR612" s="281"/>
      <c r="BS612" s="281">
        <v>0.96</v>
      </c>
      <c r="BT612" s="279">
        <v>0.2</v>
      </c>
      <c r="BU612" s="284" cm="1">
        <f t="array" aca="1" ref="BU612" ca="1">INDIRECT("'"&amp;$C612&amp;"'!"&amp;"$"&amp;$D612&amp;74&amp;"")</f>
        <v>0</v>
      </c>
      <c r="BV612" s="281"/>
      <c r="BW612" s="281" t="s">
        <v>1</v>
      </c>
      <c r="BX612" s="279" t="s">
        <v>1</v>
      </c>
    </row>
    <row r="613" spans="1:76">
      <c r="A613" s="459">
        <v>45863</v>
      </c>
      <c r="B613" s="345">
        <v>0.33333333333333398</v>
      </c>
      <c r="C613" s="305">
        <v>25</v>
      </c>
      <c r="D613" s="306" t="s">
        <v>150</v>
      </c>
      <c r="E613" s="285">
        <v>14</v>
      </c>
      <c r="F613" s="286">
        <v>69.39</v>
      </c>
      <c r="G613" s="287" t="str" cm="1">
        <f t="array" aca="1" ref="G613" ca="1">INDIRECT("'"&amp;$C613&amp;"'!"&amp;"$"&amp;$D613&amp;$E$1&amp;"")</f>
        <v>CMS</v>
      </c>
      <c r="H613" s="288" t="s">
        <v>1</v>
      </c>
      <c r="I613" s="286" t="s">
        <v>1</v>
      </c>
      <c r="J613" s="287" cm="1">
        <f t="array" aca="1" ref="J613" ca="1">INDIRECT("'"&amp;$C613&amp;"'!"&amp;"$"&amp;$D613&amp;$J$1&amp;"")</f>
        <v>5.9</v>
      </c>
      <c r="K613" s="288"/>
      <c r="L613" s="288">
        <v>0.96</v>
      </c>
      <c r="M613" s="289">
        <v>1.67</v>
      </c>
      <c r="N613" s="285" cm="1">
        <f t="array" aca="1" ref="N613" ca="1">INDIRECT("'"&amp;$C613&amp;"'!"&amp;"$"&amp;$D613&amp;$N$1&amp;"")</f>
        <v>5.9</v>
      </c>
      <c r="O613" s="288"/>
      <c r="P613" s="288">
        <v>0.95</v>
      </c>
      <c r="Q613" s="286">
        <v>1.95</v>
      </c>
      <c r="R613" s="285" cm="1">
        <f t="array" aca="1" ref="R613" ca="1">INDIRECT("'"&amp;$C613&amp;"'!"&amp;"$"&amp;$D613&amp;$R$1&amp;"")</f>
        <v>2</v>
      </c>
      <c r="S613" s="288"/>
      <c r="T613" s="288">
        <v>0.95</v>
      </c>
      <c r="U613" s="286">
        <v>0.62</v>
      </c>
      <c r="V613" s="287" t="str" cm="1">
        <f t="array" aca="1" ref="V613" ca="1">INDIRECT("'"&amp;$C613&amp;"'!"&amp;"$"&amp;$D613&amp;$V$1&amp;"")</f>
        <v>CMS</v>
      </c>
      <c r="W613" s="288" t="s">
        <v>1</v>
      </c>
      <c r="X613" s="288" t="s">
        <v>1</v>
      </c>
      <c r="Y613" s="289" t="s">
        <v>1</v>
      </c>
      <c r="Z613" s="285" t="str" cm="1">
        <f t="array" aca="1" ref="Z613" ca="1">INDIRECT("'"&amp;$C613&amp;"'!"&amp;"$"&amp;$D613&amp;$Z$1&amp;"")</f>
        <v>CMS</v>
      </c>
      <c r="AA613" s="288" t="s">
        <v>1</v>
      </c>
      <c r="AB613" s="288" t="s">
        <v>1</v>
      </c>
      <c r="AC613" s="286" t="s">
        <v>1</v>
      </c>
      <c r="AD613" s="287" t="str" cm="1">
        <f t="array" aca="1" ref="AD613" ca="1">INDIRECT("'"&amp;$C613&amp;"'!"&amp;"$"&amp;$D613&amp;$AD$1&amp;"")</f>
        <v>CMS</v>
      </c>
      <c r="AE613" s="288" t="s">
        <v>1</v>
      </c>
      <c r="AF613" s="288" t="s">
        <v>1</v>
      </c>
      <c r="AG613" s="289" t="s">
        <v>1</v>
      </c>
      <c r="AH613" s="285" cm="1">
        <f t="array" aca="1" ref="AH613" ca="1">INDIRECT("'"&amp;$C613&amp;"'!"&amp;"$"&amp;$D613&amp;$AH$1&amp;"")</f>
        <v>0</v>
      </c>
      <c r="AI613" s="288" t="s">
        <v>1</v>
      </c>
      <c r="AJ613" s="288" t="s">
        <v>1</v>
      </c>
      <c r="AK613" s="286" t="s">
        <v>1</v>
      </c>
      <c r="AL613" s="285">
        <v>11.5</v>
      </c>
      <c r="AM613" s="289">
        <v>70.599999999999994</v>
      </c>
      <c r="AN613" s="285" cm="1">
        <f t="array" aca="1" ref="AN613" ca="1">INDIRECT("'"&amp;$C613&amp;"'!"&amp;"$"&amp;$D613&amp;$AL$1&amp;"")</f>
        <v>3.5</v>
      </c>
      <c r="AO613" s="288">
        <v>0.98</v>
      </c>
      <c r="AP613" s="286">
        <v>0.62</v>
      </c>
      <c r="AQ613" s="287" cm="1">
        <f t="array" aca="1" ref="AQ613" ca="1">INDIRECT("'"&amp;$C613&amp;"'!"&amp;"$"&amp;$D613&amp;$AQ$1&amp;"")</f>
        <v>0</v>
      </c>
      <c r="AR613" s="288" t="s">
        <v>1</v>
      </c>
      <c r="AS613" s="286" t="s">
        <v>1</v>
      </c>
      <c r="AT613" s="285">
        <v>13.86</v>
      </c>
      <c r="AU613" s="289">
        <v>70.3</v>
      </c>
      <c r="AV613" s="288" cm="1">
        <f t="array" aca="1" ref="AV613" ca="1">INDIRECT("'"&amp;$C613&amp;"'!"&amp;"$"&amp;$D613&amp;$AV$1&amp;"")</f>
        <v>0</v>
      </c>
      <c r="AW613" s="287" t="s">
        <v>1</v>
      </c>
      <c r="AX613" s="288" t="s">
        <v>1</v>
      </c>
      <c r="AY613" s="286" t="s">
        <v>1</v>
      </c>
      <c r="AZ613" s="288" cm="1">
        <f t="array" aca="1" ref="AZ613" ca="1">INDIRECT("'"&amp;$C613&amp;"'!"&amp;"$"&amp;$D613&amp;$AZ$1&amp;"")</f>
        <v>7.2</v>
      </c>
      <c r="BA613" s="287" t="s">
        <v>1</v>
      </c>
      <c r="BB613" s="288">
        <v>0.96</v>
      </c>
      <c r="BC613" s="286">
        <v>2.1</v>
      </c>
      <c r="BD613" s="290">
        <v>14.05</v>
      </c>
      <c r="BE613" s="289">
        <v>71.11</v>
      </c>
      <c r="BF613" s="290" cm="1">
        <f t="array" aca="1" ref="BF613" ca="1">INDIRECT("'"&amp;$C613&amp;"'!"&amp;"$"&amp;$D613&amp;$BF$1&amp;"")</f>
        <v>14.29</v>
      </c>
      <c r="BG613" s="288">
        <v>0.99</v>
      </c>
      <c r="BH613" s="286">
        <v>2.2999999999999998</v>
      </c>
      <c r="BI613" s="525">
        <v>67.900000000000006</v>
      </c>
      <c r="BJ613" s="285" cm="1">
        <f t="array" aca="1" ref="BJ613" ca="1">INDIRECT("'"&amp;$C613&amp;"'!"&amp;"$"&amp;$D613&amp;$BI$1&amp;"")</f>
        <v>3.1</v>
      </c>
      <c r="BK613" s="287">
        <v>0.96</v>
      </c>
      <c r="BL613" s="286">
        <v>0.89</v>
      </c>
      <c r="BM613" s="290" cm="1">
        <f t="array" aca="1" ref="BM613" ca="1">INDIRECT("'"&amp;$C613&amp;"'!"&amp;"$"&amp;$D613&amp;$BM$1&amp;"")</f>
        <v>0.995</v>
      </c>
      <c r="BN613" s="288"/>
      <c r="BO613" s="288">
        <v>0.99</v>
      </c>
      <c r="BP613" s="286">
        <v>0.13</v>
      </c>
      <c r="BQ613" s="291" cm="1">
        <f t="array" aca="1" ref="BQ613" ca="1">INDIRECT("'"&amp;$C613&amp;"'!"&amp;"$"&amp;$D613&amp;$BQ$1&amp;"")</f>
        <v>0.76</v>
      </c>
      <c r="BR613" s="288"/>
      <c r="BS613" s="288">
        <v>0.96</v>
      </c>
      <c r="BT613" s="286">
        <v>0.21</v>
      </c>
      <c r="BU613" s="291" cm="1">
        <f t="array" aca="1" ref="BU613" ca="1">INDIRECT("'"&amp;$C613&amp;"'!"&amp;"$"&amp;$D613&amp;74&amp;"")</f>
        <v>0</v>
      </c>
      <c r="BV613" s="288"/>
      <c r="BW613" s="288" t="s">
        <v>1</v>
      </c>
      <c r="BX613" s="286" t="s">
        <v>1</v>
      </c>
    </row>
    <row r="614" spans="1:76">
      <c r="A614" s="459">
        <v>45863</v>
      </c>
      <c r="B614" s="345">
        <v>0.375</v>
      </c>
      <c r="C614" s="305">
        <v>25</v>
      </c>
      <c r="D614" s="306" t="s">
        <v>151</v>
      </c>
      <c r="E614" s="278">
        <v>14.1</v>
      </c>
      <c r="F614" s="279">
        <v>68.489999999999995</v>
      </c>
      <c r="G614" s="280" t="str" cm="1">
        <f t="array" aca="1" ref="G614" ca="1">INDIRECT("'"&amp;$C614&amp;"'!"&amp;"$"&amp;$D614&amp;$E$1&amp;"")</f>
        <v>CMS</v>
      </c>
      <c r="H614" s="281" t="s">
        <v>1</v>
      </c>
      <c r="I614" s="279" t="s">
        <v>1</v>
      </c>
      <c r="J614" s="280" cm="1">
        <f t="array" aca="1" ref="J614" ca="1">INDIRECT("'"&amp;$C614&amp;"'!"&amp;"$"&amp;$D614&amp;$J$1&amp;"")</f>
        <v>6.7</v>
      </c>
      <c r="K614" s="281"/>
      <c r="L614" s="281">
        <v>0.92</v>
      </c>
      <c r="M614" s="282">
        <v>2.9</v>
      </c>
      <c r="N614" s="278" cm="1">
        <f t="array" aca="1" ref="N614" ca="1">INDIRECT("'"&amp;$C614&amp;"'!"&amp;"$"&amp;$D614&amp;$N$1&amp;"")</f>
        <v>6.7</v>
      </c>
      <c r="O614" s="281"/>
      <c r="P614" s="281">
        <v>0.92</v>
      </c>
      <c r="Q614" s="279">
        <v>2.91</v>
      </c>
      <c r="R614" s="468" cm="1">
        <f t="array" aca="1" ref="R614" ca="1">INDIRECT("'"&amp;$C614&amp;"'!"&amp;"$"&amp;$D614&amp;$R$1&amp;"")</f>
        <v>6.1</v>
      </c>
      <c r="S614" s="281"/>
      <c r="T614" s="281">
        <v>0.92</v>
      </c>
      <c r="U614" s="279">
        <v>2.6</v>
      </c>
      <c r="V614" s="280" t="str" cm="1">
        <f t="array" aca="1" ref="V614" ca="1">INDIRECT("'"&amp;$C614&amp;"'!"&amp;"$"&amp;$D614&amp;$V$1&amp;"")</f>
        <v>CMS</v>
      </c>
      <c r="W614" s="281" t="s">
        <v>1</v>
      </c>
      <c r="X614" s="281" t="s">
        <v>1</v>
      </c>
      <c r="Y614" s="282" t="s">
        <v>1</v>
      </c>
      <c r="Z614" s="278" t="str" cm="1">
        <f t="array" aca="1" ref="Z614" ca="1">INDIRECT("'"&amp;$C614&amp;"'!"&amp;"$"&amp;$D614&amp;$Z$1&amp;"")</f>
        <v>CMS</v>
      </c>
      <c r="AA614" s="281" t="s">
        <v>1</v>
      </c>
      <c r="AB614" s="281" t="s">
        <v>1</v>
      </c>
      <c r="AC614" s="279" t="s">
        <v>1</v>
      </c>
      <c r="AD614" s="280" t="str" cm="1">
        <f t="array" aca="1" ref="AD614" ca="1">INDIRECT("'"&amp;$C614&amp;"'!"&amp;"$"&amp;$D614&amp;$AD$1&amp;"")</f>
        <v>CMS</v>
      </c>
      <c r="AE614" s="281" t="s">
        <v>1</v>
      </c>
      <c r="AF614" s="281" t="s">
        <v>1</v>
      </c>
      <c r="AG614" s="282" t="s">
        <v>1</v>
      </c>
      <c r="AH614" s="278" cm="1">
        <f t="array" aca="1" ref="AH614" ca="1">INDIRECT("'"&amp;$C614&amp;"'!"&amp;"$"&amp;$D614&amp;$AH$1&amp;"")</f>
        <v>2</v>
      </c>
      <c r="AI614" s="281">
        <v>13.96</v>
      </c>
      <c r="AJ614" s="281">
        <v>0.98</v>
      </c>
      <c r="AK614" s="279">
        <v>0.45400000000000001</v>
      </c>
      <c r="AL614" s="278">
        <v>11.6</v>
      </c>
      <c r="AM614" s="282">
        <v>70.3</v>
      </c>
      <c r="AN614" s="278" cm="1">
        <f t="array" aca="1" ref="AN614" ca="1">INDIRECT("'"&amp;$C614&amp;"'!"&amp;"$"&amp;$D614&amp;$AL$1&amp;"")</f>
        <v>3.8</v>
      </c>
      <c r="AO614" s="281">
        <v>0.91</v>
      </c>
      <c r="AP614" s="279">
        <v>1.71</v>
      </c>
      <c r="AQ614" s="280" cm="1">
        <f t="array" aca="1" ref="AQ614" ca="1">INDIRECT("'"&amp;$C614&amp;"'!"&amp;"$"&amp;$D614&amp;$AQ$1&amp;"")</f>
        <v>0</v>
      </c>
      <c r="AR614" s="281" t="s">
        <v>1</v>
      </c>
      <c r="AS614" s="279" t="s">
        <v>1</v>
      </c>
      <c r="AT614" s="278">
        <v>13.81</v>
      </c>
      <c r="AU614" s="282">
        <v>70.3</v>
      </c>
      <c r="AV614" s="281" cm="1">
        <f t="array" aca="1" ref="AV614" ca="1">INDIRECT("'"&amp;$C614&amp;"'!"&amp;"$"&amp;$D614&amp;$AV$1&amp;"")</f>
        <v>0</v>
      </c>
      <c r="AW614" s="280" t="s">
        <v>1</v>
      </c>
      <c r="AX614" s="281" t="s">
        <v>1</v>
      </c>
      <c r="AY614" s="279" t="s">
        <v>1</v>
      </c>
      <c r="AZ614" s="281" cm="1">
        <f t="array" aca="1" ref="AZ614" ca="1">INDIRECT("'"&amp;$C614&amp;"'!"&amp;"$"&amp;$D614&amp;$AZ$1&amp;"")</f>
        <v>7.1</v>
      </c>
      <c r="BA614" s="280" t="s">
        <v>1</v>
      </c>
      <c r="BB614" s="281">
        <v>0.96</v>
      </c>
      <c r="BC614" s="279">
        <v>2.2000000000000002</v>
      </c>
      <c r="BD614" s="283">
        <v>14.08</v>
      </c>
      <c r="BE614" s="282">
        <v>71.17</v>
      </c>
      <c r="BF614" s="283" cm="1">
        <f t="array" aca="1" ref="BF614" ca="1">INDIRECT("'"&amp;$C614&amp;"'!"&amp;"$"&amp;$D614&amp;$BF$1&amp;"")</f>
        <v>14.24</v>
      </c>
      <c r="BG614" s="281">
        <v>0.99</v>
      </c>
      <c r="BH614" s="279">
        <v>2.2999999999999998</v>
      </c>
      <c r="BI614" s="524">
        <v>67.3</v>
      </c>
      <c r="BJ614" s="278" cm="1">
        <f t="array" aca="1" ref="BJ614" ca="1">INDIRECT("'"&amp;$C614&amp;"'!"&amp;"$"&amp;$D614&amp;$BI$1&amp;"")</f>
        <v>0</v>
      </c>
      <c r="BK614" s="280" t="s">
        <v>1</v>
      </c>
      <c r="BL614" s="279" t="s">
        <v>1</v>
      </c>
      <c r="BM614" s="283" cm="1">
        <f t="array" aca="1" ref="BM614" ca="1">INDIRECT("'"&amp;$C614&amp;"'!"&amp;"$"&amp;$D614&amp;$BM$1&amp;"")</f>
        <v>1.0900000000000001</v>
      </c>
      <c r="BN614" s="281"/>
      <c r="BO614" s="281">
        <v>0.99</v>
      </c>
      <c r="BP614" s="279">
        <v>0.13</v>
      </c>
      <c r="BQ614" s="284" cm="1">
        <f t="array" aca="1" ref="BQ614" ca="1">INDIRECT("'"&amp;$C614&amp;"'!"&amp;"$"&amp;$D614&amp;$BQ$1&amp;"")</f>
        <v>0.81</v>
      </c>
      <c r="BR614" s="281"/>
      <c r="BS614" s="281">
        <v>0.96</v>
      </c>
      <c r="BT614" s="279">
        <v>0.23</v>
      </c>
      <c r="BU614" s="284" cm="1">
        <f t="array" aca="1" ref="BU614" ca="1">INDIRECT("'"&amp;$C614&amp;"'!"&amp;"$"&amp;$D614&amp;74&amp;"")</f>
        <v>0</v>
      </c>
      <c r="BV614" s="281"/>
      <c r="BW614" s="281" t="s">
        <v>1</v>
      </c>
      <c r="BX614" s="279" t="s">
        <v>1</v>
      </c>
    </row>
    <row r="615" spans="1:76">
      <c r="A615" s="459">
        <v>45863</v>
      </c>
      <c r="B615" s="345">
        <v>0.41666666666666702</v>
      </c>
      <c r="C615" s="305">
        <v>25</v>
      </c>
      <c r="D615" s="306" t="s">
        <v>152</v>
      </c>
      <c r="E615" s="285">
        <v>14.1</v>
      </c>
      <c r="F615" s="286">
        <v>68.17</v>
      </c>
      <c r="G615" s="287" t="str" cm="1">
        <f t="array" aca="1" ref="G615" ca="1">INDIRECT("'"&amp;$C615&amp;"'!"&amp;"$"&amp;$D615&amp;$E$1&amp;"")</f>
        <v>CMS</v>
      </c>
      <c r="H615" s="288" t="s">
        <v>1</v>
      </c>
      <c r="I615" s="286" t="s">
        <v>1</v>
      </c>
      <c r="J615" s="287" cm="1">
        <f t="array" aca="1" ref="J615" ca="1">INDIRECT("'"&amp;$C615&amp;"'!"&amp;"$"&amp;$D615&amp;$J$1&amp;"")</f>
        <v>6.7</v>
      </c>
      <c r="K615" s="288"/>
      <c r="L615" s="288">
        <v>0.91</v>
      </c>
      <c r="M615" s="289">
        <v>3.09</v>
      </c>
      <c r="N615" s="285" cm="1">
        <f t="array" aca="1" ref="N615" ca="1">INDIRECT("'"&amp;$C615&amp;"'!"&amp;"$"&amp;$D615&amp;$N$1&amp;"")</f>
        <v>6.7</v>
      </c>
      <c r="O615" s="288"/>
      <c r="P615" s="288">
        <v>0.91</v>
      </c>
      <c r="Q615" s="286">
        <v>3.12</v>
      </c>
      <c r="R615" s="285" cm="1">
        <f t="array" aca="1" ref="R615" ca="1">INDIRECT("'"&amp;$C615&amp;"'!"&amp;"$"&amp;$D615&amp;$R$1&amp;"")</f>
        <v>6.6</v>
      </c>
      <c r="S615" s="288"/>
      <c r="T615" s="288">
        <v>0.89</v>
      </c>
      <c r="U615" s="286">
        <v>3.36</v>
      </c>
      <c r="V615" s="287" t="str" cm="1">
        <f t="array" aca="1" ref="V615" ca="1">INDIRECT("'"&amp;$C615&amp;"'!"&amp;"$"&amp;$D615&amp;$V$1&amp;"")</f>
        <v>CMS</v>
      </c>
      <c r="W615" s="288" t="s">
        <v>1</v>
      </c>
      <c r="X615" s="288" t="s">
        <v>1</v>
      </c>
      <c r="Y615" s="289" t="s">
        <v>1</v>
      </c>
      <c r="Z615" s="285" t="str" cm="1">
        <f t="array" aca="1" ref="Z615" ca="1">INDIRECT("'"&amp;$C615&amp;"'!"&amp;"$"&amp;$D615&amp;$Z$1&amp;"")</f>
        <v>CMS</v>
      </c>
      <c r="AA615" s="288" t="s">
        <v>1</v>
      </c>
      <c r="AB615" s="288" t="s">
        <v>1</v>
      </c>
      <c r="AC615" s="286" t="s">
        <v>1</v>
      </c>
      <c r="AD615" s="287" t="str" cm="1">
        <f t="array" aca="1" ref="AD615" ca="1">INDIRECT("'"&amp;$C615&amp;"'!"&amp;"$"&amp;$D615&amp;$AD$1&amp;"")</f>
        <v>CMS</v>
      </c>
      <c r="AE615" s="288" t="s">
        <v>1</v>
      </c>
      <c r="AF615" s="288" t="s">
        <v>1</v>
      </c>
      <c r="AG615" s="289" t="s">
        <v>1</v>
      </c>
      <c r="AH615" s="285" cm="1">
        <f t="array" aca="1" ref="AH615" ca="1">INDIRECT("'"&amp;$C615&amp;"'!"&amp;"$"&amp;$D615&amp;$AH$1&amp;"")</f>
        <v>3</v>
      </c>
      <c r="AI615" s="288">
        <v>14.04</v>
      </c>
      <c r="AJ615" s="288">
        <v>0.98</v>
      </c>
      <c r="AK615" s="286">
        <v>0.46800000000000003</v>
      </c>
      <c r="AL615" s="285">
        <v>11.7</v>
      </c>
      <c r="AM615" s="289">
        <v>70.7</v>
      </c>
      <c r="AN615" s="285" cm="1">
        <f t="array" aca="1" ref="AN615" ca="1">INDIRECT("'"&amp;$C615&amp;"'!"&amp;"$"&amp;$D615&amp;$AL$1&amp;"")</f>
        <v>3.8</v>
      </c>
      <c r="AO615" s="288">
        <v>0.92</v>
      </c>
      <c r="AP615" s="286">
        <v>1.67</v>
      </c>
      <c r="AQ615" s="287" cm="1">
        <f t="array" aca="1" ref="AQ615" ca="1">INDIRECT("'"&amp;$C615&amp;"'!"&amp;"$"&amp;$D615&amp;$AQ$1&amp;"")</f>
        <v>0</v>
      </c>
      <c r="AR615" s="288" t="s">
        <v>1</v>
      </c>
      <c r="AS615" s="286" t="s">
        <v>1</v>
      </c>
      <c r="AT615" s="285">
        <v>14</v>
      </c>
      <c r="AU615" s="289">
        <v>70.5</v>
      </c>
      <c r="AV615" s="288" cm="1">
        <f t="array" aca="1" ref="AV615" ca="1">INDIRECT("'"&amp;$C615&amp;"'!"&amp;"$"&amp;$D615&amp;$AV$1&amp;"")</f>
        <v>3.3</v>
      </c>
      <c r="AW615" s="287" t="s">
        <v>1</v>
      </c>
      <c r="AX615" s="288">
        <v>0.92</v>
      </c>
      <c r="AY615" s="286">
        <v>1.4</v>
      </c>
      <c r="AZ615" s="288" cm="1">
        <f t="array" aca="1" ref="AZ615" ca="1">INDIRECT("'"&amp;$C615&amp;"'!"&amp;"$"&amp;$D615&amp;$AZ$1&amp;"")</f>
        <v>7</v>
      </c>
      <c r="BA615" s="287" t="s">
        <v>1</v>
      </c>
      <c r="BB615" s="288">
        <v>0.96</v>
      </c>
      <c r="BC615" s="286">
        <v>2.2000000000000002</v>
      </c>
      <c r="BD615" s="290">
        <v>14.27</v>
      </c>
      <c r="BE615" s="289">
        <v>71.790000000000006</v>
      </c>
      <c r="BF615" s="290" cm="1">
        <f t="array" aca="1" ref="BF615" ca="1">INDIRECT("'"&amp;$C615&amp;"'!"&amp;"$"&amp;$D615&amp;$BF$1&amp;"")</f>
        <v>14.15</v>
      </c>
      <c r="BG615" s="288">
        <v>0.98</v>
      </c>
      <c r="BH615" s="286">
        <v>3.4</v>
      </c>
      <c r="BI615" s="525">
        <v>67.2</v>
      </c>
      <c r="BJ615" s="285" cm="1">
        <f t="array" aca="1" ref="BJ615" ca="1">INDIRECT("'"&amp;$C615&amp;"'!"&amp;"$"&amp;$D615&amp;$BI$1&amp;"")</f>
        <v>0.8</v>
      </c>
      <c r="BK615" s="287">
        <v>0.94</v>
      </c>
      <c r="BL615" s="286">
        <v>0.3</v>
      </c>
      <c r="BM615" s="290" cm="1">
        <f t="array" aca="1" ref="BM615" ca="1">INDIRECT("'"&amp;$C615&amp;"'!"&amp;"$"&amp;$D615&amp;$BM$1&amp;"")</f>
        <v>1.2</v>
      </c>
      <c r="BN615" s="288"/>
      <c r="BO615" s="288">
        <v>0.99</v>
      </c>
      <c r="BP615" s="286">
        <v>0.15</v>
      </c>
      <c r="BQ615" s="291" cm="1">
        <f t="array" aca="1" ref="BQ615" ca="1">INDIRECT("'"&amp;$C615&amp;"'!"&amp;"$"&amp;$D615&amp;$BQ$1&amp;"")</f>
        <v>0.84</v>
      </c>
      <c r="BR615" s="288"/>
      <c r="BS615" s="288">
        <v>0.96</v>
      </c>
      <c r="BT615" s="286">
        <v>0.23</v>
      </c>
      <c r="BU615" s="291" cm="1">
        <f t="array" aca="1" ref="BU615" ca="1">INDIRECT("'"&amp;$C615&amp;"'!"&amp;"$"&amp;$D615&amp;74&amp;"")</f>
        <v>0</v>
      </c>
      <c r="BV615" s="288"/>
      <c r="BW615" s="288" t="s">
        <v>1</v>
      </c>
      <c r="BX615" s="286" t="s">
        <v>1</v>
      </c>
    </row>
    <row r="616" spans="1:76">
      <c r="A616" s="459">
        <v>45863</v>
      </c>
      <c r="B616" s="345">
        <v>0.45833333333333398</v>
      </c>
      <c r="C616" s="305">
        <v>25</v>
      </c>
      <c r="D616" s="306" t="s">
        <v>153</v>
      </c>
      <c r="E616" s="278">
        <v>14.2</v>
      </c>
      <c r="F616" s="279">
        <v>68.569999999999993</v>
      </c>
      <c r="G616" s="280" t="str" cm="1">
        <f t="array" aca="1" ref="G616" ca="1">INDIRECT("'"&amp;$C616&amp;"'!"&amp;"$"&amp;$D616&amp;$E$1&amp;"")</f>
        <v>CMS</v>
      </c>
      <c r="H616" s="281" t="s">
        <v>1</v>
      </c>
      <c r="I616" s="279" t="s">
        <v>1</v>
      </c>
      <c r="J616" s="280" cm="1">
        <f t="array" aca="1" ref="J616" ca="1">INDIRECT("'"&amp;$C616&amp;"'!"&amp;"$"&amp;$D616&amp;$J$1&amp;"")</f>
        <v>6.6</v>
      </c>
      <c r="K616" s="281"/>
      <c r="L616" s="281">
        <v>0.9</v>
      </c>
      <c r="M616" s="282">
        <v>3.14</v>
      </c>
      <c r="N616" s="278" cm="1">
        <f t="array" aca="1" ref="N616" ca="1">INDIRECT("'"&amp;$C616&amp;"'!"&amp;"$"&amp;$D616&amp;$N$1&amp;"")</f>
        <v>6.6</v>
      </c>
      <c r="O616" s="281"/>
      <c r="P616" s="281">
        <v>0.9</v>
      </c>
      <c r="Q616" s="279">
        <v>3.12</v>
      </c>
      <c r="R616" s="468" cm="1">
        <f t="array" aca="1" ref="R616" ca="1">INDIRECT("'"&amp;$C616&amp;"'!"&amp;"$"&amp;$D616&amp;$R$1&amp;"")</f>
        <v>6.6</v>
      </c>
      <c r="S616" s="281"/>
      <c r="T616" s="281">
        <v>0.9</v>
      </c>
      <c r="U616" s="279">
        <v>3.12</v>
      </c>
      <c r="V616" s="280" t="str" cm="1">
        <f t="array" aca="1" ref="V616" ca="1">INDIRECT("'"&amp;$C616&amp;"'!"&amp;"$"&amp;$D616&amp;$V$1&amp;"")</f>
        <v>CMS</v>
      </c>
      <c r="W616" s="281" t="s">
        <v>1</v>
      </c>
      <c r="X616" s="281" t="s">
        <v>1</v>
      </c>
      <c r="Y616" s="282" t="s">
        <v>1</v>
      </c>
      <c r="Z616" s="278" t="str" cm="1">
        <f t="array" aca="1" ref="Z616" ca="1">INDIRECT("'"&amp;$C616&amp;"'!"&amp;"$"&amp;$D616&amp;$Z$1&amp;"")</f>
        <v>CMS</v>
      </c>
      <c r="AA616" s="281" t="s">
        <v>1</v>
      </c>
      <c r="AB616" s="281" t="s">
        <v>1</v>
      </c>
      <c r="AC616" s="279" t="s">
        <v>1</v>
      </c>
      <c r="AD616" s="280" t="str" cm="1">
        <f t="array" aca="1" ref="AD616" ca="1">INDIRECT("'"&amp;$C616&amp;"'!"&amp;"$"&amp;$D616&amp;$AD$1&amp;"")</f>
        <v>CMS</v>
      </c>
      <c r="AE616" s="281" t="s">
        <v>1</v>
      </c>
      <c r="AF616" s="281" t="s">
        <v>1</v>
      </c>
      <c r="AG616" s="282" t="s">
        <v>1</v>
      </c>
      <c r="AH616" s="278" cm="1">
        <f t="array" aca="1" ref="AH616" ca="1">INDIRECT("'"&amp;$C616&amp;"'!"&amp;"$"&amp;$D616&amp;$AH$1&amp;"")</f>
        <v>3</v>
      </c>
      <c r="AI616" s="281">
        <v>14.12</v>
      </c>
      <c r="AJ616" s="281">
        <v>0.97</v>
      </c>
      <c r="AK616" s="279">
        <v>0.621</v>
      </c>
      <c r="AL616" s="278">
        <v>11.7</v>
      </c>
      <c r="AM616" s="282">
        <v>71.099999999999994</v>
      </c>
      <c r="AN616" s="278" cm="1">
        <f t="array" aca="1" ref="AN616" ca="1">INDIRECT("'"&amp;$C616&amp;"'!"&amp;"$"&amp;$D616&amp;$AL$1&amp;"")</f>
        <v>3.8</v>
      </c>
      <c r="AO616" s="281">
        <v>0.94</v>
      </c>
      <c r="AP616" s="279">
        <v>1.27</v>
      </c>
      <c r="AQ616" s="280" cm="1">
        <f t="array" aca="1" ref="AQ616" ca="1">INDIRECT("'"&amp;$C616&amp;"'!"&amp;"$"&amp;$D616&amp;$AQ$1&amp;"")</f>
        <v>0</v>
      </c>
      <c r="AR616" s="281" t="s">
        <v>1</v>
      </c>
      <c r="AS616" s="279" t="s">
        <v>1</v>
      </c>
      <c r="AT616" s="278">
        <v>14</v>
      </c>
      <c r="AU616" s="282">
        <v>70.400000000000006</v>
      </c>
      <c r="AV616" s="281" cm="1">
        <f t="array" aca="1" ref="AV616" ca="1">INDIRECT("'"&amp;$C616&amp;"'!"&amp;"$"&amp;$D616&amp;$AV$1&amp;"")</f>
        <v>3.3</v>
      </c>
      <c r="AW616" s="280" t="s">
        <v>1</v>
      </c>
      <c r="AX616" s="281">
        <v>0.92</v>
      </c>
      <c r="AY616" s="279">
        <v>1.3</v>
      </c>
      <c r="AZ616" s="281" cm="1">
        <f t="array" aca="1" ref="AZ616" ca="1">INDIRECT("'"&amp;$C616&amp;"'!"&amp;"$"&amp;$D616&amp;$AZ$1&amp;"")</f>
        <v>7</v>
      </c>
      <c r="BA616" s="280" t="s">
        <v>1</v>
      </c>
      <c r="BB616" s="281">
        <v>0.96</v>
      </c>
      <c r="BC616" s="279">
        <v>2.2000000000000002</v>
      </c>
      <c r="BD616" s="283">
        <v>14.39</v>
      </c>
      <c r="BE616" s="282">
        <v>72.06</v>
      </c>
      <c r="BF616" s="283" cm="1">
        <f t="array" aca="1" ref="BF616" ca="1">INDIRECT("'"&amp;$C616&amp;"'!"&amp;"$"&amp;$D616&amp;$BF$1&amp;"")</f>
        <v>14.18</v>
      </c>
      <c r="BG616" s="281">
        <v>0.96</v>
      </c>
      <c r="BH616" s="279">
        <v>4.5</v>
      </c>
      <c r="BI616" s="524">
        <v>67.400000000000006</v>
      </c>
      <c r="BJ616" s="278" cm="1">
        <f t="array" aca="1" ref="BJ616" ca="1">INDIRECT("'"&amp;$C616&amp;"'!"&amp;"$"&amp;$D616&amp;$BI$1&amp;"")</f>
        <v>1.5</v>
      </c>
      <c r="BK616" s="280">
        <v>0.94</v>
      </c>
      <c r="BL616" s="279">
        <v>0.55000000000000004</v>
      </c>
      <c r="BM616" s="283" cm="1">
        <f t="array" aca="1" ref="BM616" ca="1">INDIRECT("'"&amp;$C616&amp;"'!"&amp;"$"&amp;$D616&amp;$BM$1&amp;"")</f>
        <v>1.22</v>
      </c>
      <c r="BN616" s="281"/>
      <c r="BO616" s="281">
        <v>0.99</v>
      </c>
      <c r="BP616" s="279">
        <v>0.16</v>
      </c>
      <c r="BQ616" s="284" cm="1">
        <f t="array" aca="1" ref="BQ616" ca="1">INDIRECT("'"&amp;$C616&amp;"'!"&amp;"$"&amp;$D616&amp;$BQ$1&amp;"")</f>
        <v>0.83</v>
      </c>
      <c r="BR616" s="281"/>
      <c r="BS616" s="281">
        <v>0.96</v>
      </c>
      <c r="BT616" s="279">
        <v>0.23</v>
      </c>
      <c r="BU616" s="284" cm="1">
        <f t="array" aca="1" ref="BU616" ca="1">INDIRECT("'"&amp;$C616&amp;"'!"&amp;"$"&amp;$D616&amp;74&amp;"")</f>
        <v>0</v>
      </c>
      <c r="BV616" s="281"/>
      <c r="BW616" s="281" t="s">
        <v>1</v>
      </c>
      <c r="BX616" s="279" t="s">
        <v>1</v>
      </c>
    </row>
    <row r="617" spans="1:76">
      <c r="A617" s="459">
        <v>45863</v>
      </c>
      <c r="B617" s="345">
        <v>0.5</v>
      </c>
      <c r="C617" s="305">
        <v>25</v>
      </c>
      <c r="D617" s="306" t="s">
        <v>154</v>
      </c>
      <c r="E617" s="285">
        <v>14.2</v>
      </c>
      <c r="F617" s="286">
        <v>68.709999999999994</v>
      </c>
      <c r="G617" s="287" t="str" cm="1">
        <f t="array" aca="1" ref="G617" ca="1">INDIRECT("'"&amp;$C617&amp;"'!"&amp;"$"&amp;$D617&amp;$E$1&amp;"")</f>
        <v>CMS</v>
      </c>
      <c r="H617" s="288" t="s">
        <v>1</v>
      </c>
      <c r="I617" s="286" t="s">
        <v>1</v>
      </c>
      <c r="J617" s="287" cm="1">
        <f t="array" aca="1" ref="J617" ca="1">INDIRECT("'"&amp;$C617&amp;"'!"&amp;"$"&amp;$D617&amp;$J$1&amp;"")</f>
        <v>6.5</v>
      </c>
      <c r="K617" s="288"/>
      <c r="L617" s="288">
        <v>0.91</v>
      </c>
      <c r="M617" s="289">
        <v>3</v>
      </c>
      <c r="N617" s="285" cm="1">
        <f t="array" aca="1" ref="N617" ca="1">INDIRECT("'"&amp;$C617&amp;"'!"&amp;"$"&amp;$D617&amp;$N$1&amp;"")</f>
        <v>6.5</v>
      </c>
      <c r="O617" s="288"/>
      <c r="P617" s="288">
        <v>0.91</v>
      </c>
      <c r="Q617" s="289">
        <v>0.3</v>
      </c>
      <c r="R617" s="285" cm="1">
        <f t="array" aca="1" ref="R617" ca="1">INDIRECT("'"&amp;$C617&amp;"'!"&amp;"$"&amp;$D617&amp;$R$1&amp;"")</f>
        <v>6.5</v>
      </c>
      <c r="S617" s="288"/>
      <c r="T617" s="288">
        <v>0.91</v>
      </c>
      <c r="U617" s="286">
        <v>2.99</v>
      </c>
      <c r="V617" s="287" t="str" cm="1">
        <f t="array" aca="1" ref="V617" ca="1">INDIRECT("'"&amp;$C617&amp;"'!"&amp;"$"&amp;$D617&amp;$V$1&amp;"")</f>
        <v>CMS</v>
      </c>
      <c r="W617" s="288" t="s">
        <v>1</v>
      </c>
      <c r="X617" s="288" t="s">
        <v>1</v>
      </c>
      <c r="Y617" s="289" t="s">
        <v>1</v>
      </c>
      <c r="Z617" s="285" t="str" cm="1">
        <f t="array" aca="1" ref="Z617" ca="1">INDIRECT("'"&amp;$C617&amp;"'!"&amp;"$"&amp;$D617&amp;$Z$1&amp;"")</f>
        <v>CMS</v>
      </c>
      <c r="AA617" s="288" t="s">
        <v>1</v>
      </c>
      <c r="AB617" s="288" t="s">
        <v>1</v>
      </c>
      <c r="AC617" s="286" t="s">
        <v>1</v>
      </c>
      <c r="AD617" s="287" t="str" cm="1">
        <f t="array" aca="1" ref="AD617" ca="1">INDIRECT("'"&amp;$C617&amp;"'!"&amp;"$"&amp;$D617&amp;$AD$1&amp;"")</f>
        <v>CMS</v>
      </c>
      <c r="AE617" s="288" t="s">
        <v>1</v>
      </c>
      <c r="AF617" s="288" t="s">
        <v>1</v>
      </c>
      <c r="AG617" s="289" t="s">
        <v>1</v>
      </c>
      <c r="AH617" s="285" cm="1">
        <f t="array" aca="1" ref="AH617" ca="1">INDIRECT("'"&amp;$C617&amp;"'!"&amp;"$"&amp;$D617&amp;$AH$1&amp;"")</f>
        <v>3</v>
      </c>
      <c r="AI617" s="288">
        <v>14.12</v>
      </c>
      <c r="AJ617" s="288">
        <v>0.97</v>
      </c>
      <c r="AK617" s="286">
        <v>0.61499999999999999</v>
      </c>
      <c r="AL617" s="285">
        <v>11.6</v>
      </c>
      <c r="AM617" s="289">
        <v>70.8</v>
      </c>
      <c r="AN617" s="285" cm="1">
        <f t="array" aca="1" ref="AN617" ca="1">INDIRECT("'"&amp;$C617&amp;"'!"&amp;"$"&amp;$D617&amp;$AL$1&amp;"")</f>
        <v>2</v>
      </c>
      <c r="AO617" s="288">
        <v>0.92</v>
      </c>
      <c r="AP617" s="286">
        <v>0.9</v>
      </c>
      <c r="AQ617" s="287" cm="1">
        <f t="array" aca="1" ref="AQ617" ca="1">INDIRECT("'"&amp;$C617&amp;"'!"&amp;"$"&amp;$D617&amp;$AQ$1&amp;"")</f>
        <v>0</v>
      </c>
      <c r="AR617" s="288" t="s">
        <v>1</v>
      </c>
      <c r="AS617" s="286" t="s">
        <v>1</v>
      </c>
      <c r="AT617" s="285">
        <v>14</v>
      </c>
      <c r="AU617" s="289">
        <v>70.400000000000006</v>
      </c>
      <c r="AV617" s="288" cm="1">
        <f t="array" aca="1" ref="AV617" ca="1">INDIRECT("'"&amp;$C617&amp;"'!"&amp;"$"&amp;$D617&amp;$AV$1&amp;"")</f>
        <v>2.8</v>
      </c>
      <c r="AW617" s="287" t="s">
        <v>1</v>
      </c>
      <c r="AX617" s="288">
        <v>0.92</v>
      </c>
      <c r="AY617" s="286">
        <v>1</v>
      </c>
      <c r="AZ617" s="288" cm="1">
        <f t="array" aca="1" ref="AZ617" ca="1">INDIRECT("'"&amp;$C617&amp;"'!"&amp;"$"&amp;$D617&amp;$AZ$1&amp;"")</f>
        <v>7</v>
      </c>
      <c r="BA617" s="287" t="s">
        <v>1</v>
      </c>
      <c r="BB617" s="288">
        <v>0.96</v>
      </c>
      <c r="BC617" s="286">
        <v>2.2000000000000002</v>
      </c>
      <c r="BD617" s="290">
        <v>14.3</v>
      </c>
      <c r="BE617" s="289">
        <v>71.849999999999994</v>
      </c>
      <c r="BF617" s="290" cm="1">
        <f t="array" aca="1" ref="BF617" ca="1">INDIRECT("'"&amp;$C617&amp;"'!"&amp;"$"&amp;$D617&amp;$BF$1&amp;"")</f>
        <v>14.26</v>
      </c>
      <c r="BG617" s="288">
        <v>0.98</v>
      </c>
      <c r="BH617" s="286">
        <v>3.4</v>
      </c>
      <c r="BI617" s="525">
        <v>67.599999999999994</v>
      </c>
      <c r="BJ617" s="285" cm="1">
        <f t="array" aca="1" ref="BJ617" ca="1">INDIRECT("'"&amp;$C617&amp;"'!"&amp;"$"&amp;$D617&amp;$BI$1&amp;"")</f>
        <v>0</v>
      </c>
      <c r="BK617" s="287" t="s">
        <v>1</v>
      </c>
      <c r="BL617" s="286" t="s">
        <v>1</v>
      </c>
      <c r="BM617" s="290" cm="1">
        <f t="array" aca="1" ref="BM617" ca="1">INDIRECT("'"&amp;$C617&amp;"'!"&amp;"$"&amp;$D617&amp;$BM$1&amp;"")</f>
        <v>1.23</v>
      </c>
      <c r="BN617" s="288"/>
      <c r="BO617" s="288">
        <v>0.99</v>
      </c>
      <c r="BP617" s="286">
        <v>0.16</v>
      </c>
      <c r="BQ617" s="291" cm="1">
        <f t="array" aca="1" ref="BQ617" ca="1">INDIRECT("'"&amp;$C617&amp;"'!"&amp;"$"&amp;$D617&amp;$BQ$1&amp;"")</f>
        <v>0.86</v>
      </c>
      <c r="BR617" s="288"/>
      <c r="BS617" s="288">
        <v>0.96</v>
      </c>
      <c r="BT617" s="286">
        <v>0.23</v>
      </c>
      <c r="BU617" s="291" cm="1">
        <f t="array" aca="1" ref="BU617" ca="1">INDIRECT("'"&amp;$C617&amp;"'!"&amp;"$"&amp;$D617&amp;74&amp;"")</f>
        <v>0</v>
      </c>
      <c r="BV617" s="288"/>
      <c r="BW617" s="288" t="s">
        <v>1</v>
      </c>
      <c r="BX617" s="286" t="s">
        <v>1</v>
      </c>
    </row>
    <row r="618" spans="1:76">
      <c r="A618" s="459">
        <v>45863</v>
      </c>
      <c r="B618" s="345">
        <v>0.54166666666666696</v>
      </c>
      <c r="C618" s="305">
        <v>25</v>
      </c>
      <c r="D618" s="306" t="s">
        <v>155</v>
      </c>
      <c r="E618" s="278">
        <v>14.2</v>
      </c>
      <c r="F618" s="279">
        <v>69.08</v>
      </c>
      <c r="G618" s="280" t="str" cm="1">
        <f t="array" aca="1" ref="G618" ca="1">INDIRECT("'"&amp;$C618&amp;"'!"&amp;"$"&amp;$D618&amp;$E$1&amp;"")</f>
        <v>CMS</v>
      </c>
      <c r="H618" s="281" t="s">
        <v>1</v>
      </c>
      <c r="I618" s="279" t="s">
        <v>1</v>
      </c>
      <c r="J618" s="280" cm="1">
        <f t="array" aca="1" ref="J618" ca="1">INDIRECT("'"&amp;$C618&amp;"'!"&amp;"$"&amp;$D618&amp;$J$1&amp;"")</f>
        <v>7</v>
      </c>
      <c r="K618" s="281"/>
      <c r="L618" s="281">
        <v>0.91</v>
      </c>
      <c r="M618" s="279">
        <v>2.1800000000000002</v>
      </c>
      <c r="N618" s="278" cm="1">
        <f t="array" aca="1" ref="N618" ca="1">INDIRECT("'"&amp;$C618&amp;"'!"&amp;"$"&amp;$D618&amp;$N$1&amp;"")</f>
        <v>7</v>
      </c>
      <c r="O618" s="281"/>
      <c r="P618" s="281">
        <v>0.91</v>
      </c>
      <c r="Q618" s="279">
        <v>2.17</v>
      </c>
      <c r="R618" s="468" cm="1">
        <f t="array" aca="1" ref="R618" ca="1">INDIRECT("'"&amp;$C618&amp;"'!"&amp;"$"&amp;$D618&amp;$R$1&amp;"")</f>
        <v>7</v>
      </c>
      <c r="S618" s="281"/>
      <c r="T618" s="281">
        <v>0.91</v>
      </c>
      <c r="U618" s="279">
        <v>2.17</v>
      </c>
      <c r="V618" s="280" t="str" cm="1">
        <f t="array" aca="1" ref="V618" ca="1">INDIRECT("'"&amp;$C618&amp;"'!"&amp;"$"&amp;$D618&amp;$V$1&amp;"")</f>
        <v>CMS</v>
      </c>
      <c r="W618" s="281" t="s">
        <v>1</v>
      </c>
      <c r="X618" s="281" t="s">
        <v>1</v>
      </c>
      <c r="Y618" s="282" t="s">
        <v>1</v>
      </c>
      <c r="Z618" s="278" t="str" cm="1">
        <f t="array" aca="1" ref="Z618" ca="1">INDIRECT("'"&amp;$C618&amp;"'!"&amp;"$"&amp;$D618&amp;$Z$1&amp;"")</f>
        <v>CMS</v>
      </c>
      <c r="AA618" s="281" t="s">
        <v>1</v>
      </c>
      <c r="AB618" s="281" t="s">
        <v>1</v>
      </c>
      <c r="AC618" s="279" t="s">
        <v>1</v>
      </c>
      <c r="AD618" s="280" t="str" cm="1">
        <f t="array" aca="1" ref="AD618" ca="1">INDIRECT("'"&amp;$C618&amp;"'!"&amp;"$"&amp;$D618&amp;$AD$1&amp;"")</f>
        <v>CMS</v>
      </c>
      <c r="AE618" s="281" t="s">
        <v>1</v>
      </c>
      <c r="AF618" s="281" t="s">
        <v>1</v>
      </c>
      <c r="AG618" s="282" t="s">
        <v>1</v>
      </c>
      <c r="AH618" s="278" cm="1">
        <f t="array" aca="1" ref="AH618" ca="1">INDIRECT("'"&amp;$C618&amp;"'!"&amp;"$"&amp;$D618&amp;$AH$1&amp;"")</f>
        <v>3.8</v>
      </c>
      <c r="AI618" s="281">
        <v>14.12</v>
      </c>
      <c r="AJ618" s="281">
        <v>0.97</v>
      </c>
      <c r="AK618" s="279">
        <v>0.61199999999999999</v>
      </c>
      <c r="AL618" s="278">
        <v>11.7</v>
      </c>
      <c r="AM618" s="282">
        <v>70.099999999999994</v>
      </c>
      <c r="AN618" s="278" cm="1">
        <f t="array" aca="1" ref="AN618" ca="1">INDIRECT("'"&amp;$C618&amp;"'!"&amp;"$"&amp;$D618&amp;$AL$1&amp;"")</f>
        <v>0</v>
      </c>
      <c r="AO618" s="281" t="s">
        <v>1</v>
      </c>
      <c r="AP618" s="279" t="s">
        <v>1</v>
      </c>
      <c r="AQ618" s="280" cm="1">
        <f t="array" aca="1" ref="AQ618" ca="1">INDIRECT("'"&amp;$C618&amp;"'!"&amp;"$"&amp;$D618&amp;$AQ$1&amp;"")</f>
        <v>3.8</v>
      </c>
      <c r="AR618" s="281">
        <v>0.92</v>
      </c>
      <c r="AS618" s="279">
        <v>1.64</v>
      </c>
      <c r="AT618" s="278">
        <v>14</v>
      </c>
      <c r="AU618" s="282">
        <v>70.400000000000006</v>
      </c>
      <c r="AV618" s="281" cm="1">
        <f t="array" aca="1" ref="AV618" ca="1">INDIRECT("'"&amp;$C618&amp;"'!"&amp;"$"&amp;$D618&amp;$AV$1&amp;"")</f>
        <v>0</v>
      </c>
      <c r="AW618" s="280">
        <v>13.7</v>
      </c>
      <c r="AX618" s="281" t="s">
        <v>1</v>
      </c>
      <c r="AY618" s="279" t="s">
        <v>1</v>
      </c>
      <c r="AZ618" s="281" cm="1">
        <f t="array" aca="1" ref="AZ618" ca="1">INDIRECT("'"&amp;$C618&amp;"'!"&amp;"$"&amp;$D618&amp;$AZ$1&amp;"")</f>
        <v>7</v>
      </c>
      <c r="BA618" s="280">
        <v>13.7</v>
      </c>
      <c r="BB618" s="281">
        <v>0.95</v>
      </c>
      <c r="BC618" s="279">
        <v>2.1</v>
      </c>
      <c r="BD618" s="283">
        <v>14.27</v>
      </c>
      <c r="BE618" s="282">
        <v>71.78</v>
      </c>
      <c r="BF618" s="283" cm="1">
        <f t="array" aca="1" ref="BF618" ca="1">INDIRECT("'"&amp;$C618&amp;"'!"&amp;"$"&amp;$D618&amp;$BF$1&amp;"")</f>
        <v>14.28</v>
      </c>
      <c r="BG618" s="281">
        <v>0.98</v>
      </c>
      <c r="BH618" s="279">
        <v>3.4</v>
      </c>
      <c r="BI618" s="524">
        <v>67.7</v>
      </c>
      <c r="BJ618" s="278" cm="1">
        <f t="array" aca="1" ref="BJ618" ca="1">INDIRECT("'"&amp;$C618&amp;"'!"&amp;"$"&amp;$D618&amp;$BI$1&amp;"")</f>
        <v>2.2999999999999998</v>
      </c>
      <c r="BK618" s="280">
        <v>0.94</v>
      </c>
      <c r="BL618" s="279">
        <v>0.81</v>
      </c>
      <c r="BM618" s="283" cm="1">
        <f t="array" aca="1" ref="BM618" ca="1">INDIRECT("'"&amp;$C618&amp;"'!"&amp;"$"&amp;$D618&amp;$BM$1&amp;"")</f>
        <v>1.23</v>
      </c>
      <c r="BN618" s="281"/>
      <c r="BO618" s="281">
        <v>0.99</v>
      </c>
      <c r="BP618" s="279">
        <v>0.16</v>
      </c>
      <c r="BQ618" s="284" cm="1">
        <f t="array" aca="1" ref="BQ618" ca="1">INDIRECT("'"&amp;$C618&amp;"'!"&amp;"$"&amp;$D618&amp;$BQ$1&amp;"")</f>
        <v>0.86</v>
      </c>
      <c r="BR618" s="281"/>
      <c r="BS618" s="281">
        <v>0.96</v>
      </c>
      <c r="BT618" s="279">
        <v>0.23</v>
      </c>
      <c r="BU618" s="284" cm="1">
        <f t="array" aca="1" ref="BU618" ca="1">INDIRECT("'"&amp;$C618&amp;"'!"&amp;"$"&amp;$D618&amp;74&amp;"")</f>
        <v>0</v>
      </c>
      <c r="BV618" s="281"/>
      <c r="BW618" s="281" t="s">
        <v>1</v>
      </c>
      <c r="BX618" s="279" t="s">
        <v>1</v>
      </c>
    </row>
    <row r="619" spans="1:76">
      <c r="A619" s="459">
        <v>45863</v>
      </c>
      <c r="B619" s="345">
        <v>0.58333333333333404</v>
      </c>
      <c r="C619" s="305">
        <v>25</v>
      </c>
      <c r="D619" s="306" t="s">
        <v>156</v>
      </c>
      <c r="E619" s="285">
        <v>14.3</v>
      </c>
      <c r="F619" s="286">
        <v>69.459999999999994</v>
      </c>
      <c r="G619" s="287" t="str" cm="1">
        <f t="array" aca="1" ref="G619" ca="1">INDIRECT("'"&amp;$C619&amp;"'!"&amp;"$"&amp;$D619&amp;$E$1&amp;"")</f>
        <v>CMS</v>
      </c>
      <c r="H619" s="288" t="s">
        <v>1</v>
      </c>
      <c r="I619" s="286" t="s">
        <v>1</v>
      </c>
      <c r="J619" s="287" cm="1">
        <f t="array" aca="1" ref="J619" ca="1">INDIRECT("'"&amp;$C619&amp;"'!"&amp;"$"&amp;$D619&amp;$J$1&amp;"")</f>
        <v>6.7</v>
      </c>
      <c r="K619" s="288"/>
      <c r="L619" s="288">
        <v>0.92</v>
      </c>
      <c r="M619" s="289">
        <v>2.89</v>
      </c>
      <c r="N619" s="285" cm="1">
        <f t="array" aca="1" ref="N619" ca="1">INDIRECT("'"&amp;$C619&amp;"'!"&amp;"$"&amp;$D619&amp;$N$1&amp;"")</f>
        <v>6.7</v>
      </c>
      <c r="O619" s="288"/>
      <c r="P619" s="288">
        <v>0.92</v>
      </c>
      <c r="Q619" s="286">
        <v>2.96</v>
      </c>
      <c r="R619" s="285" cm="1">
        <f t="array" aca="1" ref="R619" ca="1">INDIRECT("'"&amp;$C619&amp;"'!"&amp;"$"&amp;$D619&amp;$R$1&amp;"")</f>
        <v>6.7</v>
      </c>
      <c r="S619" s="288"/>
      <c r="T619" s="288">
        <v>0.93</v>
      </c>
      <c r="U619" s="286">
        <v>2.59</v>
      </c>
      <c r="V619" s="287" t="str" cm="1">
        <f t="array" aca="1" ref="V619" ca="1">INDIRECT("'"&amp;$C619&amp;"'!"&amp;"$"&amp;$D619&amp;$V$1&amp;"")</f>
        <v>CMS</v>
      </c>
      <c r="W619" s="288" t="s">
        <v>1</v>
      </c>
      <c r="X619" s="288" t="s">
        <v>1</v>
      </c>
      <c r="Y619" s="289" t="s">
        <v>1</v>
      </c>
      <c r="Z619" s="285" t="str" cm="1">
        <f t="array" aca="1" ref="Z619" ca="1">INDIRECT("'"&amp;$C619&amp;"'!"&amp;"$"&amp;$D619&amp;$Z$1&amp;"")</f>
        <v>CMS</v>
      </c>
      <c r="AA619" s="288" t="s">
        <v>1</v>
      </c>
      <c r="AB619" s="288" t="s">
        <v>1</v>
      </c>
      <c r="AC619" s="286" t="s">
        <v>1</v>
      </c>
      <c r="AD619" s="287" t="str" cm="1">
        <f t="array" aca="1" ref="AD619" ca="1">INDIRECT("'"&amp;$C619&amp;"'!"&amp;"$"&amp;$D619&amp;$AD$1&amp;"")</f>
        <v>CMS</v>
      </c>
      <c r="AE619" s="288" t="s">
        <v>1</v>
      </c>
      <c r="AF619" s="288" t="s">
        <v>1</v>
      </c>
      <c r="AG619" s="289" t="s">
        <v>1</v>
      </c>
      <c r="AH619" s="285" cm="1">
        <f t="array" aca="1" ref="AH619" ca="1">INDIRECT("'"&amp;$C619&amp;"'!"&amp;"$"&amp;$D619&amp;$AH$1&amp;"")</f>
        <v>3.8</v>
      </c>
      <c r="AI619" s="288">
        <v>14.08</v>
      </c>
      <c r="AJ619" s="288">
        <v>0.98</v>
      </c>
      <c r="AK619" s="286">
        <v>0.44700000000000001</v>
      </c>
      <c r="AL619" s="285">
        <v>11.7</v>
      </c>
      <c r="AM619" s="289">
        <v>70.900000000000006</v>
      </c>
      <c r="AN619" s="285" cm="1">
        <f t="array" aca="1" ref="AN619" ca="1">INDIRECT("'"&amp;$C619&amp;"'!"&amp;"$"&amp;$D619&amp;$AL$1&amp;"")</f>
        <v>0</v>
      </c>
      <c r="AO619" s="288" t="s">
        <v>1</v>
      </c>
      <c r="AP619" s="286" t="s">
        <v>1</v>
      </c>
      <c r="AQ619" s="287" cm="1">
        <f t="array" aca="1" ref="AQ619" ca="1">INDIRECT("'"&amp;$C619&amp;"'!"&amp;"$"&amp;$D619&amp;$AQ$1&amp;"")</f>
        <v>3.8</v>
      </c>
      <c r="AR619" s="288">
        <v>0.93</v>
      </c>
      <c r="AS619" s="286">
        <v>1.46</v>
      </c>
      <c r="AT619" s="285">
        <v>14</v>
      </c>
      <c r="AU619" s="289">
        <v>70.400000000000006</v>
      </c>
      <c r="AV619" s="288" cm="1">
        <f t="array" aca="1" ref="AV619" ca="1">INDIRECT("'"&amp;$C619&amp;"'!"&amp;"$"&amp;$D619&amp;$AV$1&amp;"")</f>
        <v>0</v>
      </c>
      <c r="AW619" s="287">
        <v>13.7</v>
      </c>
      <c r="AX619" s="288" t="s">
        <v>1</v>
      </c>
      <c r="AY619" s="286" t="s">
        <v>1</v>
      </c>
      <c r="AZ619" s="288" cm="1">
        <f t="array" aca="1" ref="AZ619" ca="1">INDIRECT("'"&amp;$C619&amp;"'!"&amp;"$"&amp;$D619&amp;$AZ$1&amp;"")</f>
        <v>7</v>
      </c>
      <c r="BA619" s="287">
        <v>13.7</v>
      </c>
      <c r="BB619" s="288">
        <v>0.95</v>
      </c>
      <c r="BC619" s="286">
        <v>2.1</v>
      </c>
      <c r="BD619" s="290">
        <v>14.25</v>
      </c>
      <c r="BE619" s="289">
        <v>71.73</v>
      </c>
      <c r="BF619" s="290" cm="1">
        <f t="array" aca="1" ref="BF619" ca="1">INDIRECT("'"&amp;$C619&amp;"'!"&amp;"$"&amp;$D619&amp;$BF$1&amp;"")</f>
        <v>14.25</v>
      </c>
      <c r="BG619" s="288">
        <v>0.98</v>
      </c>
      <c r="BH619" s="286">
        <v>3.4</v>
      </c>
      <c r="BI619" s="525">
        <v>67.900000000000006</v>
      </c>
      <c r="BJ619" s="285" cm="1">
        <f t="array" aca="1" ref="BJ619" ca="1">INDIRECT("'"&amp;$C619&amp;"'!"&amp;"$"&amp;$D619&amp;$BI$1&amp;"")</f>
        <v>2.2999999999999998</v>
      </c>
      <c r="BK619" s="287">
        <v>0.94</v>
      </c>
      <c r="BL619" s="286">
        <v>0.83</v>
      </c>
      <c r="BM619" s="290" cm="1">
        <f t="array" aca="1" ref="BM619" ca="1">INDIRECT("'"&amp;$C619&amp;"'!"&amp;"$"&amp;$D619&amp;$BM$1&amp;"")</f>
        <v>1.25</v>
      </c>
      <c r="BN619" s="288"/>
      <c r="BO619" s="288">
        <v>0.99</v>
      </c>
      <c r="BP619" s="286">
        <v>0.16</v>
      </c>
      <c r="BQ619" s="291" cm="1">
        <f t="array" aca="1" ref="BQ619" ca="1">INDIRECT("'"&amp;$C619&amp;"'!"&amp;"$"&amp;$D619&amp;$BQ$1&amp;"")</f>
        <v>0.84</v>
      </c>
      <c r="BR619" s="288"/>
      <c r="BS619" s="288">
        <v>0.96</v>
      </c>
      <c r="BT619" s="286">
        <v>0.23</v>
      </c>
      <c r="BU619" s="291" cm="1">
        <f t="array" aca="1" ref="BU619" ca="1">INDIRECT("'"&amp;$C619&amp;"'!"&amp;"$"&amp;$D619&amp;74&amp;"")</f>
        <v>0</v>
      </c>
      <c r="BV619" s="288"/>
      <c r="BW619" s="288" t="s">
        <v>1</v>
      </c>
      <c r="BX619" s="286" t="s">
        <v>1</v>
      </c>
    </row>
    <row r="620" spans="1:76">
      <c r="A620" s="459">
        <v>45863</v>
      </c>
      <c r="B620" s="345">
        <v>0.625</v>
      </c>
      <c r="C620" s="305">
        <v>25</v>
      </c>
      <c r="D620" s="306" t="s">
        <v>157</v>
      </c>
      <c r="E620" s="278">
        <v>14.2</v>
      </c>
      <c r="F620" s="279">
        <v>69.849999999999994</v>
      </c>
      <c r="G620" s="280" t="str" cm="1">
        <f t="array" aca="1" ref="G620" ca="1">INDIRECT("'"&amp;$C620&amp;"'!"&amp;"$"&amp;$D620&amp;$E$1&amp;"")</f>
        <v>CMS</v>
      </c>
      <c r="H620" s="281" t="s">
        <v>1</v>
      </c>
      <c r="I620" s="279" t="s">
        <v>1</v>
      </c>
      <c r="J620" s="280" cm="1">
        <f t="array" aca="1" ref="J620" ca="1">INDIRECT("'"&amp;$C620&amp;"'!"&amp;"$"&amp;$D620&amp;$J$1&amp;"")</f>
        <v>6.8</v>
      </c>
      <c r="K620" s="281"/>
      <c r="L620" s="281">
        <v>0.92</v>
      </c>
      <c r="M620" s="282">
        <v>2.9</v>
      </c>
      <c r="N620" s="278" cm="1">
        <f t="array" aca="1" ref="N620" ca="1">INDIRECT("'"&amp;$C620&amp;"'!"&amp;"$"&amp;$D620&amp;$N$1&amp;"")</f>
        <v>6.9</v>
      </c>
      <c r="O620" s="281"/>
      <c r="P620" s="281">
        <v>0.91</v>
      </c>
      <c r="Q620" s="279">
        <v>2.02</v>
      </c>
      <c r="R620" s="468" cm="1">
        <f t="array" aca="1" ref="R620" ca="1">INDIRECT("'"&amp;$C620&amp;"'!"&amp;"$"&amp;$D620&amp;$R$1&amp;"")</f>
        <v>6.8</v>
      </c>
      <c r="S620" s="281"/>
      <c r="T620" s="281">
        <v>0.9</v>
      </c>
      <c r="U620" s="279">
        <v>2.33</v>
      </c>
      <c r="V620" s="280" cm="1">
        <f t="array" aca="1" ref="V620" ca="1">INDIRECT("'"&amp;$C620&amp;"'!"&amp;"$"&amp;$D620&amp;$V$1&amp;"")</f>
        <v>0</v>
      </c>
      <c r="W620" s="281" t="s">
        <v>1</v>
      </c>
      <c r="X620" s="281" t="s">
        <v>1</v>
      </c>
      <c r="Y620" s="282" t="s">
        <v>1</v>
      </c>
      <c r="Z620" s="278" t="str" cm="1">
        <f t="array" aca="1" ref="Z620" ca="1">INDIRECT("'"&amp;$C620&amp;"'!"&amp;"$"&amp;$D620&amp;$Z$1&amp;"")</f>
        <v>CMS</v>
      </c>
      <c r="AA620" s="281" t="s">
        <v>1</v>
      </c>
      <c r="AB620" s="281" t="s">
        <v>1</v>
      </c>
      <c r="AC620" s="279" t="s">
        <v>1</v>
      </c>
      <c r="AD620" s="280" t="str" cm="1">
        <f t="array" aca="1" ref="AD620" ca="1">INDIRECT("'"&amp;$C620&amp;"'!"&amp;"$"&amp;$D620&amp;$AD$1&amp;"")</f>
        <v>CMS</v>
      </c>
      <c r="AE620" s="281" t="s">
        <v>1</v>
      </c>
      <c r="AF620" s="281" t="s">
        <v>1</v>
      </c>
      <c r="AG620" s="282" t="s">
        <v>1</v>
      </c>
      <c r="AH620" s="278" cm="1">
        <f t="array" aca="1" ref="AH620" ca="1">INDIRECT("'"&amp;$C620&amp;"'!"&amp;"$"&amp;$D620&amp;$AH$1&amp;"")</f>
        <v>3.8</v>
      </c>
      <c r="AI620" s="281">
        <v>14.08</v>
      </c>
      <c r="AJ620" s="281">
        <v>0.98</v>
      </c>
      <c r="AK620" s="279">
        <v>0.45200000000000001</v>
      </c>
      <c r="AL620" s="278">
        <v>11.7</v>
      </c>
      <c r="AM620" s="282">
        <v>70.900000000000006</v>
      </c>
      <c r="AN620" s="278" cm="1">
        <f t="array" aca="1" ref="AN620" ca="1">INDIRECT("'"&amp;$C620&amp;"'!"&amp;"$"&amp;$D620&amp;$AL$1&amp;"")</f>
        <v>0</v>
      </c>
      <c r="AO620" s="281" t="s">
        <v>1</v>
      </c>
      <c r="AP620" s="279" t="s">
        <v>1</v>
      </c>
      <c r="AQ620" s="280" cm="1">
        <f t="array" aca="1" ref="AQ620" ca="1">INDIRECT("'"&amp;$C620&amp;"'!"&amp;"$"&amp;$D620&amp;$AQ$1&amp;"")</f>
        <v>3.8</v>
      </c>
      <c r="AR620" s="281">
        <v>0.94</v>
      </c>
      <c r="AS620" s="279">
        <v>1.46</v>
      </c>
      <c r="AT620" s="278">
        <v>14</v>
      </c>
      <c r="AU620" s="282">
        <v>70.400000000000006</v>
      </c>
      <c r="AV620" s="281" cm="1">
        <f t="array" aca="1" ref="AV620" ca="1">INDIRECT("'"&amp;$C620&amp;"'!"&amp;"$"&amp;$D620&amp;$AV$1&amp;"")</f>
        <v>0</v>
      </c>
      <c r="AW620" s="280">
        <v>13.7</v>
      </c>
      <c r="AX620" s="281" t="s">
        <v>1</v>
      </c>
      <c r="AY620" s="279" t="s">
        <v>1</v>
      </c>
      <c r="AZ620" s="281" cm="1">
        <f t="array" aca="1" ref="AZ620" ca="1">INDIRECT("'"&amp;$C620&amp;"'!"&amp;"$"&amp;$D620&amp;$AZ$1&amp;"")</f>
        <v>7</v>
      </c>
      <c r="BA620" s="280">
        <v>13.7</v>
      </c>
      <c r="BB620" s="281">
        <v>0.95</v>
      </c>
      <c r="BC620" s="279">
        <v>2.1</v>
      </c>
      <c r="BD620" s="283">
        <v>14.3</v>
      </c>
      <c r="BE620" s="282">
        <v>71.94</v>
      </c>
      <c r="BF620" s="283" cm="1">
        <f t="array" aca="1" ref="BF620" ca="1">INDIRECT("'"&amp;$C620&amp;"'!"&amp;"$"&amp;$D620&amp;$BF$1&amp;"")</f>
        <v>14.27</v>
      </c>
      <c r="BG620" s="281">
        <v>0.98</v>
      </c>
      <c r="BH620" s="279">
        <v>3.4</v>
      </c>
      <c r="BI620" s="524">
        <v>67.599999999999994</v>
      </c>
      <c r="BJ620" s="278" cm="1">
        <f t="array" aca="1" ref="BJ620" ca="1">INDIRECT("'"&amp;$C620&amp;"'!"&amp;"$"&amp;$D620&amp;$BI$1&amp;"")</f>
        <v>0</v>
      </c>
      <c r="BK620" s="280" t="s">
        <v>1</v>
      </c>
      <c r="BL620" s="279" t="s">
        <v>1</v>
      </c>
      <c r="BM620" s="283" cm="1">
        <f t="array" aca="1" ref="BM620" ca="1">INDIRECT("'"&amp;$C620&amp;"'!"&amp;"$"&amp;$D620&amp;$BM$1&amp;"")</f>
        <v>1.21</v>
      </c>
      <c r="BN620" s="281"/>
      <c r="BO620" s="281">
        <v>0.99</v>
      </c>
      <c r="BP620" s="279">
        <v>0.16</v>
      </c>
      <c r="BQ620" s="284" cm="1">
        <f t="array" aca="1" ref="BQ620" ca="1">INDIRECT("'"&amp;$C620&amp;"'!"&amp;"$"&amp;$D620&amp;$BQ$1&amp;"")</f>
        <v>0.82</v>
      </c>
      <c r="BR620" s="281"/>
      <c r="BS620" s="281">
        <v>0.96</v>
      </c>
      <c r="BT620" s="279">
        <v>0.23</v>
      </c>
      <c r="BU620" s="284" cm="1">
        <f t="array" aca="1" ref="BU620" ca="1">INDIRECT("'"&amp;$C620&amp;"'!"&amp;"$"&amp;$D620&amp;74&amp;"")</f>
        <v>0</v>
      </c>
      <c r="BV620" s="281"/>
      <c r="BW620" s="281" t="s">
        <v>1</v>
      </c>
      <c r="BX620" s="279" t="s">
        <v>1</v>
      </c>
    </row>
    <row r="621" spans="1:76">
      <c r="A621" s="459">
        <v>45863</v>
      </c>
      <c r="B621" s="345">
        <v>0.66666666666666696</v>
      </c>
      <c r="C621" s="305">
        <v>25</v>
      </c>
      <c r="D621" s="306" t="s">
        <v>158</v>
      </c>
      <c r="E621" s="285">
        <v>14.3</v>
      </c>
      <c r="F621" s="286">
        <v>69.36</v>
      </c>
      <c r="G621" s="287" t="str" cm="1">
        <f t="array" aca="1" ref="G621" ca="1">INDIRECT("'"&amp;$C621&amp;"'!"&amp;"$"&amp;$D621&amp;$E$1&amp;"")</f>
        <v>CMS</v>
      </c>
      <c r="H621" s="288" t="s">
        <v>1</v>
      </c>
      <c r="I621" s="286" t="s">
        <v>1</v>
      </c>
      <c r="J621" s="287" cm="1">
        <f t="array" aca="1" ref="J621" ca="1">INDIRECT("'"&amp;$C621&amp;"'!"&amp;"$"&amp;$D621&amp;$J$1&amp;"")</f>
        <v>6.8</v>
      </c>
      <c r="K621" s="288"/>
      <c r="L621" s="288">
        <v>0.92</v>
      </c>
      <c r="M621" s="289">
        <v>2.94</v>
      </c>
      <c r="N621" s="285" cm="1">
        <f t="array" aca="1" ref="N621" ca="1">INDIRECT("'"&amp;$C621&amp;"'!"&amp;"$"&amp;$D621&amp;$N$1&amp;"")</f>
        <v>6.8</v>
      </c>
      <c r="O621" s="288"/>
      <c r="P621" s="288">
        <v>0.92</v>
      </c>
      <c r="Q621" s="286">
        <v>2.96</v>
      </c>
      <c r="R621" s="469" cm="1">
        <f t="array" aca="1" ref="R621" ca="1">INDIRECT("'"&amp;$C621&amp;"'!"&amp;"$"&amp;$D621&amp;$R$1&amp;"")</f>
        <v>6.8</v>
      </c>
      <c r="S621" s="288"/>
      <c r="T621" s="288">
        <v>0.92</v>
      </c>
      <c r="U621" s="286">
        <v>2.96</v>
      </c>
      <c r="V621" s="287" cm="1">
        <f t="array" aca="1" ref="V621" ca="1">INDIRECT("'"&amp;$C621&amp;"'!"&amp;"$"&amp;$D621&amp;$V$1&amp;"")</f>
        <v>0</v>
      </c>
      <c r="W621" s="288" t="s">
        <v>1</v>
      </c>
      <c r="X621" s="288" t="s">
        <v>1</v>
      </c>
      <c r="Y621" s="289" t="s">
        <v>1</v>
      </c>
      <c r="Z621" s="285" t="str" cm="1">
        <f t="array" aca="1" ref="Z621" ca="1">INDIRECT("'"&amp;$C621&amp;"'!"&amp;"$"&amp;$D621&amp;$Z$1&amp;"")</f>
        <v>CMS</v>
      </c>
      <c r="AA621" s="288" t="s">
        <v>1</v>
      </c>
      <c r="AB621" s="288" t="s">
        <v>1</v>
      </c>
      <c r="AC621" s="286" t="s">
        <v>1</v>
      </c>
      <c r="AD621" s="287" t="str" cm="1">
        <f t="array" aca="1" ref="AD621" ca="1">INDIRECT("'"&amp;$C621&amp;"'!"&amp;"$"&amp;$D621&amp;$AD$1&amp;"")</f>
        <v>CMS</v>
      </c>
      <c r="AE621" s="288" t="s">
        <v>1</v>
      </c>
      <c r="AF621" s="288" t="s">
        <v>1</v>
      </c>
      <c r="AG621" s="289" t="s">
        <v>1</v>
      </c>
      <c r="AH621" s="285" cm="1">
        <f t="array" aca="1" ref="AH621" ca="1">INDIRECT("'"&amp;$C621&amp;"'!"&amp;"$"&amp;$D621&amp;$AH$1&amp;"")</f>
        <v>3</v>
      </c>
      <c r="AI621" s="288">
        <v>14.08</v>
      </c>
      <c r="AJ621" s="288">
        <v>0.97</v>
      </c>
      <c r="AK621" s="286">
        <v>0.63400000000000001</v>
      </c>
      <c r="AL621" s="285">
        <v>11.6</v>
      </c>
      <c r="AM621" s="289">
        <v>70.900000000000006</v>
      </c>
      <c r="AN621" s="285" cm="1">
        <f t="array" aca="1" ref="AN621" ca="1">INDIRECT("'"&amp;$C621&amp;"'!"&amp;"$"&amp;$D621&amp;$AL$1&amp;"")</f>
        <v>0</v>
      </c>
      <c r="AO621" s="288" t="s">
        <v>1</v>
      </c>
      <c r="AP621" s="286" t="s">
        <v>1</v>
      </c>
      <c r="AQ621" s="287" cm="1">
        <f t="array" aca="1" ref="AQ621" ca="1">INDIRECT("'"&amp;$C621&amp;"'!"&amp;"$"&amp;$D621&amp;$AQ$1&amp;"")</f>
        <v>3</v>
      </c>
      <c r="AR621" s="288">
        <v>0.92</v>
      </c>
      <c r="AS621" s="286">
        <v>1.37</v>
      </c>
      <c r="AT621" s="285">
        <v>14</v>
      </c>
      <c r="AU621" s="289">
        <v>70.400000000000006</v>
      </c>
      <c r="AV621" s="288" cm="1">
        <f t="array" aca="1" ref="AV621" ca="1">INDIRECT("'"&amp;$C621&amp;"'!"&amp;"$"&amp;$D621&amp;$AV$1&amp;"")</f>
        <v>0</v>
      </c>
      <c r="AW621" s="287" t="s">
        <v>1</v>
      </c>
      <c r="AX621" s="288" t="s">
        <v>1</v>
      </c>
      <c r="AY621" s="286" t="s">
        <v>1</v>
      </c>
      <c r="AZ621" s="288" cm="1">
        <f t="array" aca="1" ref="AZ621" ca="1">INDIRECT("'"&amp;$C621&amp;"'!"&amp;"$"&amp;$D621&amp;$AZ$1&amp;"")</f>
        <v>7</v>
      </c>
      <c r="BA621" s="287" t="s">
        <v>1</v>
      </c>
      <c r="BB621" s="288">
        <v>0.96</v>
      </c>
      <c r="BC621" s="286">
        <v>2</v>
      </c>
      <c r="BD621" s="290">
        <v>14.32</v>
      </c>
      <c r="BE621" s="289">
        <v>72.02</v>
      </c>
      <c r="BF621" s="290" cm="1">
        <f t="array" aca="1" ref="BF621" ca="1">INDIRECT("'"&amp;$C621&amp;"'!"&amp;"$"&amp;$D621&amp;$BF$1&amp;"")</f>
        <v>14.23</v>
      </c>
      <c r="BG621" s="288">
        <v>0.98</v>
      </c>
      <c r="BH621" s="286">
        <v>3.4</v>
      </c>
      <c r="BI621" s="525">
        <v>68</v>
      </c>
      <c r="BJ621" s="285" cm="1">
        <f t="array" aca="1" ref="BJ621" ca="1">INDIRECT("'"&amp;$C621&amp;"'!"&amp;"$"&amp;$D621&amp;$BI$1&amp;"")</f>
        <v>0</v>
      </c>
      <c r="BK621" s="287" t="s">
        <v>1</v>
      </c>
      <c r="BL621" s="286" t="s">
        <v>1</v>
      </c>
      <c r="BM621" s="290" cm="1">
        <f t="array" aca="1" ref="BM621" ca="1">INDIRECT("'"&amp;$C621&amp;"'!"&amp;"$"&amp;$D621&amp;$BM$1&amp;"")</f>
        <v>0.97</v>
      </c>
      <c r="BN621" s="288"/>
      <c r="BO621" s="288">
        <v>0.99</v>
      </c>
      <c r="BP621" s="286">
        <v>0.3</v>
      </c>
      <c r="BQ621" s="291" cm="1">
        <f t="array" aca="1" ref="BQ621" ca="1">INDIRECT("'"&amp;$C621&amp;"'!"&amp;"$"&amp;$D621&amp;$BQ$1&amp;"")</f>
        <v>0.76</v>
      </c>
      <c r="BR621" s="288"/>
      <c r="BS621" s="288">
        <v>0.96</v>
      </c>
      <c r="BT621" s="286">
        <v>0.21</v>
      </c>
      <c r="BU621" s="291" cm="1">
        <f t="array" aca="1" ref="BU621" ca="1">INDIRECT("'"&amp;$C621&amp;"'!"&amp;"$"&amp;$D621&amp;74&amp;"")</f>
        <v>0</v>
      </c>
      <c r="BV621" s="288"/>
      <c r="BW621" s="288" t="s">
        <v>1</v>
      </c>
      <c r="BX621" s="286" t="s">
        <v>1</v>
      </c>
    </row>
    <row r="622" spans="1:76">
      <c r="A622" s="459">
        <v>45863</v>
      </c>
      <c r="B622" s="345">
        <v>0.70833333333333404</v>
      </c>
      <c r="C622" s="305">
        <v>25</v>
      </c>
      <c r="D622" s="306" t="s">
        <v>159</v>
      </c>
      <c r="E622" s="278">
        <v>14.3</v>
      </c>
      <c r="F622" s="279">
        <v>69.56</v>
      </c>
      <c r="G622" s="280" t="str" cm="1">
        <f t="array" aca="1" ref="G622" ca="1">INDIRECT("'"&amp;$C622&amp;"'!"&amp;"$"&amp;$D622&amp;$E$1&amp;"")</f>
        <v>CMS</v>
      </c>
      <c r="H622" s="281" t="s">
        <v>1</v>
      </c>
      <c r="I622" s="279" t="s">
        <v>1</v>
      </c>
      <c r="J622" s="280" cm="1">
        <f t="array" aca="1" ref="J622" ca="1">INDIRECT("'"&amp;$C622&amp;"'!"&amp;"$"&amp;$D622&amp;$J$1&amp;"")</f>
        <v>6.7</v>
      </c>
      <c r="K622" s="281"/>
      <c r="L622" s="281">
        <v>0.92</v>
      </c>
      <c r="M622" s="282">
        <v>2.89</v>
      </c>
      <c r="N622" s="278" cm="1">
        <f t="array" aca="1" ref="N622" ca="1">INDIRECT("'"&amp;$C622&amp;"'!"&amp;"$"&amp;$D622&amp;$N$1&amp;"")</f>
        <v>6.7</v>
      </c>
      <c r="O622" s="281"/>
      <c r="P622" s="281">
        <v>0.92</v>
      </c>
      <c r="Q622" s="279">
        <v>2.9</v>
      </c>
      <c r="R622" s="468" cm="1">
        <f t="array" aca="1" ref="R622" ca="1">INDIRECT("'"&amp;$C622&amp;"'!"&amp;"$"&amp;$D622&amp;$R$1&amp;"")</f>
        <v>6.7</v>
      </c>
      <c r="S622" s="281"/>
      <c r="T622" s="281">
        <v>0.94</v>
      </c>
      <c r="U622" s="279">
        <v>2.9</v>
      </c>
      <c r="V622" s="280" cm="1">
        <f t="array" aca="1" ref="V622" ca="1">INDIRECT("'"&amp;$C622&amp;"'!"&amp;"$"&amp;$D622&amp;$V$1&amp;"")</f>
        <v>0</v>
      </c>
      <c r="W622" s="281" t="s">
        <v>1</v>
      </c>
      <c r="X622" s="281" t="s">
        <v>1</v>
      </c>
      <c r="Y622" s="282" t="s">
        <v>1</v>
      </c>
      <c r="Z622" s="278" cm="1">
        <f t="array" aca="1" ref="Z622" ca="1">INDIRECT("'"&amp;$C622&amp;"'!"&amp;"$"&amp;$D622&amp;$Z$1&amp;"")</f>
        <v>0.5</v>
      </c>
      <c r="AA622" s="281">
        <f>3.47*3.8</f>
        <v>13.186</v>
      </c>
      <c r="AB622" s="281">
        <v>0.98</v>
      </c>
      <c r="AC622" s="279">
        <v>0.19</v>
      </c>
      <c r="AD622" s="280" t="str" cm="1">
        <f t="array" aca="1" ref="AD622" ca="1">INDIRECT("'"&amp;$C622&amp;"'!"&amp;"$"&amp;$D622&amp;$AD$1&amp;"")</f>
        <v>CMS</v>
      </c>
      <c r="AE622" s="281" t="s">
        <v>1</v>
      </c>
      <c r="AF622" s="281" t="s">
        <v>1</v>
      </c>
      <c r="AG622" s="282" t="s">
        <v>1</v>
      </c>
      <c r="AH622" s="278" cm="1">
        <f t="array" aca="1" ref="AH622" ca="1">INDIRECT("'"&amp;$C622&amp;"'!"&amp;"$"&amp;$D622&amp;$AH$1&amp;"")</f>
        <v>2.5</v>
      </c>
      <c r="AI622" s="281">
        <v>14.04</v>
      </c>
      <c r="AJ622" s="281">
        <v>0.98</v>
      </c>
      <c r="AK622" s="279">
        <v>0.48099999999999998</v>
      </c>
      <c r="AL622" s="278">
        <v>11.6</v>
      </c>
      <c r="AM622" s="282">
        <v>70.8</v>
      </c>
      <c r="AN622" s="278" cm="1">
        <f t="array" aca="1" ref="AN622" ca="1">INDIRECT("'"&amp;$C622&amp;"'!"&amp;"$"&amp;$D622&amp;$AL$1&amp;"")</f>
        <v>0</v>
      </c>
      <c r="AO622" s="281" t="s">
        <v>1</v>
      </c>
      <c r="AP622" s="279" t="s">
        <v>1</v>
      </c>
      <c r="AQ622" s="280" cm="1">
        <f t="array" aca="1" ref="AQ622" ca="1">INDIRECT("'"&amp;$C622&amp;"'!"&amp;"$"&amp;$D622&amp;$AQ$1&amp;"")</f>
        <v>1.5</v>
      </c>
      <c r="AR622" s="281">
        <v>0.94</v>
      </c>
      <c r="AS622" s="279">
        <v>0.67</v>
      </c>
      <c r="AT622" s="278">
        <v>14</v>
      </c>
      <c r="AU622" s="282">
        <v>70.400000000000006</v>
      </c>
      <c r="AV622" s="281" cm="1">
        <f t="array" aca="1" ref="AV622" ca="1">INDIRECT("'"&amp;$C622&amp;"'!"&amp;"$"&amp;$D622&amp;$AV$1&amp;"")</f>
        <v>0</v>
      </c>
      <c r="AW622" s="280" t="s">
        <v>1</v>
      </c>
      <c r="AX622" s="281" t="s">
        <v>1</v>
      </c>
      <c r="AY622" s="279" t="s">
        <v>1</v>
      </c>
      <c r="AZ622" s="281" cm="1">
        <f t="array" aca="1" ref="AZ622" ca="1">INDIRECT("'"&amp;$C622&amp;"'!"&amp;"$"&amp;$D622&amp;$AZ$1&amp;"")</f>
        <v>6.5</v>
      </c>
      <c r="BA622" s="280" t="s">
        <v>1</v>
      </c>
      <c r="BB622" s="281">
        <v>0.96</v>
      </c>
      <c r="BC622" s="279">
        <v>1.8</v>
      </c>
      <c r="BD622" s="283">
        <v>14.2</v>
      </c>
      <c r="BE622" s="282">
        <v>71.81</v>
      </c>
      <c r="BF622" s="283" cm="1">
        <f t="array" aca="1" ref="BF622" ca="1">INDIRECT("'"&amp;$C622&amp;"'!"&amp;"$"&amp;$D622&amp;$BF$1&amp;"")</f>
        <v>14.25</v>
      </c>
      <c r="BG622" s="281">
        <v>0.99</v>
      </c>
      <c r="BH622" s="279">
        <v>2.2999999999999998</v>
      </c>
      <c r="BI622" s="524">
        <v>68.2</v>
      </c>
      <c r="BJ622" s="278" cm="1">
        <f t="array" aca="1" ref="BJ622" ca="1">INDIRECT("'"&amp;$C622&amp;"'!"&amp;"$"&amp;$D622&amp;$BI$1&amp;"")</f>
        <v>0</v>
      </c>
      <c r="BK622" s="280" t="s">
        <v>1</v>
      </c>
      <c r="BL622" s="279" t="s">
        <v>1</v>
      </c>
      <c r="BM622" s="283" cm="1">
        <f t="array" aca="1" ref="BM622" ca="1">INDIRECT("'"&amp;$C622&amp;"'!"&amp;"$"&amp;$D622&amp;$BM$1&amp;"")</f>
        <v>1.02</v>
      </c>
      <c r="BN622" s="281"/>
      <c r="BO622" s="281">
        <v>0.99</v>
      </c>
      <c r="BP622" s="279">
        <v>0.12</v>
      </c>
      <c r="BQ622" s="284" cm="1">
        <f t="array" aca="1" ref="BQ622" ca="1">INDIRECT("'"&amp;$C622&amp;"'!"&amp;"$"&amp;$D622&amp;$BQ$1&amp;"")</f>
        <v>0.79</v>
      </c>
      <c r="BR622" s="281"/>
      <c r="BS622" s="281">
        <v>0.96</v>
      </c>
      <c r="BT622" s="279">
        <v>0.22</v>
      </c>
      <c r="BU622" s="284" cm="1">
        <f t="array" aca="1" ref="BU622" ca="1">INDIRECT("'"&amp;$C622&amp;"'!"&amp;"$"&amp;$D622&amp;74&amp;"")</f>
        <v>0</v>
      </c>
      <c r="BV622" s="281"/>
      <c r="BW622" s="281" t="s">
        <v>1</v>
      </c>
      <c r="BX622" s="279" t="s">
        <v>1</v>
      </c>
    </row>
    <row r="623" spans="1:76">
      <c r="A623" s="459">
        <v>45863</v>
      </c>
      <c r="B623" s="345">
        <v>0.750000000000001</v>
      </c>
      <c r="C623" s="305">
        <v>25</v>
      </c>
      <c r="D623" s="306" t="s">
        <v>160</v>
      </c>
      <c r="E623" s="285">
        <v>14.3</v>
      </c>
      <c r="F623" s="286">
        <v>69.989999999999995</v>
      </c>
      <c r="G623" s="287" t="str" cm="1">
        <f t="array" aca="1" ref="G623" ca="1">INDIRECT("'"&amp;$C623&amp;"'!"&amp;"$"&amp;$D623&amp;$E$1&amp;"")</f>
        <v>CMS</v>
      </c>
      <c r="H623" s="288" t="s">
        <v>1</v>
      </c>
      <c r="I623" s="286" t="s">
        <v>1</v>
      </c>
      <c r="J623" s="287" cm="1">
        <f t="array" aca="1" ref="J623" ca="1">INDIRECT("'"&amp;$C623&amp;"'!"&amp;"$"&amp;$D623&amp;$J$1&amp;"")</f>
        <v>6.7</v>
      </c>
      <c r="K623" s="288"/>
      <c r="L623" s="288">
        <v>0.94</v>
      </c>
      <c r="M623" s="289">
        <v>2.4900000000000002</v>
      </c>
      <c r="N623" s="285" cm="1">
        <f t="array" aca="1" ref="N623" ca="1">INDIRECT("'"&amp;$C623&amp;"'!"&amp;"$"&amp;$D623&amp;$N$1&amp;"")</f>
        <v>6.7</v>
      </c>
      <c r="O623" s="288"/>
      <c r="P623" s="288">
        <v>0.93</v>
      </c>
      <c r="Q623" s="286">
        <v>2.6</v>
      </c>
      <c r="R623" s="285" cm="1">
        <f t="array" aca="1" ref="R623" ca="1">INDIRECT("'"&amp;$C623&amp;"'!"&amp;"$"&amp;$D623&amp;$R$1&amp;"")</f>
        <v>6.7</v>
      </c>
      <c r="S623" s="288"/>
      <c r="T623" s="288">
        <v>0.96</v>
      </c>
      <c r="U623" s="286">
        <v>1.98</v>
      </c>
      <c r="V623" s="287" cm="1">
        <f t="array" aca="1" ref="V623" ca="1">INDIRECT("'"&amp;$C623&amp;"'!"&amp;"$"&amp;$D623&amp;$V$1&amp;"")</f>
        <v>0</v>
      </c>
      <c r="W623" s="288" t="s">
        <v>1</v>
      </c>
      <c r="X623" s="288" t="s">
        <v>1</v>
      </c>
      <c r="Y623" s="289" t="s">
        <v>1</v>
      </c>
      <c r="Z623" s="285" cm="1">
        <f t="array" aca="1" ref="Z623" ca="1">INDIRECT("'"&amp;$C623&amp;"'!"&amp;"$"&amp;$D623&amp;$Z$1&amp;"")</f>
        <v>1.5</v>
      </c>
      <c r="AA623" s="288">
        <f>3.51*3.8</f>
        <v>13.337999999999999</v>
      </c>
      <c r="AB623" s="288">
        <v>0.92</v>
      </c>
      <c r="AC623" s="286">
        <v>0.71</v>
      </c>
      <c r="AD623" s="287" t="str" cm="1">
        <f t="array" aca="1" ref="AD623" ca="1">INDIRECT("'"&amp;$C623&amp;"'!"&amp;"$"&amp;$D623&amp;$AD$1&amp;"")</f>
        <v>CMS</v>
      </c>
      <c r="AE623" s="288" t="s">
        <v>1</v>
      </c>
      <c r="AF623" s="288" t="s">
        <v>1</v>
      </c>
      <c r="AG623" s="289" t="s">
        <v>1</v>
      </c>
      <c r="AH623" s="285" cm="1">
        <f t="array" aca="1" ref="AH623" ca="1">INDIRECT("'"&amp;$C623&amp;"'!"&amp;"$"&amp;$D623&amp;$AH$1&amp;"")</f>
        <v>2</v>
      </c>
      <c r="AI623" s="288">
        <v>14.04</v>
      </c>
      <c r="AJ623" s="288">
        <v>0.98</v>
      </c>
      <c r="AK623" s="286">
        <v>0.44800000000000001</v>
      </c>
      <c r="AL623" s="285">
        <v>11.6</v>
      </c>
      <c r="AM623" s="289">
        <v>70.900000000000006</v>
      </c>
      <c r="AN623" s="285" cm="1">
        <f t="array" aca="1" ref="AN623" ca="1">INDIRECT("'"&amp;$C623&amp;"'!"&amp;"$"&amp;$D623&amp;$AL$1&amp;"")</f>
        <v>0</v>
      </c>
      <c r="AO623" s="288" t="s">
        <v>1</v>
      </c>
      <c r="AP623" s="286" t="s">
        <v>1</v>
      </c>
      <c r="AQ623" s="287" cm="1">
        <f t="array" aca="1" ref="AQ623" ca="1">INDIRECT("'"&amp;$C623&amp;"'!"&amp;"$"&amp;$D623&amp;$AQ$1&amp;"")</f>
        <v>1.5</v>
      </c>
      <c r="AR623" s="288">
        <v>0.96</v>
      </c>
      <c r="AS623" s="286">
        <v>0.55000000000000004</v>
      </c>
      <c r="AT623" s="285">
        <v>14</v>
      </c>
      <c r="AU623" s="289">
        <v>70.400000000000006</v>
      </c>
      <c r="AV623" s="288" cm="1">
        <f t="array" aca="1" ref="AV623" ca="1">INDIRECT("'"&amp;$C623&amp;"'!"&amp;"$"&amp;$D623&amp;$AV$1&amp;"")</f>
        <v>0</v>
      </c>
      <c r="AW623" s="287" t="s">
        <v>1</v>
      </c>
      <c r="AX623" s="288" t="s">
        <v>1</v>
      </c>
      <c r="AY623" s="286" t="s">
        <v>1</v>
      </c>
      <c r="AZ623" s="288" cm="1">
        <f t="array" aca="1" ref="AZ623" ca="1">INDIRECT("'"&amp;$C623&amp;"'!"&amp;"$"&amp;$D623&amp;$AZ$1&amp;"")</f>
        <v>5.5</v>
      </c>
      <c r="BA623" s="287" t="s">
        <v>1</v>
      </c>
      <c r="BB623" s="288">
        <v>0.95</v>
      </c>
      <c r="BC623" s="286">
        <v>1.5</v>
      </c>
      <c r="BD623" s="290">
        <v>14.2</v>
      </c>
      <c r="BE623" s="289">
        <v>71.89</v>
      </c>
      <c r="BF623" s="290" cm="1">
        <f t="array" aca="1" ref="BF623" ca="1">INDIRECT("'"&amp;$C623&amp;"'!"&amp;"$"&amp;$D623&amp;$BF$1&amp;"")</f>
        <v>14.22</v>
      </c>
      <c r="BG623" s="288">
        <v>0.99</v>
      </c>
      <c r="BH623" s="286">
        <v>2.2999999999999998</v>
      </c>
      <c r="BI623" s="525">
        <v>68.599999999999994</v>
      </c>
      <c r="BJ623" s="285" cm="1">
        <f t="array" aca="1" ref="BJ623" ca="1">INDIRECT("'"&amp;$C623&amp;"'!"&amp;"$"&amp;$D623&amp;$BI$1&amp;"")</f>
        <v>0</v>
      </c>
      <c r="BK623" s="287" t="s">
        <v>1</v>
      </c>
      <c r="BL623" s="286" t="s">
        <v>1</v>
      </c>
      <c r="BM623" s="290" cm="1">
        <f t="array" aca="1" ref="BM623" ca="1">INDIRECT("'"&amp;$C623&amp;"'!"&amp;"$"&amp;$D623&amp;$BM$1&amp;"")</f>
        <v>1.17</v>
      </c>
      <c r="BN623" s="288"/>
      <c r="BO623" s="288">
        <v>0.99</v>
      </c>
      <c r="BP623" s="286">
        <v>0.11</v>
      </c>
      <c r="BQ623" s="291" cm="1">
        <f t="array" aca="1" ref="BQ623" ca="1">INDIRECT("'"&amp;$C623&amp;"'!"&amp;"$"&amp;$D623&amp;$BQ$1&amp;"")</f>
        <v>0.83</v>
      </c>
      <c r="BR623" s="288"/>
      <c r="BS623" s="288">
        <v>0.96</v>
      </c>
      <c r="BT623" s="286">
        <v>0.23</v>
      </c>
      <c r="BU623" s="291" cm="1">
        <f t="array" aca="1" ref="BU623" ca="1">INDIRECT("'"&amp;$C623&amp;"'!"&amp;"$"&amp;$D623&amp;74&amp;"")</f>
        <v>0</v>
      </c>
      <c r="BV623" s="288"/>
      <c r="BW623" s="288" t="s">
        <v>1</v>
      </c>
      <c r="BX623" s="286" t="s">
        <v>1</v>
      </c>
    </row>
    <row r="624" spans="1:76">
      <c r="A624" s="459">
        <v>45863</v>
      </c>
      <c r="B624" s="345">
        <v>0.79166666666666696</v>
      </c>
      <c r="C624" s="305">
        <v>25</v>
      </c>
      <c r="D624" s="306" t="s">
        <v>161</v>
      </c>
      <c r="E624" s="278">
        <v>14.3</v>
      </c>
      <c r="F624" s="279">
        <v>69.959999999999994</v>
      </c>
      <c r="G624" s="280" t="str" cm="1">
        <f t="array" aca="1" ref="G624" ca="1">INDIRECT("'"&amp;$C624&amp;"'!"&amp;"$"&amp;$D624&amp;$E$1&amp;"")</f>
        <v>CMS</v>
      </c>
      <c r="H624" s="281" t="s">
        <v>1</v>
      </c>
      <c r="I624" s="279" t="s">
        <v>1</v>
      </c>
      <c r="J624" s="280" cm="1">
        <f t="array" aca="1" ref="J624" ca="1">INDIRECT("'"&amp;$C624&amp;"'!"&amp;"$"&amp;$D624&amp;$J$1&amp;"")</f>
        <v>6.7</v>
      </c>
      <c r="K624" s="292"/>
      <c r="L624" s="281">
        <v>0.95</v>
      </c>
      <c r="M624" s="282">
        <v>2.33</v>
      </c>
      <c r="N624" s="278" cm="1">
        <f t="array" aca="1" ref="N624" ca="1">INDIRECT("'"&amp;$C624&amp;"'!"&amp;"$"&amp;$D624&amp;$N$1&amp;"")</f>
        <v>6.7</v>
      </c>
      <c r="O624" s="281"/>
      <c r="P624" s="281">
        <v>0.95</v>
      </c>
      <c r="Q624" s="279">
        <v>2.29</v>
      </c>
      <c r="R624" s="468" cm="1">
        <f t="array" aca="1" ref="R624" ca="1">INDIRECT("'"&amp;$C624&amp;"'!"&amp;"$"&amp;$D624&amp;$R$1&amp;"")</f>
        <v>6.7</v>
      </c>
      <c r="S624" s="281"/>
      <c r="T624" s="281">
        <v>0.94</v>
      </c>
      <c r="U624" s="279">
        <v>2.33</v>
      </c>
      <c r="V624" s="280" cm="1">
        <f t="array" aca="1" ref="V624" ca="1">INDIRECT("'"&amp;$C624&amp;"'!"&amp;"$"&amp;$D624&amp;$V$1&amp;"")</f>
        <v>0</v>
      </c>
      <c r="W624" s="281" t="s">
        <v>1</v>
      </c>
      <c r="X624" s="281" t="s">
        <v>1</v>
      </c>
      <c r="Y624" s="282" t="s">
        <v>1</v>
      </c>
      <c r="Z624" s="278" cm="1">
        <f t="array" aca="1" ref="Z624" ca="1">INDIRECT("'"&amp;$C624&amp;"'!"&amp;"$"&amp;$D624&amp;$Z$1&amp;"")</f>
        <v>2</v>
      </c>
      <c r="AA624" s="281">
        <f>3.51*3.8</f>
        <v>13.337999999999999</v>
      </c>
      <c r="AB624" s="281">
        <v>0.92</v>
      </c>
      <c r="AC624" s="279">
        <v>0.91100000000000003</v>
      </c>
      <c r="AD624" s="280" t="str" cm="1">
        <f t="array" aca="1" ref="AD624" ca="1">INDIRECT("'"&amp;$C624&amp;"'!"&amp;"$"&amp;$D624&amp;$AD$1&amp;"")</f>
        <v>CMS</v>
      </c>
      <c r="AE624" s="281" t="s">
        <v>1</v>
      </c>
      <c r="AF624" s="281" t="s">
        <v>1</v>
      </c>
      <c r="AG624" s="282" t="s">
        <v>1</v>
      </c>
      <c r="AH624" s="278" cm="1">
        <f t="array" aca="1" ref="AH624" ca="1">INDIRECT("'"&amp;$C624&amp;"'!"&amp;"$"&amp;$D624&amp;$AH$1&amp;"")</f>
        <v>1.8</v>
      </c>
      <c r="AI624" s="281">
        <v>14</v>
      </c>
      <c r="AJ624" s="281">
        <v>0.99</v>
      </c>
      <c r="AK624" s="279">
        <v>0.23499999999999999</v>
      </c>
      <c r="AL624" s="278">
        <v>11.6</v>
      </c>
      <c r="AM624" s="282">
        <v>71.099999999999994</v>
      </c>
      <c r="AN624" s="278" cm="1">
        <f t="array" aca="1" ref="AN624" ca="1">INDIRECT("'"&amp;$C624&amp;"'!"&amp;"$"&amp;$D624&amp;$AL$1&amp;"")</f>
        <v>0</v>
      </c>
      <c r="AO624" s="281" t="s">
        <v>1</v>
      </c>
      <c r="AP624" s="279" t="s">
        <v>1</v>
      </c>
      <c r="AQ624" s="280" cm="1">
        <f t="array" aca="1" ref="AQ624" ca="1">INDIRECT("'"&amp;$C624&amp;"'!"&amp;"$"&amp;$D624&amp;$AQ$1&amp;"")</f>
        <v>2.5</v>
      </c>
      <c r="AR624" s="281">
        <v>0.95</v>
      </c>
      <c r="AS624" s="279">
        <v>0.67</v>
      </c>
      <c r="AT624" s="278">
        <v>14</v>
      </c>
      <c r="AU624" s="282">
        <v>70.400000000000006</v>
      </c>
      <c r="AV624" s="281" cm="1">
        <f t="array" aca="1" ref="AV624" ca="1">INDIRECT("'"&amp;$C624&amp;"'!"&amp;"$"&amp;$D624&amp;$AV$1&amp;"")</f>
        <v>0</v>
      </c>
      <c r="AW624" s="280">
        <v>13.7</v>
      </c>
      <c r="AX624" s="281" t="s">
        <v>1</v>
      </c>
      <c r="AY624" s="279" t="s">
        <v>1</v>
      </c>
      <c r="AZ624" s="281" cm="1">
        <f t="array" aca="1" ref="AZ624" ca="1">INDIRECT("'"&amp;$C624&amp;"'!"&amp;"$"&amp;$D624&amp;$AZ$1&amp;"")</f>
        <v>7.2</v>
      </c>
      <c r="BA624" s="280">
        <v>13.7</v>
      </c>
      <c r="BB624" s="281">
        <v>0.95</v>
      </c>
      <c r="BC624" s="279">
        <v>1.8</v>
      </c>
      <c r="BD624" s="283">
        <v>14.22</v>
      </c>
      <c r="BE624" s="282">
        <v>71.930000000000007</v>
      </c>
      <c r="BF624" s="283" cm="1">
        <f t="array" aca="1" ref="BF624" ca="1">INDIRECT("'"&amp;$C624&amp;"'!"&amp;"$"&amp;$D624&amp;$BF$1&amp;"")</f>
        <v>14.26</v>
      </c>
      <c r="BG624" s="281">
        <v>0.99</v>
      </c>
      <c r="BH624" s="279">
        <v>2.2999999999999998</v>
      </c>
      <c r="BI624" s="524">
        <v>68.8</v>
      </c>
      <c r="BJ624" s="278" cm="1">
        <f t="array" aca="1" ref="BJ624" ca="1">INDIRECT("'"&amp;$C624&amp;"'!"&amp;"$"&amp;$D624&amp;$BI$1&amp;"")</f>
        <v>0</v>
      </c>
      <c r="BK624" s="280" t="s">
        <v>1</v>
      </c>
      <c r="BL624" s="279" t="s">
        <v>1</v>
      </c>
      <c r="BM624" s="283" cm="1">
        <f t="array" aca="1" ref="BM624" ca="1">INDIRECT("'"&amp;$C624&amp;"'!"&amp;"$"&amp;$D624&amp;$BM$1&amp;"")</f>
        <v>1.34</v>
      </c>
      <c r="BN624" s="281"/>
      <c r="BO624" s="281">
        <v>0.99</v>
      </c>
      <c r="BP624" s="279">
        <v>0.15</v>
      </c>
      <c r="BQ624" s="284" cm="1">
        <f t="array" aca="1" ref="BQ624" ca="1">INDIRECT("'"&amp;$C624&amp;"'!"&amp;"$"&amp;$D624&amp;$BQ$1&amp;"")</f>
        <v>0.81</v>
      </c>
      <c r="BR624" s="281"/>
      <c r="BS624" s="281">
        <v>0.97</v>
      </c>
      <c r="BT624" s="279">
        <v>0.22</v>
      </c>
      <c r="BU624" s="284" cm="1">
        <f t="array" aca="1" ref="BU624" ca="1">INDIRECT("'"&amp;$C624&amp;"'!"&amp;"$"&amp;$D624&amp;74&amp;"")</f>
        <v>0</v>
      </c>
      <c r="BV624" s="281"/>
      <c r="BW624" s="281" t="s">
        <v>1</v>
      </c>
      <c r="BX624" s="279" t="s">
        <v>1</v>
      </c>
    </row>
    <row r="625" spans="1:76">
      <c r="A625" s="459">
        <v>45863</v>
      </c>
      <c r="B625" s="345">
        <v>0.83333333333333337</v>
      </c>
      <c r="C625" s="305">
        <v>25</v>
      </c>
      <c r="D625" s="306" t="s">
        <v>162</v>
      </c>
      <c r="E625" s="285">
        <v>14.1</v>
      </c>
      <c r="F625" s="286">
        <v>69.349999999999994</v>
      </c>
      <c r="G625" s="287" t="str" cm="1">
        <f t="array" aca="1" ref="G625" ca="1">INDIRECT("'"&amp;$C625&amp;"'!"&amp;"$"&amp;$D625&amp;$E$1&amp;"")</f>
        <v>CMS</v>
      </c>
      <c r="H625" s="288" t="s">
        <v>1</v>
      </c>
      <c r="I625" s="286" t="s">
        <v>1</v>
      </c>
      <c r="J625" s="287" cm="1">
        <f t="array" aca="1" ref="J625" ca="1">INDIRECT("'"&amp;$C625&amp;"'!"&amp;"$"&amp;$D625&amp;$J$1&amp;"")</f>
        <v>6.7</v>
      </c>
      <c r="K625" s="288"/>
      <c r="L625" s="288">
        <v>0.96</v>
      </c>
      <c r="M625" s="289">
        <v>1.81</v>
      </c>
      <c r="N625" s="285" cm="1">
        <f t="array" aca="1" ref="N625" ca="1">INDIRECT("'"&amp;$C625&amp;"'!"&amp;"$"&amp;$D625&amp;$N$1&amp;"")</f>
        <v>6.7</v>
      </c>
      <c r="O625" s="288"/>
      <c r="P625" s="288">
        <v>0.96</v>
      </c>
      <c r="Q625" s="286">
        <v>1.84</v>
      </c>
      <c r="R625" s="285" cm="1">
        <f t="array" aca="1" ref="R625" ca="1">INDIRECT("'"&amp;$C625&amp;"'!"&amp;"$"&amp;$D625&amp;$R$1&amp;"")</f>
        <v>6.7</v>
      </c>
      <c r="S625" s="288"/>
      <c r="T625" s="288">
        <v>0.94</v>
      </c>
      <c r="U625" s="286">
        <v>2.4</v>
      </c>
      <c r="V625" s="287" cm="1">
        <f t="array" aca="1" ref="V625" ca="1">INDIRECT("'"&amp;$C625&amp;"'!"&amp;"$"&amp;$D625&amp;$V$1&amp;"")</f>
        <v>0</v>
      </c>
      <c r="W625" s="288" t="s">
        <v>1</v>
      </c>
      <c r="X625" s="288" t="s">
        <v>1</v>
      </c>
      <c r="Y625" s="289" t="s">
        <v>1</v>
      </c>
      <c r="Z625" s="285" t="str" cm="1">
        <f t="array" aca="1" ref="Z625" ca="1">INDIRECT("'"&amp;$C625&amp;"'!"&amp;"$"&amp;$D625&amp;$Z$1&amp;"")</f>
        <v>CMS</v>
      </c>
      <c r="AA625" s="288" t="s">
        <v>1</v>
      </c>
      <c r="AB625" s="288" t="s">
        <v>1</v>
      </c>
      <c r="AC625" s="286" t="s">
        <v>1</v>
      </c>
      <c r="AD625" s="287" t="str" cm="1">
        <f t="array" aca="1" ref="AD625" ca="1">INDIRECT("'"&amp;$C625&amp;"'!"&amp;"$"&amp;$D625&amp;$AD$1&amp;"")</f>
        <v>CMS</v>
      </c>
      <c r="AE625" s="288" t="s">
        <v>1</v>
      </c>
      <c r="AF625" s="288" t="s">
        <v>1</v>
      </c>
      <c r="AG625" s="289" t="s">
        <v>1</v>
      </c>
      <c r="AH625" s="285" cm="1">
        <f t="array" aca="1" ref="AH625" ca="1">INDIRECT("'"&amp;$C625&amp;"'!"&amp;"$"&amp;$D625&amp;$AH$1&amp;"")</f>
        <v>2.5</v>
      </c>
      <c r="AI625" s="288">
        <v>14.04</v>
      </c>
      <c r="AJ625" s="288">
        <v>0.98</v>
      </c>
      <c r="AK625" s="286">
        <v>0.57199999999999995</v>
      </c>
      <c r="AL625" s="285">
        <v>11.6</v>
      </c>
      <c r="AM625" s="289">
        <v>70.599999999999994</v>
      </c>
      <c r="AN625" s="285" cm="1">
        <f t="array" aca="1" ref="AN625" ca="1">INDIRECT("'"&amp;$C625&amp;"'!"&amp;"$"&amp;$D625&amp;$AL$1&amp;"")</f>
        <v>0</v>
      </c>
      <c r="AO625" s="288" t="s">
        <v>1</v>
      </c>
      <c r="AP625" s="286" t="s">
        <v>1</v>
      </c>
      <c r="AQ625" s="287" cm="1">
        <f t="array" aca="1" ref="AQ625" ca="1">INDIRECT("'"&amp;$C625&amp;"'!"&amp;"$"&amp;$D625&amp;$AQ$1&amp;"")</f>
        <v>1.6</v>
      </c>
      <c r="AR625" s="288">
        <v>0.92</v>
      </c>
      <c r="AS625" s="286">
        <v>0.86</v>
      </c>
      <c r="AT625" s="285">
        <v>14</v>
      </c>
      <c r="AU625" s="289">
        <v>70.400000000000006</v>
      </c>
      <c r="AV625" s="288" cm="1">
        <f t="array" aca="1" ref="AV625" ca="1">INDIRECT("'"&amp;$C625&amp;"'!"&amp;"$"&amp;$D625&amp;$AV$1&amp;"")</f>
        <v>0</v>
      </c>
      <c r="AW625" s="287" t="s">
        <v>1</v>
      </c>
      <c r="AX625" s="288" t="s">
        <v>1</v>
      </c>
      <c r="AY625" s="286" t="s">
        <v>1</v>
      </c>
      <c r="AZ625" s="288" cm="1">
        <f t="array" aca="1" ref="AZ625" ca="1">INDIRECT("'"&amp;$C625&amp;"'!"&amp;"$"&amp;$D625&amp;$AZ$1&amp;"")</f>
        <v>6.2</v>
      </c>
      <c r="BA625" s="287" t="s">
        <v>1</v>
      </c>
      <c r="BB625" s="288">
        <v>0.95</v>
      </c>
      <c r="BC625" s="286">
        <v>1.8</v>
      </c>
      <c r="BD625" s="290">
        <v>14.09</v>
      </c>
      <c r="BE625" s="289">
        <v>71.680000000000007</v>
      </c>
      <c r="BF625" s="290" cm="1">
        <f t="array" aca="1" ref="BF625" ca="1">INDIRECT("'"&amp;$C625&amp;"'!"&amp;"$"&amp;$D625&amp;$BF$1&amp;"")</f>
        <v>14.27</v>
      </c>
      <c r="BG625" s="288">
        <v>1</v>
      </c>
      <c r="BH625" s="286">
        <v>1.3</v>
      </c>
      <c r="BI625" s="525">
        <v>68.2</v>
      </c>
      <c r="BJ625" s="285" cm="1">
        <f t="array" aca="1" ref="BJ625" ca="1">INDIRECT("'"&amp;$C625&amp;"'!"&amp;"$"&amp;$D625&amp;$BI$1&amp;"")</f>
        <v>0</v>
      </c>
      <c r="BK625" s="287" t="s">
        <v>1</v>
      </c>
      <c r="BL625" s="286" t="s">
        <v>1</v>
      </c>
      <c r="BM625" s="290" cm="1">
        <f t="array" aca="1" ref="BM625" ca="1">INDIRECT("'"&amp;$C625&amp;"'!"&amp;"$"&amp;$D625&amp;$BM$1&amp;"")</f>
        <v>1.31</v>
      </c>
      <c r="BN625" s="288"/>
      <c r="BO625" s="288">
        <v>0.99</v>
      </c>
      <c r="BP625" s="286">
        <v>0.15</v>
      </c>
      <c r="BQ625" s="291" cm="1">
        <f t="array" aca="1" ref="BQ625" ca="1">INDIRECT("'"&amp;$C625&amp;"'!"&amp;"$"&amp;$D625&amp;$BQ$1&amp;"")</f>
        <v>0.9</v>
      </c>
      <c r="BR625" s="288"/>
      <c r="BS625" s="288">
        <v>0.97</v>
      </c>
      <c r="BT625" s="286">
        <v>0.22</v>
      </c>
      <c r="BU625" s="291" cm="1">
        <f t="array" aca="1" ref="BU625" ca="1">INDIRECT("'"&amp;$C625&amp;"'!"&amp;"$"&amp;$D625&amp;74&amp;"")</f>
        <v>0</v>
      </c>
      <c r="BV625" s="288"/>
      <c r="BW625" s="288" t="s">
        <v>1</v>
      </c>
      <c r="BX625" s="286" t="s">
        <v>1</v>
      </c>
    </row>
    <row r="626" spans="1:76">
      <c r="A626" s="459">
        <v>45863</v>
      </c>
      <c r="B626" s="345">
        <v>0.875000000000001</v>
      </c>
      <c r="C626" s="305">
        <v>25</v>
      </c>
      <c r="D626" s="306" t="s">
        <v>163</v>
      </c>
      <c r="E626" s="278">
        <v>14</v>
      </c>
      <c r="F626" s="279">
        <v>69.61</v>
      </c>
      <c r="G626" s="280" t="str" cm="1">
        <f t="array" aca="1" ref="G626" ca="1">INDIRECT("'"&amp;$C626&amp;"'!"&amp;"$"&amp;$D626&amp;$E$1&amp;"")</f>
        <v>CMS</v>
      </c>
      <c r="H626" s="281" t="s">
        <v>1</v>
      </c>
      <c r="I626" s="279" t="s">
        <v>1</v>
      </c>
      <c r="J626" s="280" cm="1">
        <f t="array" aca="1" ref="J626" ca="1">INDIRECT("'"&amp;$C626&amp;"'!"&amp;"$"&amp;$D626&amp;$J$1&amp;"")</f>
        <v>6.6</v>
      </c>
      <c r="K626" s="281"/>
      <c r="L626" s="281">
        <v>0.97</v>
      </c>
      <c r="M626" s="282">
        <v>1.68</v>
      </c>
      <c r="N626" s="278" cm="1">
        <f t="array" aca="1" ref="N626" ca="1">INDIRECT("'"&amp;$C626&amp;"'!"&amp;"$"&amp;$D626&amp;$N$1&amp;"")</f>
        <v>6.6</v>
      </c>
      <c r="O626" s="281"/>
      <c r="P626" s="281">
        <v>0.97</v>
      </c>
      <c r="Q626" s="279">
        <v>1.7</v>
      </c>
      <c r="R626" s="468" cm="1">
        <f t="array" aca="1" ref="R626" ca="1">INDIRECT("'"&amp;$C626&amp;"'!"&amp;"$"&amp;$D626&amp;$R$1&amp;"")</f>
        <v>6.6</v>
      </c>
      <c r="S626" s="281"/>
      <c r="T626" s="281">
        <v>0.96</v>
      </c>
      <c r="U626" s="279">
        <v>1.87</v>
      </c>
      <c r="V626" s="280" cm="1">
        <f t="array" aca="1" ref="V626" ca="1">INDIRECT("'"&amp;$C626&amp;"'!"&amp;"$"&amp;$D626&amp;$V$1&amp;"")</f>
        <v>0</v>
      </c>
      <c r="W626" s="281" t="s">
        <v>1</v>
      </c>
      <c r="X626" s="281" t="s">
        <v>1</v>
      </c>
      <c r="Y626" s="282" t="s">
        <v>1</v>
      </c>
      <c r="Z626" s="278" t="str" cm="1">
        <f t="array" aca="1" ref="Z626" ca="1">INDIRECT("'"&amp;$C626&amp;"'!"&amp;"$"&amp;$D626&amp;$Z$1&amp;"")</f>
        <v>CMS</v>
      </c>
      <c r="AA626" s="281" t="s">
        <v>1</v>
      </c>
      <c r="AB626" s="281" t="s">
        <v>1</v>
      </c>
      <c r="AC626" s="279" t="s">
        <v>1</v>
      </c>
      <c r="AD626" s="280" t="str" cm="1">
        <f t="array" aca="1" ref="AD626" ca="1">INDIRECT("'"&amp;$C626&amp;"'!"&amp;"$"&amp;$D626&amp;$AD$1&amp;"")</f>
        <v>CMS</v>
      </c>
      <c r="AE626" s="281" t="s">
        <v>1</v>
      </c>
      <c r="AF626" s="281" t="s">
        <v>1</v>
      </c>
      <c r="AG626" s="282" t="s">
        <v>1</v>
      </c>
      <c r="AH626" s="278" cm="1">
        <f t="array" aca="1" ref="AH626" ca="1">INDIRECT("'"&amp;$C626&amp;"'!"&amp;"$"&amp;$D626&amp;$AH$1&amp;"")</f>
        <v>0</v>
      </c>
      <c r="AI626" s="281" t="s">
        <v>1</v>
      </c>
      <c r="AJ626" s="281" t="s">
        <v>1</v>
      </c>
      <c r="AK626" s="279" t="s">
        <v>1</v>
      </c>
      <c r="AL626" s="278">
        <v>11.6</v>
      </c>
      <c r="AM626" s="282">
        <v>70.900000000000006</v>
      </c>
      <c r="AN626" s="278" cm="1">
        <f t="array" aca="1" ref="AN626" ca="1">INDIRECT("'"&amp;$C626&amp;"'!"&amp;"$"&amp;$D626&amp;$AL$1&amp;"")</f>
        <v>0</v>
      </c>
      <c r="AO626" s="281" t="s">
        <v>1</v>
      </c>
      <c r="AP626" s="279" t="s">
        <v>1</v>
      </c>
      <c r="AQ626" s="280" cm="1">
        <f t="array" aca="1" ref="AQ626" ca="1">INDIRECT("'"&amp;$C626&amp;"'!"&amp;"$"&amp;$D626&amp;$AQ$1&amp;"")</f>
        <v>3.8</v>
      </c>
      <c r="AR626" s="281">
        <v>0.98</v>
      </c>
      <c r="AS626" s="279">
        <v>0.71</v>
      </c>
      <c r="AT626" s="278">
        <v>13.95</v>
      </c>
      <c r="AU626" s="282">
        <v>70.400000000000006</v>
      </c>
      <c r="AV626" s="281" cm="1">
        <f t="array" aca="1" ref="AV626" ca="1">INDIRECT("'"&amp;$C626&amp;"'!"&amp;"$"&amp;$D626&amp;$AV$1&amp;"")</f>
        <v>0</v>
      </c>
      <c r="AW626" s="280" t="s">
        <v>1</v>
      </c>
      <c r="AX626" s="281" t="s">
        <v>1</v>
      </c>
      <c r="AY626" s="279" t="s">
        <v>1</v>
      </c>
      <c r="AZ626" s="281" cm="1">
        <f t="array" aca="1" ref="AZ626" ca="1">INDIRECT("'"&amp;$C626&amp;"'!"&amp;"$"&amp;$D626&amp;$AZ$1&amp;"")</f>
        <v>7</v>
      </c>
      <c r="BA626" s="280" t="s">
        <v>1</v>
      </c>
      <c r="BB626" s="281">
        <v>0.96</v>
      </c>
      <c r="BC626" s="279">
        <v>2.1</v>
      </c>
      <c r="BD626" s="283">
        <v>14.18</v>
      </c>
      <c r="BE626" s="282">
        <v>71.87</v>
      </c>
      <c r="BF626" s="283" cm="1">
        <f t="array" aca="1" ref="BF626" ca="1">INDIRECT("'"&amp;$C626&amp;"'!"&amp;"$"&amp;$D626&amp;$BF$1&amp;"")</f>
        <v>14.24</v>
      </c>
      <c r="BG626" s="281">
        <v>0.99</v>
      </c>
      <c r="BH626" s="279">
        <v>2.2999999999999998</v>
      </c>
      <c r="BI626" s="524">
        <v>68.2</v>
      </c>
      <c r="BJ626" s="278" cm="1">
        <f t="array" aca="1" ref="BJ626" ca="1">INDIRECT("'"&amp;$C626&amp;"'!"&amp;"$"&amp;$D626&amp;$BI$1&amp;"")</f>
        <v>0</v>
      </c>
      <c r="BK626" s="280" t="s">
        <v>1</v>
      </c>
      <c r="BL626" s="279" t="s">
        <v>1</v>
      </c>
      <c r="BM626" s="283" cm="1">
        <f t="array" aca="1" ref="BM626" ca="1">INDIRECT("'"&amp;$C626&amp;"'!"&amp;"$"&amp;$D626&amp;$BM$1&amp;"")</f>
        <v>1.21</v>
      </c>
      <c r="BN626" s="281"/>
      <c r="BO626" s="281">
        <v>0.99</v>
      </c>
      <c r="BP626" s="279">
        <v>0.13</v>
      </c>
      <c r="BQ626" s="284" cm="1">
        <f t="array" aca="1" ref="BQ626" ca="1">INDIRECT("'"&amp;$C626&amp;"'!"&amp;"$"&amp;$D626&amp;$BQ$1&amp;"")</f>
        <v>0.87</v>
      </c>
      <c r="BR626" s="281"/>
      <c r="BS626" s="281">
        <v>0.97</v>
      </c>
      <c r="BT626" s="279">
        <v>0.22</v>
      </c>
      <c r="BU626" s="284" cm="1">
        <f t="array" aca="1" ref="BU626" ca="1">INDIRECT("'"&amp;$C626&amp;"'!"&amp;"$"&amp;$D626&amp;74&amp;"")</f>
        <v>0</v>
      </c>
      <c r="BV626" s="281"/>
      <c r="BW626" s="281" t="s">
        <v>1</v>
      </c>
      <c r="BX626" s="279" t="s">
        <v>1</v>
      </c>
    </row>
    <row r="627" spans="1:76">
      <c r="A627" s="459">
        <v>45863</v>
      </c>
      <c r="B627" s="345">
        <v>0.91666666666666696</v>
      </c>
      <c r="C627" s="305">
        <v>25</v>
      </c>
      <c r="D627" s="306" t="s">
        <v>164</v>
      </c>
      <c r="E627" s="285">
        <v>14.1</v>
      </c>
      <c r="F627" s="286">
        <v>70.400000000000006</v>
      </c>
      <c r="G627" s="287" t="str" cm="1">
        <f t="array" aca="1" ref="G627" ca="1">INDIRECT("'"&amp;$C627&amp;"'!"&amp;"$"&amp;$D627&amp;$E$1&amp;"")</f>
        <v>CMS</v>
      </c>
      <c r="H627" s="288" t="s">
        <v>1</v>
      </c>
      <c r="I627" s="286" t="s">
        <v>1</v>
      </c>
      <c r="J627" s="287" cm="1">
        <f t="array" aca="1" ref="J627" ca="1">INDIRECT("'"&amp;$C627&amp;"'!"&amp;"$"&amp;$D627&amp;$J$1&amp;"")</f>
        <v>6.7</v>
      </c>
      <c r="K627" s="288"/>
      <c r="L627" s="288">
        <v>0.97</v>
      </c>
      <c r="M627" s="289">
        <v>1.7</v>
      </c>
      <c r="N627" s="285" cm="1">
        <f t="array" aca="1" ref="N627" ca="1">INDIRECT("'"&amp;$C627&amp;"'!"&amp;"$"&amp;$D627&amp;$N$1&amp;"")</f>
        <v>6.7</v>
      </c>
      <c r="O627" s="288"/>
      <c r="P627" s="288">
        <v>0.97</v>
      </c>
      <c r="Q627" s="286">
        <v>1.72</v>
      </c>
      <c r="R627" s="285" cm="1">
        <f t="array" aca="1" ref="R627" ca="1">INDIRECT("'"&amp;$C627&amp;"'!"&amp;"$"&amp;$D627&amp;$R$1&amp;"")</f>
        <v>6.7</v>
      </c>
      <c r="S627" s="288"/>
      <c r="T627" s="288">
        <v>0.97</v>
      </c>
      <c r="U627" s="286">
        <v>1.74</v>
      </c>
      <c r="V627" s="287" cm="1">
        <f t="array" aca="1" ref="V627" ca="1">INDIRECT("'"&amp;$C627&amp;"'!"&amp;"$"&amp;$D627&amp;$V$1&amp;"")</f>
        <v>0</v>
      </c>
      <c r="W627" s="288" t="s">
        <v>1</v>
      </c>
      <c r="X627" s="288" t="s">
        <v>1</v>
      </c>
      <c r="Y627" s="289" t="s">
        <v>1</v>
      </c>
      <c r="Z627" s="285" t="str" cm="1">
        <f t="array" aca="1" ref="Z627" ca="1">INDIRECT("'"&amp;$C627&amp;"'!"&amp;"$"&amp;$D627&amp;$Z$1&amp;"")</f>
        <v>CMS</v>
      </c>
      <c r="AA627" s="288" t="s">
        <v>1</v>
      </c>
      <c r="AB627" s="288" t="s">
        <v>1</v>
      </c>
      <c r="AC627" s="286" t="s">
        <v>1</v>
      </c>
      <c r="AD627" s="287" t="str" cm="1">
        <f t="array" aca="1" ref="AD627" ca="1">INDIRECT("'"&amp;$C627&amp;"'!"&amp;"$"&amp;$D627&amp;$AD$1&amp;"")</f>
        <v>CMS</v>
      </c>
      <c r="AE627" s="288" t="s">
        <v>1</v>
      </c>
      <c r="AF627" s="288" t="s">
        <v>1</v>
      </c>
      <c r="AG627" s="289" t="s">
        <v>1</v>
      </c>
      <c r="AH627" s="285" cm="1">
        <f t="array" aca="1" ref="AH627" ca="1">INDIRECT("'"&amp;$C627&amp;"'!"&amp;"$"&amp;$D627&amp;$AH$1&amp;"")</f>
        <v>0</v>
      </c>
      <c r="AI627" s="288" t="s">
        <v>1</v>
      </c>
      <c r="AJ627" s="288" t="s">
        <v>1</v>
      </c>
      <c r="AK627" s="286" t="s">
        <v>1</v>
      </c>
      <c r="AL627" s="285">
        <v>11.6</v>
      </c>
      <c r="AM627" s="289">
        <v>70.900000000000006</v>
      </c>
      <c r="AN627" s="285" cm="1">
        <f t="array" aca="1" ref="AN627" ca="1">INDIRECT("'"&amp;$C627&amp;"'!"&amp;"$"&amp;$D627&amp;$AL$1&amp;"")</f>
        <v>0</v>
      </c>
      <c r="AO627" s="288" t="s">
        <v>1</v>
      </c>
      <c r="AP627" s="286" t="s">
        <v>1</v>
      </c>
      <c r="AQ627" s="287" cm="1">
        <f t="array" aca="1" ref="AQ627" ca="1">INDIRECT("'"&amp;$C627&amp;"'!"&amp;"$"&amp;$D627&amp;$AQ$1&amp;"")</f>
        <v>1.5</v>
      </c>
      <c r="AR627" s="288">
        <v>0.98</v>
      </c>
      <c r="AS627" s="286">
        <v>0.48</v>
      </c>
      <c r="AT627" s="285">
        <v>13.97</v>
      </c>
      <c r="AU627" s="289">
        <v>70.3</v>
      </c>
      <c r="AV627" s="288" cm="1">
        <f t="array" aca="1" ref="AV627" ca="1">INDIRECT("'"&amp;$C627&amp;"'!"&amp;"$"&amp;$D627&amp;$AV$1&amp;"")</f>
        <v>0</v>
      </c>
      <c r="AW627" s="287" t="s">
        <v>1</v>
      </c>
      <c r="AX627" s="288" t="s">
        <v>1</v>
      </c>
      <c r="AY627" s="286" t="s">
        <v>1</v>
      </c>
      <c r="AZ627" s="288" cm="1">
        <f t="array" aca="1" ref="AZ627" ca="1">INDIRECT("'"&amp;$C627&amp;"'!"&amp;"$"&amp;$D627&amp;$AZ$1&amp;"")</f>
        <v>5</v>
      </c>
      <c r="BA627" s="287" t="s">
        <v>1</v>
      </c>
      <c r="BB627" s="288">
        <v>0.95</v>
      </c>
      <c r="BC627" s="286">
        <v>1.6</v>
      </c>
      <c r="BD627" s="290">
        <v>14.2</v>
      </c>
      <c r="BE627" s="289">
        <v>72.010000000000005</v>
      </c>
      <c r="BF627" s="290" cm="1">
        <f t="array" aca="1" ref="BF627" ca="1">INDIRECT("'"&amp;$C627&amp;"'!"&amp;"$"&amp;$D627&amp;$BF$1&amp;"")</f>
        <v>14.29</v>
      </c>
      <c r="BG627" s="288">
        <v>0.99</v>
      </c>
      <c r="BH627" s="286">
        <v>2.2999999999999998</v>
      </c>
      <c r="BI627" s="525">
        <v>69</v>
      </c>
      <c r="BJ627" s="285" cm="1">
        <f t="array" aca="1" ref="BJ627" ca="1">INDIRECT("'"&amp;$C627&amp;"'!"&amp;"$"&amp;$D627&amp;$BI$1&amp;"")</f>
        <v>0</v>
      </c>
      <c r="BK627" s="287" t="s">
        <v>1</v>
      </c>
      <c r="BL627" s="286" t="s">
        <v>1</v>
      </c>
      <c r="BM627" s="290" cm="1">
        <f t="array" aca="1" ref="BM627" ca="1">INDIRECT("'"&amp;$C627&amp;"'!"&amp;"$"&amp;$D627&amp;$BM$1&amp;"")</f>
        <v>1</v>
      </c>
      <c r="BN627" s="288"/>
      <c r="BO627" s="288">
        <v>0.99</v>
      </c>
      <c r="BP627" s="286">
        <v>0.12</v>
      </c>
      <c r="BQ627" s="291" cm="1">
        <f t="array" aca="1" ref="BQ627" ca="1">INDIRECT("'"&amp;$C627&amp;"'!"&amp;"$"&amp;$D627&amp;$BQ$1&amp;"")</f>
        <v>0.84</v>
      </c>
      <c r="BR627" s="288"/>
      <c r="BS627" s="288">
        <v>0.97</v>
      </c>
      <c r="BT627" s="286">
        <v>0.21</v>
      </c>
      <c r="BU627" s="291" cm="1">
        <f t="array" aca="1" ref="BU627" ca="1">INDIRECT("'"&amp;$C627&amp;"'!"&amp;"$"&amp;$D627&amp;74&amp;"")</f>
        <v>0</v>
      </c>
      <c r="BV627" s="288"/>
      <c r="BW627" s="288" t="s">
        <v>1</v>
      </c>
      <c r="BX627" s="286" t="s">
        <v>1</v>
      </c>
    </row>
    <row r="628" spans="1:76" ht="14.45" thickBot="1">
      <c r="A628" s="460">
        <v>45863</v>
      </c>
      <c r="B628" s="346">
        <v>0.95833333333333404</v>
      </c>
      <c r="C628" s="307">
        <v>25</v>
      </c>
      <c r="D628" s="308" t="s">
        <v>165</v>
      </c>
      <c r="E628" s="293">
        <v>14</v>
      </c>
      <c r="F628" s="294">
        <v>70.209999999999994</v>
      </c>
      <c r="G628" s="295" t="str" cm="1">
        <f t="array" aca="1" ref="G628" ca="1">INDIRECT("'"&amp;$C628&amp;"'!"&amp;"$"&amp;$D628&amp;$E$1&amp;"")</f>
        <v>CMS</v>
      </c>
      <c r="H628" s="296" t="s">
        <v>1</v>
      </c>
      <c r="I628" s="294" t="s">
        <v>1</v>
      </c>
      <c r="J628" s="295" cm="1">
        <f t="array" aca="1" ref="J628" ca="1">INDIRECT("'"&amp;$C628&amp;"'!"&amp;"$"&amp;$D628&amp;$J$1&amp;"")</f>
        <v>0</v>
      </c>
      <c r="K628" s="296"/>
      <c r="L628" s="296" t="s">
        <v>1</v>
      </c>
      <c r="M628" s="297" t="s">
        <v>1</v>
      </c>
      <c r="N628" s="293" cm="1">
        <f t="array" aca="1" ref="N628" ca="1">INDIRECT("'"&amp;$C628&amp;"'!"&amp;"$"&amp;$D628&amp;$N$1&amp;"")</f>
        <v>6.4</v>
      </c>
      <c r="O628" s="296"/>
      <c r="P628" s="296">
        <v>0.97</v>
      </c>
      <c r="Q628" s="294">
        <v>1.94</v>
      </c>
      <c r="R628" s="470" cm="1">
        <f t="array" aca="1" ref="R628" ca="1">INDIRECT("'"&amp;$C628&amp;"'!"&amp;"$"&amp;$D628&amp;$R$1&amp;"")</f>
        <v>6.4</v>
      </c>
      <c r="S628" s="296"/>
      <c r="T628" s="296">
        <v>0.97</v>
      </c>
      <c r="U628" s="294">
        <v>1.95</v>
      </c>
      <c r="V628" s="295" cm="1">
        <f t="array" aca="1" ref="V628" ca="1">INDIRECT("'"&amp;$C628&amp;"'!"&amp;"$"&amp;$D628&amp;$V$1&amp;"")</f>
        <v>0</v>
      </c>
      <c r="W628" s="296" t="s">
        <v>1</v>
      </c>
      <c r="X628" s="296" t="s">
        <v>1</v>
      </c>
      <c r="Y628" s="297" t="s">
        <v>1</v>
      </c>
      <c r="Z628" s="293" t="str" cm="1">
        <f t="array" aca="1" ref="Z628" ca="1">INDIRECT("'"&amp;$C628&amp;"'!"&amp;"$"&amp;$D628&amp;$Z$1&amp;"")</f>
        <v>CMS</v>
      </c>
      <c r="AA628" s="296" t="s">
        <v>1</v>
      </c>
      <c r="AB628" s="296" t="s">
        <v>1</v>
      </c>
      <c r="AC628" s="294" t="s">
        <v>1</v>
      </c>
      <c r="AD628" s="295" t="str" cm="1">
        <f t="array" aca="1" ref="AD628" ca="1">INDIRECT("'"&amp;$C628&amp;"'!"&amp;"$"&amp;$D628&amp;$AD$1&amp;"")</f>
        <v>CMS</v>
      </c>
      <c r="AE628" s="296" t="s">
        <v>1</v>
      </c>
      <c r="AF628" s="296" t="s">
        <v>1</v>
      </c>
      <c r="AG628" s="297" t="s">
        <v>1</v>
      </c>
      <c r="AH628" s="293" cm="1">
        <f t="array" aca="1" ref="AH628" ca="1">INDIRECT("'"&amp;$C628&amp;"'!"&amp;"$"&amp;$D628&amp;$AH$1&amp;"")</f>
        <v>0</v>
      </c>
      <c r="AI628" s="296" t="s">
        <v>1</v>
      </c>
      <c r="AJ628" s="296" t="s">
        <v>1</v>
      </c>
      <c r="AK628" s="294" t="s">
        <v>1</v>
      </c>
      <c r="AL628" s="293">
        <v>11.6</v>
      </c>
      <c r="AM628" s="297">
        <v>71</v>
      </c>
      <c r="AN628" s="293" cm="1">
        <f t="array" aca="1" ref="AN628" ca="1">INDIRECT("'"&amp;$C628&amp;"'!"&amp;"$"&amp;$D628&amp;$AL$1&amp;"")</f>
        <v>0</v>
      </c>
      <c r="AO628" s="296" t="s">
        <v>1</v>
      </c>
      <c r="AP628" s="294" t="s">
        <v>1</v>
      </c>
      <c r="AQ628" s="295" cm="1">
        <f t="array" aca="1" ref="AQ628" ca="1">INDIRECT("'"&amp;$C628&amp;"'!"&amp;"$"&amp;$D628&amp;$AQ$1&amp;"")</f>
        <v>3.8</v>
      </c>
      <c r="AR628" s="296">
        <v>0.99</v>
      </c>
      <c r="AS628" s="294">
        <v>0.5</v>
      </c>
      <c r="AT628" s="293">
        <v>13.96</v>
      </c>
      <c r="AU628" s="297">
        <v>70.3</v>
      </c>
      <c r="AV628" s="296" cm="1">
        <f t="array" aca="1" ref="AV628" ca="1">INDIRECT("'"&amp;$C628&amp;"'!"&amp;"$"&amp;$D628&amp;$AV$1&amp;"")</f>
        <v>0</v>
      </c>
      <c r="AW628" s="295" t="s">
        <v>1</v>
      </c>
      <c r="AX628" s="296" t="s">
        <v>1</v>
      </c>
      <c r="AY628" s="294" t="s">
        <v>1</v>
      </c>
      <c r="AZ628" s="296" cm="1">
        <f t="array" aca="1" ref="AZ628" ca="1">INDIRECT("'"&amp;$C628&amp;"'!"&amp;"$"&amp;$D628&amp;$AZ$1&amp;"")</f>
        <v>7</v>
      </c>
      <c r="BA628" s="295" t="s">
        <v>1</v>
      </c>
      <c r="BB628" s="296">
        <v>0.97</v>
      </c>
      <c r="BC628" s="294">
        <v>1.7</v>
      </c>
      <c r="BD628" s="298">
        <v>14.05</v>
      </c>
      <c r="BE628" s="297">
        <v>71.69</v>
      </c>
      <c r="BF628" s="298" cm="1">
        <f t="array" aca="1" ref="BF628" ca="1">INDIRECT("'"&amp;$C628&amp;"'!"&amp;"$"&amp;$D628&amp;$BF$1&amp;"")</f>
        <v>14.27</v>
      </c>
      <c r="BG628" s="296">
        <v>1</v>
      </c>
      <c r="BH628" s="294">
        <v>1.3</v>
      </c>
      <c r="BI628" s="526">
        <v>68.900000000000006</v>
      </c>
      <c r="BJ628" s="293" cm="1">
        <f t="array" aca="1" ref="BJ628" ca="1">INDIRECT("'"&amp;$C628&amp;"'!"&amp;"$"&amp;$D628&amp;$BI$1&amp;"")</f>
        <v>0</v>
      </c>
      <c r="BK628" s="295" t="s">
        <v>1</v>
      </c>
      <c r="BL628" s="294" t="s">
        <v>1</v>
      </c>
      <c r="BM628" s="298" cm="1">
        <f t="array" aca="1" ref="BM628" ca="1">INDIRECT("'"&amp;$C628&amp;"'!"&amp;"$"&amp;$D628&amp;$BM$1&amp;"")</f>
        <v>0.97</v>
      </c>
      <c r="BN628" s="296"/>
      <c r="BO628" s="296">
        <v>0.99</v>
      </c>
      <c r="BP628" s="294">
        <v>0.11</v>
      </c>
      <c r="BQ628" s="299" cm="1">
        <f t="array" aca="1" ref="BQ628" ca="1">INDIRECT("'"&amp;$C628&amp;"'!"&amp;"$"&amp;$D628&amp;$BQ$1&amp;"")</f>
        <v>0.82</v>
      </c>
      <c r="BR628" s="296"/>
      <c r="BS628" s="296">
        <v>0.97</v>
      </c>
      <c r="BT628" s="294">
        <v>0.2</v>
      </c>
      <c r="BU628" s="299" cm="1">
        <f t="array" aca="1" ref="BU628" ca="1">INDIRECT("'"&amp;$C628&amp;"'!"&amp;"$"&amp;$D628&amp;74&amp;"")</f>
        <v>0</v>
      </c>
      <c r="BV628" s="296"/>
      <c r="BW628" s="296" t="s">
        <v>1</v>
      </c>
      <c r="BX628" s="294" t="s">
        <v>1</v>
      </c>
    </row>
    <row r="629" spans="1:76" ht="14.45" thickBot="1"/>
    <row r="630" spans="1:76">
      <c r="A630" s="347">
        <v>45864</v>
      </c>
      <c r="B630" s="344">
        <v>0</v>
      </c>
      <c r="C630" s="302">
        <v>26</v>
      </c>
      <c r="D630" s="303" t="s">
        <v>142</v>
      </c>
      <c r="E630" s="272">
        <v>14.1</v>
      </c>
      <c r="F630" s="273">
        <v>70.67</v>
      </c>
      <c r="G630" s="274" t="str" cm="1">
        <f t="array" aca="1" ref="G630" ca="1">INDIRECT("'"&amp;$C630&amp;"'!"&amp;"$"&amp;$D630&amp;$E$1&amp;"")</f>
        <v>CMS</v>
      </c>
      <c r="H630" s="275" t="s">
        <v>1</v>
      </c>
      <c r="I630" s="273" t="s">
        <v>1</v>
      </c>
      <c r="J630" s="274" cm="1">
        <f t="array" aca="1" ref="J630" ca="1">INDIRECT("'"&amp;$C630&amp;"'!"&amp;"$"&amp;$D630&amp;$J$1&amp;"")</f>
        <v>0</v>
      </c>
      <c r="K630" s="275"/>
      <c r="L630" s="275" t="s">
        <v>1</v>
      </c>
      <c r="M630" s="276" t="s">
        <v>1</v>
      </c>
      <c r="N630" s="272" cm="1">
        <f t="array" aca="1" ref="N630" ca="1">INDIRECT("'"&amp;$C630&amp;"'!"&amp;"$"&amp;$D630&amp;$N$1&amp;"")</f>
        <v>6.6</v>
      </c>
      <c r="O630" s="275"/>
      <c r="P630" s="275">
        <v>0.98</v>
      </c>
      <c r="Q630" s="273">
        <v>1.42</v>
      </c>
      <c r="R630" s="467" cm="1">
        <f t="array" aca="1" ref="R630" ca="1">INDIRECT("'"&amp;$C630&amp;"'!"&amp;"$"&amp;$D630&amp;$R$1&amp;"")</f>
        <v>6.6</v>
      </c>
      <c r="S630" s="275"/>
      <c r="T630" s="275">
        <v>0.99</v>
      </c>
      <c r="U630" s="273">
        <v>1</v>
      </c>
      <c r="V630" s="274" cm="1">
        <f t="array" aca="1" ref="V630" ca="1">INDIRECT("'"&amp;$C630&amp;"'!"&amp;"$"&amp;$D630&amp;$V$1&amp;"")</f>
        <v>0</v>
      </c>
      <c r="W630" s="275" t="s">
        <v>1</v>
      </c>
      <c r="X630" s="275" t="s">
        <v>1</v>
      </c>
      <c r="Y630" s="276" t="s">
        <v>1</v>
      </c>
      <c r="Z630" s="272" t="str" cm="1">
        <f t="array" aca="1" ref="Z630" ca="1">INDIRECT("'"&amp;$C630&amp;"'!"&amp;"$"&amp;$D630&amp;$Z$1&amp;"")</f>
        <v>CMS</v>
      </c>
      <c r="AA630" s="275" t="s">
        <v>1</v>
      </c>
      <c r="AB630" s="275" t="s">
        <v>1</v>
      </c>
      <c r="AC630" s="273" t="s">
        <v>1</v>
      </c>
      <c r="AD630" s="274" t="str" cm="1">
        <f t="array" aca="1" ref="AD630" ca="1">INDIRECT("'"&amp;$C630&amp;"'!"&amp;"$"&amp;$D630&amp;$AD$1&amp;"")</f>
        <v>CMS</v>
      </c>
      <c r="AE630" s="275" t="s">
        <v>1</v>
      </c>
      <c r="AF630" s="275" t="s">
        <v>1</v>
      </c>
      <c r="AG630" s="273" t="s">
        <v>1</v>
      </c>
      <c r="AH630" s="272" cm="1">
        <f t="array" aca="1" ref="AH630" ca="1">INDIRECT("'"&amp;$C630&amp;"'!"&amp;"$"&amp;$D630&amp;$AH$1&amp;"")</f>
        <v>0</v>
      </c>
      <c r="AI630" s="275" t="s">
        <v>1</v>
      </c>
      <c r="AJ630" s="275" t="s">
        <v>1</v>
      </c>
      <c r="AK630" s="273" t="s">
        <v>1</v>
      </c>
      <c r="AL630" s="272">
        <v>11.6</v>
      </c>
      <c r="AM630" s="276">
        <v>71.099999999999994</v>
      </c>
      <c r="AN630" s="272" cm="1">
        <f t="array" aca="1" ref="AN630" ca="1">INDIRECT("'"&amp;$C630&amp;"'!"&amp;"$"&amp;$D630&amp;$AL$1&amp;"")</f>
        <v>0</v>
      </c>
      <c r="AO630" s="275" t="s">
        <v>1</v>
      </c>
      <c r="AP630" s="273" t="s">
        <v>1</v>
      </c>
      <c r="AQ630" s="274" cm="1">
        <f t="array" aca="1" ref="AQ630" ca="1">INDIRECT("'"&amp;$C630&amp;"'!"&amp;"$"&amp;$D630&amp;$AQ$1&amp;"")</f>
        <v>0</v>
      </c>
      <c r="AR630" s="275" t="s">
        <v>1</v>
      </c>
      <c r="AS630" s="273" t="s">
        <v>1</v>
      </c>
      <c r="AT630" s="272">
        <v>13.97</v>
      </c>
      <c r="AU630" s="276">
        <v>70.3</v>
      </c>
      <c r="AV630" s="275" cm="1">
        <f t="array" aca="1" ref="AV630" ca="1">INDIRECT("'"&amp;$C630&amp;"'!"&amp;"$"&amp;$D630&amp;$AV$1&amp;"")</f>
        <v>0</v>
      </c>
      <c r="AW630" s="274" t="s">
        <v>1</v>
      </c>
      <c r="AX630" s="275" t="s">
        <v>1</v>
      </c>
      <c r="AY630" s="273" t="s">
        <v>1</v>
      </c>
      <c r="AZ630" s="275" cm="1">
        <f t="array" aca="1" ref="AZ630" ca="1">INDIRECT("'"&amp;$C630&amp;"'!"&amp;"$"&amp;$D630&amp;$AZ$1&amp;"")</f>
        <v>7</v>
      </c>
      <c r="BA630" s="274" t="s">
        <v>1</v>
      </c>
      <c r="BB630" s="275">
        <v>0.98</v>
      </c>
      <c r="BC630" s="273">
        <v>1.6</v>
      </c>
      <c r="BD630" s="277">
        <v>14.9</v>
      </c>
      <c r="BE630" s="276">
        <v>71.83</v>
      </c>
      <c r="BF630" s="277" cm="1">
        <f t="array" aca="1" ref="BF630" ca="1">INDIRECT("'"&amp;$C630&amp;"'!"&amp;"$"&amp;$D630&amp;$BF$1&amp;"")</f>
        <v>14.31</v>
      </c>
      <c r="BG630" s="275">
        <v>1</v>
      </c>
      <c r="BH630" s="273">
        <v>1.3</v>
      </c>
      <c r="BI630" s="523">
        <v>69.400000000000006</v>
      </c>
      <c r="BJ630" s="272" cm="1">
        <f t="array" aca="1" ref="BJ630" ca="1">INDIRECT("'"&amp;$C630&amp;"'!"&amp;"$"&amp;$D630&amp;$BI$1&amp;"")</f>
        <v>0</v>
      </c>
      <c r="BK630" s="274" t="s">
        <v>1</v>
      </c>
      <c r="BL630" s="273" t="s">
        <v>1</v>
      </c>
      <c r="BM630" s="277" cm="1">
        <f t="array" aca="1" ref="BM630" ca="1">INDIRECT("'"&amp;$C630&amp;"'!"&amp;"$"&amp;$D630&amp;$BM$1&amp;"")</f>
        <v>0.86</v>
      </c>
      <c r="BN630" s="275"/>
      <c r="BO630" s="275">
        <v>0.99</v>
      </c>
      <c r="BP630" s="273">
        <v>7.0000000000000007E-2</v>
      </c>
      <c r="BQ630" s="277" cm="1">
        <f t="array" aca="1" ref="BQ630" ca="1">INDIRECT("'"&amp;$C630&amp;"'!"&amp;"$"&amp;$D630&amp;$BQ$1&amp;"")</f>
        <v>0.75</v>
      </c>
      <c r="BR630" s="275"/>
      <c r="BS630" s="275">
        <v>0.97</v>
      </c>
      <c r="BT630" s="273">
        <v>0.19</v>
      </c>
      <c r="BU630" s="358" cm="1">
        <f t="array" aca="1" ref="BU630" ca="1">INDIRECT("'"&amp;$C630&amp;"'!"&amp;"$"&amp;$D630&amp;74&amp;"")</f>
        <v>0</v>
      </c>
      <c r="BV630" s="275"/>
      <c r="BW630" s="275" t="s">
        <v>1</v>
      </c>
      <c r="BX630" s="273" t="s">
        <v>1</v>
      </c>
    </row>
    <row r="631" spans="1:76">
      <c r="A631" s="459">
        <v>45864</v>
      </c>
      <c r="B631" s="345">
        <v>4.1666666666666699E-2</v>
      </c>
      <c r="C631" s="305">
        <v>26</v>
      </c>
      <c r="D631" s="306" t="s">
        <v>143</v>
      </c>
      <c r="E631" s="278">
        <v>14.1</v>
      </c>
      <c r="F631" s="279">
        <v>71.03</v>
      </c>
      <c r="G631" s="280" t="str" cm="1">
        <f t="array" aca="1" ref="G631" ca="1">INDIRECT("'"&amp;$C631&amp;"'!"&amp;"$"&amp;$D631&amp;$E$1&amp;"")</f>
        <v>CMS</v>
      </c>
      <c r="H631" s="281" t="s">
        <v>1</v>
      </c>
      <c r="I631" s="279" t="s">
        <v>1</v>
      </c>
      <c r="J631" s="280" cm="1">
        <f t="array" aca="1" ref="J631" ca="1">INDIRECT("'"&amp;$C631&amp;"'!"&amp;"$"&amp;$D631&amp;$J$1&amp;"")</f>
        <v>0</v>
      </c>
      <c r="K631" s="281"/>
      <c r="L631" s="281" t="s">
        <v>1</v>
      </c>
      <c r="M631" s="282" t="s">
        <v>1</v>
      </c>
      <c r="N631" s="278" cm="1">
        <f t="array" aca="1" ref="N631" ca="1">INDIRECT("'"&amp;$C631&amp;"'!"&amp;"$"&amp;$D631&amp;$N$1&amp;"")</f>
        <v>6.5</v>
      </c>
      <c r="O631" s="281"/>
      <c r="P631" s="281">
        <v>0.99</v>
      </c>
      <c r="Q631" s="279">
        <v>1.05</v>
      </c>
      <c r="R631" s="468" cm="1">
        <f t="array" aca="1" ref="R631" ca="1">INDIRECT("'"&amp;$C631&amp;"'!"&amp;"$"&amp;$D631&amp;$R$1&amp;"")</f>
        <v>6.5</v>
      </c>
      <c r="S631" s="281"/>
      <c r="T631" s="281">
        <v>0.99</v>
      </c>
      <c r="U631" s="279">
        <v>1.0900000000000001</v>
      </c>
      <c r="V631" s="280" cm="1">
        <f t="array" aca="1" ref="V631" ca="1">INDIRECT("'"&amp;$C631&amp;"'!"&amp;"$"&amp;$D631&amp;$V$1&amp;"")</f>
        <v>0</v>
      </c>
      <c r="W631" s="281" t="s">
        <v>1</v>
      </c>
      <c r="X631" s="281" t="s">
        <v>1</v>
      </c>
      <c r="Y631" s="282" t="s">
        <v>1</v>
      </c>
      <c r="Z631" s="278" t="str" cm="1">
        <f t="array" aca="1" ref="Z631" ca="1">INDIRECT("'"&amp;$C631&amp;"'!"&amp;"$"&amp;$D631&amp;$Z$1&amp;"")</f>
        <v>CMS</v>
      </c>
      <c r="AA631" s="281" t="s">
        <v>1</v>
      </c>
      <c r="AB631" s="281" t="s">
        <v>1</v>
      </c>
      <c r="AC631" s="279" t="s">
        <v>1</v>
      </c>
      <c r="AD631" s="280" t="str" cm="1">
        <f t="array" aca="1" ref="AD631" ca="1">INDIRECT("'"&amp;$C631&amp;"'!"&amp;"$"&amp;$D631&amp;$AD$1&amp;"")</f>
        <v>CMS</v>
      </c>
      <c r="AE631" s="281" t="s">
        <v>1</v>
      </c>
      <c r="AF631" s="281" t="s">
        <v>1</v>
      </c>
      <c r="AG631" s="282" t="s">
        <v>1</v>
      </c>
      <c r="AH631" s="278" cm="1">
        <f t="array" aca="1" ref="AH631" ca="1">INDIRECT("'"&amp;$C631&amp;"'!"&amp;"$"&amp;$D631&amp;$AH$1&amp;"")</f>
        <v>0</v>
      </c>
      <c r="AI631" s="281" t="s">
        <v>1</v>
      </c>
      <c r="AJ631" s="281" t="s">
        <v>1</v>
      </c>
      <c r="AK631" s="279" t="s">
        <v>1</v>
      </c>
      <c r="AL631" s="278" t="s">
        <v>1</v>
      </c>
      <c r="AM631" s="282">
        <v>71.3</v>
      </c>
      <c r="AN631" s="278" cm="1">
        <f t="array" aca="1" ref="AN631" ca="1">INDIRECT("'"&amp;$C631&amp;"'!"&amp;"$"&amp;$D631&amp;$AL$1&amp;"")</f>
        <v>0</v>
      </c>
      <c r="AO631" s="281" t="s">
        <v>1</v>
      </c>
      <c r="AP631" s="279" t="s">
        <v>1</v>
      </c>
      <c r="AQ631" s="280" cm="1">
        <f t="array" aca="1" ref="AQ631" ca="1">INDIRECT("'"&amp;$C631&amp;"'!"&amp;"$"&amp;$D631&amp;$AQ$1&amp;"")</f>
        <v>0</v>
      </c>
      <c r="AR631" s="281" t="s">
        <v>1</v>
      </c>
      <c r="AS631" s="279" t="s">
        <v>1</v>
      </c>
      <c r="AT631" s="278">
        <v>13.99</v>
      </c>
      <c r="AU631" s="282">
        <v>70.400000000000006</v>
      </c>
      <c r="AV631" s="281" cm="1">
        <f t="array" aca="1" ref="AV631" ca="1">INDIRECT("'"&amp;$C631&amp;"'!"&amp;"$"&amp;$D631&amp;$AV$1&amp;"")</f>
        <v>0</v>
      </c>
      <c r="AW631" s="280" t="s">
        <v>1</v>
      </c>
      <c r="AX631" s="281" t="s">
        <v>1</v>
      </c>
      <c r="AY631" s="279" t="s">
        <v>1</v>
      </c>
      <c r="AZ631" s="281" cm="1">
        <f t="array" aca="1" ref="AZ631" ca="1">INDIRECT("'"&amp;$C631&amp;"'!"&amp;"$"&amp;$D631&amp;$AZ$1&amp;"")</f>
        <v>5</v>
      </c>
      <c r="BA631" s="280" t="s">
        <v>1</v>
      </c>
      <c r="BB631" s="281">
        <v>0.97</v>
      </c>
      <c r="BC631" s="279">
        <v>1.2</v>
      </c>
      <c r="BD631" s="283">
        <v>14.17</v>
      </c>
      <c r="BE631" s="282">
        <v>72.17</v>
      </c>
      <c r="BF631" s="283" cm="1">
        <f t="array" aca="1" ref="BF631" ca="1">INDIRECT("'"&amp;$C631&amp;"'!"&amp;"$"&amp;$D631&amp;$BF$1&amp;"")</f>
        <v>14.29</v>
      </c>
      <c r="BG631" s="281">
        <v>1</v>
      </c>
      <c r="BH631" s="279">
        <v>1.2</v>
      </c>
      <c r="BI631" s="524">
        <v>69.8</v>
      </c>
      <c r="BJ631" s="278" cm="1">
        <f t="array" aca="1" ref="BJ631" ca="1">INDIRECT("'"&amp;$C631&amp;"'!"&amp;"$"&amp;$D631&amp;$BI$1&amp;"")</f>
        <v>0</v>
      </c>
      <c r="BK631" s="280" t="s">
        <v>1</v>
      </c>
      <c r="BL631" s="279" t="s">
        <v>1</v>
      </c>
      <c r="BM631" s="283" cm="1">
        <f t="array" aca="1" ref="BM631" ca="1">INDIRECT("'"&amp;$C631&amp;"'!"&amp;"$"&amp;$D631&amp;$BM$1&amp;"")</f>
        <v>0.83</v>
      </c>
      <c r="BN631" s="281"/>
      <c r="BO631" s="281">
        <v>0.99</v>
      </c>
      <c r="BP631" s="279">
        <v>7.0000000000000007E-2</v>
      </c>
      <c r="BQ631" s="283" cm="1">
        <f t="array" aca="1" ref="BQ631" ca="1">INDIRECT("'"&amp;$C631&amp;"'!"&amp;"$"&amp;$D631&amp;$BQ$1&amp;"")</f>
        <v>0.72</v>
      </c>
      <c r="BR631" s="281"/>
      <c r="BS631" s="281">
        <v>0.96</v>
      </c>
      <c r="BT631" s="279">
        <v>0.19</v>
      </c>
      <c r="BU631" s="284" cm="1">
        <f t="array" aca="1" ref="BU631" ca="1">INDIRECT("'"&amp;$C631&amp;"'!"&amp;"$"&amp;$D631&amp;74&amp;"")</f>
        <v>0</v>
      </c>
      <c r="BV631" s="281"/>
      <c r="BW631" s="281" t="s">
        <v>1</v>
      </c>
      <c r="BX631" s="279" t="s">
        <v>1</v>
      </c>
    </row>
    <row r="632" spans="1:76">
      <c r="A632" s="459">
        <v>45864</v>
      </c>
      <c r="B632" s="345">
        <v>8.3333333333333301E-2</v>
      </c>
      <c r="C632" s="305">
        <v>26</v>
      </c>
      <c r="D632" s="306" t="s">
        <v>144</v>
      </c>
      <c r="E632" s="285">
        <v>14.1</v>
      </c>
      <c r="F632" s="286">
        <v>71.13</v>
      </c>
      <c r="G632" s="287" t="str" cm="1">
        <f t="array" aca="1" ref="G632" ca="1">INDIRECT("'"&amp;$C632&amp;"'!"&amp;"$"&amp;$D632&amp;$E$1&amp;"")</f>
        <v>CMS</v>
      </c>
      <c r="H632" s="288" t="s">
        <v>1</v>
      </c>
      <c r="I632" s="286" t="s">
        <v>1</v>
      </c>
      <c r="J632" s="287" cm="1">
        <f t="array" aca="1" ref="J632" ca="1">INDIRECT("'"&amp;$C632&amp;"'!"&amp;"$"&amp;$D632&amp;$J$1&amp;"")</f>
        <v>0</v>
      </c>
      <c r="K632" s="288"/>
      <c r="L632" s="288" t="s">
        <v>1</v>
      </c>
      <c r="M632" s="289" t="s">
        <v>1</v>
      </c>
      <c r="N632" s="285" cm="1">
        <f t="array" aca="1" ref="N632" ca="1">INDIRECT("'"&amp;$C632&amp;"'!"&amp;"$"&amp;$D632&amp;$N$1&amp;"")</f>
        <v>6.6</v>
      </c>
      <c r="O632" s="288"/>
      <c r="P632" s="288">
        <v>0.99</v>
      </c>
      <c r="Q632" s="286">
        <v>0.92</v>
      </c>
      <c r="R632" s="285" cm="1">
        <f t="array" aca="1" ref="R632" ca="1">INDIRECT("'"&amp;$C632&amp;"'!"&amp;"$"&amp;$D632&amp;$R$1&amp;"")</f>
        <v>6.6</v>
      </c>
      <c r="S632" s="288"/>
      <c r="T632" s="288">
        <v>0.99</v>
      </c>
      <c r="U632" s="286">
        <v>0.97</v>
      </c>
      <c r="V632" s="287" cm="1">
        <f t="array" aca="1" ref="V632" ca="1">INDIRECT("'"&amp;$C632&amp;"'!"&amp;"$"&amp;$D632&amp;$V$1&amp;"")</f>
        <v>0</v>
      </c>
      <c r="W632" s="288" t="s">
        <v>1</v>
      </c>
      <c r="X632" s="288" t="s">
        <v>1</v>
      </c>
      <c r="Y632" s="289" t="s">
        <v>1</v>
      </c>
      <c r="Z632" s="533" t="str" cm="1">
        <f t="array" aca="1" ref="Z632" ca="1">INDIRECT("'"&amp;$C632&amp;"'!"&amp;"$"&amp;$D632&amp;$Z$1&amp;"")</f>
        <v>CMS</v>
      </c>
      <c r="AA632" s="288" t="s">
        <v>1</v>
      </c>
      <c r="AB632" s="288" t="s">
        <v>1</v>
      </c>
      <c r="AC632" s="286" t="s">
        <v>1</v>
      </c>
      <c r="AD632" s="287" t="str" cm="1">
        <f t="array" aca="1" ref="AD632" ca="1">INDIRECT("'"&amp;$C632&amp;"'!"&amp;"$"&amp;$D632&amp;$AD$1&amp;"")</f>
        <v>CMS</v>
      </c>
      <c r="AE632" s="288" t="s">
        <v>1</v>
      </c>
      <c r="AF632" s="288" t="s">
        <v>1</v>
      </c>
      <c r="AG632" s="289" t="s">
        <v>1</v>
      </c>
      <c r="AH632" s="285" cm="1">
        <f t="array" aca="1" ref="AH632" ca="1">INDIRECT("'"&amp;$C632&amp;"'!"&amp;"$"&amp;$D632&amp;$AH$1&amp;"")</f>
        <v>0</v>
      </c>
      <c r="AI632" s="288" t="s">
        <v>1</v>
      </c>
      <c r="AJ632" s="288" t="s">
        <v>1</v>
      </c>
      <c r="AK632" s="289" t="s">
        <v>1</v>
      </c>
      <c r="AL632" s="285" t="s">
        <v>1</v>
      </c>
      <c r="AM632" s="289">
        <v>71.2</v>
      </c>
      <c r="AN632" s="285" cm="1">
        <f t="array" aca="1" ref="AN632" ca="1">INDIRECT("'"&amp;$C632&amp;"'!"&amp;"$"&amp;$D632&amp;$AL$1&amp;"")</f>
        <v>0</v>
      </c>
      <c r="AO632" s="288" t="s">
        <v>1</v>
      </c>
      <c r="AP632" s="286" t="s">
        <v>1</v>
      </c>
      <c r="AQ632" s="287" cm="1">
        <f t="array" aca="1" ref="AQ632" ca="1">INDIRECT("'"&amp;$C632&amp;"'!"&amp;"$"&amp;$D632&amp;$AQ$1&amp;"")</f>
        <v>0</v>
      </c>
      <c r="AR632" s="288" t="s">
        <v>1</v>
      </c>
      <c r="AS632" s="286" t="s">
        <v>1</v>
      </c>
      <c r="AT632" s="285">
        <v>13.94</v>
      </c>
      <c r="AU632" s="289">
        <v>70.3</v>
      </c>
      <c r="AV632" s="288" cm="1">
        <f t="array" aca="1" ref="AV632" ca="1">INDIRECT("'"&amp;$C632&amp;"'!"&amp;"$"&amp;$D632&amp;$AV$1&amp;"")</f>
        <v>0</v>
      </c>
      <c r="AW632" s="287" t="s">
        <v>1</v>
      </c>
      <c r="AX632" s="288" t="s">
        <v>1</v>
      </c>
      <c r="AY632" s="286" t="s">
        <v>1</v>
      </c>
      <c r="AZ632" s="288" cm="1">
        <f t="array" aca="1" ref="AZ632" ca="1">INDIRECT("'"&amp;$C632&amp;"'!"&amp;"$"&amp;$D632&amp;$AZ$1&amp;"")</f>
        <v>4</v>
      </c>
      <c r="BA632" s="287" t="s">
        <v>1</v>
      </c>
      <c r="BB632" s="288">
        <v>0.98</v>
      </c>
      <c r="BC632" s="286">
        <v>0.82</v>
      </c>
      <c r="BD632" s="290">
        <v>14.15</v>
      </c>
      <c r="BE632" s="289">
        <v>72.13</v>
      </c>
      <c r="BF632" s="290" cm="1">
        <f t="array" aca="1" ref="BF632" ca="1">INDIRECT("'"&amp;$C632&amp;"'!"&amp;"$"&amp;$D632&amp;$BF$1&amp;"")</f>
        <v>13.8</v>
      </c>
      <c r="BG632" s="288">
        <v>1</v>
      </c>
      <c r="BH632" s="286">
        <v>1.2</v>
      </c>
      <c r="BI632" s="525">
        <v>69.8</v>
      </c>
      <c r="BJ632" s="285" cm="1">
        <f t="array" aca="1" ref="BJ632" ca="1">INDIRECT("'"&amp;$C632&amp;"'!"&amp;"$"&amp;$D632&amp;$BI$1&amp;"")</f>
        <v>0</v>
      </c>
      <c r="BK632" s="287" t="s">
        <v>1</v>
      </c>
      <c r="BL632" s="286" t="s">
        <v>1</v>
      </c>
      <c r="BM632" s="290" cm="1">
        <f t="array" aca="1" ref="BM632" ca="1">INDIRECT("'"&amp;$C632&amp;"'!"&amp;"$"&amp;$D632&amp;$BM$1&amp;"")</f>
        <v>0.8</v>
      </c>
      <c r="BN632" s="288"/>
      <c r="BO632" s="288">
        <v>0.99</v>
      </c>
      <c r="BP632" s="286">
        <v>0.06</v>
      </c>
      <c r="BQ632" s="290" cm="1">
        <f t="array" aca="1" ref="BQ632" ca="1">INDIRECT("'"&amp;$C632&amp;"'!"&amp;"$"&amp;$D632&amp;$BQ$1&amp;"")</f>
        <v>0.71</v>
      </c>
      <c r="BR632" s="288"/>
      <c r="BS632" s="288">
        <v>0.96</v>
      </c>
      <c r="BT632" s="286">
        <v>0.19</v>
      </c>
      <c r="BU632" s="291" cm="1">
        <f t="array" aca="1" ref="BU632" ca="1">INDIRECT("'"&amp;$C632&amp;"'!"&amp;"$"&amp;$D632&amp;74&amp;"")</f>
        <v>0</v>
      </c>
      <c r="BV632" s="288"/>
      <c r="BW632" s="288" t="s">
        <v>1</v>
      </c>
      <c r="BX632" s="286" t="s">
        <v>1</v>
      </c>
    </row>
    <row r="633" spans="1:76">
      <c r="A633" s="459">
        <v>45864</v>
      </c>
      <c r="B633" s="345">
        <v>0.125</v>
      </c>
      <c r="C633" s="305">
        <v>26</v>
      </c>
      <c r="D633" s="306" t="s">
        <v>145</v>
      </c>
      <c r="E633" s="278">
        <v>14.1</v>
      </c>
      <c r="F633" s="279">
        <v>70.59</v>
      </c>
      <c r="G633" s="280" t="str" cm="1">
        <f t="array" aca="1" ref="G633" ca="1">INDIRECT("'"&amp;$C633&amp;"'!"&amp;"$"&amp;$D633&amp;$E$1&amp;"")</f>
        <v>CMS</v>
      </c>
      <c r="H633" s="281" t="s">
        <v>1</v>
      </c>
      <c r="I633" s="279" t="s">
        <v>1</v>
      </c>
      <c r="J633" s="280" cm="1">
        <f t="array" aca="1" ref="J633" ca="1">INDIRECT("'"&amp;$C633&amp;"'!"&amp;"$"&amp;$D633&amp;$J$1&amp;"")</f>
        <v>6.3</v>
      </c>
      <c r="K633" s="281"/>
      <c r="L633" s="281">
        <v>1</v>
      </c>
      <c r="M633" s="282">
        <v>0.41</v>
      </c>
      <c r="N633" s="278" cm="1">
        <f t="array" aca="1" ref="N633" ca="1">INDIRECT("'"&amp;$C633&amp;"'!"&amp;"$"&amp;$D633&amp;$N$1&amp;"")</f>
        <v>0</v>
      </c>
      <c r="O633" s="281"/>
      <c r="P633" s="281" t="s">
        <v>1</v>
      </c>
      <c r="Q633" s="279" t="s">
        <v>1</v>
      </c>
      <c r="R633" s="468" cm="1">
        <f t="array" aca="1" ref="R633" ca="1">INDIRECT("'"&amp;$C633&amp;"'!"&amp;"$"&amp;$D633&amp;$R$1&amp;"")</f>
        <v>6.3</v>
      </c>
      <c r="S633" s="281"/>
      <c r="T633" s="281">
        <v>1</v>
      </c>
      <c r="U633" s="279">
        <v>0.32</v>
      </c>
      <c r="V633" s="280" cm="1">
        <f t="array" aca="1" ref="V633" ca="1">INDIRECT("'"&amp;$C633&amp;"'!"&amp;"$"&amp;$D633&amp;$V$1&amp;"")</f>
        <v>0</v>
      </c>
      <c r="W633" s="281" t="s">
        <v>1</v>
      </c>
      <c r="X633" s="281" t="s">
        <v>1</v>
      </c>
      <c r="Y633" s="282" t="s">
        <v>1</v>
      </c>
      <c r="Z633" s="278" t="str" cm="1">
        <f t="array" aca="1" ref="Z633" ca="1">INDIRECT("'"&amp;$C633&amp;"'!"&amp;"$"&amp;$D633&amp;$Z$1&amp;"")</f>
        <v>CMS</v>
      </c>
      <c r="AA633" s="281" t="s">
        <v>1</v>
      </c>
      <c r="AB633" s="281" t="s">
        <v>1</v>
      </c>
      <c r="AC633" s="279" t="s">
        <v>1</v>
      </c>
      <c r="AD633" s="280" t="str" cm="1">
        <f t="array" aca="1" ref="AD633" ca="1">INDIRECT("'"&amp;$C633&amp;"'!"&amp;"$"&amp;$D633&amp;$AD$1&amp;"")</f>
        <v>CMS</v>
      </c>
      <c r="AE633" s="281" t="s">
        <v>1</v>
      </c>
      <c r="AF633" s="281" t="s">
        <v>1</v>
      </c>
      <c r="AG633" s="282" t="s">
        <v>1</v>
      </c>
      <c r="AH633" s="278" cm="1">
        <f t="array" aca="1" ref="AH633" ca="1">INDIRECT("'"&amp;$C633&amp;"'!"&amp;"$"&amp;$D633&amp;$AH$1&amp;"")</f>
        <v>0</v>
      </c>
      <c r="AI633" s="281" t="s">
        <v>1</v>
      </c>
      <c r="AJ633" s="281" t="s">
        <v>1</v>
      </c>
      <c r="AK633" s="279" t="s">
        <v>1</v>
      </c>
      <c r="AL633" s="278" t="s">
        <v>1</v>
      </c>
      <c r="AM633" s="282">
        <v>71.2</v>
      </c>
      <c r="AN633" s="278" cm="1">
        <f t="array" aca="1" ref="AN633" ca="1">INDIRECT("'"&amp;$C633&amp;"'!"&amp;"$"&amp;$D633&amp;$AL$1&amp;"")</f>
        <v>0</v>
      </c>
      <c r="AO633" s="281" t="s">
        <v>1</v>
      </c>
      <c r="AP633" s="279" t="s">
        <v>1</v>
      </c>
      <c r="AQ633" s="280" cm="1">
        <f t="array" aca="1" ref="AQ633" ca="1">INDIRECT("'"&amp;$C633&amp;"'!"&amp;"$"&amp;$D633&amp;$AQ$1&amp;"")</f>
        <v>0</v>
      </c>
      <c r="AR633" s="281" t="s">
        <v>1</v>
      </c>
      <c r="AS633" s="279" t="s">
        <v>1</v>
      </c>
      <c r="AT633" s="278">
        <v>13.86</v>
      </c>
      <c r="AU633" s="282">
        <v>70.3</v>
      </c>
      <c r="AV633" s="281" cm="1">
        <f t="array" aca="1" ref="AV633" ca="1">INDIRECT("'"&amp;$C633&amp;"'!"&amp;"$"&amp;$D633&amp;$AV$1&amp;"")</f>
        <v>0</v>
      </c>
      <c r="AW633" s="280" t="s">
        <v>1</v>
      </c>
      <c r="AX633" s="281" t="s">
        <v>1</v>
      </c>
      <c r="AY633" s="279" t="s">
        <v>1</v>
      </c>
      <c r="AZ633" s="281" cm="1">
        <f t="array" aca="1" ref="AZ633" ca="1">INDIRECT("'"&amp;$C633&amp;"'!"&amp;"$"&amp;$D633&amp;$AZ$1&amp;"")</f>
        <v>4</v>
      </c>
      <c r="BA633" s="280" t="s">
        <v>1</v>
      </c>
      <c r="BB633" s="281">
        <v>0.98</v>
      </c>
      <c r="BC633" s="279">
        <v>0.85</v>
      </c>
      <c r="BD633" s="283">
        <v>14.13</v>
      </c>
      <c r="BE633" s="282">
        <v>71.819999999999993</v>
      </c>
      <c r="BF633" s="283" cm="1">
        <f t="array" aca="1" ref="BF633" ca="1">INDIRECT("'"&amp;$C633&amp;"'!"&amp;"$"&amp;$D633&amp;$BF$1&amp;"")</f>
        <v>13.82</v>
      </c>
      <c r="BG633" s="281">
        <v>1</v>
      </c>
      <c r="BH633" s="279">
        <v>1.2</v>
      </c>
      <c r="BI633" s="524">
        <v>69.400000000000006</v>
      </c>
      <c r="BJ633" s="278" cm="1">
        <f t="array" aca="1" ref="BJ633" ca="1">INDIRECT("'"&amp;$C633&amp;"'!"&amp;"$"&amp;$D633&amp;$BI$1&amp;"")</f>
        <v>0</v>
      </c>
      <c r="BK633" s="280" t="s">
        <v>1</v>
      </c>
      <c r="BL633" s="279" t="s">
        <v>1</v>
      </c>
      <c r="BM633" s="283" cm="1">
        <f t="array" aca="1" ref="BM633" ca="1">INDIRECT("'"&amp;$C633&amp;"'!"&amp;"$"&amp;$D633&amp;$BM$1&amp;"")</f>
        <v>0.77</v>
      </c>
      <c r="BN633" s="281"/>
      <c r="BO633" s="281">
        <v>0.99</v>
      </c>
      <c r="BP633" s="279">
        <v>0.06</v>
      </c>
      <c r="BQ633" s="283" cm="1">
        <f t="array" aca="1" ref="BQ633" ca="1">INDIRECT("'"&amp;$C633&amp;"'!"&amp;"$"&amp;$D633&amp;$BQ$1&amp;"")</f>
        <v>0.67</v>
      </c>
      <c r="BR633" s="281"/>
      <c r="BS633" s="281">
        <v>0.96</v>
      </c>
      <c r="BT633" s="279">
        <v>0.17</v>
      </c>
      <c r="BU633" s="284" cm="1">
        <f t="array" aca="1" ref="BU633" ca="1">INDIRECT("'"&amp;$C633&amp;"'!"&amp;"$"&amp;$D633&amp;74&amp;"")</f>
        <v>0</v>
      </c>
      <c r="BV633" s="281"/>
      <c r="BW633" s="281" t="s">
        <v>1</v>
      </c>
      <c r="BX633" s="279" t="s">
        <v>1</v>
      </c>
    </row>
    <row r="634" spans="1:76">
      <c r="A634" s="459">
        <v>45864</v>
      </c>
      <c r="B634" s="345">
        <v>0.16666666666666699</v>
      </c>
      <c r="C634" s="305">
        <v>26</v>
      </c>
      <c r="D634" s="306" t="s">
        <v>146</v>
      </c>
      <c r="E634" s="285">
        <v>14.1</v>
      </c>
      <c r="F634" s="286">
        <v>70.62</v>
      </c>
      <c r="G634" s="287" t="str" cm="1">
        <f t="array" aca="1" ref="G634" ca="1">INDIRECT("'"&amp;$C634&amp;"'!"&amp;"$"&amp;$D634&amp;$E$1&amp;"")</f>
        <v>CMS</v>
      </c>
      <c r="H634" s="288" t="s">
        <v>1</v>
      </c>
      <c r="I634" s="286" t="s">
        <v>1</v>
      </c>
      <c r="J634" s="287" cm="1">
        <f t="array" aca="1" ref="J634" ca="1">INDIRECT("'"&amp;$C634&amp;"'!"&amp;"$"&amp;$D634&amp;$J$1&amp;"")</f>
        <v>6.4</v>
      </c>
      <c r="K634" s="288"/>
      <c r="L634" s="288">
        <v>1</v>
      </c>
      <c r="M634" s="286">
        <v>0.68</v>
      </c>
      <c r="N634" s="285" cm="1">
        <f t="array" aca="1" ref="N634" ca="1">INDIRECT("'"&amp;$C634&amp;"'!"&amp;"$"&amp;$D634&amp;$N$1&amp;"")</f>
        <v>0</v>
      </c>
      <c r="O634" s="288"/>
      <c r="P634" s="288" t="s">
        <v>1</v>
      </c>
      <c r="Q634" s="286" t="s">
        <v>1</v>
      </c>
      <c r="R634" s="285" cm="1">
        <f t="array" aca="1" ref="R634" ca="1">INDIRECT("'"&amp;$C634&amp;"'!"&amp;"$"&amp;$D634&amp;$R$1&amp;"")</f>
        <v>6.4</v>
      </c>
      <c r="S634" s="288"/>
      <c r="T634" s="288">
        <v>1</v>
      </c>
      <c r="U634" s="286">
        <v>0.78</v>
      </c>
      <c r="V634" s="287" cm="1">
        <f t="array" aca="1" ref="V634" ca="1">INDIRECT("'"&amp;$C634&amp;"'!"&amp;"$"&amp;$D634&amp;$V$1&amp;"")</f>
        <v>0</v>
      </c>
      <c r="W634" s="288" t="s">
        <v>1</v>
      </c>
      <c r="X634" s="288" t="s">
        <v>1</v>
      </c>
      <c r="Y634" s="289" t="s">
        <v>1</v>
      </c>
      <c r="Z634" s="285" t="str" cm="1">
        <f t="array" aca="1" ref="Z634" ca="1">INDIRECT("'"&amp;$C634&amp;"'!"&amp;"$"&amp;$D634&amp;$Z$1&amp;"")</f>
        <v>CMS</v>
      </c>
      <c r="AA634" s="288" t="s">
        <v>1</v>
      </c>
      <c r="AB634" s="288" t="s">
        <v>1</v>
      </c>
      <c r="AC634" s="286" t="s">
        <v>1</v>
      </c>
      <c r="AD634" s="287" t="str" cm="1">
        <f t="array" aca="1" ref="AD634" ca="1">INDIRECT("'"&amp;$C634&amp;"'!"&amp;"$"&amp;$D634&amp;$AD$1&amp;"")</f>
        <v>CMS</v>
      </c>
      <c r="AE634" s="288" t="s">
        <v>1</v>
      </c>
      <c r="AF634" s="288" t="s">
        <v>1</v>
      </c>
      <c r="AG634" s="289" t="s">
        <v>1</v>
      </c>
      <c r="AH634" s="285" cm="1">
        <f t="array" aca="1" ref="AH634" ca="1">INDIRECT("'"&amp;$C634&amp;"'!"&amp;"$"&amp;$D634&amp;$AH$1&amp;"")</f>
        <v>0</v>
      </c>
      <c r="AI634" s="288" t="s">
        <v>1</v>
      </c>
      <c r="AJ634" s="288" t="s">
        <v>1</v>
      </c>
      <c r="AK634" s="286" t="s">
        <v>1</v>
      </c>
      <c r="AL634" s="285" t="s">
        <v>1</v>
      </c>
      <c r="AM634" s="289">
        <v>71.2</v>
      </c>
      <c r="AN634" s="285" cm="1">
        <f t="array" aca="1" ref="AN634" ca="1">INDIRECT("'"&amp;$C634&amp;"'!"&amp;"$"&amp;$D634&amp;$AL$1&amp;"")</f>
        <v>0</v>
      </c>
      <c r="AO634" s="288" t="s">
        <v>1</v>
      </c>
      <c r="AP634" s="286" t="s">
        <v>1</v>
      </c>
      <c r="AQ634" s="287" cm="1">
        <f t="array" aca="1" ref="AQ634" ca="1">INDIRECT("'"&amp;$C634&amp;"'!"&amp;"$"&amp;$D634&amp;$AQ$1&amp;"")</f>
        <v>0</v>
      </c>
      <c r="AR634" s="288" t="s">
        <v>1</v>
      </c>
      <c r="AS634" s="286" t="s">
        <v>1</v>
      </c>
      <c r="AT634" s="285">
        <v>13.86</v>
      </c>
      <c r="AU634" s="289">
        <v>70.3</v>
      </c>
      <c r="AV634" s="288" cm="1">
        <f t="array" aca="1" ref="AV634" ca="1">INDIRECT("'"&amp;$C634&amp;"'!"&amp;"$"&amp;$D634&amp;$AV$1&amp;"")</f>
        <v>0</v>
      </c>
      <c r="AW634" s="287" t="s">
        <v>1</v>
      </c>
      <c r="AX634" s="288" t="s">
        <v>1</v>
      </c>
      <c r="AY634" s="286" t="s">
        <v>1</v>
      </c>
      <c r="AZ634" s="288" cm="1">
        <f t="array" aca="1" ref="AZ634" ca="1">INDIRECT("'"&amp;$C634&amp;"'!"&amp;"$"&amp;$D634&amp;$AZ$1&amp;"")</f>
        <v>3.5</v>
      </c>
      <c r="BA634" s="287" t="s">
        <v>1</v>
      </c>
      <c r="BB634" s="288">
        <v>0.97</v>
      </c>
      <c r="BC634" s="286">
        <v>0.82</v>
      </c>
      <c r="BD634" s="290">
        <v>14.1</v>
      </c>
      <c r="BE634" s="289">
        <v>71.81</v>
      </c>
      <c r="BF634" s="290" cm="1">
        <f t="array" aca="1" ref="BF634" ca="1">INDIRECT("'"&amp;$C634&amp;"'!"&amp;"$"&amp;$D634&amp;$BF$1&amp;"")</f>
        <v>13.79</v>
      </c>
      <c r="BG634" s="288">
        <v>1</v>
      </c>
      <c r="BH634" s="286">
        <v>1.2</v>
      </c>
      <c r="BI634" s="525">
        <v>69.400000000000006</v>
      </c>
      <c r="BJ634" s="285" cm="1">
        <f t="array" aca="1" ref="BJ634" ca="1">INDIRECT("'"&amp;$C634&amp;"'!"&amp;"$"&amp;$D634&amp;$BI$1&amp;"")</f>
        <v>0</v>
      </c>
      <c r="BK634" s="287" t="s">
        <v>1</v>
      </c>
      <c r="BL634" s="286" t="s">
        <v>1</v>
      </c>
      <c r="BM634" s="290" cm="1">
        <f t="array" aca="1" ref="BM634" ca="1">INDIRECT("'"&amp;$C634&amp;"'!"&amp;"$"&amp;$D634&amp;$BM$1&amp;"")</f>
        <v>0.82</v>
      </c>
      <c r="BN634" s="288"/>
      <c r="BO634" s="288">
        <v>0.99</v>
      </c>
      <c r="BP634" s="286">
        <v>0.08</v>
      </c>
      <c r="BQ634" s="290" cm="1">
        <f t="array" aca="1" ref="BQ634" ca="1">INDIRECT("'"&amp;$C634&amp;"'!"&amp;"$"&amp;$D634&amp;$BQ$1&amp;"")</f>
        <v>0.65</v>
      </c>
      <c r="BR634" s="288"/>
      <c r="BS634" s="288">
        <v>0.96</v>
      </c>
      <c r="BT634" s="286">
        <v>0.17</v>
      </c>
      <c r="BU634" s="291" cm="1">
        <f t="array" aca="1" ref="BU634" ca="1">INDIRECT("'"&amp;$C634&amp;"'!"&amp;"$"&amp;$D634&amp;74&amp;"")</f>
        <v>0</v>
      </c>
      <c r="BV634" s="288"/>
      <c r="BW634" s="288" t="s">
        <v>1</v>
      </c>
      <c r="BX634" s="286" t="s">
        <v>1</v>
      </c>
    </row>
    <row r="635" spans="1:76">
      <c r="A635" s="459">
        <v>45864</v>
      </c>
      <c r="B635" s="345">
        <v>0.20833333333333301</v>
      </c>
      <c r="C635" s="305">
        <v>26</v>
      </c>
      <c r="D635" s="306" t="s">
        <v>147</v>
      </c>
      <c r="E635" s="278">
        <v>14</v>
      </c>
      <c r="F635" s="279">
        <v>70.459999999999994</v>
      </c>
      <c r="G635" s="280" t="str" cm="1">
        <f t="array" aca="1" ref="G635" ca="1">INDIRECT("'"&amp;$C635&amp;"'!"&amp;"$"&amp;$D635&amp;$E$1&amp;"")</f>
        <v>CMS</v>
      </c>
      <c r="H635" s="281" t="s">
        <v>1</v>
      </c>
      <c r="I635" s="279" t="s">
        <v>1</v>
      </c>
      <c r="J635" s="280" cm="1">
        <f t="array" aca="1" ref="J635" ca="1">INDIRECT("'"&amp;$C635&amp;"'!"&amp;"$"&amp;$D635&amp;$J$1&amp;"")</f>
        <v>6.3</v>
      </c>
      <c r="K635" s="281"/>
      <c r="L635" s="281">
        <v>0.99</v>
      </c>
      <c r="M635" s="279">
        <v>0.69</v>
      </c>
      <c r="N635" s="278" cm="1">
        <f t="array" aca="1" ref="N635" ca="1">INDIRECT("'"&amp;$C635&amp;"'!"&amp;"$"&amp;$D635&amp;$N$1&amp;"")</f>
        <v>0</v>
      </c>
      <c r="O635" s="281"/>
      <c r="P635" s="281" t="s">
        <v>1</v>
      </c>
      <c r="Q635" s="279" t="s">
        <v>1</v>
      </c>
      <c r="R635" s="468" cm="1">
        <f t="array" aca="1" ref="R635" ca="1">INDIRECT("'"&amp;$C635&amp;"'!"&amp;"$"&amp;$D635&amp;$R$1&amp;"")</f>
        <v>6.3</v>
      </c>
      <c r="S635" s="281"/>
      <c r="T635" s="281">
        <v>0.99</v>
      </c>
      <c r="U635" s="279">
        <v>0.57999999999999996</v>
      </c>
      <c r="V635" s="280" cm="1">
        <f t="array" aca="1" ref="V635" ca="1">INDIRECT("'"&amp;$C635&amp;"'!"&amp;"$"&amp;$D635&amp;$V$1&amp;"")</f>
        <v>0</v>
      </c>
      <c r="W635" s="281" t="s">
        <v>1</v>
      </c>
      <c r="X635" s="281" t="s">
        <v>1</v>
      </c>
      <c r="Y635" s="282" t="s">
        <v>1</v>
      </c>
      <c r="Z635" s="278" t="str" cm="1">
        <f t="array" aca="1" ref="Z635" ca="1">INDIRECT("'"&amp;$C635&amp;"'!"&amp;"$"&amp;$D635&amp;$Z$1&amp;"")</f>
        <v>CMS</v>
      </c>
      <c r="AA635" s="281" t="s">
        <v>1</v>
      </c>
      <c r="AB635" s="281" t="s">
        <v>1</v>
      </c>
      <c r="AC635" s="279" t="s">
        <v>1</v>
      </c>
      <c r="AD635" s="280" t="str" cm="1">
        <f t="array" aca="1" ref="AD635" ca="1">INDIRECT("'"&amp;$C635&amp;"'!"&amp;"$"&amp;$D635&amp;$AD$1&amp;"")</f>
        <v>CMS</v>
      </c>
      <c r="AE635" s="281" t="s">
        <v>1</v>
      </c>
      <c r="AF635" s="281" t="s">
        <v>1</v>
      </c>
      <c r="AG635" s="282" t="s">
        <v>1</v>
      </c>
      <c r="AH635" s="278" cm="1">
        <f t="array" aca="1" ref="AH635" ca="1">INDIRECT("'"&amp;$C635&amp;"'!"&amp;"$"&amp;$D635&amp;$AH$1&amp;"")</f>
        <v>0</v>
      </c>
      <c r="AI635" s="281" t="s">
        <v>1</v>
      </c>
      <c r="AJ635" s="281" t="s">
        <v>1</v>
      </c>
      <c r="AK635" s="279" t="s">
        <v>1</v>
      </c>
      <c r="AL635" s="278" t="s">
        <v>1</v>
      </c>
      <c r="AM635" s="282">
        <v>70.599999999999994</v>
      </c>
      <c r="AN635" s="278" cm="1">
        <f t="array" aca="1" ref="AN635" ca="1">INDIRECT("'"&amp;$C635&amp;"'!"&amp;"$"&amp;$D635&amp;$AL$1&amp;"")</f>
        <v>0</v>
      </c>
      <c r="AO635" s="281" t="s">
        <v>1</v>
      </c>
      <c r="AP635" s="279" t="s">
        <v>1</v>
      </c>
      <c r="AQ635" s="280" cm="1">
        <f t="array" aca="1" ref="AQ635" ca="1">INDIRECT("'"&amp;$C635&amp;"'!"&amp;"$"&amp;$D635&amp;$AQ$1&amp;"")</f>
        <v>0</v>
      </c>
      <c r="AR635" s="281" t="s">
        <v>1</v>
      </c>
      <c r="AS635" s="279" t="s">
        <v>1</v>
      </c>
      <c r="AT635" s="278">
        <v>13.86</v>
      </c>
      <c r="AU635" s="282">
        <v>70.400000000000006</v>
      </c>
      <c r="AV635" s="281" cm="1">
        <f t="array" aca="1" ref="AV635" ca="1">INDIRECT("'"&amp;$C635&amp;"'!"&amp;"$"&amp;$D635&amp;$AV$1&amp;"")</f>
        <v>0</v>
      </c>
      <c r="AW635" s="280" t="s">
        <v>1</v>
      </c>
      <c r="AX635" s="281" t="s">
        <v>1</v>
      </c>
      <c r="AY635" s="279" t="s">
        <v>1</v>
      </c>
      <c r="AZ635" s="281" cm="1">
        <f t="array" aca="1" ref="AZ635" ca="1">INDIRECT("'"&amp;$C635&amp;"'!"&amp;"$"&amp;$D635&amp;$AZ$1&amp;"")</f>
        <v>4</v>
      </c>
      <c r="BA635" s="280" t="s">
        <v>1</v>
      </c>
      <c r="BB635" s="281">
        <v>0.97</v>
      </c>
      <c r="BC635" s="279">
        <v>0.99</v>
      </c>
      <c r="BD635" s="283">
        <v>14.05</v>
      </c>
      <c r="BE635" s="282">
        <v>71.680000000000007</v>
      </c>
      <c r="BF635" s="283" cm="1">
        <f t="array" aca="1" ref="BF635" ca="1">INDIRECT("'"&amp;$C635&amp;"'!"&amp;"$"&amp;$D635&amp;$BF$1&amp;"")</f>
        <v>14.28</v>
      </c>
      <c r="BG635" s="281">
        <v>1</v>
      </c>
      <c r="BH635" s="279">
        <v>1.3</v>
      </c>
      <c r="BI635" s="524">
        <v>69.099999999999994</v>
      </c>
      <c r="BJ635" s="278" cm="1">
        <f t="array" aca="1" ref="BJ635" ca="1">INDIRECT("'"&amp;$C635&amp;"'!"&amp;"$"&amp;$D635&amp;$BI$1&amp;"")</f>
        <v>0</v>
      </c>
      <c r="BK635" s="280" t="s">
        <v>1</v>
      </c>
      <c r="BL635" s="279" t="s">
        <v>1</v>
      </c>
      <c r="BM635" s="283" cm="1">
        <f t="array" aca="1" ref="BM635" ca="1">INDIRECT("'"&amp;$C635&amp;"'!"&amp;"$"&amp;$D635&amp;$BM$1&amp;"")</f>
        <v>0.85</v>
      </c>
      <c r="BN635" s="281"/>
      <c r="BO635" s="281">
        <v>0.99</v>
      </c>
      <c r="BP635" s="279">
        <v>0.09</v>
      </c>
      <c r="BQ635" s="283" cm="1">
        <f t="array" aca="1" ref="BQ635" ca="1">INDIRECT("'"&amp;$C635&amp;"'!"&amp;"$"&amp;$D635&amp;$BQ$1&amp;"")</f>
        <v>0</v>
      </c>
      <c r="BR635" s="281"/>
      <c r="BS635" s="281" t="s">
        <v>1</v>
      </c>
      <c r="BT635" s="279" t="s">
        <v>1</v>
      </c>
      <c r="BU635" s="284" cm="1">
        <f t="array" aca="1" ref="BU635" ca="1">INDIRECT("'"&amp;$C635&amp;"'!"&amp;"$"&amp;$D635&amp;74&amp;"")</f>
        <v>0</v>
      </c>
      <c r="BV635" s="281"/>
      <c r="BW635" s="281" t="s">
        <v>1</v>
      </c>
      <c r="BX635" s="279" t="s">
        <v>1</v>
      </c>
    </row>
    <row r="636" spans="1:76">
      <c r="A636" s="459">
        <v>45864</v>
      </c>
      <c r="B636" s="345">
        <v>0.25</v>
      </c>
      <c r="C636" s="305">
        <v>26</v>
      </c>
      <c r="D636" s="306" t="s">
        <v>148</v>
      </c>
      <c r="E636" s="285">
        <v>14.1</v>
      </c>
      <c r="F636" s="286">
        <v>70.400000000000006</v>
      </c>
      <c r="G636" s="287" t="str" cm="1">
        <f t="array" aca="1" ref="G636" ca="1">INDIRECT("'"&amp;$C636&amp;"'!"&amp;"$"&amp;$D636&amp;$E$1&amp;"")</f>
        <v>CMS</v>
      </c>
      <c r="H636" s="288" t="s">
        <v>1</v>
      </c>
      <c r="I636" s="286" t="s">
        <v>1</v>
      </c>
      <c r="J636" s="287" cm="1">
        <f t="array" aca="1" ref="J636" ca="1">INDIRECT("'"&amp;$C636&amp;"'!"&amp;"$"&amp;$D636&amp;$J$1&amp;"")</f>
        <v>4.4000000000000004</v>
      </c>
      <c r="K636" s="288"/>
      <c r="L636" s="288">
        <v>0.99</v>
      </c>
      <c r="M636" s="286">
        <v>0.68</v>
      </c>
      <c r="N636" s="285" cm="1">
        <f t="array" aca="1" ref="N636" ca="1">INDIRECT("'"&amp;$C636&amp;"'!"&amp;"$"&amp;$D636&amp;$N$1&amp;"")</f>
        <v>3.8</v>
      </c>
      <c r="O636" s="288"/>
      <c r="P636" s="288">
        <v>0.98</v>
      </c>
      <c r="Q636" s="286">
        <v>0.78</v>
      </c>
      <c r="R636" s="285" cm="1">
        <f t="array" aca="1" ref="R636" ca="1">INDIRECT("'"&amp;$C636&amp;"'!"&amp;"$"&amp;$D636&amp;$R$1&amp;"")</f>
        <v>4.8</v>
      </c>
      <c r="S636" s="288"/>
      <c r="T636" s="288">
        <v>0.99</v>
      </c>
      <c r="U636" s="286">
        <v>0.89</v>
      </c>
      <c r="V636" s="287" cm="1">
        <f t="array" aca="1" ref="V636" ca="1">INDIRECT("'"&amp;$C636&amp;"'!"&amp;"$"&amp;$D636&amp;$V$1&amp;"")</f>
        <v>0</v>
      </c>
      <c r="W636" s="288" t="s">
        <v>1</v>
      </c>
      <c r="X636" s="288" t="s">
        <v>1</v>
      </c>
      <c r="Y636" s="289" t="s">
        <v>1</v>
      </c>
      <c r="Z636" s="285" t="str" cm="1">
        <f t="array" aca="1" ref="Z636" ca="1">INDIRECT("'"&amp;$C636&amp;"'!"&amp;"$"&amp;$D636&amp;$Z$1&amp;"")</f>
        <v>CMS</v>
      </c>
      <c r="AA636" s="288" t="s">
        <v>1</v>
      </c>
      <c r="AB636" s="288" t="s">
        <v>1</v>
      </c>
      <c r="AC636" s="286" t="s">
        <v>1</v>
      </c>
      <c r="AD636" s="287" t="str" cm="1">
        <f t="array" aca="1" ref="AD636" ca="1">INDIRECT("'"&amp;$C636&amp;"'!"&amp;"$"&amp;$D636&amp;$AD$1&amp;"")</f>
        <v>CMS</v>
      </c>
      <c r="AE636" s="288" t="s">
        <v>1</v>
      </c>
      <c r="AF636" s="288" t="s">
        <v>1</v>
      </c>
      <c r="AG636" s="289" t="s">
        <v>1</v>
      </c>
      <c r="AH636" s="285" cm="1">
        <f t="array" aca="1" ref="AH636" ca="1">INDIRECT("'"&amp;$C636&amp;"'!"&amp;"$"&amp;$D636&amp;$AH$1&amp;"")</f>
        <v>0</v>
      </c>
      <c r="AI636" s="288" t="s">
        <v>1</v>
      </c>
      <c r="AJ636" s="288" t="s">
        <v>1</v>
      </c>
      <c r="AK636" s="286" t="s">
        <v>1</v>
      </c>
      <c r="AL636" s="285" t="s">
        <v>1</v>
      </c>
      <c r="AM636" s="289">
        <v>70.5</v>
      </c>
      <c r="AN636" s="285" cm="1">
        <f t="array" aca="1" ref="AN636" ca="1">INDIRECT("'"&amp;$C636&amp;"'!"&amp;"$"&amp;$D636&amp;$AL$1&amp;"")</f>
        <v>0</v>
      </c>
      <c r="AO636" s="288" t="s">
        <v>1</v>
      </c>
      <c r="AP636" s="286" t="s">
        <v>1</v>
      </c>
      <c r="AQ636" s="287" cm="1">
        <f t="array" aca="1" ref="AQ636" ca="1">INDIRECT("'"&amp;$C636&amp;"'!"&amp;"$"&amp;$D636&amp;$AQ$1&amp;"")</f>
        <v>0</v>
      </c>
      <c r="AR636" s="288" t="s">
        <v>1</v>
      </c>
      <c r="AS636" s="286" t="s">
        <v>1</v>
      </c>
      <c r="AT636" s="285">
        <v>13.88</v>
      </c>
      <c r="AU636" s="289">
        <v>70.3</v>
      </c>
      <c r="AV636" s="288" cm="1">
        <f t="array" aca="1" ref="AV636" ca="1">INDIRECT("'"&amp;$C636&amp;"'!"&amp;"$"&amp;$D636&amp;$AV$1&amp;"")</f>
        <v>0</v>
      </c>
      <c r="AW636" s="287" t="s">
        <v>1</v>
      </c>
      <c r="AX636" s="288" t="s">
        <v>1</v>
      </c>
      <c r="AY636" s="286" t="s">
        <v>1</v>
      </c>
      <c r="AZ636" s="288" cm="1">
        <f t="array" aca="1" ref="AZ636" ca="1">INDIRECT("'"&amp;$C636&amp;"'!"&amp;"$"&amp;$D636&amp;$AZ$1&amp;"")</f>
        <v>5.5</v>
      </c>
      <c r="BA636" s="287" t="s">
        <v>1</v>
      </c>
      <c r="BB636" s="288">
        <v>0.96</v>
      </c>
      <c r="BC636" s="286">
        <v>1.6</v>
      </c>
      <c r="BD636" s="290">
        <v>14.01</v>
      </c>
      <c r="BE636" s="289">
        <v>71.44</v>
      </c>
      <c r="BF636" s="290" cm="1">
        <f t="array" aca="1" ref="BF636" ca="1">INDIRECT("'"&amp;$C636&amp;"'!"&amp;"$"&amp;$D636&amp;$BF$1&amp;"")</f>
        <v>14.25</v>
      </c>
      <c r="BG636" s="288">
        <v>1</v>
      </c>
      <c r="BH636" s="286">
        <v>1.3</v>
      </c>
      <c r="BI636" s="525">
        <v>68.8</v>
      </c>
      <c r="BJ636" s="285" cm="1">
        <f t="array" aca="1" ref="BJ636" ca="1">INDIRECT("'"&amp;$C636&amp;"'!"&amp;"$"&amp;$D636&amp;$BI$1&amp;"")</f>
        <v>0</v>
      </c>
      <c r="BK636" s="287" t="s">
        <v>1</v>
      </c>
      <c r="BL636" s="286" t="s">
        <v>1</v>
      </c>
      <c r="BM636" s="290" cm="1">
        <f t="array" aca="1" ref="BM636" ca="1">INDIRECT("'"&amp;$C636&amp;"'!"&amp;"$"&amp;$D636&amp;$BM$1&amp;"")</f>
        <v>0.95</v>
      </c>
      <c r="BN636" s="288"/>
      <c r="BO636" s="288">
        <v>0.99</v>
      </c>
      <c r="BP636" s="286">
        <v>0.38</v>
      </c>
      <c r="BQ636" s="290" cm="1">
        <f t="array" aca="1" ref="BQ636" ca="1">INDIRECT("'"&amp;$C636&amp;"'!"&amp;"$"&amp;$D636&amp;$BQ$1&amp;"")</f>
        <v>0.72</v>
      </c>
      <c r="BR636" s="288"/>
      <c r="BS636" s="288">
        <v>0.96</v>
      </c>
      <c r="BT636" s="286">
        <v>0.21</v>
      </c>
      <c r="BU636" s="291" cm="1">
        <f t="array" aca="1" ref="BU636" ca="1">INDIRECT("'"&amp;$C636&amp;"'!"&amp;"$"&amp;$D636&amp;74&amp;"")</f>
        <v>0</v>
      </c>
      <c r="BV636" s="288"/>
      <c r="BW636" s="288" t="s">
        <v>1</v>
      </c>
      <c r="BX636" s="286" t="s">
        <v>1</v>
      </c>
    </row>
    <row r="637" spans="1:76">
      <c r="A637" s="459">
        <v>45864</v>
      </c>
      <c r="B637" s="345">
        <v>0.29166666666666702</v>
      </c>
      <c r="C637" s="305">
        <v>26</v>
      </c>
      <c r="D637" s="306" t="s">
        <v>149</v>
      </c>
      <c r="E637" s="278">
        <v>14.2</v>
      </c>
      <c r="F637" s="279">
        <v>70.37</v>
      </c>
      <c r="G637" s="280" t="str" cm="1">
        <f t="array" aca="1" ref="G637" ca="1">INDIRECT("'"&amp;$C637&amp;"'!"&amp;"$"&amp;$D637&amp;$E$1&amp;"")</f>
        <v>CMS</v>
      </c>
      <c r="H637" s="281" t="s">
        <v>1</v>
      </c>
      <c r="I637" s="279" t="s">
        <v>1</v>
      </c>
      <c r="J637" s="280" cm="1">
        <f t="array" aca="1" ref="J637" ca="1">INDIRECT("'"&amp;$C637&amp;"'!"&amp;"$"&amp;$D637&amp;$J$1&amp;"")</f>
        <v>6.8</v>
      </c>
      <c r="K637" s="281"/>
      <c r="L637" s="281">
        <v>0.99</v>
      </c>
      <c r="M637" s="282">
        <v>1.0900000000000001</v>
      </c>
      <c r="N637" s="278" cm="1">
        <f t="array" aca="1" ref="N637" ca="1">INDIRECT("'"&amp;$C637&amp;"'!"&amp;"$"&amp;$D637&amp;$N$1&amp;"")</f>
        <v>0</v>
      </c>
      <c r="O637" s="281"/>
      <c r="P637" s="281" t="s">
        <v>1</v>
      </c>
      <c r="Q637" s="279" t="s">
        <v>1</v>
      </c>
      <c r="R637" s="468" cm="1">
        <f t="array" aca="1" ref="R637" ca="1">INDIRECT("'"&amp;$C637&amp;"'!"&amp;"$"&amp;$D637&amp;$R$1&amp;"")</f>
        <v>6.8</v>
      </c>
      <c r="S637" s="281"/>
      <c r="T637" s="281">
        <v>0.95</v>
      </c>
      <c r="U637" s="279">
        <v>2.17</v>
      </c>
      <c r="V637" s="280" cm="1">
        <f t="array" aca="1" ref="V637" ca="1">INDIRECT("'"&amp;$C637&amp;"'!"&amp;"$"&amp;$D637&amp;$V$1&amp;"")</f>
        <v>0</v>
      </c>
      <c r="W637" s="281" t="s">
        <v>1</v>
      </c>
      <c r="X637" s="281" t="s">
        <v>1</v>
      </c>
      <c r="Y637" s="282" t="s">
        <v>1</v>
      </c>
      <c r="Z637" s="278" t="str" cm="1">
        <f t="array" aca="1" ref="Z637" ca="1">INDIRECT("'"&amp;$C637&amp;"'!"&amp;"$"&amp;$D637&amp;$Z$1&amp;"")</f>
        <v>CMS</v>
      </c>
      <c r="AA637" s="281" t="s">
        <v>1</v>
      </c>
      <c r="AB637" s="281" t="s">
        <v>1</v>
      </c>
      <c r="AC637" s="279" t="s">
        <v>1</v>
      </c>
      <c r="AD637" s="280" t="str" cm="1">
        <f t="array" aca="1" ref="AD637" ca="1">INDIRECT("'"&amp;$C637&amp;"'!"&amp;"$"&amp;$D637&amp;$AD$1&amp;"")</f>
        <v>CMS</v>
      </c>
      <c r="AE637" s="281" t="s">
        <v>1</v>
      </c>
      <c r="AF637" s="281" t="s">
        <v>1</v>
      </c>
      <c r="AG637" s="282" t="s">
        <v>1</v>
      </c>
      <c r="AH637" s="278" cm="1">
        <f t="array" aca="1" ref="AH637" ca="1">INDIRECT("'"&amp;$C637&amp;"'!"&amp;"$"&amp;$D637&amp;$AH$1&amp;"")</f>
        <v>0</v>
      </c>
      <c r="AI637" s="281" t="s">
        <v>1</v>
      </c>
      <c r="AJ637" s="281" t="s">
        <v>1</v>
      </c>
      <c r="AK637" s="279" t="s">
        <v>1</v>
      </c>
      <c r="AL637" s="278" t="s">
        <v>1</v>
      </c>
      <c r="AM637" s="282">
        <v>70.599999999999994</v>
      </c>
      <c r="AN637" s="278" cm="1">
        <f t="array" aca="1" ref="AN637" ca="1">INDIRECT("'"&amp;$C637&amp;"'!"&amp;"$"&amp;$D637&amp;$AL$1&amp;"")</f>
        <v>0</v>
      </c>
      <c r="AO637" s="281" t="s">
        <v>1</v>
      </c>
      <c r="AP637" s="279" t="s">
        <v>1</v>
      </c>
      <c r="AQ637" s="280" cm="1">
        <f t="array" aca="1" ref="AQ637" ca="1">INDIRECT("'"&amp;$C637&amp;"'!"&amp;"$"&amp;$D637&amp;$AQ$1&amp;"")</f>
        <v>0</v>
      </c>
      <c r="AR637" s="281" t="s">
        <v>1</v>
      </c>
      <c r="AS637" s="279" t="s">
        <v>1</v>
      </c>
      <c r="AT637" s="278">
        <v>13.88</v>
      </c>
      <c r="AU637" s="282">
        <v>70.3</v>
      </c>
      <c r="AV637" s="281" cm="1">
        <f t="array" aca="1" ref="AV637" ca="1">INDIRECT("'"&amp;$C637&amp;"'!"&amp;"$"&amp;$D637&amp;$AV$1&amp;"")</f>
        <v>0</v>
      </c>
      <c r="AW637" s="280" t="s">
        <v>1</v>
      </c>
      <c r="AX637" s="281" t="s">
        <v>1</v>
      </c>
      <c r="AY637" s="279" t="s">
        <v>1</v>
      </c>
      <c r="AZ637" s="281" cm="1">
        <f t="array" aca="1" ref="AZ637" ca="1">INDIRECT("'"&amp;$C637&amp;"'!"&amp;"$"&amp;$D637&amp;$AZ$1&amp;"")</f>
        <v>5</v>
      </c>
      <c r="BA637" s="280" t="s">
        <v>1</v>
      </c>
      <c r="BB637" s="281">
        <v>0.96</v>
      </c>
      <c r="BC637" s="279">
        <v>1.5</v>
      </c>
      <c r="BD637" s="283">
        <v>14.06</v>
      </c>
      <c r="BE637" s="282">
        <v>71.52</v>
      </c>
      <c r="BF637" s="283" cm="1">
        <f t="array" aca="1" ref="BF637" ca="1">INDIRECT("'"&amp;$C637&amp;"'!"&amp;"$"&amp;$D637&amp;$BF$1&amp;"")</f>
        <v>14.27</v>
      </c>
      <c r="BG637" s="281">
        <v>1</v>
      </c>
      <c r="BH637" s="279">
        <v>1.3</v>
      </c>
      <c r="BI637" s="524">
        <v>69.099999999999994</v>
      </c>
      <c r="BJ637" s="278" cm="1">
        <f t="array" aca="1" ref="BJ637" ca="1">INDIRECT("'"&amp;$C637&amp;"'!"&amp;"$"&amp;$D637&amp;$BI$1&amp;"")</f>
        <v>0</v>
      </c>
      <c r="BK637" s="280" t="s">
        <v>1</v>
      </c>
      <c r="BL637" s="279" t="s">
        <v>1</v>
      </c>
      <c r="BM637" s="283" cm="1">
        <f t="array" aca="1" ref="BM637" ca="1">INDIRECT("'"&amp;$C637&amp;"'!"&amp;"$"&amp;$D637&amp;$BM$1&amp;"")</f>
        <v>1</v>
      </c>
      <c r="BN637" s="281"/>
      <c r="BO637" s="281">
        <v>0.99</v>
      </c>
      <c r="BP637" s="279">
        <v>0.11</v>
      </c>
      <c r="BQ637" s="284" cm="1">
        <f t="array" aca="1" ref="BQ637" ca="1">INDIRECT("'"&amp;$C637&amp;"'!"&amp;"$"&amp;$D637&amp;$BQ$1&amp;"")</f>
        <v>0.74</v>
      </c>
      <c r="BR637" s="281"/>
      <c r="BS637" s="281">
        <v>0.96</v>
      </c>
      <c r="BT637" s="279">
        <v>0.2</v>
      </c>
      <c r="BU637" s="284" cm="1">
        <f t="array" aca="1" ref="BU637" ca="1">INDIRECT("'"&amp;$C637&amp;"'!"&amp;"$"&amp;$D637&amp;74&amp;"")</f>
        <v>0</v>
      </c>
      <c r="BV637" s="281"/>
      <c r="BW637" s="281" t="s">
        <v>1</v>
      </c>
      <c r="BX637" s="279" t="s">
        <v>1</v>
      </c>
    </row>
    <row r="638" spans="1:76">
      <c r="A638" s="459">
        <v>45864</v>
      </c>
      <c r="B638" s="345">
        <v>0.33333333333333398</v>
      </c>
      <c r="C638" s="305">
        <v>26</v>
      </c>
      <c r="D638" s="306" t="s">
        <v>150</v>
      </c>
      <c r="E638" s="285">
        <v>14.1</v>
      </c>
      <c r="F638" s="286">
        <v>69.53</v>
      </c>
      <c r="G638" s="287" t="str" cm="1">
        <f t="array" aca="1" ref="G638" ca="1">INDIRECT("'"&amp;$C638&amp;"'!"&amp;"$"&amp;$D638&amp;$E$1&amp;"")</f>
        <v>CMS</v>
      </c>
      <c r="H638" s="288" t="s">
        <v>1</v>
      </c>
      <c r="I638" s="286" t="s">
        <v>1</v>
      </c>
      <c r="J638" s="287" cm="1">
        <f t="array" aca="1" ref="J638" ca="1">INDIRECT("'"&amp;$C638&amp;"'!"&amp;"$"&amp;$D638&amp;$J$1&amp;"")</f>
        <v>6.8</v>
      </c>
      <c r="K638" s="288"/>
      <c r="L638" s="288">
        <v>0.96</v>
      </c>
      <c r="M638" s="289">
        <v>2.44</v>
      </c>
      <c r="N638" s="285" cm="1">
        <f t="array" aca="1" ref="N638" ca="1">INDIRECT("'"&amp;$C638&amp;"'!"&amp;"$"&amp;$D638&amp;$N$1&amp;"")</f>
        <v>0</v>
      </c>
      <c r="O638" s="288"/>
      <c r="P638" s="288" t="s">
        <v>1</v>
      </c>
      <c r="Q638" s="286" t="s">
        <v>1</v>
      </c>
      <c r="R638" s="285" cm="1">
        <f t="array" aca="1" ref="R638" ca="1">INDIRECT("'"&amp;$C638&amp;"'!"&amp;"$"&amp;$D638&amp;$R$1&amp;"")</f>
        <v>6.8</v>
      </c>
      <c r="S638" s="288"/>
      <c r="T638" s="288">
        <v>0.94</v>
      </c>
      <c r="U638" s="286">
        <v>2.4500000000000002</v>
      </c>
      <c r="V638" s="287" cm="1">
        <f t="array" aca="1" ref="V638" ca="1">INDIRECT("'"&amp;$C638&amp;"'!"&amp;"$"&amp;$D638&amp;$V$1&amp;"")</f>
        <v>0</v>
      </c>
      <c r="W638" s="288" t="s">
        <v>1</v>
      </c>
      <c r="X638" s="288" t="s">
        <v>1</v>
      </c>
      <c r="Y638" s="289" t="s">
        <v>1</v>
      </c>
      <c r="Z638" s="285" t="str" cm="1">
        <f t="array" aca="1" ref="Z638" ca="1">INDIRECT("'"&amp;$C638&amp;"'!"&amp;"$"&amp;$D638&amp;$Z$1&amp;"")</f>
        <v>CMS</v>
      </c>
      <c r="AA638" s="288" t="s">
        <v>1</v>
      </c>
      <c r="AB638" s="288" t="s">
        <v>1</v>
      </c>
      <c r="AC638" s="286" t="s">
        <v>1</v>
      </c>
      <c r="AD638" s="287" t="str" cm="1">
        <f t="array" aca="1" ref="AD638" ca="1">INDIRECT("'"&amp;$C638&amp;"'!"&amp;"$"&amp;$D638&amp;$AD$1&amp;"")</f>
        <v>CMS</v>
      </c>
      <c r="AE638" s="288" t="s">
        <v>1</v>
      </c>
      <c r="AF638" s="288" t="s">
        <v>1</v>
      </c>
      <c r="AG638" s="289" t="s">
        <v>1</v>
      </c>
      <c r="AH638" s="285" cm="1">
        <f t="array" aca="1" ref="AH638" ca="1">INDIRECT("'"&amp;$C638&amp;"'!"&amp;"$"&amp;$D638&amp;$AH$1&amp;"")</f>
        <v>0</v>
      </c>
      <c r="AI638" s="288" t="s">
        <v>1</v>
      </c>
      <c r="AJ638" s="288" t="s">
        <v>1</v>
      </c>
      <c r="AK638" s="286" t="s">
        <v>1</v>
      </c>
      <c r="AL638" s="285">
        <v>11.5</v>
      </c>
      <c r="AM638" s="289">
        <v>70.5</v>
      </c>
      <c r="AN638" s="285" cm="1">
        <f t="array" aca="1" ref="AN638" ca="1">INDIRECT("'"&amp;$C638&amp;"'!"&amp;"$"&amp;$D638&amp;$AL$1&amp;"")</f>
        <v>1.5</v>
      </c>
      <c r="AO638" s="288">
        <v>0.35</v>
      </c>
      <c r="AP638" s="286">
        <v>0.98</v>
      </c>
      <c r="AQ638" s="287" cm="1">
        <f t="array" aca="1" ref="AQ638" ca="1">INDIRECT("'"&amp;$C638&amp;"'!"&amp;"$"&amp;$D638&amp;$AQ$1&amp;"")</f>
        <v>0</v>
      </c>
      <c r="AR638" s="288" t="s">
        <v>1</v>
      </c>
      <c r="AS638" s="286" t="s">
        <v>1</v>
      </c>
      <c r="AT638" s="285">
        <v>13.88</v>
      </c>
      <c r="AU638" s="289">
        <v>70.400000000000006</v>
      </c>
      <c r="AV638" s="288" cm="1">
        <f t="array" aca="1" ref="AV638" ca="1">INDIRECT("'"&amp;$C638&amp;"'!"&amp;"$"&amp;$D638&amp;$AV$1&amp;"")</f>
        <v>0</v>
      </c>
      <c r="AW638" s="287" t="s">
        <v>1</v>
      </c>
      <c r="AX638" s="288" t="s">
        <v>1</v>
      </c>
      <c r="AY638" s="286" t="s">
        <v>1</v>
      </c>
      <c r="AZ638" s="288" cm="1">
        <f t="array" aca="1" ref="AZ638" ca="1">INDIRECT("'"&amp;$C638&amp;"'!"&amp;"$"&amp;$D638&amp;$AZ$1&amp;"")</f>
        <v>7</v>
      </c>
      <c r="BA638" s="287" t="s">
        <v>1</v>
      </c>
      <c r="BB638" s="288">
        <v>0.97</v>
      </c>
      <c r="BC638" s="286">
        <v>1.7</v>
      </c>
      <c r="BD638" s="290">
        <v>14.13</v>
      </c>
      <c r="BE638" s="289">
        <v>71.48</v>
      </c>
      <c r="BF638" s="290" cm="1">
        <f t="array" aca="1" ref="BF638" ca="1">INDIRECT("'"&amp;$C638&amp;"'!"&amp;"$"&amp;$D638&amp;$BF$1&amp;"")</f>
        <v>14.28</v>
      </c>
      <c r="BG638" s="288">
        <v>0.99</v>
      </c>
      <c r="BH638" s="286">
        <v>2.2999999999999998</v>
      </c>
      <c r="BI638" s="525">
        <v>68.599999999999994</v>
      </c>
      <c r="BJ638" s="285" cm="1">
        <f t="array" aca="1" ref="BJ638" ca="1">INDIRECT("'"&amp;$C638&amp;"'!"&amp;"$"&amp;$D638&amp;$BI$1&amp;"")</f>
        <v>0</v>
      </c>
      <c r="BK638" s="287" t="s">
        <v>1</v>
      </c>
      <c r="BL638" s="286" t="s">
        <v>1</v>
      </c>
      <c r="BM638" s="290" cm="1">
        <f t="array" aca="1" ref="BM638" ca="1">INDIRECT("'"&amp;$C638&amp;"'!"&amp;"$"&amp;$D638&amp;$BM$1&amp;"")</f>
        <v>1</v>
      </c>
      <c r="BN638" s="288"/>
      <c r="BO638" s="288">
        <v>0.99</v>
      </c>
      <c r="BP638" s="286">
        <v>0.13</v>
      </c>
      <c r="BQ638" s="291" cm="1">
        <f t="array" aca="1" ref="BQ638" ca="1">INDIRECT("'"&amp;$C638&amp;"'!"&amp;"$"&amp;$D638&amp;$BQ$1&amp;"")</f>
        <v>0.74</v>
      </c>
      <c r="BR638" s="288"/>
      <c r="BS638" s="288">
        <v>0.96</v>
      </c>
      <c r="BT638" s="286">
        <v>0.21</v>
      </c>
      <c r="BU638" s="291" cm="1">
        <f t="array" aca="1" ref="BU638" ca="1">INDIRECT("'"&amp;$C638&amp;"'!"&amp;"$"&amp;$D638&amp;74&amp;"")</f>
        <v>0</v>
      </c>
      <c r="BV638" s="288"/>
      <c r="BW638" s="288" t="s">
        <v>1</v>
      </c>
      <c r="BX638" s="286" t="s">
        <v>1</v>
      </c>
    </row>
    <row r="639" spans="1:76">
      <c r="A639" s="459">
        <v>45864</v>
      </c>
      <c r="B639" s="345">
        <v>0.375</v>
      </c>
      <c r="C639" s="305">
        <v>26</v>
      </c>
      <c r="D639" s="306" t="s">
        <v>151</v>
      </c>
      <c r="E639" s="278">
        <v>14</v>
      </c>
      <c r="F639" s="279">
        <v>68.84</v>
      </c>
      <c r="G639" s="280" t="str" cm="1">
        <f t="array" aca="1" ref="G639" ca="1">INDIRECT("'"&amp;$C639&amp;"'!"&amp;"$"&amp;$D639&amp;$E$1&amp;"")</f>
        <v>CMS</v>
      </c>
      <c r="H639" s="281" t="s">
        <v>1</v>
      </c>
      <c r="I639" s="279" t="s">
        <v>1</v>
      </c>
      <c r="J639" s="280" cm="1">
        <f t="array" aca="1" ref="J639" ca="1">INDIRECT("'"&amp;$C639&amp;"'!"&amp;"$"&amp;$D639&amp;$J$1&amp;"")</f>
        <v>6.7</v>
      </c>
      <c r="K639" s="281"/>
      <c r="L639" s="281">
        <v>0.95</v>
      </c>
      <c r="M639" s="282">
        <v>2.34</v>
      </c>
      <c r="N639" s="278" cm="1">
        <f t="array" aca="1" ref="N639" ca="1">INDIRECT("'"&amp;$C639&amp;"'!"&amp;"$"&amp;$D639&amp;$N$1&amp;"")</f>
        <v>1.5</v>
      </c>
      <c r="O639" s="281"/>
      <c r="P639" s="281">
        <v>0.94</v>
      </c>
      <c r="Q639" s="279">
        <v>0.52</v>
      </c>
      <c r="R639" s="468" cm="1">
        <f t="array" aca="1" ref="R639" ca="1">INDIRECT("'"&amp;$C639&amp;"'!"&amp;"$"&amp;$D639&amp;$R$1&amp;"")</f>
        <v>6.7</v>
      </c>
      <c r="S639" s="281"/>
      <c r="T639" s="281">
        <v>0.95</v>
      </c>
      <c r="U639" s="279">
        <v>2.34</v>
      </c>
      <c r="V639" s="280" cm="1">
        <f t="array" aca="1" ref="V639" ca="1">INDIRECT("'"&amp;$C639&amp;"'!"&amp;"$"&amp;$D639&amp;$V$1&amp;"")</f>
        <v>0</v>
      </c>
      <c r="W639" s="281" t="s">
        <v>1</v>
      </c>
      <c r="X639" s="281" t="s">
        <v>1</v>
      </c>
      <c r="Y639" s="282" t="s">
        <v>1</v>
      </c>
      <c r="Z639" s="278" t="str" cm="1">
        <f t="array" aca="1" ref="Z639" ca="1">INDIRECT("'"&amp;$C639&amp;"'!"&amp;"$"&amp;$D639&amp;$Z$1&amp;"")</f>
        <v>CMS</v>
      </c>
      <c r="AA639" s="281" t="s">
        <v>1</v>
      </c>
      <c r="AB639" s="281" t="s">
        <v>1</v>
      </c>
      <c r="AC639" s="279" t="s">
        <v>1</v>
      </c>
      <c r="AD639" s="280" t="str" cm="1">
        <f t="array" aca="1" ref="AD639" ca="1">INDIRECT("'"&amp;$C639&amp;"'!"&amp;"$"&amp;$D639&amp;$AD$1&amp;"")</f>
        <v>CMS</v>
      </c>
      <c r="AE639" s="281" t="s">
        <v>1</v>
      </c>
      <c r="AF639" s="281" t="s">
        <v>1</v>
      </c>
      <c r="AG639" s="282" t="s">
        <v>1</v>
      </c>
      <c r="AH639" s="278" cm="1">
        <f t="array" aca="1" ref="AH639" ca="1">INDIRECT("'"&amp;$C639&amp;"'!"&amp;"$"&amp;$D639&amp;$AH$1&amp;"")</f>
        <v>0</v>
      </c>
      <c r="AI639" s="281" t="s">
        <v>1</v>
      </c>
      <c r="AJ639" s="281" t="s">
        <v>1</v>
      </c>
      <c r="AK639" s="279" t="s">
        <v>1</v>
      </c>
      <c r="AL639" s="278">
        <v>11.5</v>
      </c>
      <c r="AM639" s="282">
        <v>70.400000000000006</v>
      </c>
      <c r="AN639" s="278" cm="1">
        <f t="array" aca="1" ref="AN639" ca="1">INDIRECT("'"&amp;$C639&amp;"'!"&amp;"$"&amp;$D639&amp;$AL$1&amp;"")</f>
        <v>3.8</v>
      </c>
      <c r="AO639" s="281">
        <v>0.96</v>
      </c>
      <c r="AP639" s="279">
        <v>1.1000000000000001</v>
      </c>
      <c r="AQ639" s="280" cm="1">
        <f t="array" aca="1" ref="AQ639" ca="1">INDIRECT("'"&amp;$C639&amp;"'!"&amp;"$"&amp;$D639&amp;$AQ$1&amp;"")</f>
        <v>0</v>
      </c>
      <c r="AR639" s="281" t="s">
        <v>1</v>
      </c>
      <c r="AS639" s="279" t="s">
        <v>1</v>
      </c>
      <c r="AT639" s="278">
        <v>13.88</v>
      </c>
      <c r="AU639" s="282">
        <v>70.400000000000006</v>
      </c>
      <c r="AV639" s="281" cm="1">
        <f t="array" aca="1" ref="AV639" ca="1">INDIRECT("'"&amp;$C639&amp;"'!"&amp;"$"&amp;$D639&amp;$AV$1&amp;"")</f>
        <v>0</v>
      </c>
      <c r="AW639" s="280" t="s">
        <v>1</v>
      </c>
      <c r="AX639" s="281" t="s">
        <v>1</v>
      </c>
      <c r="AY639" s="279" t="s">
        <v>1</v>
      </c>
      <c r="AZ639" s="281" cm="1">
        <f t="array" aca="1" ref="AZ639" ca="1">INDIRECT("'"&amp;$C639&amp;"'!"&amp;"$"&amp;$D639&amp;$AZ$1&amp;"")</f>
        <v>7</v>
      </c>
      <c r="BA639" s="280" t="s">
        <v>1</v>
      </c>
      <c r="BB639" s="281">
        <v>0.97</v>
      </c>
      <c r="BC639" s="279">
        <v>1.7</v>
      </c>
      <c r="BD639" s="283">
        <v>14.05</v>
      </c>
      <c r="BE639" s="282">
        <v>71.09</v>
      </c>
      <c r="BF639" s="283" cm="1">
        <f t="array" aca="1" ref="BF639" ca="1">INDIRECT("'"&amp;$C639&amp;"'!"&amp;"$"&amp;$D639&amp;$BF$1&amp;"")</f>
        <v>14.24</v>
      </c>
      <c r="BG639" s="281">
        <v>0.99</v>
      </c>
      <c r="BH639" s="279">
        <v>2.2999999999999998</v>
      </c>
      <c r="BI639" s="524">
        <v>68</v>
      </c>
      <c r="BJ639" s="278" cm="1">
        <f t="array" aca="1" ref="BJ639" ca="1">INDIRECT("'"&amp;$C639&amp;"'!"&amp;"$"&amp;$D639&amp;$BI$1&amp;"")</f>
        <v>1.5</v>
      </c>
      <c r="BK639" s="280">
        <v>0.96</v>
      </c>
      <c r="BL639" s="279">
        <v>0.43</v>
      </c>
      <c r="BM639" s="283" cm="1">
        <f t="array" aca="1" ref="BM639" ca="1">INDIRECT("'"&amp;$C639&amp;"'!"&amp;"$"&amp;$D639&amp;$BM$1&amp;"")</f>
        <v>1.1399999999999999</v>
      </c>
      <c r="BN639" s="281"/>
      <c r="BO639" s="281">
        <v>0.99</v>
      </c>
      <c r="BP639" s="279">
        <v>0.16</v>
      </c>
      <c r="BQ639" s="284" cm="1">
        <f t="array" aca="1" ref="BQ639" ca="1">INDIRECT("'"&amp;$C639&amp;"'!"&amp;"$"&amp;$D639&amp;$BQ$1&amp;"")</f>
        <v>0.78</v>
      </c>
      <c r="BR639" s="281"/>
      <c r="BS639" s="281">
        <v>0.96</v>
      </c>
      <c r="BT639" s="279">
        <v>0.22</v>
      </c>
      <c r="BU639" s="284" cm="1">
        <f t="array" aca="1" ref="BU639" ca="1">INDIRECT("'"&amp;$C639&amp;"'!"&amp;"$"&amp;$D639&amp;74&amp;"")</f>
        <v>0</v>
      </c>
      <c r="BV639" s="281"/>
      <c r="BW639" s="281" t="s">
        <v>1</v>
      </c>
      <c r="BX639" s="279" t="s">
        <v>1</v>
      </c>
    </row>
    <row r="640" spans="1:76">
      <c r="A640" s="459">
        <v>45864</v>
      </c>
      <c r="B640" s="345">
        <v>0.41666666666666702</v>
      </c>
      <c r="C640" s="305">
        <v>26</v>
      </c>
      <c r="D640" s="306" t="s">
        <v>152</v>
      </c>
      <c r="E640" s="285">
        <v>14.2</v>
      </c>
      <c r="F640" s="286">
        <v>69.040000000000006</v>
      </c>
      <c r="G640" s="287" t="str" cm="1">
        <f t="array" aca="1" ref="G640" ca="1">INDIRECT("'"&amp;$C640&amp;"'!"&amp;"$"&amp;$D640&amp;$E$1&amp;"")</f>
        <v>CMS</v>
      </c>
      <c r="H640" s="288" t="s">
        <v>1</v>
      </c>
      <c r="I640" s="286" t="s">
        <v>1</v>
      </c>
      <c r="J640" s="287" cm="1">
        <f t="array" aca="1" ref="J640" ca="1">INDIRECT("'"&amp;$C640&amp;"'!"&amp;"$"&amp;$D640&amp;$J$1&amp;"")</f>
        <v>6.7</v>
      </c>
      <c r="K640" s="288"/>
      <c r="L640" s="288">
        <v>0.94</v>
      </c>
      <c r="M640" s="289">
        <v>2.54</v>
      </c>
      <c r="N640" s="285" cm="1">
        <f t="array" aca="1" ref="N640" ca="1">INDIRECT("'"&amp;$C640&amp;"'!"&amp;"$"&amp;$D640&amp;$N$1&amp;"")</f>
        <v>6.7</v>
      </c>
      <c r="O640" s="288"/>
      <c r="P640" s="288">
        <v>0.94</v>
      </c>
      <c r="Q640" s="286">
        <v>2.54</v>
      </c>
      <c r="R640" s="285" cm="1">
        <f t="array" aca="1" ref="R640" ca="1">INDIRECT("'"&amp;$C640&amp;"'!"&amp;"$"&amp;$D640&amp;$R$1&amp;"")</f>
        <v>6.7</v>
      </c>
      <c r="S640" s="288"/>
      <c r="T640" s="288">
        <v>0.94</v>
      </c>
      <c r="U640" s="286">
        <v>2.54</v>
      </c>
      <c r="V640" s="287" cm="1">
        <f t="array" aca="1" ref="V640" ca="1">INDIRECT("'"&amp;$C640&amp;"'!"&amp;"$"&amp;$D640&amp;$V$1&amp;"")</f>
        <v>0</v>
      </c>
      <c r="W640" s="288" t="s">
        <v>1</v>
      </c>
      <c r="X640" s="288" t="s">
        <v>1</v>
      </c>
      <c r="Y640" s="289" t="s">
        <v>1</v>
      </c>
      <c r="Z640" s="285" t="str" cm="1">
        <f t="array" aca="1" ref="Z640" ca="1">INDIRECT("'"&amp;$C640&amp;"'!"&amp;"$"&amp;$D640&amp;$Z$1&amp;"")</f>
        <v>CMS</v>
      </c>
      <c r="AA640" s="288" t="s">
        <v>1</v>
      </c>
      <c r="AB640" s="288" t="s">
        <v>1</v>
      </c>
      <c r="AC640" s="286" t="s">
        <v>1</v>
      </c>
      <c r="AD640" s="287" t="str" cm="1">
        <f t="array" aca="1" ref="AD640" ca="1">INDIRECT("'"&amp;$C640&amp;"'!"&amp;"$"&amp;$D640&amp;$AD$1&amp;"")</f>
        <v>CMS</v>
      </c>
      <c r="AE640" s="288" t="s">
        <v>1</v>
      </c>
      <c r="AF640" s="288" t="s">
        <v>1</v>
      </c>
      <c r="AG640" s="289" t="s">
        <v>1</v>
      </c>
      <c r="AH640" s="285" cm="1">
        <f t="array" aca="1" ref="AH640" ca="1">INDIRECT("'"&amp;$C640&amp;"'!"&amp;"$"&amp;$D640&amp;$AH$1&amp;"")</f>
        <v>0</v>
      </c>
      <c r="AI640" s="288" t="s">
        <v>1</v>
      </c>
      <c r="AJ640" s="288" t="s">
        <v>1</v>
      </c>
      <c r="AK640" s="286" t="s">
        <v>1</v>
      </c>
      <c r="AL640" s="285">
        <v>11.5</v>
      </c>
      <c r="AM640" s="289">
        <v>70.599999999999994</v>
      </c>
      <c r="AN640" s="285" cm="1">
        <f t="array" aca="1" ref="AN640" ca="1">INDIRECT("'"&amp;$C640&amp;"'!"&amp;"$"&amp;$D640&amp;$AL$1&amp;"")</f>
        <v>3.8</v>
      </c>
      <c r="AO640" s="288">
        <v>0.96</v>
      </c>
      <c r="AP640" s="286">
        <v>1.2</v>
      </c>
      <c r="AQ640" s="287" cm="1">
        <f t="array" aca="1" ref="AQ640" ca="1">INDIRECT("'"&amp;$C640&amp;"'!"&amp;"$"&amp;$D640&amp;$AQ$1&amp;"")</f>
        <v>0</v>
      </c>
      <c r="AR640" s="288" t="s">
        <v>1</v>
      </c>
      <c r="AS640" s="286" t="s">
        <v>1</v>
      </c>
      <c r="AT640" s="285">
        <v>13.98</v>
      </c>
      <c r="AU640" s="289">
        <v>70.5</v>
      </c>
      <c r="AV640" s="288" cm="1">
        <f t="array" aca="1" ref="AV640" ca="1">INDIRECT("'"&amp;$C640&amp;"'!"&amp;"$"&amp;$D640&amp;$AV$1&amp;"")</f>
        <v>0</v>
      </c>
      <c r="AW640" s="287" t="s">
        <v>1</v>
      </c>
      <c r="AX640" s="288" t="s">
        <v>1</v>
      </c>
      <c r="AY640" s="286" t="s">
        <v>1</v>
      </c>
      <c r="AZ640" s="288" cm="1">
        <f t="array" aca="1" ref="AZ640" ca="1">INDIRECT("'"&amp;$C640&amp;"'!"&amp;"$"&amp;$D640&amp;$AZ$1&amp;"")</f>
        <v>7</v>
      </c>
      <c r="BA640" s="287" t="s">
        <v>1</v>
      </c>
      <c r="BB640" s="288">
        <v>0.92</v>
      </c>
      <c r="BC640" s="286">
        <v>3.3</v>
      </c>
      <c r="BD640" s="290">
        <v>14.09</v>
      </c>
      <c r="BE640" s="289">
        <v>71.33</v>
      </c>
      <c r="BF640" s="290" cm="1">
        <f t="array" aca="1" ref="BF640" ca="1">INDIRECT("'"&amp;$C640&amp;"'!"&amp;"$"&amp;$D640&amp;$BF$1&amp;"")</f>
        <v>14.28</v>
      </c>
      <c r="BG640" s="288">
        <v>0.99</v>
      </c>
      <c r="BH640" s="286">
        <v>2.2999999999999998</v>
      </c>
      <c r="BI640" s="525">
        <v>67.7</v>
      </c>
      <c r="BJ640" s="285" cm="1">
        <f t="array" aca="1" ref="BJ640" ca="1">INDIRECT("'"&amp;$C640&amp;"'!"&amp;"$"&amp;$D640&amp;$BI$1&amp;"")</f>
        <v>0</v>
      </c>
      <c r="BK640" s="287" t="s">
        <v>1</v>
      </c>
      <c r="BL640" s="286" t="s">
        <v>1</v>
      </c>
      <c r="BM640" s="290" cm="1">
        <f t="array" aca="1" ref="BM640" ca="1">INDIRECT("'"&amp;$C640&amp;"'!"&amp;"$"&amp;$D640&amp;$BM$1&amp;"")</f>
        <v>1.18</v>
      </c>
      <c r="BN640" s="288"/>
      <c r="BO640" s="288">
        <v>0.99</v>
      </c>
      <c r="BP640" s="286">
        <v>0.17</v>
      </c>
      <c r="BQ640" s="291" cm="1">
        <f t="array" aca="1" ref="BQ640" ca="1">INDIRECT("'"&amp;$C640&amp;"'!"&amp;"$"&amp;$D640&amp;$BQ$1&amp;"")</f>
        <v>0.84</v>
      </c>
      <c r="BR640" s="288"/>
      <c r="BS640" s="288">
        <v>0.96</v>
      </c>
      <c r="BT640" s="286">
        <v>0.24</v>
      </c>
      <c r="BU640" s="291" cm="1">
        <f t="array" aca="1" ref="BU640" ca="1">INDIRECT("'"&amp;$C640&amp;"'!"&amp;"$"&amp;$D640&amp;74&amp;"")</f>
        <v>0</v>
      </c>
      <c r="BV640" s="288"/>
      <c r="BW640" s="288" t="s">
        <v>1</v>
      </c>
      <c r="BX640" s="286" t="s">
        <v>1</v>
      </c>
    </row>
    <row r="641" spans="1:76">
      <c r="A641" s="459">
        <v>45864</v>
      </c>
      <c r="B641" s="345">
        <v>0.45833333333333398</v>
      </c>
      <c r="C641" s="305">
        <v>26</v>
      </c>
      <c r="D641" s="306" t="s">
        <v>153</v>
      </c>
      <c r="E641" s="278">
        <v>14.2</v>
      </c>
      <c r="F641" s="279">
        <v>69.290000000000006</v>
      </c>
      <c r="G641" s="280" t="str" cm="1">
        <f t="array" aca="1" ref="G641" ca="1">INDIRECT("'"&amp;$C641&amp;"'!"&amp;"$"&amp;$D641&amp;$E$1&amp;"")</f>
        <v>CMS</v>
      </c>
      <c r="H641" s="281" t="s">
        <v>1</v>
      </c>
      <c r="I641" s="279" t="s">
        <v>1</v>
      </c>
      <c r="J641" s="280" cm="1">
        <f t="array" aca="1" ref="J641" ca="1">INDIRECT("'"&amp;$C641&amp;"'!"&amp;"$"&amp;$D641&amp;$J$1&amp;"")</f>
        <v>6.6</v>
      </c>
      <c r="K641" s="281"/>
      <c r="L641" s="281">
        <v>0.93</v>
      </c>
      <c r="M641" s="282">
        <v>2.61</v>
      </c>
      <c r="N641" s="278" cm="1">
        <f t="array" aca="1" ref="N641" ca="1">INDIRECT("'"&amp;$C641&amp;"'!"&amp;"$"&amp;$D641&amp;$N$1&amp;"")</f>
        <v>6.6</v>
      </c>
      <c r="O641" s="281"/>
      <c r="P641" s="281">
        <v>0.93</v>
      </c>
      <c r="Q641" s="279">
        <v>2.61</v>
      </c>
      <c r="R641" s="468" cm="1">
        <f t="array" aca="1" ref="R641" ca="1">INDIRECT("'"&amp;$C641&amp;"'!"&amp;"$"&amp;$D641&amp;$R$1&amp;"")</f>
        <v>6.6</v>
      </c>
      <c r="S641" s="281"/>
      <c r="T641" s="281">
        <v>0.93</v>
      </c>
      <c r="U641" s="279">
        <v>2.61</v>
      </c>
      <c r="V641" s="280" cm="1">
        <f t="array" aca="1" ref="V641" ca="1">INDIRECT("'"&amp;$C641&amp;"'!"&amp;"$"&amp;$D641&amp;$V$1&amp;"")</f>
        <v>2</v>
      </c>
      <c r="W641" s="281">
        <f>3.8*3.46</f>
        <v>13.148</v>
      </c>
      <c r="X641" s="281">
        <v>0.96</v>
      </c>
      <c r="Y641" s="282">
        <v>1.51</v>
      </c>
      <c r="Z641" s="278" t="str" cm="1">
        <f t="array" aca="1" ref="Z641" ca="1">INDIRECT("'"&amp;$C641&amp;"'!"&amp;"$"&amp;$D641&amp;$Z$1&amp;"")</f>
        <v>CMS</v>
      </c>
      <c r="AA641" s="281" t="s">
        <v>1</v>
      </c>
      <c r="AB641" s="281" t="s">
        <v>1</v>
      </c>
      <c r="AC641" s="279" t="s">
        <v>1</v>
      </c>
      <c r="AD641" s="280" t="str" cm="1">
        <f t="array" aca="1" ref="AD641" ca="1">INDIRECT("'"&amp;$C641&amp;"'!"&amp;"$"&amp;$D641&amp;$AD$1&amp;"")</f>
        <v>CMS</v>
      </c>
      <c r="AE641" s="281" t="s">
        <v>1</v>
      </c>
      <c r="AF641" s="281" t="s">
        <v>1</v>
      </c>
      <c r="AG641" s="282" t="s">
        <v>1</v>
      </c>
      <c r="AH641" s="278" cm="1">
        <f t="array" aca="1" ref="AH641" ca="1">INDIRECT("'"&amp;$C641&amp;"'!"&amp;"$"&amp;$D641&amp;$AH$1&amp;"")</f>
        <v>0</v>
      </c>
      <c r="AI641" s="281" t="s">
        <v>1</v>
      </c>
      <c r="AJ641" s="281" t="s">
        <v>1</v>
      </c>
      <c r="AK641" s="279" t="s">
        <v>1</v>
      </c>
      <c r="AL641" s="278">
        <v>11.6</v>
      </c>
      <c r="AM641" s="282">
        <v>70.7</v>
      </c>
      <c r="AN641" s="278" cm="1">
        <f t="array" aca="1" ref="AN641" ca="1">INDIRECT("'"&amp;$C641&amp;"'!"&amp;"$"&amp;$D641&amp;$AL$1&amp;"")</f>
        <v>3.8</v>
      </c>
      <c r="AO641" s="281">
        <v>0.97</v>
      </c>
      <c r="AP641" s="279">
        <v>0.84</v>
      </c>
      <c r="AQ641" s="280" cm="1">
        <f t="array" aca="1" ref="AQ641" ca="1">INDIRECT("'"&amp;$C641&amp;"'!"&amp;"$"&amp;$D641&amp;$AQ$1&amp;"")</f>
        <v>0</v>
      </c>
      <c r="AR641" s="281" t="s">
        <v>1</v>
      </c>
      <c r="AS641" s="279" t="s">
        <v>1</v>
      </c>
      <c r="AT641" s="278">
        <v>13.98</v>
      </c>
      <c r="AU641" s="282">
        <v>70.2</v>
      </c>
      <c r="AV641" s="281" cm="1">
        <f t="array" aca="1" ref="AV641" ca="1">INDIRECT("'"&amp;$C641&amp;"'!"&amp;"$"&amp;$D641&amp;$AV$1&amp;"")</f>
        <v>0</v>
      </c>
      <c r="AW641" s="280" t="s">
        <v>1</v>
      </c>
      <c r="AX641" s="281" t="s">
        <v>1</v>
      </c>
      <c r="AY641" s="279" t="s">
        <v>1</v>
      </c>
      <c r="AZ641" s="281" cm="1">
        <f t="array" aca="1" ref="AZ641" ca="1">INDIRECT("'"&amp;$C641&amp;"'!"&amp;"$"&amp;$D641&amp;$AZ$1&amp;"")</f>
        <v>7</v>
      </c>
      <c r="BA641" s="280" t="s">
        <v>1</v>
      </c>
      <c r="BB641" s="281">
        <v>0.92</v>
      </c>
      <c r="BC641" s="279">
        <v>3.3</v>
      </c>
      <c r="BD641" s="283">
        <v>14.19</v>
      </c>
      <c r="BE641" s="282">
        <v>71.06</v>
      </c>
      <c r="BF641" s="283" cm="1">
        <f t="array" aca="1" ref="BF641" ca="1">INDIRECT("'"&amp;$C641&amp;"'!"&amp;"$"&amp;$D641&amp;$BF$1&amp;"")</f>
        <v>14.22</v>
      </c>
      <c r="BG641" s="281">
        <v>0.99</v>
      </c>
      <c r="BH641" s="279">
        <v>2.2999999999999998</v>
      </c>
      <c r="BI641" s="524">
        <v>67.900000000000006</v>
      </c>
      <c r="BJ641" s="278" cm="1">
        <f t="array" aca="1" ref="BJ641" ca="1">INDIRECT("'"&amp;$C641&amp;"'!"&amp;"$"&amp;$D641&amp;$BI$1&amp;"")</f>
        <v>0</v>
      </c>
      <c r="BK641" s="280" t="s">
        <v>1</v>
      </c>
      <c r="BL641" s="279" t="s">
        <v>1</v>
      </c>
      <c r="BM641" s="283" cm="1">
        <f t="array" aca="1" ref="BM641" ca="1">INDIRECT("'"&amp;$C641&amp;"'!"&amp;"$"&amp;$D641&amp;$BM$1&amp;"")</f>
        <v>1.23</v>
      </c>
      <c r="BN641" s="281"/>
      <c r="BO641" s="281">
        <v>0.99</v>
      </c>
      <c r="BP641" s="279">
        <v>0.18</v>
      </c>
      <c r="BQ641" s="284" cm="1">
        <f t="array" aca="1" ref="BQ641" ca="1">INDIRECT("'"&amp;$C641&amp;"'!"&amp;"$"&amp;$D641&amp;$BQ$1&amp;"")</f>
        <v>0.86</v>
      </c>
      <c r="BR641" s="281"/>
      <c r="BS641" s="281">
        <v>0.93</v>
      </c>
      <c r="BT641" s="279">
        <v>0.25</v>
      </c>
      <c r="BU641" s="284" cm="1">
        <f t="array" aca="1" ref="BU641" ca="1">INDIRECT("'"&amp;$C641&amp;"'!"&amp;"$"&amp;$D641&amp;74&amp;"")</f>
        <v>0</v>
      </c>
      <c r="BV641" s="281"/>
      <c r="BW641" s="281" t="s">
        <v>1</v>
      </c>
      <c r="BX641" s="279" t="s">
        <v>1</v>
      </c>
    </row>
    <row r="642" spans="1:76">
      <c r="A642" s="459">
        <v>45864</v>
      </c>
      <c r="B642" s="345">
        <v>0.5</v>
      </c>
      <c r="C642" s="305">
        <v>26</v>
      </c>
      <c r="D642" s="306" t="s">
        <v>154</v>
      </c>
      <c r="E642" s="285">
        <v>14.2</v>
      </c>
      <c r="F642" s="286">
        <v>69.13</v>
      </c>
      <c r="G642" s="287" t="str" cm="1">
        <f t="array" aca="1" ref="G642" ca="1">INDIRECT("'"&amp;$C642&amp;"'!"&amp;"$"&amp;$D642&amp;$E$1&amp;"")</f>
        <v>CMS</v>
      </c>
      <c r="H642" s="288" t="s">
        <v>1</v>
      </c>
      <c r="I642" s="286" t="s">
        <v>1</v>
      </c>
      <c r="J642" s="287" cm="1">
        <f t="array" aca="1" ref="J642" ca="1">INDIRECT("'"&amp;$C642&amp;"'!"&amp;"$"&amp;$D642&amp;$J$1&amp;"")</f>
        <v>6.7</v>
      </c>
      <c r="K642" s="288"/>
      <c r="L642" s="288">
        <v>0.94</v>
      </c>
      <c r="M642" s="289">
        <v>2.4900000000000002</v>
      </c>
      <c r="N642" s="285" cm="1">
        <f t="array" aca="1" ref="N642" ca="1">INDIRECT("'"&amp;$C642&amp;"'!"&amp;"$"&amp;$D642&amp;$N$1&amp;"")</f>
        <v>6.7</v>
      </c>
      <c r="O642" s="288"/>
      <c r="P642" s="288">
        <v>0.94</v>
      </c>
      <c r="Q642" s="289">
        <v>2.4900000000000002</v>
      </c>
      <c r="R642" s="285" cm="1">
        <f t="array" aca="1" ref="R642" ca="1">INDIRECT("'"&amp;$C642&amp;"'!"&amp;"$"&amp;$D642&amp;$R$1&amp;"")</f>
        <v>6.7</v>
      </c>
      <c r="S642" s="288"/>
      <c r="T642" s="288">
        <v>0.94</v>
      </c>
      <c r="U642" s="286">
        <v>2.4900000000000002</v>
      </c>
      <c r="V642" s="287" cm="1">
        <f t="array" aca="1" ref="V642" ca="1">INDIRECT("'"&amp;$C642&amp;"'!"&amp;"$"&amp;$D642&amp;$V$1&amp;"")</f>
        <v>2.8</v>
      </c>
      <c r="W642" s="288">
        <f>3.8*3.46</f>
        <v>13.148</v>
      </c>
      <c r="X642" s="288">
        <v>0.97</v>
      </c>
      <c r="Y642" s="289">
        <v>0.62</v>
      </c>
      <c r="Z642" s="285" t="str" cm="1">
        <f t="array" aca="1" ref="Z642" ca="1">INDIRECT("'"&amp;$C642&amp;"'!"&amp;"$"&amp;$D642&amp;$Z$1&amp;"")</f>
        <v>CMS</v>
      </c>
      <c r="AA642" s="288" t="s">
        <v>1</v>
      </c>
      <c r="AB642" s="288" t="s">
        <v>1</v>
      </c>
      <c r="AC642" s="286" t="s">
        <v>1</v>
      </c>
      <c r="AD642" s="287" t="str" cm="1">
        <f t="array" aca="1" ref="AD642" ca="1">INDIRECT("'"&amp;$C642&amp;"'!"&amp;"$"&amp;$D642&amp;$AD$1&amp;"")</f>
        <v>CMS</v>
      </c>
      <c r="AE642" s="288" t="s">
        <v>1</v>
      </c>
      <c r="AF642" s="288" t="s">
        <v>1</v>
      </c>
      <c r="AG642" s="286" t="s">
        <v>1</v>
      </c>
      <c r="AH642" s="285" cm="1">
        <f t="array" aca="1" ref="AH642" ca="1">INDIRECT("'"&amp;$C642&amp;"'!"&amp;"$"&amp;$D642&amp;$AH$1&amp;"")</f>
        <v>0</v>
      </c>
      <c r="AI642" s="288" t="s">
        <v>1</v>
      </c>
      <c r="AJ642" s="288" t="s">
        <v>1</v>
      </c>
      <c r="AK642" s="286" t="s">
        <v>1</v>
      </c>
      <c r="AL642" s="285">
        <v>11.6</v>
      </c>
      <c r="AM642" s="289">
        <v>70.8</v>
      </c>
      <c r="AN642" s="285" cm="1">
        <f t="array" aca="1" ref="AN642" ca="1">INDIRECT("'"&amp;$C642&amp;"'!"&amp;"$"&amp;$D642&amp;$AL$1&amp;"")</f>
        <v>3.2</v>
      </c>
      <c r="AO642" s="288">
        <v>0.97</v>
      </c>
      <c r="AP642" s="286">
        <v>0.73</v>
      </c>
      <c r="AQ642" s="287" cm="1">
        <f t="array" aca="1" ref="AQ642" ca="1">INDIRECT("'"&amp;$C642&amp;"'!"&amp;"$"&amp;$D642&amp;$AQ$1&amp;"")</f>
        <v>0</v>
      </c>
      <c r="AR642" s="288" t="s">
        <v>1</v>
      </c>
      <c r="AS642" s="286" t="s">
        <v>1</v>
      </c>
      <c r="AT642" s="285">
        <v>13.98</v>
      </c>
      <c r="AU642" s="289">
        <v>70.5</v>
      </c>
      <c r="AV642" s="288" cm="1">
        <f t="array" aca="1" ref="AV642" ca="1">INDIRECT("'"&amp;$C642&amp;"'!"&amp;"$"&amp;$D642&amp;$AV$1&amp;"")</f>
        <v>0</v>
      </c>
      <c r="AW642" s="287" t="s">
        <v>1</v>
      </c>
      <c r="AX642" s="288" t="s">
        <v>1</v>
      </c>
      <c r="AY642" s="286" t="s">
        <v>1</v>
      </c>
      <c r="AZ642" s="288" cm="1">
        <f t="array" aca="1" ref="AZ642" ca="1">INDIRECT("'"&amp;$C642&amp;"'!"&amp;"$"&amp;$D642&amp;$AZ$1&amp;"")</f>
        <v>7</v>
      </c>
      <c r="BA642" s="287" t="s">
        <v>1</v>
      </c>
      <c r="BB642" s="288">
        <v>0.92</v>
      </c>
      <c r="BC642" s="286">
        <v>3.3</v>
      </c>
      <c r="BD642" s="290">
        <v>14.12</v>
      </c>
      <c r="BE642" s="289">
        <v>71.430000000000007</v>
      </c>
      <c r="BF642" s="290" cm="1">
        <f t="array" aca="1" ref="BF642" ca="1">INDIRECT("'"&amp;$C642&amp;"'!"&amp;"$"&amp;$D642&amp;$BF$1&amp;"")</f>
        <v>14.29</v>
      </c>
      <c r="BG642" s="288">
        <v>0.99</v>
      </c>
      <c r="BH642" s="286">
        <v>2.2999999999999998</v>
      </c>
      <c r="BI642" s="525">
        <v>68.3</v>
      </c>
      <c r="BJ642" s="285" cm="1">
        <f t="array" aca="1" ref="BJ642" ca="1">INDIRECT("'"&amp;$C642&amp;"'!"&amp;"$"&amp;$D642&amp;$BI$1&amp;"")</f>
        <v>0.7</v>
      </c>
      <c r="BK642" s="287">
        <v>0.96</v>
      </c>
      <c r="BL642" s="286">
        <v>0.2</v>
      </c>
      <c r="BM642" s="290" cm="1">
        <f t="array" aca="1" ref="BM642" ca="1">INDIRECT("'"&amp;$C642&amp;"'!"&amp;"$"&amp;$D642&amp;$BM$1&amp;"")</f>
        <v>1.24</v>
      </c>
      <c r="BN642" s="288"/>
      <c r="BO642" s="288">
        <v>0.99</v>
      </c>
      <c r="BP642" s="286">
        <v>0.18</v>
      </c>
      <c r="BQ642" s="291" cm="1">
        <f t="array" aca="1" ref="BQ642" ca="1">INDIRECT("'"&amp;$C642&amp;"'!"&amp;"$"&amp;$D642&amp;$BQ$1&amp;"")</f>
        <v>0.86</v>
      </c>
      <c r="BR642" s="288"/>
      <c r="BS642" s="288">
        <v>0.96</v>
      </c>
      <c r="BT642" s="286">
        <v>0.24</v>
      </c>
      <c r="BU642" s="291" cm="1">
        <f t="array" aca="1" ref="BU642" ca="1">INDIRECT("'"&amp;$C642&amp;"'!"&amp;"$"&amp;$D642&amp;74&amp;"")</f>
        <v>0</v>
      </c>
      <c r="BV642" s="288"/>
      <c r="BW642" s="288" t="s">
        <v>1</v>
      </c>
      <c r="BX642" s="286" t="s">
        <v>1</v>
      </c>
    </row>
    <row r="643" spans="1:76">
      <c r="A643" s="459">
        <v>45864</v>
      </c>
      <c r="B643" s="345">
        <v>0.54166666666666696</v>
      </c>
      <c r="C643" s="305">
        <v>26</v>
      </c>
      <c r="D643" s="306" t="s">
        <v>155</v>
      </c>
      <c r="E643" s="278">
        <v>14.2</v>
      </c>
      <c r="F643" s="279">
        <v>69.150000000000006</v>
      </c>
      <c r="G643" s="280" t="str" cm="1">
        <f t="array" aca="1" ref="G643" ca="1">INDIRECT("'"&amp;$C643&amp;"'!"&amp;"$"&amp;$D643&amp;$E$1&amp;"")</f>
        <v>CMS</v>
      </c>
      <c r="H643" s="281" t="s">
        <v>1</v>
      </c>
      <c r="I643" s="279" t="s">
        <v>1</v>
      </c>
      <c r="J643" s="280" cm="1">
        <f t="array" aca="1" ref="J643" ca="1">INDIRECT("'"&amp;$C643&amp;"'!"&amp;"$"&amp;$D643&amp;$J$1&amp;"")</f>
        <v>6.8</v>
      </c>
      <c r="K643" s="281"/>
      <c r="L643" s="281">
        <v>0.93</v>
      </c>
      <c r="M643" s="279">
        <v>2.5099999999999998</v>
      </c>
      <c r="N643" s="278" cm="1">
        <f t="array" aca="1" ref="N643" ca="1">INDIRECT("'"&amp;$C643&amp;"'!"&amp;"$"&amp;$D643&amp;$N$1&amp;"")</f>
        <v>6.8</v>
      </c>
      <c r="O643" s="281"/>
      <c r="P643" s="281">
        <v>0.93</v>
      </c>
      <c r="Q643" s="279">
        <v>2.5099999999999998</v>
      </c>
      <c r="R643" s="468" cm="1">
        <f t="array" aca="1" ref="R643" ca="1">INDIRECT("'"&amp;$C643&amp;"'!"&amp;"$"&amp;$D643&amp;$R$1&amp;"")</f>
        <v>6.8</v>
      </c>
      <c r="S643" s="281"/>
      <c r="T643" s="281">
        <v>0.93</v>
      </c>
      <c r="U643" s="279">
        <v>2.5099999999999998</v>
      </c>
      <c r="V643" s="280" cm="1">
        <f t="array" aca="1" ref="V643" ca="1">INDIRECT("'"&amp;$C643&amp;"'!"&amp;"$"&amp;$D643&amp;$V$1&amp;"")</f>
        <v>2.8</v>
      </c>
      <c r="W643" s="281">
        <f>3.8*3.44</f>
        <v>13.071999999999999</v>
      </c>
      <c r="X643" s="281">
        <v>0.96</v>
      </c>
      <c r="Y643" s="282">
        <v>0.71</v>
      </c>
      <c r="Z643" s="278" t="str" cm="1">
        <f t="array" aca="1" ref="Z643" ca="1">INDIRECT("'"&amp;$C643&amp;"'!"&amp;"$"&amp;$D643&amp;$Z$1&amp;"")</f>
        <v>CMS</v>
      </c>
      <c r="AA643" s="281" t="s">
        <v>1</v>
      </c>
      <c r="AB643" s="281" t="s">
        <v>1</v>
      </c>
      <c r="AC643" s="279" t="s">
        <v>1</v>
      </c>
      <c r="AD643" s="280" t="str" cm="1">
        <f t="array" aca="1" ref="AD643" ca="1">INDIRECT("'"&amp;$C643&amp;"'!"&amp;"$"&amp;$D643&amp;$AD$1&amp;"")</f>
        <v>CMS</v>
      </c>
      <c r="AE643" s="281" t="s">
        <v>1</v>
      </c>
      <c r="AF643" s="281" t="s">
        <v>1</v>
      </c>
      <c r="AG643" s="279" t="s">
        <v>1</v>
      </c>
      <c r="AH643" s="278" cm="1">
        <f t="array" aca="1" ref="AH643" ca="1">INDIRECT("'"&amp;$C643&amp;"'!"&amp;"$"&amp;$D643&amp;$AH$1&amp;"")</f>
        <v>0</v>
      </c>
      <c r="AI643" s="281" t="s">
        <v>1</v>
      </c>
      <c r="AJ643" s="281" t="s">
        <v>1</v>
      </c>
      <c r="AK643" s="279" t="s">
        <v>1</v>
      </c>
      <c r="AL643" s="278">
        <v>11.6</v>
      </c>
      <c r="AM643" s="282">
        <v>70.8</v>
      </c>
      <c r="AN643" s="278" cm="1">
        <f t="array" aca="1" ref="AN643" ca="1">INDIRECT("'"&amp;$C643&amp;"'!"&amp;"$"&amp;$D643&amp;$AL$1&amp;"")</f>
        <v>3.8</v>
      </c>
      <c r="AO643" s="281">
        <v>0.98</v>
      </c>
      <c r="AP643" s="279">
        <v>0.83</v>
      </c>
      <c r="AQ643" s="280" cm="1">
        <f t="array" aca="1" ref="AQ643" ca="1">INDIRECT("'"&amp;$C643&amp;"'!"&amp;"$"&amp;$D643&amp;$AQ$1&amp;"")</f>
        <v>0</v>
      </c>
      <c r="AR643" s="281" t="s">
        <v>1</v>
      </c>
      <c r="AS643" s="279" t="s">
        <v>1</v>
      </c>
      <c r="AT643" s="278">
        <v>13.98</v>
      </c>
      <c r="AU643" s="282">
        <v>70.5</v>
      </c>
      <c r="AV643" s="281" cm="1">
        <f t="array" aca="1" ref="AV643" ca="1">INDIRECT("'"&amp;$C643&amp;"'!"&amp;"$"&amp;$D643&amp;$AV$1&amp;"")</f>
        <v>0</v>
      </c>
      <c r="AW643" s="280">
        <v>13.7</v>
      </c>
      <c r="AX643" s="281" t="s">
        <v>1</v>
      </c>
      <c r="AY643" s="279" t="s">
        <v>1</v>
      </c>
      <c r="AZ643" s="281" cm="1">
        <f t="array" aca="1" ref="AZ643" ca="1">INDIRECT("'"&amp;$C643&amp;"'!"&amp;"$"&amp;$D643&amp;$AZ$1&amp;"")</f>
        <v>7</v>
      </c>
      <c r="BA643" s="280">
        <v>13.7</v>
      </c>
      <c r="BB643" s="281">
        <v>0.93</v>
      </c>
      <c r="BC643" s="279">
        <v>3.1</v>
      </c>
      <c r="BD643" s="283">
        <v>14.11</v>
      </c>
      <c r="BE643" s="282">
        <v>71.36</v>
      </c>
      <c r="BF643" s="283" cm="1">
        <f t="array" aca="1" ref="BF643" ca="1">INDIRECT("'"&amp;$C643&amp;"'!"&amp;"$"&amp;$D643&amp;$BF$1&amp;"")</f>
        <v>14.27</v>
      </c>
      <c r="BG643" s="281">
        <v>0.99</v>
      </c>
      <c r="BH643" s="279">
        <v>2.2999999999999998</v>
      </c>
      <c r="BI643" s="524">
        <v>68</v>
      </c>
      <c r="BJ643" s="278" cm="1">
        <f t="array" aca="1" ref="BJ643" ca="1">INDIRECT("'"&amp;$C643&amp;"'!"&amp;"$"&amp;$D643&amp;$BI$1&amp;"")</f>
        <v>1.5</v>
      </c>
      <c r="BK643" s="280">
        <v>0.96</v>
      </c>
      <c r="BL643" s="279">
        <v>0.43</v>
      </c>
      <c r="BM643" s="283" cm="1">
        <f t="array" aca="1" ref="BM643" ca="1">INDIRECT("'"&amp;$C643&amp;"'!"&amp;"$"&amp;$D643&amp;$BM$1&amp;"")</f>
        <v>1.23</v>
      </c>
      <c r="BN643" s="281"/>
      <c r="BO643" s="281">
        <v>0.99</v>
      </c>
      <c r="BP643" s="279">
        <v>0.17</v>
      </c>
      <c r="BQ643" s="284" cm="1">
        <f t="array" aca="1" ref="BQ643" ca="1">INDIRECT("'"&amp;$C643&amp;"'!"&amp;"$"&amp;$D643&amp;$BQ$1&amp;"")</f>
        <v>0.87</v>
      </c>
      <c r="BR643" s="281"/>
      <c r="BS643" s="281">
        <v>0.96</v>
      </c>
      <c r="BT643" s="279">
        <v>0.24</v>
      </c>
      <c r="BU643" s="284" cm="1">
        <f t="array" aca="1" ref="BU643" ca="1">INDIRECT("'"&amp;$C643&amp;"'!"&amp;"$"&amp;$D643&amp;74&amp;"")</f>
        <v>0</v>
      </c>
      <c r="BV643" s="281"/>
      <c r="BW643" s="281" t="s">
        <v>1</v>
      </c>
      <c r="BX643" s="279" t="s">
        <v>1</v>
      </c>
    </row>
    <row r="644" spans="1:76">
      <c r="A644" s="459">
        <v>45864</v>
      </c>
      <c r="B644" s="345">
        <v>0.58333333333333404</v>
      </c>
      <c r="C644" s="305">
        <v>26</v>
      </c>
      <c r="D644" s="306" t="s">
        <v>156</v>
      </c>
      <c r="E644" s="285">
        <v>14.1</v>
      </c>
      <c r="F644" s="286">
        <v>69.09</v>
      </c>
      <c r="G644" s="287" t="str" cm="1">
        <f t="array" aca="1" ref="G644" ca="1">INDIRECT("'"&amp;$C644&amp;"'!"&amp;"$"&amp;$D644&amp;$E$1&amp;"")</f>
        <v>CMS</v>
      </c>
      <c r="H644" s="288" t="s">
        <v>1</v>
      </c>
      <c r="I644" s="286" t="s">
        <v>1</v>
      </c>
      <c r="J644" s="287" cm="1">
        <f t="array" aca="1" ref="J644" ca="1">INDIRECT("'"&amp;$C644&amp;"'!"&amp;"$"&amp;$D644&amp;$J$1&amp;"")</f>
        <v>6.7</v>
      </c>
      <c r="K644" s="288"/>
      <c r="L644" s="288">
        <v>0.93</v>
      </c>
      <c r="M644" s="289">
        <v>2.6</v>
      </c>
      <c r="N644" s="285" cm="1">
        <f t="array" aca="1" ref="N644" ca="1">INDIRECT("'"&amp;$C644&amp;"'!"&amp;"$"&amp;$D644&amp;$N$1&amp;"")</f>
        <v>6.7</v>
      </c>
      <c r="O644" s="288"/>
      <c r="P644" s="288">
        <v>0.93</v>
      </c>
      <c r="Q644" s="286">
        <v>2.5</v>
      </c>
      <c r="R644" s="285" cm="1">
        <f t="array" aca="1" ref="R644" ca="1">INDIRECT("'"&amp;$C644&amp;"'!"&amp;"$"&amp;$D644&amp;$R$1&amp;"")</f>
        <v>6.7</v>
      </c>
      <c r="S644" s="288"/>
      <c r="T644" s="288">
        <v>0.93</v>
      </c>
      <c r="U644" s="286">
        <v>2.64</v>
      </c>
      <c r="V644" s="287" cm="1">
        <f t="array" aca="1" ref="V644" ca="1">INDIRECT("'"&amp;$C644&amp;"'!"&amp;"$"&amp;$D644&amp;$V$1&amp;"")</f>
        <v>2.8</v>
      </c>
      <c r="W644" s="288">
        <f>3.44*3.8</f>
        <v>13.071999999999999</v>
      </c>
      <c r="X644" s="288">
        <v>0.95</v>
      </c>
      <c r="Y644" s="289">
        <v>0.82</v>
      </c>
      <c r="Z644" s="285" t="str" cm="1">
        <f t="array" aca="1" ref="Z644" ca="1">INDIRECT("'"&amp;$C644&amp;"'!"&amp;"$"&amp;$D644&amp;$Z$1&amp;"")</f>
        <v>CMS</v>
      </c>
      <c r="AA644" s="288" t="s">
        <v>1</v>
      </c>
      <c r="AB644" s="288" t="s">
        <v>1</v>
      </c>
      <c r="AC644" s="286" t="s">
        <v>1</v>
      </c>
      <c r="AD644" s="287" t="str" cm="1">
        <f t="array" aca="1" ref="AD644" ca="1">INDIRECT("'"&amp;$C644&amp;"'!"&amp;"$"&amp;$D644&amp;$AD$1&amp;"")</f>
        <v>CMS</v>
      </c>
      <c r="AE644" s="288" t="s">
        <v>1</v>
      </c>
      <c r="AF644" s="288" t="s">
        <v>1</v>
      </c>
      <c r="AG644" s="289" t="s">
        <v>1</v>
      </c>
      <c r="AH644" s="285" cm="1">
        <f t="array" aca="1" ref="AH644" ca="1">INDIRECT("'"&amp;$C644&amp;"'!"&amp;"$"&amp;$D644&amp;$AH$1&amp;"")</f>
        <v>0</v>
      </c>
      <c r="AI644" s="288" t="s">
        <v>1</v>
      </c>
      <c r="AJ644" s="288" t="s">
        <v>1</v>
      </c>
      <c r="AK644" s="286" t="s">
        <v>1</v>
      </c>
      <c r="AL644" s="285">
        <v>11.6</v>
      </c>
      <c r="AM644" s="289">
        <v>70.7</v>
      </c>
      <c r="AN644" s="285" cm="1">
        <f t="array" aca="1" ref="AN644" ca="1">INDIRECT("'"&amp;$C644&amp;"'!"&amp;"$"&amp;$D644&amp;$AL$1&amp;"")</f>
        <v>3.8</v>
      </c>
      <c r="AO644" s="288">
        <v>0.97</v>
      </c>
      <c r="AP644" s="286">
        <v>0.9</v>
      </c>
      <c r="AQ644" s="287" cm="1">
        <f t="array" aca="1" ref="AQ644" ca="1">INDIRECT("'"&amp;$C644&amp;"'!"&amp;"$"&amp;$D644&amp;$AQ$1&amp;"")</f>
        <v>0</v>
      </c>
      <c r="AR644" s="288" t="s">
        <v>1</v>
      </c>
      <c r="AS644" s="286" t="s">
        <v>1</v>
      </c>
      <c r="AT644" s="285">
        <v>13.98</v>
      </c>
      <c r="AU644" s="289">
        <v>70.5</v>
      </c>
      <c r="AV644" s="288" cm="1">
        <f t="array" aca="1" ref="AV644" ca="1">INDIRECT("'"&amp;$C644&amp;"'!"&amp;"$"&amp;$D644&amp;$AV$1&amp;"")</f>
        <v>0</v>
      </c>
      <c r="AW644" s="287">
        <v>13.7</v>
      </c>
      <c r="AX644" s="288" t="s">
        <v>1</v>
      </c>
      <c r="AY644" s="286" t="s">
        <v>1</v>
      </c>
      <c r="AZ644" s="288" cm="1">
        <f t="array" aca="1" ref="AZ644" ca="1">INDIRECT("'"&amp;$C644&amp;"'!"&amp;"$"&amp;$D644&amp;$AZ$1&amp;"")</f>
        <v>7</v>
      </c>
      <c r="BA644" s="287">
        <v>13.7</v>
      </c>
      <c r="BB644" s="288">
        <v>0.91</v>
      </c>
      <c r="BC644" s="286">
        <v>3.3</v>
      </c>
      <c r="BD644" s="290">
        <v>14.14</v>
      </c>
      <c r="BE644" s="289">
        <v>71.5</v>
      </c>
      <c r="BF644" s="290" cm="1">
        <f t="array" aca="1" ref="BF644" ca="1">INDIRECT("'"&amp;$C644&amp;"'!"&amp;"$"&amp;$D644&amp;$BF$1&amp;"")</f>
        <v>14.25</v>
      </c>
      <c r="BG644" s="288">
        <v>0.99</v>
      </c>
      <c r="BH644" s="286">
        <v>2.4</v>
      </c>
      <c r="BI644" s="525">
        <v>67.7</v>
      </c>
      <c r="BJ644" s="285" cm="1">
        <f t="array" aca="1" ref="BJ644" ca="1">INDIRECT("'"&amp;$C644&amp;"'!"&amp;"$"&amp;$D644&amp;$BI$1&amp;"")</f>
        <v>1.5</v>
      </c>
      <c r="BK644" s="287">
        <v>0.96</v>
      </c>
      <c r="BL644" s="286">
        <v>0.42</v>
      </c>
      <c r="BM644" s="290" cm="1">
        <f t="array" aca="1" ref="BM644" ca="1">INDIRECT("'"&amp;$C644&amp;"'!"&amp;"$"&amp;$D644&amp;$BM$1&amp;"")</f>
        <v>1.29</v>
      </c>
      <c r="BN644" s="288"/>
      <c r="BO644" s="288">
        <v>0.99</v>
      </c>
      <c r="BP644" s="286">
        <v>0.2</v>
      </c>
      <c r="BQ644" s="291" cm="1">
        <f t="array" aca="1" ref="BQ644" ca="1">INDIRECT("'"&amp;$C644&amp;"'!"&amp;"$"&amp;$D644&amp;$BQ$1&amp;"")</f>
        <v>0.88</v>
      </c>
      <c r="BR644" s="288"/>
      <c r="BS644" s="288">
        <v>0.96</v>
      </c>
      <c r="BT644" s="286">
        <v>0.25</v>
      </c>
      <c r="BU644" s="291" cm="1">
        <f t="array" aca="1" ref="BU644" ca="1">INDIRECT("'"&amp;$C644&amp;"'!"&amp;"$"&amp;$D644&amp;74&amp;"")</f>
        <v>0</v>
      </c>
      <c r="BV644" s="288"/>
      <c r="BW644" s="288" t="s">
        <v>1</v>
      </c>
      <c r="BX644" s="286" t="s">
        <v>1</v>
      </c>
    </row>
    <row r="645" spans="1:76">
      <c r="A645" s="459">
        <v>45864</v>
      </c>
      <c r="B645" s="345">
        <v>0.625</v>
      </c>
      <c r="C645" s="305">
        <v>26</v>
      </c>
      <c r="D645" s="306" t="s">
        <v>157</v>
      </c>
      <c r="E645" s="278">
        <v>14.2</v>
      </c>
      <c r="F645" s="279">
        <v>69.040000000000006</v>
      </c>
      <c r="G645" s="280" t="str" cm="1">
        <f t="array" aca="1" ref="G645" ca="1">INDIRECT("'"&amp;$C645&amp;"'!"&amp;"$"&amp;$D645&amp;$E$1&amp;"")</f>
        <v>CMS</v>
      </c>
      <c r="H645" s="281" t="s">
        <v>1</v>
      </c>
      <c r="I645" s="279" t="s">
        <v>1</v>
      </c>
      <c r="J645" s="280" cm="1">
        <f t="array" aca="1" ref="J645" ca="1">INDIRECT("'"&amp;$C645&amp;"'!"&amp;"$"&amp;$D645&amp;$J$1&amp;"")</f>
        <v>6.4</v>
      </c>
      <c r="K645" s="281"/>
      <c r="L645" s="281">
        <v>0.96</v>
      </c>
      <c r="M645" s="282">
        <v>2.52</v>
      </c>
      <c r="N645" s="278" cm="1">
        <f t="array" aca="1" ref="N645" ca="1">INDIRECT("'"&amp;$C645&amp;"'!"&amp;"$"&amp;$D645&amp;$N$1&amp;"")</f>
        <v>6.4</v>
      </c>
      <c r="O645" s="281"/>
      <c r="P645" s="281">
        <v>0.93</v>
      </c>
      <c r="Q645" s="279">
        <v>2.52</v>
      </c>
      <c r="R645" s="468" cm="1">
        <f t="array" aca="1" ref="R645" ca="1">INDIRECT("'"&amp;$C645&amp;"'!"&amp;"$"&amp;$D645&amp;$R$1&amp;"")</f>
        <v>6.4</v>
      </c>
      <c r="S645" s="281"/>
      <c r="T645" s="281">
        <v>0.93</v>
      </c>
      <c r="U645" s="279">
        <v>2.54</v>
      </c>
      <c r="V645" s="280" cm="1">
        <f t="array" aca="1" ref="V645" ca="1">INDIRECT("'"&amp;$C645&amp;"'!"&amp;"$"&amp;$D645&amp;$V$1&amp;"")</f>
        <v>2.4</v>
      </c>
      <c r="W645" s="281">
        <f>3.47*3.8</f>
        <v>13.186</v>
      </c>
      <c r="X645" s="281">
        <v>0.95</v>
      </c>
      <c r="Y645" s="282">
        <v>0.74</v>
      </c>
      <c r="Z645" s="278" t="str" cm="1">
        <f t="array" aca="1" ref="Z645" ca="1">INDIRECT("'"&amp;$C645&amp;"'!"&amp;"$"&amp;$D645&amp;$Z$1&amp;"")</f>
        <v>CMS</v>
      </c>
      <c r="AA645" s="281" t="s">
        <v>1</v>
      </c>
      <c r="AB645" s="281" t="s">
        <v>1</v>
      </c>
      <c r="AC645" s="279" t="s">
        <v>1</v>
      </c>
      <c r="AD645" s="280" t="str" cm="1">
        <f t="array" aca="1" ref="AD645" ca="1">INDIRECT("'"&amp;$C645&amp;"'!"&amp;"$"&amp;$D645&amp;$AD$1&amp;"")</f>
        <v>CMS</v>
      </c>
      <c r="AE645" s="281" t="s">
        <v>1</v>
      </c>
      <c r="AF645" s="281" t="s">
        <v>1</v>
      </c>
      <c r="AG645" s="279" t="s">
        <v>1</v>
      </c>
      <c r="AH645" s="278" cm="1">
        <f t="array" aca="1" ref="AH645" ca="1">INDIRECT("'"&amp;$C645&amp;"'!"&amp;"$"&amp;$D645&amp;$AH$1&amp;"")</f>
        <v>0</v>
      </c>
      <c r="AI645" s="281" t="s">
        <v>1</v>
      </c>
      <c r="AJ645" s="281" t="s">
        <v>1</v>
      </c>
      <c r="AK645" s="279" t="s">
        <v>1</v>
      </c>
      <c r="AL645" s="278">
        <v>11.7</v>
      </c>
      <c r="AM645" s="282">
        <v>71</v>
      </c>
      <c r="AN645" s="278" cm="1">
        <f t="array" aca="1" ref="AN645" ca="1">INDIRECT("'"&amp;$C645&amp;"'!"&amp;"$"&amp;$D645&amp;$AL$1&amp;"")</f>
        <v>0</v>
      </c>
      <c r="AO645" s="281" t="s">
        <v>1</v>
      </c>
      <c r="AP645" s="279" t="s">
        <v>1</v>
      </c>
      <c r="AQ645" s="280" cm="1">
        <f t="array" aca="1" ref="AQ645" ca="1">INDIRECT("'"&amp;$C645&amp;"'!"&amp;"$"&amp;$D645&amp;$AQ$1&amp;"")</f>
        <v>3.5</v>
      </c>
      <c r="AR645" s="281">
        <v>0.94</v>
      </c>
      <c r="AS645" s="279">
        <v>1.2</v>
      </c>
      <c r="AT645" s="278">
        <v>13.98</v>
      </c>
      <c r="AU645" s="282">
        <v>70.5</v>
      </c>
      <c r="AV645" s="281" cm="1">
        <f t="array" aca="1" ref="AV645" ca="1">INDIRECT("'"&amp;$C645&amp;"'!"&amp;"$"&amp;$D645&amp;$AV$1&amp;"")</f>
        <v>0</v>
      </c>
      <c r="AW645" s="280">
        <v>13.7</v>
      </c>
      <c r="AX645" s="281" t="s">
        <v>1</v>
      </c>
      <c r="AY645" s="279" t="s">
        <v>1</v>
      </c>
      <c r="AZ645" s="281" cm="1">
        <f t="array" aca="1" ref="AZ645" ca="1">INDIRECT("'"&amp;$C645&amp;"'!"&amp;"$"&amp;$D645&amp;$AZ$1&amp;"")</f>
        <v>7</v>
      </c>
      <c r="BA645" s="280">
        <v>13.7</v>
      </c>
      <c r="BB645" s="281">
        <v>0.94</v>
      </c>
      <c r="BC645" s="279">
        <v>2.7</v>
      </c>
      <c r="BD645" s="283">
        <v>14.15</v>
      </c>
      <c r="BE645" s="282">
        <v>71.56</v>
      </c>
      <c r="BF645" s="283" cm="1">
        <f t="array" aca="1" ref="BF645" ca="1">INDIRECT("'"&amp;$C645&amp;"'!"&amp;"$"&amp;$D645&amp;$BF$1&amp;"")</f>
        <v>14.23</v>
      </c>
      <c r="BG645" s="281">
        <v>0.99</v>
      </c>
      <c r="BH645" s="279">
        <v>2.2999999999999998</v>
      </c>
      <c r="BI645" s="524">
        <v>67.5</v>
      </c>
      <c r="BJ645" s="278" cm="1">
        <f t="array" aca="1" ref="BJ645" ca="1">INDIRECT("'"&amp;$C645&amp;"'!"&amp;"$"&amp;$D645&amp;$BI$1&amp;"")</f>
        <v>3.2</v>
      </c>
      <c r="BK645" s="280">
        <v>0.96</v>
      </c>
      <c r="BL645" s="279">
        <v>0.93</v>
      </c>
      <c r="BM645" s="283" cm="1">
        <f t="array" aca="1" ref="BM645" ca="1">INDIRECT("'"&amp;$C645&amp;"'!"&amp;"$"&amp;$D645&amp;$BM$1&amp;"")</f>
        <v>1.3</v>
      </c>
      <c r="BN645" s="281"/>
      <c r="BO645" s="281">
        <v>0.99</v>
      </c>
      <c r="BP645" s="279">
        <v>0.21</v>
      </c>
      <c r="BQ645" s="284" cm="1">
        <f t="array" aca="1" ref="BQ645" ca="1">INDIRECT("'"&amp;$C645&amp;"'!"&amp;"$"&amp;$D645&amp;$BQ$1&amp;"")</f>
        <v>0.88</v>
      </c>
      <c r="BR645" s="281"/>
      <c r="BS645" s="281">
        <v>0.96</v>
      </c>
      <c r="BT645" s="279">
        <v>0.25</v>
      </c>
      <c r="BU645" s="284" cm="1">
        <f t="array" aca="1" ref="BU645" ca="1">INDIRECT("'"&amp;$C645&amp;"'!"&amp;"$"&amp;$D645&amp;74&amp;"")</f>
        <v>0</v>
      </c>
      <c r="BV645" s="281"/>
      <c r="BW645" s="281" t="s">
        <v>1</v>
      </c>
      <c r="BX645" s="279" t="s">
        <v>1</v>
      </c>
    </row>
    <row r="646" spans="1:76">
      <c r="A646" s="459">
        <v>45864</v>
      </c>
      <c r="B646" s="345">
        <v>0.66666666666666696</v>
      </c>
      <c r="C646" s="305">
        <v>26</v>
      </c>
      <c r="D646" s="306" t="s">
        <v>158</v>
      </c>
      <c r="E646" s="285">
        <v>14.2</v>
      </c>
      <c r="F646" s="286">
        <v>69.13</v>
      </c>
      <c r="G646" s="287" t="str" cm="1">
        <f t="array" aca="1" ref="G646" ca="1">INDIRECT("'"&amp;$C646&amp;"'!"&amp;"$"&amp;$D646&amp;$E$1&amp;"")</f>
        <v>CMS</v>
      </c>
      <c r="H646" s="288" t="s">
        <v>1</v>
      </c>
      <c r="I646" s="286" t="s">
        <v>1</v>
      </c>
      <c r="J646" s="287" cm="1">
        <f t="array" aca="1" ref="J646" ca="1">INDIRECT("'"&amp;$C646&amp;"'!"&amp;"$"&amp;$D646&amp;$J$1&amp;"")</f>
        <v>6.6</v>
      </c>
      <c r="K646" s="288"/>
      <c r="L646" s="288">
        <v>0.93</v>
      </c>
      <c r="M646" s="289">
        <v>2.56</v>
      </c>
      <c r="N646" s="285" cm="1">
        <f t="array" aca="1" ref="N646" ca="1">INDIRECT("'"&amp;$C646&amp;"'!"&amp;"$"&amp;$D646&amp;$N$1&amp;"")</f>
        <v>6.6</v>
      </c>
      <c r="O646" s="288"/>
      <c r="P646" s="288">
        <v>0.93</v>
      </c>
      <c r="Q646" s="286">
        <v>2.56</v>
      </c>
      <c r="R646" s="469" cm="1">
        <f t="array" aca="1" ref="R646" ca="1">INDIRECT("'"&amp;$C646&amp;"'!"&amp;"$"&amp;$D646&amp;$R$1&amp;"")</f>
        <v>6.6</v>
      </c>
      <c r="S646" s="288"/>
      <c r="T646" s="288">
        <v>0.94</v>
      </c>
      <c r="U646" s="286">
        <v>2.37</v>
      </c>
      <c r="V646" s="287" cm="1">
        <f t="array" aca="1" ref="V646" ca="1">INDIRECT("'"&amp;$C646&amp;"'!"&amp;"$"&amp;$D646&amp;$V$1&amp;"")</f>
        <v>2.4</v>
      </c>
      <c r="W646" s="288">
        <f>3.45*3.8</f>
        <v>13.11</v>
      </c>
      <c r="X646" s="288">
        <v>0.95</v>
      </c>
      <c r="Y646" s="289">
        <v>0.75</v>
      </c>
      <c r="Z646" s="285" t="str" cm="1">
        <f t="array" aca="1" ref="Z646" ca="1">INDIRECT("'"&amp;$C646&amp;"'!"&amp;"$"&amp;$D646&amp;$Z$1&amp;"")</f>
        <v>CMS</v>
      </c>
      <c r="AA646" s="288" t="s">
        <v>1</v>
      </c>
      <c r="AB646" s="288" t="s">
        <v>1</v>
      </c>
      <c r="AC646" s="286" t="s">
        <v>1</v>
      </c>
      <c r="AD646" s="287" t="str" cm="1">
        <f t="array" aca="1" ref="AD646" ca="1">INDIRECT("'"&amp;$C646&amp;"'!"&amp;"$"&amp;$D646&amp;$AD$1&amp;"")</f>
        <v>CMS</v>
      </c>
      <c r="AE646" s="288" t="s">
        <v>1</v>
      </c>
      <c r="AF646" s="288" t="s">
        <v>1</v>
      </c>
      <c r="AG646" s="289" t="s">
        <v>1</v>
      </c>
      <c r="AH646" s="285" cm="1">
        <f t="array" aca="1" ref="AH646" ca="1">INDIRECT("'"&amp;$C646&amp;"'!"&amp;"$"&amp;$D646&amp;$AH$1&amp;"")</f>
        <v>0</v>
      </c>
      <c r="AI646" s="288" t="s">
        <v>1</v>
      </c>
      <c r="AJ646" s="288" t="s">
        <v>1</v>
      </c>
      <c r="AK646" s="286" t="s">
        <v>1</v>
      </c>
      <c r="AL646" s="285">
        <v>11.7</v>
      </c>
      <c r="AM646" s="289">
        <v>70.900000000000006</v>
      </c>
      <c r="AN646" s="285" cm="1">
        <f t="array" aca="1" ref="AN646" ca="1">INDIRECT("'"&amp;$C646&amp;"'!"&amp;"$"&amp;$D646&amp;$AL$1&amp;"")</f>
        <v>0</v>
      </c>
      <c r="AO646" s="288" t="s">
        <v>1</v>
      </c>
      <c r="AP646" s="286" t="s">
        <v>1</v>
      </c>
      <c r="AQ646" s="287" cm="1">
        <f t="array" aca="1" ref="AQ646" ca="1">INDIRECT("'"&amp;$C646&amp;"'!"&amp;"$"&amp;$D646&amp;$AQ$1&amp;"")</f>
        <v>3.8</v>
      </c>
      <c r="AR646" s="288">
        <v>0.94</v>
      </c>
      <c r="AS646" s="286">
        <v>1.47</v>
      </c>
      <c r="AT646" s="285">
        <v>13.98</v>
      </c>
      <c r="AU646" s="289">
        <v>70.5</v>
      </c>
      <c r="AV646" s="288" cm="1">
        <f t="array" aca="1" ref="AV646" ca="1">INDIRECT("'"&amp;$C646&amp;"'!"&amp;"$"&amp;$D646&amp;$AV$1&amp;"")</f>
        <v>0</v>
      </c>
      <c r="AW646" s="287" t="s">
        <v>1</v>
      </c>
      <c r="AX646" s="288" t="s">
        <v>1</v>
      </c>
      <c r="AY646" s="286" t="s">
        <v>1</v>
      </c>
      <c r="AZ646" s="288" cm="1">
        <f t="array" aca="1" ref="AZ646" ca="1">INDIRECT("'"&amp;$C646&amp;"'!"&amp;"$"&amp;$D646&amp;$AZ$1&amp;"")</f>
        <v>7</v>
      </c>
      <c r="BA646" s="287" t="s">
        <v>1</v>
      </c>
      <c r="BB646" s="288">
        <v>0.94</v>
      </c>
      <c r="BC646" s="286">
        <v>2.7</v>
      </c>
      <c r="BD646" s="290">
        <v>14.22</v>
      </c>
      <c r="BE646" s="289">
        <v>71.84</v>
      </c>
      <c r="BF646" s="290" cm="1">
        <f t="array" aca="1" ref="BF646" ca="1">INDIRECT("'"&amp;$C646&amp;"'!"&amp;"$"&amp;$D646&amp;$BF$1&amp;"")</f>
        <v>14.26</v>
      </c>
      <c r="BG646" s="288">
        <v>0.99</v>
      </c>
      <c r="BH646" s="286">
        <v>2.2999999999999998</v>
      </c>
      <c r="BI646" s="525">
        <v>67.900000000000006</v>
      </c>
      <c r="BJ646" s="285" cm="1">
        <f t="array" aca="1" ref="BJ646" ca="1">INDIRECT("'"&amp;$C646&amp;"'!"&amp;"$"&amp;$D646&amp;$BI$1&amp;"")</f>
        <v>0.7</v>
      </c>
      <c r="BK646" s="287">
        <v>0.96</v>
      </c>
      <c r="BL646" s="286">
        <v>0.2</v>
      </c>
      <c r="BM646" s="290" cm="1">
        <f t="array" aca="1" ref="BM646" ca="1">INDIRECT("'"&amp;$C646&amp;"'!"&amp;"$"&amp;$D646&amp;$BM$1&amp;"")</f>
        <v>1.26</v>
      </c>
      <c r="BN646" s="288"/>
      <c r="BO646" s="288">
        <v>0.99</v>
      </c>
      <c r="BP646" s="286">
        <v>0.19</v>
      </c>
      <c r="BQ646" s="291" cm="1">
        <f t="array" aca="1" ref="BQ646" ca="1">INDIRECT("'"&amp;$C646&amp;"'!"&amp;"$"&amp;$D646&amp;$BQ$1&amp;"")</f>
        <v>0.85</v>
      </c>
      <c r="BR646" s="288"/>
      <c r="BS646" s="288">
        <v>0.96</v>
      </c>
      <c r="BT646" s="286">
        <v>0.24</v>
      </c>
      <c r="BU646" s="291" cm="1">
        <f t="array" aca="1" ref="BU646" ca="1">INDIRECT("'"&amp;$C646&amp;"'!"&amp;"$"&amp;$D646&amp;74&amp;"")</f>
        <v>0</v>
      </c>
      <c r="BV646" s="288"/>
      <c r="BW646" s="288" t="s">
        <v>1</v>
      </c>
      <c r="BX646" s="286" t="s">
        <v>1</v>
      </c>
    </row>
    <row r="647" spans="1:76">
      <c r="A647" s="459">
        <v>45864</v>
      </c>
      <c r="B647" s="345">
        <v>0.70833333333333404</v>
      </c>
      <c r="C647" s="305">
        <v>26</v>
      </c>
      <c r="D647" s="306" t="s">
        <v>159</v>
      </c>
      <c r="E647" s="278">
        <v>14.2</v>
      </c>
      <c r="F647" s="279">
        <v>69.319999999999993</v>
      </c>
      <c r="G647" s="280" t="str" cm="1">
        <f t="array" aca="1" ref="G647" ca="1">INDIRECT("'"&amp;$C647&amp;"'!"&amp;"$"&amp;$D647&amp;$E$1&amp;"")</f>
        <v>CMS</v>
      </c>
      <c r="H647" s="281" t="s">
        <v>1</v>
      </c>
      <c r="I647" s="279" t="s">
        <v>1</v>
      </c>
      <c r="J647" s="280" cm="1">
        <f t="array" aca="1" ref="J647" ca="1">INDIRECT("'"&amp;$C647&amp;"'!"&amp;"$"&amp;$D647&amp;$J$1&amp;"")</f>
        <v>6.6</v>
      </c>
      <c r="K647" s="281"/>
      <c r="L647" s="281">
        <v>0.94</v>
      </c>
      <c r="M647" s="282">
        <v>2.48</v>
      </c>
      <c r="N647" s="278" cm="1">
        <f t="array" aca="1" ref="N647" ca="1">INDIRECT("'"&amp;$C647&amp;"'!"&amp;"$"&amp;$D647&amp;$N$1&amp;"")</f>
        <v>6.6</v>
      </c>
      <c r="O647" s="281"/>
      <c r="P647" s="281">
        <v>0.94</v>
      </c>
      <c r="Q647" s="279">
        <v>2.4700000000000002</v>
      </c>
      <c r="R647" s="468" cm="1">
        <f t="array" aca="1" ref="R647" ca="1">INDIRECT("'"&amp;$C647&amp;"'!"&amp;"$"&amp;$D647&amp;$R$1&amp;"")</f>
        <v>6.6</v>
      </c>
      <c r="S647" s="281"/>
      <c r="T647" s="281">
        <v>0.95</v>
      </c>
      <c r="U647" s="279">
        <v>2.2200000000000002</v>
      </c>
      <c r="V647" s="280" cm="1">
        <f t="array" aca="1" ref="V647" ca="1">INDIRECT("'"&amp;$C647&amp;"'!"&amp;"$"&amp;$D647&amp;$V$1&amp;"")</f>
        <v>2</v>
      </c>
      <c r="W647" s="281">
        <f>3.46*3.8</f>
        <v>13.148</v>
      </c>
      <c r="X647" s="281">
        <v>0.95</v>
      </c>
      <c r="Y647" s="282">
        <v>0.57999999999999996</v>
      </c>
      <c r="Z647" s="278" t="str" cm="1">
        <f t="array" aca="1" ref="Z647" ca="1">INDIRECT("'"&amp;$C647&amp;"'!"&amp;"$"&amp;$D647&amp;$Z$1&amp;"")</f>
        <v>CMS</v>
      </c>
      <c r="AA647" s="281" t="s">
        <v>1</v>
      </c>
      <c r="AB647" s="281" t="s">
        <v>1</v>
      </c>
      <c r="AC647" s="279" t="s">
        <v>1</v>
      </c>
      <c r="AD647" s="280" t="str" cm="1">
        <f t="array" aca="1" ref="AD647" ca="1">INDIRECT("'"&amp;$C647&amp;"'!"&amp;"$"&amp;$D647&amp;$AD$1&amp;"")</f>
        <v>CMS</v>
      </c>
      <c r="AE647" s="281" t="s">
        <v>1</v>
      </c>
      <c r="AF647" s="281" t="s">
        <v>1</v>
      </c>
      <c r="AG647" s="282" t="s">
        <v>1</v>
      </c>
      <c r="AH647" s="278" cm="1">
        <f t="array" aca="1" ref="AH647" ca="1">INDIRECT("'"&amp;$C647&amp;"'!"&amp;"$"&amp;$D647&amp;$AH$1&amp;"")</f>
        <v>0</v>
      </c>
      <c r="AI647" s="281" t="s">
        <v>1</v>
      </c>
      <c r="AJ647" s="281" t="s">
        <v>1</v>
      </c>
      <c r="AK647" s="279" t="s">
        <v>1</v>
      </c>
      <c r="AL647" s="278">
        <v>11.6</v>
      </c>
      <c r="AM647" s="282">
        <v>70.900000000000006</v>
      </c>
      <c r="AN647" s="278" cm="1">
        <f t="array" aca="1" ref="AN647" ca="1">INDIRECT("'"&amp;$C647&amp;"'!"&amp;"$"&amp;$D647&amp;$AL$1&amp;"")</f>
        <v>0</v>
      </c>
      <c r="AO647" s="281" t="s">
        <v>1</v>
      </c>
      <c r="AP647" s="279" t="s">
        <v>1</v>
      </c>
      <c r="AQ647" s="280" cm="1">
        <f t="array" aca="1" ref="AQ647" ca="1">INDIRECT("'"&amp;$C647&amp;"'!"&amp;"$"&amp;$D647&amp;$AQ$1&amp;"")</f>
        <v>3.4</v>
      </c>
      <c r="AR647" s="281">
        <v>0.95</v>
      </c>
      <c r="AS647" s="279">
        <v>1.0900000000000001</v>
      </c>
      <c r="AT647" s="278">
        <v>13.98</v>
      </c>
      <c r="AU647" s="282">
        <v>70.5</v>
      </c>
      <c r="AV647" s="281" cm="1">
        <f t="array" aca="1" ref="AV647" ca="1">INDIRECT("'"&amp;$C647&amp;"'!"&amp;"$"&amp;$D647&amp;$AV$1&amp;"")</f>
        <v>0</v>
      </c>
      <c r="AW647" s="280" t="s">
        <v>1</v>
      </c>
      <c r="AX647" s="281" t="s">
        <v>1</v>
      </c>
      <c r="AY647" s="279" t="s">
        <v>1</v>
      </c>
      <c r="AZ647" s="281" cm="1">
        <f t="array" aca="1" ref="AZ647" ca="1">INDIRECT("'"&amp;$C647&amp;"'!"&amp;"$"&amp;$D647&amp;$AZ$1&amp;"")</f>
        <v>7</v>
      </c>
      <c r="BA647" s="280" t="s">
        <v>1</v>
      </c>
      <c r="BB647" s="281">
        <v>0.94</v>
      </c>
      <c r="BC647" s="279">
        <v>2.8</v>
      </c>
      <c r="BD647" s="283">
        <v>14.18</v>
      </c>
      <c r="BE647" s="282">
        <v>71.87</v>
      </c>
      <c r="BF647" s="283" cm="1">
        <f t="array" aca="1" ref="BF647" ca="1">INDIRECT("'"&amp;$C647&amp;"'!"&amp;"$"&amp;$D647&amp;$BF$1&amp;"")</f>
        <v>14.25</v>
      </c>
      <c r="BG647" s="281">
        <v>0.99</v>
      </c>
      <c r="BH647" s="279">
        <v>2.2999999999999998</v>
      </c>
      <c r="BI647" s="524">
        <v>67.900000000000006</v>
      </c>
      <c r="BJ647" s="278" cm="1">
        <f t="array" aca="1" ref="BJ647" ca="1">INDIRECT("'"&amp;$C647&amp;"'!"&amp;"$"&amp;$D647&amp;$BI$1&amp;"")</f>
        <v>0</v>
      </c>
      <c r="BK647" s="280" t="s">
        <v>1</v>
      </c>
      <c r="BL647" s="279" t="s">
        <v>1</v>
      </c>
      <c r="BM647" s="283" cm="1">
        <f t="array" aca="1" ref="BM647" ca="1">INDIRECT("'"&amp;$C647&amp;"'!"&amp;"$"&amp;$D647&amp;$BM$1&amp;"")</f>
        <v>1.2</v>
      </c>
      <c r="BN647" s="281"/>
      <c r="BO647" s="281">
        <v>0.99</v>
      </c>
      <c r="BP647" s="279">
        <v>0.18</v>
      </c>
      <c r="BQ647" s="284" cm="1">
        <f t="array" aca="1" ref="BQ647" ca="1">INDIRECT("'"&amp;$C647&amp;"'!"&amp;"$"&amp;$D647&amp;$BQ$1&amp;"")</f>
        <v>0.86</v>
      </c>
      <c r="BR647" s="281"/>
      <c r="BS647" s="281">
        <v>0.96</v>
      </c>
      <c r="BT647" s="279">
        <v>0.26</v>
      </c>
      <c r="BU647" s="284" cm="1">
        <f t="array" aca="1" ref="BU647" ca="1">INDIRECT("'"&amp;$C647&amp;"'!"&amp;"$"&amp;$D647&amp;74&amp;"")</f>
        <v>0</v>
      </c>
      <c r="BV647" s="281"/>
      <c r="BW647" s="281" t="s">
        <v>1</v>
      </c>
      <c r="BX647" s="279" t="s">
        <v>1</v>
      </c>
    </row>
    <row r="648" spans="1:76">
      <c r="A648" s="459">
        <v>45864</v>
      </c>
      <c r="B648" s="345">
        <v>0.750000000000001</v>
      </c>
      <c r="C648" s="305">
        <v>26</v>
      </c>
      <c r="D648" s="306" t="s">
        <v>160</v>
      </c>
      <c r="E648" s="285">
        <v>14.1</v>
      </c>
      <c r="F648" s="286">
        <v>68.84</v>
      </c>
      <c r="G648" s="287" t="str" cm="1">
        <f t="array" aca="1" ref="G648" ca="1">INDIRECT("'"&amp;$C648&amp;"'!"&amp;"$"&amp;$D648&amp;$E$1&amp;"")</f>
        <v>CMS</v>
      </c>
      <c r="H648" s="288" t="s">
        <v>1</v>
      </c>
      <c r="I648" s="286" t="s">
        <v>1</v>
      </c>
      <c r="J648" s="287" cm="1">
        <f t="array" aca="1" ref="J648" ca="1">INDIRECT("'"&amp;$C648&amp;"'!"&amp;"$"&amp;$D648&amp;$J$1&amp;"")</f>
        <v>7.2</v>
      </c>
      <c r="K648" s="288"/>
      <c r="L648" s="288">
        <v>0.92</v>
      </c>
      <c r="M648" s="289">
        <v>2.95</v>
      </c>
      <c r="N648" s="285" cm="1">
        <f t="array" aca="1" ref="N648" ca="1">INDIRECT("'"&amp;$C648&amp;"'!"&amp;"$"&amp;$D648&amp;$N$1&amp;"")</f>
        <v>7.1</v>
      </c>
      <c r="O648" s="288"/>
      <c r="P648" s="288">
        <v>0.91</v>
      </c>
      <c r="Q648" s="286">
        <v>3.14</v>
      </c>
      <c r="R648" s="285" t="str" cm="1">
        <f t="array" aca="1" ref="R648" ca="1">INDIRECT("'"&amp;$C648&amp;"'!"&amp;"$"&amp;$D648&amp;$R$1&amp;"")</f>
        <v>CMS</v>
      </c>
      <c r="S648" s="288"/>
      <c r="T648" s="288" t="s">
        <v>1</v>
      </c>
      <c r="U648" s="286" t="s">
        <v>1</v>
      </c>
      <c r="V648" s="287" t="str" cm="1">
        <f t="array" aca="1" ref="V648" ca="1">INDIRECT("'"&amp;$C648&amp;"'!"&amp;"$"&amp;$D648&amp;$V$1&amp;"")</f>
        <v>CMS</v>
      </c>
      <c r="W648" s="288" t="s">
        <v>1</v>
      </c>
      <c r="X648" s="288" t="s">
        <v>1</v>
      </c>
      <c r="Y648" s="289" t="s">
        <v>1</v>
      </c>
      <c r="Z648" s="285" t="str" cm="1">
        <f t="array" aca="1" ref="Z648" ca="1">INDIRECT("'"&amp;$C648&amp;"'!"&amp;"$"&amp;$D648&amp;$Z$1&amp;"")</f>
        <v>CMS</v>
      </c>
      <c r="AA648" s="288" t="s">
        <v>1</v>
      </c>
      <c r="AB648" s="288" t="s">
        <v>1</v>
      </c>
      <c r="AC648" s="286" t="s">
        <v>1</v>
      </c>
      <c r="AD648" s="287" t="str" cm="1">
        <f t="array" aca="1" ref="AD648" ca="1">INDIRECT("'"&amp;$C648&amp;"'!"&amp;"$"&amp;$D648&amp;$AD$1&amp;"")</f>
        <v>CMS</v>
      </c>
      <c r="AE648" s="288" t="s">
        <v>1</v>
      </c>
      <c r="AF648" s="288" t="s">
        <v>1</v>
      </c>
      <c r="AG648" s="289" t="s">
        <v>1</v>
      </c>
      <c r="AH648" s="285" cm="1">
        <f t="array" aca="1" ref="AH648" ca="1">INDIRECT("'"&amp;$C648&amp;"'!"&amp;"$"&amp;$D648&amp;$AH$1&amp;"")</f>
        <v>3.8</v>
      </c>
      <c r="AI648" s="288">
        <v>14.04</v>
      </c>
      <c r="AJ648" s="288">
        <v>0.99</v>
      </c>
      <c r="AK648" s="286">
        <v>0.307</v>
      </c>
      <c r="AL648" s="285">
        <v>11.6</v>
      </c>
      <c r="AM648" s="289">
        <v>70.900000000000006</v>
      </c>
      <c r="AN648" s="285" cm="1">
        <f t="array" aca="1" ref="AN648" ca="1">INDIRECT("'"&amp;$C648&amp;"'!"&amp;"$"&amp;$D648&amp;$AL$1&amp;"")</f>
        <v>0</v>
      </c>
      <c r="AO648" s="288" t="s">
        <v>1</v>
      </c>
      <c r="AP648" s="286" t="s">
        <v>1</v>
      </c>
      <c r="AQ648" s="287" cm="1">
        <f t="array" aca="1" ref="AQ648" ca="1">INDIRECT("'"&amp;$C648&amp;"'!"&amp;"$"&amp;$D648&amp;$AQ$1&amp;"")</f>
        <v>4.2</v>
      </c>
      <c r="AR648" s="288">
        <v>0.98</v>
      </c>
      <c r="AS648" s="286">
        <v>0.75</v>
      </c>
      <c r="AT648" s="285">
        <v>13.98</v>
      </c>
      <c r="AU648" s="289">
        <v>70.5</v>
      </c>
      <c r="AV648" s="288" cm="1">
        <f t="array" aca="1" ref="AV648" ca="1">INDIRECT("'"&amp;$C648&amp;"'!"&amp;"$"&amp;$D648&amp;$AV$1&amp;"")</f>
        <v>0</v>
      </c>
      <c r="AW648" s="287" t="s">
        <v>1</v>
      </c>
      <c r="AX648" s="288" t="s">
        <v>1</v>
      </c>
      <c r="AY648" s="286" t="s">
        <v>1</v>
      </c>
      <c r="AZ648" s="288" cm="1">
        <f t="array" aca="1" ref="AZ648" ca="1">INDIRECT("'"&amp;$C648&amp;"'!"&amp;"$"&amp;$D648&amp;$AZ$1&amp;"")</f>
        <v>7.2</v>
      </c>
      <c r="BA648" s="287" t="s">
        <v>1</v>
      </c>
      <c r="BB648" s="288">
        <v>0.94</v>
      </c>
      <c r="BC648" s="286">
        <v>2.7</v>
      </c>
      <c r="BD648" s="290">
        <v>14.18</v>
      </c>
      <c r="BE648" s="289">
        <v>71.86</v>
      </c>
      <c r="BF648" s="290" cm="1">
        <f t="array" aca="1" ref="BF648" ca="1">INDIRECT("'"&amp;$C648&amp;"'!"&amp;"$"&amp;$D648&amp;$BF$1&amp;"")</f>
        <v>14.29</v>
      </c>
      <c r="BG648" s="288">
        <v>0.99</v>
      </c>
      <c r="BH648" s="286">
        <v>2.2999999999999998</v>
      </c>
      <c r="BI648" s="525">
        <v>67.599999999999994</v>
      </c>
      <c r="BJ648" s="285" cm="1">
        <f t="array" aca="1" ref="BJ648" ca="1">INDIRECT("'"&amp;$C648&amp;"'!"&amp;"$"&amp;$D648&amp;$BI$1&amp;"")</f>
        <v>4.5999999999999996</v>
      </c>
      <c r="BK648" s="287">
        <v>0.97</v>
      </c>
      <c r="BL648" s="286">
        <v>1.1499999999999999</v>
      </c>
      <c r="BM648" s="290" cm="1">
        <f t="array" aca="1" ref="BM648" ca="1">INDIRECT("'"&amp;$C648&amp;"'!"&amp;"$"&amp;$D648&amp;$BM$1&amp;"")</f>
        <v>1.18</v>
      </c>
      <c r="BN648" s="288"/>
      <c r="BO648" s="288">
        <v>0.99</v>
      </c>
      <c r="BP648" s="286">
        <v>0.17</v>
      </c>
      <c r="BQ648" s="291" cm="1">
        <f t="array" aca="1" ref="BQ648" ca="1">INDIRECT("'"&amp;$C648&amp;"'!"&amp;"$"&amp;$D648&amp;$BQ$1&amp;"")</f>
        <v>0.81</v>
      </c>
      <c r="BR648" s="288"/>
      <c r="BS648" s="288">
        <v>0.96</v>
      </c>
      <c r="BT648" s="286">
        <v>0.24</v>
      </c>
      <c r="BU648" s="291" cm="1">
        <f t="array" aca="1" ref="BU648" ca="1">INDIRECT("'"&amp;$C648&amp;"'!"&amp;"$"&amp;$D648&amp;74&amp;"")</f>
        <v>0</v>
      </c>
      <c r="BV648" s="288"/>
      <c r="BW648" s="288" t="s">
        <v>1</v>
      </c>
      <c r="BX648" s="286" t="s">
        <v>1</v>
      </c>
    </row>
    <row r="649" spans="1:76">
      <c r="A649" s="459">
        <v>45864</v>
      </c>
      <c r="B649" s="345">
        <v>0.79166666666666696</v>
      </c>
      <c r="C649" s="305">
        <v>26</v>
      </c>
      <c r="D649" s="306" t="s">
        <v>161</v>
      </c>
      <c r="E649" s="278">
        <v>14.2</v>
      </c>
      <c r="F649" s="279">
        <v>69.290000000000006</v>
      </c>
      <c r="G649" s="280" t="str" cm="1">
        <f t="array" aca="1" ref="G649" ca="1">INDIRECT("'"&amp;$C649&amp;"'!"&amp;"$"&amp;$D649&amp;$E$1&amp;"")</f>
        <v>CMS</v>
      </c>
      <c r="H649" s="281" t="s">
        <v>1</v>
      </c>
      <c r="I649" s="279" t="s">
        <v>1</v>
      </c>
      <c r="J649" s="280" cm="1">
        <f t="array" aca="1" ref="J649" ca="1">INDIRECT("'"&amp;$C649&amp;"'!"&amp;"$"&amp;$D649&amp;$J$1&amp;"")</f>
        <v>6.7</v>
      </c>
      <c r="K649" s="292"/>
      <c r="L649" s="281">
        <v>0.92</v>
      </c>
      <c r="M649" s="282">
        <v>2.79</v>
      </c>
      <c r="N649" s="278" cm="1">
        <f t="array" aca="1" ref="N649" ca="1">INDIRECT("'"&amp;$C649&amp;"'!"&amp;"$"&amp;$D649&amp;$N$1&amp;"")</f>
        <v>6.6</v>
      </c>
      <c r="O649" s="281"/>
      <c r="P649" s="281">
        <v>0.92</v>
      </c>
      <c r="Q649" s="279">
        <v>2.83</v>
      </c>
      <c r="R649" s="468" cm="1">
        <f t="array" aca="1" ref="R649" ca="1">INDIRECT("'"&amp;$C649&amp;"'!"&amp;"$"&amp;$D649&amp;$R$1&amp;"")</f>
        <v>6.6</v>
      </c>
      <c r="S649" s="281"/>
      <c r="T649" s="281">
        <v>0.92</v>
      </c>
      <c r="U649" s="279">
        <v>2.84</v>
      </c>
      <c r="V649" s="280" t="str" cm="1">
        <f t="array" aca="1" ref="V649" ca="1">INDIRECT("'"&amp;$C649&amp;"'!"&amp;"$"&amp;$D649&amp;$V$1&amp;"")</f>
        <v>CMS</v>
      </c>
      <c r="W649" s="281" t="s">
        <v>1</v>
      </c>
      <c r="X649" s="281" t="s">
        <v>1</v>
      </c>
      <c r="Y649" s="282" t="s">
        <v>1</v>
      </c>
      <c r="Z649" s="278" t="str" cm="1">
        <f t="array" aca="1" ref="Z649" ca="1">INDIRECT("'"&amp;$C649&amp;"'!"&amp;"$"&amp;$D649&amp;$Z$1&amp;"")</f>
        <v>CMS</v>
      </c>
      <c r="AA649" s="281" t="s">
        <v>1</v>
      </c>
      <c r="AB649" s="281" t="s">
        <v>1</v>
      </c>
      <c r="AC649" s="279" t="s">
        <v>1</v>
      </c>
      <c r="AD649" s="280" t="str" cm="1">
        <f t="array" aca="1" ref="AD649" ca="1">INDIRECT("'"&amp;$C649&amp;"'!"&amp;"$"&amp;$D649&amp;$AD$1&amp;"")</f>
        <v>CMS</v>
      </c>
      <c r="AE649" s="281" t="s">
        <v>1</v>
      </c>
      <c r="AF649" s="281" t="s">
        <v>1</v>
      </c>
      <c r="AG649" s="282" t="s">
        <v>1</v>
      </c>
      <c r="AH649" s="278" cm="1">
        <f t="array" aca="1" ref="AH649" ca="1">INDIRECT("'"&amp;$C649&amp;"'!"&amp;"$"&amp;$D649&amp;$AH$1&amp;"")</f>
        <v>3.8</v>
      </c>
      <c r="AI649" s="281">
        <v>14.04</v>
      </c>
      <c r="AJ649" s="281">
        <v>0.99</v>
      </c>
      <c r="AK649" s="279">
        <v>0.36799999999999999</v>
      </c>
      <c r="AL649" s="278">
        <v>11.7</v>
      </c>
      <c r="AM649" s="282">
        <v>71.2</v>
      </c>
      <c r="AN649" s="278" cm="1">
        <f t="array" aca="1" ref="AN649" ca="1">INDIRECT("'"&amp;$C649&amp;"'!"&amp;"$"&amp;$D649&amp;$AL$1&amp;"")</f>
        <v>0</v>
      </c>
      <c r="AO649" s="281" t="s">
        <v>1</v>
      </c>
      <c r="AP649" s="279" t="s">
        <v>1</v>
      </c>
      <c r="AQ649" s="280" cm="1">
        <f t="array" aca="1" ref="AQ649" ca="1">INDIRECT("'"&amp;$C649&amp;"'!"&amp;"$"&amp;$D649&amp;$AQ$1&amp;"")</f>
        <v>3.9</v>
      </c>
      <c r="AR649" s="281">
        <v>0.98</v>
      </c>
      <c r="AS649" s="279">
        <v>0.74</v>
      </c>
      <c r="AT649" s="278">
        <v>14.1</v>
      </c>
      <c r="AU649" s="282">
        <v>70.5</v>
      </c>
      <c r="AV649" s="281" cm="1">
        <f t="array" aca="1" ref="AV649" ca="1">INDIRECT("'"&amp;$C649&amp;"'!"&amp;"$"&amp;$D649&amp;$AV$1&amp;"")</f>
        <v>3</v>
      </c>
      <c r="AW649" s="280">
        <v>13.7</v>
      </c>
      <c r="AX649" s="281">
        <v>0.94</v>
      </c>
      <c r="AY649" s="279">
        <v>1</v>
      </c>
      <c r="AZ649" s="281" cm="1">
        <f t="array" aca="1" ref="AZ649" ca="1">INDIRECT("'"&amp;$C649&amp;"'!"&amp;"$"&amp;$D649&amp;$AZ$1&amp;"")</f>
        <v>7</v>
      </c>
      <c r="BA649" s="280">
        <v>13.7</v>
      </c>
      <c r="BB649" s="281">
        <v>0.94</v>
      </c>
      <c r="BC649" s="279">
        <v>2.7</v>
      </c>
      <c r="BD649" s="283">
        <v>14.22</v>
      </c>
      <c r="BE649" s="282">
        <v>71.959999999999994</v>
      </c>
      <c r="BF649" s="283" cm="1">
        <f t="array" aca="1" ref="BF649" ca="1">INDIRECT("'"&amp;$C649&amp;"'!"&amp;"$"&amp;$D649&amp;$BF$1&amp;"")</f>
        <v>14.28</v>
      </c>
      <c r="BG649" s="281">
        <v>0.99</v>
      </c>
      <c r="BH649" s="279">
        <v>2.2999999999999998</v>
      </c>
      <c r="BI649" s="524">
        <v>67.900000000000006</v>
      </c>
      <c r="BJ649" s="278" cm="1">
        <f t="array" aca="1" ref="BJ649" ca="1">INDIRECT("'"&amp;$C649&amp;"'!"&amp;"$"&amp;$D649&amp;$BI$1&amp;"")</f>
        <v>2.2000000000000002</v>
      </c>
      <c r="BK649" s="280">
        <v>0.98</v>
      </c>
      <c r="BL649" s="279">
        <v>0.44</v>
      </c>
      <c r="BM649" s="283" cm="1">
        <f t="array" aca="1" ref="BM649" ca="1">INDIRECT("'"&amp;$C649&amp;"'!"&amp;"$"&amp;$D649&amp;$BM$1&amp;"")</f>
        <v>1.41</v>
      </c>
      <c r="BN649" s="281"/>
      <c r="BO649" s="281">
        <v>0.99</v>
      </c>
      <c r="BP649" s="279">
        <v>0.17</v>
      </c>
      <c r="BQ649" s="284" cm="1">
        <f t="array" aca="1" ref="BQ649" ca="1">INDIRECT("'"&amp;$C649&amp;"'!"&amp;"$"&amp;$D649&amp;$BQ$1&amp;"")</f>
        <v>0.91</v>
      </c>
      <c r="BR649" s="281"/>
      <c r="BS649" s="281">
        <v>0.97</v>
      </c>
      <c r="BT649" s="279">
        <v>0.23</v>
      </c>
      <c r="BU649" s="284" cm="1">
        <f t="array" aca="1" ref="BU649" ca="1">INDIRECT("'"&amp;$C649&amp;"'!"&amp;"$"&amp;$D649&amp;74&amp;"")</f>
        <v>0</v>
      </c>
      <c r="BV649" s="281"/>
      <c r="BW649" s="281" t="s">
        <v>1</v>
      </c>
      <c r="BX649" s="279" t="s">
        <v>1</v>
      </c>
    </row>
    <row r="650" spans="1:76">
      <c r="A650" s="459">
        <v>45864</v>
      </c>
      <c r="B650" s="345">
        <v>0.83333333333333337</v>
      </c>
      <c r="C650" s="305">
        <v>26</v>
      </c>
      <c r="D650" s="306" t="s">
        <v>162</v>
      </c>
      <c r="E650" s="285">
        <v>14.1</v>
      </c>
      <c r="F650" s="286">
        <v>69.58</v>
      </c>
      <c r="G650" s="287" t="str" cm="1">
        <f t="array" aca="1" ref="G650" ca="1">INDIRECT("'"&amp;$C650&amp;"'!"&amp;"$"&amp;$D650&amp;$E$1&amp;"")</f>
        <v>CMS</v>
      </c>
      <c r="H650" s="288" t="s">
        <v>1</v>
      </c>
      <c r="I650" s="286" t="s">
        <v>1</v>
      </c>
      <c r="J650" s="287" cm="1">
        <f t="array" aca="1" ref="J650" ca="1">INDIRECT("'"&amp;$C650&amp;"'!"&amp;"$"&amp;$D650&amp;$J$1&amp;"")</f>
        <v>6.6</v>
      </c>
      <c r="K650" s="288"/>
      <c r="L650" s="288">
        <v>0.94</v>
      </c>
      <c r="M650" s="289">
        <v>2.42</v>
      </c>
      <c r="N650" s="285" cm="1">
        <f t="array" aca="1" ref="N650" ca="1">INDIRECT("'"&amp;$C650&amp;"'!"&amp;"$"&amp;$D650&amp;$N$1&amp;"")</f>
        <v>6.6</v>
      </c>
      <c r="O650" s="288"/>
      <c r="P650" s="288">
        <v>0.94</v>
      </c>
      <c r="Q650" s="286">
        <v>2.4700000000000002</v>
      </c>
      <c r="R650" s="285" cm="1">
        <f t="array" aca="1" ref="R650" ca="1">INDIRECT("'"&amp;$C650&amp;"'!"&amp;"$"&amp;$D650&amp;$R$1&amp;"")</f>
        <v>6.6</v>
      </c>
      <c r="S650" s="288"/>
      <c r="T650" s="288">
        <v>0.92</v>
      </c>
      <c r="U650" s="286">
        <v>2.83</v>
      </c>
      <c r="V650" s="287" t="str" cm="1">
        <f t="array" aca="1" ref="V650" ca="1">INDIRECT("'"&amp;$C650&amp;"'!"&amp;"$"&amp;$D650&amp;$V$1&amp;"")</f>
        <v>CMS</v>
      </c>
      <c r="W650" s="288" t="s">
        <v>1</v>
      </c>
      <c r="X650" s="288" t="s">
        <v>1</v>
      </c>
      <c r="Y650" s="289" t="s">
        <v>1</v>
      </c>
      <c r="Z650" s="285" t="str" cm="1">
        <f t="array" aca="1" ref="Z650" ca="1">INDIRECT("'"&amp;$C650&amp;"'!"&amp;"$"&amp;$D650&amp;$Z$1&amp;"")</f>
        <v>CMS</v>
      </c>
      <c r="AA650" s="288" t="s">
        <v>1</v>
      </c>
      <c r="AB650" s="288" t="s">
        <v>1</v>
      </c>
      <c r="AC650" s="286" t="s">
        <v>1</v>
      </c>
      <c r="AD650" s="287" t="str" cm="1">
        <f t="array" aca="1" ref="AD650" ca="1">INDIRECT("'"&amp;$C650&amp;"'!"&amp;"$"&amp;$D650&amp;$AD$1&amp;"")</f>
        <v>CMS</v>
      </c>
      <c r="AE650" s="288" t="s">
        <v>1</v>
      </c>
      <c r="AF650" s="288" t="s">
        <v>1</v>
      </c>
      <c r="AG650" s="289" t="s">
        <v>1</v>
      </c>
      <c r="AH650" s="285" cm="1">
        <f t="array" aca="1" ref="AH650" ca="1">INDIRECT("'"&amp;$C650&amp;"'!"&amp;"$"&amp;$D650&amp;$AH$1&amp;"")</f>
        <v>3</v>
      </c>
      <c r="AI650" s="288">
        <v>14.04</v>
      </c>
      <c r="AJ650" s="288">
        <v>0.99</v>
      </c>
      <c r="AK650" s="286">
        <v>0.17</v>
      </c>
      <c r="AL650" s="285">
        <v>11.7</v>
      </c>
      <c r="AM650" s="289">
        <v>71.2</v>
      </c>
      <c r="AN650" s="285" cm="1">
        <f t="array" aca="1" ref="AN650" ca="1">INDIRECT("'"&amp;$C650&amp;"'!"&amp;"$"&amp;$D650&amp;$AL$1&amp;"")</f>
        <v>0</v>
      </c>
      <c r="AO650" s="288" t="s">
        <v>1</v>
      </c>
      <c r="AP650" s="286" t="s">
        <v>1</v>
      </c>
      <c r="AQ650" s="287" cm="1">
        <f t="array" aca="1" ref="AQ650" ca="1">INDIRECT("'"&amp;$C650&amp;"'!"&amp;"$"&amp;$D650&amp;$AQ$1&amp;"")</f>
        <v>3.4</v>
      </c>
      <c r="AR650" s="288">
        <v>0.98</v>
      </c>
      <c r="AS650" s="286">
        <v>0.67</v>
      </c>
      <c r="AT650" s="285">
        <v>14.1</v>
      </c>
      <c r="AU650" s="289">
        <v>70.5</v>
      </c>
      <c r="AV650" s="288" cm="1">
        <f t="array" aca="1" ref="AV650" ca="1">INDIRECT("'"&amp;$C650&amp;"'!"&amp;"$"&amp;$D650&amp;$AV$1&amp;"")</f>
        <v>2.7</v>
      </c>
      <c r="AW650" s="287" t="s">
        <v>1</v>
      </c>
      <c r="AX650" s="288">
        <v>0.95</v>
      </c>
      <c r="AY650" s="286">
        <v>0.8</v>
      </c>
      <c r="AZ650" s="288" cm="1">
        <f t="array" aca="1" ref="AZ650" ca="1">INDIRECT("'"&amp;$C650&amp;"'!"&amp;"$"&amp;$D650&amp;$AZ$1&amp;"")</f>
        <v>7</v>
      </c>
      <c r="BA650" s="287" t="s">
        <v>1</v>
      </c>
      <c r="BB650" s="288">
        <v>0.94</v>
      </c>
      <c r="BC650" s="286">
        <v>2.7</v>
      </c>
      <c r="BD650" s="290">
        <v>14.25</v>
      </c>
      <c r="BE650" s="289">
        <v>72.069999999999993</v>
      </c>
      <c r="BF650" s="290" cm="1">
        <f t="array" aca="1" ref="BF650" ca="1">INDIRECT("'"&amp;$C650&amp;"'!"&amp;"$"&amp;$D650&amp;$BF$1&amp;"")</f>
        <v>14.26</v>
      </c>
      <c r="BG650" s="288">
        <v>0.99</v>
      </c>
      <c r="BH650" s="286">
        <v>2.2999999999999998</v>
      </c>
      <c r="BI650" s="525">
        <v>68.2</v>
      </c>
      <c r="BJ650" s="285" cm="1">
        <f t="array" aca="1" ref="BJ650" ca="1">INDIRECT("'"&amp;$C650&amp;"'!"&amp;"$"&amp;$D650&amp;$BI$1&amp;"")</f>
        <v>0</v>
      </c>
      <c r="BK650" s="287" t="s">
        <v>1</v>
      </c>
      <c r="BL650" s="286" t="s">
        <v>1</v>
      </c>
      <c r="BM650" s="290" cm="1">
        <f t="array" aca="1" ref="BM650" ca="1">INDIRECT("'"&amp;$C650&amp;"'!"&amp;"$"&amp;$D650&amp;$BM$1&amp;"")</f>
        <v>1.47</v>
      </c>
      <c r="BN650" s="288"/>
      <c r="BO650" s="288">
        <v>0.99</v>
      </c>
      <c r="BP650" s="286">
        <v>0.17</v>
      </c>
      <c r="BQ650" s="291" cm="1">
        <f t="array" aca="1" ref="BQ650" ca="1">INDIRECT("'"&amp;$C650&amp;"'!"&amp;"$"&amp;$D650&amp;$BQ$1&amp;"")</f>
        <v>0.96</v>
      </c>
      <c r="BR650" s="288"/>
      <c r="BS650" s="288">
        <v>0.97</v>
      </c>
      <c r="BT650" s="286">
        <v>0.24</v>
      </c>
      <c r="BU650" s="291" cm="1">
        <f t="array" aca="1" ref="BU650" ca="1">INDIRECT("'"&amp;$C650&amp;"'!"&amp;"$"&amp;$D650&amp;74&amp;"")</f>
        <v>0</v>
      </c>
      <c r="BV650" s="288"/>
      <c r="BW650" s="288" t="s">
        <v>1</v>
      </c>
      <c r="BX650" s="286" t="s">
        <v>1</v>
      </c>
    </row>
    <row r="651" spans="1:76">
      <c r="A651" s="459">
        <v>45864</v>
      </c>
      <c r="B651" s="345">
        <v>0.875000000000001</v>
      </c>
      <c r="C651" s="305">
        <v>26</v>
      </c>
      <c r="D651" s="306" t="s">
        <v>163</v>
      </c>
      <c r="E651" s="278">
        <v>14.1</v>
      </c>
      <c r="F651" s="279">
        <v>69.760000000000005</v>
      </c>
      <c r="G651" s="280" t="str" cm="1">
        <f t="array" aca="1" ref="G651" ca="1">INDIRECT("'"&amp;$C651&amp;"'!"&amp;"$"&amp;$D651&amp;$E$1&amp;"")</f>
        <v>CMS</v>
      </c>
      <c r="H651" s="281" t="s">
        <v>1</v>
      </c>
      <c r="I651" s="279" t="s">
        <v>1</v>
      </c>
      <c r="J651" s="280" cm="1">
        <f t="array" aca="1" ref="J651" ca="1">INDIRECT("'"&amp;$C651&amp;"'!"&amp;"$"&amp;$D651&amp;$J$1&amp;"")</f>
        <v>6.7</v>
      </c>
      <c r="K651" s="281"/>
      <c r="L651" s="281">
        <v>0.95</v>
      </c>
      <c r="M651" s="282">
        <v>2.86</v>
      </c>
      <c r="N651" s="278" cm="1">
        <f t="array" aca="1" ref="N651" ca="1">INDIRECT("'"&amp;$C651&amp;"'!"&amp;"$"&amp;$D651&amp;$N$1&amp;"")</f>
        <v>6.7</v>
      </c>
      <c r="O651" s="281"/>
      <c r="P651" s="281">
        <v>0.95</v>
      </c>
      <c r="Q651" s="279">
        <v>2.89</v>
      </c>
      <c r="R651" s="468" cm="1">
        <f t="array" aca="1" ref="R651" ca="1">INDIRECT("'"&amp;$C651&amp;"'!"&amp;"$"&amp;$D651&amp;$R$1&amp;"")</f>
        <v>6.7</v>
      </c>
      <c r="S651" s="281"/>
      <c r="T651" s="281">
        <v>0.94</v>
      </c>
      <c r="U651" s="279">
        <v>2.48</v>
      </c>
      <c r="V651" s="280" t="str" cm="1">
        <f t="array" aca="1" ref="V651" ca="1">INDIRECT("'"&amp;$C651&amp;"'!"&amp;"$"&amp;$D651&amp;$V$1&amp;"")</f>
        <v>CMS</v>
      </c>
      <c r="W651" s="281" t="s">
        <v>1</v>
      </c>
      <c r="X651" s="281" t="s">
        <v>1</v>
      </c>
      <c r="Y651" s="282" t="s">
        <v>1</v>
      </c>
      <c r="Z651" s="278" t="str" cm="1">
        <f t="array" aca="1" ref="Z651" ca="1">INDIRECT("'"&amp;$C651&amp;"'!"&amp;"$"&amp;$D651&amp;$Z$1&amp;"")</f>
        <v>CMS</v>
      </c>
      <c r="AA651" s="281" t="s">
        <v>1</v>
      </c>
      <c r="AB651" s="281" t="s">
        <v>1</v>
      </c>
      <c r="AC651" s="279" t="s">
        <v>1</v>
      </c>
      <c r="AD651" s="280" t="str" cm="1">
        <f t="array" aca="1" ref="AD651" ca="1">INDIRECT("'"&amp;$C651&amp;"'!"&amp;"$"&amp;$D651&amp;$AD$1&amp;"")</f>
        <v>CMS</v>
      </c>
      <c r="AE651" s="281" t="s">
        <v>1</v>
      </c>
      <c r="AF651" s="281" t="s">
        <v>1</v>
      </c>
      <c r="AG651" s="282" t="s">
        <v>1</v>
      </c>
      <c r="AH651" s="278" cm="1">
        <f t="array" aca="1" ref="AH651" ca="1">INDIRECT("'"&amp;$C651&amp;"'!"&amp;"$"&amp;$D651&amp;$AH$1&amp;"")</f>
        <v>3</v>
      </c>
      <c r="AI651" s="281">
        <v>14.04</v>
      </c>
      <c r="AJ651" s="281">
        <v>0.99</v>
      </c>
      <c r="AK651" s="279">
        <v>0.39500000000000002</v>
      </c>
      <c r="AL651" s="278">
        <v>11.6</v>
      </c>
      <c r="AM651" s="282">
        <v>71.099999999999994</v>
      </c>
      <c r="AN651" s="278" cm="1">
        <f t="array" aca="1" ref="AN651" ca="1">INDIRECT("'"&amp;$C651&amp;"'!"&amp;"$"&amp;$D651&amp;$AL$1&amp;"")</f>
        <v>0</v>
      </c>
      <c r="AO651" s="281" t="s">
        <v>1</v>
      </c>
      <c r="AP651" s="279" t="s">
        <v>1</v>
      </c>
      <c r="AQ651" s="280" cm="1">
        <f t="array" aca="1" ref="AQ651" ca="1">INDIRECT("'"&amp;$C651&amp;"'!"&amp;"$"&amp;$D651&amp;$AQ$1&amp;"")</f>
        <v>3.3</v>
      </c>
      <c r="AR651" s="281">
        <v>0.97</v>
      </c>
      <c r="AS651" s="279">
        <v>0.82</v>
      </c>
      <c r="AT651" s="278">
        <v>14</v>
      </c>
      <c r="AU651" s="282">
        <v>70.400000000000006</v>
      </c>
      <c r="AV651" s="281" cm="1">
        <f t="array" aca="1" ref="AV651" ca="1">INDIRECT("'"&amp;$C651&amp;"'!"&amp;"$"&amp;$D651&amp;$AV$1&amp;"")</f>
        <v>0</v>
      </c>
      <c r="AW651" s="280" t="s">
        <v>1</v>
      </c>
      <c r="AX651" s="281" t="s">
        <v>1</v>
      </c>
      <c r="AY651" s="279" t="s">
        <v>1</v>
      </c>
      <c r="AZ651" s="281" cm="1">
        <f t="array" aca="1" ref="AZ651" ca="1">INDIRECT("'"&amp;$C651&amp;"'!"&amp;"$"&amp;$D651&amp;$AZ$1&amp;"")</f>
        <v>7</v>
      </c>
      <c r="BA651" s="280" t="s">
        <v>1</v>
      </c>
      <c r="BB651" s="281">
        <v>0.94</v>
      </c>
      <c r="BC651" s="279">
        <v>2.7</v>
      </c>
      <c r="BD651" s="283">
        <v>14.09</v>
      </c>
      <c r="BE651" s="282">
        <v>71.72</v>
      </c>
      <c r="BF651" s="283" cm="1">
        <f t="array" aca="1" ref="BF651" ca="1">INDIRECT("'"&amp;$C651&amp;"'!"&amp;"$"&amp;$D651&amp;$BF$1&amp;"")</f>
        <v>14.26</v>
      </c>
      <c r="BG651" s="281">
        <v>1</v>
      </c>
      <c r="BH651" s="279">
        <v>1.2</v>
      </c>
      <c r="BI651" s="524">
        <v>68.3</v>
      </c>
      <c r="BJ651" s="278" cm="1">
        <f t="array" aca="1" ref="BJ651" ca="1">INDIRECT("'"&amp;$C651&amp;"'!"&amp;"$"&amp;$D651&amp;$BI$1&amp;"")</f>
        <v>0</v>
      </c>
      <c r="BK651" s="280" t="s">
        <v>1</v>
      </c>
      <c r="BL651" s="279" t="s">
        <v>1</v>
      </c>
      <c r="BM651" s="283" cm="1">
        <f t="array" aca="1" ref="BM651" ca="1">INDIRECT("'"&amp;$C651&amp;"'!"&amp;"$"&amp;$D651&amp;$BM$1&amp;"")</f>
        <v>1.38</v>
      </c>
      <c r="BN651" s="281"/>
      <c r="BO651" s="281">
        <v>0.99</v>
      </c>
      <c r="BP651" s="279">
        <v>0.16</v>
      </c>
      <c r="BQ651" s="284" cm="1">
        <f t="array" aca="1" ref="BQ651" ca="1">INDIRECT("'"&amp;$C651&amp;"'!"&amp;"$"&amp;$D651&amp;$BQ$1&amp;"")</f>
        <v>0.92</v>
      </c>
      <c r="BR651" s="281"/>
      <c r="BS651" s="281">
        <v>0.97</v>
      </c>
      <c r="BT651" s="279">
        <v>0.23</v>
      </c>
      <c r="BU651" s="284" cm="1">
        <f t="array" aca="1" ref="BU651" ca="1">INDIRECT("'"&amp;$C651&amp;"'!"&amp;"$"&amp;$D651&amp;74&amp;"")</f>
        <v>0</v>
      </c>
      <c r="BV651" s="281"/>
      <c r="BW651" s="281" t="s">
        <v>1</v>
      </c>
      <c r="BX651" s="279" t="s">
        <v>1</v>
      </c>
    </row>
    <row r="652" spans="1:76">
      <c r="A652" s="459">
        <v>45864</v>
      </c>
      <c r="B652" s="345">
        <v>0.91666666666666696</v>
      </c>
      <c r="C652" s="305">
        <v>26</v>
      </c>
      <c r="D652" s="306" t="s">
        <v>164</v>
      </c>
      <c r="E652" s="285">
        <v>14.1</v>
      </c>
      <c r="F652" s="286">
        <v>69.900000000000006</v>
      </c>
      <c r="G652" s="287" t="str" cm="1">
        <f t="array" aca="1" ref="G652" ca="1">INDIRECT("'"&amp;$C652&amp;"'!"&amp;"$"&amp;$D652&amp;$E$1&amp;"")</f>
        <v>CMS</v>
      </c>
      <c r="H652" s="288" t="s">
        <v>1</v>
      </c>
      <c r="I652" s="286" t="s">
        <v>1</v>
      </c>
      <c r="J652" s="287" cm="1">
        <f t="array" aca="1" ref="J652" ca="1">INDIRECT("'"&amp;$C652&amp;"'!"&amp;"$"&amp;$D652&amp;$J$1&amp;"")</f>
        <v>6.7</v>
      </c>
      <c r="K652" s="288"/>
      <c r="L652" s="288">
        <v>0.97</v>
      </c>
      <c r="M652" s="289">
        <v>1.67</v>
      </c>
      <c r="N652" s="285" cm="1">
        <f t="array" aca="1" ref="N652" ca="1">INDIRECT("'"&amp;$C652&amp;"'!"&amp;"$"&amp;$D652&amp;$N$1&amp;"")</f>
        <v>6.7</v>
      </c>
      <c r="O652" s="288"/>
      <c r="P652" s="288">
        <v>0.97</v>
      </c>
      <c r="Q652" s="286">
        <v>1.7</v>
      </c>
      <c r="R652" s="285" cm="1">
        <f t="array" aca="1" ref="R652" ca="1">INDIRECT("'"&amp;$C652&amp;"'!"&amp;"$"&amp;$D652&amp;$R$1&amp;"")</f>
        <v>6.7</v>
      </c>
      <c r="S652" s="288"/>
      <c r="T652" s="288">
        <v>0.98</v>
      </c>
      <c r="U652" s="286">
        <v>1.3</v>
      </c>
      <c r="V652" s="287" t="str" cm="1">
        <f t="array" aca="1" ref="V652" ca="1">INDIRECT("'"&amp;$C652&amp;"'!"&amp;"$"&amp;$D652&amp;$V$1&amp;"")</f>
        <v>CMS</v>
      </c>
      <c r="W652" s="288" t="s">
        <v>1</v>
      </c>
      <c r="X652" s="288" t="s">
        <v>1</v>
      </c>
      <c r="Y652" s="289" t="s">
        <v>1</v>
      </c>
      <c r="Z652" s="285" t="str" cm="1">
        <f t="array" aca="1" ref="Z652" ca="1">INDIRECT("'"&amp;$C652&amp;"'!"&amp;"$"&amp;$D652&amp;$Z$1&amp;"")</f>
        <v>CMS</v>
      </c>
      <c r="AA652" s="288" t="s">
        <v>1</v>
      </c>
      <c r="AB652" s="288" t="s">
        <v>1</v>
      </c>
      <c r="AC652" s="286" t="s">
        <v>1</v>
      </c>
      <c r="AD652" s="287" t="str" cm="1">
        <f t="array" aca="1" ref="AD652" ca="1">INDIRECT("'"&amp;$C652&amp;"'!"&amp;"$"&amp;$D652&amp;$AD$1&amp;"")</f>
        <v>CMS</v>
      </c>
      <c r="AE652" s="288" t="s">
        <v>1</v>
      </c>
      <c r="AF652" s="288" t="s">
        <v>1</v>
      </c>
      <c r="AG652" s="289" t="s">
        <v>1</v>
      </c>
      <c r="AH652" s="285" cm="1">
        <f t="array" aca="1" ref="AH652" ca="1">INDIRECT("'"&amp;$C652&amp;"'!"&amp;"$"&amp;$D652&amp;$AH$1&amp;"")</f>
        <v>0</v>
      </c>
      <c r="AI652" s="288" t="s">
        <v>1</v>
      </c>
      <c r="AJ652" s="288" t="s">
        <v>1</v>
      </c>
      <c r="AK652" s="286" t="s">
        <v>1</v>
      </c>
      <c r="AL652" s="285">
        <v>11.6</v>
      </c>
      <c r="AM652" s="289">
        <v>70.900000000000006</v>
      </c>
      <c r="AN652" s="285" cm="1">
        <f t="array" aca="1" ref="AN652" ca="1">INDIRECT("'"&amp;$C652&amp;"'!"&amp;"$"&amp;$D652&amp;$AL$1&amp;"")</f>
        <v>0</v>
      </c>
      <c r="AO652" s="288" t="s">
        <v>1</v>
      </c>
      <c r="AP652" s="286" t="s">
        <v>1</v>
      </c>
      <c r="AQ652" s="287" cm="1">
        <f t="array" aca="1" ref="AQ652" ca="1">INDIRECT("'"&amp;$C652&amp;"'!"&amp;"$"&amp;$D652&amp;$AQ$1&amp;"")</f>
        <v>2.5</v>
      </c>
      <c r="AR652" s="288">
        <v>0.95</v>
      </c>
      <c r="AS652" s="286">
        <v>0.82</v>
      </c>
      <c r="AT652" s="285">
        <v>13.98</v>
      </c>
      <c r="AU652" s="289">
        <v>70.400000000000006</v>
      </c>
      <c r="AV652" s="288" cm="1">
        <f t="array" aca="1" ref="AV652" ca="1">INDIRECT("'"&amp;$C652&amp;"'!"&amp;"$"&amp;$D652&amp;$AV$1&amp;"")</f>
        <v>0</v>
      </c>
      <c r="AW652" s="287" t="s">
        <v>1</v>
      </c>
      <c r="AX652" s="288" t="s">
        <v>1</v>
      </c>
      <c r="AY652" s="286" t="s">
        <v>1</v>
      </c>
      <c r="AZ652" s="288" cm="1">
        <f t="array" aca="1" ref="AZ652" ca="1">INDIRECT("'"&amp;$C652&amp;"'!"&amp;"$"&amp;$D652&amp;$AZ$1&amp;"")</f>
        <v>7</v>
      </c>
      <c r="BA652" s="287" t="s">
        <v>1</v>
      </c>
      <c r="BB652" s="288">
        <v>0.94</v>
      </c>
      <c r="BC652" s="286">
        <v>2.7</v>
      </c>
      <c r="BD652" s="290">
        <v>14.09</v>
      </c>
      <c r="BE652" s="289">
        <v>71.86</v>
      </c>
      <c r="BF652" s="290" cm="1">
        <f t="array" aca="1" ref="BF652" ca="1">INDIRECT("'"&amp;$C652&amp;"'!"&amp;"$"&amp;$D652&amp;$BF$1&amp;"")</f>
        <v>14.29</v>
      </c>
      <c r="BG652" s="288">
        <v>1</v>
      </c>
      <c r="BH652" s="286">
        <v>1.2</v>
      </c>
      <c r="BI652" s="525">
        <v>68.400000000000006</v>
      </c>
      <c r="BJ652" s="285" cm="1">
        <f t="array" aca="1" ref="BJ652" ca="1">INDIRECT("'"&amp;$C652&amp;"'!"&amp;"$"&amp;$D652&amp;$BI$1&amp;"")</f>
        <v>0</v>
      </c>
      <c r="BK652" s="287" t="s">
        <v>1</v>
      </c>
      <c r="BL652" s="286" t="s">
        <v>1</v>
      </c>
      <c r="BM652" s="290" cm="1">
        <f t="array" aca="1" ref="BM652" ca="1">INDIRECT("'"&amp;$C652&amp;"'!"&amp;"$"&amp;$D652&amp;$BM$1&amp;"")</f>
        <v>1.26</v>
      </c>
      <c r="BN652" s="288"/>
      <c r="BO652" s="288">
        <v>0.99</v>
      </c>
      <c r="BP652" s="286">
        <v>0.14000000000000001</v>
      </c>
      <c r="BQ652" s="291" cm="1">
        <f t="array" aca="1" ref="BQ652" ca="1">INDIRECT("'"&amp;$C652&amp;"'!"&amp;"$"&amp;$D652&amp;$BQ$1&amp;"")</f>
        <v>0.86</v>
      </c>
      <c r="BR652" s="288"/>
      <c r="BS652" s="288">
        <v>0.97</v>
      </c>
      <c r="BT652" s="286">
        <v>0.22</v>
      </c>
      <c r="BU652" s="291" cm="1">
        <f t="array" aca="1" ref="BU652" ca="1">INDIRECT("'"&amp;$C652&amp;"'!"&amp;"$"&amp;$D652&amp;74&amp;"")</f>
        <v>0</v>
      </c>
      <c r="BV652" s="288"/>
      <c r="BW652" s="288" t="s">
        <v>1</v>
      </c>
      <c r="BX652" s="286" t="s">
        <v>1</v>
      </c>
    </row>
    <row r="653" spans="1:76" ht="14.45" thickBot="1">
      <c r="A653" s="460">
        <v>45864</v>
      </c>
      <c r="B653" s="346">
        <v>0.95833333333333404</v>
      </c>
      <c r="C653" s="307">
        <v>26</v>
      </c>
      <c r="D653" s="308" t="s">
        <v>165</v>
      </c>
      <c r="E653" s="293">
        <v>14.1</v>
      </c>
      <c r="F653" s="294">
        <v>70.12</v>
      </c>
      <c r="G653" s="295" t="str" cm="1">
        <f t="array" aca="1" ref="G653" ca="1">INDIRECT("'"&amp;$C653&amp;"'!"&amp;"$"&amp;$D653&amp;$E$1&amp;"")</f>
        <v>CMS</v>
      </c>
      <c r="H653" s="296" t="s">
        <v>1</v>
      </c>
      <c r="I653" s="294" t="s">
        <v>1</v>
      </c>
      <c r="J653" s="295" cm="1">
        <f t="array" aca="1" ref="J653" ca="1">INDIRECT("'"&amp;$C653&amp;"'!"&amp;"$"&amp;$D653&amp;$J$1&amp;"")</f>
        <v>6.2</v>
      </c>
      <c r="K653" s="296"/>
      <c r="L653" s="296">
        <v>0.98</v>
      </c>
      <c r="M653" s="297">
        <v>1.28</v>
      </c>
      <c r="N653" s="293" cm="1">
        <f t="array" aca="1" ref="N653" ca="1">INDIRECT("'"&amp;$C653&amp;"'!"&amp;"$"&amp;$D653&amp;$N$1&amp;"")</f>
        <v>7</v>
      </c>
      <c r="O653" s="296"/>
      <c r="P653" s="296">
        <v>0.98</v>
      </c>
      <c r="Q653" s="294">
        <v>1.54</v>
      </c>
      <c r="R653" s="470" cm="1">
        <f t="array" aca="1" ref="R653" ca="1">INDIRECT("'"&amp;$C653&amp;"'!"&amp;"$"&amp;$D653&amp;$R$1&amp;"")</f>
        <v>6.2</v>
      </c>
      <c r="S653" s="296"/>
      <c r="T653" s="296">
        <v>0.98</v>
      </c>
      <c r="U653" s="294">
        <v>1.21</v>
      </c>
      <c r="V653" s="295" t="str" cm="1">
        <f t="array" aca="1" ref="V653" ca="1">INDIRECT("'"&amp;$C653&amp;"'!"&amp;"$"&amp;$D653&amp;$V$1&amp;"")</f>
        <v>CMS</v>
      </c>
      <c r="W653" s="296" t="s">
        <v>1</v>
      </c>
      <c r="X653" s="296" t="s">
        <v>1</v>
      </c>
      <c r="Y653" s="297" t="s">
        <v>1</v>
      </c>
      <c r="Z653" s="293" t="str" cm="1">
        <f t="array" aca="1" ref="Z653" ca="1">INDIRECT("'"&amp;$C653&amp;"'!"&amp;"$"&amp;$D653&amp;$Z$1&amp;"")</f>
        <v>CMS</v>
      </c>
      <c r="AA653" s="296" t="s">
        <v>1</v>
      </c>
      <c r="AB653" s="296" t="s">
        <v>1</v>
      </c>
      <c r="AC653" s="294" t="s">
        <v>1</v>
      </c>
      <c r="AD653" s="295" t="str" cm="1">
        <f t="array" aca="1" ref="AD653" ca="1">INDIRECT("'"&amp;$C653&amp;"'!"&amp;"$"&amp;$D653&amp;$AD$1&amp;"")</f>
        <v>CMS</v>
      </c>
      <c r="AE653" s="296" t="s">
        <v>1</v>
      </c>
      <c r="AF653" s="296" t="s">
        <v>1</v>
      </c>
      <c r="AG653" s="297" t="s">
        <v>1</v>
      </c>
      <c r="AH653" s="293" cm="1">
        <f t="array" aca="1" ref="AH653" ca="1">INDIRECT("'"&amp;$C653&amp;"'!"&amp;"$"&amp;$D653&amp;$AH$1&amp;"")</f>
        <v>0</v>
      </c>
      <c r="AI653" s="296" t="s">
        <v>1</v>
      </c>
      <c r="AJ653" s="296" t="s">
        <v>1</v>
      </c>
      <c r="AK653" s="294" t="s">
        <v>1</v>
      </c>
      <c r="AL653" s="293">
        <v>11.5</v>
      </c>
      <c r="AM653" s="297">
        <v>70.7</v>
      </c>
      <c r="AN653" s="293" cm="1">
        <f t="array" aca="1" ref="AN653" ca="1">INDIRECT("'"&amp;$C653&amp;"'!"&amp;"$"&amp;$D653&amp;$AL$1&amp;"")</f>
        <v>0</v>
      </c>
      <c r="AO653" s="296" t="s">
        <v>1</v>
      </c>
      <c r="AP653" s="294" t="s">
        <v>1</v>
      </c>
      <c r="AQ653" s="295" cm="1">
        <f t="array" aca="1" ref="AQ653" ca="1">INDIRECT("'"&amp;$C653&amp;"'!"&amp;"$"&amp;$D653&amp;$AQ$1&amp;"")</f>
        <v>1.5</v>
      </c>
      <c r="AR653" s="296">
        <v>0.92</v>
      </c>
      <c r="AS653" s="294">
        <v>0.78</v>
      </c>
      <c r="AT653" s="293">
        <v>13.91</v>
      </c>
      <c r="AU653" s="297">
        <v>70.3</v>
      </c>
      <c r="AV653" s="296" cm="1">
        <f t="array" aca="1" ref="AV653" ca="1">INDIRECT("'"&amp;$C653&amp;"'!"&amp;"$"&amp;$D653&amp;$AV$1&amp;"")</f>
        <v>0</v>
      </c>
      <c r="AW653" s="295" t="s">
        <v>1</v>
      </c>
      <c r="AX653" s="296" t="s">
        <v>1</v>
      </c>
      <c r="AY653" s="294" t="s">
        <v>1</v>
      </c>
      <c r="AZ653" s="296" cm="1">
        <f t="array" aca="1" ref="AZ653" ca="1">INDIRECT("'"&amp;$C653&amp;"'!"&amp;"$"&amp;$D653&amp;$AZ$1&amp;"")</f>
        <v>5.5</v>
      </c>
      <c r="BA653" s="295" t="s">
        <v>1</v>
      </c>
      <c r="BB653" s="296">
        <v>0.95</v>
      </c>
      <c r="BC653" s="294">
        <v>1.9</v>
      </c>
      <c r="BD653" s="298">
        <v>14.05</v>
      </c>
      <c r="BE653" s="297">
        <v>71.48</v>
      </c>
      <c r="BF653" s="298" cm="1">
        <f t="array" aca="1" ref="BF653" ca="1">INDIRECT("'"&amp;$C653&amp;"'!"&amp;"$"&amp;$D653&amp;$BF$1&amp;"")</f>
        <v>14.25</v>
      </c>
      <c r="BG653" s="296">
        <v>1</v>
      </c>
      <c r="BH653" s="294">
        <v>1.3</v>
      </c>
      <c r="BI653" s="526">
        <v>68.8</v>
      </c>
      <c r="BJ653" s="293" cm="1">
        <f t="array" aca="1" ref="BJ653" ca="1">INDIRECT("'"&amp;$C653&amp;"'!"&amp;"$"&amp;$D653&amp;$BI$1&amp;"")</f>
        <v>0</v>
      </c>
      <c r="BK653" s="295" t="s">
        <v>1</v>
      </c>
      <c r="BL653" s="294" t="s">
        <v>1</v>
      </c>
      <c r="BM653" s="298" cm="1">
        <f t="array" aca="1" ref="BM653" ca="1">INDIRECT("'"&amp;$C653&amp;"'!"&amp;"$"&amp;$D653&amp;$BM$1&amp;"")</f>
        <v>1.1399999999999999</v>
      </c>
      <c r="BN653" s="296"/>
      <c r="BO653" s="296">
        <v>0.99</v>
      </c>
      <c r="BP653" s="294">
        <v>0.12</v>
      </c>
      <c r="BQ653" s="299" cm="1">
        <f t="array" aca="1" ref="BQ653" ca="1">INDIRECT("'"&amp;$C653&amp;"'!"&amp;"$"&amp;$D653&amp;$BQ$1&amp;"")</f>
        <v>0.84</v>
      </c>
      <c r="BR653" s="296"/>
      <c r="BS653" s="296">
        <v>0.97</v>
      </c>
      <c r="BT653" s="294">
        <v>0.21</v>
      </c>
      <c r="BU653" s="299" cm="1">
        <f t="array" aca="1" ref="BU653" ca="1">INDIRECT("'"&amp;$C653&amp;"'!"&amp;"$"&amp;$D653&amp;74&amp;"")</f>
        <v>0</v>
      </c>
      <c r="BV653" s="296"/>
      <c r="BW653" s="296" t="s">
        <v>1</v>
      </c>
      <c r="BX653" s="294" t="s">
        <v>1</v>
      </c>
    </row>
    <row r="654" spans="1:76" ht="14.45" thickBot="1"/>
    <row r="655" spans="1:76">
      <c r="A655" s="347">
        <v>45865</v>
      </c>
      <c r="B655" s="344">
        <v>0</v>
      </c>
      <c r="C655" s="302">
        <v>27</v>
      </c>
      <c r="D655" s="303" t="s">
        <v>142</v>
      </c>
      <c r="E655" s="272">
        <v>14.1</v>
      </c>
      <c r="F655" s="273">
        <v>68.98</v>
      </c>
      <c r="G655" s="274" t="str" cm="1">
        <f t="array" aca="1" ref="G655" ca="1">INDIRECT("'"&amp;$C655&amp;"'!"&amp;"$"&amp;$D655&amp;$E$1&amp;"")</f>
        <v>CMS</v>
      </c>
      <c r="H655" s="275" t="s">
        <v>1</v>
      </c>
      <c r="I655" s="273" t="s">
        <v>1</v>
      </c>
      <c r="J655" s="274" cm="1">
        <f t="array" aca="1" ref="J655" ca="1">INDIRECT("'"&amp;$C655&amp;"'!"&amp;"$"&amp;$D655&amp;$J$1&amp;"")</f>
        <v>6.4</v>
      </c>
      <c r="K655" s="275"/>
      <c r="L655" s="275">
        <v>0.98</v>
      </c>
      <c r="M655" s="276">
        <v>1.24</v>
      </c>
      <c r="N655" s="272" cm="1">
        <f t="array" aca="1" ref="N655" ca="1">INDIRECT("'"&amp;$C655&amp;"'!"&amp;"$"&amp;$D655&amp;$N$1&amp;"")</f>
        <v>0</v>
      </c>
      <c r="O655" s="275"/>
      <c r="P655" s="275" t="s">
        <v>1</v>
      </c>
      <c r="Q655" s="273" t="s">
        <v>1</v>
      </c>
      <c r="R655" s="467" cm="1">
        <f t="array" aca="1" ref="R655" ca="1">INDIRECT("'"&amp;$C655&amp;"'!"&amp;"$"&amp;$D655&amp;$R$1&amp;"")</f>
        <v>6.4</v>
      </c>
      <c r="S655" s="275"/>
      <c r="T655" s="275">
        <v>0.97</v>
      </c>
      <c r="U655" s="273">
        <v>1.66</v>
      </c>
      <c r="V655" s="274" t="str" cm="1">
        <f t="array" aca="1" ref="V655" ca="1">INDIRECT("'"&amp;$C655&amp;"'!"&amp;"$"&amp;$D655&amp;$V$1&amp;"")</f>
        <v>CMS</v>
      </c>
      <c r="W655" s="275" t="s">
        <v>1</v>
      </c>
      <c r="X655" s="275" t="s">
        <v>1</v>
      </c>
      <c r="Y655" s="276" t="s">
        <v>1</v>
      </c>
      <c r="Z655" s="272" t="str" cm="1">
        <f t="array" aca="1" ref="Z655" ca="1">INDIRECT("'"&amp;$C655&amp;"'!"&amp;"$"&amp;$D655&amp;$Z$1&amp;"")</f>
        <v>CMS</v>
      </c>
      <c r="AA655" s="275" t="s">
        <v>1</v>
      </c>
      <c r="AB655" s="275" t="s">
        <v>1</v>
      </c>
      <c r="AC655" s="273" t="s">
        <v>1</v>
      </c>
      <c r="AD655" s="274" t="str" cm="1">
        <f t="array" aca="1" ref="AD655" ca="1">INDIRECT("'"&amp;$C655&amp;"'!"&amp;"$"&amp;$D655&amp;$AD$1&amp;"")</f>
        <v>CMS</v>
      </c>
      <c r="AE655" s="275" t="s">
        <v>1</v>
      </c>
      <c r="AF655" s="275" t="s">
        <v>1</v>
      </c>
      <c r="AG655" s="273" t="s">
        <v>1</v>
      </c>
      <c r="AH655" s="272" cm="1">
        <f t="array" aca="1" ref="AH655" ca="1">INDIRECT("'"&amp;$C655&amp;"'!"&amp;"$"&amp;$D655&amp;$AH$1&amp;"")</f>
        <v>0</v>
      </c>
      <c r="AI655" s="275" t="s">
        <v>1</v>
      </c>
      <c r="AJ655" s="275" t="s">
        <v>1</v>
      </c>
      <c r="AK655" s="273" t="s">
        <v>1</v>
      </c>
      <c r="AL655" s="272">
        <v>11.5</v>
      </c>
      <c r="AM655" s="276">
        <v>70.900000000000006</v>
      </c>
      <c r="AN655" s="272" cm="1">
        <f t="array" aca="1" ref="AN655" ca="1">INDIRECT("'"&amp;$C655&amp;"'!"&amp;"$"&amp;$D655&amp;$AL$1&amp;"")</f>
        <v>0</v>
      </c>
      <c r="AO655" s="275" t="s">
        <v>1</v>
      </c>
      <c r="AP655" s="273" t="s">
        <v>1</v>
      </c>
      <c r="AQ655" s="274" cm="1">
        <f t="array" aca="1" ref="AQ655" ca="1">INDIRECT("'"&amp;$C655&amp;"'!"&amp;"$"&amp;$D655&amp;$AQ$1&amp;"")</f>
        <v>3.5</v>
      </c>
      <c r="AR655" s="275">
        <v>0.99</v>
      </c>
      <c r="AS655" s="273">
        <v>0.38</v>
      </c>
      <c r="AT655" s="272">
        <v>13.93</v>
      </c>
      <c r="AU655" s="276">
        <v>70.3</v>
      </c>
      <c r="AV655" s="275" cm="1">
        <f t="array" aca="1" ref="AV655" ca="1">INDIRECT("'"&amp;$C655&amp;"'!"&amp;"$"&amp;$D655&amp;$AV$1&amp;"")</f>
        <v>0</v>
      </c>
      <c r="AW655" s="274" t="s">
        <v>1</v>
      </c>
      <c r="AX655" s="275" t="s">
        <v>1</v>
      </c>
      <c r="AY655" s="273" t="s">
        <v>1</v>
      </c>
      <c r="AZ655" s="275" cm="1">
        <f t="array" aca="1" ref="AZ655" ca="1">INDIRECT("'"&amp;$C655&amp;"'!"&amp;"$"&amp;$D655&amp;$AZ$1&amp;"")</f>
        <v>7</v>
      </c>
      <c r="BA655" s="274" t="s">
        <v>1</v>
      </c>
      <c r="BB655" s="275">
        <v>0.97</v>
      </c>
      <c r="BC655" s="273">
        <v>1.6</v>
      </c>
      <c r="BD655" s="277">
        <v>14.05</v>
      </c>
      <c r="BE655" s="276">
        <v>71.55</v>
      </c>
      <c r="BF655" s="277" cm="1">
        <f t="array" aca="1" ref="BF655" ca="1">INDIRECT("'"&amp;$C655&amp;"'!"&amp;"$"&amp;$D655&amp;$BF$1&amp;"")</f>
        <v>14.28</v>
      </c>
      <c r="BG655" s="275">
        <v>1</v>
      </c>
      <c r="BH655" s="273">
        <v>1.3</v>
      </c>
      <c r="BI655" s="523">
        <v>68.7</v>
      </c>
      <c r="BJ655" s="272" cm="1">
        <f t="array" aca="1" ref="BJ655" ca="1">INDIRECT("'"&amp;$C655&amp;"'!"&amp;"$"&amp;$D655&amp;$BI$1&amp;"")</f>
        <v>0</v>
      </c>
      <c r="BK655" s="274" t="s">
        <v>1</v>
      </c>
      <c r="BL655" s="273" t="s">
        <v>1</v>
      </c>
      <c r="BM655" s="277" cm="1">
        <f t="array" aca="1" ref="BM655" ca="1">INDIRECT("'"&amp;$C655&amp;"'!"&amp;"$"&amp;$D655&amp;$BM$1&amp;"")</f>
        <v>1</v>
      </c>
      <c r="BN655" s="275"/>
      <c r="BO655" s="275">
        <v>0.99</v>
      </c>
      <c r="BP655" s="273">
        <v>0.11</v>
      </c>
      <c r="BQ655" s="277" cm="1">
        <f t="array" aca="1" ref="BQ655" ca="1">INDIRECT("'"&amp;$C655&amp;"'!"&amp;"$"&amp;$D655&amp;$BQ$1&amp;"")</f>
        <v>0.8</v>
      </c>
      <c r="BR655" s="275"/>
      <c r="BS655" s="275">
        <v>0.96</v>
      </c>
      <c r="BT655" s="273">
        <v>0.2</v>
      </c>
      <c r="BU655" s="358" cm="1">
        <f t="array" aca="1" ref="BU655" ca="1">INDIRECT("'"&amp;$C655&amp;"'!"&amp;"$"&amp;$D655&amp;74&amp;"")</f>
        <v>0</v>
      </c>
      <c r="BV655" s="275"/>
      <c r="BW655" s="275" t="s">
        <v>1</v>
      </c>
      <c r="BX655" s="273" t="s">
        <v>1</v>
      </c>
    </row>
    <row r="656" spans="1:76">
      <c r="A656" s="459">
        <v>45865</v>
      </c>
      <c r="B656" s="345">
        <v>4.1666666666666699E-2</v>
      </c>
      <c r="C656" s="305">
        <v>27</v>
      </c>
      <c r="D656" s="306" t="s">
        <v>143</v>
      </c>
      <c r="E656" s="278">
        <v>14.1</v>
      </c>
      <c r="F656" s="279">
        <v>70.23</v>
      </c>
      <c r="G656" s="280" t="str" cm="1">
        <f t="array" aca="1" ref="G656" ca="1">INDIRECT("'"&amp;$C656&amp;"'!"&amp;"$"&amp;$D656&amp;$E$1&amp;"")</f>
        <v>CMS</v>
      </c>
      <c r="H656" s="281" t="s">
        <v>1</v>
      </c>
      <c r="I656" s="279" t="s">
        <v>1</v>
      </c>
      <c r="J656" s="280" cm="1">
        <f t="array" aca="1" ref="J656" ca="1">INDIRECT("'"&amp;$C656&amp;"'!"&amp;"$"&amp;$D656&amp;$J$1&amp;"")</f>
        <v>6.5</v>
      </c>
      <c r="K656" s="281"/>
      <c r="L656" s="281">
        <v>0.98</v>
      </c>
      <c r="M656" s="282">
        <v>1.29</v>
      </c>
      <c r="N656" s="278" cm="1">
        <f t="array" aca="1" ref="N656" ca="1">INDIRECT("'"&amp;$C656&amp;"'!"&amp;"$"&amp;$D656&amp;$N$1&amp;"")</f>
        <v>0</v>
      </c>
      <c r="O656" s="281"/>
      <c r="P656" s="281" t="s">
        <v>1</v>
      </c>
      <c r="Q656" s="279" t="s">
        <v>1</v>
      </c>
      <c r="R656" s="468" cm="1">
        <f t="array" aca="1" ref="R656" ca="1">INDIRECT("'"&amp;$C656&amp;"'!"&amp;"$"&amp;$D656&amp;$R$1&amp;"")</f>
        <v>6.5</v>
      </c>
      <c r="S656" s="281"/>
      <c r="T656" s="281">
        <v>0.98</v>
      </c>
      <c r="U656" s="279">
        <v>1.22</v>
      </c>
      <c r="V656" s="280" t="str" cm="1">
        <f t="array" aca="1" ref="V656" ca="1">INDIRECT("'"&amp;$C656&amp;"'!"&amp;"$"&amp;$D656&amp;$V$1&amp;"")</f>
        <v>CMS</v>
      </c>
      <c r="W656" s="281" t="s">
        <v>1</v>
      </c>
      <c r="X656" s="281" t="s">
        <v>1</v>
      </c>
      <c r="Y656" s="282" t="s">
        <v>1</v>
      </c>
      <c r="Z656" s="278" t="str" cm="1">
        <f t="array" aca="1" ref="Z656" ca="1">INDIRECT("'"&amp;$C656&amp;"'!"&amp;"$"&amp;$D656&amp;$Z$1&amp;"")</f>
        <v>CMS</v>
      </c>
      <c r="AA656" s="281" t="s">
        <v>1</v>
      </c>
      <c r="AB656" s="281" t="s">
        <v>1</v>
      </c>
      <c r="AC656" s="279" t="s">
        <v>1</v>
      </c>
      <c r="AD656" s="280" t="str" cm="1">
        <f t="array" aca="1" ref="AD656" ca="1">INDIRECT("'"&amp;$C656&amp;"'!"&amp;"$"&amp;$D656&amp;$AD$1&amp;"")</f>
        <v>CMS</v>
      </c>
      <c r="AE656" s="281" t="s">
        <v>1</v>
      </c>
      <c r="AF656" s="281" t="s">
        <v>1</v>
      </c>
      <c r="AG656" s="282" t="s">
        <v>1</v>
      </c>
      <c r="AH656" s="278" cm="1">
        <f t="array" aca="1" ref="AH656" ca="1">INDIRECT("'"&amp;$C656&amp;"'!"&amp;"$"&amp;$D656&amp;$AH$1&amp;"")</f>
        <v>0</v>
      </c>
      <c r="AI656" s="281" t="s">
        <v>1</v>
      </c>
      <c r="AJ656" s="281" t="s">
        <v>1</v>
      </c>
      <c r="AK656" s="279" t="s">
        <v>1</v>
      </c>
      <c r="AL656" s="278" t="s">
        <v>1</v>
      </c>
      <c r="AM656" s="282">
        <v>70.900000000000006</v>
      </c>
      <c r="AN656" s="278" cm="1">
        <f t="array" aca="1" ref="AN656" ca="1">INDIRECT("'"&amp;$C656&amp;"'!"&amp;"$"&amp;$D656&amp;$AL$1&amp;"")</f>
        <v>0</v>
      </c>
      <c r="AO656" s="281" t="s">
        <v>1</v>
      </c>
      <c r="AP656" s="279" t="s">
        <v>1</v>
      </c>
      <c r="AQ656" s="280" cm="1">
        <f t="array" aca="1" ref="AQ656" ca="1">INDIRECT("'"&amp;$C656&amp;"'!"&amp;"$"&amp;$D656&amp;$AQ$1&amp;"")</f>
        <v>0</v>
      </c>
      <c r="AR656" s="281" t="s">
        <v>1</v>
      </c>
      <c r="AS656" s="279" t="s">
        <v>1</v>
      </c>
      <c r="AT656" s="278">
        <v>13.93</v>
      </c>
      <c r="AU656" s="282">
        <v>70.400000000000006</v>
      </c>
      <c r="AV656" s="281" cm="1">
        <f t="array" aca="1" ref="AV656" ca="1">INDIRECT("'"&amp;$C656&amp;"'!"&amp;"$"&amp;$D656&amp;$AV$1&amp;"")</f>
        <v>0</v>
      </c>
      <c r="AW656" s="280" t="s">
        <v>1</v>
      </c>
      <c r="AX656" s="281" t="s">
        <v>1</v>
      </c>
      <c r="AY656" s="279" t="s">
        <v>1</v>
      </c>
      <c r="AZ656" s="281" cm="1">
        <f t="array" aca="1" ref="AZ656" ca="1">INDIRECT("'"&amp;$C656&amp;"'!"&amp;"$"&amp;$D656&amp;$AZ$1&amp;"")</f>
        <v>7.1</v>
      </c>
      <c r="BA656" s="280" t="s">
        <v>1</v>
      </c>
      <c r="BB656" s="281">
        <v>0.98</v>
      </c>
      <c r="BC656" s="279">
        <v>1.6</v>
      </c>
      <c r="BD656" s="283">
        <v>14.12</v>
      </c>
      <c r="BE656" s="282">
        <v>71.930000000000007</v>
      </c>
      <c r="BF656" s="283" cm="1">
        <f t="array" aca="1" ref="BF656" ca="1">INDIRECT("'"&amp;$C656&amp;"'!"&amp;"$"&amp;$D656&amp;$BF$1&amp;"")</f>
        <v>14.27</v>
      </c>
      <c r="BG656" s="281">
        <v>1</v>
      </c>
      <c r="BH656" s="279">
        <v>1.3</v>
      </c>
      <c r="BI656" s="524">
        <v>68.900000000000006</v>
      </c>
      <c r="BJ656" s="278" cm="1">
        <f t="array" aca="1" ref="BJ656" ca="1">INDIRECT("'"&amp;$C656&amp;"'!"&amp;"$"&amp;$D656&amp;$BI$1&amp;"")</f>
        <v>0</v>
      </c>
      <c r="BK656" s="280" t="s">
        <v>1</v>
      </c>
      <c r="BL656" s="279" t="s">
        <v>1</v>
      </c>
      <c r="BM656" s="283" cm="1">
        <f t="array" aca="1" ref="BM656" ca="1">INDIRECT("'"&amp;$C656&amp;"'!"&amp;"$"&amp;$D656&amp;$BM$1&amp;"")</f>
        <v>0.98</v>
      </c>
      <c r="BN656" s="281"/>
      <c r="BO656" s="281">
        <v>0.99</v>
      </c>
      <c r="BP656" s="279">
        <v>0.1</v>
      </c>
      <c r="BQ656" s="283" cm="1">
        <f t="array" aca="1" ref="BQ656" ca="1">INDIRECT("'"&amp;$C656&amp;"'!"&amp;"$"&amp;$D656&amp;$BQ$1&amp;"")</f>
        <v>0.78</v>
      </c>
      <c r="BR656" s="281"/>
      <c r="BS656" s="281">
        <v>0.97</v>
      </c>
      <c r="BT656" s="279">
        <v>0.2</v>
      </c>
      <c r="BU656" s="284" cm="1">
        <f t="array" aca="1" ref="BU656" ca="1">INDIRECT("'"&amp;$C656&amp;"'!"&amp;"$"&amp;$D656&amp;74&amp;"")</f>
        <v>0</v>
      </c>
      <c r="BV656" s="281"/>
      <c r="BW656" s="281" t="s">
        <v>1</v>
      </c>
      <c r="BX656" s="279" t="s">
        <v>1</v>
      </c>
    </row>
    <row r="657" spans="1:76">
      <c r="A657" s="459">
        <v>45865</v>
      </c>
      <c r="B657" s="345">
        <v>8.3333333333333301E-2</v>
      </c>
      <c r="C657" s="305">
        <v>27</v>
      </c>
      <c r="D657" s="306" t="s">
        <v>144</v>
      </c>
      <c r="E657" s="285">
        <v>14.1</v>
      </c>
      <c r="F657" s="286">
        <v>70.459999999999994</v>
      </c>
      <c r="G657" s="287" t="str" cm="1">
        <f t="array" aca="1" ref="G657" ca="1">INDIRECT("'"&amp;$C657&amp;"'!"&amp;"$"&amp;$D657&amp;$E$1&amp;"")</f>
        <v>CMS</v>
      </c>
      <c r="H657" s="288" t="s">
        <v>1</v>
      </c>
      <c r="I657" s="286" t="s">
        <v>1</v>
      </c>
      <c r="J657" s="287" cm="1">
        <f t="array" aca="1" ref="J657" ca="1">INDIRECT("'"&amp;$C657&amp;"'!"&amp;"$"&amp;$D657&amp;$J$1&amp;"")</f>
        <v>6.6</v>
      </c>
      <c r="K657" s="288"/>
      <c r="L657" s="288">
        <v>0.98</v>
      </c>
      <c r="M657" s="289">
        <v>1.3</v>
      </c>
      <c r="N657" s="285" cm="1">
        <f t="array" aca="1" ref="N657" ca="1">INDIRECT("'"&amp;$C657&amp;"'!"&amp;"$"&amp;$D657&amp;$N$1&amp;"")</f>
        <v>0</v>
      </c>
      <c r="O657" s="288"/>
      <c r="P657" s="288" t="s">
        <v>1</v>
      </c>
      <c r="Q657" s="286" t="s">
        <v>1</v>
      </c>
      <c r="R657" s="285" cm="1">
        <f t="array" aca="1" ref="R657" ca="1">INDIRECT("'"&amp;$C657&amp;"'!"&amp;"$"&amp;$D657&amp;$R$1&amp;"")</f>
        <v>6.6</v>
      </c>
      <c r="S657" s="288"/>
      <c r="T657" s="288">
        <v>0.99</v>
      </c>
      <c r="U657" s="286">
        <v>1</v>
      </c>
      <c r="V657" s="287" t="str" cm="1">
        <f t="array" aca="1" ref="V657" ca="1">INDIRECT("'"&amp;$C657&amp;"'!"&amp;"$"&amp;$D657&amp;$V$1&amp;"")</f>
        <v>CMS</v>
      </c>
      <c r="W657" s="288" t="s">
        <v>1</v>
      </c>
      <c r="X657" s="288" t="s">
        <v>1</v>
      </c>
      <c r="Y657" s="289" t="s">
        <v>1</v>
      </c>
      <c r="Z657" s="278" t="str" cm="1">
        <f t="array" aca="1" ref="Z657" ca="1">INDIRECT("'"&amp;$C657&amp;"'!"&amp;"$"&amp;$D657&amp;$Z$1&amp;"")</f>
        <v>CMS</v>
      </c>
      <c r="AA657" s="288" t="s">
        <v>1</v>
      </c>
      <c r="AB657" s="288" t="s">
        <v>1</v>
      </c>
      <c r="AC657" s="286" t="s">
        <v>1</v>
      </c>
      <c r="AD657" s="287" t="str" cm="1">
        <f t="array" aca="1" ref="AD657" ca="1">INDIRECT("'"&amp;$C657&amp;"'!"&amp;"$"&amp;$D657&amp;$AD$1&amp;"")</f>
        <v>CMS</v>
      </c>
      <c r="AE657" s="288" t="s">
        <v>1</v>
      </c>
      <c r="AF657" s="288" t="s">
        <v>1</v>
      </c>
      <c r="AG657" s="289" t="s">
        <v>1</v>
      </c>
      <c r="AH657" s="285" cm="1">
        <f t="array" aca="1" ref="AH657" ca="1">INDIRECT("'"&amp;$C657&amp;"'!"&amp;"$"&amp;$D657&amp;$AH$1&amp;"")</f>
        <v>0</v>
      </c>
      <c r="AI657" s="288" t="s">
        <v>1</v>
      </c>
      <c r="AJ657" s="288" t="s">
        <v>1</v>
      </c>
      <c r="AK657" s="289" t="s">
        <v>1</v>
      </c>
      <c r="AL657" s="285" t="s">
        <v>1</v>
      </c>
      <c r="AM657" s="289">
        <v>70.900000000000006</v>
      </c>
      <c r="AN657" s="285" cm="1">
        <f t="array" aca="1" ref="AN657" ca="1">INDIRECT("'"&amp;$C657&amp;"'!"&amp;"$"&amp;$D657&amp;$AL$1&amp;"")</f>
        <v>0</v>
      </c>
      <c r="AO657" s="288" t="s">
        <v>1</v>
      </c>
      <c r="AP657" s="286" t="s">
        <v>1</v>
      </c>
      <c r="AQ657" s="287" cm="1">
        <f t="array" aca="1" ref="AQ657" ca="1">INDIRECT("'"&amp;$C657&amp;"'!"&amp;"$"&amp;$D657&amp;$AQ$1&amp;"")</f>
        <v>0</v>
      </c>
      <c r="AR657" s="288" t="s">
        <v>1</v>
      </c>
      <c r="AS657" s="286" t="s">
        <v>1</v>
      </c>
      <c r="AT657" s="285">
        <v>13.94</v>
      </c>
      <c r="AU657" s="289">
        <v>70.3</v>
      </c>
      <c r="AV657" s="288" cm="1">
        <f t="array" aca="1" ref="AV657" ca="1">INDIRECT("'"&amp;$C657&amp;"'!"&amp;"$"&amp;$D657&amp;$AV$1&amp;"")</f>
        <v>0</v>
      </c>
      <c r="AW657" s="287" t="s">
        <v>1</v>
      </c>
      <c r="AX657" s="288" t="s">
        <v>1</v>
      </c>
      <c r="AY657" s="286" t="s">
        <v>1</v>
      </c>
      <c r="AZ657" s="288" cm="1">
        <f t="array" aca="1" ref="AZ657" ca="1">INDIRECT("'"&amp;$C657&amp;"'!"&amp;"$"&amp;$D657&amp;$AZ$1&amp;"")</f>
        <v>5.5</v>
      </c>
      <c r="BA657" s="287" t="s">
        <v>1</v>
      </c>
      <c r="BB657" s="288">
        <v>0.97</v>
      </c>
      <c r="BC657" s="286">
        <v>1.5</v>
      </c>
      <c r="BD657" s="290">
        <v>14.12</v>
      </c>
      <c r="BE657" s="289">
        <v>71.86</v>
      </c>
      <c r="BF657" s="290" cm="1">
        <f t="array" aca="1" ref="BF657" ca="1">INDIRECT("'"&amp;$C657&amp;"'!"&amp;"$"&amp;$D657&amp;$BF$1&amp;"")</f>
        <v>14.31</v>
      </c>
      <c r="BG657" s="288">
        <v>1</v>
      </c>
      <c r="BH657" s="286">
        <v>1.2</v>
      </c>
      <c r="BI657" s="525">
        <v>68.900000000000006</v>
      </c>
      <c r="BJ657" s="285" cm="1">
        <f t="array" aca="1" ref="BJ657" ca="1">INDIRECT("'"&amp;$C657&amp;"'!"&amp;"$"&amp;$D657&amp;$BI$1&amp;"")</f>
        <v>0</v>
      </c>
      <c r="BK657" s="287" t="s">
        <v>1</v>
      </c>
      <c r="BL657" s="286" t="s">
        <v>1</v>
      </c>
      <c r="BM657" s="290" cm="1">
        <f t="array" aca="1" ref="BM657" ca="1">INDIRECT("'"&amp;$C657&amp;"'!"&amp;"$"&amp;$D657&amp;$BM$1&amp;"")</f>
        <v>0.93</v>
      </c>
      <c r="BN657" s="288"/>
      <c r="BO657" s="288">
        <v>0.99</v>
      </c>
      <c r="BP657" s="286">
        <v>0.1</v>
      </c>
      <c r="BQ657" s="290" cm="1">
        <f t="array" aca="1" ref="BQ657" ca="1">INDIRECT("'"&amp;$C657&amp;"'!"&amp;"$"&amp;$D657&amp;$BQ$1&amp;"")</f>
        <v>0.74</v>
      </c>
      <c r="BR657" s="288"/>
      <c r="BS657" s="288">
        <v>0.96</v>
      </c>
      <c r="BT657" s="286">
        <v>0.19</v>
      </c>
      <c r="BU657" s="291" cm="1">
        <f t="array" aca="1" ref="BU657" ca="1">INDIRECT("'"&amp;$C657&amp;"'!"&amp;"$"&amp;$D657&amp;74&amp;"")</f>
        <v>0</v>
      </c>
      <c r="BV657" s="288"/>
      <c r="BW657" s="288" t="s">
        <v>1</v>
      </c>
      <c r="BX657" s="286" t="s">
        <v>1</v>
      </c>
    </row>
    <row r="658" spans="1:76">
      <c r="A658" s="459">
        <v>45865</v>
      </c>
      <c r="B658" s="345">
        <v>0.125</v>
      </c>
      <c r="C658" s="305">
        <v>27</v>
      </c>
      <c r="D658" s="306" t="s">
        <v>145</v>
      </c>
      <c r="E658" s="278">
        <v>14.1</v>
      </c>
      <c r="F658" s="279">
        <v>70.489999999999995</v>
      </c>
      <c r="G658" s="280" t="str" cm="1">
        <f t="array" aca="1" ref="G658" ca="1">INDIRECT("'"&amp;$C658&amp;"'!"&amp;"$"&amp;$D658&amp;$E$1&amp;"")</f>
        <v>CMS</v>
      </c>
      <c r="H658" s="281" t="s">
        <v>1</v>
      </c>
      <c r="I658" s="279" t="s">
        <v>1</v>
      </c>
      <c r="J658" s="280" cm="1">
        <f t="array" aca="1" ref="J658" ca="1">INDIRECT("'"&amp;$C658&amp;"'!"&amp;"$"&amp;$D658&amp;$J$1&amp;"")</f>
        <v>6.5</v>
      </c>
      <c r="K658" s="281"/>
      <c r="L658" s="281">
        <v>0.99</v>
      </c>
      <c r="M658" s="282">
        <v>1.04</v>
      </c>
      <c r="N658" s="278" cm="1">
        <f t="array" aca="1" ref="N658" ca="1">INDIRECT("'"&amp;$C658&amp;"'!"&amp;"$"&amp;$D658&amp;$N$1&amp;"")</f>
        <v>0</v>
      </c>
      <c r="O658" s="281"/>
      <c r="P658" s="281" t="s">
        <v>1</v>
      </c>
      <c r="Q658" s="279" t="s">
        <v>1</v>
      </c>
      <c r="R658" s="468" cm="1">
        <f t="array" aca="1" ref="R658" ca="1">INDIRECT("'"&amp;$C658&amp;"'!"&amp;"$"&amp;$D658&amp;$R$1&amp;"")</f>
        <v>6.5</v>
      </c>
      <c r="S658" s="281"/>
      <c r="T658" s="281">
        <v>0.99</v>
      </c>
      <c r="U658" s="279">
        <v>1.02</v>
      </c>
      <c r="V658" s="280" t="str" cm="1">
        <f t="array" aca="1" ref="V658" ca="1">INDIRECT("'"&amp;$C658&amp;"'!"&amp;"$"&amp;$D658&amp;$V$1&amp;"")</f>
        <v>CMS</v>
      </c>
      <c r="W658" s="281" t="s">
        <v>1</v>
      </c>
      <c r="X658" s="281" t="s">
        <v>1</v>
      </c>
      <c r="Y658" s="282" t="s">
        <v>1</v>
      </c>
      <c r="Z658" s="278" t="str" cm="1">
        <f t="array" aca="1" ref="Z658" ca="1">INDIRECT("'"&amp;$C658&amp;"'!"&amp;"$"&amp;$D658&amp;$Z$1&amp;"")</f>
        <v>CMS</v>
      </c>
      <c r="AA658" s="281" t="s">
        <v>1</v>
      </c>
      <c r="AB658" s="281" t="s">
        <v>1</v>
      </c>
      <c r="AC658" s="279" t="s">
        <v>1</v>
      </c>
      <c r="AD658" s="280" t="str" cm="1">
        <f t="array" aca="1" ref="AD658" ca="1">INDIRECT("'"&amp;$C658&amp;"'!"&amp;"$"&amp;$D658&amp;$AD$1&amp;"")</f>
        <v>CMS</v>
      </c>
      <c r="AE658" s="281" t="s">
        <v>1</v>
      </c>
      <c r="AF658" s="281" t="s">
        <v>1</v>
      </c>
      <c r="AG658" s="282" t="s">
        <v>1</v>
      </c>
      <c r="AH658" s="278" cm="1">
        <f t="array" aca="1" ref="AH658" ca="1">INDIRECT("'"&amp;$C658&amp;"'!"&amp;"$"&amp;$D658&amp;$AH$1&amp;"")</f>
        <v>0</v>
      </c>
      <c r="AI658" s="281" t="s">
        <v>1</v>
      </c>
      <c r="AJ658" s="281" t="s">
        <v>1</v>
      </c>
      <c r="AK658" s="279" t="s">
        <v>1</v>
      </c>
      <c r="AL658" s="278" t="s">
        <v>1</v>
      </c>
      <c r="AM658" s="282">
        <v>71</v>
      </c>
      <c r="AN658" s="278" cm="1">
        <f t="array" aca="1" ref="AN658" ca="1">INDIRECT("'"&amp;$C658&amp;"'!"&amp;"$"&amp;$D658&amp;$AL$1&amp;"")</f>
        <v>0</v>
      </c>
      <c r="AO658" s="281" t="s">
        <v>1</v>
      </c>
      <c r="AP658" s="279" t="s">
        <v>1</v>
      </c>
      <c r="AQ658" s="280" cm="1">
        <f t="array" aca="1" ref="AQ658" ca="1">INDIRECT("'"&amp;$C658&amp;"'!"&amp;"$"&amp;$D658&amp;$AQ$1&amp;"")</f>
        <v>0</v>
      </c>
      <c r="AR658" s="281" t="s">
        <v>1</v>
      </c>
      <c r="AS658" s="279" t="s">
        <v>1</v>
      </c>
      <c r="AT658" s="278">
        <v>13.94</v>
      </c>
      <c r="AU658" s="282">
        <v>70.3</v>
      </c>
      <c r="AV658" s="281" cm="1">
        <f t="array" aca="1" ref="AV658" ca="1">INDIRECT("'"&amp;$C658&amp;"'!"&amp;"$"&amp;$D658&amp;$AV$1&amp;"")</f>
        <v>0</v>
      </c>
      <c r="AW658" s="280" t="s">
        <v>1</v>
      </c>
      <c r="AX658" s="281" t="s">
        <v>1</v>
      </c>
      <c r="AY658" s="279" t="s">
        <v>1</v>
      </c>
      <c r="AZ658" s="281" cm="1">
        <f t="array" aca="1" ref="AZ658" ca="1">INDIRECT("'"&amp;$C658&amp;"'!"&amp;"$"&amp;$D658&amp;$AZ$1&amp;"")</f>
        <v>4.5</v>
      </c>
      <c r="BA658" s="280" t="s">
        <v>1</v>
      </c>
      <c r="BB658" s="281">
        <v>0.95</v>
      </c>
      <c r="BC658" s="279">
        <v>1.5</v>
      </c>
      <c r="BD658" s="283">
        <v>14.15</v>
      </c>
      <c r="BE658" s="282">
        <v>71.95</v>
      </c>
      <c r="BF658" s="283" cm="1">
        <f t="array" aca="1" ref="BF658" ca="1">INDIRECT("'"&amp;$C658&amp;"'!"&amp;"$"&amp;$D658&amp;$BF$1&amp;"")</f>
        <v>14.26</v>
      </c>
      <c r="BG658" s="281">
        <v>1</v>
      </c>
      <c r="BH658" s="279">
        <v>1.2</v>
      </c>
      <c r="BI658" s="524">
        <v>69.3</v>
      </c>
      <c r="BJ658" s="278" cm="1">
        <f t="array" aca="1" ref="BJ658" ca="1">INDIRECT("'"&amp;$C658&amp;"'!"&amp;"$"&amp;$D658&amp;$BI$1&amp;"")</f>
        <v>0</v>
      </c>
      <c r="BK658" s="280" t="s">
        <v>1</v>
      </c>
      <c r="BL658" s="279" t="s">
        <v>1</v>
      </c>
      <c r="BM658" s="283" cm="1">
        <f t="array" aca="1" ref="BM658" ca="1">INDIRECT("'"&amp;$C658&amp;"'!"&amp;"$"&amp;$D658&amp;$BM$1&amp;"")</f>
        <v>0.99</v>
      </c>
      <c r="BN658" s="281"/>
      <c r="BO658" s="281">
        <v>0.99</v>
      </c>
      <c r="BP658" s="279">
        <v>0.09</v>
      </c>
      <c r="BQ658" s="283" cm="1">
        <f t="array" aca="1" ref="BQ658" ca="1">INDIRECT("'"&amp;$C658&amp;"'!"&amp;"$"&amp;$D658&amp;$BQ$1&amp;"")</f>
        <v>0.72</v>
      </c>
      <c r="BR658" s="281"/>
      <c r="BS658" s="281">
        <v>0.96</v>
      </c>
      <c r="BT658" s="279">
        <v>0.19</v>
      </c>
      <c r="BU658" s="284" cm="1">
        <f t="array" aca="1" ref="BU658" ca="1">INDIRECT("'"&amp;$C658&amp;"'!"&amp;"$"&amp;$D658&amp;74&amp;"")</f>
        <v>0</v>
      </c>
      <c r="BV658" s="281"/>
      <c r="BW658" s="281" t="s">
        <v>1</v>
      </c>
      <c r="BX658" s="279" t="s">
        <v>1</v>
      </c>
    </row>
    <row r="659" spans="1:76">
      <c r="A659" s="459">
        <v>45865</v>
      </c>
      <c r="B659" s="345">
        <v>0.16666666666666699</v>
      </c>
      <c r="C659" s="305">
        <v>27</v>
      </c>
      <c r="D659" s="306" t="s">
        <v>146</v>
      </c>
      <c r="E659" s="285">
        <v>14.1</v>
      </c>
      <c r="F659" s="286">
        <v>70.569999999999993</v>
      </c>
      <c r="G659" s="287" t="str" cm="1">
        <f t="array" aca="1" ref="G659" ca="1">INDIRECT("'"&amp;$C659&amp;"'!"&amp;"$"&amp;$D659&amp;$E$1&amp;"")</f>
        <v>CMS</v>
      </c>
      <c r="H659" s="288" t="s">
        <v>1</v>
      </c>
      <c r="I659" s="286" t="s">
        <v>1</v>
      </c>
      <c r="J659" s="287" cm="1">
        <f t="array" aca="1" ref="J659" ca="1">INDIRECT("'"&amp;$C659&amp;"'!"&amp;"$"&amp;$D659&amp;$J$1&amp;"")</f>
        <v>6.6</v>
      </c>
      <c r="K659" s="288"/>
      <c r="L659" s="288">
        <v>0.99</v>
      </c>
      <c r="M659" s="286">
        <v>1.03</v>
      </c>
      <c r="N659" s="285" cm="1">
        <f t="array" aca="1" ref="N659" ca="1">INDIRECT("'"&amp;$C659&amp;"'!"&amp;"$"&amp;$D659&amp;$N$1&amp;"")</f>
        <v>0</v>
      </c>
      <c r="O659" s="288"/>
      <c r="P659" s="288" t="s">
        <v>1</v>
      </c>
      <c r="Q659" s="286" t="s">
        <v>1</v>
      </c>
      <c r="R659" s="285" cm="1">
        <f t="array" aca="1" ref="R659" ca="1">INDIRECT("'"&amp;$C659&amp;"'!"&amp;"$"&amp;$D659&amp;$R$1&amp;"")</f>
        <v>6.6</v>
      </c>
      <c r="S659" s="288"/>
      <c r="T659" s="288">
        <v>0.99</v>
      </c>
      <c r="U659" s="286">
        <v>1.01</v>
      </c>
      <c r="V659" s="287" t="str" cm="1">
        <f t="array" aca="1" ref="V659" ca="1">INDIRECT("'"&amp;$C659&amp;"'!"&amp;"$"&amp;$D659&amp;$V$1&amp;"")</f>
        <v>CMS</v>
      </c>
      <c r="W659" s="288" t="s">
        <v>1</v>
      </c>
      <c r="X659" s="288" t="s">
        <v>1</v>
      </c>
      <c r="Y659" s="289" t="s">
        <v>1</v>
      </c>
      <c r="Z659" s="285" t="str" cm="1">
        <f t="array" aca="1" ref="Z659" ca="1">INDIRECT("'"&amp;$C659&amp;"'!"&amp;"$"&amp;$D659&amp;$Z$1&amp;"")</f>
        <v>CMS</v>
      </c>
      <c r="AA659" s="288" t="s">
        <v>1</v>
      </c>
      <c r="AB659" s="288" t="s">
        <v>1</v>
      </c>
      <c r="AC659" s="286" t="s">
        <v>1</v>
      </c>
      <c r="AD659" s="287" t="str" cm="1">
        <f t="array" aca="1" ref="AD659" ca="1">INDIRECT("'"&amp;$C659&amp;"'!"&amp;"$"&amp;$D659&amp;$AD$1&amp;"")</f>
        <v>CMS</v>
      </c>
      <c r="AE659" s="288" t="s">
        <v>1</v>
      </c>
      <c r="AF659" s="288" t="s">
        <v>1</v>
      </c>
      <c r="AG659" s="289" t="s">
        <v>1</v>
      </c>
      <c r="AH659" s="285" cm="1">
        <f t="array" aca="1" ref="AH659" ca="1">INDIRECT("'"&amp;$C659&amp;"'!"&amp;"$"&amp;$D659&amp;$AH$1&amp;"")</f>
        <v>0</v>
      </c>
      <c r="AI659" s="288" t="s">
        <v>1</v>
      </c>
      <c r="AJ659" s="288" t="s">
        <v>1</v>
      </c>
      <c r="AK659" s="286" t="s">
        <v>1</v>
      </c>
      <c r="AL659" s="285" t="s">
        <v>1</v>
      </c>
      <c r="AM659" s="289">
        <v>71</v>
      </c>
      <c r="AN659" s="285" cm="1">
        <f t="array" aca="1" ref="AN659" ca="1">INDIRECT("'"&amp;$C659&amp;"'!"&amp;"$"&amp;$D659&amp;$AL$1&amp;"")</f>
        <v>0</v>
      </c>
      <c r="AO659" s="288" t="s">
        <v>1</v>
      </c>
      <c r="AP659" s="286" t="s">
        <v>1</v>
      </c>
      <c r="AQ659" s="287" cm="1">
        <f t="array" aca="1" ref="AQ659" ca="1">INDIRECT("'"&amp;$C659&amp;"'!"&amp;"$"&amp;$D659&amp;$AQ$1&amp;"")</f>
        <v>0</v>
      </c>
      <c r="AR659" s="288" t="s">
        <v>1</v>
      </c>
      <c r="AS659" s="286" t="s">
        <v>1</v>
      </c>
      <c r="AT659" s="285">
        <v>13.94</v>
      </c>
      <c r="AU659" s="289">
        <v>70.3</v>
      </c>
      <c r="AV659" s="288" cm="1">
        <f t="array" aca="1" ref="AV659" ca="1">INDIRECT("'"&amp;$C659&amp;"'!"&amp;"$"&amp;$D659&amp;$AV$1&amp;"")</f>
        <v>0</v>
      </c>
      <c r="AW659" s="287" t="s">
        <v>1</v>
      </c>
      <c r="AX659" s="288" t="s">
        <v>1</v>
      </c>
      <c r="AY659" s="286" t="s">
        <v>1</v>
      </c>
      <c r="AZ659" s="288" cm="1">
        <f t="array" aca="1" ref="AZ659" ca="1">INDIRECT("'"&amp;$C659&amp;"'!"&amp;"$"&amp;$D659&amp;$AZ$1&amp;"")</f>
        <v>4</v>
      </c>
      <c r="BA659" s="287" t="s">
        <v>1</v>
      </c>
      <c r="BB659" s="288">
        <v>0.94</v>
      </c>
      <c r="BC659" s="286">
        <v>1.4</v>
      </c>
      <c r="BD659" s="290">
        <v>14.14</v>
      </c>
      <c r="BE659" s="289">
        <v>71.959999999999994</v>
      </c>
      <c r="BF659" s="290" cm="1">
        <f t="array" aca="1" ref="BF659" ca="1">INDIRECT("'"&amp;$C659&amp;"'!"&amp;"$"&amp;$D659&amp;$BF$1&amp;"")</f>
        <v>14.25</v>
      </c>
      <c r="BG659" s="288">
        <v>1</v>
      </c>
      <c r="BH659" s="286">
        <v>1.2</v>
      </c>
      <c r="BI659" s="525">
        <v>69.400000000000006</v>
      </c>
      <c r="BJ659" s="285" cm="1">
        <f t="array" aca="1" ref="BJ659" ca="1">INDIRECT("'"&amp;$C659&amp;"'!"&amp;"$"&amp;$D659&amp;$BI$1&amp;"")</f>
        <v>0</v>
      </c>
      <c r="BK659" s="287" t="s">
        <v>1</v>
      </c>
      <c r="BL659" s="286" t="s">
        <v>1</v>
      </c>
      <c r="BM659" s="290" cm="1">
        <f t="array" aca="1" ref="BM659" ca="1">INDIRECT("'"&amp;$C659&amp;"'!"&amp;"$"&amp;$D659&amp;$BM$1&amp;"")</f>
        <v>0.88</v>
      </c>
      <c r="BN659" s="288"/>
      <c r="BO659" s="288">
        <v>0.99</v>
      </c>
      <c r="BP659" s="286">
        <v>0.9</v>
      </c>
      <c r="BQ659" s="290" cm="1">
        <f t="array" aca="1" ref="BQ659" ca="1">INDIRECT("'"&amp;$C659&amp;"'!"&amp;"$"&amp;$D659&amp;$BQ$1&amp;"")</f>
        <v>0.7</v>
      </c>
      <c r="BR659" s="288"/>
      <c r="BS659" s="288">
        <v>0.96</v>
      </c>
      <c r="BT659" s="286">
        <v>0.18</v>
      </c>
      <c r="BU659" s="291" cm="1">
        <f t="array" aca="1" ref="BU659" ca="1">INDIRECT("'"&amp;$C659&amp;"'!"&amp;"$"&amp;$D659&amp;74&amp;"")</f>
        <v>0</v>
      </c>
      <c r="BV659" s="288"/>
      <c r="BW659" s="288" t="s">
        <v>1</v>
      </c>
      <c r="BX659" s="286" t="s">
        <v>1</v>
      </c>
    </row>
    <row r="660" spans="1:76">
      <c r="A660" s="459">
        <v>45865</v>
      </c>
      <c r="B660" s="345">
        <v>0.20833333333333301</v>
      </c>
      <c r="C660" s="305">
        <v>27</v>
      </c>
      <c r="D660" s="306" t="s">
        <v>147</v>
      </c>
      <c r="E660" s="278">
        <v>14</v>
      </c>
      <c r="F660" s="279">
        <v>70.430000000000007</v>
      </c>
      <c r="G660" s="280" t="str" cm="1">
        <f t="array" aca="1" ref="G660" ca="1">INDIRECT("'"&amp;$C660&amp;"'!"&amp;"$"&amp;$D660&amp;$E$1&amp;"")</f>
        <v>CMS</v>
      </c>
      <c r="H660" s="281" t="s">
        <v>1</v>
      </c>
      <c r="I660" s="279" t="s">
        <v>1</v>
      </c>
      <c r="J660" s="280" cm="1">
        <f t="array" aca="1" ref="J660" ca="1">INDIRECT("'"&amp;$C660&amp;"'!"&amp;"$"&amp;$D660&amp;$J$1&amp;"")</f>
        <v>6.5</v>
      </c>
      <c r="K660" s="281"/>
      <c r="L660" s="281">
        <v>0.99</v>
      </c>
      <c r="M660" s="279">
        <v>1.02</v>
      </c>
      <c r="N660" s="278" cm="1">
        <f t="array" aca="1" ref="N660" ca="1">INDIRECT("'"&amp;$C660&amp;"'!"&amp;"$"&amp;$D660&amp;$N$1&amp;"")</f>
        <v>0</v>
      </c>
      <c r="O660" s="281"/>
      <c r="P660" s="281" t="s">
        <v>1</v>
      </c>
      <c r="Q660" s="279" t="s">
        <v>1</v>
      </c>
      <c r="R660" s="468" cm="1">
        <f t="array" aca="1" ref="R660" ca="1">INDIRECT("'"&amp;$C660&amp;"'!"&amp;"$"&amp;$D660&amp;$R$1&amp;"")</f>
        <v>6.5</v>
      </c>
      <c r="S660" s="281"/>
      <c r="T660" s="281">
        <v>0.99</v>
      </c>
      <c r="U660" s="279">
        <v>1.01</v>
      </c>
      <c r="V660" s="280" t="str" cm="1">
        <f t="array" aca="1" ref="V660" ca="1">INDIRECT("'"&amp;$C660&amp;"'!"&amp;"$"&amp;$D660&amp;$V$1&amp;"")</f>
        <v>CMS</v>
      </c>
      <c r="W660" s="281" t="s">
        <v>1</v>
      </c>
      <c r="X660" s="281" t="s">
        <v>1</v>
      </c>
      <c r="Y660" s="282" t="s">
        <v>1</v>
      </c>
      <c r="Z660" s="278" t="str" cm="1">
        <f t="array" aca="1" ref="Z660" ca="1">INDIRECT("'"&amp;$C660&amp;"'!"&amp;"$"&amp;$D660&amp;$Z$1&amp;"")</f>
        <v>CMS</v>
      </c>
      <c r="AA660" s="281" t="s">
        <v>1</v>
      </c>
      <c r="AB660" s="281" t="s">
        <v>1</v>
      </c>
      <c r="AC660" s="279" t="s">
        <v>1</v>
      </c>
      <c r="AD660" s="280" t="str" cm="1">
        <f t="array" aca="1" ref="AD660" ca="1">INDIRECT("'"&amp;$C660&amp;"'!"&amp;"$"&amp;$D660&amp;$AD$1&amp;"")</f>
        <v>CMS</v>
      </c>
      <c r="AE660" s="281" t="s">
        <v>1</v>
      </c>
      <c r="AF660" s="281" t="s">
        <v>1</v>
      </c>
      <c r="AG660" s="282" t="s">
        <v>1</v>
      </c>
      <c r="AH660" s="278" cm="1">
        <f t="array" aca="1" ref="AH660" ca="1">INDIRECT("'"&amp;$C660&amp;"'!"&amp;"$"&amp;$D660&amp;$AH$1&amp;"")</f>
        <v>0</v>
      </c>
      <c r="AI660" s="281" t="s">
        <v>1</v>
      </c>
      <c r="AJ660" s="281" t="s">
        <v>1</v>
      </c>
      <c r="AK660" s="279" t="s">
        <v>1</v>
      </c>
      <c r="AL660" s="278" t="s">
        <v>1</v>
      </c>
      <c r="AM660" s="282">
        <v>70.900000000000006</v>
      </c>
      <c r="AN660" s="278" cm="1">
        <f t="array" aca="1" ref="AN660" ca="1">INDIRECT("'"&amp;$C660&amp;"'!"&amp;"$"&amp;$D660&amp;$AL$1&amp;"")</f>
        <v>0</v>
      </c>
      <c r="AO660" s="281" t="s">
        <v>1</v>
      </c>
      <c r="AP660" s="279" t="s">
        <v>1</v>
      </c>
      <c r="AQ660" s="280" cm="1">
        <f t="array" aca="1" ref="AQ660" ca="1">INDIRECT("'"&amp;$C660&amp;"'!"&amp;"$"&amp;$D660&amp;$AQ$1&amp;"")</f>
        <v>0</v>
      </c>
      <c r="AR660" s="281" t="s">
        <v>1</v>
      </c>
      <c r="AS660" s="279" t="s">
        <v>1</v>
      </c>
      <c r="AT660" s="278">
        <v>13.92</v>
      </c>
      <c r="AU660" s="282">
        <v>70.3</v>
      </c>
      <c r="AV660" s="281" cm="1">
        <f t="array" aca="1" ref="AV660" ca="1">INDIRECT("'"&amp;$C660&amp;"'!"&amp;"$"&amp;$D660&amp;$AV$1&amp;"")</f>
        <v>0</v>
      </c>
      <c r="AW660" s="280" t="s">
        <v>1</v>
      </c>
      <c r="AX660" s="281" t="s">
        <v>1</v>
      </c>
      <c r="AY660" s="279" t="s">
        <v>1</v>
      </c>
      <c r="AZ660" s="281" cm="1">
        <f t="array" aca="1" ref="AZ660" ca="1">INDIRECT("'"&amp;$C660&amp;"'!"&amp;"$"&amp;$D660&amp;$AZ$1&amp;"")</f>
        <v>4</v>
      </c>
      <c r="BA660" s="280" t="s">
        <v>1</v>
      </c>
      <c r="BB660" s="281">
        <v>0.93</v>
      </c>
      <c r="BC660" s="279">
        <v>1.7</v>
      </c>
      <c r="BD660" s="283">
        <v>14.14</v>
      </c>
      <c r="BE660" s="282">
        <v>71.900000000000006</v>
      </c>
      <c r="BF660" s="283" cm="1">
        <f t="array" aca="1" ref="BF660" ca="1">INDIRECT("'"&amp;$C660&amp;"'!"&amp;"$"&amp;$D660&amp;$BF$1&amp;"")</f>
        <v>14.31</v>
      </c>
      <c r="BG660" s="281">
        <v>1</v>
      </c>
      <c r="BH660" s="279">
        <v>1.2</v>
      </c>
      <c r="BI660" s="524">
        <v>69.2</v>
      </c>
      <c r="BJ660" s="278" cm="1">
        <f t="array" aca="1" ref="BJ660" ca="1">INDIRECT("'"&amp;$C660&amp;"'!"&amp;"$"&amp;$D660&amp;$BI$1&amp;"")</f>
        <v>0</v>
      </c>
      <c r="BK660" s="280" t="s">
        <v>1</v>
      </c>
      <c r="BL660" s="279" t="s">
        <v>1</v>
      </c>
      <c r="BM660" s="283" cm="1">
        <f t="array" aca="1" ref="BM660" ca="1">INDIRECT("'"&amp;$C660&amp;"'!"&amp;"$"&amp;$D660&amp;$BM$1&amp;"")</f>
        <v>0.89</v>
      </c>
      <c r="BN660" s="281"/>
      <c r="BO660" s="281">
        <v>0.99</v>
      </c>
      <c r="BP660" s="279">
        <v>0.09</v>
      </c>
      <c r="BQ660" s="283" cm="1">
        <f t="array" aca="1" ref="BQ660" ca="1">INDIRECT("'"&amp;$C660&amp;"'!"&amp;"$"&amp;$D660&amp;$BQ$1&amp;"")</f>
        <v>0.71</v>
      </c>
      <c r="BR660" s="281"/>
      <c r="BS660" s="281">
        <v>0.96</v>
      </c>
      <c r="BT660" s="279">
        <v>0.19</v>
      </c>
      <c r="BU660" s="284" cm="1">
        <f t="array" aca="1" ref="BU660" ca="1">INDIRECT("'"&amp;$C660&amp;"'!"&amp;"$"&amp;$D660&amp;74&amp;"")</f>
        <v>0</v>
      </c>
      <c r="BV660" s="281"/>
      <c r="BW660" s="281" t="s">
        <v>1</v>
      </c>
      <c r="BX660" s="279" t="s">
        <v>1</v>
      </c>
    </row>
    <row r="661" spans="1:76">
      <c r="A661" s="459">
        <v>45865</v>
      </c>
      <c r="B661" s="345">
        <v>0.25</v>
      </c>
      <c r="C661" s="305">
        <v>27</v>
      </c>
      <c r="D661" s="306" t="s">
        <v>148</v>
      </c>
      <c r="E661" s="285">
        <v>14.1</v>
      </c>
      <c r="F661" s="286">
        <v>70.23</v>
      </c>
      <c r="G661" s="287" t="str" cm="1">
        <f t="array" aca="1" ref="G661" ca="1">INDIRECT("'"&amp;$C661&amp;"'!"&amp;"$"&amp;$D661&amp;$E$1&amp;"")</f>
        <v>CMS</v>
      </c>
      <c r="H661" s="288" t="s">
        <v>1</v>
      </c>
      <c r="I661" s="286" t="s">
        <v>1</v>
      </c>
      <c r="J661" s="287" cm="1">
        <f t="array" aca="1" ref="J661" ca="1">INDIRECT("'"&amp;$C661&amp;"'!"&amp;"$"&amp;$D661&amp;$J$1&amp;"")</f>
        <v>6.7</v>
      </c>
      <c r="K661" s="288"/>
      <c r="L661" s="288">
        <v>0.99</v>
      </c>
      <c r="M661" s="286">
        <v>1.08</v>
      </c>
      <c r="N661" s="285" cm="1">
        <f t="array" aca="1" ref="N661" ca="1">INDIRECT("'"&amp;$C661&amp;"'!"&amp;"$"&amp;$D661&amp;$N$1&amp;"")</f>
        <v>0</v>
      </c>
      <c r="O661" s="288"/>
      <c r="P661" s="288" t="s">
        <v>1</v>
      </c>
      <c r="Q661" s="286" t="s">
        <v>1</v>
      </c>
      <c r="R661" s="285" cm="1">
        <f t="array" aca="1" ref="R661" ca="1">INDIRECT("'"&amp;$C661&amp;"'!"&amp;"$"&amp;$D661&amp;$R$1&amp;"")</f>
        <v>6.7</v>
      </c>
      <c r="S661" s="288"/>
      <c r="T661" s="288">
        <v>0.98</v>
      </c>
      <c r="U661" s="286">
        <v>1.3</v>
      </c>
      <c r="V661" s="287" t="str" cm="1">
        <f t="array" aca="1" ref="V661" ca="1">INDIRECT("'"&amp;$C661&amp;"'!"&amp;"$"&amp;$D661&amp;$V$1&amp;"")</f>
        <v>CMS</v>
      </c>
      <c r="W661" s="288" t="s">
        <v>1</v>
      </c>
      <c r="X661" s="288" t="s">
        <v>1</v>
      </c>
      <c r="Y661" s="289" t="s">
        <v>1</v>
      </c>
      <c r="Z661" s="285" t="str" cm="1">
        <f t="array" aca="1" ref="Z661" ca="1">INDIRECT("'"&amp;$C661&amp;"'!"&amp;"$"&amp;$D661&amp;$Z$1&amp;"")</f>
        <v>CMS</v>
      </c>
      <c r="AA661" s="288" t="s">
        <v>1</v>
      </c>
      <c r="AB661" s="288" t="s">
        <v>1</v>
      </c>
      <c r="AC661" s="286" t="s">
        <v>1</v>
      </c>
      <c r="AD661" s="287" t="str" cm="1">
        <f t="array" aca="1" ref="AD661" ca="1">INDIRECT("'"&amp;$C661&amp;"'!"&amp;"$"&amp;$D661&amp;$AD$1&amp;"")</f>
        <v>CMS</v>
      </c>
      <c r="AE661" s="288" t="s">
        <v>1</v>
      </c>
      <c r="AF661" s="288" t="s">
        <v>1</v>
      </c>
      <c r="AG661" s="289" t="s">
        <v>1</v>
      </c>
      <c r="AH661" s="285" cm="1">
        <f t="array" aca="1" ref="AH661" ca="1">INDIRECT("'"&amp;$C661&amp;"'!"&amp;"$"&amp;$D661&amp;$AH$1&amp;"")</f>
        <v>0</v>
      </c>
      <c r="AI661" s="288" t="s">
        <v>1</v>
      </c>
      <c r="AJ661" s="288" t="s">
        <v>1</v>
      </c>
      <c r="AK661" s="286" t="s">
        <v>1</v>
      </c>
      <c r="AL661" s="285" t="s">
        <v>1</v>
      </c>
      <c r="AM661" s="289">
        <v>70.8</v>
      </c>
      <c r="AN661" s="285" cm="1">
        <f t="array" aca="1" ref="AN661" ca="1">INDIRECT("'"&amp;$C661&amp;"'!"&amp;"$"&amp;$D661&amp;$AL$1&amp;"")</f>
        <v>0</v>
      </c>
      <c r="AO661" s="288" t="s">
        <v>1</v>
      </c>
      <c r="AP661" s="286" t="s">
        <v>1</v>
      </c>
      <c r="AQ661" s="287" cm="1">
        <f t="array" aca="1" ref="AQ661" ca="1">INDIRECT("'"&amp;$C661&amp;"'!"&amp;"$"&amp;$D661&amp;$AQ$1&amp;"")</f>
        <v>0</v>
      </c>
      <c r="AR661" s="288" t="s">
        <v>1</v>
      </c>
      <c r="AS661" s="286" t="s">
        <v>1</v>
      </c>
      <c r="AT661" s="285">
        <v>13.91</v>
      </c>
      <c r="AU661" s="289">
        <v>70.400000000000006</v>
      </c>
      <c r="AV661" s="288" cm="1">
        <f t="array" aca="1" ref="AV661" ca="1">INDIRECT("'"&amp;$C661&amp;"'!"&amp;"$"&amp;$D661&amp;$AV$1&amp;"")</f>
        <v>0</v>
      </c>
      <c r="AW661" s="287" t="s">
        <v>1</v>
      </c>
      <c r="AX661" s="288" t="s">
        <v>1</v>
      </c>
      <c r="AY661" s="286" t="s">
        <v>1</v>
      </c>
      <c r="AZ661" s="288" cm="1">
        <f t="array" aca="1" ref="AZ661" ca="1">INDIRECT("'"&amp;$C661&amp;"'!"&amp;"$"&amp;$D661&amp;$AZ$1&amp;"")</f>
        <v>5.3</v>
      </c>
      <c r="BA661" s="287" t="s">
        <v>1</v>
      </c>
      <c r="BB661" s="288">
        <v>0.95</v>
      </c>
      <c r="BC661" s="286">
        <v>1.8</v>
      </c>
      <c r="BD661" s="290">
        <v>14.07</v>
      </c>
      <c r="BE661" s="289">
        <v>71.650000000000006</v>
      </c>
      <c r="BF661" s="290" cm="1">
        <f t="array" aca="1" ref="BF661" ca="1">INDIRECT("'"&amp;$C661&amp;"'!"&amp;"$"&amp;$D661&amp;$BF$1&amp;"")</f>
        <v>14.27</v>
      </c>
      <c r="BG661" s="288">
        <v>1</v>
      </c>
      <c r="BH661" s="286">
        <v>1.3</v>
      </c>
      <c r="BI661" s="525">
        <v>69</v>
      </c>
      <c r="BJ661" s="285" cm="1">
        <f t="array" aca="1" ref="BJ661" ca="1">INDIRECT("'"&amp;$C661&amp;"'!"&amp;"$"&amp;$D661&amp;$BI$1&amp;"")</f>
        <v>0</v>
      </c>
      <c r="BK661" s="287" t="s">
        <v>1</v>
      </c>
      <c r="BL661" s="286" t="s">
        <v>1</v>
      </c>
      <c r="BM661" s="290" cm="1">
        <f t="array" aca="1" ref="BM661" ca="1">INDIRECT("'"&amp;$C661&amp;"'!"&amp;"$"&amp;$D661&amp;$BM$1&amp;"")</f>
        <v>0.96</v>
      </c>
      <c r="BN661" s="288"/>
      <c r="BO661" s="288">
        <v>0.99</v>
      </c>
      <c r="BP661" s="286">
        <v>0.09</v>
      </c>
      <c r="BQ661" s="290" cm="1">
        <f t="array" aca="1" ref="BQ661" ca="1">INDIRECT("'"&amp;$C661&amp;"'!"&amp;"$"&amp;$D661&amp;$BQ$1&amp;"")</f>
        <v>0.71</v>
      </c>
      <c r="BR661" s="288"/>
      <c r="BS661" s="288">
        <v>0.96</v>
      </c>
      <c r="BT661" s="286">
        <v>0.18</v>
      </c>
      <c r="BU661" s="291" cm="1">
        <f t="array" aca="1" ref="BU661" ca="1">INDIRECT("'"&amp;$C661&amp;"'!"&amp;"$"&amp;$D661&amp;74&amp;"")</f>
        <v>0</v>
      </c>
      <c r="BV661" s="288"/>
      <c r="BW661" s="288" t="s">
        <v>1</v>
      </c>
      <c r="BX661" s="286" t="s">
        <v>1</v>
      </c>
    </row>
    <row r="662" spans="1:76">
      <c r="A662" s="459">
        <v>45865</v>
      </c>
      <c r="B662" s="345">
        <v>0.29166666666666702</v>
      </c>
      <c r="C662" s="305">
        <v>27</v>
      </c>
      <c r="D662" s="306" t="s">
        <v>149</v>
      </c>
      <c r="E662" s="278">
        <v>14.1</v>
      </c>
      <c r="F662" s="279">
        <v>70.08</v>
      </c>
      <c r="G662" s="280" t="str" cm="1">
        <f t="array" aca="1" ref="G662" ca="1">INDIRECT("'"&amp;$C662&amp;"'!"&amp;"$"&amp;$D662&amp;$E$1&amp;"")</f>
        <v>CMS</v>
      </c>
      <c r="H662" s="281" t="s">
        <v>1</v>
      </c>
      <c r="I662" s="279" t="s">
        <v>1</v>
      </c>
      <c r="J662" s="280" cm="1">
        <f t="array" aca="1" ref="J662" ca="1">INDIRECT("'"&amp;$C662&amp;"'!"&amp;"$"&amp;$D662&amp;$J$1&amp;"")</f>
        <v>6.8</v>
      </c>
      <c r="K662" s="281"/>
      <c r="L662" s="281">
        <v>0.98</v>
      </c>
      <c r="M662" s="282">
        <v>1.42</v>
      </c>
      <c r="N662" s="278" t="str" cm="1">
        <f t="array" aca="1" ref="N662" ca="1">INDIRECT("'"&amp;$C662&amp;"'!"&amp;"$"&amp;$D662&amp;$N$1&amp;"")</f>
        <v>CMS</v>
      </c>
      <c r="O662" s="281"/>
      <c r="P662" s="281" t="s">
        <v>1</v>
      </c>
      <c r="Q662" s="279" t="s">
        <v>1</v>
      </c>
      <c r="R662" s="468" cm="1">
        <f t="array" aca="1" ref="R662" ca="1">INDIRECT("'"&amp;$C662&amp;"'!"&amp;"$"&amp;$D662&amp;$R$1&amp;"")</f>
        <v>6.8</v>
      </c>
      <c r="S662" s="281"/>
      <c r="T662" s="281">
        <v>0.98</v>
      </c>
      <c r="U662" s="279">
        <v>1.47</v>
      </c>
      <c r="V662" s="280" t="str" cm="1">
        <f t="array" aca="1" ref="V662" ca="1">INDIRECT("'"&amp;$C662&amp;"'!"&amp;"$"&amp;$D662&amp;$V$1&amp;"")</f>
        <v>CMS</v>
      </c>
      <c r="W662" s="281" t="s">
        <v>1</v>
      </c>
      <c r="X662" s="281" t="s">
        <v>1</v>
      </c>
      <c r="Y662" s="282" t="s">
        <v>1</v>
      </c>
      <c r="Z662" s="278" t="str" cm="1">
        <f t="array" aca="1" ref="Z662" ca="1">INDIRECT("'"&amp;$C662&amp;"'!"&amp;"$"&amp;$D662&amp;$Z$1&amp;"")</f>
        <v>CMS</v>
      </c>
      <c r="AA662" s="281" t="s">
        <v>1</v>
      </c>
      <c r="AB662" s="281" t="s">
        <v>1</v>
      </c>
      <c r="AC662" s="279" t="s">
        <v>1</v>
      </c>
      <c r="AD662" s="280" t="str" cm="1">
        <f t="array" aca="1" ref="AD662" ca="1">INDIRECT("'"&amp;$C662&amp;"'!"&amp;"$"&amp;$D662&amp;$AD$1&amp;"")</f>
        <v>CMS</v>
      </c>
      <c r="AE662" s="281" t="s">
        <v>1</v>
      </c>
      <c r="AF662" s="281" t="s">
        <v>1</v>
      </c>
      <c r="AG662" s="282" t="s">
        <v>1</v>
      </c>
      <c r="AH662" s="278" cm="1">
        <f t="array" aca="1" ref="AH662" ca="1">INDIRECT("'"&amp;$C662&amp;"'!"&amp;"$"&amp;$D662&amp;$AH$1&amp;"")</f>
        <v>0</v>
      </c>
      <c r="AI662" s="281" t="s">
        <v>1</v>
      </c>
      <c r="AJ662" s="281" t="s">
        <v>1</v>
      </c>
      <c r="AK662" s="279" t="s">
        <v>1</v>
      </c>
      <c r="AL662" s="278" t="s">
        <v>1</v>
      </c>
      <c r="AM662" s="282">
        <v>70.08</v>
      </c>
      <c r="AN662" s="278" cm="1">
        <f t="array" aca="1" ref="AN662" ca="1">INDIRECT("'"&amp;$C662&amp;"'!"&amp;"$"&amp;$D662&amp;$AL$1&amp;"")</f>
        <v>0</v>
      </c>
      <c r="AO662" s="281" t="s">
        <v>1</v>
      </c>
      <c r="AP662" s="279" t="s">
        <v>1</v>
      </c>
      <c r="AQ662" s="280" cm="1">
        <f t="array" aca="1" ref="AQ662" ca="1">INDIRECT("'"&amp;$C662&amp;"'!"&amp;"$"&amp;$D662&amp;$AQ$1&amp;"")</f>
        <v>0</v>
      </c>
      <c r="AR662" s="281" t="s">
        <v>1</v>
      </c>
      <c r="AS662" s="279" t="s">
        <v>1</v>
      </c>
      <c r="AT662" s="278">
        <v>13.9</v>
      </c>
      <c r="AU662" s="282">
        <v>70.2</v>
      </c>
      <c r="AV662" s="281" cm="1">
        <f t="array" aca="1" ref="AV662" ca="1">INDIRECT("'"&amp;$C662&amp;"'!"&amp;"$"&amp;$D662&amp;$AV$1&amp;"")</f>
        <v>0</v>
      </c>
      <c r="AW662" s="280" t="s">
        <v>1</v>
      </c>
      <c r="AX662" s="281" t="s">
        <v>1</v>
      </c>
      <c r="AY662" s="279" t="s">
        <v>1</v>
      </c>
      <c r="AZ662" s="281" cm="1">
        <f t="array" aca="1" ref="AZ662" ca="1">INDIRECT("'"&amp;$C662&amp;"'!"&amp;"$"&amp;$D662&amp;$AZ$1&amp;"")</f>
        <v>5.2</v>
      </c>
      <c r="BA662" s="280" t="s">
        <v>1</v>
      </c>
      <c r="BB662" s="281">
        <v>0.94</v>
      </c>
      <c r="BC662" s="279">
        <v>1.9</v>
      </c>
      <c r="BD662" s="283">
        <v>14.06</v>
      </c>
      <c r="BE662" s="282">
        <v>71.650000000000006</v>
      </c>
      <c r="BF662" s="283" cm="1">
        <f t="array" aca="1" ref="BF662" ca="1">INDIRECT("'"&amp;$C662&amp;"'!"&amp;"$"&amp;$D662&amp;$BF$1&amp;"")</f>
        <v>14.29</v>
      </c>
      <c r="BG662" s="281">
        <v>1</v>
      </c>
      <c r="BH662" s="279">
        <v>1.3</v>
      </c>
      <c r="BI662" s="524">
        <v>68.8</v>
      </c>
      <c r="BJ662" s="278" cm="1">
        <f t="array" aca="1" ref="BJ662" ca="1">INDIRECT("'"&amp;$C662&amp;"'!"&amp;"$"&amp;$D662&amp;$BI$1&amp;"")</f>
        <v>0</v>
      </c>
      <c r="BK662" s="280" t="s">
        <v>1</v>
      </c>
      <c r="BL662" s="279" t="s">
        <v>1</v>
      </c>
      <c r="BM662" s="283" cm="1">
        <f t="array" aca="1" ref="BM662" ca="1">INDIRECT("'"&amp;$C662&amp;"'!"&amp;"$"&amp;$D662&amp;$BM$1&amp;"")</f>
        <v>1</v>
      </c>
      <c r="BN662" s="281"/>
      <c r="BO662" s="281">
        <v>0.99</v>
      </c>
      <c r="BP662" s="279">
        <v>0.12</v>
      </c>
      <c r="BQ662" s="284" cm="1">
        <f t="array" aca="1" ref="BQ662" ca="1">INDIRECT("'"&amp;$C662&amp;"'!"&amp;"$"&amp;$D662&amp;$BQ$1&amp;"")</f>
        <v>0.7</v>
      </c>
      <c r="BR662" s="281"/>
      <c r="BS662" s="281">
        <v>0.96</v>
      </c>
      <c r="BT662" s="279">
        <v>0.12</v>
      </c>
      <c r="BU662" s="284" cm="1">
        <f t="array" aca="1" ref="BU662" ca="1">INDIRECT("'"&amp;$C662&amp;"'!"&amp;"$"&amp;$D662&amp;74&amp;"")</f>
        <v>0</v>
      </c>
      <c r="BV662" s="281"/>
      <c r="BW662" s="281" t="s">
        <v>1</v>
      </c>
      <c r="BX662" s="279" t="s">
        <v>1</v>
      </c>
    </row>
    <row r="663" spans="1:76">
      <c r="A663" s="459">
        <v>45865</v>
      </c>
      <c r="B663" s="345">
        <v>0.33333333333333398</v>
      </c>
      <c r="C663" s="305">
        <v>27</v>
      </c>
      <c r="D663" s="306" t="s">
        <v>150</v>
      </c>
      <c r="E663" s="285">
        <v>14</v>
      </c>
      <c r="F663" s="286">
        <v>69.41</v>
      </c>
      <c r="G663" s="287" t="str" cm="1">
        <f t="array" aca="1" ref="G663" ca="1">INDIRECT("'"&amp;$C663&amp;"'!"&amp;"$"&amp;$D663&amp;$E$1&amp;"")</f>
        <v>CMS</v>
      </c>
      <c r="H663" s="288" t="s">
        <v>1</v>
      </c>
      <c r="I663" s="286" t="s">
        <v>1</v>
      </c>
      <c r="J663" s="287" cm="1">
        <f t="array" aca="1" ref="J663" ca="1">INDIRECT("'"&amp;$C663&amp;"'!"&amp;"$"&amp;$D663&amp;$J$1&amp;"")</f>
        <v>6.7</v>
      </c>
      <c r="K663" s="288"/>
      <c r="L663" s="288">
        <v>0.96</v>
      </c>
      <c r="M663" s="289">
        <v>2.04</v>
      </c>
      <c r="N663" s="285" t="str" cm="1">
        <f t="array" aca="1" ref="N663" ca="1">INDIRECT("'"&amp;$C663&amp;"'!"&amp;"$"&amp;$D663&amp;$N$1&amp;"")</f>
        <v>CMS</v>
      </c>
      <c r="O663" s="288"/>
      <c r="P663" s="288" t="s">
        <v>1</v>
      </c>
      <c r="Q663" s="286" t="s">
        <v>1</v>
      </c>
      <c r="R663" s="285" cm="1">
        <f t="array" aca="1" ref="R663" ca="1">INDIRECT("'"&amp;$C663&amp;"'!"&amp;"$"&amp;$D663&amp;$R$1&amp;"")</f>
        <v>6.7</v>
      </c>
      <c r="S663" s="288"/>
      <c r="T663" s="288">
        <v>0.96</v>
      </c>
      <c r="U663" s="286">
        <v>2.04</v>
      </c>
      <c r="V663" s="287" t="str" cm="1">
        <f t="array" aca="1" ref="V663" ca="1">INDIRECT("'"&amp;$C663&amp;"'!"&amp;"$"&amp;$D663&amp;$V$1&amp;"")</f>
        <v>CMS</v>
      </c>
      <c r="W663" s="288" t="s">
        <v>1</v>
      </c>
      <c r="X663" s="288" t="s">
        <v>1</v>
      </c>
      <c r="Y663" s="289" t="s">
        <v>1</v>
      </c>
      <c r="Z663" s="285" t="str" cm="1">
        <f t="array" aca="1" ref="Z663" ca="1">INDIRECT("'"&amp;$C663&amp;"'!"&amp;"$"&amp;$D663&amp;$Z$1&amp;"")</f>
        <v>CMS</v>
      </c>
      <c r="AA663" s="288" t="s">
        <v>1</v>
      </c>
      <c r="AB663" s="288" t="s">
        <v>1</v>
      </c>
      <c r="AC663" s="286" t="s">
        <v>1</v>
      </c>
      <c r="AD663" s="287" t="str" cm="1">
        <f t="array" aca="1" ref="AD663" ca="1">INDIRECT("'"&amp;$C663&amp;"'!"&amp;"$"&amp;$D663&amp;$AD$1&amp;"")</f>
        <v>CMS</v>
      </c>
      <c r="AE663" s="288" t="s">
        <v>1</v>
      </c>
      <c r="AF663" s="288" t="s">
        <v>1</v>
      </c>
      <c r="AG663" s="289" t="s">
        <v>1</v>
      </c>
      <c r="AH663" s="285" cm="1">
        <f t="array" aca="1" ref="AH663" ca="1">INDIRECT("'"&amp;$C663&amp;"'!"&amp;"$"&amp;$D663&amp;$AH$1&amp;"")</f>
        <v>0</v>
      </c>
      <c r="AI663" s="288" t="s">
        <v>1</v>
      </c>
      <c r="AJ663" s="288" t="s">
        <v>1</v>
      </c>
      <c r="AK663" s="286" t="s">
        <v>1</v>
      </c>
      <c r="AL663" s="285" t="s">
        <v>1</v>
      </c>
      <c r="AM663" s="289">
        <v>69.41</v>
      </c>
      <c r="AN663" s="285" cm="1">
        <f t="array" aca="1" ref="AN663" ca="1">INDIRECT("'"&amp;$C663&amp;"'!"&amp;"$"&amp;$D663&amp;$AL$1&amp;"")</f>
        <v>0</v>
      </c>
      <c r="AO663" s="288" t="s">
        <v>1</v>
      </c>
      <c r="AP663" s="286" t="s">
        <v>1</v>
      </c>
      <c r="AQ663" s="287" cm="1">
        <f t="array" aca="1" ref="AQ663" ca="1">INDIRECT("'"&amp;$C663&amp;"'!"&amp;"$"&amp;$D663&amp;$AQ$1&amp;"")</f>
        <v>0</v>
      </c>
      <c r="AR663" s="288" t="s">
        <v>1</v>
      </c>
      <c r="AS663" s="286" t="s">
        <v>1</v>
      </c>
      <c r="AT663" s="285">
        <v>13.83</v>
      </c>
      <c r="AU663" s="289">
        <v>70.3</v>
      </c>
      <c r="AV663" s="288" cm="1">
        <f t="array" aca="1" ref="AV663" ca="1">INDIRECT("'"&amp;$C663&amp;"'!"&amp;"$"&amp;$D663&amp;$AV$1&amp;"")</f>
        <v>0</v>
      </c>
      <c r="AW663" s="287" t="s">
        <v>1</v>
      </c>
      <c r="AX663" s="288" t="s">
        <v>1</v>
      </c>
      <c r="AY663" s="286" t="s">
        <v>1</v>
      </c>
      <c r="AZ663" s="288" cm="1">
        <f t="array" aca="1" ref="AZ663" ca="1">INDIRECT("'"&amp;$C663&amp;"'!"&amp;"$"&amp;$D663&amp;$AZ$1&amp;"")</f>
        <v>7.3</v>
      </c>
      <c r="BA663" s="287" t="s">
        <v>1</v>
      </c>
      <c r="BB663" s="288">
        <v>0.95</v>
      </c>
      <c r="BC663" s="286">
        <v>2.5</v>
      </c>
      <c r="BD663" s="290">
        <v>13.97</v>
      </c>
      <c r="BE663" s="289">
        <v>71.41</v>
      </c>
      <c r="BF663" s="290" cm="1">
        <f t="array" aca="1" ref="BF663" ca="1">INDIRECT("'"&amp;$C663&amp;"'!"&amp;"$"&amp;$D663&amp;$BF$1&amp;"")</f>
        <v>14.25</v>
      </c>
      <c r="BG663" s="288">
        <v>1</v>
      </c>
      <c r="BH663" s="286">
        <v>1.3</v>
      </c>
      <c r="BI663" s="525">
        <v>68.099999999999994</v>
      </c>
      <c r="BJ663" s="285" cm="1">
        <f t="array" aca="1" ref="BJ663" ca="1">INDIRECT("'"&amp;$C663&amp;"'!"&amp;"$"&amp;$D663&amp;$BI$1&amp;"")</f>
        <v>0</v>
      </c>
      <c r="BK663" s="287" t="s">
        <v>1</v>
      </c>
      <c r="BL663" s="286" t="s">
        <v>1</v>
      </c>
      <c r="BM663" s="290" cm="1">
        <f t="array" aca="1" ref="BM663" ca="1">INDIRECT("'"&amp;$C663&amp;"'!"&amp;"$"&amp;$D663&amp;$BM$1&amp;"")</f>
        <v>1</v>
      </c>
      <c r="BN663" s="288"/>
      <c r="BO663" s="288">
        <v>0.99</v>
      </c>
      <c r="BP663" s="286">
        <v>0.14000000000000001</v>
      </c>
      <c r="BQ663" s="291" cm="1">
        <f t="array" aca="1" ref="BQ663" ca="1">INDIRECT("'"&amp;$C663&amp;"'!"&amp;"$"&amp;$D663&amp;$BQ$1&amp;"")</f>
        <v>0.77</v>
      </c>
      <c r="BR663" s="288"/>
      <c r="BS663" s="288">
        <v>0.96</v>
      </c>
      <c r="BT663" s="286">
        <v>0.22</v>
      </c>
      <c r="BU663" s="291" cm="1">
        <f t="array" aca="1" ref="BU663" ca="1">INDIRECT("'"&amp;$C663&amp;"'!"&amp;"$"&amp;$D663&amp;74&amp;"")</f>
        <v>0</v>
      </c>
      <c r="BV663" s="288"/>
      <c r="BW663" s="288" t="s">
        <v>1</v>
      </c>
      <c r="BX663" s="286" t="s">
        <v>1</v>
      </c>
    </row>
    <row r="664" spans="1:76">
      <c r="A664" s="459">
        <v>45865</v>
      </c>
      <c r="B664" s="345">
        <v>0.375</v>
      </c>
      <c r="C664" s="305">
        <v>27</v>
      </c>
      <c r="D664" s="306" t="s">
        <v>151</v>
      </c>
      <c r="E664" s="278">
        <v>13.9</v>
      </c>
      <c r="F664" s="279">
        <v>68.52</v>
      </c>
      <c r="G664" s="280" t="str" cm="1">
        <f t="array" aca="1" ref="G664" ca="1">INDIRECT("'"&amp;$C664&amp;"'!"&amp;"$"&amp;$D664&amp;$E$1&amp;"")</f>
        <v>CMS</v>
      </c>
      <c r="H664" s="281" t="s">
        <v>1</v>
      </c>
      <c r="I664" s="279" t="s">
        <v>1</v>
      </c>
      <c r="J664" s="280" cm="1">
        <f t="array" aca="1" ref="J664" ca="1">INDIRECT("'"&amp;$C664&amp;"'!"&amp;"$"&amp;$D664&amp;$J$1&amp;"")</f>
        <v>6.9</v>
      </c>
      <c r="K664" s="281"/>
      <c r="L664" s="281">
        <v>0.92</v>
      </c>
      <c r="M664" s="282">
        <v>2.83</v>
      </c>
      <c r="N664" s="278" t="str" cm="1">
        <f t="array" aca="1" ref="N664" ca="1">INDIRECT("'"&amp;$C664&amp;"'!"&amp;"$"&amp;$D664&amp;$N$1&amp;"")</f>
        <v>CMS</v>
      </c>
      <c r="O664" s="281"/>
      <c r="P664" s="281" t="s">
        <v>1</v>
      </c>
      <c r="Q664" s="279" t="s">
        <v>1</v>
      </c>
      <c r="R664" s="468" cm="1">
        <f t="array" aca="1" ref="R664" ca="1">INDIRECT("'"&amp;$C664&amp;"'!"&amp;"$"&amp;$D664&amp;$R$1&amp;"")</f>
        <v>6.9</v>
      </c>
      <c r="S664" s="281"/>
      <c r="T664" s="281">
        <v>0.92</v>
      </c>
      <c r="U664" s="279">
        <v>2.83</v>
      </c>
      <c r="V664" s="280" t="str" cm="1">
        <f t="array" aca="1" ref="V664" ca="1">INDIRECT("'"&amp;$C664&amp;"'!"&amp;"$"&amp;$D664&amp;$V$1&amp;"")</f>
        <v>CMS</v>
      </c>
      <c r="W664" s="281" t="s">
        <v>1</v>
      </c>
      <c r="X664" s="281" t="s">
        <v>1</v>
      </c>
      <c r="Y664" s="282" t="s">
        <v>1</v>
      </c>
      <c r="Z664" s="278" t="str" cm="1">
        <f t="array" aca="1" ref="Z664" ca="1">INDIRECT("'"&amp;$C664&amp;"'!"&amp;"$"&amp;$D664&amp;$Z$1&amp;"")</f>
        <v>CMS</v>
      </c>
      <c r="AA664" s="281" t="s">
        <v>1</v>
      </c>
      <c r="AB664" s="281" t="s">
        <v>1</v>
      </c>
      <c r="AC664" s="279" t="s">
        <v>1</v>
      </c>
      <c r="AD664" s="280" t="str" cm="1">
        <f t="array" aca="1" ref="AD664" ca="1">INDIRECT("'"&amp;$C664&amp;"'!"&amp;"$"&amp;$D664&amp;$AD$1&amp;"")</f>
        <v>CMS</v>
      </c>
      <c r="AE664" s="281" t="s">
        <v>1</v>
      </c>
      <c r="AF664" s="281" t="s">
        <v>1</v>
      </c>
      <c r="AG664" s="282" t="s">
        <v>1</v>
      </c>
      <c r="AH664" s="278" cm="1">
        <f t="array" aca="1" ref="AH664" ca="1">INDIRECT("'"&amp;$C664&amp;"'!"&amp;"$"&amp;$D664&amp;$AH$1&amp;"")</f>
        <v>2</v>
      </c>
      <c r="AI664" s="281">
        <v>14</v>
      </c>
      <c r="AJ664" s="281">
        <v>1</v>
      </c>
      <c r="AK664" s="279">
        <v>5.1999999999999998E-2</v>
      </c>
      <c r="AL664" s="278">
        <v>11.6</v>
      </c>
      <c r="AM664" s="282">
        <v>70.3</v>
      </c>
      <c r="AN664" s="278" cm="1">
        <f t="array" aca="1" ref="AN664" ca="1">INDIRECT("'"&amp;$C664&amp;"'!"&amp;"$"&amp;$D664&amp;$AL$1&amp;"")</f>
        <v>3.7</v>
      </c>
      <c r="AO664" s="281">
        <v>0.98</v>
      </c>
      <c r="AP664" s="279">
        <v>0.65</v>
      </c>
      <c r="AQ664" s="280" cm="1">
        <f t="array" aca="1" ref="AQ664" ca="1">INDIRECT("'"&amp;$C664&amp;"'!"&amp;"$"&amp;$D664&amp;$AQ$1&amp;"")</f>
        <v>0</v>
      </c>
      <c r="AR664" s="281" t="s">
        <v>1</v>
      </c>
      <c r="AS664" s="279" t="s">
        <v>1</v>
      </c>
      <c r="AT664" s="278">
        <v>13.92</v>
      </c>
      <c r="AU664" s="282">
        <v>70.8</v>
      </c>
      <c r="AV664" s="281" cm="1">
        <f t="array" aca="1" ref="AV664" ca="1">INDIRECT("'"&amp;$C664&amp;"'!"&amp;"$"&amp;$D664&amp;$AV$1&amp;"")</f>
        <v>0</v>
      </c>
      <c r="AW664" s="280" t="s">
        <v>1</v>
      </c>
      <c r="AX664" s="281" t="s">
        <v>1</v>
      </c>
      <c r="AY664" s="279" t="s">
        <v>1</v>
      </c>
      <c r="AZ664" s="281" cm="1">
        <f t="array" aca="1" ref="AZ664" ca="1">INDIRECT("'"&amp;$C664&amp;"'!"&amp;"$"&amp;$D664&amp;$AZ$1&amp;"")</f>
        <v>7</v>
      </c>
      <c r="BA664" s="280" t="s">
        <v>1</v>
      </c>
      <c r="BB664" s="281">
        <v>0.92</v>
      </c>
      <c r="BC664" s="279">
        <v>3.1</v>
      </c>
      <c r="BD664" s="283">
        <v>14.17</v>
      </c>
      <c r="BE664" s="282">
        <v>71.650000000000006</v>
      </c>
      <c r="BF664" s="283" cm="1">
        <f t="array" aca="1" ref="BF664" ca="1">INDIRECT("'"&amp;$C664&amp;"'!"&amp;"$"&amp;$D664&amp;$BF$1&amp;"")</f>
        <v>14.27</v>
      </c>
      <c r="BG664" s="281">
        <v>0.99</v>
      </c>
      <c r="BH664" s="279">
        <v>2.2999999999999998</v>
      </c>
      <c r="BI664" s="524">
        <v>67.5</v>
      </c>
      <c r="BJ664" s="278" cm="1">
        <f t="array" aca="1" ref="BJ664" ca="1">INDIRECT("'"&amp;$C664&amp;"'!"&amp;"$"&amp;$D664&amp;$BI$1&amp;"")</f>
        <v>0</v>
      </c>
      <c r="BK664" s="280" t="s">
        <v>1</v>
      </c>
      <c r="BL664" s="279" t="s">
        <v>1</v>
      </c>
      <c r="BM664" s="283" cm="1">
        <f t="array" aca="1" ref="BM664" ca="1">INDIRECT("'"&amp;$C664&amp;"'!"&amp;"$"&amp;$D664&amp;$BM$1&amp;"")</f>
        <v>1.1200000000000001</v>
      </c>
      <c r="BN664" s="281"/>
      <c r="BO664" s="281">
        <v>0.99</v>
      </c>
      <c r="BP664" s="279">
        <v>0.15</v>
      </c>
      <c r="BQ664" s="284" cm="1">
        <f t="array" aca="1" ref="BQ664" ca="1">INDIRECT("'"&amp;$C664&amp;"'!"&amp;"$"&amp;$D664&amp;$BQ$1&amp;"")</f>
        <v>0.8</v>
      </c>
      <c r="BR664" s="281"/>
      <c r="BS664" s="281">
        <v>0.96</v>
      </c>
      <c r="BT664" s="279">
        <v>0.22</v>
      </c>
      <c r="BU664" s="284" cm="1">
        <f t="array" aca="1" ref="BU664" ca="1">INDIRECT("'"&amp;$C664&amp;"'!"&amp;"$"&amp;$D664&amp;74&amp;"")</f>
        <v>0</v>
      </c>
      <c r="BV664" s="281"/>
      <c r="BW664" s="281" t="s">
        <v>1</v>
      </c>
      <c r="BX664" s="279" t="s">
        <v>1</v>
      </c>
    </row>
    <row r="665" spans="1:76">
      <c r="A665" s="459">
        <v>45865</v>
      </c>
      <c r="B665" s="345">
        <v>0.41666666666666702</v>
      </c>
      <c r="C665" s="305">
        <v>27</v>
      </c>
      <c r="D665" s="306" t="s">
        <v>152</v>
      </c>
      <c r="E665" s="285">
        <v>14</v>
      </c>
      <c r="F665" s="286">
        <v>68.25</v>
      </c>
      <c r="G665" s="287" t="str" cm="1">
        <f t="array" aca="1" ref="G665" ca="1">INDIRECT("'"&amp;$C665&amp;"'!"&amp;"$"&amp;$D665&amp;$E$1&amp;"")</f>
        <v>CMS</v>
      </c>
      <c r="H665" s="288" t="s">
        <v>1</v>
      </c>
      <c r="I665" s="286" t="s">
        <v>1</v>
      </c>
      <c r="J665" s="287" cm="1">
        <f t="array" aca="1" ref="J665" ca="1">INDIRECT("'"&amp;$C665&amp;"'!"&amp;"$"&amp;$D665&amp;$J$1&amp;"")</f>
        <v>6.6</v>
      </c>
      <c r="K665" s="288"/>
      <c r="L665" s="288">
        <v>0.92</v>
      </c>
      <c r="M665" s="289">
        <v>2.83</v>
      </c>
      <c r="N665" s="285" t="str" cm="1">
        <f t="array" aca="1" ref="N665" ca="1">INDIRECT("'"&amp;$C665&amp;"'!"&amp;"$"&amp;$D665&amp;$N$1&amp;"")</f>
        <v>CMS</v>
      </c>
      <c r="O665" s="288"/>
      <c r="P665" s="288" t="s">
        <v>1</v>
      </c>
      <c r="Q665" s="286" t="s">
        <v>1</v>
      </c>
      <c r="R665" s="285" cm="1">
        <f t="array" aca="1" ref="R665" ca="1">INDIRECT("'"&amp;$C665&amp;"'!"&amp;"$"&amp;$D665&amp;$R$1&amp;"")</f>
        <v>6.6</v>
      </c>
      <c r="S665" s="288"/>
      <c r="T665" s="288">
        <v>0.92</v>
      </c>
      <c r="U665" s="286">
        <v>2.83</v>
      </c>
      <c r="V665" s="287" t="str" cm="1">
        <f t="array" aca="1" ref="V665" ca="1">INDIRECT("'"&amp;$C665&amp;"'!"&amp;"$"&amp;$D665&amp;$V$1&amp;"")</f>
        <v>CMS</v>
      </c>
      <c r="W665" s="288" t="s">
        <v>1</v>
      </c>
      <c r="X665" s="288" t="s">
        <v>1</v>
      </c>
      <c r="Y665" s="289" t="s">
        <v>1</v>
      </c>
      <c r="Z665" s="285" cm="1">
        <f t="array" aca="1" ref="Z665" ca="1">INDIRECT("'"&amp;$C665&amp;"'!"&amp;"$"&amp;$D665&amp;$Z$1&amp;"")</f>
        <v>1.5</v>
      </c>
      <c r="AA665" s="288">
        <f>3.44*3.8</f>
        <v>13.071999999999999</v>
      </c>
      <c r="AB665" s="288">
        <v>0.98</v>
      </c>
      <c r="AC665" s="286">
        <v>34</v>
      </c>
      <c r="AD665" s="287" t="str" cm="1">
        <f t="array" aca="1" ref="AD665" ca="1">INDIRECT("'"&amp;$C665&amp;"'!"&amp;"$"&amp;$D665&amp;$AD$1&amp;"")</f>
        <v>CMS</v>
      </c>
      <c r="AE665" s="288" t="s">
        <v>1</v>
      </c>
      <c r="AF665" s="288" t="s">
        <v>1</v>
      </c>
      <c r="AG665" s="289" t="s">
        <v>1</v>
      </c>
      <c r="AH665" s="285" cm="1">
        <f t="array" aca="1" ref="AH665" ca="1">INDIRECT("'"&amp;$C665&amp;"'!"&amp;"$"&amp;$D665&amp;$AH$1&amp;"")</f>
        <v>2.5</v>
      </c>
      <c r="AI665" s="288">
        <v>14</v>
      </c>
      <c r="AJ665" s="288">
        <v>0.99</v>
      </c>
      <c r="AK665" s="286">
        <v>0.26100000000000001</v>
      </c>
      <c r="AL665" s="285">
        <v>11.6</v>
      </c>
      <c r="AM665" s="289">
        <v>70.5</v>
      </c>
      <c r="AN665" s="285" cm="1">
        <f t="array" aca="1" ref="AN665" ca="1">INDIRECT("'"&amp;$C665&amp;"'!"&amp;"$"&amp;$D665&amp;$AL$1&amp;"")</f>
        <v>3.7</v>
      </c>
      <c r="AO665" s="288">
        <v>0.96</v>
      </c>
      <c r="AP665" s="286">
        <v>0.65</v>
      </c>
      <c r="AQ665" s="287" cm="1">
        <f t="array" aca="1" ref="AQ665" ca="1">INDIRECT("'"&amp;$C665&amp;"'!"&amp;"$"&amp;$D665&amp;$AQ$1&amp;"")</f>
        <v>0</v>
      </c>
      <c r="AR665" s="288" t="s">
        <v>1</v>
      </c>
      <c r="AS665" s="286" t="s">
        <v>1</v>
      </c>
      <c r="AT665" s="285">
        <v>13.95</v>
      </c>
      <c r="AU665" s="289">
        <v>70.8</v>
      </c>
      <c r="AV665" s="288" cm="1">
        <f t="array" aca="1" ref="AV665" ca="1">INDIRECT("'"&amp;$C665&amp;"'!"&amp;"$"&amp;$D665&amp;$AV$1&amp;"")</f>
        <v>0</v>
      </c>
      <c r="AW665" s="287" t="s">
        <v>1</v>
      </c>
      <c r="AX665" s="288" t="s">
        <v>1</v>
      </c>
      <c r="AY665" s="286" t="s">
        <v>1</v>
      </c>
      <c r="AZ665" s="288" cm="1">
        <f t="array" aca="1" ref="AZ665" ca="1">INDIRECT("'"&amp;$C665&amp;"'!"&amp;"$"&amp;$D665&amp;$AZ$1&amp;"")</f>
        <v>7</v>
      </c>
      <c r="BA665" s="287" t="s">
        <v>1</v>
      </c>
      <c r="BB665" s="288">
        <v>0.93</v>
      </c>
      <c r="BC665" s="286">
        <v>2.9</v>
      </c>
      <c r="BD665" s="290">
        <v>14.14</v>
      </c>
      <c r="BE665" s="289">
        <v>71.55</v>
      </c>
      <c r="BF665" s="290" cm="1">
        <f t="array" aca="1" ref="BF665" ca="1">INDIRECT("'"&amp;$C665&amp;"'!"&amp;"$"&amp;$D665&amp;$BF$1&amp;"")</f>
        <v>14.26</v>
      </c>
      <c r="BG665" s="288">
        <v>0.99</v>
      </c>
      <c r="BH665" s="286">
        <v>2.2999999999999998</v>
      </c>
      <c r="BI665" s="525">
        <v>67.400000000000006</v>
      </c>
      <c r="BJ665" s="285" cm="1">
        <f t="array" aca="1" ref="BJ665" ca="1">INDIRECT("'"&amp;$C665&amp;"'!"&amp;"$"&amp;$D665&amp;$BI$1&amp;"")</f>
        <v>1.5</v>
      </c>
      <c r="BK665" s="287">
        <v>0.96</v>
      </c>
      <c r="BL665" s="286">
        <v>0.43</v>
      </c>
      <c r="BM665" s="290" cm="1">
        <f t="array" aca="1" ref="BM665" ca="1">INDIRECT("'"&amp;$C665&amp;"'!"&amp;"$"&amp;$D665&amp;$BM$1&amp;"")</f>
        <v>1.18</v>
      </c>
      <c r="BN665" s="288"/>
      <c r="BO665" s="288">
        <v>0.99</v>
      </c>
      <c r="BP665" s="286">
        <v>0.17</v>
      </c>
      <c r="BQ665" s="291" cm="1">
        <f t="array" aca="1" ref="BQ665" ca="1">INDIRECT("'"&amp;$C665&amp;"'!"&amp;"$"&amp;$D665&amp;$BQ$1&amp;"")</f>
        <v>0.84</v>
      </c>
      <c r="BR665" s="288"/>
      <c r="BS665" s="288">
        <v>0.96</v>
      </c>
      <c r="BT665" s="286">
        <v>0.24</v>
      </c>
      <c r="BU665" s="291" cm="1">
        <f t="array" aca="1" ref="BU665" ca="1">INDIRECT("'"&amp;$C665&amp;"'!"&amp;"$"&amp;$D665&amp;74&amp;"")</f>
        <v>0</v>
      </c>
      <c r="BV665" s="288"/>
      <c r="BW665" s="288" t="s">
        <v>1</v>
      </c>
      <c r="BX665" s="286" t="s">
        <v>1</v>
      </c>
    </row>
    <row r="666" spans="1:76">
      <c r="A666" s="459">
        <v>45865</v>
      </c>
      <c r="B666" s="345">
        <v>0.45833333333333398</v>
      </c>
      <c r="C666" s="305">
        <v>27</v>
      </c>
      <c r="D666" s="306" t="s">
        <v>153</v>
      </c>
      <c r="E666" s="278">
        <v>14.1</v>
      </c>
      <c r="F666" s="279">
        <v>68.709999999999994</v>
      </c>
      <c r="G666" s="280" t="str" cm="1">
        <f t="array" aca="1" ref="G666" ca="1">INDIRECT("'"&amp;$C666&amp;"'!"&amp;"$"&amp;$D666&amp;$E$1&amp;"")</f>
        <v>CMS</v>
      </c>
      <c r="H666" s="281" t="s">
        <v>1</v>
      </c>
      <c r="I666" s="279" t="s">
        <v>1</v>
      </c>
      <c r="J666" s="280" cm="1">
        <f t="array" aca="1" ref="J666" ca="1">INDIRECT("'"&amp;$C666&amp;"'!"&amp;"$"&amp;$D666&amp;$J$1&amp;"")</f>
        <v>6.4</v>
      </c>
      <c r="K666" s="281"/>
      <c r="L666" s="281">
        <v>0.91</v>
      </c>
      <c r="M666" s="282">
        <v>2.83</v>
      </c>
      <c r="N666" s="278" cm="1">
        <f t="array" aca="1" ref="N666" ca="1">INDIRECT("'"&amp;$C666&amp;"'!"&amp;"$"&amp;$D666&amp;$N$1&amp;"")</f>
        <v>2.8</v>
      </c>
      <c r="O666" s="281"/>
      <c r="P666" s="281">
        <v>0.9</v>
      </c>
      <c r="Q666" s="279">
        <v>1.37</v>
      </c>
      <c r="R666" s="468" cm="1">
        <f t="array" aca="1" ref="R666" ca="1">INDIRECT("'"&amp;$C666&amp;"'!"&amp;"$"&amp;$D666&amp;$R$1&amp;"")</f>
        <v>6.4</v>
      </c>
      <c r="S666" s="281"/>
      <c r="T666" s="281">
        <v>0.91</v>
      </c>
      <c r="U666" s="279">
        <v>2.2999999999999998</v>
      </c>
      <c r="V666" s="280" t="str" cm="1">
        <f t="array" aca="1" ref="V666" ca="1">INDIRECT("'"&amp;$C666&amp;"'!"&amp;"$"&amp;$D666&amp;$V$1&amp;"")</f>
        <v>CMS</v>
      </c>
      <c r="W666" s="281" t="s">
        <v>1</v>
      </c>
      <c r="X666" s="281" t="s">
        <v>1</v>
      </c>
      <c r="Y666" s="282" t="s">
        <v>1</v>
      </c>
      <c r="Z666" s="278" cm="1">
        <f t="array" aca="1" ref="Z666" ca="1">INDIRECT("'"&amp;$C666&amp;"'!"&amp;"$"&amp;$D666&amp;$Z$1&amp;"")</f>
        <v>2.5</v>
      </c>
      <c r="AA666" s="281">
        <f>3.8*3.45</f>
        <v>13.11</v>
      </c>
      <c r="AB666" s="281">
        <v>0.96</v>
      </c>
      <c r="AC666" s="279">
        <v>0.68</v>
      </c>
      <c r="AD666" s="280" t="str" cm="1">
        <f t="array" aca="1" ref="AD666" ca="1">INDIRECT("'"&amp;$C666&amp;"'!"&amp;"$"&amp;$D666&amp;$AD$1&amp;"")</f>
        <v>CMS</v>
      </c>
      <c r="AE666" s="281" t="s">
        <v>1</v>
      </c>
      <c r="AF666" s="281" t="s">
        <v>1</v>
      </c>
      <c r="AG666" s="282" t="s">
        <v>1</v>
      </c>
      <c r="AH666" s="278" cm="1">
        <f t="array" aca="1" ref="AH666" ca="1">INDIRECT("'"&amp;$C666&amp;"'!"&amp;"$"&amp;$D666&amp;$AH$1&amp;"")</f>
        <v>1.5</v>
      </c>
      <c r="AI666" s="281">
        <v>14</v>
      </c>
      <c r="AJ666" s="281">
        <v>0.99</v>
      </c>
      <c r="AK666" s="279">
        <v>0.189</v>
      </c>
      <c r="AL666" s="278">
        <v>11.6</v>
      </c>
      <c r="AM666" s="282">
        <v>70.599999999999994</v>
      </c>
      <c r="AN666" s="278" cm="1">
        <f t="array" aca="1" ref="AN666" ca="1">INDIRECT("'"&amp;$C666&amp;"'!"&amp;"$"&amp;$D666&amp;$AL$1&amp;"")</f>
        <v>3.7</v>
      </c>
      <c r="AO666" s="281">
        <v>0.96</v>
      </c>
      <c r="AP666" s="279">
        <v>1.02</v>
      </c>
      <c r="AQ666" s="280" cm="1">
        <f t="array" aca="1" ref="AQ666" ca="1">INDIRECT("'"&amp;$C666&amp;"'!"&amp;"$"&amp;$D666&amp;$AQ$1&amp;"")</f>
        <v>0</v>
      </c>
      <c r="AR666" s="281" t="s">
        <v>1</v>
      </c>
      <c r="AS666" s="279" t="s">
        <v>1</v>
      </c>
      <c r="AT666" s="278">
        <v>13.95</v>
      </c>
      <c r="AU666" s="282">
        <v>70.8</v>
      </c>
      <c r="AV666" s="281" cm="1">
        <f t="array" aca="1" ref="AV666" ca="1">INDIRECT("'"&amp;$C666&amp;"'!"&amp;"$"&amp;$D666&amp;$AV$1&amp;"")</f>
        <v>0</v>
      </c>
      <c r="AW666" s="280" t="s">
        <v>1</v>
      </c>
      <c r="AX666" s="281" t="s">
        <v>1</v>
      </c>
      <c r="AY666" s="279" t="s">
        <v>1</v>
      </c>
      <c r="AZ666" s="281" cm="1">
        <f t="array" aca="1" ref="AZ666" ca="1">INDIRECT("'"&amp;$C666&amp;"'!"&amp;"$"&amp;$D666&amp;$AZ$1&amp;"")</f>
        <v>7</v>
      </c>
      <c r="BA666" s="280" t="s">
        <v>1</v>
      </c>
      <c r="BB666" s="281">
        <v>0.94</v>
      </c>
      <c r="BC666" s="279">
        <v>2.8</v>
      </c>
      <c r="BD666" s="283">
        <v>14.18</v>
      </c>
      <c r="BE666" s="282">
        <v>71.900000000000006</v>
      </c>
      <c r="BF666" s="283" cm="1">
        <f t="array" aca="1" ref="BF666" ca="1">INDIRECT("'"&amp;$C666&amp;"'!"&amp;"$"&amp;$D666&amp;$BF$1&amp;"")</f>
        <v>14.25</v>
      </c>
      <c r="BG666" s="281">
        <v>0.99</v>
      </c>
      <c r="BH666" s="279">
        <v>2.2999999999999998</v>
      </c>
      <c r="BI666" s="524">
        <v>67.599999999999994</v>
      </c>
      <c r="BJ666" s="278" cm="1">
        <f t="array" aca="1" ref="BJ666" ca="1">INDIRECT("'"&amp;$C666&amp;"'!"&amp;"$"&amp;$D666&amp;$BI$1&amp;"")</f>
        <v>0</v>
      </c>
      <c r="BK666" s="280" t="s">
        <v>1</v>
      </c>
      <c r="BL666" s="279" t="s">
        <v>1</v>
      </c>
      <c r="BM666" s="283" cm="1">
        <f t="array" aca="1" ref="BM666" ca="1">INDIRECT("'"&amp;$C666&amp;"'!"&amp;"$"&amp;$D666&amp;$BM$1&amp;"")</f>
        <v>1.21</v>
      </c>
      <c r="BN666" s="281"/>
      <c r="BO666" s="281">
        <v>0.99</v>
      </c>
      <c r="BP666" s="279">
        <v>0.18</v>
      </c>
      <c r="BQ666" s="284" cm="1">
        <f t="array" aca="1" ref="BQ666" ca="1">INDIRECT("'"&amp;$C666&amp;"'!"&amp;"$"&amp;$D666&amp;$BQ$1&amp;"")</f>
        <v>0.86</v>
      </c>
      <c r="BR666" s="281"/>
      <c r="BS666" s="281">
        <v>0.96</v>
      </c>
      <c r="BT666" s="279">
        <v>0.24</v>
      </c>
      <c r="BU666" s="284" cm="1">
        <f t="array" aca="1" ref="BU666" ca="1">INDIRECT("'"&amp;$C666&amp;"'!"&amp;"$"&amp;$D666&amp;74&amp;"")</f>
        <v>0</v>
      </c>
      <c r="BV666" s="281"/>
      <c r="BW666" s="281" t="s">
        <v>1</v>
      </c>
      <c r="BX666" s="279" t="s">
        <v>1</v>
      </c>
    </row>
    <row r="667" spans="1:76">
      <c r="A667" s="459">
        <v>45865</v>
      </c>
      <c r="B667" s="345">
        <v>0.5</v>
      </c>
      <c r="C667" s="305">
        <v>27</v>
      </c>
      <c r="D667" s="306" t="s">
        <v>154</v>
      </c>
      <c r="E667" s="285">
        <v>14.2</v>
      </c>
      <c r="F667" s="286">
        <v>68.84</v>
      </c>
      <c r="G667" s="287" t="str" cm="1">
        <f t="array" aca="1" ref="G667" ca="1">INDIRECT("'"&amp;$C667&amp;"'!"&amp;"$"&amp;$D667&amp;$E$1&amp;"")</f>
        <v>CMS</v>
      </c>
      <c r="H667" s="288" t="s">
        <v>1</v>
      </c>
      <c r="I667" s="286" t="s">
        <v>1</v>
      </c>
      <c r="J667" s="287" cm="1">
        <f t="array" aca="1" ref="J667" ca="1">INDIRECT("'"&amp;$C667&amp;"'!"&amp;"$"&amp;$D667&amp;$J$1&amp;"")</f>
        <v>6.6</v>
      </c>
      <c r="K667" s="288"/>
      <c r="L667" s="288">
        <v>0.91</v>
      </c>
      <c r="M667" s="289">
        <v>2.98</v>
      </c>
      <c r="N667" s="285" cm="1">
        <f t="array" aca="1" ref="N667" ca="1">INDIRECT("'"&amp;$C667&amp;"'!"&amp;"$"&amp;$D667&amp;$N$1&amp;"")</f>
        <v>6.6</v>
      </c>
      <c r="O667" s="288"/>
      <c r="P667" s="288">
        <v>0.91</v>
      </c>
      <c r="Q667" s="289">
        <v>2.98</v>
      </c>
      <c r="R667" s="285" cm="1">
        <f t="array" aca="1" ref="R667" ca="1">INDIRECT("'"&amp;$C667&amp;"'!"&amp;"$"&amp;$D667&amp;$R$1&amp;"")</f>
        <v>6.6</v>
      </c>
      <c r="S667" s="288"/>
      <c r="T667" s="288">
        <v>0.91</v>
      </c>
      <c r="U667" s="286">
        <v>2.98</v>
      </c>
      <c r="V667" s="287" t="str" cm="1">
        <f t="array" aca="1" ref="V667" ca="1">INDIRECT("'"&amp;$C667&amp;"'!"&amp;"$"&amp;$D667&amp;$V$1&amp;"")</f>
        <v>CMS</v>
      </c>
      <c r="W667" s="288" t="s">
        <v>1</v>
      </c>
      <c r="X667" s="288" t="s">
        <v>1</v>
      </c>
      <c r="Y667" s="289" t="s">
        <v>1</v>
      </c>
      <c r="Z667" s="285" cm="1">
        <f t="array" aca="1" ref="Z667" ca="1">INDIRECT("'"&amp;$C667&amp;"'!"&amp;"$"&amp;$D667&amp;$Z$1&amp;"")</f>
        <v>0</v>
      </c>
      <c r="AA667" s="288" t="s">
        <v>1</v>
      </c>
      <c r="AB667" s="288" t="s">
        <v>1</v>
      </c>
      <c r="AC667" s="286" t="s">
        <v>1</v>
      </c>
      <c r="AD667" s="287" t="str" cm="1">
        <f t="array" aca="1" ref="AD667" ca="1">INDIRECT("'"&amp;$C667&amp;"'!"&amp;"$"&amp;$D667&amp;$AD$1&amp;"")</f>
        <v>CMS</v>
      </c>
      <c r="AE667" s="288" t="s">
        <v>1</v>
      </c>
      <c r="AF667" s="288" t="s">
        <v>1</v>
      </c>
      <c r="AG667" s="289" t="s">
        <v>1</v>
      </c>
      <c r="AH667" s="285" cm="1">
        <f t="array" aca="1" ref="AH667" ca="1">INDIRECT("'"&amp;$C667&amp;"'!"&amp;"$"&amp;$D667&amp;$AH$1&amp;"")</f>
        <v>3</v>
      </c>
      <c r="AI667" s="288">
        <v>14.04</v>
      </c>
      <c r="AJ667" s="288">
        <v>0.99</v>
      </c>
      <c r="AK667" s="286">
        <v>0.14499999999999999</v>
      </c>
      <c r="AL667" s="285">
        <v>11.6</v>
      </c>
      <c r="AM667" s="289">
        <v>70.599999999999994</v>
      </c>
      <c r="AN667" s="285" cm="1">
        <f t="array" aca="1" ref="AN667" ca="1">INDIRECT("'"&amp;$C667&amp;"'!"&amp;"$"&amp;$D667&amp;$AL$1&amp;"")</f>
        <v>2.5</v>
      </c>
      <c r="AO667" s="288">
        <v>0.94</v>
      </c>
      <c r="AP667" s="286">
        <v>1.1000000000000001</v>
      </c>
      <c r="AQ667" s="287" cm="1">
        <f t="array" aca="1" ref="AQ667" ca="1">INDIRECT("'"&amp;$C667&amp;"'!"&amp;"$"&amp;$D667&amp;$AQ$1&amp;"")</f>
        <v>0</v>
      </c>
      <c r="AR667" s="288" t="s">
        <v>1</v>
      </c>
      <c r="AS667" s="286" t="s">
        <v>1</v>
      </c>
      <c r="AT667" s="285">
        <v>13.95</v>
      </c>
      <c r="AU667" s="289">
        <v>70.8</v>
      </c>
      <c r="AV667" s="288" cm="1">
        <f t="array" aca="1" ref="AV667" ca="1">INDIRECT("'"&amp;$C667&amp;"'!"&amp;"$"&amp;$D667&amp;$AV$1&amp;"")</f>
        <v>0</v>
      </c>
      <c r="AW667" s="287" t="s">
        <v>1</v>
      </c>
      <c r="AX667" s="288" t="s">
        <v>1</v>
      </c>
      <c r="AY667" s="286" t="s">
        <v>1</v>
      </c>
      <c r="AZ667" s="288" cm="1">
        <f t="array" aca="1" ref="AZ667" ca="1">INDIRECT("'"&amp;$C667&amp;"'!"&amp;"$"&amp;$D667&amp;$AZ$1&amp;"")</f>
        <v>7</v>
      </c>
      <c r="BA667" s="287" t="s">
        <v>1</v>
      </c>
      <c r="BB667" s="288">
        <v>0.93</v>
      </c>
      <c r="BC667" s="286">
        <v>2.82</v>
      </c>
      <c r="BD667" s="290">
        <v>14.15</v>
      </c>
      <c r="BE667" s="289">
        <v>71.8</v>
      </c>
      <c r="BF667" s="290" cm="1">
        <f t="array" aca="1" ref="BF667" ca="1">INDIRECT("'"&amp;$C667&amp;"'!"&amp;"$"&amp;$D667&amp;$BF$1&amp;"")</f>
        <v>14.26</v>
      </c>
      <c r="BG667" s="288">
        <v>0.99</v>
      </c>
      <c r="BH667" s="286">
        <v>2.2999999999999998</v>
      </c>
      <c r="BI667" s="525">
        <v>67.8</v>
      </c>
      <c r="BJ667" s="285" cm="1">
        <f t="array" aca="1" ref="BJ667" ca="1">INDIRECT("'"&amp;$C667&amp;"'!"&amp;"$"&amp;$D667&amp;$BI$1&amp;"")</f>
        <v>0</v>
      </c>
      <c r="BK667" s="287" t="s">
        <v>1</v>
      </c>
      <c r="BL667" s="286" t="s">
        <v>1</v>
      </c>
      <c r="BM667" s="290" cm="1">
        <f t="array" aca="1" ref="BM667" ca="1">INDIRECT("'"&amp;$C667&amp;"'!"&amp;"$"&amp;$D667&amp;$BM$1&amp;"")</f>
        <v>1.27</v>
      </c>
      <c r="BN667" s="288"/>
      <c r="BO667" s="288">
        <v>0.99</v>
      </c>
      <c r="BP667" s="286">
        <v>0.19</v>
      </c>
      <c r="BQ667" s="291" cm="1">
        <f t="array" aca="1" ref="BQ667" ca="1">INDIRECT("'"&amp;$C667&amp;"'!"&amp;"$"&amp;$D667&amp;$BQ$1&amp;"")</f>
        <v>0.87</v>
      </c>
      <c r="BR667" s="288"/>
      <c r="BS667" s="288">
        <v>0.96</v>
      </c>
      <c r="BT667" s="286">
        <v>0.25</v>
      </c>
      <c r="BU667" s="291" cm="1">
        <f t="array" aca="1" ref="BU667" ca="1">INDIRECT("'"&amp;$C667&amp;"'!"&amp;"$"&amp;$D667&amp;74&amp;"")</f>
        <v>0</v>
      </c>
      <c r="BV667" s="288"/>
      <c r="BW667" s="288" t="s">
        <v>1</v>
      </c>
      <c r="BX667" s="286" t="s">
        <v>1</v>
      </c>
    </row>
    <row r="668" spans="1:76">
      <c r="A668" s="459">
        <v>45865</v>
      </c>
      <c r="B668" s="345">
        <v>0.54166666666666696</v>
      </c>
      <c r="C668" s="305">
        <v>27</v>
      </c>
      <c r="D668" s="306" t="s">
        <v>155</v>
      </c>
      <c r="E668" s="278">
        <v>14.2</v>
      </c>
      <c r="F668" s="279">
        <v>69.14</v>
      </c>
      <c r="G668" s="280" t="str" cm="1">
        <f t="array" aca="1" ref="G668" ca="1">INDIRECT("'"&amp;$C668&amp;"'!"&amp;"$"&amp;$D668&amp;$E$1&amp;"")</f>
        <v>CMS</v>
      </c>
      <c r="H668" s="281" t="s">
        <v>1</v>
      </c>
      <c r="I668" s="279" t="s">
        <v>1</v>
      </c>
      <c r="J668" s="280" cm="1">
        <f t="array" aca="1" ref="J668" ca="1">INDIRECT("'"&amp;$C668&amp;"'!"&amp;"$"&amp;$D668&amp;$J$1&amp;"")</f>
        <v>6.4</v>
      </c>
      <c r="K668" s="281"/>
      <c r="L668" s="281">
        <v>0.91</v>
      </c>
      <c r="M668" s="279">
        <v>2.85</v>
      </c>
      <c r="N668" s="278" cm="1">
        <f t="array" aca="1" ref="N668" ca="1">INDIRECT("'"&amp;$C668&amp;"'!"&amp;"$"&amp;$D668&amp;$N$1&amp;"")</f>
        <v>6.4</v>
      </c>
      <c r="O668" s="281"/>
      <c r="P668" s="281">
        <v>0.91</v>
      </c>
      <c r="Q668" s="279">
        <v>2.85</v>
      </c>
      <c r="R668" s="468" cm="1">
        <f t="array" aca="1" ref="R668" ca="1">INDIRECT("'"&amp;$C668&amp;"'!"&amp;"$"&amp;$D668&amp;$R$1&amp;"")</f>
        <v>6.4</v>
      </c>
      <c r="S668" s="281"/>
      <c r="T668" s="281">
        <v>0.91</v>
      </c>
      <c r="U668" s="279">
        <v>2.85</v>
      </c>
      <c r="V668" s="280" t="str" cm="1">
        <f t="array" aca="1" ref="V668" ca="1">INDIRECT("'"&amp;$C668&amp;"'!"&amp;"$"&amp;$D668&amp;$V$1&amp;"")</f>
        <v>CMS</v>
      </c>
      <c r="W668" s="281" t="s">
        <v>1</v>
      </c>
      <c r="X668" s="281" t="s">
        <v>1</v>
      </c>
      <c r="Y668" s="282" t="s">
        <v>1</v>
      </c>
      <c r="Z668" s="278" cm="1">
        <f t="array" aca="1" ref="Z668" ca="1">INDIRECT("'"&amp;$C668&amp;"'!"&amp;"$"&amp;$D668&amp;$Z$1&amp;"")</f>
        <v>0</v>
      </c>
      <c r="AA668" s="281" t="s">
        <v>1</v>
      </c>
      <c r="AB668" s="281" t="s">
        <v>1</v>
      </c>
      <c r="AC668" s="279" t="s">
        <v>1</v>
      </c>
      <c r="AD668" s="280" t="str" cm="1">
        <f t="array" aca="1" ref="AD668" ca="1">INDIRECT("'"&amp;$C668&amp;"'!"&amp;"$"&amp;$D668&amp;$AD$1&amp;"")</f>
        <v>CMS</v>
      </c>
      <c r="AE668" s="281" t="s">
        <v>1</v>
      </c>
      <c r="AF668" s="281" t="s">
        <v>1</v>
      </c>
      <c r="AG668" s="282" t="s">
        <v>1</v>
      </c>
      <c r="AH668" s="278" cm="1">
        <f t="array" aca="1" ref="AH668" ca="1">INDIRECT("'"&amp;$C668&amp;"'!"&amp;"$"&amp;$D668&amp;$AH$1&amp;"")</f>
        <v>3</v>
      </c>
      <c r="AI668" s="281">
        <v>14</v>
      </c>
      <c r="AJ668" s="281">
        <v>0.99</v>
      </c>
      <c r="AK668" s="279">
        <v>0.17</v>
      </c>
      <c r="AL668" s="278">
        <v>11.6</v>
      </c>
      <c r="AM668" s="282">
        <v>706</v>
      </c>
      <c r="AN668" s="278" cm="1">
        <f t="array" aca="1" ref="AN668" ca="1">INDIRECT("'"&amp;$C668&amp;"'!"&amp;"$"&amp;$D668&amp;$AL$1&amp;"")</f>
        <v>2</v>
      </c>
      <c r="AO668" s="281">
        <v>0.94</v>
      </c>
      <c r="AP668" s="279">
        <v>0.9</v>
      </c>
      <c r="AQ668" s="280" cm="1">
        <f t="array" aca="1" ref="AQ668" ca="1">INDIRECT("'"&amp;$C668&amp;"'!"&amp;"$"&amp;$D668&amp;$AQ$1&amp;"")</f>
        <v>0</v>
      </c>
      <c r="AR668" s="281" t="s">
        <v>1</v>
      </c>
      <c r="AS668" s="279" t="s">
        <v>1</v>
      </c>
      <c r="AT668" s="278">
        <v>13.95</v>
      </c>
      <c r="AU668" s="282">
        <v>70.8</v>
      </c>
      <c r="AV668" s="281" cm="1">
        <f t="array" aca="1" ref="AV668" ca="1">INDIRECT("'"&amp;$C668&amp;"'!"&amp;"$"&amp;$D668&amp;$AV$1&amp;"")</f>
        <v>0</v>
      </c>
      <c r="AW668" s="280">
        <v>13.7</v>
      </c>
      <c r="AX668" s="281" t="s">
        <v>1</v>
      </c>
      <c r="AY668" s="279" t="s">
        <v>1</v>
      </c>
      <c r="AZ668" s="281" cm="1">
        <f t="array" aca="1" ref="AZ668" ca="1">INDIRECT("'"&amp;$C668&amp;"'!"&amp;"$"&amp;$D668&amp;$AZ$1&amp;"")</f>
        <v>7</v>
      </c>
      <c r="BA668" s="280">
        <v>13.7</v>
      </c>
      <c r="BB668" s="281">
        <v>0.93</v>
      </c>
      <c r="BC668" s="279">
        <v>2.65</v>
      </c>
      <c r="BD668" s="283">
        <v>14.22</v>
      </c>
      <c r="BE668" s="282">
        <v>71.900000000000006</v>
      </c>
      <c r="BF668" s="283" cm="1">
        <f t="array" aca="1" ref="BF668" ca="1">INDIRECT("'"&amp;$C668&amp;"'!"&amp;"$"&amp;$D668&amp;$BF$1&amp;"")</f>
        <v>14.23</v>
      </c>
      <c r="BG668" s="281">
        <v>0.99</v>
      </c>
      <c r="BH668" s="279">
        <v>2.4</v>
      </c>
      <c r="BI668" s="524">
        <v>68</v>
      </c>
      <c r="BJ668" s="278" cm="1">
        <f t="array" aca="1" ref="BJ668" ca="1">INDIRECT("'"&amp;$C668&amp;"'!"&amp;"$"&amp;$D668&amp;$BI$1&amp;"")</f>
        <v>0</v>
      </c>
      <c r="BK668" s="280" t="s">
        <v>1</v>
      </c>
      <c r="BL668" s="279" t="s">
        <v>1</v>
      </c>
      <c r="BM668" s="283" cm="1">
        <f t="array" aca="1" ref="BM668" ca="1">INDIRECT("'"&amp;$C668&amp;"'!"&amp;"$"&amp;$D668&amp;$BM$1&amp;"")</f>
        <v>1.28</v>
      </c>
      <c r="BN668" s="281"/>
      <c r="BO668" s="281">
        <v>0.99</v>
      </c>
      <c r="BP668" s="279">
        <v>0.2</v>
      </c>
      <c r="BQ668" s="284" cm="1">
        <f t="array" aca="1" ref="BQ668" ca="1">INDIRECT("'"&amp;$C668&amp;"'!"&amp;"$"&amp;$D668&amp;$BQ$1&amp;"")</f>
        <v>0.87</v>
      </c>
      <c r="BR668" s="281"/>
      <c r="BS668" s="281">
        <v>0.96</v>
      </c>
      <c r="BT668" s="279">
        <v>0.25</v>
      </c>
      <c r="BU668" s="284" cm="1">
        <f t="array" aca="1" ref="BU668" ca="1">INDIRECT("'"&amp;$C668&amp;"'!"&amp;"$"&amp;$D668&amp;74&amp;"")</f>
        <v>0</v>
      </c>
      <c r="BV668" s="281"/>
      <c r="BW668" s="281" t="s">
        <v>1</v>
      </c>
      <c r="BX668" s="279" t="s">
        <v>1</v>
      </c>
    </row>
    <row r="669" spans="1:76">
      <c r="A669" s="459">
        <v>45865</v>
      </c>
      <c r="B669" s="345">
        <v>0.58333333333333404</v>
      </c>
      <c r="C669" s="305">
        <v>27</v>
      </c>
      <c r="D669" s="306" t="s">
        <v>156</v>
      </c>
      <c r="E669" s="285">
        <v>14.2</v>
      </c>
      <c r="F669" s="286">
        <v>68.88</v>
      </c>
      <c r="G669" s="287" t="str" cm="1">
        <f t="array" aca="1" ref="G669" ca="1">INDIRECT("'"&amp;$C669&amp;"'!"&amp;"$"&amp;$D669&amp;$E$1&amp;"")</f>
        <v>CMS</v>
      </c>
      <c r="H669" s="288" t="s">
        <v>1</v>
      </c>
      <c r="I669" s="286" t="s">
        <v>1</v>
      </c>
      <c r="J669" s="287" cm="1">
        <f t="array" aca="1" ref="J669" ca="1">INDIRECT("'"&amp;$C669&amp;"'!"&amp;"$"&amp;$D669&amp;$J$1&amp;"")</f>
        <v>6.7</v>
      </c>
      <c r="K669" s="288"/>
      <c r="L669" s="288">
        <v>0.91</v>
      </c>
      <c r="M669" s="289">
        <v>3.01</v>
      </c>
      <c r="N669" s="285" cm="1">
        <f t="array" aca="1" ref="N669" ca="1">INDIRECT("'"&amp;$C669&amp;"'!"&amp;"$"&amp;$D669&amp;$N$1&amp;"")</f>
        <v>6.7</v>
      </c>
      <c r="O669" s="288"/>
      <c r="P669" s="288">
        <v>0.91</v>
      </c>
      <c r="Q669" s="286">
        <v>3.01</v>
      </c>
      <c r="R669" s="285" cm="1">
        <f t="array" aca="1" ref="R669" ca="1">INDIRECT("'"&amp;$C669&amp;"'!"&amp;"$"&amp;$D669&amp;$R$1&amp;"")</f>
        <v>6.7</v>
      </c>
      <c r="S669" s="288"/>
      <c r="T669" s="288">
        <v>0.91</v>
      </c>
      <c r="U669" s="286">
        <v>3.01</v>
      </c>
      <c r="V669" s="287" t="str" cm="1">
        <f t="array" aca="1" ref="V669" ca="1">INDIRECT("'"&amp;$C669&amp;"'!"&amp;"$"&amp;$D669&amp;$V$1&amp;"")</f>
        <v>CMS</v>
      </c>
      <c r="W669" s="288" t="s">
        <v>1</v>
      </c>
      <c r="X669" s="288" t="s">
        <v>1</v>
      </c>
      <c r="Y669" s="289" t="s">
        <v>1</v>
      </c>
      <c r="Z669" s="285" cm="1">
        <f t="array" aca="1" ref="Z669" ca="1">INDIRECT("'"&amp;$C669&amp;"'!"&amp;"$"&amp;$D669&amp;$Z$1&amp;"")</f>
        <v>0</v>
      </c>
      <c r="AA669" s="288" t="s">
        <v>1</v>
      </c>
      <c r="AB669" s="288" t="s">
        <v>1</v>
      </c>
      <c r="AC669" s="286" t="s">
        <v>1</v>
      </c>
      <c r="AD669" s="287" t="str" cm="1">
        <f t="array" aca="1" ref="AD669" ca="1">INDIRECT("'"&amp;$C669&amp;"'!"&amp;"$"&amp;$D669&amp;$AD$1&amp;"")</f>
        <v>CMS</v>
      </c>
      <c r="AE669" s="288" t="s">
        <v>1</v>
      </c>
      <c r="AF669" s="288" t="s">
        <v>1</v>
      </c>
      <c r="AG669" s="289" t="s">
        <v>1</v>
      </c>
      <c r="AH669" s="285" cm="1">
        <f t="array" aca="1" ref="AH669" ca="1">INDIRECT("'"&amp;$C669&amp;"'!"&amp;"$"&amp;$D669&amp;$AH$1&amp;"")</f>
        <v>3</v>
      </c>
      <c r="AI669" s="288">
        <v>14</v>
      </c>
      <c r="AJ669" s="288">
        <v>0.99</v>
      </c>
      <c r="AK669" s="286">
        <v>0.17</v>
      </c>
      <c r="AL669" s="285">
        <v>11.6</v>
      </c>
      <c r="AM669" s="289">
        <v>70.5</v>
      </c>
      <c r="AN669" s="285" cm="1">
        <f t="array" aca="1" ref="AN669" ca="1">INDIRECT("'"&amp;$C669&amp;"'!"&amp;"$"&amp;$D669&amp;$AL$1&amp;"")</f>
        <v>2.2000000000000002</v>
      </c>
      <c r="AO669" s="288">
        <v>0.94</v>
      </c>
      <c r="AP669" s="286">
        <v>0.82</v>
      </c>
      <c r="AQ669" s="287" cm="1">
        <f t="array" aca="1" ref="AQ669" ca="1">INDIRECT("'"&amp;$C669&amp;"'!"&amp;"$"&amp;$D669&amp;$AQ$1&amp;"")</f>
        <v>0</v>
      </c>
      <c r="AR669" s="288" t="s">
        <v>1</v>
      </c>
      <c r="AS669" s="286" t="s">
        <v>1</v>
      </c>
      <c r="AT669" s="285">
        <v>13.95</v>
      </c>
      <c r="AU669" s="289">
        <v>70.8</v>
      </c>
      <c r="AV669" s="288" cm="1">
        <f t="array" aca="1" ref="AV669" ca="1">INDIRECT("'"&amp;$C669&amp;"'!"&amp;"$"&amp;$D669&amp;$AV$1&amp;"")</f>
        <v>0</v>
      </c>
      <c r="AW669" s="287">
        <v>13.7</v>
      </c>
      <c r="AX669" s="288" t="s">
        <v>1</v>
      </c>
      <c r="AY669" s="286" t="s">
        <v>1</v>
      </c>
      <c r="AZ669" s="288" cm="1">
        <f t="array" aca="1" ref="AZ669" ca="1">INDIRECT("'"&amp;$C669&amp;"'!"&amp;"$"&amp;$D669&amp;$AZ$1&amp;"")</f>
        <v>7</v>
      </c>
      <c r="BA669" s="287">
        <v>13.7</v>
      </c>
      <c r="BB669" s="288">
        <v>0.93</v>
      </c>
      <c r="BC669" s="286">
        <v>2.93</v>
      </c>
      <c r="BD669" s="290">
        <v>14.16</v>
      </c>
      <c r="BE669" s="289">
        <v>71.69</v>
      </c>
      <c r="BF669" s="290" cm="1">
        <f t="array" aca="1" ref="BF669" ca="1">INDIRECT("'"&amp;$C669&amp;"'!"&amp;"$"&amp;$D669&amp;$BF$1&amp;"")</f>
        <v>14.27</v>
      </c>
      <c r="BG669" s="288">
        <v>0.99</v>
      </c>
      <c r="BH669" s="286">
        <v>2.2999999999999998</v>
      </c>
      <c r="BI669" s="525">
        <v>67.599999999999994</v>
      </c>
      <c r="BJ669" s="285" cm="1">
        <f t="array" aca="1" ref="BJ669" ca="1">INDIRECT("'"&amp;$C669&amp;"'!"&amp;"$"&amp;$D669&amp;$BI$1&amp;"")</f>
        <v>0</v>
      </c>
      <c r="BK669" s="287" t="s">
        <v>1</v>
      </c>
      <c r="BL669" s="286" t="s">
        <v>1</v>
      </c>
      <c r="BM669" s="290" cm="1">
        <f t="array" aca="1" ref="BM669" ca="1">INDIRECT("'"&amp;$C669&amp;"'!"&amp;"$"&amp;$D669&amp;$BM$1&amp;"")</f>
        <v>1.27</v>
      </c>
      <c r="BN669" s="288"/>
      <c r="BO669" s="288">
        <v>0.99</v>
      </c>
      <c r="BP669" s="286">
        <v>0.2</v>
      </c>
      <c r="BQ669" s="291" cm="1">
        <f t="array" aca="1" ref="BQ669" ca="1">INDIRECT("'"&amp;$C669&amp;"'!"&amp;"$"&amp;$D669&amp;$BQ$1&amp;"")</f>
        <v>0.86</v>
      </c>
      <c r="BR669" s="288"/>
      <c r="BS669" s="288">
        <v>0.96</v>
      </c>
      <c r="BT669" s="286">
        <v>0.25</v>
      </c>
      <c r="BU669" s="291" cm="1">
        <f t="array" aca="1" ref="BU669" ca="1">INDIRECT("'"&amp;$C669&amp;"'!"&amp;"$"&amp;$D669&amp;74&amp;"")</f>
        <v>0</v>
      </c>
      <c r="BV669" s="288"/>
      <c r="BW669" s="288" t="s">
        <v>1</v>
      </c>
      <c r="BX669" s="286" t="s">
        <v>1</v>
      </c>
    </row>
    <row r="670" spans="1:76">
      <c r="A670" s="459">
        <v>45865</v>
      </c>
      <c r="B670" s="345">
        <v>0.625</v>
      </c>
      <c r="C670" s="305">
        <v>27</v>
      </c>
      <c r="D670" s="306" t="s">
        <v>157</v>
      </c>
      <c r="E670" s="278">
        <v>14.2</v>
      </c>
      <c r="F670" s="279">
        <v>68.78</v>
      </c>
      <c r="G670" s="280" t="str" cm="1">
        <f t="array" aca="1" ref="G670" ca="1">INDIRECT("'"&amp;$C670&amp;"'!"&amp;"$"&amp;$D670&amp;$E$1&amp;"")</f>
        <v>CMS</v>
      </c>
      <c r="H670" s="281" t="s">
        <v>1</v>
      </c>
      <c r="I670" s="279" t="s">
        <v>1</v>
      </c>
      <c r="J670" s="280" cm="1">
        <f t="array" aca="1" ref="J670" ca="1">INDIRECT("'"&amp;$C670&amp;"'!"&amp;"$"&amp;$D670&amp;$J$1&amp;"")</f>
        <v>6.7</v>
      </c>
      <c r="K670" s="281"/>
      <c r="L670" s="281">
        <v>0.91</v>
      </c>
      <c r="M670" s="282">
        <v>2.99</v>
      </c>
      <c r="N670" s="278" cm="1">
        <f t="array" aca="1" ref="N670" ca="1">INDIRECT("'"&amp;$C670&amp;"'!"&amp;"$"&amp;$D670&amp;$N$1&amp;"")</f>
        <v>6.7</v>
      </c>
      <c r="O670" s="281"/>
      <c r="P670" s="281">
        <v>0.91</v>
      </c>
      <c r="Q670" s="279">
        <v>2.99</v>
      </c>
      <c r="R670" s="468" cm="1">
        <f t="array" aca="1" ref="R670" ca="1">INDIRECT("'"&amp;$C670&amp;"'!"&amp;"$"&amp;$D670&amp;$R$1&amp;"")</f>
        <v>6.7</v>
      </c>
      <c r="S670" s="281"/>
      <c r="T670" s="281">
        <v>0.91</v>
      </c>
      <c r="U670" s="279">
        <v>2.99</v>
      </c>
      <c r="V670" s="280" t="str" cm="1">
        <f t="array" aca="1" ref="V670" ca="1">INDIRECT("'"&amp;$C670&amp;"'!"&amp;"$"&amp;$D670&amp;$V$1&amp;"")</f>
        <v>CMS</v>
      </c>
      <c r="W670" s="281" t="s">
        <v>1</v>
      </c>
      <c r="X670" s="281" t="s">
        <v>1</v>
      </c>
      <c r="Y670" s="282" t="s">
        <v>1</v>
      </c>
      <c r="Z670" s="278" cm="1">
        <f t="array" aca="1" ref="Z670" ca="1">INDIRECT("'"&amp;$C670&amp;"'!"&amp;"$"&amp;$D670&amp;$Z$1&amp;"")</f>
        <v>0</v>
      </c>
      <c r="AA670" s="281" t="s">
        <v>1</v>
      </c>
      <c r="AB670" s="281" t="s">
        <v>1</v>
      </c>
      <c r="AC670" s="279" t="s">
        <v>1</v>
      </c>
      <c r="AD670" s="280" t="str" cm="1">
        <f t="array" aca="1" ref="AD670" ca="1">INDIRECT("'"&amp;$C670&amp;"'!"&amp;"$"&amp;$D670&amp;$AD$1&amp;"")</f>
        <v>CMS</v>
      </c>
      <c r="AE670" s="281" t="s">
        <v>1</v>
      </c>
      <c r="AF670" s="281" t="s">
        <v>1</v>
      </c>
      <c r="AG670" s="279" t="s">
        <v>1</v>
      </c>
      <c r="AH670" s="278" cm="1">
        <f t="array" aca="1" ref="AH670" ca="1">INDIRECT("'"&amp;$C670&amp;"'!"&amp;"$"&amp;$D670&amp;$AH$1&amp;"")</f>
        <v>3</v>
      </c>
      <c r="AI670" s="281">
        <v>14.04</v>
      </c>
      <c r="AJ670" s="281">
        <v>0.99</v>
      </c>
      <c r="AK670" s="279">
        <v>0.21</v>
      </c>
      <c r="AL670" s="278">
        <v>11.6</v>
      </c>
      <c r="AM670" s="282">
        <v>70.400000000000006</v>
      </c>
      <c r="AN670" s="278" cm="1">
        <f t="array" aca="1" ref="AN670" ca="1">INDIRECT("'"&amp;$C670&amp;"'!"&amp;"$"&amp;$D670&amp;$AL$1&amp;"")</f>
        <v>0</v>
      </c>
      <c r="AO670" s="281" t="s">
        <v>1</v>
      </c>
      <c r="AP670" s="279" t="s">
        <v>1</v>
      </c>
      <c r="AQ670" s="280" cm="1">
        <f t="array" aca="1" ref="AQ670" ca="1">INDIRECT("'"&amp;$C670&amp;"'!"&amp;"$"&amp;$D670&amp;$AQ$1&amp;"")</f>
        <v>2.2000000000000002</v>
      </c>
      <c r="AR670" s="281">
        <v>0.96</v>
      </c>
      <c r="AS670" s="279">
        <v>0.55000000000000004</v>
      </c>
      <c r="AT670" s="278">
        <v>13.95</v>
      </c>
      <c r="AU670" s="282">
        <v>70.8</v>
      </c>
      <c r="AV670" s="281" cm="1">
        <f t="array" aca="1" ref="AV670" ca="1">INDIRECT("'"&amp;$C670&amp;"'!"&amp;"$"&amp;$D670&amp;$AV$1&amp;"")</f>
        <v>0</v>
      </c>
      <c r="AW670" s="280">
        <v>13.7</v>
      </c>
      <c r="AX670" s="281" t="s">
        <v>1</v>
      </c>
      <c r="AY670" s="279" t="s">
        <v>1</v>
      </c>
      <c r="AZ670" s="281" cm="1">
        <f t="array" aca="1" ref="AZ670" ca="1">INDIRECT("'"&amp;$C670&amp;"'!"&amp;"$"&amp;$D670&amp;$AZ$1&amp;"")</f>
        <v>6.8</v>
      </c>
      <c r="BA670" s="280">
        <v>13.7</v>
      </c>
      <c r="BB670" s="281">
        <v>0.93</v>
      </c>
      <c r="BC670" s="279">
        <v>2.98</v>
      </c>
      <c r="BD670" s="283">
        <v>14.16</v>
      </c>
      <c r="BE670" s="282">
        <v>71.650000000000006</v>
      </c>
      <c r="BF670" s="283" cm="1">
        <f t="array" aca="1" ref="BF670" ca="1">INDIRECT("'"&amp;$C670&amp;"'!"&amp;"$"&amp;$D670&amp;$BF$1&amp;"")</f>
        <v>14.29</v>
      </c>
      <c r="BG670" s="281">
        <v>0.99</v>
      </c>
      <c r="BH670" s="279">
        <v>2.2999999999999998</v>
      </c>
      <c r="BI670" s="524">
        <v>67.599999999999994</v>
      </c>
      <c r="BJ670" s="278" cm="1">
        <f t="array" aca="1" ref="BJ670" ca="1">INDIRECT("'"&amp;$C670&amp;"'!"&amp;"$"&amp;$D670&amp;$BI$1&amp;"")</f>
        <v>0</v>
      </c>
      <c r="BK670" s="280" t="s">
        <v>1</v>
      </c>
      <c r="BL670" s="279" t="s">
        <v>1</v>
      </c>
      <c r="BM670" s="283" cm="1">
        <f t="array" aca="1" ref="BM670" ca="1">INDIRECT("'"&amp;$C670&amp;"'!"&amp;"$"&amp;$D670&amp;$BM$1&amp;"")</f>
        <v>1.25</v>
      </c>
      <c r="BN670" s="281"/>
      <c r="BO670" s="281">
        <v>0.99</v>
      </c>
      <c r="BP670" s="279">
        <v>0.21</v>
      </c>
      <c r="BQ670" s="284" cm="1">
        <f t="array" aca="1" ref="BQ670" ca="1">INDIRECT("'"&amp;$C670&amp;"'!"&amp;"$"&amp;$D670&amp;$BQ$1&amp;"")</f>
        <v>0.86</v>
      </c>
      <c r="BR670" s="281"/>
      <c r="BS670" s="281">
        <v>0.96</v>
      </c>
      <c r="BT670" s="279">
        <v>0.25</v>
      </c>
      <c r="BU670" s="284" cm="1">
        <f t="array" aca="1" ref="BU670" ca="1">INDIRECT("'"&amp;$C670&amp;"'!"&amp;"$"&amp;$D670&amp;74&amp;"")</f>
        <v>0</v>
      </c>
      <c r="BV670" s="281"/>
      <c r="BW670" s="281" t="s">
        <v>1</v>
      </c>
      <c r="BX670" s="279" t="s">
        <v>1</v>
      </c>
    </row>
    <row r="671" spans="1:76">
      <c r="A671" s="459">
        <v>45865</v>
      </c>
      <c r="B671" s="345">
        <v>0.66666666666666696</v>
      </c>
      <c r="C671" s="305">
        <v>27</v>
      </c>
      <c r="D671" s="306" t="s">
        <v>158</v>
      </c>
      <c r="E671" s="285">
        <v>14.2</v>
      </c>
      <c r="F671" s="286">
        <v>68.75</v>
      </c>
      <c r="G671" s="287" t="str" cm="1">
        <f t="array" aca="1" ref="G671" ca="1">INDIRECT("'"&amp;$C671&amp;"'!"&amp;"$"&amp;$D671&amp;$E$1&amp;"")</f>
        <v>CMS</v>
      </c>
      <c r="H671" s="288" t="s">
        <v>1</v>
      </c>
      <c r="I671" s="286" t="s">
        <v>1</v>
      </c>
      <c r="J671" s="287" cm="1">
        <f t="array" aca="1" ref="J671" ca="1">INDIRECT("'"&amp;$C671&amp;"'!"&amp;"$"&amp;$D671&amp;$J$1&amp;"")</f>
        <v>6.5</v>
      </c>
      <c r="K671" s="288"/>
      <c r="L671" s="288">
        <v>0.91</v>
      </c>
      <c r="M671" s="289">
        <v>2.89</v>
      </c>
      <c r="N671" s="285" cm="1">
        <f t="array" aca="1" ref="N671" ca="1">INDIRECT("'"&amp;$C671&amp;"'!"&amp;"$"&amp;$D671&amp;$N$1&amp;"")</f>
        <v>6.5</v>
      </c>
      <c r="O671" s="288"/>
      <c r="P671" s="288">
        <v>0.91</v>
      </c>
      <c r="Q671" s="286">
        <v>2.89</v>
      </c>
      <c r="R671" s="469" cm="1">
        <f t="array" aca="1" ref="R671" ca="1">INDIRECT("'"&amp;$C671&amp;"'!"&amp;"$"&amp;$D671&amp;$R$1&amp;"")</f>
        <v>6.5</v>
      </c>
      <c r="S671" s="288"/>
      <c r="T671" s="288">
        <v>0.91</v>
      </c>
      <c r="U671" s="286">
        <v>2.89</v>
      </c>
      <c r="V671" s="287" t="str" cm="1">
        <f t="array" aca="1" ref="V671" ca="1">INDIRECT("'"&amp;$C671&amp;"'!"&amp;"$"&amp;$D671&amp;$V$1&amp;"")</f>
        <v>CMS</v>
      </c>
      <c r="W671" s="288" t="s">
        <v>1</v>
      </c>
      <c r="X671" s="288" t="s">
        <v>1</v>
      </c>
      <c r="Y671" s="289" t="s">
        <v>1</v>
      </c>
      <c r="Z671" s="285" cm="1">
        <f t="array" aca="1" ref="Z671" ca="1">INDIRECT("'"&amp;$C671&amp;"'!"&amp;"$"&amp;$D671&amp;$Z$1&amp;"")</f>
        <v>0</v>
      </c>
      <c r="AA671" s="288" t="s">
        <v>1</v>
      </c>
      <c r="AB671" s="288" t="s">
        <v>1</v>
      </c>
      <c r="AC671" s="286" t="s">
        <v>1</v>
      </c>
      <c r="AD671" s="287" t="str" cm="1">
        <f t="array" aca="1" ref="AD671" ca="1">INDIRECT("'"&amp;$C671&amp;"'!"&amp;"$"&amp;$D671&amp;$AD$1&amp;"")</f>
        <v>CMS</v>
      </c>
      <c r="AE671" s="288" t="s">
        <v>1</v>
      </c>
      <c r="AF671" s="288" t="s">
        <v>1</v>
      </c>
      <c r="AG671" s="289" t="s">
        <v>1</v>
      </c>
      <c r="AH671" s="285" cm="1">
        <f t="array" aca="1" ref="AH671" ca="1">INDIRECT("'"&amp;$C671&amp;"'!"&amp;"$"&amp;$D671&amp;$AH$1&amp;"")</f>
        <v>3.8</v>
      </c>
      <c r="AI671" s="288">
        <v>14.04</v>
      </c>
      <c r="AJ671" s="288">
        <v>0.99</v>
      </c>
      <c r="AK671" s="286">
        <v>0.21299999999999999</v>
      </c>
      <c r="AL671" s="285">
        <v>11.6</v>
      </c>
      <c r="AM671" s="289">
        <v>70.400000000000006</v>
      </c>
      <c r="AN671" s="285" cm="1">
        <f t="array" aca="1" ref="AN671" ca="1">INDIRECT("'"&amp;$C671&amp;"'!"&amp;"$"&amp;$D671&amp;$AL$1&amp;"")</f>
        <v>0</v>
      </c>
      <c r="AO671" s="288" t="s">
        <v>1</v>
      </c>
      <c r="AP671" s="286" t="s">
        <v>1</v>
      </c>
      <c r="AQ671" s="287" cm="1">
        <f t="array" aca="1" ref="AQ671" ca="1">INDIRECT("'"&amp;$C671&amp;"'!"&amp;"$"&amp;$D671&amp;$AQ$1&amp;"")</f>
        <v>3.8</v>
      </c>
      <c r="AR671" s="288">
        <v>0.97</v>
      </c>
      <c r="AS671" s="286">
        <v>0.8</v>
      </c>
      <c r="AT671" s="285">
        <v>13.98</v>
      </c>
      <c r="AU671" s="289">
        <v>70.900000000000006</v>
      </c>
      <c r="AV671" s="288" cm="1">
        <f t="array" aca="1" ref="AV671" ca="1">INDIRECT("'"&amp;$C671&amp;"'!"&amp;"$"&amp;$D671&amp;$AV$1&amp;"")</f>
        <v>0</v>
      </c>
      <c r="AW671" s="287" t="s">
        <v>1</v>
      </c>
      <c r="AX671" s="288" t="s">
        <v>1</v>
      </c>
      <c r="AY671" s="286" t="s">
        <v>1</v>
      </c>
      <c r="AZ671" s="288" cm="1">
        <f t="array" aca="1" ref="AZ671" ca="1">INDIRECT("'"&amp;$C671&amp;"'!"&amp;"$"&amp;$D671&amp;$AZ$1&amp;"")</f>
        <v>7</v>
      </c>
      <c r="BA671" s="287" t="s">
        <v>1</v>
      </c>
      <c r="BB671" s="288">
        <v>0.92</v>
      </c>
      <c r="BC671" s="286">
        <v>3.21</v>
      </c>
      <c r="BD671" s="290">
        <v>14.14</v>
      </c>
      <c r="BE671" s="289">
        <v>71.59</v>
      </c>
      <c r="BF671" s="290" cm="1">
        <f t="array" aca="1" ref="BF671" ca="1">INDIRECT("'"&amp;$C671&amp;"'!"&amp;"$"&amp;$D671&amp;$BF$1&amp;"")</f>
        <v>14.23</v>
      </c>
      <c r="BG671" s="288">
        <v>0.99</v>
      </c>
      <c r="BH671" s="286">
        <v>2.2999999999999998</v>
      </c>
      <c r="BI671" s="525">
        <v>67.2</v>
      </c>
      <c r="BJ671" s="285" cm="1">
        <f t="array" aca="1" ref="BJ671" ca="1">INDIRECT("'"&amp;$C671&amp;"'!"&amp;"$"&amp;$D671&amp;$BI$1&amp;"")</f>
        <v>0</v>
      </c>
      <c r="BK671" s="287" t="s">
        <v>1</v>
      </c>
      <c r="BL671" s="286" t="s">
        <v>1</v>
      </c>
      <c r="BM671" s="290" cm="1">
        <f t="array" aca="1" ref="BM671" ca="1">INDIRECT("'"&amp;$C671&amp;"'!"&amp;"$"&amp;$D671&amp;$BM$1&amp;"")</f>
        <v>1.28</v>
      </c>
      <c r="BN671" s="288"/>
      <c r="BO671" s="288">
        <v>0.99</v>
      </c>
      <c r="BP671" s="286">
        <v>0.21</v>
      </c>
      <c r="BQ671" s="291" cm="1">
        <f t="array" aca="1" ref="BQ671" ca="1">INDIRECT("'"&amp;$C671&amp;"'!"&amp;"$"&amp;$D671&amp;$BQ$1&amp;"")</f>
        <v>0.85</v>
      </c>
      <c r="BR671" s="288"/>
      <c r="BS671" s="288">
        <v>0.96</v>
      </c>
      <c r="BT671" s="286">
        <v>0.25</v>
      </c>
      <c r="BU671" s="291" cm="1">
        <f t="array" aca="1" ref="BU671" ca="1">INDIRECT("'"&amp;$C671&amp;"'!"&amp;"$"&amp;$D671&amp;74&amp;"")</f>
        <v>0</v>
      </c>
      <c r="BV671" s="288"/>
      <c r="BW671" s="288" t="s">
        <v>1</v>
      </c>
      <c r="BX671" s="286" t="s">
        <v>1</v>
      </c>
    </row>
    <row r="672" spans="1:76">
      <c r="A672" s="459">
        <v>45865</v>
      </c>
      <c r="B672" s="345">
        <v>0.70833333333333404</v>
      </c>
      <c r="C672" s="305">
        <v>27</v>
      </c>
      <c r="D672" s="306" t="s">
        <v>159</v>
      </c>
      <c r="E672" s="278">
        <v>14.3</v>
      </c>
      <c r="F672" s="279">
        <v>69.41</v>
      </c>
      <c r="G672" s="280" t="str" cm="1">
        <f t="array" aca="1" ref="G672" ca="1">INDIRECT("'"&amp;$C672&amp;"'!"&amp;"$"&amp;$D672&amp;$E$1&amp;"")</f>
        <v>CMS</v>
      </c>
      <c r="H672" s="281" t="s">
        <v>1</v>
      </c>
      <c r="I672" s="279" t="s">
        <v>1</v>
      </c>
      <c r="J672" s="280" cm="1">
        <f t="array" aca="1" ref="J672" ca="1">INDIRECT("'"&amp;$C672&amp;"'!"&amp;"$"&amp;$D672&amp;$J$1&amp;"")</f>
        <v>6.7</v>
      </c>
      <c r="K672" s="281"/>
      <c r="L672" s="281">
        <v>0.91</v>
      </c>
      <c r="M672" s="282">
        <v>3.06</v>
      </c>
      <c r="N672" s="278" cm="1">
        <f t="array" aca="1" ref="N672" ca="1">INDIRECT("'"&amp;$C672&amp;"'!"&amp;"$"&amp;$D672&amp;$N$1&amp;"")</f>
        <v>6.7</v>
      </c>
      <c r="O672" s="281"/>
      <c r="P672" s="281">
        <v>0.91</v>
      </c>
      <c r="Q672" s="279">
        <v>3.06</v>
      </c>
      <c r="R672" s="468" cm="1">
        <f t="array" aca="1" ref="R672" ca="1">INDIRECT("'"&amp;$C672&amp;"'!"&amp;"$"&amp;$D672&amp;$R$1&amp;"")</f>
        <v>6.7</v>
      </c>
      <c r="S672" s="281"/>
      <c r="T672" s="281">
        <v>0.91</v>
      </c>
      <c r="U672" s="279">
        <v>3.06</v>
      </c>
      <c r="V672" s="280" t="str" cm="1">
        <f t="array" aca="1" ref="V672" ca="1">INDIRECT("'"&amp;$C672&amp;"'!"&amp;"$"&amp;$D672&amp;$V$1&amp;"")</f>
        <v>CMS</v>
      </c>
      <c r="W672" s="281" t="s">
        <v>1</v>
      </c>
      <c r="X672" s="281" t="s">
        <v>1</v>
      </c>
      <c r="Y672" s="282" t="s">
        <v>1</v>
      </c>
      <c r="Z672" s="278" cm="1">
        <f t="array" aca="1" ref="Z672" ca="1">INDIRECT("'"&amp;$C672&amp;"'!"&amp;"$"&amp;$D672&amp;$Z$1&amp;"")</f>
        <v>0</v>
      </c>
      <c r="AA672" s="281" t="s">
        <v>1</v>
      </c>
      <c r="AB672" s="281" t="s">
        <v>1</v>
      </c>
      <c r="AC672" s="279" t="s">
        <v>1</v>
      </c>
      <c r="AD672" s="280" t="str" cm="1">
        <f t="array" aca="1" ref="AD672" ca="1">INDIRECT("'"&amp;$C672&amp;"'!"&amp;"$"&amp;$D672&amp;$AD$1&amp;"")</f>
        <v>CMS</v>
      </c>
      <c r="AE672" s="281" t="s">
        <v>1</v>
      </c>
      <c r="AF672" s="281" t="s">
        <v>1</v>
      </c>
      <c r="AG672" s="282" t="s">
        <v>1</v>
      </c>
      <c r="AH672" s="278" cm="1">
        <f t="array" aca="1" ref="AH672" ca="1">INDIRECT("'"&amp;$C672&amp;"'!"&amp;"$"&amp;$D672&amp;$AH$1&amp;"")</f>
        <v>3</v>
      </c>
      <c r="AI672" s="281">
        <v>14.12</v>
      </c>
      <c r="AJ672" s="281">
        <v>1</v>
      </c>
      <c r="AK672" s="279">
        <v>5.7000000000000002E-2</v>
      </c>
      <c r="AL672" s="278">
        <v>11.6</v>
      </c>
      <c r="AM672" s="282">
        <v>71.2</v>
      </c>
      <c r="AN672" s="278" cm="1">
        <f t="array" aca="1" ref="AN672" ca="1">INDIRECT("'"&amp;$C672&amp;"'!"&amp;"$"&amp;$D672&amp;$AL$1&amp;"")</f>
        <v>0</v>
      </c>
      <c r="AO672" s="281" t="s">
        <v>1</v>
      </c>
      <c r="AP672" s="279" t="s">
        <v>1</v>
      </c>
      <c r="AQ672" s="280" cm="1">
        <f t="array" aca="1" ref="AQ672" ca="1">INDIRECT("'"&amp;$C672&amp;"'!"&amp;"$"&amp;$D672&amp;$AQ$1&amp;"")</f>
        <v>2</v>
      </c>
      <c r="AR672" s="281">
        <v>0.94</v>
      </c>
      <c r="AS672" s="279">
        <v>0.88</v>
      </c>
      <c r="AT672" s="278">
        <v>13.98</v>
      </c>
      <c r="AU672" s="282">
        <v>70.900000000000006</v>
      </c>
      <c r="AV672" s="281" cm="1">
        <f t="array" aca="1" ref="AV672" ca="1">INDIRECT("'"&amp;$C672&amp;"'!"&amp;"$"&amp;$D672&amp;$AV$1&amp;"")</f>
        <v>0</v>
      </c>
      <c r="AW672" s="280" t="s">
        <v>1</v>
      </c>
      <c r="AX672" s="281" t="s">
        <v>1</v>
      </c>
      <c r="AY672" s="279" t="s">
        <v>1</v>
      </c>
      <c r="AZ672" s="281" cm="1">
        <f t="array" aca="1" ref="AZ672" ca="1">INDIRECT("'"&amp;$C672&amp;"'!"&amp;"$"&amp;$D672&amp;$AZ$1&amp;"")</f>
        <v>7</v>
      </c>
      <c r="BA672" s="280" t="s">
        <v>1</v>
      </c>
      <c r="BB672" s="281">
        <v>0.93</v>
      </c>
      <c r="BC672" s="279">
        <v>2.97</v>
      </c>
      <c r="BD672" s="283">
        <v>14.3</v>
      </c>
      <c r="BE672" s="282">
        <v>72.33</v>
      </c>
      <c r="BF672" s="283" cm="1">
        <f t="array" aca="1" ref="BF672" ca="1">INDIRECT("'"&amp;$C672&amp;"'!"&amp;"$"&amp;$D672&amp;$BF$1&amp;"")</f>
        <v>14.27</v>
      </c>
      <c r="BG672" s="281">
        <v>0.99</v>
      </c>
      <c r="BH672" s="279">
        <v>2.2999999999999998</v>
      </c>
      <c r="BI672" s="524">
        <v>68.2</v>
      </c>
      <c r="BJ672" s="278" cm="1">
        <f t="array" aca="1" ref="BJ672" ca="1">INDIRECT("'"&amp;$C672&amp;"'!"&amp;"$"&amp;$D672&amp;$BI$1&amp;"")</f>
        <v>0</v>
      </c>
      <c r="BK672" s="280" t="s">
        <v>1</v>
      </c>
      <c r="BL672" s="279" t="s">
        <v>1</v>
      </c>
      <c r="BM672" s="283" cm="1">
        <f t="array" aca="1" ref="BM672" ca="1">INDIRECT("'"&amp;$C672&amp;"'!"&amp;"$"&amp;$D672&amp;$BM$1&amp;"")</f>
        <v>1.26</v>
      </c>
      <c r="BN672" s="281"/>
      <c r="BO672" s="281">
        <v>0.99</v>
      </c>
      <c r="BP672" s="279">
        <v>0.21</v>
      </c>
      <c r="BQ672" s="284" cm="1">
        <f t="array" aca="1" ref="BQ672" ca="1">INDIRECT("'"&amp;$C672&amp;"'!"&amp;"$"&amp;$D672&amp;$BQ$1&amp;"")</f>
        <v>0.85</v>
      </c>
      <c r="BR672" s="281"/>
      <c r="BS672" s="281">
        <v>0.96</v>
      </c>
      <c r="BT672" s="279">
        <v>0.25</v>
      </c>
      <c r="BU672" s="284" cm="1">
        <f t="array" aca="1" ref="BU672" ca="1">INDIRECT("'"&amp;$C672&amp;"'!"&amp;"$"&amp;$D672&amp;74&amp;"")</f>
        <v>0</v>
      </c>
      <c r="BV672" s="281"/>
      <c r="BW672" s="281" t="s">
        <v>1</v>
      </c>
      <c r="BX672" s="279" t="s">
        <v>1</v>
      </c>
    </row>
    <row r="673" spans="1:76">
      <c r="A673" s="459">
        <v>45865</v>
      </c>
      <c r="B673" s="345">
        <v>0.750000000000001</v>
      </c>
      <c r="C673" s="305">
        <v>27</v>
      </c>
      <c r="D673" s="306" t="s">
        <v>160</v>
      </c>
      <c r="E673" s="285">
        <v>14.3</v>
      </c>
      <c r="F673" s="286">
        <v>69.52</v>
      </c>
      <c r="G673" s="287" t="str" cm="1">
        <f t="array" aca="1" ref="G673" ca="1">INDIRECT("'"&amp;$C673&amp;"'!"&amp;"$"&amp;$D673&amp;$E$1&amp;"")</f>
        <v>CMS</v>
      </c>
      <c r="H673" s="288" t="s">
        <v>1</v>
      </c>
      <c r="I673" s="286" t="s">
        <v>1</v>
      </c>
      <c r="J673" s="287" cm="1">
        <f t="array" aca="1" ref="J673" ca="1">INDIRECT("'"&amp;$C673&amp;"'!"&amp;"$"&amp;$D673&amp;$J$1&amp;"")</f>
        <v>6.8</v>
      </c>
      <c r="K673" s="288"/>
      <c r="L673" s="288">
        <v>0.92</v>
      </c>
      <c r="M673" s="289">
        <v>2.98</v>
      </c>
      <c r="N673" s="285" cm="1">
        <f t="array" aca="1" ref="N673" ca="1">INDIRECT("'"&amp;$C673&amp;"'!"&amp;"$"&amp;$D673&amp;$N$1&amp;"")</f>
        <v>6.8</v>
      </c>
      <c r="O673" s="288"/>
      <c r="P673" s="288">
        <v>0.92</v>
      </c>
      <c r="Q673" s="289">
        <v>2.98</v>
      </c>
      <c r="R673" s="285" cm="1">
        <f t="array" aca="1" ref="R673" ca="1">INDIRECT("'"&amp;$C673&amp;"'!"&amp;"$"&amp;$D673&amp;$R$1&amp;"")</f>
        <v>6.8</v>
      </c>
      <c r="S673" s="288"/>
      <c r="T673" s="288">
        <v>0.92</v>
      </c>
      <c r="U673" s="286">
        <v>2.98</v>
      </c>
      <c r="V673" s="287" t="str" cm="1">
        <f t="array" aca="1" ref="V673" ca="1">INDIRECT("'"&amp;$C673&amp;"'!"&amp;"$"&amp;$D673&amp;$V$1&amp;"")</f>
        <v>CMS</v>
      </c>
      <c r="W673" s="288" t="s">
        <v>1</v>
      </c>
      <c r="X673" s="288" t="s">
        <v>1</v>
      </c>
      <c r="Y673" s="289" t="s">
        <v>1</v>
      </c>
      <c r="Z673" s="285" cm="1">
        <f t="array" aca="1" ref="Z673" ca="1">INDIRECT("'"&amp;$C673&amp;"'!"&amp;"$"&amp;$D673&amp;$Z$1&amp;"")</f>
        <v>0</v>
      </c>
      <c r="AA673" s="288" t="s">
        <v>1</v>
      </c>
      <c r="AB673" s="288" t="s">
        <v>1</v>
      </c>
      <c r="AC673" s="286" t="s">
        <v>1</v>
      </c>
      <c r="AD673" s="287" t="str" cm="1">
        <f t="array" aca="1" ref="AD673" ca="1">INDIRECT("'"&amp;$C673&amp;"'!"&amp;"$"&amp;$D673&amp;$AD$1&amp;"")</f>
        <v>CMS</v>
      </c>
      <c r="AE673" s="288" t="s">
        <v>1</v>
      </c>
      <c r="AF673" s="288" t="s">
        <v>1</v>
      </c>
      <c r="AG673" s="289" t="s">
        <v>1</v>
      </c>
      <c r="AH673" s="285" cm="1">
        <f t="array" aca="1" ref="AH673" ca="1">INDIRECT("'"&amp;$C673&amp;"'!"&amp;"$"&amp;$D673&amp;$AH$1&amp;"")</f>
        <v>3</v>
      </c>
      <c r="AI673" s="288">
        <v>14.12</v>
      </c>
      <c r="AJ673" s="288">
        <v>1</v>
      </c>
      <c r="AK673" s="286">
        <v>7.5999999999999998E-2</v>
      </c>
      <c r="AL673" s="285">
        <v>11.6</v>
      </c>
      <c r="AM673" s="289">
        <v>71.2</v>
      </c>
      <c r="AN673" s="285" cm="1">
        <f t="array" aca="1" ref="AN673" ca="1">INDIRECT("'"&amp;$C673&amp;"'!"&amp;"$"&amp;$D673&amp;$AL$1&amp;"")</f>
        <v>0</v>
      </c>
      <c r="AO673" s="288" t="s">
        <v>1</v>
      </c>
      <c r="AP673" s="286" t="s">
        <v>1</v>
      </c>
      <c r="AQ673" s="287" cm="1">
        <f t="array" aca="1" ref="AQ673" ca="1">INDIRECT("'"&amp;$C673&amp;"'!"&amp;"$"&amp;$D673&amp;$AQ$1&amp;"")</f>
        <v>2.7</v>
      </c>
      <c r="AR673" s="288">
        <v>0.94</v>
      </c>
      <c r="AS673" s="286">
        <v>0.85</v>
      </c>
      <c r="AT673" s="285">
        <v>13.98</v>
      </c>
      <c r="AU673" s="289">
        <v>70.900000000000006</v>
      </c>
      <c r="AV673" s="288" cm="1">
        <f t="array" aca="1" ref="AV673" ca="1">INDIRECT("'"&amp;$C673&amp;"'!"&amp;"$"&amp;$D673&amp;$AV$1&amp;"")</f>
        <v>0</v>
      </c>
      <c r="AW673" s="287" t="s">
        <v>1</v>
      </c>
      <c r="AX673" s="288" t="s">
        <v>1</v>
      </c>
      <c r="AY673" s="286" t="s">
        <v>1</v>
      </c>
      <c r="AZ673" s="288" cm="1">
        <f t="array" aca="1" ref="AZ673" ca="1">INDIRECT("'"&amp;$C673&amp;"'!"&amp;"$"&amp;$D673&amp;$AZ$1&amp;"")</f>
        <v>7</v>
      </c>
      <c r="BA673" s="287" t="s">
        <v>1</v>
      </c>
      <c r="BB673" s="288">
        <v>0.93</v>
      </c>
      <c r="BC673" s="286">
        <v>2.96</v>
      </c>
      <c r="BD673" s="290">
        <v>14.24</v>
      </c>
      <c r="BE673" s="289">
        <v>72.19</v>
      </c>
      <c r="BF673" s="290" cm="1">
        <f t="array" aca="1" ref="BF673" ca="1">INDIRECT("'"&amp;$C673&amp;"'!"&amp;"$"&amp;$D673&amp;$BF$1&amp;"")</f>
        <v>14.22</v>
      </c>
      <c r="BG673" s="288">
        <v>0.99</v>
      </c>
      <c r="BH673" s="286">
        <v>2.2999999999999998</v>
      </c>
      <c r="BI673" s="525">
        <v>68.5</v>
      </c>
      <c r="BJ673" s="285" cm="1">
        <f t="array" aca="1" ref="BJ673" ca="1">INDIRECT("'"&amp;$C673&amp;"'!"&amp;"$"&amp;$D673&amp;$BI$1&amp;"")</f>
        <v>0</v>
      </c>
      <c r="BK673" s="287" t="s">
        <v>1</v>
      </c>
      <c r="BL673" s="286" t="s">
        <v>1</v>
      </c>
      <c r="BM673" s="290" cm="1">
        <f t="array" aca="1" ref="BM673" ca="1">INDIRECT("'"&amp;$C673&amp;"'!"&amp;"$"&amp;$D673&amp;$BM$1&amp;"")</f>
        <v>1.22</v>
      </c>
      <c r="BN673" s="288"/>
      <c r="BO673" s="288">
        <v>0.99</v>
      </c>
      <c r="BP673" s="286">
        <v>0.18</v>
      </c>
      <c r="BQ673" s="291" cm="1">
        <f t="array" aca="1" ref="BQ673" ca="1">INDIRECT("'"&amp;$C673&amp;"'!"&amp;"$"&amp;$D673&amp;$BQ$1&amp;"")</f>
        <v>0.86</v>
      </c>
      <c r="BR673" s="288"/>
      <c r="BS673" s="288">
        <v>0.96</v>
      </c>
      <c r="BT673" s="286">
        <v>0.25</v>
      </c>
      <c r="BU673" s="291" cm="1">
        <f t="array" aca="1" ref="BU673" ca="1">INDIRECT("'"&amp;$C673&amp;"'!"&amp;"$"&amp;$D673&amp;74&amp;"")</f>
        <v>0</v>
      </c>
      <c r="BV673" s="288"/>
      <c r="BW673" s="288" t="s">
        <v>1</v>
      </c>
      <c r="BX673" s="286" t="s">
        <v>1</v>
      </c>
    </row>
    <row r="674" spans="1:76">
      <c r="A674" s="459">
        <v>45865</v>
      </c>
      <c r="B674" s="345">
        <v>0.79166666666666696</v>
      </c>
      <c r="C674" s="305">
        <v>27</v>
      </c>
      <c r="D674" s="306" t="s">
        <v>161</v>
      </c>
      <c r="E674" s="278">
        <v>14.3</v>
      </c>
      <c r="F674" s="279">
        <v>70.05</v>
      </c>
      <c r="G674" s="280" t="str" cm="1">
        <f t="array" aca="1" ref="G674" ca="1">INDIRECT("'"&amp;$C674&amp;"'!"&amp;"$"&amp;$D674&amp;$E$1&amp;"")</f>
        <v>CMS</v>
      </c>
      <c r="H674" s="281" t="s">
        <v>1</v>
      </c>
      <c r="I674" s="279" t="s">
        <v>1</v>
      </c>
      <c r="J674" s="280" cm="1">
        <f t="array" aca="1" ref="J674" ca="1">INDIRECT("'"&amp;$C674&amp;"'!"&amp;"$"&amp;$D674&amp;$J$1&amp;"")</f>
        <v>6.8</v>
      </c>
      <c r="K674" s="292"/>
      <c r="L674" s="281">
        <v>0.94</v>
      </c>
      <c r="M674" s="282">
        <v>2.46</v>
      </c>
      <c r="N674" s="278" cm="1">
        <f t="array" aca="1" ref="N674" ca="1">INDIRECT("'"&amp;$C674&amp;"'!"&amp;"$"&amp;$D674&amp;$N$1&amp;"")</f>
        <v>6.8</v>
      </c>
      <c r="O674" s="281"/>
      <c r="P674" s="281">
        <v>0.94</v>
      </c>
      <c r="Q674" s="279">
        <v>2.46</v>
      </c>
      <c r="R674" s="468" cm="1">
        <f t="array" aca="1" ref="R674" ca="1">INDIRECT("'"&amp;$C674&amp;"'!"&amp;"$"&amp;$D674&amp;$R$1&amp;"")</f>
        <v>6.8</v>
      </c>
      <c r="S674" s="281"/>
      <c r="T674" s="281">
        <v>0.94</v>
      </c>
      <c r="U674" s="279">
        <v>2.46</v>
      </c>
      <c r="V674" s="280" t="str" cm="1">
        <f t="array" aca="1" ref="V674" ca="1">INDIRECT("'"&amp;$C674&amp;"'!"&amp;"$"&amp;$D674&amp;$V$1&amp;"")</f>
        <v>CMS</v>
      </c>
      <c r="W674" s="281" t="s">
        <v>1</v>
      </c>
      <c r="X674" s="281" t="s">
        <v>1</v>
      </c>
      <c r="Y674" s="282" t="s">
        <v>1</v>
      </c>
      <c r="Z674" s="278" cm="1">
        <f t="array" aca="1" ref="Z674" ca="1">INDIRECT("'"&amp;$C674&amp;"'!"&amp;"$"&amp;$D674&amp;$Z$1&amp;"")</f>
        <v>3.4</v>
      </c>
      <c r="AA674" s="281">
        <f>3.8*3.5</f>
        <v>13.299999999999999</v>
      </c>
      <c r="AB674" s="281">
        <v>0.95</v>
      </c>
      <c r="AC674" s="279">
        <v>1.1299999999999999</v>
      </c>
      <c r="AD674" s="280" t="str" cm="1">
        <f t="array" aca="1" ref="AD674" ca="1">INDIRECT("'"&amp;$C674&amp;"'!"&amp;"$"&amp;$D674&amp;$AD$1&amp;"")</f>
        <v>CMS</v>
      </c>
      <c r="AE674" s="281" t="s">
        <v>1</v>
      </c>
      <c r="AF674" s="281" t="s">
        <v>1</v>
      </c>
      <c r="AG674" s="282" t="s">
        <v>1</v>
      </c>
      <c r="AH674" s="278" cm="1">
        <f t="array" aca="1" ref="AH674" ca="1">INDIRECT("'"&amp;$C674&amp;"'!"&amp;"$"&amp;$D674&amp;$AH$1&amp;"")</f>
        <v>3.8</v>
      </c>
      <c r="AI674" s="281">
        <v>14.08</v>
      </c>
      <c r="AJ674" s="281">
        <v>1</v>
      </c>
      <c r="AK674" s="279">
        <v>9.7000000000000003E-2</v>
      </c>
      <c r="AL674" s="278">
        <v>11.6</v>
      </c>
      <c r="AM674" s="282">
        <v>71.3</v>
      </c>
      <c r="AN674" s="278" cm="1">
        <f t="array" aca="1" ref="AN674" ca="1">INDIRECT("'"&amp;$C674&amp;"'!"&amp;"$"&amp;$D674&amp;$AL$1&amp;"")</f>
        <v>0</v>
      </c>
      <c r="AO674" s="281" t="s">
        <v>1</v>
      </c>
      <c r="AP674" s="279" t="s">
        <v>1</v>
      </c>
      <c r="AQ674" s="280" cm="1">
        <f t="array" aca="1" ref="AQ674" ca="1">INDIRECT("'"&amp;$C674&amp;"'!"&amp;"$"&amp;$D674&amp;$AQ$1&amp;"")</f>
        <v>3.8</v>
      </c>
      <c r="AR674" s="281">
        <v>0.95</v>
      </c>
      <c r="AS674" s="279">
        <v>0.6</v>
      </c>
      <c r="AT674" s="278">
        <v>13.9</v>
      </c>
      <c r="AU674" s="282">
        <v>70.7</v>
      </c>
      <c r="AV674" s="281" cm="1">
        <f t="array" aca="1" ref="AV674" ca="1">INDIRECT("'"&amp;$C674&amp;"'!"&amp;"$"&amp;$D674&amp;$AV$1&amp;"")</f>
        <v>0</v>
      </c>
      <c r="AW674" s="280">
        <v>13.7</v>
      </c>
      <c r="AX674" s="281" t="s">
        <v>1</v>
      </c>
      <c r="AY674" s="279" t="s">
        <v>1</v>
      </c>
      <c r="AZ674" s="281" cm="1">
        <f t="array" aca="1" ref="AZ674" ca="1">INDIRECT("'"&amp;$C674&amp;"'!"&amp;"$"&amp;$D674&amp;$AZ$1&amp;"")</f>
        <v>7</v>
      </c>
      <c r="BA674" s="280">
        <v>13.7</v>
      </c>
      <c r="BB674" s="281">
        <v>0.94</v>
      </c>
      <c r="BC674" s="279">
        <v>2.56</v>
      </c>
      <c r="BD674" s="283">
        <v>14.27</v>
      </c>
      <c r="BE674" s="282">
        <v>72.13</v>
      </c>
      <c r="BF674" s="283" cm="1">
        <f t="array" aca="1" ref="BF674" ca="1">INDIRECT("'"&amp;$C674&amp;"'!"&amp;"$"&amp;$D674&amp;$BF$1&amp;"")</f>
        <v>14.24</v>
      </c>
      <c r="BG674" s="281">
        <v>0.99</v>
      </c>
      <c r="BH674" s="279">
        <v>2.2999999999999998</v>
      </c>
      <c r="BI674" s="524">
        <v>68.8</v>
      </c>
      <c r="BJ674" s="278" cm="1">
        <f t="array" aca="1" ref="BJ674" ca="1">INDIRECT("'"&amp;$C674&amp;"'!"&amp;"$"&amp;$D674&amp;$BI$1&amp;"")</f>
        <v>1.5</v>
      </c>
      <c r="BK674" s="280" t="s">
        <v>1</v>
      </c>
      <c r="BL674" s="279" t="s">
        <v>1</v>
      </c>
      <c r="BM674" s="283" cm="1">
        <f t="array" aca="1" ref="BM674" ca="1">INDIRECT("'"&amp;$C674&amp;"'!"&amp;"$"&amp;$D674&amp;$BM$1&amp;"")</f>
        <v>1.53</v>
      </c>
      <c r="BN674" s="281"/>
      <c r="BO674" s="281">
        <v>0.99</v>
      </c>
      <c r="BP674" s="279">
        <v>0.18</v>
      </c>
      <c r="BQ674" s="284" cm="1">
        <f t="array" aca="1" ref="BQ674" ca="1">INDIRECT("'"&amp;$C674&amp;"'!"&amp;"$"&amp;$D674&amp;$BQ$1&amp;"")</f>
        <v>0.91</v>
      </c>
      <c r="BR674" s="281"/>
      <c r="BS674" s="281">
        <v>0.96</v>
      </c>
      <c r="BT674" s="279">
        <v>0.24</v>
      </c>
      <c r="BU674" s="284" cm="1">
        <f t="array" aca="1" ref="BU674" ca="1">INDIRECT("'"&amp;$C674&amp;"'!"&amp;"$"&amp;$D674&amp;74&amp;"")</f>
        <v>0</v>
      </c>
      <c r="BV674" s="281"/>
      <c r="BW674" s="281" t="s">
        <v>1</v>
      </c>
      <c r="BX674" s="279" t="s">
        <v>1</v>
      </c>
    </row>
    <row r="675" spans="1:76">
      <c r="A675" s="459">
        <v>45865</v>
      </c>
      <c r="B675" s="345">
        <v>0.83333333333333337</v>
      </c>
      <c r="C675" s="305">
        <v>27</v>
      </c>
      <c r="D675" s="306" t="s">
        <v>162</v>
      </c>
      <c r="E675" s="285">
        <v>14.2</v>
      </c>
      <c r="F675" s="286">
        <v>69.599999999999994</v>
      </c>
      <c r="G675" s="287" t="str" cm="1">
        <f t="array" aca="1" ref="G675" ca="1">INDIRECT("'"&amp;$C675&amp;"'!"&amp;"$"&amp;$D675&amp;$E$1&amp;"")</f>
        <v>CMS</v>
      </c>
      <c r="H675" s="288" t="s">
        <v>1</v>
      </c>
      <c r="I675" s="286" t="s">
        <v>1</v>
      </c>
      <c r="J675" s="287" cm="1">
        <f t="array" aca="1" ref="J675" ca="1">INDIRECT("'"&amp;$C675&amp;"'!"&amp;"$"&amp;$D675&amp;$J$1&amp;"")</f>
        <v>6.7</v>
      </c>
      <c r="K675" s="288"/>
      <c r="L675" s="288">
        <v>0.95</v>
      </c>
      <c r="M675" s="289">
        <v>2.11</v>
      </c>
      <c r="N675" s="285" cm="1">
        <f t="array" aca="1" ref="N675" ca="1">INDIRECT("'"&amp;$C675&amp;"'!"&amp;"$"&amp;$D675&amp;$N$1&amp;"")</f>
        <v>6.7</v>
      </c>
      <c r="O675" s="288"/>
      <c r="P675" s="288">
        <v>0.95</v>
      </c>
      <c r="Q675" s="286">
        <v>2.14</v>
      </c>
      <c r="R675" s="285" cm="1">
        <f t="array" aca="1" ref="R675" ca="1">INDIRECT("'"&amp;$C675&amp;"'!"&amp;"$"&amp;$D675&amp;$R$1&amp;"")</f>
        <v>6.7</v>
      </c>
      <c r="S675" s="288"/>
      <c r="T675" s="288">
        <v>0.94</v>
      </c>
      <c r="U675" s="286">
        <v>2.4900000000000002</v>
      </c>
      <c r="V675" s="287" t="str" cm="1">
        <f t="array" aca="1" ref="V675" ca="1">INDIRECT("'"&amp;$C675&amp;"'!"&amp;"$"&amp;$D675&amp;$V$1&amp;"")</f>
        <v>CMS</v>
      </c>
      <c r="W675" s="288" t="s">
        <v>1</v>
      </c>
      <c r="X675" s="288" t="s">
        <v>1</v>
      </c>
      <c r="Y675" s="289" t="s">
        <v>1</v>
      </c>
      <c r="Z675" s="285" cm="1">
        <f t="array" aca="1" ref="Z675" ca="1">INDIRECT("'"&amp;$C675&amp;"'!"&amp;"$"&amp;$D675&amp;$Z$1&amp;"")</f>
        <v>3.4</v>
      </c>
      <c r="AA675" s="288">
        <f>3.8*3.5</f>
        <v>13.299999999999999</v>
      </c>
      <c r="AB675" s="288">
        <v>0.95</v>
      </c>
      <c r="AC675" s="286">
        <v>1.1399999999999999</v>
      </c>
      <c r="AD675" s="287" t="str" cm="1">
        <f t="array" aca="1" ref="AD675" ca="1">INDIRECT("'"&amp;$C675&amp;"'!"&amp;"$"&amp;$D675&amp;$AD$1&amp;"")</f>
        <v>CMS</v>
      </c>
      <c r="AE675" s="288" t="s">
        <v>1</v>
      </c>
      <c r="AF675" s="288" t="s">
        <v>1</v>
      </c>
      <c r="AG675" s="289" t="s">
        <v>1</v>
      </c>
      <c r="AH675" s="285" cm="1">
        <f t="array" aca="1" ref="AH675" ca="1">INDIRECT("'"&amp;$C675&amp;"'!"&amp;"$"&amp;$D675&amp;$AH$1&amp;"")</f>
        <v>3.8</v>
      </c>
      <c r="AI675" s="288">
        <v>14.04</v>
      </c>
      <c r="AJ675" s="288">
        <v>0.99</v>
      </c>
      <c r="AK675" s="286">
        <v>0.35899999999999999</v>
      </c>
      <c r="AL675" s="285">
        <v>11.6</v>
      </c>
      <c r="AM675" s="289">
        <v>71</v>
      </c>
      <c r="AN675" s="285" cm="1">
        <f t="array" aca="1" ref="AN675" ca="1">INDIRECT("'"&amp;$C675&amp;"'!"&amp;"$"&amp;$D675&amp;$AL$1&amp;"")</f>
        <v>0</v>
      </c>
      <c r="AO675" s="288" t="s">
        <v>1</v>
      </c>
      <c r="AP675" s="286" t="s">
        <v>1</v>
      </c>
      <c r="AQ675" s="287" cm="1">
        <f t="array" aca="1" ref="AQ675" ca="1">INDIRECT("'"&amp;$C675&amp;"'!"&amp;"$"&amp;$D675&amp;$AQ$1&amp;"")</f>
        <v>3.8</v>
      </c>
      <c r="AR675" s="288">
        <v>0.96</v>
      </c>
      <c r="AS675" s="286">
        <v>1</v>
      </c>
      <c r="AT675" s="285">
        <v>13.9</v>
      </c>
      <c r="AU675" s="289">
        <v>70.8</v>
      </c>
      <c r="AV675" s="288" cm="1">
        <f t="array" aca="1" ref="AV675" ca="1">INDIRECT("'"&amp;$C675&amp;"'!"&amp;"$"&amp;$D675&amp;$AV$1&amp;"")</f>
        <v>0</v>
      </c>
      <c r="AW675" s="287" t="s">
        <v>1</v>
      </c>
      <c r="AX675" s="288" t="s">
        <v>1</v>
      </c>
      <c r="AY675" s="286" t="s">
        <v>1</v>
      </c>
      <c r="AZ675" s="288" cm="1">
        <f t="array" aca="1" ref="AZ675" ca="1">INDIRECT("'"&amp;$C675&amp;"'!"&amp;"$"&amp;$D675&amp;$AZ$1&amp;"")</f>
        <v>7</v>
      </c>
      <c r="BA675" s="287" t="s">
        <v>1</v>
      </c>
      <c r="BB675" s="288">
        <v>0.98</v>
      </c>
      <c r="BC675" s="286">
        <v>1.47</v>
      </c>
      <c r="BD675" s="290">
        <v>14.19</v>
      </c>
      <c r="BE675" s="289">
        <v>71.92</v>
      </c>
      <c r="BF675" s="290" cm="1">
        <f t="array" aca="1" ref="BF675" ca="1">INDIRECT("'"&amp;$C675&amp;"'!"&amp;"$"&amp;$D675&amp;$BF$1&amp;"")</f>
        <v>14.29</v>
      </c>
      <c r="BG675" s="288">
        <v>0.99</v>
      </c>
      <c r="BH675" s="286">
        <v>2.2999999999999998</v>
      </c>
      <c r="BI675" s="525">
        <v>68.5</v>
      </c>
      <c r="BJ675" s="285" cm="1">
        <f t="array" aca="1" ref="BJ675" ca="1">INDIRECT("'"&amp;$C675&amp;"'!"&amp;"$"&amp;$D675&amp;$BI$1&amp;"")</f>
        <v>0</v>
      </c>
      <c r="BK675" s="287" t="s">
        <v>1</v>
      </c>
      <c r="BL675" s="286" t="s">
        <v>1</v>
      </c>
      <c r="BM675" s="290" cm="1">
        <f t="array" aca="1" ref="BM675" ca="1">INDIRECT("'"&amp;$C675&amp;"'!"&amp;"$"&amp;$D675&amp;$BM$1&amp;"")</f>
        <v>1.63</v>
      </c>
      <c r="BN675" s="288"/>
      <c r="BO675" s="288">
        <v>0.99</v>
      </c>
      <c r="BP675" s="286">
        <v>0.21</v>
      </c>
      <c r="BQ675" s="291" cm="1">
        <f t="array" aca="1" ref="BQ675" ca="1">INDIRECT("'"&amp;$C675&amp;"'!"&amp;"$"&amp;$D675&amp;$BQ$1&amp;"")</f>
        <v>1</v>
      </c>
      <c r="BR675" s="288"/>
      <c r="BS675" s="288">
        <v>0.97</v>
      </c>
      <c r="BT675" s="286">
        <v>0.25</v>
      </c>
      <c r="BU675" s="291" cm="1">
        <f t="array" aca="1" ref="BU675" ca="1">INDIRECT("'"&amp;$C675&amp;"'!"&amp;"$"&amp;$D675&amp;74&amp;"")</f>
        <v>0</v>
      </c>
      <c r="BV675" s="288"/>
      <c r="BW675" s="288" t="s">
        <v>1</v>
      </c>
      <c r="BX675" s="286" t="s">
        <v>1</v>
      </c>
    </row>
    <row r="676" spans="1:76">
      <c r="A676" s="459">
        <v>45865</v>
      </c>
      <c r="B676" s="345">
        <v>0.875000000000001</v>
      </c>
      <c r="C676" s="305">
        <v>27</v>
      </c>
      <c r="D676" s="306" t="s">
        <v>163</v>
      </c>
      <c r="E676" s="278">
        <v>14.2</v>
      </c>
      <c r="F676" s="279">
        <v>69.88</v>
      </c>
      <c r="G676" s="280" t="str" cm="1">
        <f t="array" aca="1" ref="G676" ca="1">INDIRECT("'"&amp;$C676&amp;"'!"&amp;"$"&amp;$D676&amp;$E$1&amp;"")</f>
        <v>CMS</v>
      </c>
      <c r="H676" s="281" t="s">
        <v>1</v>
      </c>
      <c r="I676" s="279" t="s">
        <v>1</v>
      </c>
      <c r="J676" s="280" cm="1">
        <f t="array" aca="1" ref="J676" ca="1">INDIRECT("'"&amp;$C676&amp;"'!"&amp;"$"&amp;$D676&amp;$J$1&amp;"")</f>
        <v>6.6</v>
      </c>
      <c r="K676" s="281"/>
      <c r="L676" s="281">
        <v>0.96</v>
      </c>
      <c r="M676" s="282">
        <v>1.95</v>
      </c>
      <c r="N676" s="278" cm="1">
        <f t="array" aca="1" ref="N676" ca="1">INDIRECT("'"&amp;$C676&amp;"'!"&amp;"$"&amp;$D676&amp;$N$1&amp;"")</f>
        <v>6.6</v>
      </c>
      <c r="O676" s="281"/>
      <c r="P676" s="281">
        <v>0.96</v>
      </c>
      <c r="Q676" s="279">
        <v>2</v>
      </c>
      <c r="R676" s="468" cm="1">
        <f t="array" aca="1" ref="R676" ca="1">INDIRECT("'"&amp;$C676&amp;"'!"&amp;"$"&amp;$D676&amp;$R$1&amp;"")</f>
        <v>6.6</v>
      </c>
      <c r="S676" s="281"/>
      <c r="T676" s="281">
        <v>0.96</v>
      </c>
      <c r="U676" s="279">
        <v>2</v>
      </c>
      <c r="V676" s="280" t="str" cm="1">
        <f t="array" aca="1" ref="V676" ca="1">INDIRECT("'"&amp;$C676&amp;"'!"&amp;"$"&amp;$D676&amp;$V$1&amp;"")</f>
        <v>CMS</v>
      </c>
      <c r="W676" s="281" t="s">
        <v>1</v>
      </c>
      <c r="X676" s="281" t="s">
        <v>1</v>
      </c>
      <c r="Y676" s="282" t="s">
        <v>1</v>
      </c>
      <c r="Z676" s="278" cm="1">
        <f t="array" aca="1" ref="Z676" ca="1">INDIRECT("'"&amp;$C676&amp;"'!"&amp;"$"&amp;$D676&amp;$Z$1&amp;"")</f>
        <v>3</v>
      </c>
      <c r="AA676" s="281">
        <f>3.8*3.52</f>
        <v>13.375999999999999</v>
      </c>
      <c r="AB676" s="281">
        <v>0.95</v>
      </c>
      <c r="AC676" s="279">
        <v>1.1200000000000001</v>
      </c>
      <c r="AD676" s="280" t="str" cm="1">
        <f t="array" aca="1" ref="AD676" ca="1">INDIRECT("'"&amp;$C676&amp;"'!"&amp;"$"&amp;$D676&amp;$AD$1&amp;"")</f>
        <v>CMS</v>
      </c>
      <c r="AE676" s="281" t="s">
        <v>1</v>
      </c>
      <c r="AF676" s="281" t="s">
        <v>1</v>
      </c>
      <c r="AG676" s="282" t="s">
        <v>1</v>
      </c>
      <c r="AH676" s="278" cm="1">
        <f t="array" aca="1" ref="AH676" ca="1">INDIRECT("'"&amp;$C676&amp;"'!"&amp;"$"&amp;$D676&amp;$AH$1&amp;"")</f>
        <v>3</v>
      </c>
      <c r="AI676" s="281">
        <v>14.04</v>
      </c>
      <c r="AJ676" s="281">
        <v>0.99</v>
      </c>
      <c r="AK676" s="279">
        <v>0.24199999999999999</v>
      </c>
      <c r="AL676" s="278">
        <v>11.6</v>
      </c>
      <c r="AM676" s="282">
        <v>71.099999999999994</v>
      </c>
      <c r="AN676" s="278" cm="1">
        <f t="array" aca="1" ref="AN676" ca="1">INDIRECT("'"&amp;$C676&amp;"'!"&amp;"$"&amp;$D676&amp;$AL$1&amp;"")</f>
        <v>0</v>
      </c>
      <c r="AO676" s="281" t="s">
        <v>1</v>
      </c>
      <c r="AP676" s="279" t="s">
        <v>1</v>
      </c>
      <c r="AQ676" s="280" cm="1">
        <f t="array" aca="1" ref="AQ676" ca="1">INDIRECT("'"&amp;$C676&amp;"'!"&amp;"$"&amp;$D676&amp;$AQ$1&amp;"")</f>
        <v>2.5</v>
      </c>
      <c r="AR676" s="281">
        <v>0.92</v>
      </c>
      <c r="AS676" s="279">
        <v>0.96</v>
      </c>
      <c r="AT676" s="278">
        <v>13.96</v>
      </c>
      <c r="AU676" s="282">
        <v>70.8</v>
      </c>
      <c r="AV676" s="281" cm="1">
        <f t="array" aca="1" ref="AV676" ca="1">INDIRECT("'"&amp;$C676&amp;"'!"&amp;"$"&amp;$D676&amp;$AV$1&amp;"")</f>
        <v>0</v>
      </c>
      <c r="AW676" s="280" t="s">
        <v>1</v>
      </c>
      <c r="AX676" s="281" t="s">
        <v>1</v>
      </c>
      <c r="AY676" s="279" t="s">
        <v>1</v>
      </c>
      <c r="AZ676" s="281" cm="1">
        <f t="array" aca="1" ref="AZ676" ca="1">INDIRECT("'"&amp;$C676&amp;"'!"&amp;"$"&amp;$D676&amp;$AZ$1&amp;"")</f>
        <v>7</v>
      </c>
      <c r="BA676" s="280" t="s">
        <v>1</v>
      </c>
      <c r="BB676" s="281">
        <v>0.98</v>
      </c>
      <c r="BC676" s="279">
        <v>1.3</v>
      </c>
      <c r="BD676" s="283">
        <v>14.25</v>
      </c>
      <c r="BE676" s="282">
        <v>72.09</v>
      </c>
      <c r="BF676" s="283" cm="1">
        <f t="array" aca="1" ref="BF676" ca="1">INDIRECT("'"&amp;$C676&amp;"'!"&amp;"$"&amp;$D676&amp;$BF$1&amp;"")</f>
        <v>14.3</v>
      </c>
      <c r="BG676" s="281">
        <v>0.99</v>
      </c>
      <c r="BH676" s="279">
        <v>2.2999999999999998</v>
      </c>
      <c r="BI676" s="524">
        <v>68.5</v>
      </c>
      <c r="BJ676" s="278" cm="1">
        <f t="array" aca="1" ref="BJ676" ca="1">INDIRECT("'"&amp;$C676&amp;"'!"&amp;"$"&amp;$D676&amp;$BI$1&amp;"")</f>
        <v>0</v>
      </c>
      <c r="BK676" s="280" t="s">
        <v>1</v>
      </c>
      <c r="BL676" s="279" t="s">
        <v>1</v>
      </c>
      <c r="BM676" s="283" cm="1">
        <f t="array" aca="1" ref="BM676" ca="1">INDIRECT("'"&amp;$C676&amp;"'!"&amp;"$"&amp;$D676&amp;$BM$1&amp;"")</f>
        <v>1.59</v>
      </c>
      <c r="BN676" s="281"/>
      <c r="BO676" s="281">
        <v>0.99</v>
      </c>
      <c r="BP676" s="279">
        <v>0.21</v>
      </c>
      <c r="BQ676" s="284" cm="1">
        <f t="array" aca="1" ref="BQ676" ca="1">INDIRECT("'"&amp;$C676&amp;"'!"&amp;"$"&amp;$D676&amp;$BQ$1&amp;"")</f>
        <v>0.97</v>
      </c>
      <c r="BR676" s="281"/>
      <c r="BS676" s="281">
        <v>0.97</v>
      </c>
      <c r="BT676" s="279">
        <v>0.25</v>
      </c>
      <c r="BU676" s="284" cm="1">
        <f t="array" aca="1" ref="BU676" ca="1">INDIRECT("'"&amp;$C676&amp;"'!"&amp;"$"&amp;$D676&amp;74&amp;"")</f>
        <v>0</v>
      </c>
      <c r="BV676" s="281"/>
      <c r="BW676" s="281" t="s">
        <v>1</v>
      </c>
      <c r="BX676" s="279" t="s">
        <v>1</v>
      </c>
    </row>
    <row r="677" spans="1:76">
      <c r="A677" s="459">
        <v>45865</v>
      </c>
      <c r="B677" s="345">
        <v>0.91666666666666696</v>
      </c>
      <c r="C677" s="305">
        <v>27</v>
      </c>
      <c r="D677" s="306" t="s">
        <v>164</v>
      </c>
      <c r="E677" s="285">
        <v>14.3</v>
      </c>
      <c r="F677" s="286">
        <v>70.27</v>
      </c>
      <c r="G677" s="287" t="str" cm="1">
        <f t="array" aca="1" ref="G677" ca="1">INDIRECT("'"&amp;$C677&amp;"'!"&amp;"$"&amp;$D677&amp;$E$1&amp;"")</f>
        <v>CMS</v>
      </c>
      <c r="H677" s="288" t="s">
        <v>1</v>
      </c>
      <c r="I677" s="286" t="s">
        <v>1</v>
      </c>
      <c r="J677" s="287" cm="1">
        <f t="array" aca="1" ref="J677" ca="1">INDIRECT("'"&amp;$C677&amp;"'!"&amp;"$"&amp;$D677&amp;$J$1&amp;"")</f>
        <v>6.5</v>
      </c>
      <c r="K677" s="288"/>
      <c r="L677" s="288">
        <v>0.97</v>
      </c>
      <c r="M677" s="289">
        <v>1.54</v>
      </c>
      <c r="N677" s="285" cm="1">
        <f t="array" aca="1" ref="N677" ca="1">INDIRECT("'"&amp;$C677&amp;"'!"&amp;"$"&amp;$D677&amp;$N$1&amp;"")</f>
        <v>6.5</v>
      </c>
      <c r="O677" s="288"/>
      <c r="P677" s="288">
        <v>0.97</v>
      </c>
      <c r="Q677" s="286">
        <v>1.57</v>
      </c>
      <c r="R677" s="285" cm="1">
        <f t="array" aca="1" ref="R677" ca="1">INDIRECT("'"&amp;$C677&amp;"'!"&amp;"$"&amp;$D677&amp;$R$1&amp;"")</f>
        <v>6.4</v>
      </c>
      <c r="S677" s="288"/>
      <c r="T677" s="288">
        <v>0.97</v>
      </c>
      <c r="U677" s="286">
        <v>1.62</v>
      </c>
      <c r="V677" s="287" t="str" cm="1">
        <f t="array" aca="1" ref="V677" ca="1">INDIRECT("'"&amp;$C677&amp;"'!"&amp;"$"&amp;$D677&amp;$V$1&amp;"")</f>
        <v>CMS</v>
      </c>
      <c r="W677" s="288" t="s">
        <v>1</v>
      </c>
      <c r="X677" s="288" t="s">
        <v>1</v>
      </c>
      <c r="Y677" s="289" t="s">
        <v>1</v>
      </c>
      <c r="Z677" s="285" cm="1">
        <f t="array" aca="1" ref="Z677" ca="1">INDIRECT("'"&amp;$C677&amp;"'!"&amp;"$"&amp;$D677&amp;$Z$1&amp;"")</f>
        <v>3</v>
      </c>
      <c r="AA677" s="288">
        <f>3.8*3.55</f>
        <v>13.489999999999998</v>
      </c>
      <c r="AB677" s="288">
        <v>0.96</v>
      </c>
      <c r="AC677" s="286">
        <v>0.79800000000000004</v>
      </c>
      <c r="AD677" s="287" t="str" cm="1">
        <f t="array" aca="1" ref="AD677" ca="1">INDIRECT("'"&amp;$C677&amp;"'!"&amp;"$"&amp;$D677&amp;$AD$1&amp;"")</f>
        <v>CMS</v>
      </c>
      <c r="AE677" s="288" t="s">
        <v>1</v>
      </c>
      <c r="AF677" s="288" t="s">
        <v>1</v>
      </c>
      <c r="AG677" s="289" t="s">
        <v>1</v>
      </c>
      <c r="AH677" s="285" cm="1">
        <f t="array" aca="1" ref="AH677" ca="1">INDIRECT("'"&amp;$C677&amp;"'!"&amp;"$"&amp;$D677&amp;$AH$1&amp;"")</f>
        <v>0</v>
      </c>
      <c r="AI677" s="288" t="s">
        <v>1</v>
      </c>
      <c r="AJ677" s="288" t="s">
        <v>1</v>
      </c>
      <c r="AK677" s="286" t="s">
        <v>1</v>
      </c>
      <c r="AL677" s="285">
        <v>11.6</v>
      </c>
      <c r="AM677" s="289">
        <v>70.900000000000006</v>
      </c>
      <c r="AN677" s="285" cm="1">
        <f t="array" aca="1" ref="AN677" ca="1">INDIRECT("'"&amp;$C677&amp;"'!"&amp;"$"&amp;$D677&amp;$AL$1&amp;"")</f>
        <v>0</v>
      </c>
      <c r="AO677" s="288" t="s">
        <v>1</v>
      </c>
      <c r="AP677" s="286" t="s">
        <v>1</v>
      </c>
      <c r="AQ677" s="287" cm="1">
        <f t="array" aca="1" ref="AQ677" ca="1">INDIRECT("'"&amp;$C677&amp;"'!"&amp;"$"&amp;$D677&amp;$AQ$1&amp;"")</f>
        <v>1.5</v>
      </c>
      <c r="AR677" s="288">
        <v>0.92</v>
      </c>
      <c r="AS677" s="286">
        <v>0.54</v>
      </c>
      <c r="AT677" s="285">
        <v>13.93</v>
      </c>
      <c r="AU677" s="289">
        <v>70.8</v>
      </c>
      <c r="AV677" s="288" cm="1">
        <f t="array" aca="1" ref="AV677" ca="1">INDIRECT("'"&amp;$C677&amp;"'!"&amp;"$"&amp;$D677&amp;$AV$1&amp;"")</f>
        <v>0</v>
      </c>
      <c r="AW677" s="287" t="s">
        <v>1</v>
      </c>
      <c r="AX677" s="288" t="s">
        <v>1</v>
      </c>
      <c r="AY677" s="286" t="s">
        <v>1</v>
      </c>
      <c r="AZ677" s="288" cm="1">
        <f t="array" aca="1" ref="AZ677" ca="1">INDIRECT("'"&amp;$C677&amp;"'!"&amp;"$"&amp;$D677&amp;$AZ$1&amp;"")</f>
        <v>7</v>
      </c>
      <c r="BA677" s="287" t="s">
        <v>1</v>
      </c>
      <c r="BB677" s="288">
        <v>0.97</v>
      </c>
      <c r="BC677" s="286">
        <v>1.62</v>
      </c>
      <c r="BD677" s="290">
        <v>14.04</v>
      </c>
      <c r="BE677" s="289">
        <v>71.45</v>
      </c>
      <c r="BF677" s="290" cm="1">
        <f t="array" aca="1" ref="BF677" ca="1">INDIRECT("'"&amp;$C677&amp;"'!"&amp;"$"&amp;$D677&amp;$BF$1&amp;"")</f>
        <v>14.25</v>
      </c>
      <c r="BG677" s="288">
        <v>1</v>
      </c>
      <c r="BH677" s="286">
        <v>1.2</v>
      </c>
      <c r="BI677" s="525">
        <v>69</v>
      </c>
      <c r="BJ677" s="285" cm="1">
        <f t="array" aca="1" ref="BJ677" ca="1">INDIRECT("'"&amp;$C677&amp;"'!"&amp;"$"&amp;$D677&amp;$BI$1&amp;"")</f>
        <v>0</v>
      </c>
      <c r="BK677" s="287" t="s">
        <v>1</v>
      </c>
      <c r="BL677" s="286" t="s">
        <v>1</v>
      </c>
      <c r="BM677" s="290" cm="1">
        <f t="array" aca="1" ref="BM677" ca="1">INDIRECT("'"&amp;$C677&amp;"'!"&amp;"$"&amp;$D677&amp;$BM$1&amp;"")</f>
        <v>1.38</v>
      </c>
      <c r="BN677" s="288"/>
      <c r="BO677" s="288">
        <v>0.99</v>
      </c>
      <c r="BP677" s="286">
        <v>0.18</v>
      </c>
      <c r="BQ677" s="291" cm="1">
        <f t="array" aca="1" ref="BQ677" ca="1">INDIRECT("'"&amp;$C677&amp;"'!"&amp;"$"&amp;$D677&amp;$BQ$1&amp;"")</f>
        <v>0.94</v>
      </c>
      <c r="BR677" s="288"/>
      <c r="BS677" s="288">
        <v>0.97</v>
      </c>
      <c r="BT677" s="286">
        <v>0.23</v>
      </c>
      <c r="BU677" s="291" cm="1">
        <f t="array" aca="1" ref="BU677" ca="1">INDIRECT("'"&amp;$C677&amp;"'!"&amp;"$"&amp;$D677&amp;74&amp;"")</f>
        <v>0</v>
      </c>
      <c r="BV677" s="288"/>
      <c r="BW677" s="288" t="s">
        <v>1</v>
      </c>
      <c r="BX677" s="286" t="s">
        <v>1</v>
      </c>
    </row>
    <row r="678" spans="1:76" ht="14.45" thickBot="1">
      <c r="A678" s="460">
        <v>45865</v>
      </c>
      <c r="B678" s="346">
        <v>0.95833333333333404</v>
      </c>
      <c r="C678" s="307">
        <v>27</v>
      </c>
      <c r="D678" s="308" t="s">
        <v>165</v>
      </c>
      <c r="E678" s="293">
        <v>14.2</v>
      </c>
      <c r="F678" s="294">
        <v>70.180000000000007</v>
      </c>
      <c r="G678" s="295" t="str" cm="1">
        <f t="array" aca="1" ref="G678" ca="1">INDIRECT("'"&amp;$C678&amp;"'!"&amp;"$"&amp;$D678&amp;$E$1&amp;"")</f>
        <v>CMS</v>
      </c>
      <c r="H678" s="296" t="s">
        <v>1</v>
      </c>
      <c r="I678" s="294" t="s">
        <v>1</v>
      </c>
      <c r="J678" s="295" cm="1">
        <f t="array" aca="1" ref="J678" ca="1">INDIRECT("'"&amp;$C678&amp;"'!"&amp;"$"&amp;$D678&amp;$J$1&amp;"")</f>
        <v>6.4</v>
      </c>
      <c r="K678" s="296"/>
      <c r="L678" s="296">
        <v>0.97</v>
      </c>
      <c r="M678" s="297">
        <v>1.52</v>
      </c>
      <c r="N678" s="293" cm="1">
        <f t="array" aca="1" ref="N678" ca="1">INDIRECT("'"&amp;$C678&amp;"'!"&amp;"$"&amp;$D678&amp;$N$1&amp;"")</f>
        <v>6.5</v>
      </c>
      <c r="O678" s="296"/>
      <c r="P678" s="296">
        <v>0.97</v>
      </c>
      <c r="Q678" s="294">
        <v>1.62</v>
      </c>
      <c r="R678" s="470" cm="1">
        <f t="array" aca="1" ref="R678" ca="1">INDIRECT("'"&amp;$C678&amp;"'!"&amp;"$"&amp;$D678&amp;$R$1&amp;"")</f>
        <v>6.5</v>
      </c>
      <c r="S678" s="296"/>
      <c r="T678" s="296">
        <v>0.96</v>
      </c>
      <c r="U678" s="294">
        <v>1.78</v>
      </c>
      <c r="V678" s="295" t="str" cm="1">
        <f t="array" aca="1" ref="V678" ca="1">INDIRECT("'"&amp;$C678&amp;"'!"&amp;"$"&amp;$D678&amp;$V$1&amp;"")</f>
        <v>CMS</v>
      </c>
      <c r="W678" s="296" t="s">
        <v>1</v>
      </c>
      <c r="X678" s="296" t="s">
        <v>1</v>
      </c>
      <c r="Y678" s="297" t="s">
        <v>1</v>
      </c>
      <c r="Z678" s="293" cm="1">
        <f t="array" aca="1" ref="Z678" ca="1">INDIRECT("'"&amp;$C678&amp;"'!"&amp;"$"&amp;$D678&amp;$Z$1&amp;"")</f>
        <v>0</v>
      </c>
      <c r="AA678" s="296" t="s">
        <v>1</v>
      </c>
      <c r="AB678" s="296" t="s">
        <v>1</v>
      </c>
      <c r="AC678" s="294" t="s">
        <v>1</v>
      </c>
      <c r="AD678" s="295" t="str" cm="1">
        <f t="array" aca="1" ref="AD678" ca="1">INDIRECT("'"&amp;$C678&amp;"'!"&amp;"$"&amp;$D678&amp;$AD$1&amp;"")</f>
        <v>CMS</v>
      </c>
      <c r="AE678" s="296" t="s">
        <v>1</v>
      </c>
      <c r="AF678" s="296" t="s">
        <v>1</v>
      </c>
      <c r="AG678" s="297" t="s">
        <v>1</v>
      </c>
      <c r="AH678" s="293" cm="1">
        <f t="array" aca="1" ref="AH678" ca="1">INDIRECT("'"&amp;$C678&amp;"'!"&amp;"$"&amp;$D678&amp;$AH$1&amp;"")</f>
        <v>0</v>
      </c>
      <c r="AI678" s="296" t="s">
        <v>1</v>
      </c>
      <c r="AJ678" s="296" t="s">
        <v>1</v>
      </c>
      <c r="AK678" s="294" t="s">
        <v>1</v>
      </c>
      <c r="AL678" s="293">
        <v>11.6</v>
      </c>
      <c r="AM678" s="297">
        <v>70.900000000000006</v>
      </c>
      <c r="AN678" s="293" cm="1">
        <f t="array" aca="1" ref="AN678" ca="1">INDIRECT("'"&amp;$C678&amp;"'!"&amp;"$"&amp;$D678&amp;$AL$1&amp;"")</f>
        <v>0</v>
      </c>
      <c r="AO678" s="296" t="s">
        <v>1</v>
      </c>
      <c r="AP678" s="294" t="s">
        <v>1</v>
      </c>
      <c r="AQ678" s="295" cm="1">
        <f t="array" aca="1" ref="AQ678" ca="1">INDIRECT("'"&amp;$C678&amp;"'!"&amp;"$"&amp;$D678&amp;$AQ$1&amp;"")</f>
        <v>1.5</v>
      </c>
      <c r="AR678" s="296">
        <v>0.93</v>
      </c>
      <c r="AS678" s="294">
        <v>0.55000000000000004</v>
      </c>
      <c r="AT678" s="293">
        <v>13.93</v>
      </c>
      <c r="AU678" s="297">
        <v>70.8</v>
      </c>
      <c r="AV678" s="296" cm="1">
        <f t="array" aca="1" ref="AV678" ca="1">INDIRECT("'"&amp;$C678&amp;"'!"&amp;"$"&amp;$D678&amp;$AV$1&amp;"")</f>
        <v>0</v>
      </c>
      <c r="AW678" s="295" t="s">
        <v>1</v>
      </c>
      <c r="AX678" s="296" t="s">
        <v>1</v>
      </c>
      <c r="AY678" s="294" t="s">
        <v>1</v>
      </c>
      <c r="AZ678" s="296" cm="1">
        <f t="array" aca="1" ref="AZ678" ca="1">INDIRECT("'"&amp;$C678&amp;"'!"&amp;"$"&amp;$D678&amp;$AZ$1&amp;"")</f>
        <v>6.4</v>
      </c>
      <c r="BA678" s="295" t="s">
        <v>1</v>
      </c>
      <c r="BB678" s="296">
        <v>0.97</v>
      </c>
      <c r="BC678" s="294">
        <v>1.73</v>
      </c>
      <c r="BD678" s="298">
        <v>14.01</v>
      </c>
      <c r="BE678" s="297">
        <v>71.44</v>
      </c>
      <c r="BF678" s="298" cm="1">
        <f t="array" aca="1" ref="BF678" ca="1">INDIRECT("'"&amp;$C678&amp;"'!"&amp;"$"&amp;$D678&amp;$BF$1&amp;"")</f>
        <v>14.19</v>
      </c>
      <c r="BG678" s="296">
        <v>1</v>
      </c>
      <c r="BH678" s="294">
        <v>1.3</v>
      </c>
      <c r="BI678" s="526">
        <v>69</v>
      </c>
      <c r="BJ678" s="293" cm="1">
        <f t="array" aca="1" ref="BJ678" ca="1">INDIRECT("'"&amp;$C678&amp;"'!"&amp;"$"&amp;$D678&amp;$BI$1&amp;"")</f>
        <v>0</v>
      </c>
      <c r="BK678" s="295" t="s">
        <v>1</v>
      </c>
      <c r="BL678" s="294" t="s">
        <v>1</v>
      </c>
      <c r="BM678" s="298" cm="1">
        <f t="array" aca="1" ref="BM678" ca="1">INDIRECT("'"&amp;$C678&amp;"'!"&amp;"$"&amp;$D678&amp;$BM$1&amp;"")</f>
        <v>1.18</v>
      </c>
      <c r="BN678" s="296"/>
      <c r="BO678" s="296">
        <v>0.99</v>
      </c>
      <c r="BP678" s="294">
        <v>0.18</v>
      </c>
      <c r="BQ678" s="299" cm="1">
        <f t="array" aca="1" ref="BQ678" ca="1">INDIRECT("'"&amp;$C678&amp;"'!"&amp;"$"&amp;$D678&amp;$BQ$1&amp;"")</f>
        <v>0.9</v>
      </c>
      <c r="BR678" s="296"/>
      <c r="BS678" s="296">
        <v>0.97</v>
      </c>
      <c r="BT678" s="294">
        <v>0.23</v>
      </c>
      <c r="BU678" s="299" cm="1">
        <f t="array" aca="1" ref="BU678" ca="1">INDIRECT("'"&amp;$C678&amp;"'!"&amp;"$"&amp;$D678&amp;74&amp;"")</f>
        <v>0</v>
      </c>
      <c r="BV678" s="296"/>
      <c r="BW678" s="296" t="s">
        <v>1</v>
      </c>
      <c r="BX678" s="294" t="s">
        <v>1</v>
      </c>
    </row>
    <row r="679" spans="1:76" ht="14.45" thickBot="1"/>
    <row r="680" spans="1:76">
      <c r="A680" s="347">
        <v>45866</v>
      </c>
      <c r="B680" s="344">
        <v>0</v>
      </c>
      <c r="C680" s="302">
        <v>28</v>
      </c>
      <c r="D680" s="303" t="s">
        <v>142</v>
      </c>
      <c r="E680" s="272">
        <v>14.3</v>
      </c>
      <c r="F680" s="273">
        <v>70.510000000000005</v>
      </c>
      <c r="G680" s="274" t="str" cm="1">
        <f t="array" aca="1" ref="G680" ca="1">INDIRECT("'"&amp;$C680&amp;"'!"&amp;"$"&amp;$D680&amp;$E$1&amp;"")</f>
        <v>CMS</v>
      </c>
      <c r="H680" s="275" t="s">
        <v>1</v>
      </c>
      <c r="I680" s="273" t="s">
        <v>1</v>
      </c>
      <c r="J680" s="274" cm="1">
        <f t="array" aca="1" ref="J680" ca="1">INDIRECT("'"&amp;$C680&amp;"'!"&amp;"$"&amp;$D680&amp;$J$1&amp;"")</f>
        <v>6.5</v>
      </c>
      <c r="K680" s="275"/>
      <c r="L680" s="275">
        <v>0.97</v>
      </c>
      <c r="M680" s="276">
        <v>1.55</v>
      </c>
      <c r="N680" s="272" cm="1">
        <f t="array" aca="1" ref="N680" ca="1">INDIRECT("'"&amp;$C680&amp;"'!"&amp;"$"&amp;$D680&amp;$N$1&amp;"")</f>
        <v>6.6</v>
      </c>
      <c r="O680" s="275"/>
      <c r="P680" s="275">
        <v>0.97</v>
      </c>
      <c r="Q680" s="273">
        <v>1.65</v>
      </c>
      <c r="R680" s="467" cm="1">
        <f t="array" aca="1" ref="R680" ca="1">INDIRECT("'"&amp;$C680&amp;"'!"&amp;"$"&amp;$D680&amp;$R$1&amp;"")</f>
        <v>6.5</v>
      </c>
      <c r="S680" s="275"/>
      <c r="T680" s="275">
        <v>0.98</v>
      </c>
      <c r="U680" s="273">
        <v>1.1200000000000001</v>
      </c>
      <c r="V680" s="274" t="str" cm="1">
        <f t="array" aca="1" ref="V680" ca="1">INDIRECT("'"&amp;$C680&amp;"'!"&amp;"$"&amp;$D680&amp;$V$1&amp;"")</f>
        <v>CMS</v>
      </c>
      <c r="W680" s="275" t="s">
        <v>1</v>
      </c>
      <c r="X680" s="275" t="s">
        <v>1</v>
      </c>
      <c r="Y680" s="276" t="s">
        <v>1</v>
      </c>
      <c r="Z680" s="272" cm="1">
        <f t="array" aca="1" ref="Z680" ca="1">INDIRECT("'"&amp;$C680&amp;"'!"&amp;"$"&amp;$D680&amp;$Z$1&amp;"")</f>
        <v>0</v>
      </c>
      <c r="AA680" s="275" t="s">
        <v>1</v>
      </c>
      <c r="AB680" s="275" t="s">
        <v>1</v>
      </c>
      <c r="AC680" s="273" t="s">
        <v>1</v>
      </c>
      <c r="AD680" s="274" t="str" cm="1">
        <f t="array" aca="1" ref="AD680" ca="1">INDIRECT("'"&amp;$C680&amp;"'!"&amp;"$"&amp;$D680&amp;$AD$1&amp;"")</f>
        <v>CMS</v>
      </c>
      <c r="AE680" s="275" t="s">
        <v>1</v>
      </c>
      <c r="AF680" s="275" t="s">
        <v>1</v>
      </c>
      <c r="AG680" s="273" t="s">
        <v>1</v>
      </c>
      <c r="AH680" s="272" cm="1">
        <f t="array" aca="1" ref="AH680" ca="1">INDIRECT("'"&amp;$C680&amp;"'!"&amp;"$"&amp;$D680&amp;$AH$1&amp;"")</f>
        <v>0</v>
      </c>
      <c r="AI680" s="275" t="s">
        <v>1</v>
      </c>
      <c r="AJ680" s="275" t="s">
        <v>1</v>
      </c>
      <c r="AK680" s="273" t="s">
        <v>1</v>
      </c>
      <c r="AL680" s="272">
        <v>11.6</v>
      </c>
      <c r="AM680" s="276">
        <v>70.7</v>
      </c>
      <c r="AN680" s="272" cm="1">
        <f t="array" aca="1" ref="AN680" ca="1">INDIRECT("'"&amp;$C680&amp;"'!"&amp;"$"&amp;$D680&amp;$AL$1&amp;"")</f>
        <v>2</v>
      </c>
      <c r="AO680" s="275">
        <v>0.98</v>
      </c>
      <c r="AP680" s="273">
        <v>0.45</v>
      </c>
      <c r="AQ680" s="274" cm="1">
        <f t="array" aca="1" ref="AQ680" ca="1">INDIRECT("'"&amp;$C680&amp;"'!"&amp;"$"&amp;$D680&amp;$AQ$1&amp;"")</f>
        <v>2</v>
      </c>
      <c r="AR680" s="275">
        <v>0.98</v>
      </c>
      <c r="AS680" s="273">
        <v>0.45</v>
      </c>
      <c r="AT680" s="272">
        <v>13.8</v>
      </c>
      <c r="AU680" s="276">
        <v>70.7</v>
      </c>
      <c r="AV680" s="275" cm="1">
        <f t="array" aca="1" ref="AV680" ca="1">INDIRECT("'"&amp;$C680&amp;"'!"&amp;"$"&amp;$D680&amp;$AV$1&amp;"")</f>
        <v>0</v>
      </c>
      <c r="AW680" s="274" t="s">
        <v>1</v>
      </c>
      <c r="AX680" s="275" t="s">
        <v>1</v>
      </c>
      <c r="AY680" s="273" t="s">
        <v>1</v>
      </c>
      <c r="AZ680" s="275" t="str" cm="1">
        <f t="array" aca="1" ref="AZ680" ca="1">INDIRECT("'"&amp;$C680&amp;"'!"&amp;"$"&amp;$D680&amp;$AZ$1&amp;"")</f>
        <v>CMS</v>
      </c>
      <c r="BA680" s="274" t="s">
        <v>1</v>
      </c>
      <c r="BB680" s="275" t="s">
        <v>1</v>
      </c>
      <c r="BC680" s="273" t="s">
        <v>1</v>
      </c>
      <c r="BD680" s="277">
        <v>14.08</v>
      </c>
      <c r="BE680" s="276">
        <v>71.599999999999994</v>
      </c>
      <c r="BF680" s="277" cm="1">
        <f t="array" aca="1" ref="BF680" ca="1">INDIRECT("'"&amp;$C680&amp;"'!"&amp;"$"&amp;$D680&amp;$BF$1&amp;"")</f>
        <v>14.28</v>
      </c>
      <c r="BG680" s="275">
        <v>1</v>
      </c>
      <c r="BH680" s="273">
        <v>1.3</v>
      </c>
      <c r="BI680" s="523">
        <v>69.3</v>
      </c>
      <c r="BJ680" s="272" cm="1">
        <f t="array" aca="1" ref="BJ680" ca="1">INDIRECT("'"&amp;$C680&amp;"'!"&amp;"$"&amp;$D680&amp;$BI$1&amp;"")</f>
        <v>0</v>
      </c>
      <c r="BK680" s="274" t="s">
        <v>1</v>
      </c>
      <c r="BL680" s="273" t="s">
        <v>1</v>
      </c>
      <c r="BM680" s="277" cm="1">
        <f t="array" aca="1" ref="BM680" ca="1">INDIRECT("'"&amp;$C680&amp;"'!"&amp;"$"&amp;$D680&amp;$BM$1&amp;"")</f>
        <v>1.03</v>
      </c>
      <c r="BN680" s="275"/>
      <c r="BO680" s="275">
        <v>0.99</v>
      </c>
      <c r="BP680" s="273">
        <v>0.15</v>
      </c>
      <c r="BQ680" s="277" cm="1">
        <f t="array" aca="1" ref="BQ680" ca="1">INDIRECT("'"&amp;$C680&amp;"'!"&amp;"$"&amp;$D680&amp;$BQ$1&amp;"")</f>
        <v>0.81</v>
      </c>
      <c r="BR680" s="275"/>
      <c r="BS680" s="275">
        <v>0.96</v>
      </c>
      <c r="BT680" s="273">
        <v>0.21</v>
      </c>
      <c r="BU680" s="358" cm="1">
        <f t="array" aca="1" ref="BU680" ca="1">INDIRECT("'"&amp;$C680&amp;"'!"&amp;"$"&amp;$D680&amp;74&amp;"")</f>
        <v>0</v>
      </c>
      <c r="BV680" s="275"/>
      <c r="BW680" s="275" t="s">
        <v>1</v>
      </c>
      <c r="BX680" s="273" t="s">
        <v>1</v>
      </c>
    </row>
    <row r="681" spans="1:76">
      <c r="A681" s="459">
        <v>45866</v>
      </c>
      <c r="B681" s="345">
        <v>4.1666666666666699E-2</v>
      </c>
      <c r="C681" s="305">
        <v>28</v>
      </c>
      <c r="D681" s="306" t="s">
        <v>143</v>
      </c>
      <c r="E681" s="278">
        <v>14.2</v>
      </c>
      <c r="F681" s="279">
        <v>70.180000000000007</v>
      </c>
      <c r="G681" s="280" t="str" cm="1">
        <f t="array" aca="1" ref="G681" ca="1">INDIRECT("'"&amp;$C681&amp;"'!"&amp;"$"&amp;$D681&amp;$E$1&amp;"")</f>
        <v>CMS</v>
      </c>
      <c r="H681" s="281" t="s">
        <v>1</v>
      </c>
      <c r="I681" s="279" t="s">
        <v>1</v>
      </c>
      <c r="J681" s="280" cm="1">
        <f t="array" aca="1" ref="J681" ca="1">INDIRECT("'"&amp;$C681&amp;"'!"&amp;"$"&amp;$D681&amp;$J$1&amp;"")</f>
        <v>6.5</v>
      </c>
      <c r="K681" s="281"/>
      <c r="L681" s="281">
        <v>0.98</v>
      </c>
      <c r="M681" s="282">
        <v>1.18</v>
      </c>
      <c r="N681" s="278" cm="1">
        <f t="array" aca="1" ref="N681" ca="1">INDIRECT("'"&amp;$C681&amp;"'!"&amp;"$"&amp;$D681&amp;$N$1&amp;"")</f>
        <v>0</v>
      </c>
      <c r="O681" s="281"/>
      <c r="P681" s="281" t="s">
        <v>1</v>
      </c>
      <c r="Q681" s="279" t="s">
        <v>1</v>
      </c>
      <c r="R681" s="468" cm="1">
        <f t="array" aca="1" ref="R681" ca="1">INDIRECT("'"&amp;$C681&amp;"'!"&amp;"$"&amp;$D681&amp;$R$1&amp;"")</f>
        <v>6.6</v>
      </c>
      <c r="S681" s="281"/>
      <c r="T681" s="281">
        <v>0.95</v>
      </c>
      <c r="U681" s="279">
        <v>2.2200000000000002</v>
      </c>
      <c r="V681" s="280" t="str" cm="1">
        <f t="array" aca="1" ref="V681" ca="1">INDIRECT("'"&amp;$C681&amp;"'!"&amp;"$"&amp;$D681&amp;$V$1&amp;"")</f>
        <v>CMS</v>
      </c>
      <c r="W681" s="281" t="s">
        <v>1</v>
      </c>
      <c r="X681" s="281" t="s">
        <v>1</v>
      </c>
      <c r="Y681" s="282" t="s">
        <v>1</v>
      </c>
      <c r="Z681" s="278" cm="1">
        <f t="array" aca="1" ref="Z681" ca="1">INDIRECT("'"&amp;$C681&amp;"'!"&amp;"$"&amp;$D681&amp;$Z$1&amp;"")</f>
        <v>0</v>
      </c>
      <c r="AA681" s="281" t="s">
        <v>1</v>
      </c>
      <c r="AB681" s="281" t="s">
        <v>1</v>
      </c>
      <c r="AC681" s="279" t="s">
        <v>1</v>
      </c>
      <c r="AD681" s="280" t="str" cm="1">
        <f t="array" aca="1" ref="AD681" ca="1">INDIRECT("'"&amp;$C681&amp;"'!"&amp;"$"&amp;$D681&amp;$AD$1&amp;"")</f>
        <v>CMS</v>
      </c>
      <c r="AE681" s="281" t="s">
        <v>1</v>
      </c>
      <c r="AF681" s="281" t="s">
        <v>1</v>
      </c>
      <c r="AG681" s="282" t="s">
        <v>1</v>
      </c>
      <c r="AH681" s="278" cm="1">
        <f t="array" aca="1" ref="AH681" ca="1">INDIRECT("'"&amp;$C681&amp;"'!"&amp;"$"&amp;$D681&amp;$AH$1&amp;"")</f>
        <v>0</v>
      </c>
      <c r="AI681" s="281" t="s">
        <v>1</v>
      </c>
      <c r="AJ681" s="281" t="s">
        <v>1</v>
      </c>
      <c r="AK681" s="279" t="s">
        <v>1</v>
      </c>
      <c r="AL681" s="278">
        <v>11.6</v>
      </c>
      <c r="AM681" s="282">
        <v>70.7</v>
      </c>
      <c r="AN681" s="278" cm="1">
        <f t="array" aca="1" ref="AN681" ca="1">INDIRECT("'"&amp;$C681&amp;"'!"&amp;"$"&amp;$D681&amp;$AL$1&amp;"")</f>
        <v>4</v>
      </c>
      <c r="AO681" s="281">
        <v>0.99</v>
      </c>
      <c r="AP681" s="279">
        <v>0.37</v>
      </c>
      <c r="AQ681" s="280" cm="1">
        <f t="array" aca="1" ref="AQ681" ca="1">INDIRECT("'"&amp;$C681&amp;"'!"&amp;"$"&amp;$D681&amp;$AQ$1&amp;"")</f>
        <v>4</v>
      </c>
      <c r="AR681" s="281">
        <v>0.99</v>
      </c>
      <c r="AS681" s="279">
        <v>0.37</v>
      </c>
      <c r="AT681" s="278">
        <v>13.8</v>
      </c>
      <c r="AU681" s="282">
        <v>70.7</v>
      </c>
      <c r="AV681" s="281" cm="1">
        <f t="array" aca="1" ref="AV681" ca="1">INDIRECT("'"&amp;$C681&amp;"'!"&amp;"$"&amp;$D681&amp;$AV$1&amp;"")</f>
        <v>0</v>
      </c>
      <c r="AW681" s="280" t="s">
        <v>1</v>
      </c>
      <c r="AX681" s="281" t="s">
        <v>1</v>
      </c>
      <c r="AY681" s="279" t="s">
        <v>1</v>
      </c>
      <c r="AZ681" s="281" t="str" cm="1">
        <f t="array" aca="1" ref="AZ681" ca="1">INDIRECT("'"&amp;$C681&amp;"'!"&amp;"$"&amp;$D681&amp;$AZ$1&amp;"")</f>
        <v>CMS</v>
      </c>
      <c r="BA681" s="280" t="s">
        <v>1</v>
      </c>
      <c r="BB681" s="281" t="s">
        <v>1</v>
      </c>
      <c r="BC681" s="279" t="s">
        <v>1</v>
      </c>
      <c r="BD681" s="283">
        <v>14.15</v>
      </c>
      <c r="BE681" s="282">
        <v>71.959999999999994</v>
      </c>
      <c r="BF681" s="283" cm="1">
        <f t="array" aca="1" ref="BF681" ca="1">INDIRECT("'"&amp;$C681&amp;"'!"&amp;"$"&amp;$D681&amp;$BF$1&amp;"")</f>
        <v>14.29</v>
      </c>
      <c r="BG681" s="281">
        <v>1</v>
      </c>
      <c r="BH681" s="279">
        <v>1.3</v>
      </c>
      <c r="BI681" s="524">
        <v>69.099999999999994</v>
      </c>
      <c r="BJ681" s="278" cm="1">
        <f t="array" aca="1" ref="BJ681" ca="1">INDIRECT("'"&amp;$C681&amp;"'!"&amp;"$"&amp;$D681&amp;$BI$1&amp;"")</f>
        <v>0</v>
      </c>
      <c r="BK681" s="280" t="s">
        <v>1</v>
      </c>
      <c r="BL681" s="279" t="s">
        <v>1</v>
      </c>
      <c r="BM681" s="283" cm="1">
        <f t="array" aca="1" ref="BM681" ca="1">INDIRECT("'"&amp;$C681&amp;"'!"&amp;"$"&amp;$D681&amp;$BM$1&amp;"")</f>
        <v>0.99</v>
      </c>
      <c r="BN681" s="281"/>
      <c r="BO681" s="281">
        <v>0.99</v>
      </c>
      <c r="BP681" s="279">
        <v>0.14000000000000001</v>
      </c>
      <c r="BQ681" s="283" cm="1">
        <f t="array" aca="1" ref="BQ681" ca="1">INDIRECT("'"&amp;$C681&amp;"'!"&amp;"$"&amp;$D681&amp;$BQ$1&amp;"")</f>
        <v>0.77</v>
      </c>
      <c r="BR681" s="281"/>
      <c r="BS681" s="281">
        <v>0.96</v>
      </c>
      <c r="BT681" s="279">
        <v>0.2</v>
      </c>
      <c r="BU681" s="284" cm="1">
        <f t="array" aca="1" ref="BU681" ca="1">INDIRECT("'"&amp;$C681&amp;"'!"&amp;"$"&amp;$D681&amp;74&amp;"")</f>
        <v>0</v>
      </c>
      <c r="BV681" s="281"/>
      <c r="BW681" s="281" t="s">
        <v>1</v>
      </c>
      <c r="BX681" s="279" t="s">
        <v>1</v>
      </c>
    </row>
    <row r="682" spans="1:76">
      <c r="A682" s="459">
        <v>45866</v>
      </c>
      <c r="B682" s="345">
        <v>8.3333333333333301E-2</v>
      </c>
      <c r="C682" s="305">
        <v>28</v>
      </c>
      <c r="D682" s="306" t="s">
        <v>144</v>
      </c>
      <c r="E682" s="285">
        <v>14.2</v>
      </c>
      <c r="F682" s="286">
        <v>70.44</v>
      </c>
      <c r="G682" s="287" t="str" cm="1">
        <f t="array" aca="1" ref="G682" ca="1">INDIRECT("'"&amp;$C682&amp;"'!"&amp;"$"&amp;$D682&amp;$E$1&amp;"")</f>
        <v>CMS</v>
      </c>
      <c r="H682" s="288" t="s">
        <v>1</v>
      </c>
      <c r="I682" s="286" t="s">
        <v>1</v>
      </c>
      <c r="J682" s="287" cm="1">
        <f t="array" aca="1" ref="J682" ca="1">INDIRECT("'"&amp;$C682&amp;"'!"&amp;"$"&amp;$D682&amp;$J$1&amp;"")</f>
        <v>6.9</v>
      </c>
      <c r="K682" s="288"/>
      <c r="L682" s="288">
        <v>0.98</v>
      </c>
      <c r="M682" s="289">
        <v>1.31</v>
      </c>
      <c r="N682" s="285" cm="1">
        <f t="array" aca="1" ref="N682" ca="1">INDIRECT("'"&amp;$C682&amp;"'!"&amp;"$"&amp;$D682&amp;$N$1&amp;"")</f>
        <v>0</v>
      </c>
      <c r="O682" s="288"/>
      <c r="P682" s="288" t="s">
        <v>1</v>
      </c>
      <c r="Q682" s="286" t="s">
        <v>1</v>
      </c>
      <c r="R682" s="285" cm="1">
        <f t="array" aca="1" ref="R682" ca="1">INDIRECT("'"&amp;$C682&amp;"'!"&amp;"$"&amp;$D682&amp;$R$1&amp;"")</f>
        <v>6.9</v>
      </c>
      <c r="S682" s="288"/>
      <c r="T682" s="288">
        <v>0.98</v>
      </c>
      <c r="U682" s="286">
        <v>1.32</v>
      </c>
      <c r="V682" s="287" t="str" cm="1">
        <f t="array" aca="1" ref="V682" ca="1">INDIRECT("'"&amp;$C682&amp;"'!"&amp;"$"&amp;$D682&amp;$V$1&amp;"")</f>
        <v>CMS</v>
      </c>
      <c r="W682" s="288" t="s">
        <v>1</v>
      </c>
      <c r="X682" s="288" t="s">
        <v>1</v>
      </c>
      <c r="Y682" s="289" t="s">
        <v>1</v>
      </c>
      <c r="Z682" s="285" cm="1">
        <f t="array" aca="1" ref="Z682" ca="1">INDIRECT("'"&amp;$C682&amp;"'!"&amp;"$"&amp;$D682&amp;$Z$1&amp;"")</f>
        <v>0</v>
      </c>
      <c r="AA682" s="288" t="s">
        <v>1</v>
      </c>
      <c r="AB682" s="288" t="s">
        <v>1</v>
      </c>
      <c r="AC682" s="286" t="s">
        <v>1</v>
      </c>
      <c r="AD682" s="287" t="str" cm="1">
        <f t="array" aca="1" ref="AD682" ca="1">INDIRECT("'"&amp;$C682&amp;"'!"&amp;"$"&amp;$D682&amp;$AD$1&amp;"")</f>
        <v>CMS</v>
      </c>
      <c r="AE682" s="288" t="s">
        <v>1</v>
      </c>
      <c r="AF682" s="288" t="s">
        <v>1</v>
      </c>
      <c r="AG682" s="289" t="s">
        <v>1</v>
      </c>
      <c r="AH682" s="285" cm="1">
        <f t="array" aca="1" ref="AH682" ca="1">INDIRECT("'"&amp;$C682&amp;"'!"&amp;"$"&amp;$D682&amp;$AH$1&amp;"")</f>
        <v>0</v>
      </c>
      <c r="AI682" s="288" t="s">
        <v>1</v>
      </c>
      <c r="AJ682" s="288" t="s">
        <v>1</v>
      </c>
      <c r="AK682" s="289" t="s">
        <v>1</v>
      </c>
      <c r="AL682" s="285">
        <v>11.6</v>
      </c>
      <c r="AM682" s="289">
        <v>70.8</v>
      </c>
      <c r="AN682" s="285" cm="1">
        <f t="array" aca="1" ref="AN682" ca="1">INDIRECT("'"&amp;$C682&amp;"'!"&amp;"$"&amp;$D682&amp;$AL$1&amp;"")</f>
        <v>2.5</v>
      </c>
      <c r="AO682" s="288">
        <v>0.99</v>
      </c>
      <c r="AP682" s="286">
        <v>0.3</v>
      </c>
      <c r="AQ682" s="287" cm="1">
        <f t="array" aca="1" ref="AQ682" ca="1">INDIRECT("'"&amp;$C682&amp;"'!"&amp;"$"&amp;$D682&amp;$AQ$1&amp;"")</f>
        <v>2.5</v>
      </c>
      <c r="AR682" s="288">
        <v>0.99</v>
      </c>
      <c r="AS682" s="286">
        <v>0.3</v>
      </c>
      <c r="AT682" s="285">
        <v>13.8</v>
      </c>
      <c r="AU682" s="289">
        <v>70.7</v>
      </c>
      <c r="AV682" s="288" cm="1">
        <f t="array" aca="1" ref="AV682" ca="1">INDIRECT("'"&amp;$C682&amp;"'!"&amp;"$"&amp;$D682&amp;$AV$1&amp;"")</f>
        <v>0</v>
      </c>
      <c r="AW682" s="287" t="s">
        <v>1</v>
      </c>
      <c r="AX682" s="288" t="s">
        <v>1</v>
      </c>
      <c r="AY682" s="286" t="s">
        <v>1</v>
      </c>
      <c r="AZ682" s="288" t="str" cm="1">
        <f t="array" aca="1" ref="AZ682" ca="1">INDIRECT("'"&amp;$C682&amp;"'!"&amp;"$"&amp;$D682&amp;$AZ$1&amp;"")</f>
        <v>CMS</v>
      </c>
      <c r="BA682" s="287" t="s">
        <v>1</v>
      </c>
      <c r="BB682" s="288" t="s">
        <v>1</v>
      </c>
      <c r="BC682" s="286" t="s">
        <v>1</v>
      </c>
      <c r="BD682" s="290">
        <v>14.11</v>
      </c>
      <c r="BE682" s="289">
        <v>71.81</v>
      </c>
      <c r="BF682" s="290" cm="1">
        <f t="array" aca="1" ref="BF682" ca="1">INDIRECT("'"&amp;$C682&amp;"'!"&amp;"$"&amp;$D682&amp;$BF$1&amp;"")</f>
        <v>14.27</v>
      </c>
      <c r="BG682" s="288">
        <v>1</v>
      </c>
      <c r="BH682" s="286">
        <v>1.2</v>
      </c>
      <c r="BI682" s="525">
        <v>69.400000000000006</v>
      </c>
      <c r="BJ682" s="285" cm="1">
        <f t="array" aca="1" ref="BJ682" ca="1">INDIRECT("'"&amp;$C682&amp;"'!"&amp;"$"&amp;$D682&amp;$BI$1&amp;"")</f>
        <v>0</v>
      </c>
      <c r="BK682" s="287" t="s">
        <v>1</v>
      </c>
      <c r="BL682" s="286" t="s">
        <v>1</v>
      </c>
      <c r="BM682" s="290" cm="1">
        <f t="array" aca="1" ref="BM682" ca="1">INDIRECT("'"&amp;$C682&amp;"'!"&amp;"$"&amp;$D682&amp;$BM$1&amp;"")</f>
        <v>0.92</v>
      </c>
      <c r="BN682" s="288"/>
      <c r="BO682" s="288">
        <v>0.99</v>
      </c>
      <c r="BP682" s="286">
        <v>0.12</v>
      </c>
      <c r="BQ682" s="290" cm="1">
        <f t="array" aca="1" ref="BQ682" ca="1">INDIRECT("'"&amp;$C682&amp;"'!"&amp;"$"&amp;$D682&amp;$BQ$1&amp;"")</f>
        <v>0.76</v>
      </c>
      <c r="BR682" s="288"/>
      <c r="BS682" s="288">
        <v>0.96</v>
      </c>
      <c r="BT682" s="286">
        <v>0.2</v>
      </c>
      <c r="BU682" s="291" cm="1">
        <f t="array" aca="1" ref="BU682" ca="1">INDIRECT("'"&amp;$C682&amp;"'!"&amp;"$"&amp;$D682&amp;74&amp;"")</f>
        <v>0</v>
      </c>
      <c r="BV682" s="288"/>
      <c r="BW682" s="288" t="s">
        <v>1</v>
      </c>
      <c r="BX682" s="286" t="s">
        <v>1</v>
      </c>
    </row>
    <row r="683" spans="1:76">
      <c r="A683" s="459">
        <v>45866</v>
      </c>
      <c r="B683" s="345">
        <v>0.125</v>
      </c>
      <c r="C683" s="305">
        <v>28</v>
      </c>
      <c r="D683" s="306" t="s">
        <v>145</v>
      </c>
      <c r="E683" s="278">
        <v>14.2</v>
      </c>
      <c r="F683" s="279">
        <v>70.63</v>
      </c>
      <c r="G683" s="280" t="str" cm="1">
        <f t="array" aca="1" ref="G683" ca="1">INDIRECT("'"&amp;$C683&amp;"'!"&amp;"$"&amp;$D683&amp;$E$1&amp;"")</f>
        <v>CMS</v>
      </c>
      <c r="H683" s="281" t="s">
        <v>1</v>
      </c>
      <c r="I683" s="279" t="s">
        <v>1</v>
      </c>
      <c r="J683" s="280" cm="1">
        <f t="array" aca="1" ref="J683" ca="1">INDIRECT("'"&amp;$C683&amp;"'!"&amp;"$"&amp;$D683&amp;$J$1&amp;"")</f>
        <v>6.5</v>
      </c>
      <c r="K683" s="281"/>
      <c r="L683" s="281">
        <v>0.98</v>
      </c>
      <c r="M683" s="282">
        <v>1.8</v>
      </c>
      <c r="N683" s="278" cm="1">
        <f t="array" aca="1" ref="N683" ca="1">INDIRECT("'"&amp;$C683&amp;"'!"&amp;"$"&amp;$D683&amp;$N$1&amp;"")</f>
        <v>0</v>
      </c>
      <c r="O683" s="281"/>
      <c r="P683" s="281" t="s">
        <v>1</v>
      </c>
      <c r="Q683" s="279" t="s">
        <v>1</v>
      </c>
      <c r="R683" s="468" cm="1">
        <f t="array" aca="1" ref="R683" ca="1">INDIRECT("'"&amp;$C683&amp;"'!"&amp;"$"&amp;$D683&amp;$R$1&amp;"")</f>
        <v>6.5</v>
      </c>
      <c r="S683" s="281"/>
      <c r="T683" s="281">
        <v>0.98</v>
      </c>
      <c r="U683" s="279">
        <v>1.29</v>
      </c>
      <c r="V683" s="280" t="str" cm="1">
        <f t="array" aca="1" ref="V683" ca="1">INDIRECT("'"&amp;$C683&amp;"'!"&amp;"$"&amp;$D683&amp;$V$1&amp;"")</f>
        <v>CMS</v>
      </c>
      <c r="W683" s="281" t="s">
        <v>1</v>
      </c>
      <c r="X683" s="281" t="s">
        <v>1</v>
      </c>
      <c r="Y683" s="282" t="s">
        <v>1</v>
      </c>
      <c r="Z683" s="278" cm="1">
        <f t="array" aca="1" ref="Z683" ca="1">INDIRECT("'"&amp;$C683&amp;"'!"&amp;"$"&amp;$D683&amp;$Z$1&amp;"")</f>
        <v>0</v>
      </c>
      <c r="AA683" s="281" t="s">
        <v>1</v>
      </c>
      <c r="AB683" s="281" t="s">
        <v>1</v>
      </c>
      <c r="AC683" s="279" t="s">
        <v>1</v>
      </c>
      <c r="AD683" s="280" t="str" cm="1">
        <f t="array" aca="1" ref="AD683" ca="1">INDIRECT("'"&amp;$C683&amp;"'!"&amp;"$"&amp;$D683&amp;$AD$1&amp;"")</f>
        <v>CMS</v>
      </c>
      <c r="AE683" s="281" t="s">
        <v>1</v>
      </c>
      <c r="AF683" s="281" t="s">
        <v>1</v>
      </c>
      <c r="AG683" s="282" t="s">
        <v>1</v>
      </c>
      <c r="AH683" s="278" cm="1">
        <f t="array" aca="1" ref="AH683" ca="1">INDIRECT("'"&amp;$C683&amp;"'!"&amp;"$"&amp;$D683&amp;$AH$1&amp;"")</f>
        <v>0</v>
      </c>
      <c r="AI683" s="281" t="s">
        <v>1</v>
      </c>
      <c r="AJ683" s="281" t="s">
        <v>1</v>
      </c>
      <c r="AK683" s="279" t="s">
        <v>1</v>
      </c>
      <c r="AL683" s="278">
        <v>11.6</v>
      </c>
      <c r="AM683" s="282">
        <v>71</v>
      </c>
      <c r="AN683" s="278" cm="1">
        <f t="array" aca="1" ref="AN683" ca="1">INDIRECT("'"&amp;$C683&amp;"'!"&amp;"$"&amp;$D683&amp;$AL$1&amp;"")</f>
        <v>1.5</v>
      </c>
      <c r="AO683" s="281">
        <v>0.99</v>
      </c>
      <c r="AP683" s="279">
        <v>0.25</v>
      </c>
      <c r="AQ683" s="280" cm="1">
        <f t="array" aca="1" ref="AQ683" ca="1">INDIRECT("'"&amp;$C683&amp;"'!"&amp;"$"&amp;$D683&amp;$AQ$1&amp;"")</f>
        <v>1.5</v>
      </c>
      <c r="AR683" s="281">
        <v>0.99</v>
      </c>
      <c r="AS683" s="279">
        <v>0.25</v>
      </c>
      <c r="AT683" s="278">
        <v>13.8</v>
      </c>
      <c r="AU683" s="282">
        <v>70.7</v>
      </c>
      <c r="AV683" s="281" cm="1">
        <f t="array" aca="1" ref="AV683" ca="1">INDIRECT("'"&amp;$C683&amp;"'!"&amp;"$"&amp;$D683&amp;$AV$1&amp;"")</f>
        <v>0</v>
      </c>
      <c r="AW683" s="280" t="s">
        <v>1</v>
      </c>
      <c r="AX683" s="281" t="s">
        <v>1</v>
      </c>
      <c r="AY683" s="279" t="s">
        <v>1</v>
      </c>
      <c r="AZ683" s="281" t="str" cm="1">
        <f t="array" aca="1" ref="AZ683" ca="1">INDIRECT("'"&amp;$C683&amp;"'!"&amp;"$"&amp;$D683&amp;$AZ$1&amp;"")</f>
        <v>CMS</v>
      </c>
      <c r="BA683" s="280" t="s">
        <v>1</v>
      </c>
      <c r="BB683" s="281" t="s">
        <v>1</v>
      </c>
      <c r="BC683" s="279" t="s">
        <v>1</v>
      </c>
      <c r="BD683" s="283">
        <v>14.2</v>
      </c>
      <c r="BE683" s="282">
        <v>72.22</v>
      </c>
      <c r="BF683" s="283" cm="1">
        <f t="array" aca="1" ref="BF683" ca="1">INDIRECT("'"&amp;$C683&amp;"'!"&amp;"$"&amp;$D683&amp;$BF$1&amp;"")</f>
        <v>14.26</v>
      </c>
      <c r="BG683" s="281">
        <v>1</v>
      </c>
      <c r="BH683" s="279">
        <v>1.2</v>
      </c>
      <c r="BI683" s="524">
        <v>69.599999999999994</v>
      </c>
      <c r="BJ683" s="278" cm="1">
        <f t="array" aca="1" ref="BJ683" ca="1">INDIRECT("'"&amp;$C683&amp;"'!"&amp;"$"&amp;$D683&amp;$BI$1&amp;"")</f>
        <v>0</v>
      </c>
      <c r="BK683" s="280" t="s">
        <v>1</v>
      </c>
      <c r="BL683" s="279" t="s">
        <v>1</v>
      </c>
      <c r="BM683" s="283" cm="1">
        <f t="array" aca="1" ref="BM683" ca="1">INDIRECT("'"&amp;$C683&amp;"'!"&amp;"$"&amp;$D683&amp;$BM$1&amp;"")</f>
        <v>0.89</v>
      </c>
      <c r="BN683" s="281"/>
      <c r="BO683" s="281">
        <v>0.99</v>
      </c>
      <c r="BP683" s="279">
        <v>0.1</v>
      </c>
      <c r="BQ683" s="283" cm="1">
        <f t="array" aca="1" ref="BQ683" ca="1">INDIRECT("'"&amp;$C683&amp;"'!"&amp;"$"&amp;$D683&amp;$BQ$1&amp;"")</f>
        <v>0.73</v>
      </c>
      <c r="BR683" s="281"/>
      <c r="BS683" s="281">
        <v>0.96</v>
      </c>
      <c r="BT683" s="279">
        <v>0.2</v>
      </c>
      <c r="BU683" s="284" cm="1">
        <f t="array" aca="1" ref="BU683" ca="1">INDIRECT("'"&amp;$C683&amp;"'!"&amp;"$"&amp;$D683&amp;74&amp;"")</f>
        <v>0</v>
      </c>
      <c r="BV683" s="281"/>
      <c r="BW683" s="281" t="s">
        <v>1</v>
      </c>
      <c r="BX683" s="279" t="s">
        <v>1</v>
      </c>
    </row>
    <row r="684" spans="1:76">
      <c r="A684" s="459">
        <v>45866</v>
      </c>
      <c r="B684" s="345">
        <v>0.16666666666666699</v>
      </c>
      <c r="C684" s="305">
        <v>28</v>
      </c>
      <c r="D684" s="306" t="s">
        <v>146</v>
      </c>
      <c r="E684" s="285">
        <v>14.2</v>
      </c>
      <c r="F684" s="286">
        <v>70.52</v>
      </c>
      <c r="G684" s="287" t="str" cm="1">
        <f t="array" aca="1" ref="G684" ca="1">INDIRECT("'"&amp;$C684&amp;"'!"&amp;"$"&amp;$D684&amp;$E$1&amp;"")</f>
        <v>CMS</v>
      </c>
      <c r="H684" s="288" t="s">
        <v>1</v>
      </c>
      <c r="I684" s="286" t="s">
        <v>1</v>
      </c>
      <c r="J684" s="287" cm="1">
        <f t="array" aca="1" ref="J684" ca="1">INDIRECT("'"&amp;$C684&amp;"'!"&amp;"$"&amp;$D684&amp;$J$1&amp;"")</f>
        <v>5.2</v>
      </c>
      <c r="K684" s="288"/>
      <c r="L684" s="288">
        <v>0.98</v>
      </c>
      <c r="M684" s="286">
        <v>0.96</v>
      </c>
      <c r="N684" s="285" cm="1">
        <f t="array" aca="1" ref="N684" ca="1">INDIRECT("'"&amp;$C684&amp;"'!"&amp;"$"&amp;$D684&amp;$N$1&amp;"")</f>
        <v>5.9</v>
      </c>
      <c r="O684" s="288"/>
      <c r="P684" s="288">
        <v>0.97</v>
      </c>
      <c r="Q684" s="286">
        <v>1.49</v>
      </c>
      <c r="R684" s="285" cm="1">
        <f t="array" aca="1" ref="R684" ca="1">INDIRECT("'"&amp;$C684&amp;"'!"&amp;"$"&amp;$D684&amp;$R$1&amp;"")</f>
        <v>1.9</v>
      </c>
      <c r="S684" s="288"/>
      <c r="T684" s="288">
        <v>0.97</v>
      </c>
      <c r="U684" s="286">
        <v>0.5</v>
      </c>
      <c r="V684" s="287" t="str" cm="1">
        <f t="array" aca="1" ref="V684" ca="1">INDIRECT("'"&amp;$C684&amp;"'!"&amp;"$"&amp;$D684&amp;$V$1&amp;"")</f>
        <v>CMS</v>
      </c>
      <c r="W684" s="288" t="s">
        <v>1</v>
      </c>
      <c r="X684" s="288" t="s">
        <v>1</v>
      </c>
      <c r="Y684" s="289" t="s">
        <v>1</v>
      </c>
      <c r="Z684" s="285" cm="1">
        <f t="array" aca="1" ref="Z684" ca="1">INDIRECT("'"&amp;$C684&amp;"'!"&amp;"$"&amp;$D684&amp;$Z$1&amp;"")</f>
        <v>0</v>
      </c>
      <c r="AA684" s="288" t="s">
        <v>1</v>
      </c>
      <c r="AB684" s="288" t="s">
        <v>1</v>
      </c>
      <c r="AC684" s="286" t="s">
        <v>1</v>
      </c>
      <c r="AD684" s="287" t="str" cm="1">
        <f t="array" aca="1" ref="AD684" ca="1">INDIRECT("'"&amp;$C684&amp;"'!"&amp;"$"&amp;$D684&amp;$AD$1&amp;"")</f>
        <v>CMS</v>
      </c>
      <c r="AE684" s="288" t="s">
        <v>1</v>
      </c>
      <c r="AF684" s="288" t="s">
        <v>1</v>
      </c>
      <c r="AG684" s="289" t="s">
        <v>1</v>
      </c>
      <c r="AH684" s="285" cm="1">
        <f t="array" aca="1" ref="AH684" ca="1">INDIRECT("'"&amp;$C684&amp;"'!"&amp;"$"&amp;$D684&amp;$AH$1&amp;"")</f>
        <v>0</v>
      </c>
      <c r="AI684" s="288" t="s">
        <v>1</v>
      </c>
      <c r="AJ684" s="288" t="s">
        <v>1</v>
      </c>
      <c r="AK684" s="286" t="s">
        <v>1</v>
      </c>
      <c r="AL684" s="285">
        <v>11.6</v>
      </c>
      <c r="AM684" s="289">
        <v>70.8</v>
      </c>
      <c r="AN684" s="285" cm="1">
        <f t="array" aca="1" ref="AN684" ca="1">INDIRECT("'"&amp;$C684&amp;"'!"&amp;"$"&amp;$D684&amp;$AL$1&amp;"")</f>
        <v>2.5</v>
      </c>
      <c r="AO684" s="288">
        <v>0.99</v>
      </c>
      <c r="AP684" s="286">
        <v>0.28999999999999998</v>
      </c>
      <c r="AQ684" s="287" cm="1">
        <f t="array" aca="1" ref="AQ684" ca="1">INDIRECT("'"&amp;$C684&amp;"'!"&amp;"$"&amp;$D684&amp;$AQ$1&amp;"")</f>
        <v>2.5</v>
      </c>
      <c r="AR684" s="288">
        <v>0.99</v>
      </c>
      <c r="AS684" s="286">
        <v>0.28999999999999998</v>
      </c>
      <c r="AT684" s="285">
        <v>13.8</v>
      </c>
      <c r="AU684" s="289">
        <v>70.7</v>
      </c>
      <c r="AV684" s="288" cm="1">
        <f t="array" aca="1" ref="AV684" ca="1">INDIRECT("'"&amp;$C684&amp;"'!"&amp;"$"&amp;$D684&amp;$AV$1&amp;"")</f>
        <v>0</v>
      </c>
      <c r="AW684" s="287" t="s">
        <v>1</v>
      </c>
      <c r="AX684" s="288" t="s">
        <v>1</v>
      </c>
      <c r="AY684" s="286" t="s">
        <v>1</v>
      </c>
      <c r="AZ684" s="288" t="str" cm="1">
        <f t="array" aca="1" ref="AZ684" ca="1">INDIRECT("'"&amp;$C684&amp;"'!"&amp;"$"&amp;$D684&amp;$AZ$1&amp;"")</f>
        <v>CMS</v>
      </c>
      <c r="BA684" s="287" t="s">
        <v>1</v>
      </c>
      <c r="BB684" s="288" t="s">
        <v>1</v>
      </c>
      <c r="BC684" s="286" t="s">
        <v>1</v>
      </c>
      <c r="BD684" s="290">
        <v>14.13</v>
      </c>
      <c r="BE684" s="289">
        <v>71.89</v>
      </c>
      <c r="BF684" s="290" cm="1">
        <f t="array" aca="1" ref="BF684" ca="1">INDIRECT("'"&amp;$C684&amp;"'!"&amp;"$"&amp;$D684&amp;$BF$1&amp;"")</f>
        <v>14.27</v>
      </c>
      <c r="BG684" s="288">
        <v>1</v>
      </c>
      <c r="BH684" s="286">
        <v>1.2</v>
      </c>
      <c r="BI684" s="525">
        <v>69.400000000000006</v>
      </c>
      <c r="BJ684" s="285" cm="1">
        <f t="array" aca="1" ref="BJ684" ca="1">INDIRECT("'"&amp;$C684&amp;"'!"&amp;"$"&amp;$D684&amp;$BI$1&amp;"")</f>
        <v>0</v>
      </c>
      <c r="BK684" s="287" t="s">
        <v>1</v>
      </c>
      <c r="BL684" s="286" t="s">
        <v>1</v>
      </c>
      <c r="BM684" s="290" cm="1">
        <f t="array" aca="1" ref="BM684" ca="1">INDIRECT("'"&amp;$C684&amp;"'!"&amp;"$"&amp;$D684&amp;$BM$1&amp;"")</f>
        <v>0.88</v>
      </c>
      <c r="BN684" s="288"/>
      <c r="BO684" s="288">
        <v>0.99</v>
      </c>
      <c r="BP684" s="286">
        <v>0.11</v>
      </c>
      <c r="BQ684" s="290" cm="1">
        <f t="array" aca="1" ref="BQ684" ca="1">INDIRECT("'"&amp;$C684&amp;"'!"&amp;"$"&amp;$D684&amp;$BQ$1&amp;"")</f>
        <v>0.71</v>
      </c>
      <c r="BR684" s="288"/>
      <c r="BS684" s="288">
        <v>0.96</v>
      </c>
      <c r="BT684" s="286">
        <v>0.19</v>
      </c>
      <c r="BU684" s="291" cm="1">
        <f t="array" aca="1" ref="BU684" ca="1">INDIRECT("'"&amp;$C684&amp;"'!"&amp;"$"&amp;$D684&amp;74&amp;"")</f>
        <v>0</v>
      </c>
      <c r="BV684" s="288"/>
      <c r="BW684" s="288" t="s">
        <v>1</v>
      </c>
      <c r="BX684" s="286" t="s">
        <v>1</v>
      </c>
    </row>
    <row r="685" spans="1:76">
      <c r="A685" s="459">
        <v>45866</v>
      </c>
      <c r="B685" s="345">
        <v>0.20833333333333301</v>
      </c>
      <c r="C685" s="305">
        <v>28</v>
      </c>
      <c r="D685" s="306" t="s">
        <v>147</v>
      </c>
      <c r="E685" s="278">
        <v>14.2</v>
      </c>
      <c r="F685" s="279">
        <v>70.010000000000005</v>
      </c>
      <c r="G685" s="280" t="str" cm="1">
        <f t="array" aca="1" ref="G685" ca="1">INDIRECT("'"&amp;$C685&amp;"'!"&amp;"$"&amp;$D685&amp;$E$1&amp;"")</f>
        <v>CMS</v>
      </c>
      <c r="H685" s="281" t="s">
        <v>1</v>
      </c>
      <c r="I685" s="279" t="s">
        <v>1</v>
      </c>
      <c r="J685" s="280" cm="1">
        <f t="array" aca="1" ref="J685" ca="1">INDIRECT("'"&amp;$C685&amp;"'!"&amp;"$"&amp;$D685&amp;$J$1&amp;"")</f>
        <v>6.5</v>
      </c>
      <c r="K685" s="281"/>
      <c r="L685" s="281">
        <v>0.98</v>
      </c>
      <c r="M685" s="279">
        <v>1.28</v>
      </c>
      <c r="N685" s="278" t="str" cm="1">
        <f t="array" aca="1" ref="N685" ca="1">INDIRECT("'"&amp;$C685&amp;"'!"&amp;"$"&amp;$D685&amp;$N$1&amp;"")</f>
        <v>CMS</v>
      </c>
      <c r="O685" s="281"/>
      <c r="P685" s="281" t="s">
        <v>1</v>
      </c>
      <c r="Q685" s="279" t="s">
        <v>1</v>
      </c>
      <c r="R685" s="468" cm="1">
        <f t="array" aca="1" ref="R685" ca="1">INDIRECT("'"&amp;$C685&amp;"'!"&amp;"$"&amp;$D685&amp;$R$1&amp;"")</f>
        <v>6.6</v>
      </c>
      <c r="S685" s="281"/>
      <c r="T685" s="281">
        <v>0.95</v>
      </c>
      <c r="U685" s="279">
        <v>2.17</v>
      </c>
      <c r="V685" s="280" t="str" cm="1">
        <f t="array" aca="1" ref="V685" ca="1">INDIRECT("'"&amp;$C685&amp;"'!"&amp;"$"&amp;$D685&amp;$V$1&amp;"")</f>
        <v>CMS</v>
      </c>
      <c r="W685" s="281" t="s">
        <v>1</v>
      </c>
      <c r="X685" s="281" t="s">
        <v>1</v>
      </c>
      <c r="Y685" s="282" t="s">
        <v>1</v>
      </c>
      <c r="Z685" s="278" cm="1">
        <f t="array" aca="1" ref="Z685" ca="1">INDIRECT("'"&amp;$C685&amp;"'!"&amp;"$"&amp;$D685&amp;$Z$1&amp;"")</f>
        <v>0</v>
      </c>
      <c r="AA685" s="281" t="s">
        <v>1</v>
      </c>
      <c r="AB685" s="281" t="s">
        <v>1</v>
      </c>
      <c r="AC685" s="279" t="s">
        <v>1</v>
      </c>
      <c r="AD685" s="280" t="str" cm="1">
        <f t="array" aca="1" ref="AD685" ca="1">INDIRECT("'"&amp;$C685&amp;"'!"&amp;"$"&amp;$D685&amp;$AD$1&amp;"")</f>
        <v>CMS</v>
      </c>
      <c r="AE685" s="281" t="s">
        <v>1</v>
      </c>
      <c r="AF685" s="281" t="s">
        <v>1</v>
      </c>
      <c r="AG685" s="282" t="s">
        <v>1</v>
      </c>
      <c r="AH685" s="278" cm="1">
        <f t="array" aca="1" ref="AH685" ca="1">INDIRECT("'"&amp;$C685&amp;"'!"&amp;"$"&amp;$D685&amp;$AH$1&amp;"")</f>
        <v>0</v>
      </c>
      <c r="AI685" s="281" t="s">
        <v>1</v>
      </c>
      <c r="AJ685" s="281" t="s">
        <v>1</v>
      </c>
      <c r="AK685" s="279" t="s">
        <v>1</v>
      </c>
      <c r="AL685" s="278">
        <v>11.6</v>
      </c>
      <c r="AM685" s="282">
        <v>70.599999999999994</v>
      </c>
      <c r="AN685" s="278" cm="1">
        <f t="array" aca="1" ref="AN685" ca="1">INDIRECT("'"&amp;$C685&amp;"'!"&amp;"$"&amp;$D685&amp;$AL$1&amp;"")</f>
        <v>3.5</v>
      </c>
      <c r="AO685" s="281">
        <v>0.99</v>
      </c>
      <c r="AP685" s="279">
        <v>0.4</v>
      </c>
      <c r="AQ685" s="280" cm="1">
        <f t="array" aca="1" ref="AQ685" ca="1">INDIRECT("'"&amp;$C685&amp;"'!"&amp;"$"&amp;$D685&amp;$AQ$1&amp;"")</f>
        <v>3.5</v>
      </c>
      <c r="AR685" s="281">
        <v>0.99</v>
      </c>
      <c r="AS685" s="279">
        <v>0.4</v>
      </c>
      <c r="AT685" s="278">
        <v>13.8</v>
      </c>
      <c r="AU685" s="282">
        <v>70.7</v>
      </c>
      <c r="AV685" s="281" cm="1">
        <f t="array" aca="1" ref="AV685" ca="1">INDIRECT("'"&amp;$C685&amp;"'!"&amp;"$"&amp;$D685&amp;$AV$1&amp;"")</f>
        <v>0</v>
      </c>
      <c r="AW685" s="280" t="s">
        <v>1</v>
      </c>
      <c r="AX685" s="281" t="s">
        <v>1</v>
      </c>
      <c r="AY685" s="279" t="s">
        <v>1</v>
      </c>
      <c r="AZ685" s="281" t="str" cm="1">
        <f t="array" aca="1" ref="AZ685" ca="1">INDIRECT("'"&amp;$C685&amp;"'!"&amp;"$"&amp;$D685&amp;$AZ$1&amp;"")</f>
        <v>CMS</v>
      </c>
      <c r="BA685" s="280" t="s">
        <v>1</v>
      </c>
      <c r="BB685" s="281" t="s">
        <v>1</v>
      </c>
      <c r="BC685" s="279" t="s">
        <v>1</v>
      </c>
      <c r="BD685" s="283">
        <v>14.06</v>
      </c>
      <c r="BE685" s="282">
        <v>71.61</v>
      </c>
      <c r="BF685" s="283" cm="1">
        <f t="array" aca="1" ref="BF685" ca="1">INDIRECT("'"&amp;$C685&amp;"'!"&amp;"$"&amp;$D685&amp;$BF$1&amp;"")</f>
        <v>14.23</v>
      </c>
      <c r="BG685" s="281">
        <v>1</v>
      </c>
      <c r="BH685" s="279">
        <v>1.3</v>
      </c>
      <c r="BI685" s="524">
        <v>69.099999999999994</v>
      </c>
      <c r="BJ685" s="278" cm="1">
        <f t="array" aca="1" ref="BJ685" ca="1">INDIRECT("'"&amp;$C685&amp;"'!"&amp;"$"&amp;$D685&amp;$BI$1&amp;"")</f>
        <v>0</v>
      </c>
      <c r="BK685" s="280" t="s">
        <v>1</v>
      </c>
      <c r="BL685" s="279" t="s">
        <v>1</v>
      </c>
      <c r="BM685" s="283" cm="1">
        <f t="array" aca="1" ref="BM685" ca="1">INDIRECT("'"&amp;$C685&amp;"'!"&amp;"$"&amp;$D685&amp;$BM$1&amp;"")</f>
        <v>0.92</v>
      </c>
      <c r="BN685" s="281"/>
      <c r="BO685" s="281">
        <v>0.99</v>
      </c>
      <c r="BP685" s="279">
        <v>0.1</v>
      </c>
      <c r="BQ685" s="283" cm="1">
        <f t="array" aca="1" ref="BQ685" ca="1">INDIRECT("'"&amp;$C685&amp;"'!"&amp;"$"&amp;$D685&amp;$BQ$1&amp;"")</f>
        <v>0.72</v>
      </c>
      <c r="BR685" s="281"/>
      <c r="BS685" s="281">
        <v>0.96</v>
      </c>
      <c r="BT685" s="279">
        <v>0.2</v>
      </c>
      <c r="BU685" s="284" cm="1">
        <f t="array" aca="1" ref="BU685" ca="1">INDIRECT("'"&amp;$C685&amp;"'!"&amp;"$"&amp;$D685&amp;74&amp;"")</f>
        <v>0</v>
      </c>
      <c r="BV685" s="281"/>
      <c r="BW685" s="281" t="s">
        <v>1</v>
      </c>
      <c r="BX685" s="279" t="s">
        <v>1</v>
      </c>
    </row>
    <row r="686" spans="1:76">
      <c r="A686" s="459">
        <v>45866</v>
      </c>
      <c r="B686" s="345">
        <v>0.25</v>
      </c>
      <c r="C686" s="305">
        <v>28</v>
      </c>
      <c r="D686" s="306" t="s">
        <v>148</v>
      </c>
      <c r="E686" s="285">
        <v>14.2</v>
      </c>
      <c r="F686" s="286">
        <v>69.98</v>
      </c>
      <c r="G686" s="287" t="str" cm="1">
        <f t="array" aca="1" ref="G686" ca="1">INDIRECT("'"&amp;$C686&amp;"'!"&amp;"$"&amp;$D686&amp;$E$1&amp;"")</f>
        <v>CMS</v>
      </c>
      <c r="H686" s="288" t="s">
        <v>1</v>
      </c>
      <c r="I686" s="286" t="s">
        <v>1</v>
      </c>
      <c r="J686" s="287" cm="1">
        <f t="array" aca="1" ref="J686" ca="1">INDIRECT("'"&amp;$C686&amp;"'!"&amp;"$"&amp;$D686&amp;$J$1&amp;"")</f>
        <v>6.7</v>
      </c>
      <c r="K686" s="288"/>
      <c r="L686" s="288">
        <v>0.98</v>
      </c>
      <c r="M686" s="286">
        <v>1.49</v>
      </c>
      <c r="N686" s="285" t="str" cm="1">
        <f t="array" aca="1" ref="N686" ca="1">INDIRECT("'"&amp;$C686&amp;"'!"&amp;"$"&amp;$D686&amp;$N$1&amp;"")</f>
        <v>CMS</v>
      </c>
      <c r="O686" s="288"/>
      <c r="P686" s="288" t="s">
        <v>1</v>
      </c>
      <c r="Q686" s="286" t="s">
        <v>1</v>
      </c>
      <c r="R686" s="285" cm="1">
        <f t="array" aca="1" ref="R686" ca="1">INDIRECT("'"&amp;$C686&amp;"'!"&amp;"$"&amp;$D686&amp;$R$1&amp;"")</f>
        <v>6.6</v>
      </c>
      <c r="S686" s="288"/>
      <c r="T686" s="288">
        <v>0.95</v>
      </c>
      <c r="U686" s="286">
        <v>2.2000000000000002</v>
      </c>
      <c r="V686" s="287" t="str" cm="1">
        <f t="array" aca="1" ref="V686" ca="1">INDIRECT("'"&amp;$C686&amp;"'!"&amp;"$"&amp;$D686&amp;$V$1&amp;"")</f>
        <v>CMS</v>
      </c>
      <c r="W686" s="288" t="s">
        <v>1</v>
      </c>
      <c r="X686" s="288" t="s">
        <v>1</v>
      </c>
      <c r="Y686" s="289" t="s">
        <v>1</v>
      </c>
      <c r="Z686" s="285" t="str" cm="1">
        <f t="array" aca="1" ref="Z686" ca="1">INDIRECT("'"&amp;$C686&amp;"'!"&amp;"$"&amp;$D686&amp;$Z$1&amp;"")</f>
        <v>CMS</v>
      </c>
      <c r="AA686" s="288" t="s">
        <v>1</v>
      </c>
      <c r="AB686" s="288" t="s">
        <v>1</v>
      </c>
      <c r="AC686" s="286" t="s">
        <v>1</v>
      </c>
      <c r="AD686" s="287" t="str" cm="1">
        <f t="array" aca="1" ref="AD686" ca="1">INDIRECT("'"&amp;$C686&amp;"'!"&amp;"$"&amp;$D686&amp;$AD$1&amp;"")</f>
        <v>CMS</v>
      </c>
      <c r="AE686" s="288" t="s">
        <v>1</v>
      </c>
      <c r="AF686" s="288" t="s">
        <v>1</v>
      </c>
      <c r="AG686" s="289" t="s">
        <v>1</v>
      </c>
      <c r="AH686" s="285" cm="1">
        <f t="array" aca="1" ref="AH686" ca="1">INDIRECT("'"&amp;$C686&amp;"'!"&amp;"$"&amp;$D686&amp;$AH$1&amp;"")</f>
        <v>0</v>
      </c>
      <c r="AI686" s="288" t="s">
        <v>1</v>
      </c>
      <c r="AJ686" s="288" t="s">
        <v>1</v>
      </c>
      <c r="AK686" s="286" t="s">
        <v>1</v>
      </c>
      <c r="AL686" s="285">
        <v>11.6</v>
      </c>
      <c r="AM686" s="289">
        <v>70.7</v>
      </c>
      <c r="AN686" s="285" cm="1">
        <f t="array" aca="1" ref="AN686" ca="1">INDIRECT("'"&amp;$C686&amp;"'!"&amp;"$"&amp;$D686&amp;$AL$1&amp;"")</f>
        <v>3</v>
      </c>
      <c r="AO686" s="288">
        <v>0.99</v>
      </c>
      <c r="AP686" s="286">
        <v>0.34</v>
      </c>
      <c r="AQ686" s="287" cm="1">
        <f t="array" aca="1" ref="AQ686" ca="1">INDIRECT("'"&amp;$C686&amp;"'!"&amp;"$"&amp;$D686&amp;$AQ$1&amp;"")</f>
        <v>3.6</v>
      </c>
      <c r="AR686" s="288">
        <v>0.99</v>
      </c>
      <c r="AS686" s="286">
        <v>0.43</v>
      </c>
      <c r="AT686" s="285">
        <v>13.86</v>
      </c>
      <c r="AU686" s="289">
        <v>70.7</v>
      </c>
      <c r="AV686" s="288" cm="1">
        <f t="array" aca="1" ref="AV686" ca="1">INDIRECT("'"&amp;$C686&amp;"'!"&amp;"$"&amp;$D686&amp;$AV$1&amp;"")</f>
        <v>0</v>
      </c>
      <c r="AW686" s="287" t="s">
        <v>1</v>
      </c>
      <c r="AX686" s="288" t="s">
        <v>1</v>
      </c>
      <c r="AY686" s="286" t="s">
        <v>1</v>
      </c>
      <c r="AZ686" s="288" cm="1">
        <f t="array" aca="1" ref="AZ686" ca="1">INDIRECT("'"&amp;$C686&amp;"'!"&amp;"$"&amp;$D686&amp;$AZ$1&amp;"")</f>
        <v>2.7</v>
      </c>
      <c r="BA686" s="287" t="s">
        <v>1</v>
      </c>
      <c r="BB686" s="288">
        <v>0.97</v>
      </c>
      <c r="BC686" s="286">
        <v>0.75</v>
      </c>
      <c r="BD686" s="290">
        <v>14.03</v>
      </c>
      <c r="BE686" s="289">
        <v>71.38</v>
      </c>
      <c r="BF686" s="290" cm="1">
        <f t="array" aca="1" ref="BF686" ca="1">INDIRECT("'"&amp;$C686&amp;"'!"&amp;"$"&amp;$D686&amp;$BF$1&amp;"")</f>
        <v>14.24</v>
      </c>
      <c r="BG686" s="288">
        <v>1</v>
      </c>
      <c r="BH686" s="286">
        <v>1.2</v>
      </c>
      <c r="BI686" s="525">
        <v>68.900000000000006</v>
      </c>
      <c r="BJ686" s="285" cm="1">
        <f t="array" aca="1" ref="BJ686" ca="1">INDIRECT("'"&amp;$C686&amp;"'!"&amp;"$"&amp;$D686&amp;$BI$1&amp;"")</f>
        <v>2.2000000000000002</v>
      </c>
      <c r="BK686" s="287">
        <v>0.98</v>
      </c>
      <c r="BL686" s="286">
        <v>0.45</v>
      </c>
      <c r="BM686" s="290" cm="1">
        <f t="array" aca="1" ref="BM686" ca="1">INDIRECT("'"&amp;$C686&amp;"'!"&amp;"$"&amp;$D686&amp;$BM$1&amp;"")</f>
        <v>1.26</v>
      </c>
      <c r="BN686" s="288"/>
      <c r="BO686" s="288">
        <v>0.99</v>
      </c>
      <c r="BP686" s="286">
        <v>0.15</v>
      </c>
      <c r="BQ686" s="290" cm="1">
        <f t="array" aca="1" ref="BQ686" ca="1">INDIRECT("'"&amp;$C686&amp;"'!"&amp;"$"&amp;$D686&amp;$BQ$1&amp;"")</f>
        <v>0.83</v>
      </c>
      <c r="BR686" s="288"/>
      <c r="BS686" s="288">
        <v>0.97</v>
      </c>
      <c r="BT686" s="286">
        <v>0.2</v>
      </c>
      <c r="BU686" s="291" cm="1">
        <f t="array" aca="1" ref="BU686" ca="1">INDIRECT("'"&amp;$C686&amp;"'!"&amp;"$"&amp;$D686&amp;74&amp;"")</f>
        <v>0</v>
      </c>
      <c r="BV686" s="288"/>
      <c r="BW686" s="288" t="s">
        <v>1</v>
      </c>
      <c r="BX686" s="286" t="s">
        <v>1</v>
      </c>
    </row>
    <row r="687" spans="1:76">
      <c r="A687" s="459">
        <v>45866</v>
      </c>
      <c r="B687" s="345">
        <v>0.29166666666666702</v>
      </c>
      <c r="C687" s="305">
        <v>28</v>
      </c>
      <c r="D687" s="306" t="s">
        <v>149</v>
      </c>
      <c r="E687" s="278">
        <v>14.1</v>
      </c>
      <c r="F687" s="279">
        <v>69.59</v>
      </c>
      <c r="G687" s="280" t="str" cm="1">
        <f t="array" aca="1" ref="G687" ca="1">INDIRECT("'"&amp;$C687&amp;"'!"&amp;"$"&amp;$D687&amp;$E$1&amp;"")</f>
        <v>CMS</v>
      </c>
      <c r="H687" s="281" t="s">
        <v>1</v>
      </c>
      <c r="I687" s="279" t="s">
        <v>1</v>
      </c>
      <c r="J687" s="280" cm="1">
        <f t="array" aca="1" ref="J687" ca="1">INDIRECT("'"&amp;$C687&amp;"'!"&amp;"$"&amp;$D687&amp;$J$1&amp;"")</f>
        <v>5.7</v>
      </c>
      <c r="K687" s="281"/>
      <c r="L687" s="281">
        <v>0.97</v>
      </c>
      <c r="M687" s="282">
        <v>1.43</v>
      </c>
      <c r="N687" s="278" cm="1">
        <f t="array" aca="1" ref="N687" ca="1">INDIRECT("'"&amp;$C687&amp;"'!"&amp;"$"&amp;$D687&amp;$N$1&amp;"")</f>
        <v>5.2</v>
      </c>
      <c r="O687" s="281"/>
      <c r="P687" s="281">
        <v>0.96</v>
      </c>
      <c r="Q687" s="279">
        <v>1.59</v>
      </c>
      <c r="R687" s="468" cm="1">
        <f t="array" aca="1" ref="R687" ca="1">INDIRECT("'"&amp;$C687&amp;"'!"&amp;"$"&amp;$D687&amp;$R$1&amp;"")</f>
        <v>2.1</v>
      </c>
      <c r="S687" s="281"/>
      <c r="T687" s="281">
        <v>0.93</v>
      </c>
      <c r="U687" s="279">
        <v>0.83</v>
      </c>
      <c r="V687" s="280" t="str" cm="1">
        <f t="array" aca="1" ref="V687" ca="1">INDIRECT("'"&amp;$C687&amp;"'!"&amp;"$"&amp;$D687&amp;$V$1&amp;"")</f>
        <v>CMS</v>
      </c>
      <c r="W687" s="281" t="s">
        <v>1</v>
      </c>
      <c r="X687" s="281" t="s">
        <v>1</v>
      </c>
      <c r="Y687" s="282" t="s">
        <v>1</v>
      </c>
      <c r="Z687" s="278" t="str" cm="1">
        <f t="array" aca="1" ref="Z687" ca="1">INDIRECT("'"&amp;$C687&amp;"'!"&amp;"$"&amp;$D687&amp;$Z$1&amp;"")</f>
        <v>CMS</v>
      </c>
      <c r="AA687" s="281" t="s">
        <v>1</v>
      </c>
      <c r="AB687" s="281" t="s">
        <v>1</v>
      </c>
      <c r="AC687" s="279" t="s">
        <v>1</v>
      </c>
      <c r="AD687" s="280" t="str" cm="1">
        <f t="array" aca="1" ref="AD687" ca="1">INDIRECT("'"&amp;$C687&amp;"'!"&amp;"$"&amp;$D687&amp;$AD$1&amp;"")</f>
        <v>CMS</v>
      </c>
      <c r="AE687" s="281" t="s">
        <v>1</v>
      </c>
      <c r="AF687" s="281" t="s">
        <v>1</v>
      </c>
      <c r="AG687" s="282" t="s">
        <v>1</v>
      </c>
      <c r="AH687" s="278" cm="1">
        <f t="array" aca="1" ref="AH687" ca="1">INDIRECT("'"&amp;$C687&amp;"'!"&amp;"$"&amp;$D687&amp;$AH$1&amp;"")</f>
        <v>2</v>
      </c>
      <c r="AI687" s="281">
        <v>14</v>
      </c>
      <c r="AJ687" s="281">
        <v>0.99</v>
      </c>
      <c r="AK687" s="279">
        <v>0.186</v>
      </c>
      <c r="AL687" s="278">
        <v>11.6</v>
      </c>
      <c r="AM687" s="282">
        <v>70.7</v>
      </c>
      <c r="AN687" s="278" cm="1">
        <f t="array" aca="1" ref="AN687" ca="1">INDIRECT("'"&amp;$C687&amp;"'!"&amp;"$"&amp;$D687&amp;$AL$1&amp;"")</f>
        <v>1.5</v>
      </c>
      <c r="AO687" s="281">
        <v>0.96</v>
      </c>
      <c r="AP687" s="279">
        <v>0.44</v>
      </c>
      <c r="AQ687" s="280" cm="1">
        <f t="array" aca="1" ref="AQ687" ca="1">INDIRECT("'"&amp;$C687&amp;"'!"&amp;"$"&amp;$D687&amp;$AQ$1&amp;"")</f>
        <v>1.5</v>
      </c>
      <c r="AR687" s="281">
        <v>0.96</v>
      </c>
      <c r="AS687" s="279">
        <v>0.44</v>
      </c>
      <c r="AT687" s="278">
        <v>13.85</v>
      </c>
      <c r="AU687" s="282">
        <v>70.7</v>
      </c>
      <c r="AV687" s="281" cm="1">
        <f t="array" aca="1" ref="AV687" ca="1">INDIRECT("'"&amp;$C687&amp;"'!"&amp;"$"&amp;$D687&amp;$AV$1&amp;"")</f>
        <v>0</v>
      </c>
      <c r="AW687" s="280" t="s">
        <v>1</v>
      </c>
      <c r="AX687" s="281" t="s">
        <v>1</v>
      </c>
      <c r="AY687" s="279" t="s">
        <v>1</v>
      </c>
      <c r="AZ687" s="281" cm="1">
        <f t="array" aca="1" ref="AZ687" ca="1">INDIRECT("'"&amp;$C687&amp;"'!"&amp;"$"&amp;$D687&amp;$AZ$1&amp;"")</f>
        <v>2.7</v>
      </c>
      <c r="BA687" s="280" t="s">
        <v>1</v>
      </c>
      <c r="BB687" s="281">
        <v>0.95</v>
      </c>
      <c r="BC687" s="279">
        <v>0.92</v>
      </c>
      <c r="BD687" s="283">
        <v>14.13</v>
      </c>
      <c r="BE687" s="282">
        <v>71.81</v>
      </c>
      <c r="BF687" s="283" cm="1">
        <f t="array" aca="1" ref="BF687" ca="1">INDIRECT("'"&amp;$C687&amp;"'!"&amp;"$"&amp;$D687&amp;$BF$1&amp;"")</f>
        <v>14.26</v>
      </c>
      <c r="BG687" s="281">
        <v>1</v>
      </c>
      <c r="BH687" s="279">
        <v>1.3</v>
      </c>
      <c r="BI687" s="524">
        <v>68.599999999999994</v>
      </c>
      <c r="BJ687" s="278" cm="1">
        <f t="array" aca="1" ref="BJ687" ca="1">INDIRECT("'"&amp;$C687&amp;"'!"&amp;"$"&amp;$D687&amp;$BI$1&amp;"")</f>
        <v>0</v>
      </c>
      <c r="BK687" s="280" t="s">
        <v>1</v>
      </c>
      <c r="BL687" s="279" t="s">
        <v>1</v>
      </c>
      <c r="BM687" s="283" cm="1">
        <f t="array" aca="1" ref="BM687" ca="1">INDIRECT("'"&amp;$C687&amp;"'!"&amp;"$"&amp;$D687&amp;$BM$1&amp;"")</f>
        <v>1.0900000000000001</v>
      </c>
      <c r="BN687" s="281"/>
      <c r="BO687" s="281">
        <v>0.99</v>
      </c>
      <c r="BP687" s="279">
        <v>0.14000000000000001</v>
      </c>
      <c r="BQ687" s="284" cm="1">
        <f t="array" aca="1" ref="BQ687" ca="1">INDIRECT("'"&amp;$C687&amp;"'!"&amp;"$"&amp;$D687&amp;$BQ$1&amp;"")</f>
        <v>0.73</v>
      </c>
      <c r="BR687" s="281"/>
      <c r="BS687" s="281">
        <v>0.96</v>
      </c>
      <c r="BT687" s="279">
        <v>0.2</v>
      </c>
      <c r="BU687" s="284" cm="1">
        <f t="array" aca="1" ref="BU687" ca="1">INDIRECT("'"&amp;$C687&amp;"'!"&amp;"$"&amp;$D687&amp;74&amp;"")</f>
        <v>0</v>
      </c>
      <c r="BV687" s="281"/>
      <c r="BW687" s="281" t="s">
        <v>1</v>
      </c>
      <c r="BX687" s="279" t="s">
        <v>1</v>
      </c>
    </row>
    <row r="688" spans="1:76">
      <c r="A688" s="459">
        <v>45866</v>
      </c>
      <c r="B688" s="345">
        <v>0.33333333333333398</v>
      </c>
      <c r="C688" s="305">
        <v>28</v>
      </c>
      <c r="D688" s="306" t="s">
        <v>150</v>
      </c>
      <c r="E688" s="285">
        <v>13.9</v>
      </c>
      <c r="F688" s="286">
        <v>68.7</v>
      </c>
      <c r="G688" s="287" t="str" cm="1">
        <f t="array" aca="1" ref="G688" ca="1">INDIRECT("'"&amp;$C688&amp;"'!"&amp;"$"&amp;$D688&amp;$E$1&amp;"")</f>
        <v>CMS</v>
      </c>
      <c r="H688" s="288" t="s">
        <v>1</v>
      </c>
      <c r="I688" s="286" t="s">
        <v>1</v>
      </c>
      <c r="J688" s="287" cm="1">
        <f t="array" aca="1" ref="J688" ca="1">INDIRECT("'"&amp;$C688&amp;"'!"&amp;"$"&amp;$D688&amp;$J$1&amp;"")</f>
        <v>6.8</v>
      </c>
      <c r="K688" s="288"/>
      <c r="L688" s="288">
        <v>0.92</v>
      </c>
      <c r="M688" s="289">
        <v>2.96</v>
      </c>
      <c r="N688" s="285" cm="1">
        <f t="array" aca="1" ref="N688" ca="1">INDIRECT("'"&amp;$C688&amp;"'!"&amp;"$"&amp;$D688&amp;$N$1&amp;"")</f>
        <v>6.8</v>
      </c>
      <c r="O688" s="288"/>
      <c r="P688" s="288">
        <v>0.92</v>
      </c>
      <c r="Q688" s="286">
        <v>2.96</v>
      </c>
      <c r="R688" s="285" cm="1">
        <f t="array" aca="1" ref="R688" ca="1">INDIRECT("'"&amp;$C688&amp;"'!"&amp;"$"&amp;$D688&amp;$R$1&amp;"")</f>
        <v>0</v>
      </c>
      <c r="S688" s="288"/>
      <c r="T688" s="288" t="s">
        <v>1</v>
      </c>
      <c r="U688" s="286" t="s">
        <v>1</v>
      </c>
      <c r="V688" s="287" t="str" cm="1">
        <f t="array" aca="1" ref="V688" ca="1">INDIRECT("'"&amp;$C688&amp;"'!"&amp;"$"&amp;$D688&amp;$V$1&amp;"")</f>
        <v>CMS</v>
      </c>
      <c r="W688" s="288" t="s">
        <v>1</v>
      </c>
      <c r="X688" s="288" t="s">
        <v>1</v>
      </c>
      <c r="Y688" s="289" t="s">
        <v>1</v>
      </c>
      <c r="Z688" s="285" t="str" cm="1">
        <f t="array" aca="1" ref="Z688" ca="1">INDIRECT("'"&amp;$C688&amp;"'!"&amp;"$"&amp;$D688&amp;$Z$1&amp;"")</f>
        <v>CMS</v>
      </c>
      <c r="AA688" s="288" t="s">
        <v>1</v>
      </c>
      <c r="AB688" s="288" t="s">
        <v>1</v>
      </c>
      <c r="AC688" s="286" t="s">
        <v>1</v>
      </c>
      <c r="AD688" s="287" t="str" cm="1">
        <f t="array" aca="1" ref="AD688" ca="1">INDIRECT("'"&amp;$C688&amp;"'!"&amp;"$"&amp;$D688&amp;$AD$1&amp;"")</f>
        <v>CMS</v>
      </c>
      <c r="AE688" s="288" t="s">
        <v>1</v>
      </c>
      <c r="AF688" s="288" t="s">
        <v>1</v>
      </c>
      <c r="AG688" s="289" t="s">
        <v>1</v>
      </c>
      <c r="AH688" s="285" cm="1">
        <f t="array" aca="1" ref="AH688" ca="1">INDIRECT("'"&amp;$C688&amp;"'!"&amp;"$"&amp;$D688&amp;$AH$1&amp;"")</f>
        <v>2</v>
      </c>
      <c r="AI688" s="288">
        <v>14</v>
      </c>
      <c r="AJ688" s="288">
        <v>0.99</v>
      </c>
      <c r="AK688" s="286">
        <v>0.216</v>
      </c>
      <c r="AL688" s="285">
        <v>11.6</v>
      </c>
      <c r="AM688" s="289">
        <v>70.400000000000006</v>
      </c>
      <c r="AN688" s="285" cm="1">
        <f t="array" aca="1" ref="AN688" ca="1">INDIRECT("'"&amp;$C688&amp;"'!"&amp;"$"&amp;$D688&amp;$AL$1&amp;"")</f>
        <v>0</v>
      </c>
      <c r="AO688" s="288" t="s">
        <v>1</v>
      </c>
      <c r="AP688" s="286" t="s">
        <v>1</v>
      </c>
      <c r="AQ688" s="287" cm="1">
        <f t="array" aca="1" ref="AQ688" ca="1">INDIRECT("'"&amp;$C688&amp;"'!"&amp;"$"&amp;$D688&amp;$AQ$1&amp;"")</f>
        <v>3</v>
      </c>
      <c r="AR688" s="288">
        <v>0.95</v>
      </c>
      <c r="AS688" s="286">
        <v>0.97</v>
      </c>
      <c r="AT688" s="285">
        <v>13.87</v>
      </c>
      <c r="AU688" s="289">
        <v>70.8</v>
      </c>
      <c r="AV688" s="288" cm="1">
        <f t="array" aca="1" ref="AV688" ca="1">INDIRECT("'"&amp;$C688&amp;"'!"&amp;"$"&amp;$D688&amp;$AV$1&amp;"")</f>
        <v>0</v>
      </c>
      <c r="AW688" s="287" t="s">
        <v>1</v>
      </c>
      <c r="AX688" s="288" t="s">
        <v>1</v>
      </c>
      <c r="AY688" s="286" t="s">
        <v>1</v>
      </c>
      <c r="AZ688" s="288" cm="1">
        <f t="array" aca="1" ref="AZ688" ca="1">INDIRECT("'"&amp;$C688&amp;"'!"&amp;"$"&amp;$D688&amp;$AZ$1&amp;"")</f>
        <v>7</v>
      </c>
      <c r="BA688" s="287" t="s">
        <v>1</v>
      </c>
      <c r="BB688" s="288">
        <v>0.95</v>
      </c>
      <c r="BC688" s="286">
        <v>2.44</v>
      </c>
      <c r="BD688" s="290">
        <v>14.03</v>
      </c>
      <c r="BE688" s="289">
        <v>71.3</v>
      </c>
      <c r="BF688" s="290" cm="1">
        <f t="array" aca="1" ref="BF688" ca="1">INDIRECT("'"&amp;$C688&amp;"'!"&amp;"$"&amp;$D688&amp;$BF$1&amp;"")</f>
        <v>14.27</v>
      </c>
      <c r="BG688" s="288">
        <v>1</v>
      </c>
      <c r="BH688" s="286">
        <v>1.2</v>
      </c>
      <c r="BI688" s="525">
        <v>67.599999999999994</v>
      </c>
      <c r="BJ688" s="285" cm="1">
        <f t="array" aca="1" ref="BJ688" ca="1">INDIRECT("'"&amp;$C688&amp;"'!"&amp;"$"&amp;$D688&amp;$BI$1&amp;"")</f>
        <v>0</v>
      </c>
      <c r="BK688" s="287" t="s">
        <v>1</v>
      </c>
      <c r="BL688" s="286" t="s">
        <v>1</v>
      </c>
      <c r="BM688" s="290" cm="1">
        <f t="array" aca="1" ref="BM688" ca="1">INDIRECT("'"&amp;$C688&amp;"'!"&amp;"$"&amp;$D688&amp;$BM$1&amp;"")</f>
        <v>1.1499999999999999</v>
      </c>
      <c r="BN688" s="288"/>
      <c r="BO688" s="288">
        <v>0.99</v>
      </c>
      <c r="BP688" s="286">
        <v>0.15</v>
      </c>
      <c r="BQ688" s="291" cm="1">
        <f t="array" aca="1" ref="BQ688" ca="1">INDIRECT("'"&amp;$C688&amp;"'!"&amp;"$"&amp;$D688&amp;$BQ$1&amp;"")</f>
        <v>0.72</v>
      </c>
      <c r="BR688" s="288"/>
      <c r="BS688" s="288">
        <v>0.96</v>
      </c>
      <c r="BT688" s="286">
        <v>0.21</v>
      </c>
      <c r="BU688" s="291" cm="1">
        <f t="array" aca="1" ref="BU688" ca="1">INDIRECT("'"&amp;$C688&amp;"'!"&amp;"$"&amp;$D688&amp;74&amp;"")</f>
        <v>0</v>
      </c>
      <c r="BV688" s="288"/>
      <c r="BW688" s="288" t="s">
        <v>1</v>
      </c>
      <c r="BX688" s="286" t="s">
        <v>1</v>
      </c>
    </row>
    <row r="689" spans="1:76">
      <c r="A689" s="459">
        <v>45866</v>
      </c>
      <c r="B689" s="345">
        <v>0.375</v>
      </c>
      <c r="C689" s="305">
        <v>28</v>
      </c>
      <c r="D689" s="306" t="s">
        <v>151</v>
      </c>
      <c r="E689" s="278">
        <v>14.2</v>
      </c>
      <c r="F689" s="279">
        <v>69.05</v>
      </c>
      <c r="G689" s="280" t="str" cm="1">
        <f t="array" aca="1" ref="G689" ca="1">INDIRECT("'"&amp;$C689&amp;"'!"&amp;"$"&amp;$D689&amp;$E$1&amp;"")</f>
        <v>CMS</v>
      </c>
      <c r="H689" s="281" t="s">
        <v>1</v>
      </c>
      <c r="I689" s="279" t="s">
        <v>1</v>
      </c>
      <c r="J689" s="280" cm="1">
        <f t="array" aca="1" ref="J689" ca="1">INDIRECT("'"&amp;$C689&amp;"'!"&amp;"$"&amp;$D689&amp;$J$1&amp;"")</f>
        <v>6.7</v>
      </c>
      <c r="K689" s="281"/>
      <c r="L689" s="281">
        <v>0.92</v>
      </c>
      <c r="M689" s="282">
        <v>2.88</v>
      </c>
      <c r="N689" s="278" cm="1">
        <f t="array" aca="1" ref="N689" ca="1">INDIRECT("'"&amp;$C689&amp;"'!"&amp;"$"&amp;$D689&amp;$N$1&amp;"")</f>
        <v>6.7</v>
      </c>
      <c r="O689" s="281"/>
      <c r="P689" s="281">
        <v>0.92</v>
      </c>
      <c r="Q689" s="279">
        <v>2.88</v>
      </c>
      <c r="R689" s="468" cm="1">
        <f t="array" aca="1" ref="R689" ca="1">INDIRECT("'"&amp;$C689&amp;"'!"&amp;"$"&amp;$D689&amp;$R$1&amp;"")</f>
        <v>6.7</v>
      </c>
      <c r="S689" s="281"/>
      <c r="T689" s="281">
        <v>0.92</v>
      </c>
      <c r="U689" s="279">
        <v>2.88</v>
      </c>
      <c r="V689" s="280" t="str" cm="1">
        <f t="array" aca="1" ref="V689" ca="1">INDIRECT("'"&amp;$C689&amp;"'!"&amp;"$"&amp;$D689&amp;$V$1&amp;"")</f>
        <v>CMS</v>
      </c>
      <c r="W689" s="281" t="s">
        <v>1</v>
      </c>
      <c r="X689" s="281" t="s">
        <v>1</v>
      </c>
      <c r="Y689" s="282" t="s">
        <v>1</v>
      </c>
      <c r="Z689" s="278" t="str" cm="1">
        <f t="array" aca="1" ref="Z689" ca="1">INDIRECT("'"&amp;$C689&amp;"'!"&amp;"$"&amp;$D689&amp;$Z$1&amp;"")</f>
        <v>CMS</v>
      </c>
      <c r="AA689" s="281" t="s">
        <v>1</v>
      </c>
      <c r="AB689" s="281" t="s">
        <v>1</v>
      </c>
      <c r="AC689" s="279" t="s">
        <v>1</v>
      </c>
      <c r="AD689" s="280" t="str" cm="1">
        <f t="array" aca="1" ref="AD689" ca="1">INDIRECT("'"&amp;$C689&amp;"'!"&amp;"$"&amp;$D689&amp;$AD$1&amp;"")</f>
        <v>CMS</v>
      </c>
      <c r="AE689" s="281" t="s">
        <v>1</v>
      </c>
      <c r="AF689" s="281" t="s">
        <v>1</v>
      </c>
      <c r="AG689" s="282" t="s">
        <v>1</v>
      </c>
      <c r="AH689" s="278" cm="1">
        <f t="array" aca="1" ref="AH689" ca="1">INDIRECT("'"&amp;$C689&amp;"'!"&amp;"$"&amp;$D689&amp;$AH$1&amp;"")</f>
        <v>3.8</v>
      </c>
      <c r="AI689" s="281">
        <v>14.08</v>
      </c>
      <c r="AJ689" s="281">
        <v>0.97</v>
      </c>
      <c r="AK689" s="279">
        <v>0.61499999999999999</v>
      </c>
      <c r="AL689" s="278">
        <v>11.6</v>
      </c>
      <c r="AM689" s="282">
        <v>70.5</v>
      </c>
      <c r="AN689" s="278" cm="1">
        <f t="array" aca="1" ref="AN689" ca="1">INDIRECT("'"&amp;$C689&amp;"'!"&amp;"$"&amp;$D689&amp;$AL$1&amp;"")</f>
        <v>0</v>
      </c>
      <c r="AO689" s="281" t="s">
        <v>1</v>
      </c>
      <c r="AP689" s="279" t="s">
        <v>1</v>
      </c>
      <c r="AQ689" s="280" cm="1">
        <f t="array" aca="1" ref="AQ689" ca="1">INDIRECT("'"&amp;$C689&amp;"'!"&amp;"$"&amp;$D689&amp;$AQ$1&amp;"")</f>
        <v>3.8</v>
      </c>
      <c r="AR689" s="281">
        <v>0.98</v>
      </c>
      <c r="AS689" s="279">
        <v>0.7</v>
      </c>
      <c r="AT689" s="278">
        <v>14</v>
      </c>
      <c r="AU689" s="282">
        <v>70.8</v>
      </c>
      <c r="AV689" s="281" cm="1">
        <f t="array" aca="1" ref="AV689" ca="1">INDIRECT("'"&amp;$C689&amp;"'!"&amp;"$"&amp;$D689&amp;$AV$1&amp;"")</f>
        <v>0</v>
      </c>
      <c r="AW689" s="280" t="s">
        <v>1</v>
      </c>
      <c r="AX689" s="281" t="s">
        <v>1</v>
      </c>
      <c r="AY689" s="279" t="s">
        <v>1</v>
      </c>
      <c r="AZ689" s="281" cm="1">
        <f t="array" aca="1" ref="AZ689" ca="1">INDIRECT("'"&amp;$C689&amp;"'!"&amp;"$"&amp;$D689&amp;$AZ$1&amp;"")</f>
        <v>7</v>
      </c>
      <c r="BA689" s="280" t="s">
        <v>1</v>
      </c>
      <c r="BB689" s="281">
        <v>0.9</v>
      </c>
      <c r="BC689" s="279">
        <v>3.8</v>
      </c>
      <c r="BD689" s="283">
        <v>14.13</v>
      </c>
      <c r="BE689" s="282">
        <v>71.31</v>
      </c>
      <c r="BF689" s="283" cm="1">
        <f t="array" aca="1" ref="BF689" ca="1">INDIRECT("'"&amp;$C689&amp;"'!"&amp;"$"&amp;$D689&amp;$BF$1&amp;"")</f>
        <v>14.27</v>
      </c>
      <c r="BG689" s="281">
        <v>0.99</v>
      </c>
      <c r="BH689" s="279">
        <v>2.1</v>
      </c>
      <c r="BI689" s="524">
        <v>67.099999999999994</v>
      </c>
      <c r="BJ689" s="278" cm="1">
        <f t="array" aca="1" ref="BJ689" ca="1">INDIRECT("'"&amp;$C689&amp;"'!"&amp;"$"&amp;$D689&amp;$BI$1&amp;"")</f>
        <v>2.2000000000000002</v>
      </c>
      <c r="BK689" s="280">
        <v>0.96</v>
      </c>
      <c r="BL689" s="279">
        <v>0.64</v>
      </c>
      <c r="BM689" s="283" cm="1">
        <f t="array" aca="1" ref="BM689" ca="1">INDIRECT("'"&amp;$C689&amp;"'!"&amp;"$"&amp;$D689&amp;$BM$1&amp;"")</f>
        <v>1.32</v>
      </c>
      <c r="BN689" s="281"/>
      <c r="BO689" s="281">
        <v>0.99</v>
      </c>
      <c r="BP689" s="279">
        <v>0.17</v>
      </c>
      <c r="BQ689" s="284" cm="1">
        <f t="array" aca="1" ref="BQ689" ca="1">INDIRECT("'"&amp;$C689&amp;"'!"&amp;"$"&amp;$D689&amp;$BQ$1&amp;"")</f>
        <v>0.8</v>
      </c>
      <c r="BR689" s="281"/>
      <c r="BS689" s="281">
        <v>0.96</v>
      </c>
      <c r="BT689" s="279">
        <v>0.22</v>
      </c>
      <c r="BU689" s="284" cm="1">
        <f t="array" aca="1" ref="BU689" ca="1">INDIRECT("'"&amp;$C689&amp;"'!"&amp;"$"&amp;$D689&amp;74&amp;"")</f>
        <v>0</v>
      </c>
      <c r="BV689" s="281"/>
      <c r="BW689" s="281" t="s">
        <v>1</v>
      </c>
      <c r="BX689" s="279" t="s">
        <v>1</v>
      </c>
    </row>
    <row r="690" spans="1:76">
      <c r="A690" s="459">
        <v>45866</v>
      </c>
      <c r="B690" s="345">
        <v>0.41666666666666702</v>
      </c>
      <c r="C690" s="305">
        <v>28</v>
      </c>
      <c r="D690" s="306" t="s">
        <v>152</v>
      </c>
      <c r="E690" s="285">
        <v>14.1</v>
      </c>
      <c r="F690" s="286">
        <v>68.42</v>
      </c>
      <c r="G690" s="287" t="str" cm="1">
        <f t="array" aca="1" ref="G690" ca="1">INDIRECT("'"&amp;$C690&amp;"'!"&amp;"$"&amp;$D690&amp;$E$1&amp;"")</f>
        <v>CMS</v>
      </c>
      <c r="H690" s="288" t="s">
        <v>1</v>
      </c>
      <c r="I690" s="286" t="s">
        <v>1</v>
      </c>
      <c r="J690" s="287" cm="1">
        <f t="array" aca="1" ref="J690" ca="1">INDIRECT("'"&amp;$C690&amp;"'!"&amp;"$"&amp;$D690&amp;$J$1&amp;"")</f>
        <v>6.6</v>
      </c>
      <c r="K690" s="288"/>
      <c r="L690" s="288">
        <v>0.91</v>
      </c>
      <c r="M690" s="289">
        <v>3.02</v>
      </c>
      <c r="N690" s="285" cm="1">
        <f t="array" aca="1" ref="N690" ca="1">INDIRECT("'"&amp;$C690&amp;"'!"&amp;"$"&amp;$D690&amp;$N$1&amp;"")</f>
        <v>6.6</v>
      </c>
      <c r="O690" s="288"/>
      <c r="P690" s="288">
        <v>0.91</v>
      </c>
      <c r="Q690" s="286">
        <v>3.02</v>
      </c>
      <c r="R690" s="285" cm="1">
        <f t="array" aca="1" ref="R690" ca="1">INDIRECT("'"&amp;$C690&amp;"'!"&amp;"$"&amp;$D690&amp;$R$1&amp;"")</f>
        <v>6.6</v>
      </c>
      <c r="S690" s="288"/>
      <c r="T690" s="288">
        <v>0.91</v>
      </c>
      <c r="U690" s="286">
        <v>3.02</v>
      </c>
      <c r="V690" s="287" t="str" cm="1">
        <f t="array" aca="1" ref="V690" ca="1">INDIRECT("'"&amp;$C690&amp;"'!"&amp;"$"&amp;$D690&amp;$V$1&amp;"")</f>
        <v>CMS</v>
      </c>
      <c r="W690" s="288" t="s">
        <v>1</v>
      </c>
      <c r="X690" s="288" t="s">
        <v>1</v>
      </c>
      <c r="Y690" s="289" t="s">
        <v>1</v>
      </c>
      <c r="Z690" s="285" t="str" cm="1">
        <f t="array" aca="1" ref="Z690" ca="1">INDIRECT("'"&amp;$C690&amp;"'!"&amp;"$"&amp;$D690&amp;$Z$1&amp;"")</f>
        <v>CMS</v>
      </c>
      <c r="AA690" s="288" t="s">
        <v>1</v>
      </c>
      <c r="AB690" s="288" t="s">
        <v>1</v>
      </c>
      <c r="AC690" s="286" t="s">
        <v>1</v>
      </c>
      <c r="AD690" s="287" t="str" cm="1">
        <f t="array" aca="1" ref="AD690" ca="1">INDIRECT("'"&amp;$C690&amp;"'!"&amp;"$"&amp;$D690&amp;$AD$1&amp;"")</f>
        <v>CMS</v>
      </c>
      <c r="AE690" s="288" t="s">
        <v>1</v>
      </c>
      <c r="AF690" s="288" t="s">
        <v>1</v>
      </c>
      <c r="AG690" s="289" t="s">
        <v>1</v>
      </c>
      <c r="AH690" s="285" cm="1">
        <f t="array" aca="1" ref="AH690" ca="1">INDIRECT("'"&amp;$C690&amp;"'!"&amp;"$"&amp;$D690&amp;$AH$1&amp;"")</f>
        <v>3.8</v>
      </c>
      <c r="AI690" s="288">
        <v>14.08</v>
      </c>
      <c r="AJ690" s="288">
        <v>0.97</v>
      </c>
      <c r="AK690" s="286">
        <v>0.63400000000000001</v>
      </c>
      <c r="AL690" s="285">
        <v>11.6</v>
      </c>
      <c r="AM690" s="289">
        <v>70.5</v>
      </c>
      <c r="AN690" s="285" cm="1">
        <f t="array" aca="1" ref="AN690" ca="1">INDIRECT("'"&amp;$C690&amp;"'!"&amp;"$"&amp;$D690&amp;$AL$1&amp;"")</f>
        <v>0</v>
      </c>
      <c r="AO690" s="288" t="s">
        <v>1</v>
      </c>
      <c r="AP690" s="286" t="s">
        <v>1</v>
      </c>
      <c r="AQ690" s="287" cm="1">
        <f t="array" aca="1" ref="AQ690" ca="1">INDIRECT("'"&amp;$C690&amp;"'!"&amp;"$"&amp;$D690&amp;$AQ$1&amp;"")</f>
        <v>3.8</v>
      </c>
      <c r="AR690" s="288">
        <v>0.96</v>
      </c>
      <c r="AS690" s="286">
        <v>1</v>
      </c>
      <c r="AT690" s="285">
        <v>14</v>
      </c>
      <c r="AU690" s="289">
        <v>70.8</v>
      </c>
      <c r="AV690" s="288" cm="1">
        <f t="array" aca="1" ref="AV690" ca="1">INDIRECT("'"&amp;$C690&amp;"'!"&amp;"$"&amp;$D690&amp;$AV$1&amp;"")</f>
        <v>3.5</v>
      </c>
      <c r="AW690" s="287" t="s">
        <v>1</v>
      </c>
      <c r="AX690" s="288">
        <v>0.9</v>
      </c>
      <c r="AY690" s="286">
        <v>2.4</v>
      </c>
      <c r="AZ690" s="288" cm="1">
        <f t="array" aca="1" ref="AZ690" ca="1">INDIRECT("'"&amp;$C690&amp;"'!"&amp;"$"&amp;$D690&amp;$AZ$1&amp;"")</f>
        <v>7</v>
      </c>
      <c r="BA690" s="287" t="s">
        <v>1</v>
      </c>
      <c r="BB690" s="288">
        <v>0.97</v>
      </c>
      <c r="BC690" s="286">
        <v>0.91</v>
      </c>
      <c r="BD690" s="290">
        <v>14.24</v>
      </c>
      <c r="BE690" s="289">
        <v>71.569999999999993</v>
      </c>
      <c r="BF690" s="290" cm="1">
        <f t="array" aca="1" ref="BF690" ca="1">INDIRECT("'"&amp;$C690&amp;"'!"&amp;"$"&amp;$D690&amp;$BF$1&amp;"")</f>
        <v>14.26</v>
      </c>
      <c r="BG690" s="288">
        <v>0.98</v>
      </c>
      <c r="BH690" s="286">
        <v>3.4</v>
      </c>
      <c r="BI690" s="525">
        <v>66.8</v>
      </c>
      <c r="BJ690" s="285" cm="1">
        <f t="array" aca="1" ref="BJ690" ca="1">INDIRECT("'"&amp;$C690&amp;"'!"&amp;"$"&amp;$D690&amp;$BI$1&amp;"")</f>
        <v>3</v>
      </c>
      <c r="BK690" s="287">
        <v>0.96</v>
      </c>
      <c r="BL690" s="286">
        <v>0.87</v>
      </c>
      <c r="BM690" s="290" cm="1">
        <f t="array" aca="1" ref="BM690" ca="1">INDIRECT("'"&amp;$C690&amp;"'!"&amp;"$"&amp;$D690&amp;$BM$1&amp;"")</f>
        <v>1.41</v>
      </c>
      <c r="BN690" s="288"/>
      <c r="BO690" s="288">
        <v>0.99</v>
      </c>
      <c r="BP690" s="286">
        <v>0.21</v>
      </c>
      <c r="BQ690" s="291" cm="1">
        <f t="array" aca="1" ref="BQ690" ca="1">INDIRECT("'"&amp;$C690&amp;"'!"&amp;"$"&amp;$D690&amp;$BQ$1&amp;"")</f>
        <v>0.85</v>
      </c>
      <c r="BR690" s="288"/>
      <c r="BS690" s="288">
        <v>0.96</v>
      </c>
      <c r="BT690" s="286">
        <v>0.24</v>
      </c>
      <c r="BU690" s="291" cm="1">
        <f t="array" aca="1" ref="BU690" ca="1">INDIRECT("'"&amp;$C690&amp;"'!"&amp;"$"&amp;$D690&amp;74&amp;"")</f>
        <v>0</v>
      </c>
      <c r="BV690" s="288"/>
      <c r="BW690" s="288" t="s">
        <v>1</v>
      </c>
      <c r="BX690" s="286" t="s">
        <v>1</v>
      </c>
    </row>
    <row r="691" spans="1:76">
      <c r="A691" s="459">
        <v>45866</v>
      </c>
      <c r="B691" s="345">
        <v>0.45833333333333398</v>
      </c>
      <c r="C691" s="305">
        <v>28</v>
      </c>
      <c r="D691" s="306" t="s">
        <v>153</v>
      </c>
      <c r="E691" s="278">
        <v>14.1</v>
      </c>
      <c r="F691" s="279">
        <v>68.680000000000007</v>
      </c>
      <c r="G691" s="280" t="str" cm="1">
        <f t="array" aca="1" ref="G691" ca="1">INDIRECT("'"&amp;$C691&amp;"'!"&amp;"$"&amp;$D691&amp;$E$1&amp;"")</f>
        <v>CMS</v>
      </c>
      <c r="H691" s="281" t="s">
        <v>1</v>
      </c>
      <c r="I691" s="279" t="s">
        <v>1</v>
      </c>
      <c r="J691" s="280" cm="1">
        <f t="array" aca="1" ref="J691" ca="1">INDIRECT("'"&amp;$C691&amp;"'!"&amp;"$"&amp;$D691&amp;$J$1&amp;"")</f>
        <v>6.6</v>
      </c>
      <c r="K691" s="281"/>
      <c r="L691" s="281">
        <v>0.91</v>
      </c>
      <c r="M691" s="282">
        <v>2.88</v>
      </c>
      <c r="N691" s="278" cm="1">
        <f t="array" aca="1" ref="N691" ca="1">INDIRECT("'"&amp;$C691&amp;"'!"&amp;"$"&amp;$D691&amp;$N$1&amp;"")</f>
        <v>6.6</v>
      </c>
      <c r="O691" s="281"/>
      <c r="P691" s="281">
        <v>0.91</v>
      </c>
      <c r="Q691" s="279">
        <v>2.88</v>
      </c>
      <c r="R691" s="468" cm="1">
        <f t="array" aca="1" ref="R691" ca="1">INDIRECT("'"&amp;$C691&amp;"'!"&amp;"$"&amp;$D691&amp;$R$1&amp;"")</f>
        <v>6.6</v>
      </c>
      <c r="S691" s="281"/>
      <c r="T691" s="281">
        <v>0.91</v>
      </c>
      <c r="U691" s="279">
        <v>2.88</v>
      </c>
      <c r="V691" s="280" t="str" cm="1">
        <f t="array" aca="1" ref="V691" ca="1">INDIRECT("'"&amp;$C691&amp;"'!"&amp;"$"&amp;$D691&amp;$V$1&amp;"")</f>
        <v>CMS</v>
      </c>
      <c r="W691" s="281" t="s">
        <v>1</v>
      </c>
      <c r="X691" s="281" t="s">
        <v>1</v>
      </c>
      <c r="Y691" s="282" t="s">
        <v>1</v>
      </c>
      <c r="Z691" s="278" t="str" cm="1">
        <f t="array" aca="1" ref="Z691" ca="1">INDIRECT("'"&amp;$C691&amp;"'!"&amp;"$"&amp;$D691&amp;$Z$1&amp;"")</f>
        <v>CMS</v>
      </c>
      <c r="AA691" s="281" t="s">
        <v>1</v>
      </c>
      <c r="AB691" s="281" t="s">
        <v>1</v>
      </c>
      <c r="AC691" s="279" t="s">
        <v>1</v>
      </c>
      <c r="AD691" s="280" t="str" cm="1">
        <f t="array" aca="1" ref="AD691" ca="1">INDIRECT("'"&amp;$C691&amp;"'!"&amp;"$"&amp;$D691&amp;$AD$1&amp;"")</f>
        <v>CMS</v>
      </c>
      <c r="AE691" s="281" t="s">
        <v>1</v>
      </c>
      <c r="AF691" s="281" t="s">
        <v>1</v>
      </c>
      <c r="AG691" s="282" t="s">
        <v>1</v>
      </c>
      <c r="AH691" s="278" cm="1">
        <f t="array" aca="1" ref="AH691" ca="1">INDIRECT("'"&amp;$C691&amp;"'!"&amp;"$"&amp;$D691&amp;$AH$1&amp;"")</f>
        <v>3.8</v>
      </c>
      <c r="AI691" s="281">
        <v>14.12</v>
      </c>
      <c r="AJ691" s="281">
        <v>0.97</v>
      </c>
      <c r="AK691" s="279">
        <v>0.62</v>
      </c>
      <c r="AL691" s="278">
        <v>11.6</v>
      </c>
      <c r="AM691" s="282">
        <v>70.7</v>
      </c>
      <c r="AN691" s="278" cm="1">
        <f t="array" aca="1" ref="AN691" ca="1">INDIRECT("'"&amp;$C691&amp;"'!"&amp;"$"&amp;$D691&amp;$AL$1&amp;"")</f>
        <v>0</v>
      </c>
      <c r="AO691" s="281" t="s">
        <v>1</v>
      </c>
      <c r="AP691" s="279" t="s">
        <v>1</v>
      </c>
      <c r="AQ691" s="280" cm="1">
        <f t="array" aca="1" ref="AQ691" ca="1">INDIRECT("'"&amp;$C691&amp;"'!"&amp;"$"&amp;$D691&amp;$AQ$1&amp;"")</f>
        <v>3.7</v>
      </c>
      <c r="AR691" s="281">
        <v>0.95</v>
      </c>
      <c r="AS691" s="279">
        <v>1.5</v>
      </c>
      <c r="AT691" s="278">
        <v>14</v>
      </c>
      <c r="AU691" s="282">
        <v>70.8</v>
      </c>
      <c r="AV691" s="281" cm="1">
        <f t="array" aca="1" ref="AV691" ca="1">INDIRECT("'"&amp;$C691&amp;"'!"&amp;"$"&amp;$D691&amp;$AV$1&amp;"")</f>
        <v>3.8</v>
      </c>
      <c r="AW691" s="280" t="s">
        <v>1</v>
      </c>
      <c r="AX691" s="281">
        <v>0.92</v>
      </c>
      <c r="AY691" s="279">
        <v>1.66</v>
      </c>
      <c r="AZ691" s="281" cm="1">
        <f t="array" aca="1" ref="AZ691" ca="1">INDIRECT("'"&amp;$C691&amp;"'!"&amp;"$"&amp;$D691&amp;$AZ$1&amp;"")</f>
        <v>7</v>
      </c>
      <c r="BA691" s="280" t="s">
        <v>1</v>
      </c>
      <c r="BB691" s="281">
        <v>0.98</v>
      </c>
      <c r="BC691" s="279">
        <v>1.64</v>
      </c>
      <c r="BD691" s="283">
        <v>14.24</v>
      </c>
      <c r="BE691" s="282">
        <v>71.64</v>
      </c>
      <c r="BF691" s="283" cm="1">
        <f t="array" aca="1" ref="BF691" ca="1">INDIRECT("'"&amp;$C691&amp;"'!"&amp;"$"&amp;$D691&amp;$BF$1&amp;"")</f>
        <v>14.25</v>
      </c>
      <c r="BG691" s="281">
        <v>0.98</v>
      </c>
      <c r="BH691" s="279">
        <v>3.4</v>
      </c>
      <c r="BI691" s="524">
        <v>67</v>
      </c>
      <c r="BJ691" s="278" cm="1">
        <f t="array" aca="1" ref="BJ691" ca="1">INDIRECT("'"&amp;$C691&amp;"'!"&amp;"$"&amp;$D691&amp;$BI$1&amp;"")</f>
        <v>4.5999999999999996</v>
      </c>
      <c r="BK691" s="280">
        <v>0.95</v>
      </c>
      <c r="BL691" s="279">
        <v>1.5</v>
      </c>
      <c r="BM691" s="283" cm="1">
        <f t="array" aca="1" ref="BM691" ca="1">INDIRECT("'"&amp;$C691&amp;"'!"&amp;"$"&amp;$D691&amp;$BM$1&amp;"")</f>
        <v>1.5</v>
      </c>
      <c r="BN691" s="281"/>
      <c r="BO691" s="281">
        <v>0.99</v>
      </c>
      <c r="BP691" s="279">
        <v>0.21</v>
      </c>
      <c r="BQ691" s="284" cm="1">
        <f t="array" aca="1" ref="BQ691" ca="1">INDIRECT("'"&amp;$C691&amp;"'!"&amp;"$"&amp;$D691&amp;$BQ$1&amp;"")</f>
        <v>0.87</v>
      </c>
      <c r="BR691" s="281"/>
      <c r="BS691" s="281">
        <v>0.96</v>
      </c>
      <c r="BT691" s="279">
        <v>0.24</v>
      </c>
      <c r="BU691" s="284" cm="1">
        <f t="array" aca="1" ref="BU691" ca="1">INDIRECT("'"&amp;$C691&amp;"'!"&amp;"$"&amp;$D691&amp;74&amp;"")</f>
        <v>0</v>
      </c>
      <c r="BV691" s="281"/>
      <c r="BW691" s="281" t="s">
        <v>1</v>
      </c>
      <c r="BX691" s="279" t="s">
        <v>1</v>
      </c>
    </row>
    <row r="692" spans="1:76">
      <c r="A692" s="459">
        <v>45866</v>
      </c>
      <c r="B692" s="345">
        <v>0.5</v>
      </c>
      <c r="C692" s="305">
        <v>28</v>
      </c>
      <c r="D692" s="306" t="s">
        <v>154</v>
      </c>
      <c r="E692" s="285">
        <v>14.2</v>
      </c>
      <c r="F692" s="286">
        <v>68.72</v>
      </c>
      <c r="G692" s="287" t="str" cm="1">
        <f t="array" aca="1" ref="G692" ca="1">INDIRECT("'"&amp;$C692&amp;"'!"&amp;"$"&amp;$D692&amp;$E$1&amp;"")</f>
        <v>CMS</v>
      </c>
      <c r="H692" s="288" t="s">
        <v>1</v>
      </c>
      <c r="I692" s="286" t="s">
        <v>1</v>
      </c>
      <c r="J692" s="287" cm="1">
        <f t="array" aca="1" ref="J692" ca="1">INDIRECT("'"&amp;$C692&amp;"'!"&amp;"$"&amp;$D692&amp;$J$1&amp;"")</f>
        <v>6.6</v>
      </c>
      <c r="K692" s="288"/>
      <c r="L692" s="288">
        <v>0.91</v>
      </c>
      <c r="M692" s="289">
        <v>3.03</v>
      </c>
      <c r="N692" s="285" cm="1">
        <f t="array" aca="1" ref="N692" ca="1">INDIRECT("'"&amp;$C692&amp;"'!"&amp;"$"&amp;$D692&amp;$N$1&amp;"")</f>
        <v>6.6</v>
      </c>
      <c r="O692" s="288"/>
      <c r="P692" s="288">
        <v>0.91</v>
      </c>
      <c r="Q692" s="289">
        <v>3.03</v>
      </c>
      <c r="R692" s="285" cm="1">
        <f t="array" aca="1" ref="R692" ca="1">INDIRECT("'"&amp;$C692&amp;"'!"&amp;"$"&amp;$D692&amp;$R$1&amp;"")</f>
        <v>6.6</v>
      </c>
      <c r="S692" s="288"/>
      <c r="T692" s="288">
        <v>0.91</v>
      </c>
      <c r="U692" s="286">
        <v>3.03</v>
      </c>
      <c r="V692" s="287" t="str" cm="1">
        <f t="array" aca="1" ref="V692" ca="1">INDIRECT("'"&amp;$C692&amp;"'!"&amp;"$"&amp;$D692&amp;$V$1&amp;"")</f>
        <v>CMS</v>
      </c>
      <c r="W692" s="288" t="s">
        <v>1</v>
      </c>
      <c r="X692" s="288" t="s">
        <v>1</v>
      </c>
      <c r="Y692" s="289" t="s">
        <v>1</v>
      </c>
      <c r="Z692" s="285" t="str" cm="1">
        <f t="array" aca="1" ref="Z692" ca="1">INDIRECT("'"&amp;$C692&amp;"'!"&amp;"$"&amp;$D692&amp;$Z$1&amp;"")</f>
        <v>CMS</v>
      </c>
      <c r="AA692" s="288" t="s">
        <v>1</v>
      </c>
      <c r="AB692" s="288" t="s">
        <v>1</v>
      </c>
      <c r="AC692" s="286" t="s">
        <v>1</v>
      </c>
      <c r="AD692" s="287" t="str" cm="1">
        <f t="array" aca="1" ref="AD692" ca="1">INDIRECT("'"&amp;$C692&amp;"'!"&amp;"$"&amp;$D692&amp;$AD$1&amp;"")</f>
        <v>CMS</v>
      </c>
      <c r="AE692" s="288" t="s">
        <v>1</v>
      </c>
      <c r="AF692" s="288" t="s">
        <v>1</v>
      </c>
      <c r="AG692" s="289" t="s">
        <v>1</v>
      </c>
      <c r="AH692" s="285" cm="1">
        <f t="array" aca="1" ref="AH692" ca="1">INDIRECT("'"&amp;$C692&amp;"'!"&amp;"$"&amp;$D692&amp;$AH$1&amp;"")</f>
        <v>3.8</v>
      </c>
      <c r="AI692" s="288">
        <v>14.12</v>
      </c>
      <c r="AJ692" s="288">
        <v>0.97</v>
      </c>
      <c r="AK692" s="286">
        <v>0.624</v>
      </c>
      <c r="AL692" s="285">
        <v>11.6</v>
      </c>
      <c r="AM692" s="289">
        <v>70.7</v>
      </c>
      <c r="AN692" s="285" cm="1">
        <f t="array" aca="1" ref="AN692" ca="1">INDIRECT("'"&amp;$C692&amp;"'!"&amp;"$"&amp;$D692&amp;$AL$1&amp;"")</f>
        <v>0</v>
      </c>
      <c r="AO692" s="288" t="s">
        <v>1</v>
      </c>
      <c r="AP692" s="286" t="s">
        <v>1</v>
      </c>
      <c r="AQ692" s="287" cm="1">
        <f t="array" aca="1" ref="AQ692" ca="1">INDIRECT("'"&amp;$C692&amp;"'!"&amp;"$"&amp;$D692&amp;$AQ$1&amp;"")</f>
        <v>3.8</v>
      </c>
      <c r="AR692" s="288">
        <v>0.95</v>
      </c>
      <c r="AS692" s="286">
        <v>1.32</v>
      </c>
      <c r="AT692" s="285">
        <v>14</v>
      </c>
      <c r="AU692" s="289">
        <v>70.2</v>
      </c>
      <c r="AV692" s="288" cm="1">
        <f t="array" aca="1" ref="AV692" ca="1">INDIRECT("'"&amp;$C692&amp;"'!"&amp;"$"&amp;$D692&amp;$AV$1&amp;"")</f>
        <v>4</v>
      </c>
      <c r="AW692" s="287" t="s">
        <v>1</v>
      </c>
      <c r="AX692" s="288">
        <v>0.93</v>
      </c>
      <c r="AY692" s="286">
        <v>1.58</v>
      </c>
      <c r="AZ692" s="288" cm="1">
        <f t="array" aca="1" ref="AZ692" ca="1">INDIRECT("'"&amp;$C692&amp;"'!"&amp;"$"&amp;$D692&amp;$AZ$1&amp;"")</f>
        <v>7</v>
      </c>
      <c r="BA692" s="287" t="s">
        <v>1</v>
      </c>
      <c r="BB692" s="288">
        <v>0.98</v>
      </c>
      <c r="BC692" s="286">
        <v>1.59</v>
      </c>
      <c r="BD692" s="290">
        <v>14.26</v>
      </c>
      <c r="BE692" s="289">
        <v>71.73</v>
      </c>
      <c r="BF692" s="290" cm="1">
        <f t="array" aca="1" ref="BF692" ca="1">INDIRECT("'"&amp;$C692&amp;"'!"&amp;"$"&amp;$D692&amp;$BF$1&amp;"")</f>
        <v>14.26</v>
      </c>
      <c r="BG692" s="288">
        <v>0.98</v>
      </c>
      <c r="BH692" s="286">
        <v>3.4</v>
      </c>
      <c r="BI692" s="525">
        <v>67</v>
      </c>
      <c r="BJ692" s="285" cm="1">
        <f t="array" aca="1" ref="BJ692" ca="1">INDIRECT("'"&amp;$C692&amp;"'!"&amp;"$"&amp;$D692&amp;$BI$1&amp;"")</f>
        <v>4.5999999999999996</v>
      </c>
      <c r="BK692" s="287">
        <v>0.95</v>
      </c>
      <c r="BL692" s="286">
        <v>1.4</v>
      </c>
      <c r="BM692" s="290" cm="1">
        <f t="array" aca="1" ref="BM692" ca="1">INDIRECT("'"&amp;$C692&amp;"'!"&amp;"$"&amp;$D692&amp;$BM$1&amp;"")</f>
        <v>1.5699999999999998</v>
      </c>
      <c r="BN692" s="288"/>
      <c r="BO692" s="288">
        <v>0.99</v>
      </c>
      <c r="BP692" s="286">
        <v>0.23</v>
      </c>
      <c r="BQ692" s="291" cm="1">
        <f t="array" aca="1" ref="BQ692" ca="1">INDIRECT("'"&amp;$C692&amp;"'!"&amp;"$"&amp;$D692&amp;$BQ$1&amp;"")</f>
        <v>0.91</v>
      </c>
      <c r="BR692" s="288"/>
      <c r="BS692" s="288">
        <v>0.96</v>
      </c>
      <c r="BT692" s="286">
        <v>0.25</v>
      </c>
      <c r="BU692" s="291" cm="1">
        <f t="array" aca="1" ref="BU692" ca="1">INDIRECT("'"&amp;$C692&amp;"'!"&amp;"$"&amp;$D692&amp;74&amp;"")</f>
        <v>0</v>
      </c>
      <c r="BV692" s="288"/>
      <c r="BW692" s="288" t="s">
        <v>1</v>
      </c>
      <c r="BX692" s="286" t="s">
        <v>1</v>
      </c>
    </row>
    <row r="693" spans="1:76">
      <c r="A693" s="459">
        <v>45866</v>
      </c>
      <c r="B693" s="345">
        <v>0.54166666666666696</v>
      </c>
      <c r="C693" s="305">
        <v>28</v>
      </c>
      <c r="D693" s="306" t="s">
        <v>155</v>
      </c>
      <c r="E693" s="278">
        <v>14.2</v>
      </c>
      <c r="F693" s="279">
        <v>68.849999999999994</v>
      </c>
      <c r="G693" s="280" t="str" cm="1">
        <f t="array" aca="1" ref="G693" ca="1">INDIRECT("'"&amp;$C693&amp;"'!"&amp;"$"&amp;$D693&amp;$E$1&amp;"")</f>
        <v>CMS</v>
      </c>
      <c r="H693" s="281" t="s">
        <v>1</v>
      </c>
      <c r="I693" s="279" t="s">
        <v>1</v>
      </c>
      <c r="J693" s="280" cm="1">
        <f t="array" aca="1" ref="J693" ca="1">INDIRECT("'"&amp;$C693&amp;"'!"&amp;"$"&amp;$D693&amp;$J$1&amp;"")</f>
        <v>6.7</v>
      </c>
      <c r="K693" s="281"/>
      <c r="L693" s="281">
        <v>0.87</v>
      </c>
      <c r="M693" s="279">
        <v>2.81</v>
      </c>
      <c r="N693" s="278" cm="1">
        <f t="array" aca="1" ref="N693" ca="1">INDIRECT("'"&amp;$C693&amp;"'!"&amp;"$"&amp;$D693&amp;$N$1&amp;"")</f>
        <v>6.7</v>
      </c>
      <c r="O693" s="281"/>
      <c r="P693" s="281">
        <v>0.87</v>
      </c>
      <c r="Q693" s="279">
        <v>2.81</v>
      </c>
      <c r="R693" s="468" cm="1">
        <f t="array" aca="1" ref="R693" ca="1">INDIRECT("'"&amp;$C693&amp;"'!"&amp;"$"&amp;$D693&amp;$R$1&amp;"")</f>
        <v>6.7</v>
      </c>
      <c r="S693" s="281"/>
      <c r="T693" s="281">
        <v>0.87</v>
      </c>
      <c r="U693" s="279">
        <v>2.81</v>
      </c>
      <c r="V693" s="280" t="str" cm="1">
        <f t="array" aca="1" ref="V693" ca="1">INDIRECT("'"&amp;$C693&amp;"'!"&amp;"$"&amp;$D693&amp;$V$1&amp;"")</f>
        <v>CMS</v>
      </c>
      <c r="W693" s="281" t="s">
        <v>1</v>
      </c>
      <c r="X693" s="281" t="s">
        <v>1</v>
      </c>
      <c r="Y693" s="282" t="s">
        <v>1</v>
      </c>
      <c r="Z693" s="278" t="str" cm="1">
        <f t="array" aca="1" ref="Z693" ca="1">INDIRECT("'"&amp;$C693&amp;"'!"&amp;"$"&amp;$D693&amp;$Z$1&amp;"")</f>
        <v>CMS</v>
      </c>
      <c r="AA693" s="281" t="s">
        <v>1</v>
      </c>
      <c r="AB693" s="281" t="s">
        <v>1</v>
      </c>
      <c r="AC693" s="279" t="s">
        <v>1</v>
      </c>
      <c r="AD693" s="280" t="str" cm="1">
        <f t="array" aca="1" ref="AD693" ca="1">INDIRECT("'"&amp;$C693&amp;"'!"&amp;"$"&amp;$D693&amp;$AD$1&amp;"")</f>
        <v>CMS</v>
      </c>
      <c r="AE693" s="281" t="s">
        <v>1</v>
      </c>
      <c r="AF693" s="281" t="s">
        <v>1</v>
      </c>
      <c r="AG693" s="282" t="s">
        <v>1</v>
      </c>
      <c r="AH693" s="278" cm="1">
        <f t="array" aca="1" ref="AH693" ca="1">INDIRECT("'"&amp;$C693&amp;"'!"&amp;"$"&amp;$D693&amp;$AH$1&amp;"")</f>
        <v>3.8</v>
      </c>
      <c r="AI693" s="281">
        <v>14.12</v>
      </c>
      <c r="AJ693" s="281">
        <v>0.97</v>
      </c>
      <c r="AK693" s="279">
        <v>0.63800000000000001</v>
      </c>
      <c r="AL693" s="278">
        <v>11.6</v>
      </c>
      <c r="AM693" s="282">
        <v>71.2</v>
      </c>
      <c r="AN693" s="278" cm="1">
        <f t="array" aca="1" ref="AN693" ca="1">INDIRECT("'"&amp;$C693&amp;"'!"&amp;"$"&amp;$D693&amp;$AL$1&amp;"")</f>
        <v>0</v>
      </c>
      <c r="AO693" s="281" t="s">
        <v>1</v>
      </c>
      <c r="AP693" s="279" t="s">
        <v>1</v>
      </c>
      <c r="AQ693" s="280" cm="1">
        <f t="array" aca="1" ref="AQ693" ca="1">INDIRECT("'"&amp;$C693&amp;"'!"&amp;"$"&amp;$D693&amp;$AQ$1&amp;"")</f>
        <v>3.9</v>
      </c>
      <c r="AR693" s="281">
        <v>0.9</v>
      </c>
      <c r="AS693" s="279">
        <v>1.45</v>
      </c>
      <c r="AT693" s="278">
        <v>14.1</v>
      </c>
      <c r="AU693" s="282">
        <v>70.8</v>
      </c>
      <c r="AV693" s="281" cm="1">
        <f t="array" aca="1" ref="AV693" ca="1">INDIRECT("'"&amp;$C693&amp;"'!"&amp;"$"&amp;$D693&amp;$AV$1&amp;"")</f>
        <v>6.5</v>
      </c>
      <c r="AW693" s="280">
        <v>13.7</v>
      </c>
      <c r="AX693" s="281">
        <v>0.91</v>
      </c>
      <c r="AY693" s="279">
        <v>2.91</v>
      </c>
      <c r="AZ693" s="281" cm="1">
        <f t="array" aca="1" ref="AZ693" ca="1">INDIRECT("'"&amp;$C693&amp;"'!"&amp;"$"&amp;$D693&amp;$AZ$1&amp;"")</f>
        <v>7</v>
      </c>
      <c r="BA693" s="280">
        <v>13.7</v>
      </c>
      <c r="BB693" s="281">
        <v>0.98</v>
      </c>
      <c r="BC693" s="279">
        <v>1.0900000000000001</v>
      </c>
      <c r="BD693" s="283">
        <v>14.3</v>
      </c>
      <c r="BE693" s="282">
        <v>72.05</v>
      </c>
      <c r="BF693" s="283" cm="1">
        <f t="array" aca="1" ref="BF693" ca="1">INDIRECT("'"&amp;$C693&amp;"'!"&amp;"$"&amp;$D693&amp;$BF$1&amp;"")</f>
        <v>14.24</v>
      </c>
      <c r="BG693" s="281">
        <v>0.98</v>
      </c>
      <c r="BH693" s="279">
        <v>3.4</v>
      </c>
      <c r="BI693" s="524">
        <v>67.2</v>
      </c>
      <c r="BJ693" s="278" cm="1">
        <f t="array" aca="1" ref="BJ693" ca="1">INDIRECT("'"&amp;$C693&amp;"'!"&amp;"$"&amp;$D693&amp;$BI$1&amp;"")</f>
        <v>4.7</v>
      </c>
      <c r="BK693" s="280">
        <v>0.96</v>
      </c>
      <c r="BL693" s="279">
        <v>1.3</v>
      </c>
      <c r="BM693" s="283" cm="1">
        <f t="array" aca="1" ref="BM693" ca="1">INDIRECT("'"&amp;$C693&amp;"'!"&amp;"$"&amp;$D693&amp;$BM$1&amp;"")</f>
        <v>1.58</v>
      </c>
      <c r="BN693" s="281"/>
      <c r="BO693" s="281">
        <v>0.99</v>
      </c>
      <c r="BP693" s="279">
        <v>0.23</v>
      </c>
      <c r="BQ693" s="284" cm="1">
        <f t="array" aca="1" ref="BQ693" ca="1">INDIRECT("'"&amp;$C693&amp;"'!"&amp;"$"&amp;$D693&amp;$BQ$1&amp;"")</f>
        <v>0.91</v>
      </c>
      <c r="BR693" s="281"/>
      <c r="BS693" s="281">
        <v>0.96</v>
      </c>
      <c r="BT693" s="279">
        <v>0.24</v>
      </c>
      <c r="BU693" s="284" cm="1">
        <f t="array" aca="1" ref="BU693" ca="1">INDIRECT("'"&amp;$C693&amp;"'!"&amp;"$"&amp;$D693&amp;74&amp;"")</f>
        <v>0</v>
      </c>
      <c r="BV693" s="281"/>
      <c r="BW693" s="281" t="s">
        <v>1</v>
      </c>
      <c r="BX693" s="279" t="s">
        <v>1</v>
      </c>
    </row>
    <row r="694" spans="1:76">
      <c r="A694" s="459">
        <v>45866</v>
      </c>
      <c r="B694" s="345">
        <v>0.58333333333333404</v>
      </c>
      <c r="C694" s="305">
        <v>28</v>
      </c>
      <c r="D694" s="306" t="s">
        <v>156</v>
      </c>
      <c r="E694" s="285">
        <v>14.2</v>
      </c>
      <c r="F694" s="286">
        <v>69.459999999999994</v>
      </c>
      <c r="G694" s="287" t="str" cm="1">
        <f t="array" aca="1" ref="G694" ca="1">INDIRECT("'"&amp;$C694&amp;"'!"&amp;"$"&amp;$D694&amp;$E$1&amp;"")</f>
        <v>CMS</v>
      </c>
      <c r="H694" s="288" t="s">
        <v>1</v>
      </c>
      <c r="I694" s="286" t="s">
        <v>1</v>
      </c>
      <c r="J694" s="287" cm="1">
        <f t="array" aca="1" ref="J694" ca="1">INDIRECT("'"&amp;$C694&amp;"'!"&amp;"$"&amp;$D694&amp;$J$1&amp;"")</f>
        <v>6.5</v>
      </c>
      <c r="K694" s="288"/>
      <c r="L694" s="288">
        <v>0.91</v>
      </c>
      <c r="M694" s="289">
        <v>2.94</v>
      </c>
      <c r="N694" s="285" cm="1">
        <f t="array" aca="1" ref="N694" ca="1">INDIRECT("'"&amp;$C694&amp;"'!"&amp;"$"&amp;$D694&amp;$N$1&amp;"")</f>
        <v>6.5</v>
      </c>
      <c r="O694" s="288"/>
      <c r="P694" s="288">
        <v>0.91</v>
      </c>
      <c r="Q694" s="286">
        <v>2.94</v>
      </c>
      <c r="R694" s="285" cm="1">
        <f t="array" aca="1" ref="R694" ca="1">INDIRECT("'"&amp;$C694&amp;"'!"&amp;"$"&amp;$D694&amp;$R$1&amp;"")</f>
        <v>6.5</v>
      </c>
      <c r="S694" s="288"/>
      <c r="T694" s="288">
        <v>0.91</v>
      </c>
      <c r="U694" s="286">
        <v>2.94</v>
      </c>
      <c r="V694" s="287" t="str" cm="1">
        <f t="array" aca="1" ref="V694" ca="1">INDIRECT("'"&amp;$C694&amp;"'!"&amp;"$"&amp;$D694&amp;$V$1&amp;"")</f>
        <v>CMS</v>
      </c>
      <c r="W694" s="288" t="s">
        <v>1</v>
      </c>
      <c r="X694" s="288" t="s">
        <v>1</v>
      </c>
      <c r="Y694" s="289" t="s">
        <v>1</v>
      </c>
      <c r="Z694" s="285" cm="1">
        <f t="array" aca="1" ref="Z694" ca="1">INDIRECT("'"&amp;$C694&amp;"'!"&amp;"$"&amp;$D694&amp;$Z$1&amp;"")</f>
        <v>3.3</v>
      </c>
      <c r="AA694" s="288">
        <f>3.45*3.8</f>
        <v>13.11</v>
      </c>
      <c r="AB694" s="288">
        <v>0.9</v>
      </c>
      <c r="AC694" s="286">
        <v>1.46</v>
      </c>
      <c r="AD694" s="287" t="str" cm="1">
        <f t="array" aca="1" ref="AD694" ca="1">INDIRECT("'"&amp;$C694&amp;"'!"&amp;"$"&amp;$D694&amp;$AD$1&amp;"")</f>
        <v>CMS</v>
      </c>
      <c r="AE694" s="288" t="s">
        <v>1</v>
      </c>
      <c r="AF694" s="288" t="s">
        <v>1</v>
      </c>
      <c r="AG694" s="289" t="s">
        <v>1</v>
      </c>
      <c r="AH694" s="285" cm="1">
        <f t="array" aca="1" ref="AH694" ca="1">INDIRECT("'"&amp;$C694&amp;"'!"&amp;"$"&amp;$D694&amp;$AH$1&amp;"")</f>
        <v>3.8</v>
      </c>
      <c r="AI694" s="288">
        <v>14.08</v>
      </c>
      <c r="AJ694" s="288">
        <v>0.98</v>
      </c>
      <c r="AK694" s="286">
        <v>0.56100000000000005</v>
      </c>
      <c r="AL694" s="285">
        <v>11.6</v>
      </c>
      <c r="AM694" s="289">
        <v>71.5</v>
      </c>
      <c r="AN694" s="285" cm="1">
        <f t="array" aca="1" ref="AN694" ca="1">INDIRECT("'"&amp;$C694&amp;"'!"&amp;"$"&amp;$D694&amp;$AL$1&amp;"")</f>
        <v>0</v>
      </c>
      <c r="AO694" s="288" t="s">
        <v>1</v>
      </c>
      <c r="AP694" s="286" t="s">
        <v>1</v>
      </c>
      <c r="AQ694" s="287" cm="1">
        <f t="array" aca="1" ref="AQ694" ca="1">INDIRECT("'"&amp;$C694&amp;"'!"&amp;"$"&amp;$D694&amp;$AQ$1&amp;"")</f>
        <v>3.5</v>
      </c>
      <c r="AR694" s="288">
        <v>0.9</v>
      </c>
      <c r="AS694" s="286">
        <v>1.1499999999999999</v>
      </c>
      <c r="AT694" s="285">
        <v>14.1</v>
      </c>
      <c r="AU694" s="289">
        <v>70.8</v>
      </c>
      <c r="AV694" s="288" cm="1">
        <f t="array" aca="1" ref="AV694" ca="1">INDIRECT("'"&amp;$C694&amp;"'!"&amp;"$"&amp;$D694&amp;$AV$1&amp;"")</f>
        <v>3.1</v>
      </c>
      <c r="AW694" s="287">
        <v>13.7</v>
      </c>
      <c r="AX694" s="288">
        <v>0.9</v>
      </c>
      <c r="AY694" s="286">
        <v>1.1499999999999999</v>
      </c>
      <c r="AZ694" s="288" cm="1">
        <f t="array" aca="1" ref="AZ694" ca="1">INDIRECT("'"&amp;$C694&amp;"'!"&amp;"$"&amp;$D694&amp;$AZ$1&amp;"")</f>
        <v>7</v>
      </c>
      <c r="BA694" s="287">
        <v>13.7</v>
      </c>
      <c r="BB694" s="288">
        <v>0.98</v>
      </c>
      <c r="BC694" s="286">
        <v>1.59</v>
      </c>
      <c r="BD694" s="290">
        <v>14.4</v>
      </c>
      <c r="BE694" s="289">
        <v>72.47</v>
      </c>
      <c r="BF694" s="290" cm="1">
        <f t="array" aca="1" ref="BF694" ca="1">INDIRECT("'"&amp;$C694&amp;"'!"&amp;"$"&amp;$D694&amp;$BF$1&amp;"")</f>
        <v>14.28</v>
      </c>
      <c r="BG694" s="288">
        <v>0.98</v>
      </c>
      <c r="BH694" s="286">
        <v>3.4</v>
      </c>
      <c r="BI694" s="525">
        <v>68</v>
      </c>
      <c r="BJ694" s="285" cm="1">
        <f t="array" aca="1" ref="BJ694" ca="1">INDIRECT("'"&amp;$C694&amp;"'!"&amp;"$"&amp;$D694&amp;$BI$1&amp;"")</f>
        <v>4.5999999999999996</v>
      </c>
      <c r="BK694" s="287">
        <v>0.96</v>
      </c>
      <c r="BL694" s="286">
        <v>1.8</v>
      </c>
      <c r="BM694" s="290" cm="1">
        <f t="array" aca="1" ref="BM694" ca="1">INDIRECT("'"&amp;$C694&amp;"'!"&amp;"$"&amp;$D694&amp;$BM$1&amp;"")</f>
        <v>1.59</v>
      </c>
      <c r="BN694" s="288"/>
      <c r="BO694" s="288">
        <v>0.99</v>
      </c>
      <c r="BP694" s="286">
        <v>0.22</v>
      </c>
      <c r="BQ694" s="291" cm="1">
        <f t="array" aca="1" ref="BQ694" ca="1">INDIRECT("'"&amp;$C694&amp;"'!"&amp;"$"&amp;$D694&amp;$BQ$1&amp;"")</f>
        <v>0.93</v>
      </c>
      <c r="BR694" s="288"/>
      <c r="BS694" s="288">
        <v>0.96</v>
      </c>
      <c r="BT694" s="286">
        <v>0.25</v>
      </c>
      <c r="BU694" s="291" cm="1">
        <f t="array" aca="1" ref="BU694" ca="1">INDIRECT("'"&amp;$C694&amp;"'!"&amp;"$"&amp;$D694&amp;74&amp;"")</f>
        <v>0</v>
      </c>
      <c r="BV694" s="288"/>
      <c r="BW694" s="288" t="s">
        <v>1</v>
      </c>
      <c r="BX694" s="286" t="s">
        <v>1</v>
      </c>
    </row>
    <row r="695" spans="1:76">
      <c r="A695" s="459">
        <v>45866</v>
      </c>
      <c r="B695" s="345">
        <v>0.625</v>
      </c>
      <c r="C695" s="305">
        <v>28</v>
      </c>
      <c r="D695" s="306" t="s">
        <v>157</v>
      </c>
      <c r="E695" s="278">
        <v>14.2</v>
      </c>
      <c r="F695" s="279">
        <v>69.16</v>
      </c>
      <c r="G695" s="280" t="str" cm="1">
        <f t="array" aca="1" ref="G695" ca="1">INDIRECT("'"&amp;$C695&amp;"'!"&amp;"$"&amp;$D695&amp;$E$1&amp;"")</f>
        <v>CMS</v>
      </c>
      <c r="H695" s="281" t="s">
        <v>1</v>
      </c>
      <c r="I695" s="279" t="s">
        <v>1</v>
      </c>
      <c r="J695" s="280" cm="1">
        <f t="array" aca="1" ref="J695" ca="1">INDIRECT("'"&amp;$C695&amp;"'!"&amp;"$"&amp;$D695&amp;$J$1&amp;"")</f>
        <v>6.8</v>
      </c>
      <c r="K695" s="281"/>
      <c r="L695" s="281">
        <v>0.91</v>
      </c>
      <c r="M695" s="282">
        <v>3.16</v>
      </c>
      <c r="N695" s="278" cm="1">
        <f t="array" aca="1" ref="N695" ca="1">INDIRECT("'"&amp;$C695&amp;"'!"&amp;"$"&amp;$D695&amp;$N$1&amp;"")</f>
        <v>6.8</v>
      </c>
      <c r="O695" s="281"/>
      <c r="P695" s="281">
        <v>0.91</v>
      </c>
      <c r="Q695" s="279">
        <v>3.16</v>
      </c>
      <c r="R695" s="468" cm="1">
        <f t="array" aca="1" ref="R695" ca="1">INDIRECT("'"&amp;$C695&amp;"'!"&amp;"$"&amp;$D695&amp;$R$1&amp;"")</f>
        <v>6.8</v>
      </c>
      <c r="S695" s="281"/>
      <c r="T695" s="281">
        <v>0.91</v>
      </c>
      <c r="U695" s="279">
        <v>3.16</v>
      </c>
      <c r="V695" s="280" t="str" cm="1">
        <f t="array" aca="1" ref="V695" ca="1">INDIRECT("'"&amp;$C695&amp;"'!"&amp;"$"&amp;$D695&amp;$V$1&amp;"")</f>
        <v>CMS</v>
      </c>
      <c r="W695" s="281" t="s">
        <v>1</v>
      </c>
      <c r="X695" s="281" t="s">
        <v>1</v>
      </c>
      <c r="Y695" s="282" t="s">
        <v>1</v>
      </c>
      <c r="Z695" s="278" cm="1">
        <f t="array" aca="1" ref="Z695" ca="1">INDIRECT("'"&amp;$C695&amp;"'!"&amp;"$"&amp;$D695&amp;$Z$1&amp;"")</f>
        <v>3.3</v>
      </c>
      <c r="AA695" s="281">
        <f>3.43*3.8</f>
        <v>13.034000000000001</v>
      </c>
      <c r="AB695" s="281">
        <v>0.9</v>
      </c>
      <c r="AC695" s="279">
        <v>1.45</v>
      </c>
      <c r="AD695" s="280" t="str" cm="1">
        <f t="array" aca="1" ref="AD695" ca="1">INDIRECT("'"&amp;$C695&amp;"'!"&amp;"$"&amp;$D695&amp;$AD$1&amp;"")</f>
        <v>CMS</v>
      </c>
      <c r="AE695" s="281" t="s">
        <v>1</v>
      </c>
      <c r="AF695" s="281" t="s">
        <v>1</v>
      </c>
      <c r="AG695" s="279" t="s">
        <v>1</v>
      </c>
      <c r="AH695" s="278" cm="1">
        <f t="array" aca="1" ref="AH695" ca="1">INDIRECT("'"&amp;$C695&amp;"'!"&amp;"$"&amp;$D695&amp;$AH$1&amp;"")</f>
        <v>3.8</v>
      </c>
      <c r="AI695" s="281">
        <v>14.08</v>
      </c>
      <c r="AJ695" s="281">
        <v>0.98</v>
      </c>
      <c r="AK695" s="279">
        <v>0.54400000000000004</v>
      </c>
      <c r="AL695" s="278">
        <v>11.7</v>
      </c>
      <c r="AM695" s="282">
        <v>71.2</v>
      </c>
      <c r="AN695" s="278" cm="1">
        <f t="array" aca="1" ref="AN695" ca="1">INDIRECT("'"&amp;$C695&amp;"'!"&amp;"$"&amp;$D695&amp;$AL$1&amp;"")</f>
        <v>0</v>
      </c>
      <c r="AO695" s="281" t="s">
        <v>1</v>
      </c>
      <c r="AP695" s="279" t="s">
        <v>1</v>
      </c>
      <c r="AQ695" s="280" cm="1">
        <f t="array" aca="1" ref="AQ695" ca="1">INDIRECT("'"&amp;$C695&amp;"'!"&amp;"$"&amp;$D695&amp;$AQ$1&amp;"")</f>
        <v>3.8</v>
      </c>
      <c r="AR695" s="281">
        <v>0.9</v>
      </c>
      <c r="AS695" s="279">
        <v>1.33</v>
      </c>
      <c r="AT695" s="278">
        <v>14.1</v>
      </c>
      <c r="AU695" s="282">
        <v>70.8</v>
      </c>
      <c r="AV695" s="281" cm="1">
        <f t="array" aca="1" ref="AV695" ca="1">INDIRECT("'"&amp;$C695&amp;"'!"&amp;"$"&amp;$D695&amp;$AV$1&amp;"")</f>
        <v>3.2</v>
      </c>
      <c r="AW695" s="280">
        <v>13.7</v>
      </c>
      <c r="AX695" s="281">
        <v>0.9</v>
      </c>
      <c r="AY695" s="279">
        <v>0.23</v>
      </c>
      <c r="AZ695" s="281" cm="1">
        <f t="array" aca="1" ref="AZ695" ca="1">INDIRECT("'"&amp;$C695&amp;"'!"&amp;"$"&amp;$D695&amp;$AZ$1&amp;"")</f>
        <v>7</v>
      </c>
      <c r="BA695" s="280">
        <v>13.7</v>
      </c>
      <c r="BB695" s="281">
        <v>0.98</v>
      </c>
      <c r="BC695" s="279">
        <v>1.59</v>
      </c>
      <c r="BD695" s="283">
        <v>14.22</v>
      </c>
      <c r="BE695" s="282">
        <v>71.91</v>
      </c>
      <c r="BF695" s="283" cm="1">
        <f t="array" aca="1" ref="BF695" ca="1">INDIRECT("'"&amp;$C695&amp;"'!"&amp;"$"&amp;$D695&amp;$BF$1&amp;"")</f>
        <v>14.29</v>
      </c>
      <c r="BG695" s="281">
        <v>0.99</v>
      </c>
      <c r="BH695" s="279">
        <v>2.2999999999999998</v>
      </c>
      <c r="BI695" s="524">
        <v>67.599999999999994</v>
      </c>
      <c r="BJ695" s="278" cm="1">
        <f t="array" aca="1" ref="BJ695" ca="1">INDIRECT("'"&amp;$C695&amp;"'!"&amp;"$"&amp;$D695&amp;$BI$1&amp;"")</f>
        <v>4.6999999999999993</v>
      </c>
      <c r="BK695" s="280">
        <v>0.96</v>
      </c>
      <c r="BL695" s="279">
        <v>1.3</v>
      </c>
      <c r="BM695" s="283" cm="1">
        <f t="array" aca="1" ref="BM695" ca="1">INDIRECT("'"&amp;$C695&amp;"'!"&amp;"$"&amp;$D695&amp;$BM$1&amp;"")</f>
        <v>1.6100000000000003</v>
      </c>
      <c r="BN695" s="281"/>
      <c r="BO695" s="281">
        <v>0.99</v>
      </c>
      <c r="BP695" s="279">
        <v>0.23</v>
      </c>
      <c r="BQ695" s="284" cm="1">
        <f t="array" aca="1" ref="BQ695" ca="1">INDIRECT("'"&amp;$C695&amp;"'!"&amp;"$"&amp;$D695&amp;$BQ$1&amp;"")</f>
        <v>0.94</v>
      </c>
      <c r="BR695" s="281"/>
      <c r="BS695" s="281">
        <v>0.96</v>
      </c>
      <c r="BT695" s="279">
        <v>0.26</v>
      </c>
      <c r="BU695" s="284" cm="1">
        <f t="array" aca="1" ref="BU695" ca="1">INDIRECT("'"&amp;$C695&amp;"'!"&amp;"$"&amp;$D695&amp;74&amp;"")</f>
        <v>0</v>
      </c>
      <c r="BV695" s="281"/>
      <c r="BW695" s="281" t="s">
        <v>1</v>
      </c>
      <c r="BX695" s="279" t="s">
        <v>1</v>
      </c>
    </row>
    <row r="696" spans="1:76">
      <c r="A696" s="459">
        <v>45866</v>
      </c>
      <c r="B696" s="345">
        <v>0.66666666666666696</v>
      </c>
      <c r="C696" s="305">
        <v>28</v>
      </c>
      <c r="D696" s="306" t="s">
        <v>158</v>
      </c>
      <c r="E696" s="285">
        <v>14.2</v>
      </c>
      <c r="F696" s="286">
        <v>69.260000000000005</v>
      </c>
      <c r="G696" s="287" t="str" cm="1">
        <f t="array" aca="1" ref="G696" ca="1">INDIRECT("'"&amp;$C696&amp;"'!"&amp;"$"&amp;$D696&amp;$E$1&amp;"")</f>
        <v>CMS</v>
      </c>
      <c r="H696" s="288" t="s">
        <v>1</v>
      </c>
      <c r="I696" s="286" t="s">
        <v>1</v>
      </c>
      <c r="J696" s="287" cm="1">
        <f t="array" aca="1" ref="J696" ca="1">INDIRECT("'"&amp;$C696&amp;"'!"&amp;"$"&amp;$D696&amp;$J$1&amp;"")</f>
        <v>6.5</v>
      </c>
      <c r="K696" s="288"/>
      <c r="L696" s="288">
        <v>0.91</v>
      </c>
      <c r="M696" s="289">
        <v>2.96</v>
      </c>
      <c r="N696" s="285" cm="1">
        <f t="array" aca="1" ref="N696" ca="1">INDIRECT("'"&amp;$C696&amp;"'!"&amp;"$"&amp;$D696&amp;$N$1&amp;"")</f>
        <v>6.5</v>
      </c>
      <c r="O696" s="288"/>
      <c r="P696" s="288">
        <v>0.91</v>
      </c>
      <c r="Q696" s="286">
        <v>2.96</v>
      </c>
      <c r="R696" s="469" cm="1">
        <f t="array" aca="1" ref="R696" ca="1">INDIRECT("'"&amp;$C696&amp;"'!"&amp;"$"&amp;$D696&amp;$R$1&amp;"")</f>
        <v>6.5</v>
      </c>
      <c r="S696" s="288"/>
      <c r="T696" s="288">
        <v>0.91</v>
      </c>
      <c r="U696" s="286">
        <v>2.96</v>
      </c>
      <c r="V696" s="287" t="str" cm="1">
        <f t="array" aca="1" ref="V696" ca="1">INDIRECT("'"&amp;$C696&amp;"'!"&amp;"$"&amp;$D696&amp;$V$1&amp;"")</f>
        <v>CMS</v>
      </c>
      <c r="W696" s="288" t="s">
        <v>1</v>
      </c>
      <c r="X696" s="288" t="s">
        <v>1</v>
      </c>
      <c r="Y696" s="289" t="s">
        <v>1</v>
      </c>
      <c r="Z696" s="285" cm="1">
        <f t="array" aca="1" ref="Z696" ca="1">INDIRECT("'"&amp;$C696&amp;"'!"&amp;"$"&amp;$D696&amp;$Z$1&amp;"")</f>
        <v>3.2</v>
      </c>
      <c r="AA696" s="288">
        <f>3.43*3.8</f>
        <v>13.034000000000001</v>
      </c>
      <c r="AB696" s="288">
        <v>0.91</v>
      </c>
      <c r="AC696" s="286">
        <v>1.4</v>
      </c>
      <c r="AD696" s="287" t="str" cm="1">
        <f t="array" aca="1" ref="AD696" ca="1">INDIRECT("'"&amp;$C696&amp;"'!"&amp;"$"&amp;$D696&amp;$AD$1&amp;"")</f>
        <v>CMS</v>
      </c>
      <c r="AE696" s="288" t="s">
        <v>1</v>
      </c>
      <c r="AF696" s="288" t="s">
        <v>1</v>
      </c>
      <c r="AG696" s="289" t="s">
        <v>1</v>
      </c>
      <c r="AH696" s="285" cm="1">
        <f t="array" aca="1" ref="AH696" ca="1">INDIRECT("'"&amp;$C696&amp;"'!"&amp;"$"&amp;$D696&amp;$AH$1&amp;"")</f>
        <v>3.8</v>
      </c>
      <c r="AI696" s="288">
        <v>14.08</v>
      </c>
      <c r="AJ696" s="288">
        <v>0.98</v>
      </c>
      <c r="AK696" s="286">
        <v>0.56399999999999995</v>
      </c>
      <c r="AL696" s="285">
        <v>11.7</v>
      </c>
      <c r="AM696" s="289">
        <v>71.3</v>
      </c>
      <c r="AN696" s="285" cm="1">
        <f t="array" aca="1" ref="AN696" ca="1">INDIRECT("'"&amp;$C696&amp;"'!"&amp;"$"&amp;$D696&amp;$AL$1&amp;"")</f>
        <v>0</v>
      </c>
      <c r="AO696" s="288" t="s">
        <v>1</v>
      </c>
      <c r="AP696" s="286" t="s">
        <v>1</v>
      </c>
      <c r="AQ696" s="287" cm="1">
        <f t="array" aca="1" ref="AQ696" ca="1">INDIRECT("'"&amp;$C696&amp;"'!"&amp;"$"&amp;$D696&amp;$AQ$1&amp;"")</f>
        <v>3.7</v>
      </c>
      <c r="AR696" s="288">
        <v>0.9</v>
      </c>
      <c r="AS696" s="286">
        <v>1.25</v>
      </c>
      <c r="AT696" s="285">
        <v>14.1</v>
      </c>
      <c r="AU696" s="289">
        <v>70.8</v>
      </c>
      <c r="AV696" s="288" cm="1">
        <f t="array" aca="1" ref="AV696" ca="1">INDIRECT("'"&amp;$C696&amp;"'!"&amp;"$"&amp;$D696&amp;$AV$1&amp;"")</f>
        <v>3.8</v>
      </c>
      <c r="AW696" s="287" t="s">
        <v>1</v>
      </c>
      <c r="AX696" s="288">
        <v>0.9</v>
      </c>
      <c r="AY696" s="286">
        <v>2.27</v>
      </c>
      <c r="AZ696" s="288" cm="1">
        <f t="array" aca="1" ref="AZ696" ca="1">INDIRECT("'"&amp;$C696&amp;"'!"&amp;"$"&amp;$D696&amp;$AZ$1&amp;"")</f>
        <v>7</v>
      </c>
      <c r="BA696" s="287" t="s">
        <v>1</v>
      </c>
      <c r="BB696" s="288">
        <v>0.97</v>
      </c>
      <c r="BC696" s="286">
        <v>1.71</v>
      </c>
      <c r="BD696" s="290">
        <v>14.24</v>
      </c>
      <c r="BE696" s="289">
        <v>72.040000000000006</v>
      </c>
      <c r="BF696" s="290" cm="1">
        <f t="array" aca="1" ref="BF696" ca="1">INDIRECT("'"&amp;$C696&amp;"'!"&amp;"$"&amp;$D696&amp;$BF$1&amp;"")</f>
        <v>14.28</v>
      </c>
      <c r="BG696" s="288">
        <v>0.99</v>
      </c>
      <c r="BH696" s="286">
        <v>2.2999999999999998</v>
      </c>
      <c r="BI696" s="525">
        <v>67.7</v>
      </c>
      <c r="BJ696" s="285" cm="1">
        <f t="array" aca="1" ref="BJ696" ca="1">INDIRECT("'"&amp;$C696&amp;"'!"&amp;"$"&amp;$D696&amp;$BI$1&amp;"")</f>
        <v>4.6999999999999993</v>
      </c>
      <c r="BK696" s="287">
        <v>0.96</v>
      </c>
      <c r="BL696" s="286">
        <v>1.4</v>
      </c>
      <c r="BM696" s="290" cm="1">
        <f t="array" aca="1" ref="BM696" ca="1">INDIRECT("'"&amp;$C696&amp;"'!"&amp;"$"&amp;$D696&amp;$BM$1&amp;"")</f>
        <v>1.6</v>
      </c>
      <c r="BN696" s="288"/>
      <c r="BO696" s="288">
        <v>0.99</v>
      </c>
      <c r="BP696" s="286">
        <v>0.23</v>
      </c>
      <c r="BQ696" s="291" cm="1">
        <f t="array" aca="1" ref="BQ696" ca="1">INDIRECT("'"&amp;$C696&amp;"'!"&amp;"$"&amp;$D696&amp;$BQ$1&amp;"")</f>
        <v>0.91</v>
      </c>
      <c r="BR696" s="288"/>
      <c r="BS696" s="288">
        <v>0.96</v>
      </c>
      <c r="BT696" s="286">
        <v>0.25</v>
      </c>
      <c r="BU696" s="291" cm="1">
        <f t="array" aca="1" ref="BU696" ca="1">INDIRECT("'"&amp;$C696&amp;"'!"&amp;"$"&amp;$D696&amp;74&amp;"")</f>
        <v>0</v>
      </c>
      <c r="BV696" s="288"/>
      <c r="BW696" s="288" t="s">
        <v>1</v>
      </c>
      <c r="BX696" s="286" t="s">
        <v>1</v>
      </c>
    </row>
    <row r="697" spans="1:76">
      <c r="A697" s="459">
        <v>45866</v>
      </c>
      <c r="B697" s="345">
        <v>0.70833333333333404</v>
      </c>
      <c r="C697" s="305">
        <v>28</v>
      </c>
      <c r="D697" s="306" t="s">
        <v>159</v>
      </c>
      <c r="E697" s="278">
        <v>14.1</v>
      </c>
      <c r="F697" s="279">
        <v>69.23</v>
      </c>
      <c r="G697" s="280" t="str" cm="1">
        <f t="array" aca="1" ref="G697" ca="1">INDIRECT("'"&amp;$C697&amp;"'!"&amp;"$"&amp;$D697&amp;$E$1&amp;"")</f>
        <v>CMS</v>
      </c>
      <c r="H697" s="281" t="s">
        <v>1</v>
      </c>
      <c r="I697" s="279" t="s">
        <v>1</v>
      </c>
      <c r="J697" s="280" cm="1">
        <f t="array" aca="1" ref="J697" ca="1">INDIRECT("'"&amp;$C697&amp;"'!"&amp;"$"&amp;$D697&amp;$J$1&amp;"")</f>
        <v>6.6</v>
      </c>
      <c r="K697" s="281"/>
      <c r="L697" s="281">
        <v>0.93</v>
      </c>
      <c r="M697" s="282">
        <v>2.72</v>
      </c>
      <c r="N697" s="278" cm="1">
        <f t="array" aca="1" ref="N697" ca="1">INDIRECT("'"&amp;$C697&amp;"'!"&amp;"$"&amp;$D697&amp;$N$1&amp;"")</f>
        <v>6.6</v>
      </c>
      <c r="O697" s="281"/>
      <c r="P697" s="281">
        <v>0.93</v>
      </c>
      <c r="Q697" s="279">
        <v>2.72</v>
      </c>
      <c r="R697" s="468" cm="1">
        <f t="array" aca="1" ref="R697" ca="1">INDIRECT("'"&amp;$C697&amp;"'!"&amp;"$"&amp;$D697&amp;$R$1&amp;"")</f>
        <v>6.6</v>
      </c>
      <c r="S697" s="281"/>
      <c r="T697" s="281">
        <v>0.93</v>
      </c>
      <c r="U697" s="279">
        <v>2.72</v>
      </c>
      <c r="V697" s="280" t="str" cm="1">
        <f t="array" aca="1" ref="V697" ca="1">INDIRECT("'"&amp;$C697&amp;"'!"&amp;"$"&amp;$D697&amp;$V$1&amp;"")</f>
        <v>CMS</v>
      </c>
      <c r="W697" s="281" t="s">
        <v>1</v>
      </c>
      <c r="X697" s="281" t="s">
        <v>1</v>
      </c>
      <c r="Y697" s="282" t="s">
        <v>1</v>
      </c>
      <c r="Z697" s="278" cm="1">
        <f t="array" aca="1" ref="Z697" ca="1">INDIRECT("'"&amp;$C697&amp;"'!"&amp;"$"&amp;$D697&amp;$Z$1&amp;"")</f>
        <v>3.2</v>
      </c>
      <c r="AA697" s="281">
        <f>3.43*3.8</f>
        <v>13.034000000000001</v>
      </c>
      <c r="AB697" s="281">
        <v>0.91</v>
      </c>
      <c r="AC697" s="279">
        <v>1.39</v>
      </c>
      <c r="AD697" s="280" t="str" cm="1">
        <f t="array" aca="1" ref="AD697" ca="1">INDIRECT("'"&amp;$C697&amp;"'!"&amp;"$"&amp;$D697&amp;$AD$1&amp;"")</f>
        <v>CMS</v>
      </c>
      <c r="AE697" s="281" t="s">
        <v>1</v>
      </c>
      <c r="AF697" s="281" t="s">
        <v>1</v>
      </c>
      <c r="AG697" s="282" t="s">
        <v>1</v>
      </c>
      <c r="AH697" s="278" cm="1">
        <f t="array" aca="1" ref="AH697" ca="1">INDIRECT("'"&amp;$C697&amp;"'!"&amp;"$"&amp;$D697&amp;$AH$1&amp;"")</f>
        <v>3.8</v>
      </c>
      <c r="AI697" s="281">
        <v>14.12</v>
      </c>
      <c r="AJ697" s="281">
        <v>1</v>
      </c>
      <c r="AK697" s="279">
        <v>3.5999999999999997E-2</v>
      </c>
      <c r="AL697" s="278">
        <v>11.7</v>
      </c>
      <c r="AM697" s="282">
        <v>71.400000000000006</v>
      </c>
      <c r="AN697" s="278" cm="1">
        <f t="array" aca="1" ref="AN697" ca="1">INDIRECT("'"&amp;$C697&amp;"'!"&amp;"$"&amp;$D697&amp;$AL$1&amp;"")</f>
        <v>0</v>
      </c>
      <c r="AO697" s="281" t="s">
        <v>1</v>
      </c>
      <c r="AP697" s="279" t="s">
        <v>1</v>
      </c>
      <c r="AQ697" s="280" cm="1">
        <f t="array" aca="1" ref="AQ697" ca="1">INDIRECT("'"&amp;$C697&amp;"'!"&amp;"$"&amp;$D697&amp;$AQ$1&amp;"")</f>
        <v>3.7</v>
      </c>
      <c r="AR697" s="281">
        <v>0.9</v>
      </c>
      <c r="AS697" s="279">
        <v>1.22</v>
      </c>
      <c r="AT697" s="278">
        <v>14.1</v>
      </c>
      <c r="AU697" s="282">
        <v>70.8</v>
      </c>
      <c r="AV697" s="281" cm="1">
        <f t="array" aca="1" ref="AV697" ca="1">INDIRECT("'"&amp;$C697&amp;"'!"&amp;"$"&amp;$D697&amp;$AV$1&amp;"")</f>
        <v>2.7</v>
      </c>
      <c r="AW697" s="280" t="s">
        <v>1</v>
      </c>
      <c r="AX697" s="281">
        <v>0.9</v>
      </c>
      <c r="AY697" s="279">
        <v>2.5</v>
      </c>
      <c r="AZ697" s="281" cm="1">
        <f t="array" aca="1" ref="AZ697" ca="1">INDIRECT("'"&amp;$C697&amp;"'!"&amp;"$"&amp;$D697&amp;$AZ$1&amp;"")</f>
        <v>7</v>
      </c>
      <c r="BA697" s="280" t="s">
        <v>1</v>
      </c>
      <c r="BB697" s="281">
        <v>0.97</v>
      </c>
      <c r="BC697" s="279">
        <v>1.56</v>
      </c>
      <c r="BD697" s="283">
        <v>14.28</v>
      </c>
      <c r="BE697" s="282">
        <v>72.180000000000007</v>
      </c>
      <c r="BF697" s="283" cm="1">
        <f t="array" aca="1" ref="BF697" ca="1">INDIRECT("'"&amp;$C697&amp;"'!"&amp;"$"&amp;$D697&amp;$BF$1&amp;"")</f>
        <v>14.28</v>
      </c>
      <c r="BG697" s="281">
        <v>0.99</v>
      </c>
      <c r="BH697" s="279">
        <v>2.2999999999999998</v>
      </c>
      <c r="BI697" s="524">
        <v>67.8</v>
      </c>
      <c r="BJ697" s="278" cm="1">
        <f t="array" aca="1" ref="BJ697" ca="1">INDIRECT("'"&amp;$C697&amp;"'!"&amp;"$"&amp;$D697&amp;$BI$1&amp;"")</f>
        <v>3</v>
      </c>
      <c r="BK697" s="280">
        <v>0.96</v>
      </c>
      <c r="BL697" s="279">
        <v>0.87</v>
      </c>
      <c r="BM697" s="283" cm="1">
        <f t="array" aca="1" ref="BM697" ca="1">INDIRECT("'"&amp;$C697&amp;"'!"&amp;"$"&amp;$D697&amp;$BM$1&amp;"")</f>
        <v>1.5</v>
      </c>
      <c r="BN697" s="281"/>
      <c r="BO697" s="281">
        <v>0.99</v>
      </c>
      <c r="BP697" s="279">
        <v>0.21</v>
      </c>
      <c r="BQ697" s="284" cm="1">
        <f t="array" aca="1" ref="BQ697" ca="1">INDIRECT("'"&amp;$C697&amp;"'!"&amp;"$"&amp;$D697&amp;$BQ$1&amp;"")</f>
        <v>0.9</v>
      </c>
      <c r="BR697" s="281"/>
      <c r="BS697" s="281">
        <v>0.96</v>
      </c>
      <c r="BT697" s="279">
        <v>0.25</v>
      </c>
      <c r="BU697" s="284" cm="1">
        <f t="array" aca="1" ref="BU697" ca="1">INDIRECT("'"&amp;$C697&amp;"'!"&amp;"$"&amp;$D697&amp;74&amp;"")</f>
        <v>0</v>
      </c>
      <c r="BV697" s="281"/>
      <c r="BW697" s="281" t="s">
        <v>1</v>
      </c>
      <c r="BX697" s="279" t="s">
        <v>1</v>
      </c>
    </row>
    <row r="698" spans="1:76">
      <c r="A698" s="459">
        <v>45866</v>
      </c>
      <c r="B698" s="345">
        <v>0.750000000000001</v>
      </c>
      <c r="C698" s="305">
        <v>28</v>
      </c>
      <c r="D698" s="306" t="s">
        <v>160</v>
      </c>
      <c r="E698" s="285">
        <v>14.2</v>
      </c>
      <c r="F698" s="286">
        <v>69.400000000000006</v>
      </c>
      <c r="G698" s="287" t="str" cm="1">
        <f t="array" aca="1" ref="G698" ca="1">INDIRECT("'"&amp;$C698&amp;"'!"&amp;"$"&amp;$D698&amp;$E$1&amp;"")</f>
        <v>CMS</v>
      </c>
      <c r="H698" s="288" t="s">
        <v>1</v>
      </c>
      <c r="I698" s="286" t="s">
        <v>1</v>
      </c>
      <c r="J698" s="287" cm="1">
        <f t="array" aca="1" ref="J698" ca="1">INDIRECT("'"&amp;$C698&amp;"'!"&amp;"$"&amp;$D698&amp;$J$1&amp;"")</f>
        <v>6.8</v>
      </c>
      <c r="K698" s="288"/>
      <c r="L698" s="288">
        <v>0.92</v>
      </c>
      <c r="M698" s="289">
        <v>2.82</v>
      </c>
      <c r="N698" s="285" cm="1">
        <f t="array" aca="1" ref="N698" ca="1">INDIRECT("'"&amp;$C698&amp;"'!"&amp;"$"&amp;$D698&amp;$N$1&amp;"")</f>
        <v>6.8</v>
      </c>
      <c r="O698" s="288"/>
      <c r="P698" s="288">
        <v>0.92</v>
      </c>
      <c r="Q698" s="289">
        <v>2.82</v>
      </c>
      <c r="R698" s="285" cm="1">
        <f t="array" aca="1" ref="R698" ca="1">INDIRECT("'"&amp;$C698&amp;"'!"&amp;"$"&amp;$D698&amp;$R$1&amp;"")</f>
        <v>6.8</v>
      </c>
      <c r="S698" s="288"/>
      <c r="T698" s="288">
        <v>0.92</v>
      </c>
      <c r="U698" s="286">
        <v>2.82</v>
      </c>
      <c r="V698" s="287" t="str" cm="1">
        <f t="array" aca="1" ref="V698" ca="1">INDIRECT("'"&amp;$C698&amp;"'!"&amp;"$"&amp;$D698&amp;$V$1&amp;"")</f>
        <v>CMS</v>
      </c>
      <c r="W698" s="288" t="s">
        <v>1</v>
      </c>
      <c r="X698" s="288" t="s">
        <v>1</v>
      </c>
      <c r="Y698" s="289" t="s">
        <v>1</v>
      </c>
      <c r="Z698" s="285" cm="1">
        <f t="array" aca="1" ref="Z698" ca="1">INDIRECT("'"&amp;$C698&amp;"'!"&amp;"$"&amp;$D698&amp;$Z$1&amp;"")</f>
        <v>3</v>
      </c>
      <c r="AA698" s="288">
        <f>3.43*3.8</f>
        <v>13.034000000000001</v>
      </c>
      <c r="AB698" s="288">
        <v>0.91</v>
      </c>
      <c r="AC698" s="286">
        <v>1.35</v>
      </c>
      <c r="AD698" s="287" t="str" cm="1">
        <f t="array" aca="1" ref="AD698" ca="1">INDIRECT("'"&amp;$C698&amp;"'!"&amp;"$"&amp;$D698&amp;$AD$1&amp;"")</f>
        <v>CMS</v>
      </c>
      <c r="AE698" s="288" t="s">
        <v>1</v>
      </c>
      <c r="AF698" s="288" t="s">
        <v>1</v>
      </c>
      <c r="AG698" s="289" t="s">
        <v>1</v>
      </c>
      <c r="AH698" s="285" cm="1">
        <f t="array" aca="1" ref="AH698" ca="1">INDIRECT("'"&amp;$C698&amp;"'!"&amp;"$"&amp;$D698&amp;$AH$1&amp;"")</f>
        <v>3</v>
      </c>
      <c r="AI698" s="288">
        <v>14.12</v>
      </c>
      <c r="AJ698" s="288">
        <v>1</v>
      </c>
      <c r="AK698" s="286">
        <v>0.01</v>
      </c>
      <c r="AL698" s="285">
        <v>11.6</v>
      </c>
      <c r="AM698" s="289">
        <v>71.400000000000006</v>
      </c>
      <c r="AN698" s="285" cm="1">
        <f t="array" aca="1" ref="AN698" ca="1">INDIRECT("'"&amp;$C698&amp;"'!"&amp;"$"&amp;$D698&amp;$AL$1&amp;"")</f>
        <v>0</v>
      </c>
      <c r="AO698" s="288" t="s">
        <v>1</v>
      </c>
      <c r="AP698" s="286" t="s">
        <v>1</v>
      </c>
      <c r="AQ698" s="287" cm="1">
        <f t="array" aca="1" ref="AQ698" ca="1">INDIRECT("'"&amp;$C698&amp;"'!"&amp;"$"&amp;$D698&amp;$AQ$1&amp;"")</f>
        <v>2.5</v>
      </c>
      <c r="AR698" s="288">
        <v>0.89</v>
      </c>
      <c r="AS698" s="286">
        <v>1.9</v>
      </c>
      <c r="AT698" s="285">
        <v>13.9</v>
      </c>
      <c r="AU698" s="289">
        <v>70.7</v>
      </c>
      <c r="AV698" s="288" cm="1">
        <f t="array" aca="1" ref="AV698" ca="1">INDIRECT("'"&amp;$C698&amp;"'!"&amp;"$"&amp;$D698&amp;$AV$1&amp;"")</f>
        <v>2.8</v>
      </c>
      <c r="AW698" s="287" t="s">
        <v>1</v>
      </c>
      <c r="AX698" s="288">
        <v>0.9</v>
      </c>
      <c r="AY698" s="286">
        <v>2.46</v>
      </c>
      <c r="AZ698" s="288" cm="1">
        <f t="array" aca="1" ref="AZ698" ca="1">INDIRECT("'"&amp;$C698&amp;"'!"&amp;"$"&amp;$D698&amp;$AZ$1&amp;"")</f>
        <v>7</v>
      </c>
      <c r="BA698" s="287" t="s">
        <v>1</v>
      </c>
      <c r="BB698" s="288">
        <v>0.98</v>
      </c>
      <c r="BC698" s="286">
        <v>1.47</v>
      </c>
      <c r="BD698" s="290">
        <v>14.29</v>
      </c>
      <c r="BE698" s="289">
        <v>72.45</v>
      </c>
      <c r="BF698" s="290" cm="1">
        <f t="array" aca="1" ref="BF698" ca="1">INDIRECT("'"&amp;$C698&amp;"'!"&amp;"$"&amp;$D698&amp;$BF$1&amp;"")</f>
        <v>14.22</v>
      </c>
      <c r="BG698" s="288">
        <v>0.99</v>
      </c>
      <c r="BH698" s="286">
        <v>2.2999999999999998</v>
      </c>
      <c r="BI698" s="525">
        <v>68.099999999999994</v>
      </c>
      <c r="BJ698" s="285" cm="1">
        <f t="array" aca="1" ref="BJ698" ca="1">INDIRECT("'"&amp;$C698&amp;"'!"&amp;"$"&amp;$D698&amp;$BI$1&amp;"")</f>
        <v>0</v>
      </c>
      <c r="BK698" s="287" t="s">
        <v>1</v>
      </c>
      <c r="BL698" s="286" t="s">
        <v>1</v>
      </c>
      <c r="BM698" s="290" cm="1">
        <f t="array" aca="1" ref="BM698" ca="1">INDIRECT("'"&amp;$C698&amp;"'!"&amp;"$"&amp;$D698&amp;$BM$1&amp;"")</f>
        <v>1.35</v>
      </c>
      <c r="BN698" s="288"/>
      <c r="BO698" s="288">
        <v>0.99</v>
      </c>
      <c r="BP698" s="286">
        <v>0.2</v>
      </c>
      <c r="BQ698" s="291" cm="1">
        <f t="array" aca="1" ref="BQ698" ca="1">INDIRECT("'"&amp;$C698&amp;"'!"&amp;"$"&amp;$D698&amp;$BQ$1&amp;"")</f>
        <v>0.89</v>
      </c>
      <c r="BR698" s="288"/>
      <c r="BS698" s="288">
        <v>0.96</v>
      </c>
      <c r="BT698" s="286">
        <v>0.25</v>
      </c>
      <c r="BU698" s="291" cm="1">
        <f t="array" aca="1" ref="BU698" ca="1">INDIRECT("'"&amp;$C698&amp;"'!"&amp;"$"&amp;$D698&amp;74&amp;"")</f>
        <v>0</v>
      </c>
      <c r="BV698" s="288"/>
      <c r="BW698" s="288" t="s">
        <v>1</v>
      </c>
      <c r="BX698" s="286" t="s">
        <v>1</v>
      </c>
    </row>
    <row r="699" spans="1:76">
      <c r="A699" s="459">
        <v>45866</v>
      </c>
      <c r="B699" s="345">
        <v>0.79166666666666696</v>
      </c>
      <c r="C699" s="305">
        <v>28</v>
      </c>
      <c r="D699" s="306" t="s">
        <v>161</v>
      </c>
      <c r="E699" s="278">
        <v>14.2</v>
      </c>
      <c r="F699" s="279">
        <v>68.930000000000007</v>
      </c>
      <c r="G699" s="280" t="str" cm="1">
        <f t="array" aca="1" ref="G699" ca="1">INDIRECT("'"&amp;$C699&amp;"'!"&amp;"$"&amp;$D699&amp;$E$1&amp;"")</f>
        <v>CMS</v>
      </c>
      <c r="H699" s="281" t="s">
        <v>1</v>
      </c>
      <c r="I699" s="279" t="s">
        <v>1</v>
      </c>
      <c r="J699" s="280" cm="1">
        <f t="array" aca="1" ref="J699" ca="1">INDIRECT("'"&amp;$C699&amp;"'!"&amp;"$"&amp;$D699&amp;$J$1&amp;"")</f>
        <v>6.9</v>
      </c>
      <c r="K699" s="292"/>
      <c r="L699" s="281">
        <v>0.91</v>
      </c>
      <c r="M699" s="282">
        <v>3.18</v>
      </c>
      <c r="N699" s="278" cm="1">
        <f t="array" aca="1" ref="N699" ca="1">INDIRECT("'"&amp;$C699&amp;"'!"&amp;"$"&amp;$D699&amp;$N$1&amp;"")</f>
        <v>6.9</v>
      </c>
      <c r="O699" s="281"/>
      <c r="P699" s="281">
        <v>0.91</v>
      </c>
      <c r="Q699" s="282">
        <v>3.18</v>
      </c>
      <c r="R699" s="468" cm="1">
        <f t="array" aca="1" ref="R699" ca="1">INDIRECT("'"&amp;$C699&amp;"'!"&amp;"$"&amp;$D699&amp;$R$1&amp;"")</f>
        <v>6.9</v>
      </c>
      <c r="S699" s="281"/>
      <c r="T699" s="281">
        <v>0.91</v>
      </c>
      <c r="U699" s="279">
        <v>3.18</v>
      </c>
      <c r="V699" s="280" t="str" cm="1">
        <f t="array" aca="1" ref="V699" ca="1">INDIRECT("'"&amp;$C699&amp;"'!"&amp;"$"&amp;$D699&amp;$V$1&amp;"")</f>
        <v>CMS</v>
      </c>
      <c r="W699" s="281" t="s">
        <v>1</v>
      </c>
      <c r="X699" s="281" t="s">
        <v>1</v>
      </c>
      <c r="Y699" s="282" t="s">
        <v>1</v>
      </c>
      <c r="Z699" s="278" cm="1">
        <f t="array" aca="1" ref="Z699" ca="1">INDIRECT("'"&amp;$C699&amp;"'!"&amp;"$"&amp;$D699&amp;$Z$1&amp;"")</f>
        <v>3.4</v>
      </c>
      <c r="AA699" s="281">
        <f t="shared" ref="AA699" si="1">3.43*3.8</f>
        <v>13.034000000000001</v>
      </c>
      <c r="AB699" s="281">
        <v>0.91</v>
      </c>
      <c r="AC699" s="279">
        <v>1.4</v>
      </c>
      <c r="AD699" s="280" t="str" cm="1">
        <f t="array" aca="1" ref="AD699" ca="1">INDIRECT("'"&amp;$C699&amp;"'!"&amp;"$"&amp;$D699&amp;$AD$1&amp;"")</f>
        <v>CMS</v>
      </c>
      <c r="AE699" s="281" t="s">
        <v>1</v>
      </c>
      <c r="AF699" s="281" t="s">
        <v>1</v>
      </c>
      <c r="AG699" s="282" t="s">
        <v>1</v>
      </c>
      <c r="AH699" s="278" cm="1">
        <f t="array" aca="1" ref="AH699" ca="1">INDIRECT("'"&amp;$C699&amp;"'!"&amp;"$"&amp;$D699&amp;$AH$1&amp;"")</f>
        <v>3.8</v>
      </c>
      <c r="AI699" s="281">
        <v>14.08</v>
      </c>
      <c r="AJ699" s="281">
        <v>0.97</v>
      </c>
      <c r="AK699" s="279">
        <v>0.57099999999999995</v>
      </c>
      <c r="AL699" s="278">
        <v>11.6</v>
      </c>
      <c r="AM699" s="282">
        <v>70.599999999999994</v>
      </c>
      <c r="AN699" s="278" cm="1">
        <f t="array" aca="1" ref="AN699" ca="1">INDIRECT("'"&amp;$C699&amp;"'!"&amp;"$"&amp;$D699&amp;$AL$1&amp;"")</f>
        <v>0</v>
      </c>
      <c r="AO699" s="281" t="s">
        <v>1</v>
      </c>
      <c r="AP699" s="279" t="s">
        <v>1</v>
      </c>
      <c r="AQ699" s="280" cm="1">
        <f t="array" aca="1" ref="AQ699" ca="1">INDIRECT("'"&amp;$C699&amp;"'!"&amp;"$"&amp;$D699&amp;$AQ$1&amp;"")</f>
        <v>3.7</v>
      </c>
      <c r="AR699" s="281">
        <v>0.95</v>
      </c>
      <c r="AS699" s="279">
        <v>0.85</v>
      </c>
      <c r="AT699" s="278">
        <v>13.9</v>
      </c>
      <c r="AU699" s="282">
        <v>70.7</v>
      </c>
      <c r="AV699" s="281" cm="1">
        <f t="array" aca="1" ref="AV699" ca="1">INDIRECT("'"&amp;$C699&amp;"'!"&amp;"$"&amp;$D699&amp;$AV$1&amp;"")</f>
        <v>4.7</v>
      </c>
      <c r="AW699" s="280">
        <v>13.7</v>
      </c>
      <c r="AX699" s="281">
        <v>0.99</v>
      </c>
      <c r="AY699" s="279">
        <v>0.65</v>
      </c>
      <c r="AZ699" s="281" cm="1">
        <f t="array" aca="1" ref="AZ699" ca="1">INDIRECT("'"&amp;$C699&amp;"'!"&amp;"$"&amp;$D699&amp;$AZ$1&amp;"")</f>
        <v>7</v>
      </c>
      <c r="BA699" s="280">
        <v>13.7</v>
      </c>
      <c r="BB699" s="281">
        <v>0.97</v>
      </c>
      <c r="BC699" s="279">
        <v>1.58</v>
      </c>
      <c r="BD699" s="283">
        <v>14.15</v>
      </c>
      <c r="BE699" s="282">
        <v>71.52</v>
      </c>
      <c r="BF699" s="283" cm="1">
        <f t="array" aca="1" ref="BF699" ca="1">INDIRECT("'"&amp;$C699&amp;"'!"&amp;"$"&amp;$D699&amp;$BF$1&amp;"")</f>
        <v>14.24</v>
      </c>
      <c r="BG699" s="281">
        <v>0.99</v>
      </c>
      <c r="BH699" s="279">
        <v>2.2999999999999998</v>
      </c>
      <c r="BI699" s="524">
        <v>67.599999999999994</v>
      </c>
      <c r="BJ699" s="278" cm="1">
        <f t="array" aca="1" ref="BJ699" ca="1">INDIRECT("'"&amp;$C699&amp;"'!"&amp;"$"&amp;$D699&amp;$BI$1&amp;"")</f>
        <v>2.2999999999999998</v>
      </c>
      <c r="BK699" s="280">
        <v>0.98</v>
      </c>
      <c r="BL699" s="279">
        <v>0.46</v>
      </c>
      <c r="BM699" s="283" cm="1">
        <f t="array" aca="1" ref="BM699" ca="1">INDIRECT("'"&amp;$C699&amp;"'!"&amp;"$"&amp;$D699&amp;$BM$1&amp;"")</f>
        <v>1.6</v>
      </c>
      <c r="BN699" s="281"/>
      <c r="BO699" s="281">
        <v>0.99</v>
      </c>
      <c r="BP699" s="279">
        <v>0.22</v>
      </c>
      <c r="BQ699" s="284" cm="1">
        <f t="array" aca="1" ref="BQ699" ca="1">INDIRECT("'"&amp;$C699&amp;"'!"&amp;"$"&amp;$D699&amp;$BQ$1&amp;"")</f>
        <v>0.99</v>
      </c>
      <c r="BR699" s="281"/>
      <c r="BS699" s="281">
        <v>0.97</v>
      </c>
      <c r="BT699" s="279">
        <v>0.26</v>
      </c>
      <c r="BU699" s="284" cm="1">
        <f t="array" aca="1" ref="BU699" ca="1">INDIRECT("'"&amp;$C699&amp;"'!"&amp;"$"&amp;$D699&amp;74&amp;"")</f>
        <v>0</v>
      </c>
      <c r="BV699" s="281"/>
      <c r="BW699" s="281" t="s">
        <v>1</v>
      </c>
      <c r="BX699" s="279" t="s">
        <v>1</v>
      </c>
    </row>
    <row r="700" spans="1:76">
      <c r="A700" s="459">
        <v>45866</v>
      </c>
      <c r="B700" s="345">
        <v>0.83333333333333337</v>
      </c>
      <c r="C700" s="305">
        <v>28</v>
      </c>
      <c r="D700" s="306" t="s">
        <v>162</v>
      </c>
      <c r="E700" s="285">
        <v>14.2</v>
      </c>
      <c r="F700" s="286">
        <v>69.150000000000006</v>
      </c>
      <c r="G700" s="287" t="str" cm="1">
        <f t="array" aca="1" ref="G700" ca="1">INDIRECT("'"&amp;$C700&amp;"'!"&amp;"$"&amp;$D700&amp;$E$1&amp;"")</f>
        <v>CMS</v>
      </c>
      <c r="H700" s="288" t="s">
        <v>1</v>
      </c>
      <c r="I700" s="286" t="s">
        <v>1</v>
      </c>
      <c r="J700" s="287" cm="1">
        <f t="array" aca="1" ref="J700" ca="1">INDIRECT("'"&amp;$C700&amp;"'!"&amp;"$"&amp;$D700&amp;$J$1&amp;"")</f>
        <v>6.7</v>
      </c>
      <c r="K700" s="288"/>
      <c r="L700" s="288">
        <v>0.93</v>
      </c>
      <c r="M700" s="289">
        <v>2.77</v>
      </c>
      <c r="N700" s="285" cm="1">
        <f t="array" aca="1" ref="N700" ca="1">INDIRECT("'"&amp;$C700&amp;"'!"&amp;"$"&amp;$D700&amp;$N$1&amp;"")</f>
        <v>6.6</v>
      </c>
      <c r="O700" s="288"/>
      <c r="P700" s="288">
        <v>0.93</v>
      </c>
      <c r="Q700" s="286">
        <v>2.72</v>
      </c>
      <c r="R700" s="285" cm="1">
        <f t="array" aca="1" ref="R700" ca="1">INDIRECT("'"&amp;$C700&amp;"'!"&amp;"$"&amp;$D700&amp;$R$1&amp;"")</f>
        <v>6.7</v>
      </c>
      <c r="S700" s="288"/>
      <c r="T700" s="288">
        <v>0.93</v>
      </c>
      <c r="U700" s="286">
        <v>2.77</v>
      </c>
      <c r="V700" s="287" t="str" cm="1">
        <f t="array" aca="1" ref="V700" ca="1">INDIRECT("'"&amp;$C700&amp;"'!"&amp;"$"&amp;$D700&amp;$V$1&amp;"")</f>
        <v>CMS</v>
      </c>
      <c r="W700" s="288" t="s">
        <v>1</v>
      </c>
      <c r="X700" s="288" t="s">
        <v>1</v>
      </c>
      <c r="Y700" s="289" t="s">
        <v>1</v>
      </c>
      <c r="Z700" s="285" cm="1">
        <f t="array" aca="1" ref="Z700" ca="1">INDIRECT("'"&amp;$C700&amp;"'!"&amp;"$"&amp;$D700&amp;$Z$1&amp;"")</f>
        <v>3.2</v>
      </c>
      <c r="AA700" s="288">
        <f>3.46*3.8</f>
        <v>13.148</v>
      </c>
      <c r="AB700" s="288">
        <v>0.91</v>
      </c>
      <c r="AC700" s="286">
        <v>1.38</v>
      </c>
      <c r="AD700" s="287" t="str" cm="1">
        <f t="array" aca="1" ref="AD700" ca="1">INDIRECT("'"&amp;$C700&amp;"'!"&amp;"$"&amp;$D700&amp;$AD$1&amp;"")</f>
        <v>CMS</v>
      </c>
      <c r="AE700" s="288" t="s">
        <v>1</v>
      </c>
      <c r="AF700" s="288" t="s">
        <v>1</v>
      </c>
      <c r="AG700" s="289" t="s">
        <v>1</v>
      </c>
      <c r="AH700" s="285" cm="1">
        <f t="array" aca="1" ref="AH700" ca="1">INDIRECT("'"&amp;$C700&amp;"'!"&amp;"$"&amp;$D700&amp;$AH$1&amp;"")</f>
        <v>3.8</v>
      </c>
      <c r="AI700" s="288">
        <v>14</v>
      </c>
      <c r="AJ700" s="288">
        <v>0.98</v>
      </c>
      <c r="AK700" s="286">
        <v>0.54500000000000004</v>
      </c>
      <c r="AL700" s="285">
        <v>11.6</v>
      </c>
      <c r="AM700" s="289">
        <v>70.7</v>
      </c>
      <c r="AN700" s="285" cm="1">
        <f t="array" aca="1" ref="AN700" ca="1">INDIRECT("'"&amp;$C700&amp;"'!"&amp;"$"&amp;$D700&amp;$AL$1&amp;"")</f>
        <v>0</v>
      </c>
      <c r="AO700" s="288" t="s">
        <v>1</v>
      </c>
      <c r="AP700" s="286" t="s">
        <v>1</v>
      </c>
      <c r="AQ700" s="287" cm="1">
        <f t="array" aca="1" ref="AQ700" ca="1">INDIRECT("'"&amp;$C700&amp;"'!"&amp;"$"&amp;$D700&amp;$AQ$1&amp;"")</f>
        <v>3.8</v>
      </c>
      <c r="AR700" s="288">
        <v>0.95</v>
      </c>
      <c r="AS700" s="286">
        <v>0.88</v>
      </c>
      <c r="AT700" s="285">
        <v>13.9</v>
      </c>
      <c r="AU700" s="289">
        <v>70.7</v>
      </c>
      <c r="AV700" s="288" cm="1">
        <f t="array" aca="1" ref="AV700" ca="1">INDIRECT("'"&amp;$C700&amp;"'!"&amp;"$"&amp;$D700&amp;$AV$1&amp;"")</f>
        <v>3.7</v>
      </c>
      <c r="AW700" s="287" t="s">
        <v>1</v>
      </c>
      <c r="AX700" s="288">
        <v>0.99</v>
      </c>
      <c r="AY700" s="286">
        <v>0.65</v>
      </c>
      <c r="AZ700" s="288" cm="1">
        <f t="array" aca="1" ref="AZ700" ca="1">INDIRECT("'"&amp;$C700&amp;"'!"&amp;"$"&amp;$D700&amp;$AZ$1&amp;"")</f>
        <v>7</v>
      </c>
      <c r="BA700" s="287" t="s">
        <v>1</v>
      </c>
      <c r="BB700" s="288">
        <v>0.98</v>
      </c>
      <c r="BC700" s="286">
        <v>1.57</v>
      </c>
      <c r="BD700" s="290">
        <v>14.12</v>
      </c>
      <c r="BE700" s="289">
        <v>71.44</v>
      </c>
      <c r="BF700" s="290" cm="1">
        <f t="array" aca="1" ref="BF700" ca="1">INDIRECT("'"&amp;$C700&amp;"'!"&amp;"$"&amp;$D700&amp;$BF$1&amp;"")</f>
        <v>14.28</v>
      </c>
      <c r="BG700" s="288">
        <v>0.99</v>
      </c>
      <c r="BH700" s="286">
        <v>2.2999999999999998</v>
      </c>
      <c r="BI700" s="525">
        <v>67.8</v>
      </c>
      <c r="BJ700" s="285" cm="1">
        <f t="array" aca="1" ref="BJ700" ca="1">INDIRECT("'"&amp;$C700&amp;"'!"&amp;"$"&amp;$D700&amp;$BI$1&amp;"")</f>
        <v>0</v>
      </c>
      <c r="BK700" s="287" t="s">
        <v>1</v>
      </c>
      <c r="BL700" s="286" t="s">
        <v>1</v>
      </c>
      <c r="BM700" s="290" cm="1">
        <f t="array" aca="1" ref="BM700" ca="1">INDIRECT("'"&amp;$C700&amp;"'!"&amp;"$"&amp;$D700&amp;$BM$1&amp;"")</f>
        <v>1.73</v>
      </c>
      <c r="BN700" s="288"/>
      <c r="BO700" s="288">
        <v>0.99</v>
      </c>
      <c r="BP700" s="286">
        <v>0.23</v>
      </c>
      <c r="BQ700" s="291" cm="1">
        <f t="array" aca="1" ref="BQ700" ca="1">INDIRECT("'"&amp;$C700&amp;"'!"&amp;"$"&amp;$D700&amp;$BQ$1&amp;"")</f>
        <v>1.03</v>
      </c>
      <c r="BR700" s="288"/>
      <c r="BS700" s="288">
        <v>0.97</v>
      </c>
      <c r="BT700" s="286">
        <v>0.26</v>
      </c>
      <c r="BU700" s="291" cm="1">
        <f t="array" aca="1" ref="BU700" ca="1">INDIRECT("'"&amp;$C700&amp;"'!"&amp;"$"&amp;$D700&amp;74&amp;"")</f>
        <v>0</v>
      </c>
      <c r="BV700" s="288"/>
      <c r="BW700" s="288" t="s">
        <v>1</v>
      </c>
      <c r="BX700" s="286" t="s">
        <v>1</v>
      </c>
    </row>
    <row r="701" spans="1:76">
      <c r="A701" s="459">
        <v>45866</v>
      </c>
      <c r="B701" s="345">
        <v>0.875000000000001</v>
      </c>
      <c r="C701" s="305">
        <v>28</v>
      </c>
      <c r="D701" s="306" t="s">
        <v>163</v>
      </c>
      <c r="E701" s="278">
        <v>14.2</v>
      </c>
      <c r="F701" s="279">
        <v>69.739999999999995</v>
      </c>
      <c r="G701" s="280" t="str" cm="1">
        <f t="array" aca="1" ref="G701" ca="1">INDIRECT("'"&amp;$C701&amp;"'!"&amp;"$"&amp;$D701&amp;$E$1&amp;"")</f>
        <v>CMS</v>
      </c>
      <c r="H701" s="281" t="s">
        <v>1</v>
      </c>
      <c r="I701" s="279" t="s">
        <v>1</v>
      </c>
      <c r="J701" s="280" cm="1">
        <f t="array" aca="1" ref="J701" ca="1">INDIRECT("'"&amp;$C701&amp;"'!"&amp;"$"&amp;$D701&amp;$J$1&amp;"")</f>
        <v>6.7</v>
      </c>
      <c r="K701" s="281"/>
      <c r="L701" s="281">
        <v>0.95</v>
      </c>
      <c r="M701" s="282">
        <v>2.23</v>
      </c>
      <c r="N701" s="278" cm="1">
        <f t="array" aca="1" ref="N701" ca="1">INDIRECT("'"&amp;$C701&amp;"'!"&amp;"$"&amp;$D701&amp;$N$1&amp;"")</f>
        <v>6.6</v>
      </c>
      <c r="O701" s="281"/>
      <c r="P701" s="281">
        <v>0.95</v>
      </c>
      <c r="Q701" s="279">
        <v>2.09</v>
      </c>
      <c r="R701" s="468" cm="1">
        <f t="array" aca="1" ref="R701" ca="1">INDIRECT("'"&amp;$C701&amp;"'!"&amp;"$"&amp;$D701&amp;$R$1&amp;"")</f>
        <v>6.6</v>
      </c>
      <c r="S701" s="281"/>
      <c r="T701" s="281">
        <v>0.95</v>
      </c>
      <c r="U701" s="279">
        <v>2.11</v>
      </c>
      <c r="V701" s="280" t="str" cm="1">
        <f t="array" aca="1" ref="V701" ca="1">INDIRECT("'"&amp;$C701&amp;"'!"&amp;"$"&amp;$D701&amp;$V$1&amp;"")</f>
        <v>CMS</v>
      </c>
      <c r="W701" s="281" t="s">
        <v>1</v>
      </c>
      <c r="X701" s="281" t="s">
        <v>1</v>
      </c>
      <c r="Y701" s="282" t="s">
        <v>1</v>
      </c>
      <c r="Z701" s="278" cm="1">
        <f t="array" aca="1" ref="Z701" ca="1">INDIRECT("'"&amp;$C701&amp;"'!"&amp;"$"&amp;$D701&amp;$Z$1&amp;"")</f>
        <v>3</v>
      </c>
      <c r="AA701" s="281">
        <f>3.51*3.8</f>
        <v>13.337999999999999</v>
      </c>
      <c r="AB701" s="281">
        <v>0.92</v>
      </c>
      <c r="AC701" s="279">
        <v>1.29</v>
      </c>
      <c r="AD701" s="280" t="str" cm="1">
        <f t="array" aca="1" ref="AD701" ca="1">INDIRECT("'"&amp;$C701&amp;"'!"&amp;"$"&amp;$D701&amp;$AD$1&amp;"")</f>
        <v>CMS</v>
      </c>
      <c r="AE701" s="281" t="s">
        <v>1</v>
      </c>
      <c r="AF701" s="281" t="s">
        <v>1</v>
      </c>
      <c r="AG701" s="282" t="s">
        <v>1</v>
      </c>
      <c r="AH701" s="278" cm="1">
        <f t="array" aca="1" ref="AH701" ca="1">INDIRECT("'"&amp;$C701&amp;"'!"&amp;"$"&amp;$D701&amp;$AH$1&amp;"")</f>
        <v>3</v>
      </c>
      <c r="AI701" s="281">
        <v>14</v>
      </c>
      <c r="AJ701" s="281">
        <v>0.99</v>
      </c>
      <c r="AK701" s="279">
        <v>0.441</v>
      </c>
      <c r="AL701" s="278">
        <v>11.6</v>
      </c>
      <c r="AM701" s="282">
        <v>70.900000000000006</v>
      </c>
      <c r="AN701" s="278" cm="1">
        <f t="array" aca="1" ref="AN701" ca="1">INDIRECT("'"&amp;$C701&amp;"'!"&amp;"$"&amp;$D701&amp;$AL$1&amp;"")</f>
        <v>0</v>
      </c>
      <c r="AO701" s="281" t="s">
        <v>1</v>
      </c>
      <c r="AP701" s="279" t="s">
        <v>1</v>
      </c>
      <c r="AQ701" s="280" cm="1">
        <f t="array" aca="1" ref="AQ701" ca="1">INDIRECT("'"&amp;$C701&amp;"'!"&amp;"$"&amp;$D701&amp;$AQ$1&amp;"")</f>
        <v>3.3</v>
      </c>
      <c r="AR701" s="281">
        <v>0.98</v>
      </c>
      <c r="AS701" s="279">
        <v>0.63</v>
      </c>
      <c r="AT701" s="278">
        <v>13.94</v>
      </c>
      <c r="AU701" s="282">
        <v>70.7</v>
      </c>
      <c r="AV701" s="281" cm="1">
        <f t="array" aca="1" ref="AV701" ca="1">INDIRECT("'"&amp;$C701&amp;"'!"&amp;"$"&amp;$D701&amp;$AV$1&amp;"")</f>
        <v>2.7</v>
      </c>
      <c r="AW701" s="280" t="s">
        <v>1</v>
      </c>
      <c r="AX701" s="281">
        <v>0.98</v>
      </c>
      <c r="AY701" s="279">
        <v>0.52</v>
      </c>
      <c r="AZ701" s="281" cm="1">
        <f t="array" aca="1" ref="AZ701" ca="1">INDIRECT("'"&amp;$C701&amp;"'!"&amp;"$"&amp;$D701&amp;$AZ$1&amp;"")</f>
        <v>7</v>
      </c>
      <c r="BA701" s="280" t="s">
        <v>1</v>
      </c>
      <c r="BB701" s="281">
        <v>0.98</v>
      </c>
      <c r="BC701" s="279">
        <v>1.42</v>
      </c>
      <c r="BD701" s="283">
        <v>14.16</v>
      </c>
      <c r="BE701" s="282">
        <v>71.67</v>
      </c>
      <c r="BF701" s="283" cm="1">
        <f t="array" aca="1" ref="BF701" ca="1">INDIRECT("'"&amp;$C701&amp;"'!"&amp;"$"&amp;$D701&amp;$BF$1&amp;"")</f>
        <v>14.27</v>
      </c>
      <c r="BG701" s="281">
        <v>0.99</v>
      </c>
      <c r="BH701" s="279">
        <v>2.2999999999999998</v>
      </c>
      <c r="BI701" s="524">
        <v>68.400000000000006</v>
      </c>
      <c r="BJ701" s="278" cm="1">
        <f t="array" aca="1" ref="BJ701" ca="1">INDIRECT("'"&amp;$C701&amp;"'!"&amp;"$"&amp;$D701&amp;$BI$1&amp;"")</f>
        <v>0</v>
      </c>
      <c r="BK701" s="280" t="s">
        <v>1</v>
      </c>
      <c r="BL701" s="279" t="s">
        <v>1</v>
      </c>
      <c r="BM701" s="283" cm="1">
        <f t="array" aca="1" ref="BM701" ca="1">INDIRECT("'"&amp;$C701&amp;"'!"&amp;"$"&amp;$D701&amp;$BM$1&amp;"")</f>
        <v>1.63</v>
      </c>
      <c r="BN701" s="281"/>
      <c r="BO701" s="281">
        <v>0.99</v>
      </c>
      <c r="BP701" s="279">
        <v>0.22</v>
      </c>
      <c r="BQ701" s="284" cm="1">
        <f t="array" aca="1" ref="BQ701" ca="1">INDIRECT("'"&amp;$C701&amp;"'!"&amp;"$"&amp;$D701&amp;$BQ$1&amp;"")</f>
        <v>1.02</v>
      </c>
      <c r="BR701" s="281"/>
      <c r="BS701" s="281">
        <v>0.97</v>
      </c>
      <c r="BT701" s="279">
        <v>0.26</v>
      </c>
      <c r="BU701" s="284" cm="1">
        <f t="array" aca="1" ref="BU701" ca="1">INDIRECT("'"&amp;$C701&amp;"'!"&amp;"$"&amp;$D701&amp;74&amp;"")</f>
        <v>0</v>
      </c>
      <c r="BV701" s="281"/>
      <c r="BW701" s="281" t="s">
        <v>1</v>
      </c>
      <c r="BX701" s="279" t="s">
        <v>1</v>
      </c>
    </row>
    <row r="702" spans="1:76">
      <c r="A702" s="459">
        <v>45866</v>
      </c>
      <c r="B702" s="345">
        <v>0.91666666666666696</v>
      </c>
      <c r="C702" s="305">
        <v>28</v>
      </c>
      <c r="D702" s="306" t="s">
        <v>164</v>
      </c>
      <c r="E702" s="285">
        <v>14.3</v>
      </c>
      <c r="F702" s="286">
        <v>70.34</v>
      </c>
      <c r="G702" s="287" t="str" cm="1">
        <f t="array" aca="1" ref="G702" ca="1">INDIRECT("'"&amp;$C702&amp;"'!"&amp;"$"&amp;$D702&amp;$E$1&amp;"")</f>
        <v>CMS</v>
      </c>
      <c r="H702" s="288" t="s">
        <v>1</v>
      </c>
      <c r="I702" s="286" t="s">
        <v>1</v>
      </c>
      <c r="J702" s="287" cm="1">
        <f t="array" aca="1" ref="J702" ca="1">INDIRECT("'"&amp;$C702&amp;"'!"&amp;"$"&amp;$D702&amp;$J$1&amp;"")</f>
        <v>6.6</v>
      </c>
      <c r="K702" s="288"/>
      <c r="L702" s="288">
        <v>0.96</v>
      </c>
      <c r="M702" s="289">
        <v>1.8</v>
      </c>
      <c r="N702" s="285" cm="1">
        <f t="array" aca="1" ref="N702" ca="1">INDIRECT("'"&amp;$C702&amp;"'!"&amp;"$"&amp;$D702&amp;$N$1&amp;"")</f>
        <v>6.5</v>
      </c>
      <c r="O702" s="288"/>
      <c r="P702" s="288">
        <v>0.96</v>
      </c>
      <c r="Q702" s="286">
        <v>1.79</v>
      </c>
      <c r="R702" s="285" cm="1">
        <f t="array" aca="1" ref="R702" ca="1">INDIRECT("'"&amp;$C702&amp;"'!"&amp;"$"&amp;$D702&amp;$R$1&amp;"")</f>
        <v>6.5</v>
      </c>
      <c r="S702" s="288"/>
      <c r="T702" s="288">
        <v>0.98</v>
      </c>
      <c r="U702" s="286">
        <v>1.42</v>
      </c>
      <c r="V702" s="287" t="str" cm="1">
        <f t="array" aca="1" ref="V702" ca="1">INDIRECT("'"&amp;$C702&amp;"'!"&amp;"$"&amp;$D702&amp;$V$1&amp;"")</f>
        <v>CMS</v>
      </c>
      <c r="W702" s="288" t="s">
        <v>1</v>
      </c>
      <c r="X702" s="288" t="s">
        <v>1</v>
      </c>
      <c r="Y702" s="289" t="s">
        <v>1</v>
      </c>
      <c r="Z702" s="285" cm="1">
        <f t="array" aca="1" ref="Z702" ca="1">INDIRECT("'"&amp;$C702&amp;"'!"&amp;"$"&amp;$D702&amp;$Z$1&amp;"")</f>
        <v>3.3</v>
      </c>
      <c r="AA702" s="288">
        <f>3.8*3.55</f>
        <v>13.489999999999998</v>
      </c>
      <c r="AB702" s="288">
        <v>0.94</v>
      </c>
      <c r="AC702" s="286">
        <v>1.1000000000000001</v>
      </c>
      <c r="AD702" s="287" t="str" cm="1">
        <f t="array" aca="1" ref="AD702" ca="1">INDIRECT("'"&amp;$C702&amp;"'!"&amp;"$"&amp;$D702&amp;$AD$1&amp;"")</f>
        <v>CMS</v>
      </c>
      <c r="AE702" s="288" t="s">
        <v>1</v>
      </c>
      <c r="AF702" s="288" t="s">
        <v>1</v>
      </c>
      <c r="AG702" s="289" t="s">
        <v>1</v>
      </c>
      <c r="AH702" s="285" cm="1">
        <f t="array" aca="1" ref="AH702" ca="1">INDIRECT("'"&amp;$C702&amp;"'!"&amp;"$"&amp;$D702&amp;$AH$1&amp;"")</f>
        <v>0</v>
      </c>
      <c r="AI702" s="288" t="s">
        <v>1</v>
      </c>
      <c r="AJ702" s="288" t="s">
        <v>1</v>
      </c>
      <c r="AK702" s="286" t="s">
        <v>1</v>
      </c>
      <c r="AL702" s="285">
        <v>11.6</v>
      </c>
      <c r="AM702" s="289">
        <v>71</v>
      </c>
      <c r="AN702" s="285" cm="1">
        <f t="array" aca="1" ref="AN702" ca="1">INDIRECT("'"&amp;$C702&amp;"'!"&amp;"$"&amp;$D702&amp;$AL$1&amp;"")</f>
        <v>0</v>
      </c>
      <c r="AO702" s="288" t="s">
        <v>1</v>
      </c>
      <c r="AP702" s="286" t="s">
        <v>1</v>
      </c>
      <c r="AQ702" s="287" cm="1">
        <f t="array" aca="1" ref="AQ702" ca="1">INDIRECT("'"&amp;$C702&amp;"'!"&amp;"$"&amp;$D702&amp;$AQ$1&amp;"")</f>
        <v>3.8</v>
      </c>
      <c r="AR702" s="288">
        <v>0.99</v>
      </c>
      <c r="AS702" s="286">
        <v>0.42</v>
      </c>
      <c r="AT702" s="285">
        <v>13.94</v>
      </c>
      <c r="AU702" s="289">
        <v>70.7</v>
      </c>
      <c r="AV702" s="288" cm="1">
        <f t="array" aca="1" ref="AV702" ca="1">INDIRECT("'"&amp;$C702&amp;"'!"&amp;"$"&amp;$D702&amp;$AV$1&amp;"")</f>
        <v>0</v>
      </c>
      <c r="AW702" s="287" t="s">
        <v>1</v>
      </c>
      <c r="AX702" s="288" t="s">
        <v>1</v>
      </c>
      <c r="AY702" s="286" t="s">
        <v>1</v>
      </c>
      <c r="AZ702" s="288" cm="1">
        <f t="array" aca="1" ref="AZ702" ca="1">INDIRECT("'"&amp;$C702&amp;"'!"&amp;"$"&amp;$D702&amp;$AZ$1&amp;"")</f>
        <v>7</v>
      </c>
      <c r="BA702" s="287" t="s">
        <v>1</v>
      </c>
      <c r="BB702" s="288">
        <v>0.99</v>
      </c>
      <c r="BC702" s="286">
        <v>1.1100000000000001</v>
      </c>
      <c r="BD702" s="290">
        <v>14.16</v>
      </c>
      <c r="BE702" s="289">
        <v>71.66</v>
      </c>
      <c r="BF702" s="290" cm="1">
        <f t="array" aca="1" ref="BF702" ca="1">INDIRECT("'"&amp;$C702&amp;"'!"&amp;"$"&amp;$D702&amp;$BF$1&amp;"")</f>
        <v>14.24</v>
      </c>
      <c r="BG702" s="288">
        <v>0.99</v>
      </c>
      <c r="BH702" s="286">
        <v>2.2999999999999998</v>
      </c>
      <c r="BI702" s="525">
        <v>69.2</v>
      </c>
      <c r="BJ702" s="285" cm="1">
        <f t="array" aca="1" ref="BJ702" ca="1">INDIRECT("'"&amp;$C702&amp;"'!"&amp;"$"&amp;$D702&amp;$BI$1&amp;"")</f>
        <v>0.8</v>
      </c>
      <c r="BK702" s="287">
        <v>0.98</v>
      </c>
      <c r="BL702" s="286">
        <v>0.17</v>
      </c>
      <c r="BM702" s="290" cm="1">
        <f t="array" aca="1" ref="BM702" ca="1">INDIRECT("'"&amp;$C702&amp;"'!"&amp;"$"&amp;$D702&amp;$BM$1&amp;"")</f>
        <v>1.44</v>
      </c>
      <c r="BN702" s="288"/>
      <c r="BO702" s="288">
        <v>0.99</v>
      </c>
      <c r="BP702" s="286">
        <v>0.19</v>
      </c>
      <c r="BQ702" s="291" cm="1">
        <f t="array" aca="1" ref="BQ702" ca="1">INDIRECT("'"&amp;$C702&amp;"'!"&amp;"$"&amp;$D702&amp;$BQ$1&amp;"")</f>
        <v>0.96</v>
      </c>
      <c r="BR702" s="288"/>
      <c r="BS702" s="288">
        <v>0.97</v>
      </c>
      <c r="BT702" s="286">
        <v>0.25</v>
      </c>
      <c r="BU702" s="291" cm="1">
        <f t="array" aca="1" ref="BU702" ca="1">INDIRECT("'"&amp;$C702&amp;"'!"&amp;"$"&amp;$D702&amp;74&amp;"")</f>
        <v>0</v>
      </c>
      <c r="BV702" s="288"/>
      <c r="BW702" s="288" t="s">
        <v>1</v>
      </c>
      <c r="BX702" s="286" t="s">
        <v>1</v>
      </c>
    </row>
    <row r="703" spans="1:76" ht="14.45" thickBot="1">
      <c r="A703" s="460">
        <v>45866</v>
      </c>
      <c r="B703" s="346">
        <v>0.95833333333333404</v>
      </c>
      <c r="C703" s="307">
        <v>28</v>
      </c>
      <c r="D703" s="308" t="s">
        <v>165</v>
      </c>
      <c r="E703" s="293">
        <v>14.2</v>
      </c>
      <c r="F703" s="294">
        <v>69.989999999999995</v>
      </c>
      <c r="G703" s="295" t="str" cm="1">
        <f t="array" aca="1" ref="G703" ca="1">INDIRECT("'"&amp;$C703&amp;"'!"&amp;"$"&amp;$D703&amp;$E$1&amp;"")</f>
        <v>CMS</v>
      </c>
      <c r="H703" s="296" t="s">
        <v>1</v>
      </c>
      <c r="I703" s="294" t="s">
        <v>1</v>
      </c>
      <c r="J703" s="295" cm="1">
        <f t="array" aca="1" ref="J703" ca="1">INDIRECT("'"&amp;$C703&amp;"'!"&amp;"$"&amp;$D703&amp;$J$1&amp;"")</f>
        <v>6.5</v>
      </c>
      <c r="K703" s="296"/>
      <c r="L703" s="296">
        <v>0.97</v>
      </c>
      <c r="M703" s="297">
        <v>1.75</v>
      </c>
      <c r="N703" s="293" cm="1">
        <f t="array" aca="1" ref="N703" ca="1">INDIRECT("'"&amp;$C703&amp;"'!"&amp;"$"&amp;$D703&amp;$N$1&amp;"")</f>
        <v>6.4</v>
      </c>
      <c r="O703" s="296"/>
      <c r="P703" s="296">
        <v>0.96</v>
      </c>
      <c r="Q703" s="294">
        <v>1.78</v>
      </c>
      <c r="R703" s="470" cm="1">
        <f t="array" aca="1" ref="R703" ca="1">INDIRECT("'"&amp;$C703&amp;"'!"&amp;"$"&amp;$D703&amp;$R$1&amp;"")</f>
        <v>6.4</v>
      </c>
      <c r="S703" s="296"/>
      <c r="T703" s="296">
        <v>0.96</v>
      </c>
      <c r="U703" s="294">
        <v>1.77</v>
      </c>
      <c r="V703" s="295" t="str" cm="1">
        <f t="array" aca="1" ref="V703" ca="1">INDIRECT("'"&amp;$C703&amp;"'!"&amp;"$"&amp;$D703&amp;$V$1&amp;"")</f>
        <v>CMS</v>
      </c>
      <c r="W703" s="296" t="s">
        <v>1</v>
      </c>
      <c r="X703" s="296" t="s">
        <v>1</v>
      </c>
      <c r="Y703" s="297" t="s">
        <v>1</v>
      </c>
      <c r="Z703" s="293" cm="1">
        <f t="array" aca="1" ref="Z703" ca="1">INDIRECT("'"&amp;$C703&amp;"'!"&amp;"$"&amp;$D703&amp;$Z$1&amp;"")</f>
        <v>0</v>
      </c>
      <c r="AA703" s="296" t="s">
        <v>1</v>
      </c>
      <c r="AB703" s="296" t="s">
        <v>1</v>
      </c>
      <c r="AC703" s="294" t="s">
        <v>1</v>
      </c>
      <c r="AD703" s="295" t="str" cm="1">
        <f t="array" aca="1" ref="AD703" ca="1">INDIRECT("'"&amp;$C703&amp;"'!"&amp;"$"&amp;$D703&amp;$AD$1&amp;"")</f>
        <v>CMS</v>
      </c>
      <c r="AE703" s="296" t="s">
        <v>1</v>
      </c>
      <c r="AF703" s="296" t="s">
        <v>1</v>
      </c>
      <c r="AG703" s="297" t="s">
        <v>1</v>
      </c>
      <c r="AH703" s="293" cm="1">
        <f t="array" aca="1" ref="AH703" ca="1">INDIRECT("'"&amp;$C703&amp;"'!"&amp;"$"&amp;$D703&amp;$AH$1&amp;"")</f>
        <v>0</v>
      </c>
      <c r="AI703" s="296" t="s">
        <v>1</v>
      </c>
      <c r="AJ703" s="296" t="s">
        <v>1</v>
      </c>
      <c r="AK703" s="294" t="s">
        <v>1</v>
      </c>
      <c r="AL703" s="293">
        <v>11.6</v>
      </c>
      <c r="AM703" s="297">
        <v>71</v>
      </c>
      <c r="AN703" s="293" cm="1">
        <f t="array" aca="1" ref="AN703" ca="1">INDIRECT("'"&amp;$C703&amp;"'!"&amp;"$"&amp;$D703&amp;$AL$1&amp;"")</f>
        <v>0</v>
      </c>
      <c r="AO703" s="296" t="s">
        <v>1</v>
      </c>
      <c r="AP703" s="294" t="s">
        <v>1</v>
      </c>
      <c r="AQ703" s="295" cm="1">
        <f t="array" aca="1" ref="AQ703" ca="1">INDIRECT("'"&amp;$C703&amp;"'!"&amp;"$"&amp;$D703&amp;$AQ$1&amp;"")</f>
        <v>3.8</v>
      </c>
      <c r="AR703" s="296">
        <v>0.98</v>
      </c>
      <c r="AS703" s="294">
        <v>0.54</v>
      </c>
      <c r="AT703" s="293">
        <v>13.93</v>
      </c>
      <c r="AU703" s="297">
        <v>70.7</v>
      </c>
      <c r="AV703" s="296" cm="1">
        <f t="array" aca="1" ref="AV703" ca="1">INDIRECT("'"&amp;$C703&amp;"'!"&amp;"$"&amp;$D703&amp;$AV$1&amp;"")</f>
        <v>0</v>
      </c>
      <c r="AW703" s="295" t="s">
        <v>1</v>
      </c>
      <c r="AX703" s="296" t="s">
        <v>1</v>
      </c>
      <c r="AY703" s="294" t="s">
        <v>1</v>
      </c>
      <c r="AZ703" s="296" cm="1">
        <f t="array" aca="1" ref="AZ703" ca="1">INDIRECT("'"&amp;$C703&amp;"'!"&amp;"$"&amp;$D703&amp;$AZ$1&amp;"")</f>
        <v>7</v>
      </c>
      <c r="BA703" s="295" t="s">
        <v>1</v>
      </c>
      <c r="BB703" s="296">
        <v>0.98</v>
      </c>
      <c r="BC703" s="294">
        <v>1.41</v>
      </c>
      <c r="BD703" s="298">
        <v>14.21</v>
      </c>
      <c r="BE703" s="297">
        <v>71.959999999999994</v>
      </c>
      <c r="BF703" s="298" cm="1">
        <f t="array" aca="1" ref="BF703" ca="1">INDIRECT("'"&amp;$C703&amp;"'!"&amp;"$"&amp;$D703&amp;$BF$1&amp;"")</f>
        <v>14.2</v>
      </c>
      <c r="BG703" s="296">
        <v>0.99</v>
      </c>
      <c r="BH703" s="294">
        <v>2.4</v>
      </c>
      <c r="BI703" s="526">
        <v>68.8</v>
      </c>
      <c r="BJ703" s="293" cm="1">
        <f t="array" aca="1" ref="BJ703" ca="1">INDIRECT("'"&amp;$C703&amp;"'!"&amp;"$"&amp;$D703&amp;$BI$1&amp;"")</f>
        <v>0</v>
      </c>
      <c r="BK703" s="295" t="s">
        <v>1</v>
      </c>
      <c r="BL703" s="294" t="s">
        <v>1</v>
      </c>
      <c r="BM703" s="298" cm="1">
        <f t="array" aca="1" ref="BM703" ca="1">INDIRECT("'"&amp;$C703&amp;"'!"&amp;"$"&amp;$D703&amp;$BM$1&amp;"")</f>
        <v>1.31</v>
      </c>
      <c r="BN703" s="296"/>
      <c r="BO703" s="296">
        <v>0.99</v>
      </c>
      <c r="BP703" s="294">
        <v>0.18</v>
      </c>
      <c r="BQ703" s="299" cm="1">
        <f t="array" aca="1" ref="BQ703" ca="1">INDIRECT("'"&amp;$C703&amp;"'!"&amp;"$"&amp;$D703&amp;$BQ$1&amp;"")</f>
        <v>0.89</v>
      </c>
      <c r="BR703" s="296"/>
      <c r="BS703" s="296">
        <v>0.97</v>
      </c>
      <c r="BT703" s="294">
        <v>0.24</v>
      </c>
      <c r="BU703" s="299" cm="1">
        <f t="array" aca="1" ref="BU703" ca="1">INDIRECT("'"&amp;$C703&amp;"'!"&amp;"$"&amp;$D703&amp;74&amp;"")</f>
        <v>0</v>
      </c>
      <c r="BV703" s="296"/>
      <c r="BW703" s="296" t="s">
        <v>1</v>
      </c>
      <c r="BX703" s="294" t="s">
        <v>1</v>
      </c>
    </row>
    <row r="704" spans="1:76" ht="14.45" thickBot="1"/>
    <row r="705" spans="1:76">
      <c r="A705" s="347">
        <v>45867</v>
      </c>
      <c r="B705" s="344">
        <v>0</v>
      </c>
      <c r="C705" s="302">
        <v>29</v>
      </c>
      <c r="D705" s="303" t="s">
        <v>142</v>
      </c>
      <c r="E705" s="272">
        <v>14.1</v>
      </c>
      <c r="F705" s="273">
        <v>69.81</v>
      </c>
      <c r="G705" s="274" t="str" cm="1">
        <f t="array" aca="1" ref="G705" ca="1">INDIRECT("'"&amp;$C705&amp;"'!"&amp;"$"&amp;$D705&amp;$E$1&amp;"")</f>
        <v>CMS</v>
      </c>
      <c r="H705" s="275" t="s">
        <v>1</v>
      </c>
      <c r="I705" s="273" t="s">
        <v>1</v>
      </c>
      <c r="J705" s="274" cm="1">
        <f t="array" aca="1" ref="J705" ca="1">INDIRECT("'"&amp;$C705&amp;"'!"&amp;"$"&amp;$D705&amp;$J$1&amp;"")</f>
        <v>0</v>
      </c>
      <c r="K705" s="275"/>
      <c r="L705" s="275" t="s">
        <v>1</v>
      </c>
      <c r="M705" s="276" t="s">
        <v>1</v>
      </c>
      <c r="N705" s="272" cm="1">
        <f t="array" aca="1" ref="N705" ca="1">INDIRECT("'"&amp;$C705&amp;"'!"&amp;"$"&amp;$D705&amp;$N$1&amp;"")</f>
        <v>6.8</v>
      </c>
      <c r="O705" s="275"/>
      <c r="P705" s="275">
        <v>0.96</v>
      </c>
      <c r="Q705" s="273">
        <v>1.96</v>
      </c>
      <c r="R705" s="467" cm="1">
        <f t="array" aca="1" ref="R705" ca="1">INDIRECT("'"&amp;$C705&amp;"'!"&amp;"$"&amp;$D705&amp;$R$1&amp;"")</f>
        <v>6.8</v>
      </c>
      <c r="S705" s="275"/>
      <c r="T705" s="275">
        <v>0.97</v>
      </c>
      <c r="U705" s="273">
        <v>1.58</v>
      </c>
      <c r="V705" s="274" t="str" cm="1">
        <f t="array" aca="1" ref="V705" ca="1">INDIRECT("'"&amp;$C705&amp;"'!"&amp;"$"&amp;$D705&amp;$V$1&amp;"")</f>
        <v>CMS</v>
      </c>
      <c r="W705" s="275" t="s">
        <v>1</v>
      </c>
      <c r="X705" s="275" t="s">
        <v>1</v>
      </c>
      <c r="Y705" s="276" t="s">
        <v>1</v>
      </c>
      <c r="Z705" s="272" cm="1">
        <f t="array" aca="1" ref="Z705" ca="1">INDIRECT("'"&amp;$C705&amp;"'!"&amp;"$"&amp;$D705&amp;$Z$1&amp;"")</f>
        <v>0</v>
      </c>
      <c r="AA705" s="275" t="s">
        <v>1</v>
      </c>
      <c r="AB705" s="275" t="s">
        <v>1</v>
      </c>
      <c r="AC705" s="273" t="s">
        <v>1</v>
      </c>
      <c r="AD705" s="274" t="str" cm="1">
        <f t="array" aca="1" ref="AD705" ca="1">INDIRECT("'"&amp;$C705&amp;"'!"&amp;"$"&amp;$D705&amp;$AD$1&amp;"")</f>
        <v>CMS</v>
      </c>
      <c r="AE705" s="275" t="s">
        <v>1</v>
      </c>
      <c r="AF705" s="275" t="s">
        <v>1</v>
      </c>
      <c r="AG705" s="273" t="s">
        <v>1</v>
      </c>
      <c r="AH705" s="272" cm="1">
        <f t="array" aca="1" ref="AH705" ca="1">INDIRECT("'"&amp;$C705&amp;"'!"&amp;"$"&amp;$D705&amp;$AH$1&amp;"")</f>
        <v>0</v>
      </c>
      <c r="AI705" s="275" t="s">
        <v>1</v>
      </c>
      <c r="AJ705" s="275" t="s">
        <v>1</v>
      </c>
      <c r="AK705" s="273" t="s">
        <v>1</v>
      </c>
      <c r="AL705" s="272">
        <v>11.6</v>
      </c>
      <c r="AM705" s="276">
        <v>71</v>
      </c>
      <c r="AN705" s="272" cm="1">
        <f t="array" aca="1" ref="AN705" ca="1">INDIRECT("'"&amp;$C705&amp;"'!"&amp;"$"&amp;$D705&amp;$AL$1&amp;"")</f>
        <v>0</v>
      </c>
      <c r="AO705" s="275" t="s">
        <v>1</v>
      </c>
      <c r="AP705" s="273" t="s">
        <v>1</v>
      </c>
      <c r="AQ705" s="274" cm="1">
        <f t="array" aca="1" ref="AQ705" ca="1">INDIRECT("'"&amp;$C705&amp;"'!"&amp;"$"&amp;$D705&amp;$AQ$1&amp;"")</f>
        <v>3.8</v>
      </c>
      <c r="AR705" s="275">
        <v>0.99</v>
      </c>
      <c r="AS705" s="273">
        <v>0.45</v>
      </c>
      <c r="AT705" s="272">
        <v>13.93</v>
      </c>
      <c r="AU705" s="276">
        <v>70.7</v>
      </c>
      <c r="AV705" s="275" cm="1">
        <f t="array" aca="1" ref="AV705" ca="1">INDIRECT("'"&amp;$C705&amp;"'!"&amp;"$"&amp;$D705&amp;$AV$1&amp;"")</f>
        <v>0</v>
      </c>
      <c r="AW705" s="274" t="s">
        <v>1</v>
      </c>
      <c r="AX705" s="275" t="s">
        <v>1</v>
      </c>
      <c r="AY705" s="273" t="s">
        <v>1</v>
      </c>
      <c r="AZ705" s="275" cm="1">
        <f t="array" aca="1" ref="AZ705" ca="1">INDIRECT("'"&amp;$C705&amp;"'!"&amp;"$"&amp;$D705&amp;$AZ$1&amp;"")</f>
        <v>7</v>
      </c>
      <c r="BA705" s="274" t="s">
        <v>1</v>
      </c>
      <c r="BB705" s="275">
        <v>0.98</v>
      </c>
      <c r="BC705" s="273">
        <v>1.29</v>
      </c>
      <c r="BD705" s="277">
        <v>14.24</v>
      </c>
      <c r="BE705" s="276">
        <v>72.08</v>
      </c>
      <c r="BF705" s="277" cm="1">
        <f t="array" aca="1" ref="BF705" ca="1">INDIRECT("'"&amp;$C705&amp;"'!"&amp;"$"&amp;$D705&amp;$BF$1&amp;"")</f>
        <v>14.25</v>
      </c>
      <c r="BG705" s="275">
        <v>0.99</v>
      </c>
      <c r="BH705" s="273">
        <v>2.2999999999999998</v>
      </c>
      <c r="BI705" s="523">
        <v>68.7</v>
      </c>
      <c r="BJ705" s="272" cm="1">
        <f t="array" aca="1" ref="BJ705" ca="1">INDIRECT("'"&amp;$C705&amp;"'!"&amp;"$"&amp;$D705&amp;$BI$1&amp;"")</f>
        <v>1.5</v>
      </c>
      <c r="BK705" s="274">
        <v>0.98</v>
      </c>
      <c r="BL705" s="273">
        <v>0.31</v>
      </c>
      <c r="BM705" s="277" cm="1">
        <f t="array" aca="1" ref="BM705" ca="1">INDIRECT("'"&amp;$C705&amp;"'!"&amp;"$"&amp;$D705&amp;$BM$1&amp;"")</f>
        <v>1.17</v>
      </c>
      <c r="BN705" s="275"/>
      <c r="BO705" s="275">
        <v>0.99</v>
      </c>
      <c r="BP705" s="273">
        <v>0.18</v>
      </c>
      <c r="BQ705" s="277" cm="1">
        <f t="array" aca="1" ref="BQ705" ca="1">INDIRECT("'"&amp;$C705&amp;"'!"&amp;"$"&amp;$D705&amp;$BQ$1&amp;"")</f>
        <v>0.81</v>
      </c>
      <c r="BR705" s="275"/>
      <c r="BS705" s="275">
        <v>0.97</v>
      </c>
      <c r="BT705" s="273">
        <v>0.21</v>
      </c>
      <c r="BU705" s="358" cm="1">
        <f t="array" aca="1" ref="BU705" ca="1">INDIRECT("'"&amp;$C705&amp;"'!"&amp;"$"&amp;$D705&amp;74&amp;"")</f>
        <v>0</v>
      </c>
      <c r="BV705" s="275"/>
      <c r="BW705" s="275" t="s">
        <v>1</v>
      </c>
      <c r="BX705" s="273" t="s">
        <v>1</v>
      </c>
    </row>
    <row r="706" spans="1:76">
      <c r="A706" s="459">
        <v>45867</v>
      </c>
      <c r="B706" s="345">
        <v>4.1666666666666699E-2</v>
      </c>
      <c r="C706" s="305">
        <v>29</v>
      </c>
      <c r="D706" s="306" t="s">
        <v>143</v>
      </c>
      <c r="E706" s="278">
        <v>14.1</v>
      </c>
      <c r="F706" s="279">
        <v>69.72</v>
      </c>
      <c r="G706" s="280" t="str" cm="1">
        <f t="array" aca="1" ref="G706" ca="1">INDIRECT("'"&amp;$C706&amp;"'!"&amp;"$"&amp;$D706&amp;$E$1&amp;"")</f>
        <v>CMS</v>
      </c>
      <c r="H706" s="281" t="s">
        <v>1</v>
      </c>
      <c r="I706" s="279" t="s">
        <v>1</v>
      </c>
      <c r="J706" s="280" cm="1">
        <f t="array" aca="1" ref="J706" ca="1">INDIRECT("'"&amp;$C706&amp;"'!"&amp;"$"&amp;$D706&amp;$J$1&amp;"")</f>
        <v>0</v>
      </c>
      <c r="K706" s="281"/>
      <c r="L706" s="281" t="s">
        <v>1</v>
      </c>
      <c r="M706" s="282" t="s">
        <v>1</v>
      </c>
      <c r="N706" s="278" cm="1">
        <f t="array" aca="1" ref="N706" ca="1">INDIRECT("'"&amp;$C706&amp;"'!"&amp;"$"&amp;$D706&amp;$N$1&amp;"")</f>
        <v>6.5</v>
      </c>
      <c r="O706" s="281"/>
      <c r="P706" s="281">
        <v>0.96</v>
      </c>
      <c r="Q706" s="279">
        <v>1.82</v>
      </c>
      <c r="R706" s="468" cm="1">
        <f t="array" aca="1" ref="R706" ca="1">INDIRECT("'"&amp;$C706&amp;"'!"&amp;"$"&amp;$D706&amp;$R$1&amp;"")</f>
        <v>6.5</v>
      </c>
      <c r="S706" s="281"/>
      <c r="T706" s="281">
        <v>0.98</v>
      </c>
      <c r="U706" s="279">
        <v>1.49</v>
      </c>
      <c r="V706" s="280" t="str" cm="1">
        <f t="array" aca="1" ref="V706" ca="1">INDIRECT("'"&amp;$C706&amp;"'!"&amp;"$"&amp;$D706&amp;$V$1&amp;"")</f>
        <v>CMS</v>
      </c>
      <c r="W706" s="281" t="s">
        <v>1</v>
      </c>
      <c r="X706" s="281" t="s">
        <v>1</v>
      </c>
      <c r="Y706" s="282" t="s">
        <v>1</v>
      </c>
      <c r="Z706" s="278" cm="1">
        <f t="array" aca="1" ref="Z706" ca="1">INDIRECT("'"&amp;$C706&amp;"'!"&amp;"$"&amp;$D706&amp;$Z$1&amp;"")</f>
        <v>0</v>
      </c>
      <c r="AA706" s="281" t="s">
        <v>1</v>
      </c>
      <c r="AB706" s="281" t="s">
        <v>1</v>
      </c>
      <c r="AC706" s="279" t="s">
        <v>1</v>
      </c>
      <c r="AD706" s="280" t="str" cm="1">
        <f t="array" aca="1" ref="AD706" ca="1">INDIRECT("'"&amp;$C706&amp;"'!"&amp;"$"&amp;$D706&amp;$AD$1&amp;"")</f>
        <v>CMS</v>
      </c>
      <c r="AE706" s="281" t="s">
        <v>1</v>
      </c>
      <c r="AF706" s="281" t="s">
        <v>1</v>
      </c>
      <c r="AG706" s="282" t="s">
        <v>1</v>
      </c>
      <c r="AH706" s="278" cm="1">
        <f t="array" aca="1" ref="AH706" ca="1">INDIRECT("'"&amp;$C706&amp;"'!"&amp;"$"&amp;$D706&amp;$AH$1&amp;"")</f>
        <v>0</v>
      </c>
      <c r="AI706" s="281" t="s">
        <v>1</v>
      </c>
      <c r="AJ706" s="281" t="s">
        <v>1</v>
      </c>
      <c r="AK706" s="279" t="s">
        <v>1</v>
      </c>
      <c r="AL706" s="278">
        <v>11.6</v>
      </c>
      <c r="AM706" s="282">
        <v>70.900000000000006</v>
      </c>
      <c r="AN706" s="278" cm="1">
        <f t="array" aca="1" ref="AN706" ca="1">INDIRECT("'"&amp;$C706&amp;"'!"&amp;"$"&amp;$D706&amp;$AL$1&amp;"")</f>
        <v>0</v>
      </c>
      <c r="AO706" s="281" t="s">
        <v>1</v>
      </c>
      <c r="AP706" s="279" t="s">
        <v>1</v>
      </c>
      <c r="AQ706" s="280" cm="1">
        <f t="array" aca="1" ref="AQ706" ca="1">INDIRECT("'"&amp;$C706&amp;"'!"&amp;"$"&amp;$D706&amp;$AQ$1&amp;"")</f>
        <v>3.6</v>
      </c>
      <c r="AR706" s="281">
        <v>0.98</v>
      </c>
      <c r="AS706" s="279">
        <v>0.62</v>
      </c>
      <c r="AT706" s="278">
        <v>13.93</v>
      </c>
      <c r="AU706" s="282">
        <v>70.7</v>
      </c>
      <c r="AV706" s="281" cm="1">
        <f t="array" aca="1" ref="AV706" ca="1">INDIRECT("'"&amp;$C706&amp;"'!"&amp;"$"&amp;$D706&amp;$AV$1&amp;"")</f>
        <v>0</v>
      </c>
      <c r="AW706" s="280" t="s">
        <v>1</v>
      </c>
      <c r="AX706" s="281" t="s">
        <v>1</v>
      </c>
      <c r="AY706" s="279" t="s">
        <v>1</v>
      </c>
      <c r="AZ706" s="281" cm="1">
        <f t="array" aca="1" ref="AZ706" ca="1">INDIRECT("'"&amp;$C706&amp;"'!"&amp;"$"&amp;$D706&amp;$AZ$1&amp;"")</f>
        <v>7</v>
      </c>
      <c r="BA706" s="280" t="s">
        <v>1</v>
      </c>
      <c r="BB706" s="281">
        <v>0.98</v>
      </c>
      <c r="BC706" s="279">
        <v>1.54</v>
      </c>
      <c r="BD706" s="283">
        <v>14.08</v>
      </c>
      <c r="BE706" s="282">
        <v>71.67</v>
      </c>
      <c r="BF706" s="283" cm="1">
        <f t="array" aca="1" ref="BF706" ca="1">INDIRECT("'"&amp;$C706&amp;"'!"&amp;"$"&amp;$D706&amp;$BF$1&amp;"")</f>
        <v>14.29</v>
      </c>
      <c r="BG706" s="281">
        <v>1</v>
      </c>
      <c r="BH706" s="279">
        <v>1.3</v>
      </c>
      <c r="BI706" s="524">
        <v>68.599999999999994</v>
      </c>
      <c r="BJ706" s="278" cm="1">
        <f t="array" aca="1" ref="BJ706" ca="1">INDIRECT("'"&amp;$C706&amp;"'!"&amp;"$"&amp;$D706&amp;$BI$1&amp;"")</f>
        <v>0</v>
      </c>
      <c r="BK706" s="280" t="s">
        <v>1</v>
      </c>
      <c r="BL706" s="279" t="s">
        <v>1</v>
      </c>
      <c r="BM706" s="283" cm="1">
        <f t="array" aca="1" ref="BM706" ca="1">INDIRECT("'"&amp;$C706&amp;"'!"&amp;"$"&amp;$D706&amp;$BM$1&amp;"")</f>
        <v>1.06</v>
      </c>
      <c r="BN706" s="281"/>
      <c r="BO706" s="281">
        <v>0.99</v>
      </c>
      <c r="BP706" s="279">
        <v>0.16</v>
      </c>
      <c r="BQ706" s="283" cm="1">
        <f t="array" aca="1" ref="BQ706" ca="1">INDIRECT("'"&amp;$C706&amp;"'!"&amp;"$"&amp;$D706&amp;$BQ$1&amp;"")</f>
        <v>0.78</v>
      </c>
      <c r="BR706" s="281"/>
      <c r="BS706" s="281">
        <v>0.97</v>
      </c>
      <c r="BT706" s="279">
        <v>0.2</v>
      </c>
      <c r="BU706" s="284" cm="1">
        <f t="array" aca="1" ref="BU706" ca="1">INDIRECT("'"&amp;$C706&amp;"'!"&amp;"$"&amp;$D706&amp;74&amp;"")</f>
        <v>0</v>
      </c>
      <c r="BV706" s="281"/>
      <c r="BW706" s="281" t="s">
        <v>1</v>
      </c>
      <c r="BX706" s="279" t="s">
        <v>1</v>
      </c>
    </row>
    <row r="707" spans="1:76">
      <c r="A707" s="459">
        <v>45867</v>
      </c>
      <c r="B707" s="345">
        <v>8.3333333333333301E-2</v>
      </c>
      <c r="C707" s="305">
        <v>29</v>
      </c>
      <c r="D707" s="306" t="s">
        <v>144</v>
      </c>
      <c r="E707" s="285">
        <v>14.1</v>
      </c>
      <c r="F707" s="286">
        <v>69.97</v>
      </c>
      <c r="G707" s="287" t="str" cm="1">
        <f t="array" aca="1" ref="G707" ca="1">INDIRECT("'"&amp;$C707&amp;"'!"&amp;"$"&amp;$D707&amp;$E$1&amp;"")</f>
        <v>CMS</v>
      </c>
      <c r="H707" s="288" t="s">
        <v>1</v>
      </c>
      <c r="I707" s="286" t="s">
        <v>1</v>
      </c>
      <c r="J707" s="287" cm="1">
        <f t="array" aca="1" ref="J707" ca="1">INDIRECT("'"&amp;$C707&amp;"'!"&amp;"$"&amp;$D707&amp;$J$1&amp;"")</f>
        <v>0</v>
      </c>
      <c r="K707" s="288"/>
      <c r="L707" s="288" t="s">
        <v>1</v>
      </c>
      <c r="M707" s="289" t="s">
        <v>1</v>
      </c>
      <c r="N707" s="285" cm="1">
        <f t="array" aca="1" ref="N707" ca="1">INDIRECT("'"&amp;$C707&amp;"'!"&amp;"$"&amp;$D707&amp;$N$1&amp;"")</f>
        <v>6.7</v>
      </c>
      <c r="O707" s="288"/>
      <c r="P707" s="288">
        <v>0.98</v>
      </c>
      <c r="Q707" s="286">
        <v>1.34</v>
      </c>
      <c r="R707" s="285" cm="1">
        <f t="array" aca="1" ref="R707" ca="1">INDIRECT("'"&amp;$C707&amp;"'!"&amp;"$"&amp;$D707&amp;$R$1&amp;"")</f>
        <v>6.7</v>
      </c>
      <c r="S707" s="288"/>
      <c r="T707" s="288">
        <v>0.98</v>
      </c>
      <c r="U707" s="286">
        <v>1.33</v>
      </c>
      <c r="V707" s="287" t="str" cm="1">
        <f t="array" aca="1" ref="V707" ca="1">INDIRECT("'"&amp;$C707&amp;"'!"&amp;"$"&amp;$D707&amp;$V$1&amp;"")</f>
        <v>CMS</v>
      </c>
      <c r="W707" s="288" t="s">
        <v>1</v>
      </c>
      <c r="X707" s="288" t="s">
        <v>1</v>
      </c>
      <c r="Y707" s="289" t="s">
        <v>1</v>
      </c>
      <c r="Z707" s="533" cm="1">
        <f t="array" aca="1" ref="Z707" ca="1">INDIRECT("'"&amp;$C707&amp;"'!"&amp;"$"&amp;$D707&amp;$Z$1&amp;"")</f>
        <v>0</v>
      </c>
      <c r="AA707" s="288" t="s">
        <v>1</v>
      </c>
      <c r="AB707" s="288" t="s">
        <v>1</v>
      </c>
      <c r="AC707" s="286" t="s">
        <v>1</v>
      </c>
      <c r="AD707" s="287" t="str" cm="1">
        <f t="array" aca="1" ref="AD707" ca="1">INDIRECT("'"&amp;$C707&amp;"'!"&amp;"$"&amp;$D707&amp;$AD$1&amp;"")</f>
        <v>CMS</v>
      </c>
      <c r="AE707" s="288" t="s">
        <v>1</v>
      </c>
      <c r="AF707" s="288" t="s">
        <v>1</v>
      </c>
      <c r="AG707" s="289" t="s">
        <v>1</v>
      </c>
      <c r="AH707" s="285" cm="1">
        <f t="array" aca="1" ref="AH707" ca="1">INDIRECT("'"&amp;$C707&amp;"'!"&amp;"$"&amp;$D707&amp;$AH$1&amp;"")</f>
        <v>0</v>
      </c>
      <c r="AI707" s="288" t="s">
        <v>1</v>
      </c>
      <c r="AJ707" s="288" t="s">
        <v>1</v>
      </c>
      <c r="AK707" s="289" t="s">
        <v>1</v>
      </c>
      <c r="AL707" s="285">
        <v>11.6</v>
      </c>
      <c r="AM707" s="289">
        <v>70.900000000000006</v>
      </c>
      <c r="AN707" s="285" cm="1">
        <f t="array" aca="1" ref="AN707" ca="1">INDIRECT("'"&amp;$C707&amp;"'!"&amp;"$"&amp;$D707&amp;$AL$1&amp;"")</f>
        <v>0</v>
      </c>
      <c r="AO707" s="288" t="s">
        <v>1</v>
      </c>
      <c r="AP707" s="286" t="s">
        <v>1</v>
      </c>
      <c r="AQ707" s="287" cm="1">
        <f t="array" aca="1" ref="AQ707" ca="1">INDIRECT("'"&amp;$C707&amp;"'!"&amp;"$"&amp;$D707&amp;$AQ$1&amp;"")</f>
        <v>1.5</v>
      </c>
      <c r="AR707" s="288">
        <v>0.94</v>
      </c>
      <c r="AS707" s="286">
        <v>0.55000000000000004</v>
      </c>
      <c r="AT707" s="285">
        <v>13.93</v>
      </c>
      <c r="AU707" s="289">
        <v>70.7</v>
      </c>
      <c r="AV707" s="288" cm="1">
        <f t="array" aca="1" ref="AV707" ca="1">INDIRECT("'"&amp;$C707&amp;"'!"&amp;"$"&amp;$D707&amp;$AV$1&amp;"")</f>
        <v>0</v>
      </c>
      <c r="AW707" s="287" t="s">
        <v>1</v>
      </c>
      <c r="AX707" s="288" t="s">
        <v>1</v>
      </c>
      <c r="AY707" s="286" t="s">
        <v>1</v>
      </c>
      <c r="AZ707" s="288" cm="1">
        <f t="array" aca="1" ref="AZ707" ca="1">INDIRECT("'"&amp;$C707&amp;"'!"&amp;"$"&amp;$D707&amp;$AZ$1&amp;"")</f>
        <v>6.4</v>
      </c>
      <c r="BA707" s="287" t="s">
        <v>1</v>
      </c>
      <c r="BB707" s="288">
        <v>0.98</v>
      </c>
      <c r="BC707" s="286">
        <v>1.41</v>
      </c>
      <c r="BD707" s="290">
        <v>14.1</v>
      </c>
      <c r="BE707" s="289">
        <v>71.739999999999995</v>
      </c>
      <c r="BF707" s="290" cm="1">
        <f t="array" aca="1" ref="BF707" ca="1">INDIRECT("'"&amp;$C707&amp;"'!"&amp;"$"&amp;$D707&amp;$BF$1&amp;"")</f>
        <v>14.28</v>
      </c>
      <c r="BG707" s="288">
        <v>1</v>
      </c>
      <c r="BH707" s="286">
        <v>1.2</v>
      </c>
      <c r="BI707" s="525">
        <v>68.900000000000006</v>
      </c>
      <c r="BJ707" s="285" cm="1">
        <f t="array" aca="1" ref="BJ707" ca="1">INDIRECT("'"&amp;$C707&amp;"'!"&amp;"$"&amp;$D707&amp;$BI$1&amp;"")</f>
        <v>0</v>
      </c>
      <c r="BK707" s="287" t="s">
        <v>1</v>
      </c>
      <c r="BL707" s="286" t="s">
        <v>1</v>
      </c>
      <c r="BM707" s="290" cm="1">
        <f t="array" aca="1" ref="BM707" ca="1">INDIRECT("'"&amp;$C707&amp;"'!"&amp;"$"&amp;$D707&amp;$BM$1&amp;"")</f>
        <v>0.98</v>
      </c>
      <c r="BN707" s="288"/>
      <c r="BO707" s="288">
        <v>0.99</v>
      </c>
      <c r="BP707" s="286">
        <v>0.15</v>
      </c>
      <c r="BQ707" s="290" cm="1">
        <f t="array" aca="1" ref="BQ707" ca="1">INDIRECT("'"&amp;$C707&amp;"'!"&amp;"$"&amp;$D707&amp;$BQ$1&amp;"")</f>
        <v>0.76</v>
      </c>
      <c r="BR707" s="288"/>
      <c r="BS707" s="288">
        <v>0.97</v>
      </c>
      <c r="BT707" s="286">
        <v>0.2</v>
      </c>
      <c r="BU707" s="291" cm="1">
        <f t="array" aca="1" ref="BU707" ca="1">INDIRECT("'"&amp;$C707&amp;"'!"&amp;"$"&amp;$D707&amp;74&amp;"")</f>
        <v>0</v>
      </c>
      <c r="BV707" s="288"/>
      <c r="BW707" s="288" t="s">
        <v>1</v>
      </c>
      <c r="BX707" s="286" t="s">
        <v>1</v>
      </c>
    </row>
    <row r="708" spans="1:76">
      <c r="A708" s="459">
        <v>45867</v>
      </c>
      <c r="B708" s="345">
        <v>0.125</v>
      </c>
      <c r="C708" s="305">
        <v>29</v>
      </c>
      <c r="D708" s="306" t="s">
        <v>145</v>
      </c>
      <c r="E708" s="278">
        <v>14.1</v>
      </c>
      <c r="F708" s="279">
        <v>69.95</v>
      </c>
      <c r="G708" s="280" t="str" cm="1">
        <f t="array" aca="1" ref="G708" ca="1">INDIRECT("'"&amp;$C708&amp;"'!"&amp;"$"&amp;$D708&amp;$E$1&amp;"")</f>
        <v>CMS</v>
      </c>
      <c r="H708" s="281" t="s">
        <v>1</v>
      </c>
      <c r="I708" s="279" t="s">
        <v>1</v>
      </c>
      <c r="J708" s="280" cm="1">
        <f t="array" aca="1" ref="J708" ca="1">INDIRECT("'"&amp;$C708&amp;"'!"&amp;"$"&amp;$D708&amp;$J$1&amp;"")</f>
        <v>2.2000000000000002</v>
      </c>
      <c r="K708" s="281"/>
      <c r="L708" s="281">
        <v>0.94</v>
      </c>
      <c r="M708" s="282">
        <v>0.82</v>
      </c>
      <c r="N708" s="278" cm="1">
        <f t="array" aca="1" ref="N708" ca="1">INDIRECT("'"&amp;$C708&amp;"'!"&amp;"$"&amp;$D708&amp;$N$1&amp;"")</f>
        <v>6.7</v>
      </c>
      <c r="O708" s="281"/>
      <c r="P708" s="281">
        <v>0.98</v>
      </c>
      <c r="Q708" s="279">
        <v>1.19</v>
      </c>
      <c r="R708" s="468" cm="1">
        <f t="array" aca="1" ref="R708" ca="1">INDIRECT("'"&amp;$C708&amp;"'!"&amp;"$"&amp;$D708&amp;$R$1&amp;"")</f>
        <v>4.5</v>
      </c>
      <c r="S708" s="281"/>
      <c r="T708" s="281">
        <v>0.98</v>
      </c>
      <c r="U708" s="279">
        <v>1</v>
      </c>
      <c r="V708" s="280" t="str" cm="1">
        <f t="array" aca="1" ref="V708" ca="1">INDIRECT("'"&amp;$C708&amp;"'!"&amp;"$"&amp;$D708&amp;$V$1&amp;"")</f>
        <v>CMS</v>
      </c>
      <c r="W708" s="281" t="s">
        <v>1</v>
      </c>
      <c r="X708" s="281" t="s">
        <v>1</v>
      </c>
      <c r="Y708" s="282" t="s">
        <v>1</v>
      </c>
      <c r="Z708" s="278" cm="1">
        <f t="array" aca="1" ref="Z708" ca="1">INDIRECT("'"&amp;$C708&amp;"'!"&amp;"$"&amp;$D708&amp;$Z$1&amp;"")</f>
        <v>0</v>
      </c>
      <c r="AA708" s="281" t="s">
        <v>1</v>
      </c>
      <c r="AB708" s="281" t="s">
        <v>1</v>
      </c>
      <c r="AC708" s="279" t="s">
        <v>1</v>
      </c>
      <c r="AD708" s="280" t="str" cm="1">
        <f t="array" aca="1" ref="AD708" ca="1">INDIRECT("'"&amp;$C708&amp;"'!"&amp;"$"&amp;$D708&amp;$AD$1&amp;"")</f>
        <v>CMS</v>
      </c>
      <c r="AE708" s="281" t="s">
        <v>1</v>
      </c>
      <c r="AF708" s="281" t="s">
        <v>1</v>
      </c>
      <c r="AG708" s="282" t="s">
        <v>1</v>
      </c>
      <c r="AH708" s="278" cm="1">
        <f t="array" aca="1" ref="AH708" ca="1">INDIRECT("'"&amp;$C708&amp;"'!"&amp;"$"&amp;$D708&amp;$AH$1&amp;"")</f>
        <v>0</v>
      </c>
      <c r="AI708" s="281" t="s">
        <v>1</v>
      </c>
      <c r="AJ708" s="281" t="s">
        <v>1</v>
      </c>
      <c r="AK708" s="279" t="s">
        <v>1</v>
      </c>
      <c r="AL708" s="278">
        <v>11.6</v>
      </c>
      <c r="AM708" s="282">
        <v>70.900000000000006</v>
      </c>
      <c r="AN708" s="278" cm="1">
        <f t="array" aca="1" ref="AN708" ca="1">INDIRECT("'"&amp;$C708&amp;"'!"&amp;"$"&amp;$D708&amp;$AL$1&amp;"")</f>
        <v>0</v>
      </c>
      <c r="AO708" s="281" t="s">
        <v>1</v>
      </c>
      <c r="AP708" s="279" t="s">
        <v>1</v>
      </c>
      <c r="AQ708" s="280" cm="1">
        <f t="array" aca="1" ref="AQ708" ca="1">INDIRECT("'"&amp;$C708&amp;"'!"&amp;"$"&amp;$D708&amp;$AQ$1&amp;"")</f>
        <v>1.5</v>
      </c>
      <c r="AR708" s="281">
        <v>0.95</v>
      </c>
      <c r="AS708" s="279">
        <v>0.52</v>
      </c>
      <c r="AT708" s="278">
        <v>13.93</v>
      </c>
      <c r="AU708" s="282">
        <v>70.7</v>
      </c>
      <c r="AV708" s="281" cm="1">
        <f t="array" aca="1" ref="AV708" ca="1">INDIRECT("'"&amp;$C708&amp;"'!"&amp;"$"&amp;$D708&amp;$AV$1&amp;"")</f>
        <v>0</v>
      </c>
      <c r="AW708" s="280" t="s">
        <v>1</v>
      </c>
      <c r="AX708" s="281" t="s">
        <v>1</v>
      </c>
      <c r="AY708" s="279" t="s">
        <v>1</v>
      </c>
      <c r="AZ708" s="281" cm="1">
        <f t="array" aca="1" ref="AZ708" ca="1">INDIRECT("'"&amp;$C708&amp;"'!"&amp;"$"&amp;$D708&amp;$AZ$1&amp;"")</f>
        <v>5.7</v>
      </c>
      <c r="BA708" s="280" t="s">
        <v>1</v>
      </c>
      <c r="BB708" s="281">
        <v>0.98</v>
      </c>
      <c r="BC708" s="279">
        <v>1.3</v>
      </c>
      <c r="BD708" s="283">
        <v>14.1</v>
      </c>
      <c r="BE708" s="282">
        <v>71.8</v>
      </c>
      <c r="BF708" s="283" cm="1">
        <f t="array" aca="1" ref="BF708" ca="1">INDIRECT("'"&amp;$C708&amp;"'!"&amp;"$"&amp;$D708&amp;$BF$1&amp;"")</f>
        <v>14.3</v>
      </c>
      <c r="BG708" s="281">
        <v>1</v>
      </c>
      <c r="BH708" s="279">
        <v>1.3</v>
      </c>
      <c r="BI708" s="524">
        <v>68.900000000000006</v>
      </c>
      <c r="BJ708" s="278" cm="1">
        <f t="array" aca="1" ref="BJ708" ca="1">INDIRECT("'"&amp;$C708&amp;"'!"&amp;"$"&amp;$D708&amp;$BI$1&amp;"")</f>
        <v>0</v>
      </c>
      <c r="BK708" s="280" t="s">
        <v>1</v>
      </c>
      <c r="BL708" s="279" t="s">
        <v>1</v>
      </c>
      <c r="BM708" s="283" cm="1">
        <f t="array" aca="1" ref="BM708" ca="1">INDIRECT("'"&amp;$C708&amp;"'!"&amp;"$"&amp;$D708&amp;$BM$1&amp;"")</f>
        <v>0.94</v>
      </c>
      <c r="BN708" s="281"/>
      <c r="BO708" s="281">
        <v>0.99</v>
      </c>
      <c r="BP708" s="279">
        <v>0.14000000000000001</v>
      </c>
      <c r="BQ708" s="283" cm="1">
        <f t="array" aca="1" ref="BQ708" ca="1">INDIRECT("'"&amp;$C708&amp;"'!"&amp;"$"&amp;$D708&amp;$BQ$1&amp;"")</f>
        <v>0.75</v>
      </c>
      <c r="BR708" s="281"/>
      <c r="BS708" s="281">
        <v>0.97</v>
      </c>
      <c r="BT708" s="279">
        <v>0.2</v>
      </c>
      <c r="BU708" s="284" cm="1">
        <f t="array" aca="1" ref="BU708" ca="1">INDIRECT("'"&amp;$C708&amp;"'!"&amp;"$"&amp;$D708&amp;74&amp;"")</f>
        <v>0</v>
      </c>
      <c r="BV708" s="281"/>
      <c r="BW708" s="281" t="s">
        <v>1</v>
      </c>
      <c r="BX708" s="279" t="s">
        <v>1</v>
      </c>
    </row>
    <row r="709" spans="1:76">
      <c r="A709" s="459">
        <v>45867</v>
      </c>
      <c r="B709" s="345">
        <v>0.16666666666666699</v>
      </c>
      <c r="C709" s="305">
        <v>29</v>
      </c>
      <c r="D709" s="306" t="s">
        <v>146</v>
      </c>
      <c r="E709" s="285">
        <v>14.1</v>
      </c>
      <c r="F709" s="286">
        <v>69.92</v>
      </c>
      <c r="G709" s="287" t="str" cm="1">
        <f t="array" aca="1" ref="G709" ca="1">INDIRECT("'"&amp;$C709&amp;"'!"&amp;"$"&amp;$D709&amp;$E$1&amp;"")</f>
        <v>CMS</v>
      </c>
      <c r="H709" s="288" t="s">
        <v>1</v>
      </c>
      <c r="I709" s="286" t="s">
        <v>1</v>
      </c>
      <c r="J709" s="287" cm="1">
        <f t="array" aca="1" ref="J709" ca="1">INDIRECT("'"&amp;$C709&amp;"'!"&amp;"$"&amp;$D709&amp;$J$1&amp;"")</f>
        <v>6.7</v>
      </c>
      <c r="K709" s="288"/>
      <c r="L709" s="288">
        <v>0.97</v>
      </c>
      <c r="M709" s="286">
        <v>1.7</v>
      </c>
      <c r="N709" s="285" cm="1">
        <f t="array" aca="1" ref="N709" ca="1">INDIRECT("'"&amp;$C709&amp;"'!"&amp;"$"&amp;$D709&amp;$N$1&amp;"")</f>
        <v>6.6</v>
      </c>
      <c r="O709" s="288"/>
      <c r="P709" s="288">
        <v>0.98</v>
      </c>
      <c r="Q709" s="286">
        <v>1.17</v>
      </c>
      <c r="R709" s="285" cm="1">
        <f t="array" aca="1" ref="R709" ca="1">INDIRECT("'"&amp;$C709&amp;"'!"&amp;"$"&amp;$D709&amp;$R$1&amp;"")</f>
        <v>0</v>
      </c>
      <c r="S709" s="288"/>
      <c r="T709" s="288" t="s">
        <v>1</v>
      </c>
      <c r="U709" s="286" t="s">
        <v>1</v>
      </c>
      <c r="V709" s="287" t="str" cm="1">
        <f t="array" aca="1" ref="V709" ca="1">INDIRECT("'"&amp;$C709&amp;"'!"&amp;"$"&amp;$D709&amp;$V$1&amp;"")</f>
        <v>CMS</v>
      </c>
      <c r="W709" s="288" t="s">
        <v>1</v>
      </c>
      <c r="X709" s="288" t="s">
        <v>1</v>
      </c>
      <c r="Y709" s="289" t="s">
        <v>1</v>
      </c>
      <c r="Z709" s="285" cm="1">
        <f t="array" aca="1" ref="Z709" ca="1">INDIRECT("'"&amp;$C709&amp;"'!"&amp;"$"&amp;$D709&amp;$Z$1&amp;"")</f>
        <v>0</v>
      </c>
      <c r="AA709" s="288" t="s">
        <v>1</v>
      </c>
      <c r="AB709" s="288" t="s">
        <v>1</v>
      </c>
      <c r="AC709" s="286" t="s">
        <v>1</v>
      </c>
      <c r="AD709" s="287" t="str" cm="1">
        <f t="array" aca="1" ref="AD709" ca="1">INDIRECT("'"&amp;$C709&amp;"'!"&amp;"$"&amp;$D709&amp;$AD$1&amp;"")</f>
        <v>CMS</v>
      </c>
      <c r="AE709" s="288" t="s">
        <v>1</v>
      </c>
      <c r="AF709" s="288" t="s">
        <v>1</v>
      </c>
      <c r="AG709" s="289" t="s">
        <v>1</v>
      </c>
      <c r="AH709" s="285" cm="1">
        <f t="array" aca="1" ref="AH709" ca="1">INDIRECT("'"&amp;$C709&amp;"'!"&amp;"$"&amp;$D709&amp;$AH$1&amp;"")</f>
        <v>0</v>
      </c>
      <c r="AI709" s="288" t="s">
        <v>1</v>
      </c>
      <c r="AJ709" s="288" t="s">
        <v>1</v>
      </c>
      <c r="AK709" s="286" t="s">
        <v>1</v>
      </c>
      <c r="AL709" s="285">
        <v>11.6</v>
      </c>
      <c r="AM709" s="289">
        <v>70.8</v>
      </c>
      <c r="AN709" s="285" cm="1">
        <f t="array" aca="1" ref="AN709" ca="1">INDIRECT("'"&amp;$C709&amp;"'!"&amp;"$"&amp;$D709&amp;$AL$1&amp;"")</f>
        <v>0</v>
      </c>
      <c r="AO709" s="288" t="s">
        <v>1</v>
      </c>
      <c r="AP709" s="286" t="s">
        <v>1</v>
      </c>
      <c r="AQ709" s="287" cm="1">
        <f t="array" aca="1" ref="AQ709" ca="1">INDIRECT("'"&amp;$C709&amp;"'!"&amp;"$"&amp;$D709&amp;$AQ$1&amp;"")</f>
        <v>0</v>
      </c>
      <c r="AR709" s="288" t="s">
        <v>1</v>
      </c>
      <c r="AS709" s="286" t="s">
        <v>1</v>
      </c>
      <c r="AT709" s="285">
        <v>13.91</v>
      </c>
      <c r="AU709" s="289">
        <v>70.7</v>
      </c>
      <c r="AV709" s="288" cm="1">
        <f t="array" aca="1" ref="AV709" ca="1">INDIRECT("'"&amp;$C709&amp;"'!"&amp;"$"&amp;$D709&amp;$AV$1&amp;"")</f>
        <v>0</v>
      </c>
      <c r="AW709" s="287" t="s">
        <v>1</v>
      </c>
      <c r="AX709" s="288" t="s">
        <v>1</v>
      </c>
      <c r="AY709" s="286" t="s">
        <v>1</v>
      </c>
      <c r="AZ709" s="288" cm="1">
        <f t="array" aca="1" ref="AZ709" ca="1">INDIRECT("'"&amp;$C709&amp;"'!"&amp;"$"&amp;$D709&amp;$AZ$1&amp;"")</f>
        <v>6.7</v>
      </c>
      <c r="BA709" s="287" t="s">
        <v>1</v>
      </c>
      <c r="BB709" s="288">
        <v>0.97</v>
      </c>
      <c r="BC709" s="286">
        <v>1.71</v>
      </c>
      <c r="BD709" s="290">
        <v>14.09</v>
      </c>
      <c r="BE709" s="289">
        <v>71.7</v>
      </c>
      <c r="BF709" s="290" cm="1">
        <f t="array" aca="1" ref="BF709" ca="1">INDIRECT("'"&amp;$C709&amp;"'!"&amp;"$"&amp;$D709&amp;$BF$1&amp;"")</f>
        <v>14.25</v>
      </c>
      <c r="BG709" s="288">
        <v>1</v>
      </c>
      <c r="BH709" s="286">
        <v>1.2</v>
      </c>
      <c r="BI709" s="525">
        <v>68.900000000000006</v>
      </c>
      <c r="BJ709" s="285" cm="1">
        <f t="array" aca="1" ref="BJ709" ca="1">INDIRECT("'"&amp;$C709&amp;"'!"&amp;"$"&amp;$D709&amp;$BI$1&amp;"")</f>
        <v>0</v>
      </c>
      <c r="BK709" s="287" t="s">
        <v>1</v>
      </c>
      <c r="BL709" s="286" t="s">
        <v>1</v>
      </c>
      <c r="BM709" s="290" cm="1">
        <f t="array" aca="1" ref="BM709" ca="1">INDIRECT("'"&amp;$C709&amp;"'!"&amp;"$"&amp;$D709&amp;$BM$1&amp;"")</f>
        <v>0.95</v>
      </c>
      <c r="BN709" s="288"/>
      <c r="BO709" s="288">
        <v>0.99</v>
      </c>
      <c r="BP709" s="286">
        <v>0.14000000000000001</v>
      </c>
      <c r="BQ709" s="290" cm="1">
        <f t="array" aca="1" ref="BQ709" ca="1">INDIRECT("'"&amp;$C709&amp;"'!"&amp;"$"&amp;$D709&amp;$BQ$1&amp;"")</f>
        <v>0.74</v>
      </c>
      <c r="BR709" s="288"/>
      <c r="BS709" s="288">
        <v>0.97</v>
      </c>
      <c r="BT709" s="286">
        <v>0.22</v>
      </c>
      <c r="BU709" s="291" cm="1">
        <f t="array" aca="1" ref="BU709" ca="1">INDIRECT("'"&amp;$C709&amp;"'!"&amp;"$"&amp;$D709&amp;74&amp;"")</f>
        <v>0</v>
      </c>
      <c r="BV709" s="288"/>
      <c r="BW709" s="288" t="s">
        <v>1</v>
      </c>
      <c r="BX709" s="286" t="s">
        <v>1</v>
      </c>
    </row>
    <row r="710" spans="1:76">
      <c r="A710" s="459">
        <v>45867</v>
      </c>
      <c r="B710" s="345">
        <v>0.20833333333333301</v>
      </c>
      <c r="C710" s="305">
        <v>29</v>
      </c>
      <c r="D710" s="306" t="s">
        <v>147</v>
      </c>
      <c r="E710" s="278">
        <v>14.1</v>
      </c>
      <c r="F710" s="279">
        <v>69.88</v>
      </c>
      <c r="G710" s="280" t="str" cm="1">
        <f t="array" aca="1" ref="G710" ca="1">INDIRECT("'"&amp;$C710&amp;"'!"&amp;"$"&amp;$D710&amp;$E$1&amp;"")</f>
        <v>CMS</v>
      </c>
      <c r="H710" s="281" t="s">
        <v>1</v>
      </c>
      <c r="I710" s="279" t="s">
        <v>1</v>
      </c>
      <c r="J710" s="280" cm="1">
        <f t="array" aca="1" ref="J710" ca="1">INDIRECT("'"&amp;$C710&amp;"'!"&amp;"$"&amp;$D710&amp;$J$1&amp;"")</f>
        <v>6.7</v>
      </c>
      <c r="K710" s="281"/>
      <c r="L710" s="281">
        <v>0.97</v>
      </c>
      <c r="M710" s="279">
        <v>1.69</v>
      </c>
      <c r="N710" s="278" cm="1">
        <f t="array" aca="1" ref="N710" ca="1">INDIRECT("'"&amp;$C710&amp;"'!"&amp;"$"&amp;$D710&amp;$N$1&amp;"")</f>
        <v>6.7</v>
      </c>
      <c r="O710" s="281"/>
      <c r="P710" s="281">
        <v>0.98</v>
      </c>
      <c r="Q710" s="279">
        <v>1.3</v>
      </c>
      <c r="R710" s="468" cm="1">
        <f t="array" aca="1" ref="R710" ca="1">INDIRECT("'"&amp;$C710&amp;"'!"&amp;"$"&amp;$D710&amp;$R$1&amp;"")</f>
        <v>0</v>
      </c>
      <c r="S710" s="281"/>
      <c r="T710" s="281" t="s">
        <v>1</v>
      </c>
      <c r="U710" s="279" t="s">
        <v>1</v>
      </c>
      <c r="V710" s="280" t="str" cm="1">
        <f t="array" aca="1" ref="V710" ca="1">INDIRECT("'"&amp;$C710&amp;"'!"&amp;"$"&amp;$D710&amp;$V$1&amp;"")</f>
        <v>CMS</v>
      </c>
      <c r="W710" s="281" t="s">
        <v>1</v>
      </c>
      <c r="X710" s="281" t="s">
        <v>1</v>
      </c>
      <c r="Y710" s="282" t="s">
        <v>1</v>
      </c>
      <c r="Z710" s="278" cm="1">
        <f t="array" aca="1" ref="Z710" ca="1">INDIRECT("'"&amp;$C710&amp;"'!"&amp;"$"&amp;$D710&amp;$Z$1&amp;"")</f>
        <v>0</v>
      </c>
      <c r="AA710" s="281" t="s">
        <v>1</v>
      </c>
      <c r="AB710" s="281" t="s">
        <v>1</v>
      </c>
      <c r="AC710" s="279" t="s">
        <v>1</v>
      </c>
      <c r="AD710" s="280" t="str" cm="1">
        <f t="array" aca="1" ref="AD710" ca="1">INDIRECT("'"&amp;$C710&amp;"'!"&amp;"$"&amp;$D710&amp;$AD$1&amp;"")</f>
        <v>CMS</v>
      </c>
      <c r="AE710" s="281" t="s">
        <v>1</v>
      </c>
      <c r="AF710" s="281" t="s">
        <v>1</v>
      </c>
      <c r="AG710" s="282" t="s">
        <v>1</v>
      </c>
      <c r="AH710" s="278" cm="1">
        <f t="array" aca="1" ref="AH710" ca="1">INDIRECT("'"&amp;$C710&amp;"'!"&amp;"$"&amp;$D710&amp;$AH$1&amp;"")</f>
        <v>0</v>
      </c>
      <c r="AI710" s="281" t="s">
        <v>1</v>
      </c>
      <c r="AJ710" s="281" t="s">
        <v>1</v>
      </c>
      <c r="AK710" s="279" t="s">
        <v>1</v>
      </c>
      <c r="AL710" s="278" t="s">
        <v>1</v>
      </c>
      <c r="AM710" s="282">
        <v>70.7</v>
      </c>
      <c r="AN710" s="278" cm="1">
        <f t="array" aca="1" ref="AN710" ca="1">INDIRECT("'"&amp;$C710&amp;"'!"&amp;"$"&amp;$D710&amp;$AL$1&amp;"")</f>
        <v>0</v>
      </c>
      <c r="AO710" s="281" t="s">
        <v>1</v>
      </c>
      <c r="AP710" s="279" t="s">
        <v>1</v>
      </c>
      <c r="AQ710" s="280" cm="1">
        <f t="array" aca="1" ref="AQ710" ca="1">INDIRECT("'"&amp;$C710&amp;"'!"&amp;"$"&amp;$D710&amp;$AQ$1&amp;"")</f>
        <v>0</v>
      </c>
      <c r="AR710" s="281" t="s">
        <v>1</v>
      </c>
      <c r="AS710" s="279" t="s">
        <v>1</v>
      </c>
      <c r="AT710" s="278">
        <v>13.91</v>
      </c>
      <c r="AU710" s="282">
        <v>70.7</v>
      </c>
      <c r="AV710" s="281" cm="1">
        <f t="array" aca="1" ref="AV710" ca="1">INDIRECT("'"&amp;$C710&amp;"'!"&amp;"$"&amp;$D710&amp;$AV$1&amp;"")</f>
        <v>0</v>
      </c>
      <c r="AW710" s="280" t="s">
        <v>1</v>
      </c>
      <c r="AX710" s="281" t="s">
        <v>1</v>
      </c>
      <c r="AY710" s="279" t="s">
        <v>1</v>
      </c>
      <c r="AZ710" s="281" cm="1">
        <f t="array" aca="1" ref="AZ710" ca="1">INDIRECT("'"&amp;$C710&amp;"'!"&amp;"$"&amp;$D710&amp;$AZ$1&amp;"")</f>
        <v>7.4</v>
      </c>
      <c r="BA710" s="280" t="s">
        <v>1</v>
      </c>
      <c r="BB710" s="281">
        <v>0.97</v>
      </c>
      <c r="BC710" s="279">
        <v>1.9</v>
      </c>
      <c r="BD710" s="283">
        <v>14.03</v>
      </c>
      <c r="BE710" s="282">
        <v>71.42</v>
      </c>
      <c r="BF710" s="283" cm="1">
        <f t="array" aca="1" ref="BF710" ca="1">INDIRECT("'"&amp;$C710&amp;"'!"&amp;"$"&amp;$D710&amp;$BF$1&amp;"")</f>
        <v>14.21</v>
      </c>
      <c r="BG710" s="281">
        <v>1</v>
      </c>
      <c r="BH710" s="279">
        <v>1.3</v>
      </c>
      <c r="BI710" s="524">
        <v>68.900000000000006</v>
      </c>
      <c r="BJ710" s="278" cm="1">
        <f t="array" aca="1" ref="BJ710" ca="1">INDIRECT("'"&amp;$C710&amp;"'!"&amp;"$"&amp;$D710&amp;$BI$1&amp;"")</f>
        <v>0</v>
      </c>
      <c r="BK710" s="280" t="s">
        <v>1</v>
      </c>
      <c r="BL710" s="279" t="s">
        <v>1</v>
      </c>
      <c r="BM710" s="283" cm="1">
        <f t="array" aca="1" ref="BM710" ca="1">INDIRECT("'"&amp;$C710&amp;"'!"&amp;"$"&amp;$D710&amp;$BM$1&amp;"")</f>
        <v>1.02</v>
      </c>
      <c r="BN710" s="281"/>
      <c r="BO710" s="281">
        <v>0.99</v>
      </c>
      <c r="BP710" s="279">
        <v>0.14000000000000001</v>
      </c>
      <c r="BQ710" s="283" cm="1">
        <f t="array" aca="1" ref="BQ710" ca="1">INDIRECT("'"&amp;$C710&amp;"'!"&amp;"$"&amp;$D710&amp;$BQ$1&amp;"")</f>
        <v>0.76</v>
      </c>
      <c r="BR710" s="281"/>
      <c r="BS710" s="281">
        <v>0.97</v>
      </c>
      <c r="BT710" s="279">
        <v>0.2</v>
      </c>
      <c r="BU710" s="284" cm="1">
        <f t="array" aca="1" ref="BU710" ca="1">INDIRECT("'"&amp;$C710&amp;"'!"&amp;"$"&amp;$D710&amp;74&amp;"")</f>
        <v>0</v>
      </c>
      <c r="BV710" s="281"/>
      <c r="BW710" s="281" t="s">
        <v>1</v>
      </c>
      <c r="BX710" s="279" t="s">
        <v>1</v>
      </c>
    </row>
    <row r="711" spans="1:76">
      <c r="A711" s="459">
        <v>45867</v>
      </c>
      <c r="B711" s="345">
        <v>0.25</v>
      </c>
      <c r="C711" s="305">
        <v>29</v>
      </c>
      <c r="D711" s="306" t="s">
        <v>148</v>
      </c>
      <c r="E711" s="285">
        <v>14.1</v>
      </c>
      <c r="F711" s="286">
        <v>69.62</v>
      </c>
      <c r="G711" s="287" t="str" cm="1">
        <f t="array" aca="1" ref="G711" ca="1">INDIRECT("'"&amp;$C711&amp;"'!"&amp;"$"&amp;$D711&amp;$E$1&amp;"")</f>
        <v>CMS</v>
      </c>
      <c r="H711" s="288" t="s">
        <v>1</v>
      </c>
      <c r="I711" s="286" t="s">
        <v>1</v>
      </c>
      <c r="J711" s="287" cm="1">
        <f t="array" aca="1" ref="J711" ca="1">INDIRECT("'"&amp;$C711&amp;"'!"&amp;"$"&amp;$D711&amp;$J$1&amp;"")</f>
        <v>6.7</v>
      </c>
      <c r="K711" s="288"/>
      <c r="L711" s="288">
        <v>0.97</v>
      </c>
      <c r="M711" s="286">
        <v>1.74</v>
      </c>
      <c r="N711" s="285" cm="1">
        <f t="array" aca="1" ref="N711" ca="1">INDIRECT("'"&amp;$C711&amp;"'!"&amp;"$"&amp;$D711&amp;$N$1&amp;"")</f>
        <v>6.7</v>
      </c>
      <c r="O711" s="288"/>
      <c r="P711" s="288">
        <v>0.96</v>
      </c>
      <c r="Q711" s="286">
        <v>1.86</v>
      </c>
      <c r="R711" s="285" cm="1">
        <f t="array" aca="1" ref="R711" ca="1">INDIRECT("'"&amp;$C711&amp;"'!"&amp;"$"&amp;$D711&amp;$R$1&amp;"")</f>
        <v>0</v>
      </c>
      <c r="S711" s="288"/>
      <c r="T711" s="288" t="s">
        <v>1</v>
      </c>
      <c r="U711" s="286" t="s">
        <v>1</v>
      </c>
      <c r="V711" s="287" t="str" cm="1">
        <f t="array" aca="1" ref="V711" ca="1">INDIRECT("'"&amp;$C711&amp;"'!"&amp;"$"&amp;$D711&amp;$V$1&amp;"")</f>
        <v>CMS</v>
      </c>
      <c r="W711" s="288" t="s">
        <v>1</v>
      </c>
      <c r="X711" s="288" t="s">
        <v>1</v>
      </c>
      <c r="Y711" s="289" t="s">
        <v>1</v>
      </c>
      <c r="Z711" s="285" cm="1">
        <f t="array" aca="1" ref="Z711" ca="1">INDIRECT("'"&amp;$C711&amp;"'!"&amp;"$"&amp;$D711&amp;$Z$1&amp;"")</f>
        <v>0</v>
      </c>
      <c r="AA711" s="288" t="s">
        <v>1</v>
      </c>
      <c r="AB711" s="288" t="s">
        <v>1</v>
      </c>
      <c r="AC711" s="286" t="s">
        <v>1</v>
      </c>
      <c r="AD711" s="287" t="str" cm="1">
        <f t="array" aca="1" ref="AD711" ca="1">INDIRECT("'"&amp;$C711&amp;"'!"&amp;"$"&amp;$D711&amp;$AD$1&amp;"")</f>
        <v>CMS</v>
      </c>
      <c r="AE711" s="288" t="s">
        <v>1</v>
      </c>
      <c r="AF711" s="288" t="s">
        <v>1</v>
      </c>
      <c r="AG711" s="289" t="s">
        <v>1</v>
      </c>
      <c r="AH711" s="285" cm="1">
        <f t="array" aca="1" ref="AH711" ca="1">INDIRECT("'"&amp;$C711&amp;"'!"&amp;"$"&amp;$D711&amp;$AH$1&amp;"")</f>
        <v>0</v>
      </c>
      <c r="AI711" s="288" t="s">
        <v>1</v>
      </c>
      <c r="AJ711" s="288" t="s">
        <v>1</v>
      </c>
      <c r="AK711" s="286" t="s">
        <v>1</v>
      </c>
      <c r="AL711" s="285">
        <v>11.5</v>
      </c>
      <c r="AM711" s="289">
        <v>70.7</v>
      </c>
      <c r="AN711" s="285" cm="1">
        <f t="array" aca="1" ref="AN711" ca="1">INDIRECT("'"&amp;$C711&amp;"'!"&amp;"$"&amp;$D711&amp;$AL$1&amp;"")</f>
        <v>3.8</v>
      </c>
      <c r="AO711" s="288">
        <v>0.99</v>
      </c>
      <c r="AP711" s="286">
        <v>0.44</v>
      </c>
      <c r="AQ711" s="287" cm="1">
        <f t="array" aca="1" ref="AQ711" ca="1">INDIRECT("'"&amp;$C711&amp;"'!"&amp;"$"&amp;$D711&amp;$AQ$1&amp;"")</f>
        <v>0</v>
      </c>
      <c r="AR711" s="288" t="s">
        <v>1</v>
      </c>
      <c r="AS711" s="286" t="s">
        <v>1</v>
      </c>
      <c r="AT711" s="285">
        <v>13.9</v>
      </c>
      <c r="AU711" s="289">
        <v>70.7</v>
      </c>
      <c r="AV711" s="288" cm="1">
        <f t="array" aca="1" ref="AV711" ca="1">INDIRECT("'"&amp;$C711&amp;"'!"&amp;"$"&amp;$D711&amp;$AV$1&amp;"")</f>
        <v>0</v>
      </c>
      <c r="AW711" s="287" t="s">
        <v>1</v>
      </c>
      <c r="AX711" s="288" t="s">
        <v>1</v>
      </c>
      <c r="AY711" s="286" t="s">
        <v>1</v>
      </c>
      <c r="AZ711" s="288" cm="1">
        <f t="array" aca="1" ref="AZ711" ca="1">INDIRECT("'"&amp;$C711&amp;"'!"&amp;"$"&amp;$D711&amp;$AZ$1&amp;"")</f>
        <v>7</v>
      </c>
      <c r="BA711" s="287" t="s">
        <v>1</v>
      </c>
      <c r="BB711" s="288">
        <v>0.95</v>
      </c>
      <c r="BC711" s="286">
        <v>2.04</v>
      </c>
      <c r="BD711" s="290">
        <v>13.95</v>
      </c>
      <c r="BE711" s="289">
        <v>71.05</v>
      </c>
      <c r="BF711" s="290" cm="1">
        <f t="array" aca="1" ref="BF711" ca="1">INDIRECT("'"&amp;$C711&amp;"'!"&amp;"$"&amp;$D711&amp;$BF$1&amp;"")</f>
        <v>14.26</v>
      </c>
      <c r="BG711" s="288">
        <v>1</v>
      </c>
      <c r="BH711" s="286">
        <v>1.2</v>
      </c>
      <c r="BI711" s="525">
        <v>68.599999999999994</v>
      </c>
      <c r="BJ711" s="285" cm="1">
        <f t="array" aca="1" ref="BJ711" ca="1">INDIRECT("'"&amp;$C711&amp;"'!"&amp;"$"&amp;$D711&amp;$BI$1&amp;"")</f>
        <v>1.5</v>
      </c>
      <c r="BK711" s="287">
        <v>0.97</v>
      </c>
      <c r="BL711" s="286">
        <v>0.37</v>
      </c>
      <c r="BM711" s="290" cm="1">
        <f t="array" aca="1" ref="BM711" ca="1">INDIRECT("'"&amp;$C711&amp;"'!"&amp;"$"&amp;$D711&amp;$BM$1&amp;"")</f>
        <v>1.27</v>
      </c>
      <c r="BN711" s="288"/>
      <c r="BO711" s="288">
        <v>0.99</v>
      </c>
      <c r="BP711" s="286">
        <v>0.17</v>
      </c>
      <c r="BQ711" s="290" cm="1">
        <f t="array" aca="1" ref="BQ711" ca="1">INDIRECT("'"&amp;$C711&amp;"'!"&amp;"$"&amp;$D711&amp;$BQ$1&amp;"")</f>
        <v>0.85</v>
      </c>
      <c r="BR711" s="288"/>
      <c r="BS711" s="288">
        <v>0.97</v>
      </c>
      <c r="BT711" s="286">
        <v>0.21</v>
      </c>
      <c r="BU711" s="291" cm="1">
        <f t="array" aca="1" ref="BU711" ca="1">INDIRECT("'"&amp;$C711&amp;"'!"&amp;"$"&amp;$D711&amp;74&amp;"")</f>
        <v>0</v>
      </c>
      <c r="BV711" s="288"/>
      <c r="BW711" s="288" t="s">
        <v>1</v>
      </c>
      <c r="BX711" s="286" t="s">
        <v>1</v>
      </c>
    </row>
    <row r="712" spans="1:76">
      <c r="A712" s="459">
        <v>45867</v>
      </c>
      <c r="B712" s="345">
        <v>0.29166666666666702</v>
      </c>
      <c r="C712" s="305">
        <v>29</v>
      </c>
      <c r="D712" s="306" t="s">
        <v>149</v>
      </c>
      <c r="E712" s="278">
        <v>14.1</v>
      </c>
      <c r="F712" s="279">
        <v>69.489999999999995</v>
      </c>
      <c r="G712" s="280" t="str" cm="1">
        <f t="array" aca="1" ref="G712" ca="1">INDIRECT("'"&amp;$C712&amp;"'!"&amp;"$"&amp;$D712&amp;$E$1&amp;"")</f>
        <v>CMS</v>
      </c>
      <c r="H712" s="281" t="s">
        <v>1</v>
      </c>
      <c r="I712" s="279" t="s">
        <v>1</v>
      </c>
      <c r="J712" s="280" cm="1">
        <f t="array" aca="1" ref="J712" ca="1">INDIRECT("'"&amp;$C712&amp;"'!"&amp;"$"&amp;$D712&amp;$J$1&amp;"")</f>
        <v>6.7</v>
      </c>
      <c r="K712" s="281"/>
      <c r="L712" s="281">
        <v>0.96</v>
      </c>
      <c r="M712" s="282">
        <v>1.99</v>
      </c>
      <c r="N712" s="278" cm="1">
        <f t="array" aca="1" ref="N712" ca="1">INDIRECT("'"&amp;$C712&amp;"'!"&amp;"$"&amp;$D712&amp;$N$1&amp;"")</f>
        <v>6.7</v>
      </c>
      <c r="O712" s="281"/>
      <c r="P712" s="281">
        <v>0.96</v>
      </c>
      <c r="Q712" s="279">
        <v>2.0299999999999998</v>
      </c>
      <c r="R712" s="468" cm="1">
        <f t="array" aca="1" ref="R712" ca="1">INDIRECT("'"&amp;$C712&amp;"'!"&amp;"$"&amp;$D712&amp;$R$1&amp;"")</f>
        <v>0</v>
      </c>
      <c r="S712" s="281"/>
      <c r="T712" s="281" t="s">
        <v>1</v>
      </c>
      <c r="U712" s="279" t="s">
        <v>1</v>
      </c>
      <c r="V712" s="280" t="str" cm="1">
        <f t="array" aca="1" ref="V712" ca="1">INDIRECT("'"&amp;$C712&amp;"'!"&amp;"$"&amp;$D712&amp;$V$1&amp;"")</f>
        <v>CMS</v>
      </c>
      <c r="W712" s="281" t="s">
        <v>1</v>
      </c>
      <c r="X712" s="281" t="s">
        <v>1</v>
      </c>
      <c r="Y712" s="282" t="s">
        <v>1</v>
      </c>
      <c r="Z712" s="278" cm="1">
        <f t="array" aca="1" ref="Z712" ca="1">INDIRECT("'"&amp;$C712&amp;"'!"&amp;"$"&amp;$D712&amp;$Z$1&amp;"")</f>
        <v>0</v>
      </c>
      <c r="AA712" s="281" t="s">
        <v>1</v>
      </c>
      <c r="AB712" s="281" t="s">
        <v>1</v>
      </c>
      <c r="AC712" s="279" t="s">
        <v>1</v>
      </c>
      <c r="AD712" s="280" t="str" cm="1">
        <f t="array" aca="1" ref="AD712" ca="1">INDIRECT("'"&amp;$C712&amp;"'!"&amp;"$"&amp;$D712&amp;$AD$1&amp;"")</f>
        <v>CMS</v>
      </c>
      <c r="AE712" s="281" t="s">
        <v>1</v>
      </c>
      <c r="AF712" s="281" t="s">
        <v>1</v>
      </c>
      <c r="AG712" s="282" t="s">
        <v>1</v>
      </c>
      <c r="AH712" s="278" cm="1">
        <f t="array" aca="1" ref="AH712" ca="1">INDIRECT("'"&amp;$C712&amp;"'!"&amp;"$"&amp;$D712&amp;$AH$1&amp;"")</f>
        <v>0</v>
      </c>
      <c r="AI712" s="281" t="s">
        <v>1</v>
      </c>
      <c r="AJ712" s="281" t="s">
        <v>1</v>
      </c>
      <c r="AK712" s="279" t="s">
        <v>1</v>
      </c>
      <c r="AL712" s="278">
        <v>11.7</v>
      </c>
      <c r="AM712" s="282">
        <v>70.7</v>
      </c>
      <c r="AN712" s="278" cm="1">
        <f t="array" aca="1" ref="AN712" ca="1">INDIRECT("'"&amp;$C712&amp;"'!"&amp;"$"&amp;$D712&amp;$AL$1&amp;"")</f>
        <v>2</v>
      </c>
      <c r="AO712" s="281">
        <v>0.92</v>
      </c>
      <c r="AP712" s="279">
        <v>0.89</v>
      </c>
      <c r="AQ712" s="280" cm="1">
        <f t="array" aca="1" ref="AQ712" ca="1">INDIRECT("'"&amp;$C712&amp;"'!"&amp;"$"&amp;$D712&amp;$AQ$1&amp;"")</f>
        <v>0</v>
      </c>
      <c r="AR712" s="281" t="s">
        <v>1</v>
      </c>
      <c r="AS712" s="279" t="s">
        <v>1</v>
      </c>
      <c r="AT712" s="278">
        <v>13.91</v>
      </c>
      <c r="AU712" s="282">
        <v>70.7</v>
      </c>
      <c r="AV712" s="281" cm="1">
        <f t="array" aca="1" ref="AV712" ca="1">INDIRECT("'"&amp;$C712&amp;"'!"&amp;"$"&amp;$D712&amp;$AV$1&amp;"")</f>
        <v>0</v>
      </c>
      <c r="AW712" s="280" t="s">
        <v>1</v>
      </c>
      <c r="AX712" s="281" t="s">
        <v>1</v>
      </c>
      <c r="AY712" s="279" t="s">
        <v>1</v>
      </c>
      <c r="AZ712" s="281" cm="1">
        <f t="array" aca="1" ref="AZ712" ca="1">INDIRECT("'"&amp;$C712&amp;"'!"&amp;"$"&amp;$D712&amp;$AZ$1&amp;"")</f>
        <v>7</v>
      </c>
      <c r="BA712" s="280" t="s">
        <v>1</v>
      </c>
      <c r="BB712" s="281">
        <v>0.96</v>
      </c>
      <c r="BC712" s="279">
        <v>2.04</v>
      </c>
      <c r="BD712" s="283">
        <v>14.05</v>
      </c>
      <c r="BE712" s="282">
        <v>71.349999999999994</v>
      </c>
      <c r="BF712" s="283" cm="1">
        <f t="array" aca="1" ref="BF712" ca="1">INDIRECT("'"&amp;$C712&amp;"'!"&amp;"$"&amp;$D712&amp;$BF$1&amp;"")</f>
        <v>14.29</v>
      </c>
      <c r="BG712" s="281">
        <v>1</v>
      </c>
      <c r="BH712" s="279">
        <v>1.2</v>
      </c>
      <c r="BI712" s="524">
        <v>68.5</v>
      </c>
      <c r="BJ712" s="278" cm="1">
        <f t="array" aca="1" ref="BJ712" ca="1">INDIRECT("'"&amp;$C712&amp;"'!"&amp;"$"&amp;$D712&amp;$BI$1&amp;"")</f>
        <v>0</v>
      </c>
      <c r="BK712" s="280" t="s">
        <v>1</v>
      </c>
      <c r="BL712" s="279" t="s">
        <v>1</v>
      </c>
      <c r="BM712" s="283" cm="1">
        <f t="array" aca="1" ref="BM712" ca="1">INDIRECT("'"&amp;$C712&amp;"'!"&amp;"$"&amp;$D712&amp;$BM$1&amp;"")</f>
        <v>1.21</v>
      </c>
      <c r="BN712" s="281"/>
      <c r="BO712" s="281">
        <v>0.99</v>
      </c>
      <c r="BP712" s="279">
        <v>0.17</v>
      </c>
      <c r="BQ712" s="284" cm="1">
        <f t="array" aca="1" ref="BQ712" ca="1">INDIRECT("'"&amp;$C712&amp;"'!"&amp;"$"&amp;$D712&amp;$BQ$1&amp;"")</f>
        <v>0.78</v>
      </c>
      <c r="BR712" s="281"/>
      <c r="BS712" s="281">
        <v>0.96</v>
      </c>
      <c r="BT712" s="279">
        <v>0.21</v>
      </c>
      <c r="BU712" s="284" cm="1">
        <f t="array" aca="1" ref="BU712" ca="1">INDIRECT("'"&amp;$C712&amp;"'!"&amp;"$"&amp;$D712&amp;74&amp;"")</f>
        <v>0</v>
      </c>
      <c r="BV712" s="281"/>
      <c r="BW712" s="281" t="s">
        <v>1</v>
      </c>
      <c r="BX712" s="279" t="s">
        <v>1</v>
      </c>
    </row>
    <row r="713" spans="1:76">
      <c r="A713" s="459">
        <v>45867</v>
      </c>
      <c r="B713" s="345">
        <v>0.33333333333333398</v>
      </c>
      <c r="C713" s="305">
        <v>29</v>
      </c>
      <c r="D713" s="306" t="s">
        <v>150</v>
      </c>
      <c r="E713" s="285">
        <v>14</v>
      </c>
      <c r="F713" s="286">
        <v>69.44</v>
      </c>
      <c r="G713" s="287" t="str" cm="1">
        <f t="array" aca="1" ref="G713" ca="1">INDIRECT("'"&amp;$C713&amp;"'!"&amp;"$"&amp;$D713&amp;$E$1&amp;"")</f>
        <v>CMS</v>
      </c>
      <c r="H713" s="288" t="s">
        <v>1</v>
      </c>
      <c r="I713" s="286" t="s">
        <v>1</v>
      </c>
      <c r="J713" s="287" cm="1">
        <f t="array" aca="1" ref="J713" ca="1">INDIRECT("'"&amp;$C713&amp;"'!"&amp;"$"&amp;$D713&amp;$J$1&amp;"")</f>
        <v>6.7</v>
      </c>
      <c r="K713" s="288"/>
      <c r="L713" s="288">
        <v>0.95</v>
      </c>
      <c r="M713" s="289">
        <v>2.1</v>
      </c>
      <c r="N713" s="285" cm="1">
        <f t="array" aca="1" ref="N713" ca="1">INDIRECT("'"&amp;$C713&amp;"'!"&amp;"$"&amp;$D713&amp;$N$1&amp;"")</f>
        <v>6.7</v>
      </c>
      <c r="O713" s="288"/>
      <c r="P713" s="288">
        <v>0.95</v>
      </c>
      <c r="Q713" s="286">
        <v>2.1</v>
      </c>
      <c r="R713" s="285" cm="1">
        <f t="array" aca="1" ref="R713" ca="1">INDIRECT("'"&amp;$C713&amp;"'!"&amp;"$"&amp;$D713&amp;$R$1&amp;"")</f>
        <v>2.1</v>
      </c>
      <c r="S713" s="288"/>
      <c r="T713" s="288">
        <v>0.98</v>
      </c>
      <c r="U713" s="286">
        <v>0.5</v>
      </c>
      <c r="V713" s="287" t="str" cm="1">
        <f t="array" aca="1" ref="V713" ca="1">INDIRECT("'"&amp;$C713&amp;"'!"&amp;"$"&amp;$D713&amp;$V$1&amp;"")</f>
        <v>CMS</v>
      </c>
      <c r="W713" s="288" t="s">
        <v>1</v>
      </c>
      <c r="X713" s="288" t="s">
        <v>1</v>
      </c>
      <c r="Y713" s="289" t="s">
        <v>1</v>
      </c>
      <c r="Z713" s="285" cm="1">
        <f t="array" aca="1" ref="Z713" ca="1">INDIRECT("'"&amp;$C713&amp;"'!"&amp;"$"&amp;$D713&amp;$Z$1&amp;"")</f>
        <v>0</v>
      </c>
      <c r="AA713" s="288" t="s">
        <v>1</v>
      </c>
      <c r="AB713" s="288" t="s">
        <v>1</v>
      </c>
      <c r="AC713" s="286" t="s">
        <v>1</v>
      </c>
      <c r="AD713" s="287" t="str" cm="1">
        <f t="array" aca="1" ref="AD713" ca="1">INDIRECT("'"&amp;$C713&amp;"'!"&amp;"$"&amp;$D713&amp;$AD$1&amp;"")</f>
        <v>CMS</v>
      </c>
      <c r="AE713" s="288" t="s">
        <v>1</v>
      </c>
      <c r="AF713" s="288" t="s">
        <v>1</v>
      </c>
      <c r="AG713" s="289" t="s">
        <v>1</v>
      </c>
      <c r="AH713" s="285" cm="1">
        <f t="array" aca="1" ref="AH713" ca="1">INDIRECT("'"&amp;$C713&amp;"'!"&amp;"$"&amp;$D713&amp;$AH$1&amp;"")</f>
        <v>0</v>
      </c>
      <c r="AI713" s="288" t="s">
        <v>1</v>
      </c>
      <c r="AJ713" s="288" t="s">
        <v>1</v>
      </c>
      <c r="AK713" s="286" t="s">
        <v>1</v>
      </c>
      <c r="AL713" s="285">
        <v>11.6</v>
      </c>
      <c r="AM713" s="289">
        <v>70.599999999999994</v>
      </c>
      <c r="AN713" s="285" cm="1">
        <f t="array" aca="1" ref="AN713" ca="1">INDIRECT("'"&amp;$C713&amp;"'!"&amp;"$"&amp;$D713&amp;$AL$1&amp;"")</f>
        <v>3.8</v>
      </c>
      <c r="AO713" s="288">
        <v>0.98</v>
      </c>
      <c r="AP713" s="286">
        <v>0.74</v>
      </c>
      <c r="AQ713" s="287" cm="1">
        <f t="array" aca="1" ref="AQ713" ca="1">INDIRECT("'"&amp;$C713&amp;"'!"&amp;"$"&amp;$D713&amp;$AQ$1&amp;"")</f>
        <v>0</v>
      </c>
      <c r="AR713" s="288" t="s">
        <v>1</v>
      </c>
      <c r="AS713" s="286" t="s">
        <v>1</v>
      </c>
      <c r="AT713" s="285">
        <v>13.9</v>
      </c>
      <c r="AU713" s="289">
        <v>70.7</v>
      </c>
      <c r="AV713" s="288" cm="1">
        <f t="array" aca="1" ref="AV713" ca="1">INDIRECT("'"&amp;$C713&amp;"'!"&amp;"$"&amp;$D713&amp;$AV$1&amp;"")</f>
        <v>0</v>
      </c>
      <c r="AW713" s="287" t="s">
        <v>1</v>
      </c>
      <c r="AX713" s="288" t="s">
        <v>1</v>
      </c>
      <c r="AY713" s="286" t="s">
        <v>1</v>
      </c>
      <c r="AZ713" s="288" cm="1">
        <f t="array" aca="1" ref="AZ713" ca="1">INDIRECT("'"&amp;$C713&amp;"'!"&amp;"$"&amp;$D713&amp;$AZ$1&amp;"")</f>
        <v>7</v>
      </c>
      <c r="BA713" s="287" t="s">
        <v>1</v>
      </c>
      <c r="BB713" s="288">
        <v>0.96</v>
      </c>
      <c r="BC713" s="286">
        <v>2</v>
      </c>
      <c r="BD713" s="290">
        <v>14.15</v>
      </c>
      <c r="BE713" s="289">
        <v>71.430000000000007</v>
      </c>
      <c r="BF713" s="290" cm="1">
        <f t="array" aca="1" ref="BF713" ca="1">INDIRECT("'"&amp;$C713&amp;"'!"&amp;"$"&amp;$D713&amp;$BF$1&amp;"")</f>
        <v>14.26</v>
      </c>
      <c r="BG713" s="288">
        <v>0.99</v>
      </c>
      <c r="BH713" s="286">
        <v>2.2999999999999998</v>
      </c>
      <c r="BI713" s="525">
        <v>68.3</v>
      </c>
      <c r="BJ713" s="285" cm="1">
        <f t="array" aca="1" ref="BJ713" ca="1">INDIRECT("'"&amp;$C713&amp;"'!"&amp;"$"&amp;$D713&amp;$BI$1&amp;"")</f>
        <v>3.2</v>
      </c>
      <c r="BK713" s="287">
        <v>0.96</v>
      </c>
      <c r="BL713" s="286">
        <v>0.93</v>
      </c>
      <c r="BM713" s="290" cm="1">
        <f t="array" aca="1" ref="BM713" ca="1">INDIRECT("'"&amp;$C713&amp;"'!"&amp;"$"&amp;$D713&amp;$BM$1&amp;"")</f>
        <v>1.25</v>
      </c>
      <c r="BN713" s="288"/>
      <c r="BO713" s="288">
        <v>0.99</v>
      </c>
      <c r="BP713" s="286">
        <v>0.19</v>
      </c>
      <c r="BQ713" s="291" cm="1">
        <f t="array" aca="1" ref="BQ713" ca="1">INDIRECT("'"&amp;$C713&amp;"'!"&amp;"$"&amp;$D713&amp;$BQ$1&amp;"")</f>
        <v>0.79</v>
      </c>
      <c r="BR713" s="288"/>
      <c r="BS713" s="288">
        <v>0.96</v>
      </c>
      <c r="BT713" s="286">
        <v>0.21</v>
      </c>
      <c r="BU713" s="291" cm="1">
        <f t="array" aca="1" ref="BU713" ca="1">INDIRECT("'"&amp;$C713&amp;"'!"&amp;"$"&amp;$D713&amp;74&amp;"")</f>
        <v>0</v>
      </c>
      <c r="BV713" s="288"/>
      <c r="BW713" s="288" t="s">
        <v>1</v>
      </c>
      <c r="BX713" s="286" t="s">
        <v>1</v>
      </c>
    </row>
    <row r="714" spans="1:76">
      <c r="A714" s="459">
        <v>45867</v>
      </c>
      <c r="B714" s="345">
        <v>0.375</v>
      </c>
      <c r="C714" s="305">
        <v>29</v>
      </c>
      <c r="D714" s="306" t="s">
        <v>151</v>
      </c>
      <c r="E714" s="278">
        <v>14</v>
      </c>
      <c r="F714" s="279">
        <v>68.7</v>
      </c>
      <c r="G714" s="280" t="str" cm="1">
        <f t="array" aca="1" ref="G714" ca="1">INDIRECT("'"&amp;$C714&amp;"'!"&amp;"$"&amp;$D714&amp;$E$1&amp;"")</f>
        <v>CMS</v>
      </c>
      <c r="H714" s="281" t="s">
        <v>1</v>
      </c>
      <c r="I714" s="279" t="s">
        <v>1</v>
      </c>
      <c r="J714" s="280" cm="1">
        <f t="array" aca="1" ref="J714" ca="1">INDIRECT("'"&amp;$C714&amp;"'!"&amp;"$"&amp;$D714&amp;$J$1&amp;"")</f>
        <v>7</v>
      </c>
      <c r="K714" s="281"/>
      <c r="L714" s="281">
        <v>0.93</v>
      </c>
      <c r="M714" s="282">
        <v>2.8</v>
      </c>
      <c r="N714" s="278" cm="1">
        <f t="array" aca="1" ref="N714" ca="1">INDIRECT("'"&amp;$C714&amp;"'!"&amp;"$"&amp;$D714&amp;$N$1&amp;"")</f>
        <v>7</v>
      </c>
      <c r="O714" s="281"/>
      <c r="P714" s="281">
        <v>0.93</v>
      </c>
      <c r="Q714" s="279">
        <v>2.8</v>
      </c>
      <c r="R714" s="468" cm="1">
        <f t="array" aca="1" ref="R714" ca="1">INDIRECT("'"&amp;$C714&amp;"'!"&amp;"$"&amp;$D714&amp;$R$1&amp;"")</f>
        <v>7</v>
      </c>
      <c r="S714" s="281"/>
      <c r="T714" s="281">
        <v>0.93</v>
      </c>
      <c r="U714" s="279">
        <v>2.8</v>
      </c>
      <c r="V714" s="280" t="str" cm="1">
        <f t="array" aca="1" ref="V714" ca="1">INDIRECT("'"&amp;$C714&amp;"'!"&amp;"$"&amp;$D714&amp;$V$1&amp;"")</f>
        <v>CMS</v>
      </c>
      <c r="W714" s="281" t="s">
        <v>1</v>
      </c>
      <c r="X714" s="281" t="s">
        <v>1</v>
      </c>
      <c r="Y714" s="282" t="s">
        <v>1</v>
      </c>
      <c r="Z714" s="278" cm="1">
        <f t="array" aca="1" ref="Z714" ca="1">INDIRECT("'"&amp;$C714&amp;"'!"&amp;"$"&amp;$D714&amp;$Z$1&amp;"")</f>
        <v>3.5</v>
      </c>
      <c r="AA714" s="281">
        <f>3.8*3.45</f>
        <v>13.11</v>
      </c>
      <c r="AB714" s="281">
        <v>0.94</v>
      </c>
      <c r="AC714" s="279">
        <v>1.24</v>
      </c>
      <c r="AD714" s="280" t="str" cm="1">
        <f t="array" aca="1" ref="AD714" ca="1">INDIRECT("'"&amp;$C714&amp;"'!"&amp;"$"&amp;$D714&amp;$AD$1&amp;"")</f>
        <v>CMS</v>
      </c>
      <c r="AE714" s="281" t="s">
        <v>1</v>
      </c>
      <c r="AF714" s="281" t="s">
        <v>1</v>
      </c>
      <c r="AG714" s="282" t="s">
        <v>1</v>
      </c>
      <c r="AH714" s="278" cm="1">
        <f t="array" aca="1" ref="AH714" ca="1">INDIRECT("'"&amp;$C714&amp;"'!"&amp;"$"&amp;$D714&amp;$AH$1&amp;"")</f>
        <v>3.8</v>
      </c>
      <c r="AI714" s="281">
        <v>13.92</v>
      </c>
      <c r="AJ714" s="281">
        <v>0.98</v>
      </c>
      <c r="AK714" s="279">
        <v>0.378</v>
      </c>
      <c r="AL714" s="278">
        <v>11.6</v>
      </c>
      <c r="AM714" s="282">
        <v>70.400000000000006</v>
      </c>
      <c r="AN714" s="278" cm="1">
        <f t="array" aca="1" ref="AN714" ca="1">INDIRECT("'"&amp;$C714&amp;"'!"&amp;"$"&amp;$D714&amp;$AL$1&amp;"")</f>
        <v>3.8</v>
      </c>
      <c r="AO714" s="281">
        <v>0.96</v>
      </c>
      <c r="AP714" s="279">
        <v>1.05</v>
      </c>
      <c r="AQ714" s="280" cm="1">
        <f t="array" aca="1" ref="AQ714" ca="1">INDIRECT("'"&amp;$C714&amp;"'!"&amp;"$"&amp;$D714&amp;$AQ$1&amp;"")</f>
        <v>0</v>
      </c>
      <c r="AR714" s="281" t="s">
        <v>1</v>
      </c>
      <c r="AS714" s="279" t="s">
        <v>1</v>
      </c>
      <c r="AT714" s="278">
        <v>13.89</v>
      </c>
      <c r="AU714" s="282">
        <v>70.5</v>
      </c>
      <c r="AV714" s="281" cm="1">
        <f t="array" aca="1" ref="AV714" ca="1">INDIRECT("'"&amp;$C714&amp;"'!"&amp;"$"&amp;$D714&amp;$AV$1&amp;"")</f>
        <v>0</v>
      </c>
      <c r="AW714" s="280" t="s">
        <v>1</v>
      </c>
      <c r="AX714" s="281" t="s">
        <v>1</v>
      </c>
      <c r="AY714" s="279" t="s">
        <v>1</v>
      </c>
      <c r="AZ714" s="281" cm="1">
        <f t="array" aca="1" ref="AZ714" ca="1">INDIRECT("'"&amp;$C714&amp;"'!"&amp;"$"&amp;$D714&amp;$AZ$1&amp;"")</f>
        <v>7</v>
      </c>
      <c r="BA714" s="280" t="s">
        <v>1</v>
      </c>
      <c r="BB714" s="281">
        <v>0.95</v>
      </c>
      <c r="BC714" s="279">
        <v>2.4</v>
      </c>
      <c r="BD714" s="283">
        <v>14.02</v>
      </c>
      <c r="BE714" s="282">
        <v>70.84</v>
      </c>
      <c r="BF714" s="283" cm="1">
        <f t="array" aca="1" ref="BF714" ca="1">INDIRECT("'"&amp;$C714&amp;"'!"&amp;"$"&amp;$D714&amp;$BF$1&amp;"")</f>
        <v>14.22</v>
      </c>
      <c r="BG714" s="281">
        <v>0.99</v>
      </c>
      <c r="BH714" s="279">
        <v>2.2999999999999998</v>
      </c>
      <c r="BI714" s="524">
        <v>67.599999999999994</v>
      </c>
      <c r="BJ714" s="278" cm="1">
        <f t="array" aca="1" ref="BJ714" ca="1">INDIRECT("'"&amp;$C714&amp;"'!"&amp;"$"&amp;$D714&amp;$BI$1&amp;"")</f>
        <v>0</v>
      </c>
      <c r="BK714" s="280" t="s">
        <v>1</v>
      </c>
      <c r="BL714" s="279" t="s">
        <v>1</v>
      </c>
      <c r="BM714" s="283" cm="1">
        <f t="array" aca="1" ref="BM714" ca="1">INDIRECT("'"&amp;$C714&amp;"'!"&amp;"$"&amp;$D714&amp;$BM$1&amp;"")</f>
        <v>1.43</v>
      </c>
      <c r="BN714" s="281"/>
      <c r="BO714" s="281">
        <v>0.99</v>
      </c>
      <c r="BP714" s="279">
        <v>0.2</v>
      </c>
      <c r="BQ714" s="284" cm="1">
        <f t="array" aca="1" ref="BQ714" ca="1">INDIRECT("'"&amp;$C714&amp;"'!"&amp;"$"&amp;$D714&amp;$BQ$1&amp;"")</f>
        <v>0.84</v>
      </c>
      <c r="BR714" s="281"/>
      <c r="BS714" s="281">
        <v>0.96</v>
      </c>
      <c r="BT714" s="279">
        <v>0.23</v>
      </c>
      <c r="BU714" s="284" cm="1">
        <f t="array" aca="1" ref="BU714" ca="1">INDIRECT("'"&amp;$C714&amp;"'!"&amp;"$"&amp;$D714&amp;74&amp;"")</f>
        <v>0</v>
      </c>
      <c r="BV714" s="281"/>
      <c r="BW714" s="281" t="s">
        <v>1</v>
      </c>
      <c r="BX714" s="279" t="s">
        <v>1</v>
      </c>
    </row>
    <row r="715" spans="1:76">
      <c r="A715" s="459">
        <v>45867</v>
      </c>
      <c r="B715" s="345">
        <v>0.41666666666666702</v>
      </c>
      <c r="C715" s="305">
        <v>29</v>
      </c>
      <c r="D715" s="306" t="s">
        <v>152</v>
      </c>
      <c r="E715" s="285">
        <v>14</v>
      </c>
      <c r="F715" s="286">
        <v>68.760000000000005</v>
      </c>
      <c r="G715" s="287" t="str" cm="1">
        <f t="array" aca="1" ref="G715" ca="1">INDIRECT("'"&amp;$C715&amp;"'!"&amp;"$"&amp;$D715&amp;$E$1&amp;"")</f>
        <v>CMS</v>
      </c>
      <c r="H715" s="288" t="s">
        <v>1</v>
      </c>
      <c r="I715" s="286" t="s">
        <v>1</v>
      </c>
      <c r="J715" s="287" cm="1">
        <f t="array" aca="1" ref="J715" ca="1">INDIRECT("'"&amp;$C715&amp;"'!"&amp;"$"&amp;$D715&amp;$J$1&amp;"")</f>
        <v>6.6</v>
      </c>
      <c r="K715" s="288"/>
      <c r="L715" s="288">
        <v>0.91</v>
      </c>
      <c r="M715" s="289">
        <v>3</v>
      </c>
      <c r="N715" s="285" cm="1">
        <f t="array" aca="1" ref="N715" ca="1">INDIRECT("'"&amp;$C715&amp;"'!"&amp;"$"&amp;$D715&amp;$N$1&amp;"")</f>
        <v>6.6</v>
      </c>
      <c r="O715" s="288"/>
      <c r="P715" s="288">
        <v>0.91</v>
      </c>
      <c r="Q715" s="286">
        <v>3</v>
      </c>
      <c r="R715" s="285" cm="1">
        <f t="array" aca="1" ref="R715" ca="1">INDIRECT("'"&amp;$C715&amp;"'!"&amp;"$"&amp;$D715&amp;$R$1&amp;"")</f>
        <v>6.6</v>
      </c>
      <c r="S715" s="288"/>
      <c r="T715" s="288">
        <v>0.91</v>
      </c>
      <c r="U715" s="286">
        <v>3</v>
      </c>
      <c r="V715" s="287" t="str" cm="1">
        <f t="array" aca="1" ref="V715" ca="1">INDIRECT("'"&amp;$C715&amp;"'!"&amp;"$"&amp;$D715&amp;$V$1&amp;"")</f>
        <v>CMS</v>
      </c>
      <c r="W715" s="288" t="s">
        <v>1</v>
      </c>
      <c r="X715" s="288" t="s">
        <v>1</v>
      </c>
      <c r="Y715" s="289" t="s">
        <v>1</v>
      </c>
      <c r="Z715" s="285" cm="1">
        <f t="array" aca="1" ref="Z715" ca="1">INDIRECT("'"&amp;$C715&amp;"'!"&amp;"$"&amp;$D715&amp;$Z$1&amp;"")</f>
        <v>3.3</v>
      </c>
      <c r="AA715" s="288">
        <f>3.41*3.8</f>
        <v>12.958</v>
      </c>
      <c r="AB715" s="288">
        <v>0.93</v>
      </c>
      <c r="AC715" s="286">
        <v>1.19</v>
      </c>
      <c r="AD715" s="287" t="str" cm="1">
        <f t="array" aca="1" ref="AD715" ca="1">INDIRECT("'"&amp;$C715&amp;"'!"&amp;"$"&amp;$D715&amp;$AD$1&amp;"")</f>
        <v>CMS</v>
      </c>
      <c r="AE715" s="288" t="s">
        <v>1</v>
      </c>
      <c r="AF715" s="288" t="s">
        <v>1</v>
      </c>
      <c r="AG715" s="289" t="s">
        <v>1</v>
      </c>
      <c r="AH715" s="285" cm="1">
        <f t="array" aca="1" ref="AH715" ca="1">INDIRECT("'"&amp;$C715&amp;"'!"&amp;"$"&amp;$D715&amp;$AH$1&amp;"")</f>
        <v>3.8</v>
      </c>
      <c r="AI715" s="288">
        <v>13.92</v>
      </c>
      <c r="AJ715" s="288">
        <v>0.98</v>
      </c>
      <c r="AK715" s="286">
        <v>0.42899999999999999</v>
      </c>
      <c r="AL715" s="285">
        <v>11.6</v>
      </c>
      <c r="AM715" s="289">
        <v>70.400000000000006</v>
      </c>
      <c r="AN715" s="285" cm="1">
        <f t="array" aca="1" ref="AN715" ca="1">INDIRECT("'"&amp;$C715&amp;"'!"&amp;"$"&amp;$D715&amp;$AL$1&amp;"")</f>
        <v>3.7</v>
      </c>
      <c r="AO715" s="288">
        <v>0.96</v>
      </c>
      <c r="AP715" s="286">
        <v>0.95</v>
      </c>
      <c r="AQ715" s="287" cm="1">
        <f t="array" aca="1" ref="AQ715" ca="1">INDIRECT("'"&amp;$C715&amp;"'!"&amp;"$"&amp;$D715&amp;$AQ$1&amp;"")</f>
        <v>0</v>
      </c>
      <c r="AR715" s="288" t="s">
        <v>1</v>
      </c>
      <c r="AS715" s="286" t="s">
        <v>1</v>
      </c>
      <c r="AT715" s="285">
        <v>13.92</v>
      </c>
      <c r="AU715" s="289">
        <v>70.400000000000006</v>
      </c>
      <c r="AV715" s="288" cm="1">
        <f t="array" aca="1" ref="AV715" ca="1">INDIRECT("'"&amp;$C715&amp;"'!"&amp;"$"&amp;$D715&amp;$AV$1&amp;"")</f>
        <v>4</v>
      </c>
      <c r="AW715" s="287" t="s">
        <v>1</v>
      </c>
      <c r="AX715" s="288">
        <v>0.98</v>
      </c>
      <c r="AY715" s="286">
        <v>0.89</v>
      </c>
      <c r="AZ715" s="288" cm="1">
        <f t="array" aca="1" ref="AZ715" ca="1">INDIRECT("'"&amp;$C715&amp;"'!"&amp;"$"&amp;$D715&amp;$AZ$1&amp;"")</f>
        <v>7</v>
      </c>
      <c r="BA715" s="287" t="s">
        <v>1</v>
      </c>
      <c r="BB715" s="288">
        <v>0.96199999999999997</v>
      </c>
      <c r="BC715" s="286">
        <v>2</v>
      </c>
      <c r="BD715" s="290">
        <v>14.16</v>
      </c>
      <c r="BE715" s="289">
        <v>71.19</v>
      </c>
      <c r="BF715" s="290" cm="1">
        <f t="array" aca="1" ref="BF715" ca="1">INDIRECT("'"&amp;$C715&amp;"'!"&amp;"$"&amp;$D715&amp;$BF$1&amp;"")</f>
        <v>14.27</v>
      </c>
      <c r="BG715" s="288">
        <v>0.98</v>
      </c>
      <c r="BH715" s="286">
        <v>3.4</v>
      </c>
      <c r="BI715" s="525">
        <v>67.5</v>
      </c>
      <c r="BJ715" s="285" cm="1">
        <f t="array" aca="1" ref="BJ715" ca="1">INDIRECT("'"&amp;$C715&amp;"'!"&amp;"$"&amp;$D715&amp;$BI$1&amp;"")</f>
        <v>2.12</v>
      </c>
      <c r="BK715" s="287">
        <v>0.95</v>
      </c>
      <c r="BL715" s="286">
        <v>0.69</v>
      </c>
      <c r="BM715" s="290" cm="1">
        <f t="array" aca="1" ref="BM715" ca="1">INDIRECT("'"&amp;$C715&amp;"'!"&amp;"$"&amp;$D715&amp;$BM$1&amp;"")</f>
        <v>1.51</v>
      </c>
      <c r="BN715" s="288"/>
      <c r="BO715" s="288">
        <v>0.99</v>
      </c>
      <c r="BP715" s="286">
        <v>0.22</v>
      </c>
      <c r="BQ715" s="291" cm="1">
        <f t="array" aca="1" ref="BQ715" ca="1">INDIRECT("'"&amp;$C715&amp;"'!"&amp;"$"&amp;$D715&amp;$BQ$1&amp;"")</f>
        <v>0.86</v>
      </c>
      <c r="BR715" s="288"/>
      <c r="BS715" s="288">
        <v>0.96</v>
      </c>
      <c r="BT715" s="286">
        <v>0.24</v>
      </c>
      <c r="BU715" s="291" cm="1">
        <f t="array" aca="1" ref="BU715" ca="1">INDIRECT("'"&amp;$C715&amp;"'!"&amp;"$"&amp;$D715&amp;74&amp;"")</f>
        <v>0</v>
      </c>
      <c r="BV715" s="288"/>
      <c r="BW715" s="288" t="s">
        <v>1</v>
      </c>
      <c r="BX715" s="286" t="s">
        <v>1</v>
      </c>
    </row>
    <row r="716" spans="1:76">
      <c r="A716" s="459">
        <v>45867</v>
      </c>
      <c r="B716" s="345">
        <v>0.45833333333333398</v>
      </c>
      <c r="C716" s="305">
        <v>29</v>
      </c>
      <c r="D716" s="306" t="s">
        <v>153</v>
      </c>
      <c r="E716" s="278">
        <v>14.1</v>
      </c>
      <c r="F716" s="279">
        <v>68.73</v>
      </c>
      <c r="G716" s="280" t="str" cm="1">
        <f t="array" aca="1" ref="G716" ca="1">INDIRECT("'"&amp;$C716&amp;"'!"&amp;"$"&amp;$D716&amp;$E$1&amp;"")</f>
        <v>CMS</v>
      </c>
      <c r="H716" s="281" t="s">
        <v>1</v>
      </c>
      <c r="I716" s="279" t="s">
        <v>1</v>
      </c>
      <c r="J716" s="280" cm="1">
        <f t="array" aca="1" ref="J716" ca="1">INDIRECT("'"&amp;$C716&amp;"'!"&amp;"$"&amp;$D716&amp;$J$1&amp;"")</f>
        <v>6.8</v>
      </c>
      <c r="K716" s="281"/>
      <c r="L716" s="281">
        <v>0.93</v>
      </c>
      <c r="M716" s="282">
        <v>3.3</v>
      </c>
      <c r="N716" s="278" cm="1">
        <f t="array" aca="1" ref="N716" ca="1">INDIRECT("'"&amp;$C716&amp;"'!"&amp;"$"&amp;$D716&amp;$N$1&amp;"")</f>
        <v>6.8</v>
      </c>
      <c r="O716" s="281"/>
      <c r="P716" s="281">
        <v>0.93</v>
      </c>
      <c r="Q716" s="279">
        <v>3.3</v>
      </c>
      <c r="R716" s="468" cm="1">
        <f t="array" aca="1" ref="R716" ca="1">INDIRECT("'"&amp;$C716&amp;"'!"&amp;"$"&amp;$D716&amp;$R$1&amp;"")</f>
        <v>6.8</v>
      </c>
      <c r="S716" s="281"/>
      <c r="T716" s="281">
        <v>0.93</v>
      </c>
      <c r="U716" s="279">
        <v>3.3</v>
      </c>
      <c r="V716" s="280" t="str" cm="1">
        <f t="array" aca="1" ref="V716" ca="1">INDIRECT("'"&amp;$C716&amp;"'!"&amp;"$"&amp;$D716&amp;$V$1&amp;"")</f>
        <v>CMS</v>
      </c>
      <c r="W716" s="281" t="s">
        <v>1</v>
      </c>
      <c r="X716" s="281" t="s">
        <v>1</v>
      </c>
      <c r="Y716" s="282" t="s">
        <v>1</v>
      </c>
      <c r="Z716" s="278" cm="1">
        <f t="array" aca="1" ref="Z716" ca="1">INDIRECT("'"&amp;$C716&amp;"'!"&amp;"$"&amp;$D716&amp;$Z$1&amp;"")</f>
        <v>3.5</v>
      </c>
      <c r="AA716" s="281">
        <f>3.8*3.41</f>
        <v>12.958</v>
      </c>
      <c r="AB716" s="281">
        <v>0.9</v>
      </c>
      <c r="AC716" s="279">
        <v>1.62</v>
      </c>
      <c r="AD716" s="280" t="str" cm="1">
        <f t="array" aca="1" ref="AD716" ca="1">INDIRECT("'"&amp;$C716&amp;"'!"&amp;"$"&amp;$D716&amp;$AD$1&amp;"")</f>
        <v>CMS</v>
      </c>
      <c r="AE716" s="281" t="s">
        <v>1</v>
      </c>
      <c r="AF716" s="281" t="s">
        <v>1</v>
      </c>
      <c r="AG716" s="282" t="s">
        <v>1</v>
      </c>
      <c r="AH716" s="278" cm="1">
        <f t="array" aca="1" ref="AH716" ca="1">INDIRECT("'"&amp;$C716&amp;"'!"&amp;"$"&amp;$D716&amp;$AH$1&amp;"")</f>
        <v>3.8</v>
      </c>
      <c r="AI716" s="281">
        <v>14.08</v>
      </c>
      <c r="AJ716" s="281">
        <v>0.97</v>
      </c>
      <c r="AK716" s="279">
        <v>0.56000000000000005</v>
      </c>
      <c r="AL716" s="278">
        <v>11.6</v>
      </c>
      <c r="AM716" s="282">
        <v>70.5</v>
      </c>
      <c r="AN716" s="278" cm="1">
        <f t="array" aca="1" ref="AN716" ca="1">INDIRECT("'"&amp;$C716&amp;"'!"&amp;"$"&amp;$D716&amp;$AL$1&amp;"")</f>
        <v>3.7</v>
      </c>
      <c r="AO716" s="281">
        <v>0.95</v>
      </c>
      <c r="AP716" s="279">
        <v>0.95</v>
      </c>
      <c r="AQ716" s="280" cm="1">
        <f t="array" aca="1" ref="AQ716" ca="1">INDIRECT("'"&amp;$C716&amp;"'!"&amp;"$"&amp;$D716&amp;$AQ$1&amp;"")</f>
        <v>0</v>
      </c>
      <c r="AR716" s="281" t="s">
        <v>1</v>
      </c>
      <c r="AS716" s="279" t="s">
        <v>1</v>
      </c>
      <c r="AT716" s="278">
        <v>13.91</v>
      </c>
      <c r="AU716" s="282">
        <v>70.400000000000006</v>
      </c>
      <c r="AV716" s="281" cm="1">
        <f t="array" aca="1" ref="AV716" ca="1">INDIRECT("'"&amp;$C716&amp;"'!"&amp;"$"&amp;$D716&amp;$AV$1&amp;"")</f>
        <v>4.7</v>
      </c>
      <c r="AW716" s="280" t="s">
        <v>1</v>
      </c>
      <c r="AX716" s="281">
        <v>0.98</v>
      </c>
      <c r="AY716" s="279">
        <v>0.91</v>
      </c>
      <c r="AZ716" s="281" cm="1">
        <f t="array" aca="1" ref="AZ716" ca="1">INDIRECT("'"&amp;$C716&amp;"'!"&amp;"$"&amp;$D716&amp;$AZ$1&amp;"")</f>
        <v>7</v>
      </c>
      <c r="BA716" s="280" t="s">
        <v>1</v>
      </c>
      <c r="BB716" s="281">
        <v>0.96</v>
      </c>
      <c r="BC716" s="279">
        <v>2</v>
      </c>
      <c r="BD716" s="283">
        <v>14.12</v>
      </c>
      <c r="BE716" s="282">
        <v>71.05</v>
      </c>
      <c r="BF716" s="283" cm="1">
        <f t="array" aca="1" ref="BF716" ca="1">INDIRECT("'"&amp;$C716&amp;"'!"&amp;"$"&amp;$D716&amp;$BF$1&amp;"")</f>
        <v>14.27</v>
      </c>
      <c r="BG716" s="281">
        <v>0.98</v>
      </c>
      <c r="BH716" s="279">
        <v>3.4</v>
      </c>
      <c r="BI716" s="524">
        <v>67.400000000000006</v>
      </c>
      <c r="BJ716" s="278" cm="1">
        <f t="array" aca="1" ref="BJ716" ca="1">INDIRECT("'"&amp;$C716&amp;"'!"&amp;"$"&amp;$D716&amp;$BI$1&amp;"")</f>
        <v>2.2000000000000002</v>
      </c>
      <c r="BK716" s="280">
        <v>0.95</v>
      </c>
      <c r="BL716" s="279">
        <v>0.72</v>
      </c>
      <c r="BM716" s="283" cm="1">
        <f t="array" aca="1" ref="BM716" ca="1">INDIRECT("'"&amp;$C716&amp;"'!"&amp;"$"&amp;$D716&amp;$BM$1&amp;"")</f>
        <v>1.52</v>
      </c>
      <c r="BN716" s="281"/>
      <c r="BO716" s="281">
        <v>0.99</v>
      </c>
      <c r="BP716" s="279">
        <v>0.22</v>
      </c>
      <c r="BQ716" s="284" cm="1">
        <f t="array" aca="1" ref="BQ716" ca="1">INDIRECT("'"&amp;$C716&amp;"'!"&amp;"$"&amp;$D716&amp;$BQ$1&amp;"")</f>
        <v>0.88</v>
      </c>
      <c r="BR716" s="281"/>
      <c r="BS716" s="281">
        <v>0.96</v>
      </c>
      <c r="BT716" s="279">
        <v>0.25</v>
      </c>
      <c r="BU716" s="284" cm="1">
        <f t="array" aca="1" ref="BU716" ca="1">INDIRECT("'"&amp;$C716&amp;"'!"&amp;"$"&amp;$D716&amp;74&amp;"")</f>
        <v>0</v>
      </c>
      <c r="BV716" s="281"/>
      <c r="BW716" s="281" t="s">
        <v>1</v>
      </c>
      <c r="BX716" s="279" t="s">
        <v>1</v>
      </c>
    </row>
    <row r="717" spans="1:76">
      <c r="A717" s="459">
        <v>45867</v>
      </c>
      <c r="B717" s="345">
        <v>0.5</v>
      </c>
      <c r="C717" s="305">
        <v>29</v>
      </c>
      <c r="D717" s="306" t="s">
        <v>154</v>
      </c>
      <c r="E717" s="285">
        <v>14.1</v>
      </c>
      <c r="F717" s="286">
        <v>69</v>
      </c>
      <c r="G717" s="287" t="str" cm="1">
        <f t="array" aca="1" ref="G717" ca="1">INDIRECT("'"&amp;$C717&amp;"'!"&amp;"$"&amp;$D717&amp;$E$1&amp;"")</f>
        <v>CMS</v>
      </c>
      <c r="H717" s="288" t="s">
        <v>1</v>
      </c>
      <c r="I717" s="286" t="s">
        <v>1</v>
      </c>
      <c r="J717" s="287" cm="1">
        <f t="array" aca="1" ref="J717" ca="1">INDIRECT("'"&amp;$C717&amp;"'!"&amp;"$"&amp;$D717&amp;$J$1&amp;"")</f>
        <v>6.6</v>
      </c>
      <c r="K717" s="288"/>
      <c r="L717" s="288">
        <v>0.91</v>
      </c>
      <c r="M717" s="289">
        <v>2.9</v>
      </c>
      <c r="N717" s="285" cm="1">
        <f t="array" aca="1" ref="N717" ca="1">INDIRECT("'"&amp;$C717&amp;"'!"&amp;"$"&amp;$D717&amp;$N$1&amp;"")</f>
        <v>6.6</v>
      </c>
      <c r="O717" s="288"/>
      <c r="P717" s="288">
        <v>0.91</v>
      </c>
      <c r="Q717" s="289">
        <v>2.9</v>
      </c>
      <c r="R717" s="285" cm="1">
        <f t="array" aca="1" ref="R717" ca="1">INDIRECT("'"&amp;$C717&amp;"'!"&amp;"$"&amp;$D717&amp;$R$1&amp;"")</f>
        <v>6.6</v>
      </c>
      <c r="S717" s="288"/>
      <c r="T717" s="288">
        <v>0.91</v>
      </c>
      <c r="U717" s="286">
        <v>2.9</v>
      </c>
      <c r="V717" s="287" t="str" cm="1">
        <f t="array" aca="1" ref="V717" ca="1">INDIRECT("'"&amp;$C717&amp;"'!"&amp;"$"&amp;$D717&amp;$V$1&amp;"")</f>
        <v>CMS</v>
      </c>
      <c r="W717" s="288" t="s">
        <v>1</v>
      </c>
      <c r="X717" s="288" t="s">
        <v>1</v>
      </c>
      <c r="Y717" s="289" t="s">
        <v>1</v>
      </c>
      <c r="Z717" s="285" cm="1">
        <f t="array" aca="1" ref="Z717" ca="1">INDIRECT("'"&amp;$C717&amp;"'!"&amp;"$"&amp;$D717&amp;$Z$1&amp;"")</f>
        <v>3.4</v>
      </c>
      <c r="AA717" s="288">
        <f>3.8*3.43</f>
        <v>13.034000000000001</v>
      </c>
      <c r="AB717" s="288">
        <v>0.9</v>
      </c>
      <c r="AC717" s="286">
        <v>1.59</v>
      </c>
      <c r="AD717" s="287" t="str" cm="1">
        <f t="array" aca="1" ref="AD717" ca="1">INDIRECT("'"&amp;$C717&amp;"'!"&amp;"$"&amp;$D717&amp;$AD$1&amp;"")</f>
        <v>CMS</v>
      </c>
      <c r="AE717" s="288" t="s">
        <v>1</v>
      </c>
      <c r="AF717" s="288" t="s">
        <v>1</v>
      </c>
      <c r="AG717" s="289" t="s">
        <v>1</v>
      </c>
      <c r="AH717" s="285" cm="1">
        <f t="array" aca="1" ref="AH717" ca="1">INDIRECT("'"&amp;$C717&amp;"'!"&amp;"$"&amp;$D717&amp;$AH$1&amp;"")</f>
        <v>3.8</v>
      </c>
      <c r="AI717" s="288">
        <v>14.12</v>
      </c>
      <c r="AJ717" s="288">
        <v>0.97</v>
      </c>
      <c r="AK717" s="286">
        <v>0.58899999999999997</v>
      </c>
      <c r="AL717" s="285">
        <v>11.6</v>
      </c>
      <c r="AM717" s="289">
        <v>70.7</v>
      </c>
      <c r="AN717" s="285" cm="1">
        <f t="array" aca="1" ref="AN717" ca="1">INDIRECT("'"&amp;$C717&amp;"'!"&amp;"$"&amp;$D717&amp;$AL$1&amp;"")</f>
        <v>0</v>
      </c>
      <c r="AO717" s="288" t="s">
        <v>1</v>
      </c>
      <c r="AP717" s="286" t="s">
        <v>1</v>
      </c>
      <c r="AQ717" s="287" cm="1">
        <f t="array" aca="1" ref="AQ717" ca="1">INDIRECT("'"&amp;$C717&amp;"'!"&amp;"$"&amp;$D717&amp;$AQ$1&amp;"")</f>
        <v>3.8</v>
      </c>
      <c r="AR717" s="288">
        <v>0.95</v>
      </c>
      <c r="AS717" s="286">
        <v>1.1000000000000001</v>
      </c>
      <c r="AT717" s="285">
        <v>13.96</v>
      </c>
      <c r="AU717" s="289">
        <v>70.400000000000006</v>
      </c>
      <c r="AV717" s="288" cm="1">
        <f t="array" aca="1" ref="AV717" ca="1">INDIRECT("'"&amp;$C717&amp;"'!"&amp;"$"&amp;$D717&amp;$AV$1&amp;"")</f>
        <v>4.3</v>
      </c>
      <c r="AW717" s="287" t="s">
        <v>1</v>
      </c>
      <c r="AX717" s="288">
        <v>0.95</v>
      </c>
      <c r="AY717" s="286">
        <v>1.3</v>
      </c>
      <c r="AZ717" s="288" cm="1">
        <f t="array" aca="1" ref="AZ717" ca="1">INDIRECT("'"&amp;$C717&amp;"'!"&amp;"$"&amp;$D717&amp;$AZ$1&amp;"")</f>
        <v>7</v>
      </c>
      <c r="BA717" s="287" t="s">
        <v>1</v>
      </c>
      <c r="BB717" s="288">
        <v>0.98</v>
      </c>
      <c r="BC717" s="286">
        <v>1.2</v>
      </c>
      <c r="BD717" s="290">
        <v>14.25</v>
      </c>
      <c r="BE717" s="289">
        <v>71.63</v>
      </c>
      <c r="BF717" s="290" cm="1">
        <f t="array" aca="1" ref="BF717" ca="1">INDIRECT("'"&amp;$C717&amp;"'!"&amp;"$"&amp;$D717&amp;$BF$1&amp;"")</f>
        <v>14.29</v>
      </c>
      <c r="BG717" s="288">
        <v>0.98</v>
      </c>
      <c r="BH717" s="286">
        <v>3.4</v>
      </c>
      <c r="BI717" s="525">
        <v>67.900000000000006</v>
      </c>
      <c r="BJ717" s="285" cm="1">
        <f t="array" aca="1" ref="BJ717" ca="1">INDIRECT("'"&amp;$C717&amp;"'!"&amp;"$"&amp;$D717&amp;$BI$1&amp;"")</f>
        <v>2.0999999999999996</v>
      </c>
      <c r="BK717" s="287">
        <v>0.95</v>
      </c>
      <c r="BL717" s="286">
        <v>0.69</v>
      </c>
      <c r="BM717" s="290" cm="1">
        <f t="array" aca="1" ref="BM717" ca="1">INDIRECT("'"&amp;$C717&amp;"'!"&amp;"$"&amp;$D717&amp;$BM$1&amp;"")</f>
        <v>1.5500000000000003</v>
      </c>
      <c r="BN717" s="288"/>
      <c r="BO717" s="288">
        <v>0.99</v>
      </c>
      <c r="BP717" s="286">
        <v>0.22</v>
      </c>
      <c r="BQ717" s="291" cm="1">
        <f t="array" aca="1" ref="BQ717" ca="1">INDIRECT("'"&amp;$C717&amp;"'!"&amp;"$"&amp;$D717&amp;$BQ$1&amp;"")</f>
        <v>0.89</v>
      </c>
      <c r="BR717" s="288"/>
      <c r="BS717" s="288">
        <v>0.96</v>
      </c>
      <c r="BT717" s="286">
        <v>0.26</v>
      </c>
      <c r="BU717" s="291" cm="1">
        <f t="array" aca="1" ref="BU717" ca="1">INDIRECT("'"&amp;$C717&amp;"'!"&amp;"$"&amp;$D717&amp;74&amp;"")</f>
        <v>0</v>
      </c>
      <c r="BV717" s="288"/>
      <c r="BW717" s="288" t="s">
        <v>1</v>
      </c>
      <c r="BX717" s="286" t="s">
        <v>1</v>
      </c>
    </row>
    <row r="718" spans="1:76">
      <c r="A718" s="459">
        <v>45867</v>
      </c>
      <c r="B718" s="345">
        <v>0.54166666666666696</v>
      </c>
      <c r="C718" s="305">
        <v>29</v>
      </c>
      <c r="D718" s="306" t="s">
        <v>155</v>
      </c>
      <c r="E718" s="278">
        <v>14.1</v>
      </c>
      <c r="F718" s="279">
        <v>68.7</v>
      </c>
      <c r="G718" s="280" t="str" cm="1">
        <f t="array" aca="1" ref="G718" ca="1">INDIRECT("'"&amp;$C718&amp;"'!"&amp;"$"&amp;$D718&amp;$E$1&amp;"")</f>
        <v>CMS</v>
      </c>
      <c r="H718" s="281" t="s">
        <v>1</v>
      </c>
      <c r="I718" s="279" t="s">
        <v>1</v>
      </c>
      <c r="J718" s="280" cm="1">
        <f t="array" aca="1" ref="J718" ca="1">INDIRECT("'"&amp;$C718&amp;"'!"&amp;"$"&amp;$D718&amp;$J$1&amp;"")</f>
        <v>6.8</v>
      </c>
      <c r="K718" s="281"/>
      <c r="L718" s="281">
        <v>0.91</v>
      </c>
      <c r="M718" s="279">
        <v>3</v>
      </c>
      <c r="N718" s="278" cm="1">
        <f t="array" aca="1" ref="N718" ca="1">INDIRECT("'"&amp;$C718&amp;"'!"&amp;"$"&amp;$D718&amp;$N$1&amp;"")</f>
        <v>6.8</v>
      </c>
      <c r="O718" s="281"/>
      <c r="P718" s="281">
        <v>0.91</v>
      </c>
      <c r="Q718" s="279">
        <v>3</v>
      </c>
      <c r="R718" s="468" cm="1">
        <f t="array" aca="1" ref="R718" ca="1">INDIRECT("'"&amp;$C718&amp;"'!"&amp;"$"&amp;$D718&amp;$R$1&amp;"")</f>
        <v>6.8</v>
      </c>
      <c r="S718" s="281"/>
      <c r="T718" s="281">
        <v>0.91</v>
      </c>
      <c r="U718" s="279">
        <v>3</v>
      </c>
      <c r="V718" s="280" t="str" cm="1">
        <f t="array" aca="1" ref="V718" ca="1">INDIRECT("'"&amp;$C718&amp;"'!"&amp;"$"&amp;$D718&amp;$V$1&amp;"")</f>
        <v>CMS</v>
      </c>
      <c r="W718" s="281" t="s">
        <v>1</v>
      </c>
      <c r="X718" s="281" t="s">
        <v>1</v>
      </c>
      <c r="Y718" s="282" t="s">
        <v>1</v>
      </c>
      <c r="Z718" s="278" cm="1">
        <f t="array" aca="1" ref="Z718" ca="1">INDIRECT("'"&amp;$C718&amp;"'!"&amp;"$"&amp;$D718&amp;$Z$1&amp;"")</f>
        <v>3.5</v>
      </c>
      <c r="AA718" s="281">
        <f>3.8*3.41</f>
        <v>12.958</v>
      </c>
      <c r="AB718" s="281">
        <v>0.9</v>
      </c>
      <c r="AC718" s="279">
        <v>1.63</v>
      </c>
      <c r="AD718" s="280" t="str" cm="1">
        <f t="array" aca="1" ref="AD718" ca="1">INDIRECT("'"&amp;$C718&amp;"'!"&amp;"$"&amp;$D718&amp;$AD$1&amp;"")</f>
        <v>CMS</v>
      </c>
      <c r="AE718" s="281" t="s">
        <v>1</v>
      </c>
      <c r="AF718" s="281" t="s">
        <v>1</v>
      </c>
      <c r="AG718" s="282" t="s">
        <v>1</v>
      </c>
      <c r="AH718" s="278" cm="1">
        <f t="array" aca="1" ref="AH718" ca="1">INDIRECT("'"&amp;$C718&amp;"'!"&amp;"$"&amp;$D718&amp;$AH$1&amp;"")</f>
        <v>3.8</v>
      </c>
      <c r="AI718" s="281">
        <v>14.12</v>
      </c>
      <c r="AJ718" s="281">
        <v>0.97</v>
      </c>
      <c r="AK718" s="279">
        <v>0.58099999999999996</v>
      </c>
      <c r="AL718" s="278">
        <v>11.6</v>
      </c>
      <c r="AM718" s="282">
        <v>71</v>
      </c>
      <c r="AN718" s="278" cm="1">
        <f t="array" aca="1" ref="AN718" ca="1">INDIRECT("'"&amp;$C718&amp;"'!"&amp;"$"&amp;$D718&amp;$AL$1&amp;"")</f>
        <v>0</v>
      </c>
      <c r="AO718" s="281" t="s">
        <v>1</v>
      </c>
      <c r="AP718" s="279" t="s">
        <v>1</v>
      </c>
      <c r="AQ718" s="280" cm="1">
        <f t="array" aca="1" ref="AQ718" ca="1">INDIRECT("'"&amp;$C718&amp;"'!"&amp;"$"&amp;$D718&amp;$AQ$1&amp;"")</f>
        <v>3.8</v>
      </c>
      <c r="AR718" s="281">
        <v>0.92</v>
      </c>
      <c r="AS718" s="279">
        <v>1.4</v>
      </c>
      <c r="AT718" s="278">
        <v>14.01</v>
      </c>
      <c r="AU718" s="282">
        <v>70.400000000000006</v>
      </c>
      <c r="AV718" s="281" cm="1">
        <f t="array" aca="1" ref="AV718" ca="1">INDIRECT("'"&amp;$C718&amp;"'!"&amp;"$"&amp;$D718&amp;$AV$1&amp;"")</f>
        <v>5.7</v>
      </c>
      <c r="AW718" s="280">
        <v>13.7</v>
      </c>
      <c r="AX718" s="281">
        <v>0.95</v>
      </c>
      <c r="AY718" s="279">
        <v>2</v>
      </c>
      <c r="AZ718" s="281" cm="1">
        <f t="array" aca="1" ref="AZ718" ca="1">INDIRECT("'"&amp;$C718&amp;"'!"&amp;"$"&amp;$D718&amp;$AZ$1&amp;"")</f>
        <v>7</v>
      </c>
      <c r="BA718" s="280">
        <v>13.7</v>
      </c>
      <c r="BB718" s="281">
        <v>0.96</v>
      </c>
      <c r="BC718" s="279">
        <v>2</v>
      </c>
      <c r="BD718" s="283">
        <v>14.27</v>
      </c>
      <c r="BE718" s="282">
        <v>71.75</v>
      </c>
      <c r="BF718" s="283" cm="1">
        <f t="array" aca="1" ref="BF718" ca="1">INDIRECT("'"&amp;$C718&amp;"'!"&amp;"$"&amp;$D718&amp;$BF$1&amp;"")</f>
        <v>14.25</v>
      </c>
      <c r="BG718" s="281">
        <v>0.98</v>
      </c>
      <c r="BH718" s="279">
        <v>3.4</v>
      </c>
      <c r="BI718" s="524">
        <v>67.5</v>
      </c>
      <c r="BJ718" s="278" cm="1">
        <f t="array" aca="1" ref="BJ718" ca="1">INDIRECT("'"&amp;$C718&amp;"'!"&amp;"$"&amp;$D718&amp;$BI$1&amp;"")</f>
        <v>2.21</v>
      </c>
      <c r="BK718" s="280">
        <v>0.95</v>
      </c>
      <c r="BL718" s="279">
        <v>0.72</v>
      </c>
      <c r="BM718" s="283" cm="1">
        <f t="array" aca="1" ref="BM718" ca="1">INDIRECT("'"&amp;$C718&amp;"'!"&amp;"$"&amp;$D718&amp;$BM$1&amp;"")</f>
        <v>1.56</v>
      </c>
      <c r="BN718" s="281"/>
      <c r="BO718" s="281">
        <v>0.99</v>
      </c>
      <c r="BP718" s="279">
        <v>0.22</v>
      </c>
      <c r="BQ718" s="284" cm="1">
        <f t="array" aca="1" ref="BQ718" ca="1">INDIRECT("'"&amp;$C718&amp;"'!"&amp;"$"&amp;$D718&amp;$BQ$1&amp;"")</f>
        <v>0.92</v>
      </c>
      <c r="BR718" s="281"/>
      <c r="BS718" s="281">
        <v>0.96</v>
      </c>
      <c r="BT718" s="279">
        <v>0.26</v>
      </c>
      <c r="BU718" s="284" cm="1">
        <f t="array" aca="1" ref="BU718" ca="1">INDIRECT("'"&amp;$C718&amp;"'!"&amp;"$"&amp;$D718&amp;74&amp;"")</f>
        <v>0</v>
      </c>
      <c r="BV718" s="281"/>
      <c r="BW718" s="281" t="s">
        <v>1</v>
      </c>
      <c r="BX718" s="279" t="s">
        <v>1</v>
      </c>
    </row>
    <row r="719" spans="1:76">
      <c r="A719" s="459">
        <v>45867</v>
      </c>
      <c r="B719" s="345">
        <v>0.58333333333333404</v>
      </c>
      <c r="C719" s="305">
        <v>29</v>
      </c>
      <c r="D719" s="306" t="s">
        <v>156</v>
      </c>
      <c r="E719" s="285">
        <v>14.1</v>
      </c>
      <c r="F719" s="286">
        <v>68.819999999999993</v>
      </c>
      <c r="G719" s="287" t="str" cm="1">
        <f t="array" aca="1" ref="G719" ca="1">INDIRECT("'"&amp;$C719&amp;"'!"&amp;"$"&amp;$D719&amp;$E$1&amp;"")</f>
        <v>CMS</v>
      </c>
      <c r="H719" s="288" t="s">
        <v>1</v>
      </c>
      <c r="I719" s="286" t="s">
        <v>1</v>
      </c>
      <c r="J719" s="287" cm="1">
        <f t="array" aca="1" ref="J719" ca="1">INDIRECT("'"&amp;$C719&amp;"'!"&amp;"$"&amp;$D719&amp;$J$1&amp;"")</f>
        <v>6.7</v>
      </c>
      <c r="K719" s="288"/>
      <c r="L719" s="288">
        <v>0.91</v>
      </c>
      <c r="M719" s="289">
        <v>3</v>
      </c>
      <c r="N719" s="285" cm="1">
        <f t="array" aca="1" ref="N719" ca="1">INDIRECT("'"&amp;$C719&amp;"'!"&amp;"$"&amp;$D719&amp;$N$1&amp;"")</f>
        <v>6.7</v>
      </c>
      <c r="O719" s="288"/>
      <c r="P719" s="288">
        <v>0.91</v>
      </c>
      <c r="Q719" s="286">
        <v>3</v>
      </c>
      <c r="R719" s="285" cm="1">
        <f t="array" aca="1" ref="R719" ca="1">INDIRECT("'"&amp;$C719&amp;"'!"&amp;"$"&amp;$D719&amp;$R$1&amp;"")</f>
        <v>6.7</v>
      </c>
      <c r="S719" s="288"/>
      <c r="T719" s="288">
        <v>0.91</v>
      </c>
      <c r="U719" s="286">
        <v>3</v>
      </c>
      <c r="V719" s="287" t="str" cm="1">
        <f t="array" aca="1" ref="V719" ca="1">INDIRECT("'"&amp;$C719&amp;"'!"&amp;"$"&amp;$D719&amp;$V$1&amp;"")</f>
        <v>CMS</v>
      </c>
      <c r="W719" s="288" t="s">
        <v>1</v>
      </c>
      <c r="X719" s="288" t="s">
        <v>1</v>
      </c>
      <c r="Y719" s="289" t="s">
        <v>1</v>
      </c>
      <c r="Z719" s="285" cm="1">
        <f t="array" aca="1" ref="Z719" ca="1">INDIRECT("'"&amp;$C719&amp;"'!"&amp;"$"&amp;$D719&amp;$Z$1&amp;"")</f>
        <v>3.4</v>
      </c>
      <c r="AA719" s="288">
        <f>3.4*3.8</f>
        <v>12.92</v>
      </c>
      <c r="AB719" s="288">
        <v>0.9</v>
      </c>
      <c r="AC719" s="286">
        <v>1.59</v>
      </c>
      <c r="AD719" s="287" t="str" cm="1">
        <f t="array" aca="1" ref="AD719" ca="1">INDIRECT("'"&amp;$C719&amp;"'!"&amp;"$"&amp;$D719&amp;$AD$1&amp;"")</f>
        <v>CMS</v>
      </c>
      <c r="AE719" s="288" t="s">
        <v>1</v>
      </c>
      <c r="AF719" s="288" t="s">
        <v>1</v>
      </c>
      <c r="AG719" s="289" t="s">
        <v>1</v>
      </c>
      <c r="AH719" s="285" cm="1">
        <f t="array" aca="1" ref="AH719" ca="1">INDIRECT("'"&amp;$C719&amp;"'!"&amp;"$"&amp;$D719&amp;$AH$1&amp;"")</f>
        <v>3.8</v>
      </c>
      <c r="AI719" s="288">
        <v>14.08</v>
      </c>
      <c r="AJ719" s="288">
        <v>0.98</v>
      </c>
      <c r="AK719" s="286">
        <v>0.46400000000000002</v>
      </c>
      <c r="AL719" s="285">
        <v>11.6</v>
      </c>
      <c r="AM719" s="289">
        <v>70.7</v>
      </c>
      <c r="AN719" s="285" cm="1">
        <f t="array" aca="1" ref="AN719" ca="1">INDIRECT("'"&amp;$C719&amp;"'!"&amp;"$"&amp;$D719&amp;$AL$1&amp;"")</f>
        <v>0</v>
      </c>
      <c r="AO719" s="288" t="s">
        <v>1</v>
      </c>
      <c r="AP719" s="286" t="s">
        <v>1</v>
      </c>
      <c r="AQ719" s="287" cm="1">
        <f t="array" aca="1" ref="AQ719" ca="1">INDIRECT("'"&amp;$C719&amp;"'!"&amp;"$"&amp;$D719&amp;$AQ$1&amp;"")</f>
        <v>3.8</v>
      </c>
      <c r="AR719" s="288">
        <v>0.93</v>
      </c>
      <c r="AS719" s="286">
        <v>1.48</v>
      </c>
      <c r="AT719" s="285">
        <v>14.02</v>
      </c>
      <c r="AU719" s="289">
        <v>70.599999999999994</v>
      </c>
      <c r="AV719" s="288" cm="1">
        <f t="array" aca="1" ref="AV719" ca="1">INDIRECT("'"&amp;$C719&amp;"'!"&amp;"$"&amp;$D719&amp;$AV$1&amp;"")</f>
        <v>7</v>
      </c>
      <c r="AW719" s="287">
        <v>13.7</v>
      </c>
      <c r="AX719" s="288">
        <v>0.97</v>
      </c>
      <c r="AY719" s="286">
        <v>1.8</v>
      </c>
      <c r="AZ719" s="288" cm="1">
        <f t="array" aca="1" ref="AZ719" ca="1">INDIRECT("'"&amp;$C719&amp;"'!"&amp;"$"&amp;$D719&amp;$AZ$1&amp;"")</f>
        <v>7</v>
      </c>
      <c r="BA719" s="287">
        <v>13.7</v>
      </c>
      <c r="BB719" s="288">
        <v>0.97</v>
      </c>
      <c r="BC719" s="286">
        <v>1.8</v>
      </c>
      <c r="BD719" s="290">
        <v>14.28</v>
      </c>
      <c r="BE719" s="289">
        <v>71.64</v>
      </c>
      <c r="BF719" s="290" cm="1">
        <f t="array" aca="1" ref="BF719" ca="1">INDIRECT("'"&amp;$C719&amp;"'!"&amp;"$"&amp;$D719&amp;$BF$1&amp;"")</f>
        <v>14.28</v>
      </c>
      <c r="BG719" s="288">
        <v>0.98</v>
      </c>
      <c r="BH719" s="286">
        <v>3.4</v>
      </c>
      <c r="BI719" s="525">
        <v>67.7</v>
      </c>
      <c r="BJ719" s="285" cm="1">
        <f t="array" aca="1" ref="BJ719" ca="1">INDIRECT("'"&amp;$C719&amp;"'!"&amp;"$"&amp;$D719&amp;$BI$1&amp;"")</f>
        <v>3.71</v>
      </c>
      <c r="BK719" s="287">
        <v>0.95</v>
      </c>
      <c r="BL719" s="286">
        <v>1.2</v>
      </c>
      <c r="BM719" s="290" cm="1">
        <f t="array" aca="1" ref="BM719" ca="1">INDIRECT("'"&amp;$C719&amp;"'!"&amp;"$"&amp;$D719&amp;$BM$1&amp;"")</f>
        <v>1.5699999999999998</v>
      </c>
      <c r="BN719" s="288"/>
      <c r="BO719" s="288">
        <v>0.99</v>
      </c>
      <c r="BP719" s="286">
        <v>0.22</v>
      </c>
      <c r="BQ719" s="291" cm="1">
        <f t="array" aca="1" ref="BQ719" ca="1">INDIRECT("'"&amp;$C719&amp;"'!"&amp;"$"&amp;$D719&amp;$BQ$1&amp;"")</f>
        <v>0.92</v>
      </c>
      <c r="BR719" s="288"/>
      <c r="BS719" s="288">
        <v>0.96</v>
      </c>
      <c r="BT719" s="286">
        <v>0.26</v>
      </c>
      <c r="BU719" s="291" cm="1">
        <f t="array" aca="1" ref="BU719" ca="1">INDIRECT("'"&amp;$C719&amp;"'!"&amp;"$"&amp;$D719&amp;74&amp;"")</f>
        <v>0</v>
      </c>
      <c r="BV719" s="288"/>
      <c r="BW719" s="288" t="s">
        <v>1</v>
      </c>
      <c r="BX719" s="286" t="s">
        <v>1</v>
      </c>
    </row>
    <row r="720" spans="1:76">
      <c r="A720" s="459">
        <v>45867</v>
      </c>
      <c r="B720" s="345">
        <v>0.625</v>
      </c>
      <c r="C720" s="305">
        <v>29</v>
      </c>
      <c r="D720" s="306" t="s">
        <v>157</v>
      </c>
      <c r="E720" s="278">
        <v>14.1</v>
      </c>
      <c r="F720" s="279">
        <v>68.930000000000007</v>
      </c>
      <c r="G720" s="280" t="str" cm="1">
        <f t="array" aca="1" ref="G720" ca="1">INDIRECT("'"&amp;$C720&amp;"'!"&amp;"$"&amp;$D720&amp;$E$1&amp;"")</f>
        <v>CMS</v>
      </c>
      <c r="H720" s="281" t="s">
        <v>1</v>
      </c>
      <c r="I720" s="279" t="s">
        <v>1</v>
      </c>
      <c r="J720" s="280" cm="1">
        <f t="array" aca="1" ref="J720" ca="1">INDIRECT("'"&amp;$C720&amp;"'!"&amp;"$"&amp;$D720&amp;$J$1&amp;"")</f>
        <v>6.7</v>
      </c>
      <c r="K720" s="281"/>
      <c r="L720" s="281">
        <v>0.91</v>
      </c>
      <c r="M720" s="282">
        <v>3</v>
      </c>
      <c r="N720" s="278" cm="1">
        <f t="array" aca="1" ref="N720" ca="1">INDIRECT("'"&amp;$C720&amp;"'!"&amp;"$"&amp;$D720&amp;$N$1&amp;"")</f>
        <v>6.7</v>
      </c>
      <c r="O720" s="281"/>
      <c r="P720" s="281">
        <v>0.91</v>
      </c>
      <c r="Q720" s="279">
        <v>3</v>
      </c>
      <c r="R720" s="468" cm="1">
        <f t="array" aca="1" ref="R720" ca="1">INDIRECT("'"&amp;$C720&amp;"'!"&amp;"$"&amp;$D720&amp;$R$1&amp;"")</f>
        <v>6.7</v>
      </c>
      <c r="S720" s="281"/>
      <c r="T720" s="281">
        <v>0.91</v>
      </c>
      <c r="U720" s="279">
        <v>3</v>
      </c>
      <c r="V720" s="280" t="str" cm="1">
        <f t="array" aca="1" ref="V720" ca="1">INDIRECT("'"&amp;$C720&amp;"'!"&amp;"$"&amp;$D720&amp;$V$1&amp;"")</f>
        <v>CMS</v>
      </c>
      <c r="W720" s="281" t="s">
        <v>1</v>
      </c>
      <c r="X720" s="281" t="s">
        <v>1</v>
      </c>
      <c r="Y720" s="282" t="s">
        <v>1</v>
      </c>
      <c r="Z720" s="278" cm="1">
        <f t="array" aca="1" ref="Z720" ca="1">INDIRECT("'"&amp;$C720&amp;"'!"&amp;"$"&amp;$D720&amp;$Z$1&amp;"")</f>
        <v>3.3</v>
      </c>
      <c r="AA720" s="281">
        <f>3.41*3.8</f>
        <v>12.958</v>
      </c>
      <c r="AB720" s="281">
        <v>0.9</v>
      </c>
      <c r="AC720" s="279">
        <v>1.54</v>
      </c>
      <c r="AD720" s="280" t="str" cm="1">
        <f t="array" aca="1" ref="AD720" ca="1">INDIRECT("'"&amp;$C720&amp;"'!"&amp;"$"&amp;$D720&amp;$AD$1&amp;"")</f>
        <v>CMS</v>
      </c>
      <c r="AE720" s="281" t="s">
        <v>1</v>
      </c>
      <c r="AF720" s="281" t="s">
        <v>1</v>
      </c>
      <c r="AG720" s="282" t="s">
        <v>1</v>
      </c>
      <c r="AH720" s="278" cm="1">
        <f t="array" aca="1" ref="AH720" ca="1">INDIRECT("'"&amp;$C720&amp;"'!"&amp;"$"&amp;$D720&amp;$AH$1&amp;"")</f>
        <v>3.8</v>
      </c>
      <c r="AI720" s="281">
        <v>14.08</v>
      </c>
      <c r="AJ720" s="281">
        <v>0.97</v>
      </c>
      <c r="AK720" s="279">
        <v>0.51300000000000001</v>
      </c>
      <c r="AL720" s="278">
        <v>11.7</v>
      </c>
      <c r="AM720" s="282">
        <v>70.900000000000006</v>
      </c>
      <c r="AN720" s="278" cm="1">
        <f t="array" aca="1" ref="AN720" ca="1">INDIRECT("'"&amp;$C720&amp;"'!"&amp;"$"&amp;$D720&amp;$AL$1&amp;"")</f>
        <v>0</v>
      </c>
      <c r="AO720" s="281" t="s">
        <v>1</v>
      </c>
      <c r="AP720" s="279" t="s">
        <v>1</v>
      </c>
      <c r="AQ720" s="280" cm="1">
        <f t="array" aca="1" ref="AQ720" ca="1">INDIRECT("'"&amp;$C720&amp;"'!"&amp;"$"&amp;$D720&amp;$AQ$1&amp;"")</f>
        <v>3.8</v>
      </c>
      <c r="AR720" s="281">
        <v>0.94</v>
      </c>
      <c r="AS720" s="279">
        <v>1.3</v>
      </c>
      <c r="AT720" s="278">
        <v>14.02</v>
      </c>
      <c r="AU720" s="282">
        <v>70.599999999999994</v>
      </c>
      <c r="AV720" s="281" cm="1">
        <f t="array" aca="1" ref="AV720" ca="1">INDIRECT("'"&amp;$C720&amp;"'!"&amp;"$"&amp;$D720&amp;$AV$1&amp;"")</f>
        <v>6</v>
      </c>
      <c r="AW720" s="280">
        <v>13.7</v>
      </c>
      <c r="AX720" s="281">
        <v>0.95</v>
      </c>
      <c r="AY720" s="279">
        <v>1.8</v>
      </c>
      <c r="AZ720" s="281" cm="1">
        <f t="array" aca="1" ref="AZ720" ca="1">INDIRECT("'"&amp;$C720&amp;"'!"&amp;"$"&amp;$D720&amp;$AZ$1&amp;"")</f>
        <v>7</v>
      </c>
      <c r="BA720" s="280">
        <v>13.7</v>
      </c>
      <c r="BB720" s="281">
        <v>0.97</v>
      </c>
      <c r="BC720" s="279">
        <v>1.6</v>
      </c>
      <c r="BD720" s="283">
        <v>14.25</v>
      </c>
      <c r="BE720" s="282">
        <v>71.650000000000006</v>
      </c>
      <c r="BF720" s="283" cm="1">
        <f t="array" aca="1" ref="BF720" ca="1">INDIRECT("'"&amp;$C720&amp;"'!"&amp;"$"&amp;$D720&amp;$BF$1&amp;"")</f>
        <v>14.28</v>
      </c>
      <c r="BG720" s="281">
        <v>0.98</v>
      </c>
      <c r="BH720" s="279">
        <v>3.4</v>
      </c>
      <c r="BI720" s="524">
        <v>67.900000000000006</v>
      </c>
      <c r="BJ720" s="278" cm="1">
        <f t="array" aca="1" ref="BJ720" ca="1">INDIRECT("'"&amp;$C720&amp;"'!"&amp;"$"&amp;$D720&amp;$BI$1&amp;"")</f>
        <v>4.4000000000000004</v>
      </c>
      <c r="BK720" s="280">
        <v>0.95</v>
      </c>
      <c r="BL720" s="279">
        <v>1.4</v>
      </c>
      <c r="BM720" s="283" cm="1">
        <f t="array" aca="1" ref="BM720" ca="1">INDIRECT("'"&amp;$C720&amp;"'!"&amp;"$"&amp;$D720&amp;$BM$1&amp;"")</f>
        <v>1.54</v>
      </c>
      <c r="BN720" s="281"/>
      <c r="BO720" s="281">
        <v>0.99</v>
      </c>
      <c r="BP720" s="279">
        <v>0.23</v>
      </c>
      <c r="BQ720" s="284" cm="1">
        <f t="array" aca="1" ref="BQ720" ca="1">INDIRECT("'"&amp;$C720&amp;"'!"&amp;"$"&amp;$D720&amp;$BQ$1&amp;"")</f>
        <v>0.93</v>
      </c>
      <c r="BR720" s="281"/>
      <c r="BS720" s="281">
        <v>0.96</v>
      </c>
      <c r="BT720" s="279">
        <v>0.26</v>
      </c>
      <c r="BU720" s="284" cm="1">
        <f t="array" aca="1" ref="BU720" ca="1">INDIRECT("'"&amp;$C720&amp;"'!"&amp;"$"&amp;$D720&amp;74&amp;"")</f>
        <v>0</v>
      </c>
      <c r="BV720" s="281"/>
      <c r="BW720" s="281" t="s">
        <v>1</v>
      </c>
      <c r="BX720" s="279" t="s">
        <v>1</v>
      </c>
    </row>
    <row r="721" spans="1:76">
      <c r="A721" s="459">
        <v>45867</v>
      </c>
      <c r="B721" s="345">
        <v>0.66666666666666696</v>
      </c>
      <c r="C721" s="305">
        <v>29</v>
      </c>
      <c r="D721" s="306" t="s">
        <v>158</v>
      </c>
      <c r="E721" s="285">
        <v>14.1</v>
      </c>
      <c r="F721" s="286">
        <v>69.400000000000006</v>
      </c>
      <c r="G721" s="287" t="str" cm="1">
        <f t="array" aca="1" ref="G721" ca="1">INDIRECT("'"&amp;$C721&amp;"'!"&amp;"$"&amp;$D721&amp;$E$1&amp;"")</f>
        <v>CMS</v>
      </c>
      <c r="H721" s="288" t="s">
        <v>1</v>
      </c>
      <c r="I721" s="286" t="s">
        <v>1</v>
      </c>
      <c r="J721" s="287" cm="1">
        <f t="array" aca="1" ref="J721" ca="1">INDIRECT("'"&amp;$C721&amp;"'!"&amp;"$"&amp;$D721&amp;$J$1&amp;"")</f>
        <v>6.6</v>
      </c>
      <c r="K721" s="288"/>
      <c r="L721" s="288">
        <v>0.92</v>
      </c>
      <c r="M721" s="289">
        <v>2.7</v>
      </c>
      <c r="N721" s="285" cm="1">
        <f t="array" aca="1" ref="N721" ca="1">INDIRECT("'"&amp;$C721&amp;"'!"&amp;"$"&amp;$D721&amp;$N$1&amp;"")</f>
        <v>6.6</v>
      </c>
      <c r="O721" s="288"/>
      <c r="P721" s="288">
        <v>0.92</v>
      </c>
      <c r="Q721" s="286">
        <v>2.7</v>
      </c>
      <c r="R721" s="469" cm="1">
        <f t="array" aca="1" ref="R721" ca="1">INDIRECT("'"&amp;$C721&amp;"'!"&amp;"$"&amp;$D721&amp;$R$1&amp;"")</f>
        <v>6.6</v>
      </c>
      <c r="S721" s="288"/>
      <c r="T721" s="288">
        <v>0.92</v>
      </c>
      <c r="U721" s="286">
        <v>2.7</v>
      </c>
      <c r="V721" s="287" t="str" cm="1">
        <f t="array" aca="1" ref="V721" ca="1">INDIRECT("'"&amp;$C721&amp;"'!"&amp;"$"&amp;$D721&amp;$V$1&amp;"")</f>
        <v>CMS</v>
      </c>
      <c r="W721" s="288" t="s">
        <v>1</v>
      </c>
      <c r="X721" s="288" t="s">
        <v>1</v>
      </c>
      <c r="Y721" s="289" t="s">
        <v>1</v>
      </c>
      <c r="Z721" s="285" cm="1">
        <f t="array" aca="1" ref="Z721" ca="1">INDIRECT("'"&amp;$C721&amp;"'!"&amp;"$"&amp;$D721&amp;$Z$1&amp;"")</f>
        <v>3.3</v>
      </c>
      <c r="AA721" s="288">
        <f>3.45*3.8</f>
        <v>13.11</v>
      </c>
      <c r="AB721" s="288">
        <v>0.9</v>
      </c>
      <c r="AC721" s="286">
        <v>1.55</v>
      </c>
      <c r="AD721" s="287" t="str" cm="1">
        <f t="array" aca="1" ref="AD721" ca="1">INDIRECT("'"&amp;$C721&amp;"'!"&amp;"$"&amp;$D721&amp;$AD$1&amp;"")</f>
        <v>CMS</v>
      </c>
      <c r="AE721" s="288" t="s">
        <v>1</v>
      </c>
      <c r="AF721" s="288" t="s">
        <v>1</v>
      </c>
      <c r="AG721" s="289" t="s">
        <v>1</v>
      </c>
      <c r="AH721" s="285" cm="1">
        <f t="array" aca="1" ref="AH721" ca="1">INDIRECT("'"&amp;$C721&amp;"'!"&amp;"$"&amp;$D721&amp;$AH$1&amp;"")</f>
        <v>3.8</v>
      </c>
      <c r="AI721" s="288">
        <v>14.08</v>
      </c>
      <c r="AJ721" s="288">
        <v>0.99</v>
      </c>
      <c r="AK721" s="286">
        <v>0.33300000000000002</v>
      </c>
      <c r="AL721" s="285">
        <v>11.7</v>
      </c>
      <c r="AM721" s="289">
        <v>71</v>
      </c>
      <c r="AN721" s="285" cm="1">
        <f t="array" aca="1" ref="AN721" ca="1">INDIRECT("'"&amp;$C721&amp;"'!"&amp;"$"&amp;$D721&amp;$AL$1&amp;"")</f>
        <v>0</v>
      </c>
      <c r="AO721" s="288" t="s">
        <v>1</v>
      </c>
      <c r="AP721" s="286" t="s">
        <v>1</v>
      </c>
      <c r="AQ721" s="287" cm="1">
        <f t="array" aca="1" ref="AQ721" ca="1">INDIRECT("'"&amp;$C721&amp;"'!"&amp;"$"&amp;$D721&amp;$AQ$1&amp;"")</f>
        <v>3.8</v>
      </c>
      <c r="AR721" s="288">
        <v>0.94</v>
      </c>
      <c r="AS721" s="286">
        <v>1.2</v>
      </c>
      <c r="AT721" s="285">
        <v>14.02</v>
      </c>
      <c r="AU721" s="289">
        <v>70.5</v>
      </c>
      <c r="AV721" s="288" cm="1">
        <f t="array" aca="1" ref="AV721" ca="1">INDIRECT("'"&amp;$C721&amp;"'!"&amp;"$"&amp;$D721&amp;$AV$1&amp;"")</f>
        <v>3.5</v>
      </c>
      <c r="AW721" s="287" t="s">
        <v>1</v>
      </c>
      <c r="AX721" s="288">
        <v>0.94</v>
      </c>
      <c r="AY721" s="286">
        <v>1.1000000000000001</v>
      </c>
      <c r="AZ721" s="288" cm="1">
        <f t="array" aca="1" ref="AZ721" ca="1">INDIRECT("'"&amp;$C721&amp;"'!"&amp;"$"&amp;$D721&amp;$AZ$1&amp;"")</f>
        <v>7</v>
      </c>
      <c r="BA721" s="287" t="s">
        <v>1</v>
      </c>
      <c r="BB721" s="288">
        <v>0.97</v>
      </c>
      <c r="BC721" s="286">
        <v>1.6</v>
      </c>
      <c r="BD721" s="290">
        <v>14.33</v>
      </c>
      <c r="BE721" s="289">
        <v>71.989999999999995</v>
      </c>
      <c r="BF721" s="290" cm="1">
        <f t="array" aca="1" ref="BF721" ca="1">INDIRECT("'"&amp;$C721&amp;"'!"&amp;"$"&amp;$D721&amp;$BF$1&amp;"")</f>
        <v>14.25</v>
      </c>
      <c r="BG721" s="288">
        <v>0.98</v>
      </c>
      <c r="BH721" s="286">
        <v>3.4</v>
      </c>
      <c r="BI721" s="525">
        <v>68.3</v>
      </c>
      <c r="BJ721" s="285" cm="1">
        <f t="array" aca="1" ref="BJ721" ca="1">INDIRECT("'"&amp;$C721&amp;"'!"&amp;"$"&amp;$D721&amp;$BI$1&amp;"")</f>
        <v>4.5000000000000009</v>
      </c>
      <c r="BK721" s="287">
        <v>0.95</v>
      </c>
      <c r="BL721" s="286">
        <v>1.6</v>
      </c>
      <c r="BM721" s="290" cm="1">
        <f t="array" aca="1" ref="BM721" ca="1">INDIRECT("'"&amp;$C721&amp;"'!"&amp;"$"&amp;$D721&amp;$BM$1&amp;"")</f>
        <v>1.5099999999999998</v>
      </c>
      <c r="BN721" s="288"/>
      <c r="BO721" s="288">
        <v>0.99</v>
      </c>
      <c r="BP721" s="286">
        <v>0.22</v>
      </c>
      <c r="BQ721" s="291" cm="1">
        <f t="array" aca="1" ref="BQ721" ca="1">INDIRECT("'"&amp;$C721&amp;"'!"&amp;"$"&amp;$D721&amp;$BQ$1&amp;"")</f>
        <v>0.92</v>
      </c>
      <c r="BR721" s="288"/>
      <c r="BS721" s="288">
        <v>0.96</v>
      </c>
      <c r="BT721" s="286">
        <v>0.25</v>
      </c>
      <c r="BU721" s="291" cm="1">
        <f t="array" aca="1" ref="BU721" ca="1">INDIRECT("'"&amp;$C721&amp;"'!"&amp;"$"&amp;$D721&amp;74&amp;"")</f>
        <v>0</v>
      </c>
      <c r="BV721" s="288"/>
      <c r="BW721" s="288" t="s">
        <v>1</v>
      </c>
      <c r="BX721" s="286" t="s">
        <v>1</v>
      </c>
    </row>
    <row r="722" spans="1:76">
      <c r="A722" s="459">
        <v>45867</v>
      </c>
      <c r="B722" s="345">
        <v>0.70833333333333404</v>
      </c>
      <c r="C722" s="305">
        <v>29</v>
      </c>
      <c r="D722" s="306" t="s">
        <v>159</v>
      </c>
      <c r="E722" s="278">
        <v>14.1</v>
      </c>
      <c r="F722" s="279">
        <v>69.2</v>
      </c>
      <c r="G722" s="280" t="str" cm="1">
        <f t="array" aca="1" ref="G722" ca="1">INDIRECT("'"&amp;$C722&amp;"'!"&amp;"$"&amp;$D722&amp;$E$1&amp;"")</f>
        <v>CMS</v>
      </c>
      <c r="H722" s="281" t="s">
        <v>1</v>
      </c>
      <c r="I722" s="279" t="s">
        <v>1</v>
      </c>
      <c r="J722" s="280" cm="1">
        <f t="array" aca="1" ref="J722" ca="1">INDIRECT("'"&amp;$C722&amp;"'!"&amp;"$"&amp;$D722&amp;$J$1&amp;"")</f>
        <v>6.6</v>
      </c>
      <c r="K722" s="281"/>
      <c r="L722" s="281">
        <v>0.93</v>
      </c>
      <c r="M722" s="282">
        <v>2.5</v>
      </c>
      <c r="N722" s="278" cm="1">
        <f t="array" aca="1" ref="N722" ca="1">INDIRECT("'"&amp;$C722&amp;"'!"&amp;"$"&amp;$D722&amp;$N$1&amp;"")</f>
        <v>6.6</v>
      </c>
      <c r="O722" s="281"/>
      <c r="P722" s="281">
        <v>0.93</v>
      </c>
      <c r="Q722" s="279">
        <v>2.5</v>
      </c>
      <c r="R722" s="468" cm="1">
        <f t="array" aca="1" ref="R722" ca="1">INDIRECT("'"&amp;$C722&amp;"'!"&amp;"$"&amp;$D722&amp;$R$1&amp;"")</f>
        <v>6.6</v>
      </c>
      <c r="S722" s="281"/>
      <c r="T722" s="281">
        <v>0.93</v>
      </c>
      <c r="U722" s="279">
        <v>2.5</v>
      </c>
      <c r="V722" s="280" t="str" cm="1">
        <f t="array" aca="1" ref="V722" ca="1">INDIRECT("'"&amp;$C722&amp;"'!"&amp;"$"&amp;$D722&amp;$V$1&amp;"")</f>
        <v>CMS</v>
      </c>
      <c r="W722" s="281" t="s">
        <v>1</v>
      </c>
      <c r="X722" s="281" t="s">
        <v>1</v>
      </c>
      <c r="Y722" s="282" t="s">
        <v>1</v>
      </c>
      <c r="Z722" s="278" cm="1">
        <f t="array" aca="1" ref="Z722" ca="1">INDIRECT("'"&amp;$C722&amp;"'!"&amp;"$"&amp;$D722&amp;$Z$1&amp;"")</f>
        <v>3.3</v>
      </c>
      <c r="AA722" s="281">
        <f>3.45*3.8</f>
        <v>13.11</v>
      </c>
      <c r="AB722" s="281">
        <v>0.91</v>
      </c>
      <c r="AC722" s="279">
        <v>1.38</v>
      </c>
      <c r="AD722" s="280" t="str" cm="1">
        <f t="array" aca="1" ref="AD722" ca="1">INDIRECT("'"&amp;$C722&amp;"'!"&amp;"$"&amp;$D722&amp;$AD$1&amp;"")</f>
        <v>CMS</v>
      </c>
      <c r="AE722" s="281" t="s">
        <v>1</v>
      </c>
      <c r="AF722" s="281" t="s">
        <v>1</v>
      </c>
      <c r="AG722" s="282" t="s">
        <v>1</v>
      </c>
      <c r="AH722" s="278" cm="1">
        <f t="array" aca="1" ref="AH722" ca="1">INDIRECT("'"&amp;$C722&amp;"'!"&amp;"$"&amp;$D722&amp;$AH$1&amp;"")</f>
        <v>3.8</v>
      </c>
      <c r="AI722" s="281">
        <v>14.08</v>
      </c>
      <c r="AJ722" s="281">
        <v>0.99</v>
      </c>
      <c r="AK722" s="279">
        <v>0.20899999999999999</v>
      </c>
      <c r="AL722" s="278">
        <v>11.7</v>
      </c>
      <c r="AM722" s="282">
        <v>71.099999999999994</v>
      </c>
      <c r="AN722" s="278" cm="1">
        <f t="array" aca="1" ref="AN722" ca="1">INDIRECT("'"&amp;$C722&amp;"'!"&amp;"$"&amp;$D722&amp;$AL$1&amp;"")</f>
        <v>0</v>
      </c>
      <c r="AO722" s="281" t="s">
        <v>1</v>
      </c>
      <c r="AP722" s="279" t="s">
        <v>1</v>
      </c>
      <c r="AQ722" s="280" cm="1">
        <f t="array" aca="1" ref="AQ722" ca="1">INDIRECT("'"&amp;$C722&amp;"'!"&amp;"$"&amp;$D722&amp;$AQ$1&amp;"")</f>
        <v>3.8</v>
      </c>
      <c r="AR722" s="281">
        <v>0.95</v>
      </c>
      <c r="AS722" s="279">
        <v>1.1499999999999999</v>
      </c>
      <c r="AT722" s="278">
        <v>14.01</v>
      </c>
      <c r="AU722" s="282">
        <v>70.5</v>
      </c>
      <c r="AV722" s="281" cm="1">
        <f t="array" aca="1" ref="AV722" ca="1">INDIRECT("'"&amp;$C722&amp;"'!"&amp;"$"&amp;$D722&amp;$AV$1&amp;"")</f>
        <v>2.7</v>
      </c>
      <c r="AW722" s="280" t="s">
        <v>1</v>
      </c>
      <c r="AX722" s="281">
        <v>0.92</v>
      </c>
      <c r="AY722" s="279">
        <v>1.2</v>
      </c>
      <c r="AZ722" s="281" cm="1">
        <f t="array" aca="1" ref="AZ722" ca="1">INDIRECT("'"&amp;$C722&amp;"'!"&amp;"$"&amp;$D722&amp;$AZ$1&amp;"")</f>
        <v>7</v>
      </c>
      <c r="BA722" s="280" t="s">
        <v>1</v>
      </c>
      <c r="BB722" s="281">
        <v>0.97</v>
      </c>
      <c r="BC722" s="279">
        <v>1.7</v>
      </c>
      <c r="BD722" s="283">
        <v>14.35</v>
      </c>
      <c r="BE722" s="282">
        <v>72.150000000000006</v>
      </c>
      <c r="BF722" s="283" cm="1">
        <f t="array" aca="1" ref="BF722" ca="1">INDIRECT("'"&amp;$C722&amp;"'!"&amp;"$"&amp;$D722&amp;$BF$1&amp;"")</f>
        <v>14.28</v>
      </c>
      <c r="BG722" s="281">
        <v>0.98</v>
      </c>
      <c r="BH722" s="279">
        <v>3.4</v>
      </c>
      <c r="BI722" s="524">
        <v>68.2</v>
      </c>
      <c r="BJ722" s="278" cm="1">
        <f t="array" aca="1" ref="BJ722" ca="1">INDIRECT("'"&amp;$C722&amp;"'!"&amp;"$"&amp;$D722&amp;$BI$1&amp;"")</f>
        <v>1.4</v>
      </c>
      <c r="BK722" s="280">
        <v>0.95</v>
      </c>
      <c r="BL722" s="279">
        <v>0.46</v>
      </c>
      <c r="BM722" s="283" cm="1">
        <f t="array" aca="1" ref="BM722" ca="1">INDIRECT("'"&amp;$C722&amp;"'!"&amp;"$"&amp;$D722&amp;$BM$1&amp;"")</f>
        <v>1.44</v>
      </c>
      <c r="BN722" s="281"/>
      <c r="BO722" s="281">
        <v>0.99</v>
      </c>
      <c r="BP722" s="279">
        <v>0.18</v>
      </c>
      <c r="BQ722" s="284" cm="1">
        <f t="array" aca="1" ref="BQ722" ca="1">INDIRECT("'"&amp;$C722&amp;"'!"&amp;"$"&amp;$D722&amp;$BQ$1&amp;"")</f>
        <v>0.91</v>
      </c>
      <c r="BR722" s="281"/>
      <c r="BS722" s="281">
        <v>0.96</v>
      </c>
      <c r="BT722" s="279">
        <v>0.26</v>
      </c>
      <c r="BU722" s="284" cm="1">
        <f t="array" aca="1" ref="BU722" ca="1">INDIRECT("'"&amp;$C722&amp;"'!"&amp;"$"&amp;$D722&amp;74&amp;"")</f>
        <v>0</v>
      </c>
      <c r="BV722" s="281"/>
      <c r="BW722" s="281" t="s">
        <v>1</v>
      </c>
      <c r="BX722" s="279" t="s">
        <v>1</v>
      </c>
    </row>
    <row r="723" spans="1:76">
      <c r="A723" s="459">
        <v>45867</v>
      </c>
      <c r="B723" s="345">
        <v>0.750000000000001</v>
      </c>
      <c r="C723" s="305">
        <v>29</v>
      </c>
      <c r="D723" s="306" t="s">
        <v>160</v>
      </c>
      <c r="E723" s="285">
        <v>14.1</v>
      </c>
      <c r="F723" s="286">
        <v>69.2</v>
      </c>
      <c r="G723" s="287" t="str" cm="1">
        <f t="array" aca="1" ref="G723" ca="1">INDIRECT("'"&amp;$C723&amp;"'!"&amp;"$"&amp;$D723&amp;$E$1&amp;"")</f>
        <v>CMS</v>
      </c>
      <c r="H723" s="288" t="s">
        <v>1</v>
      </c>
      <c r="I723" s="286" t="s">
        <v>1</v>
      </c>
      <c r="J723" s="287" cm="1">
        <f t="array" aca="1" ref="J723" ca="1">INDIRECT("'"&amp;$C723&amp;"'!"&amp;"$"&amp;$D723&amp;$J$1&amp;"")</f>
        <v>6.7</v>
      </c>
      <c r="K723" s="288"/>
      <c r="L723" s="288">
        <v>0.92</v>
      </c>
      <c r="M723" s="289">
        <v>2.78</v>
      </c>
      <c r="N723" s="285" cm="1">
        <f t="array" aca="1" ref="N723" ca="1">INDIRECT("'"&amp;$C723&amp;"'!"&amp;"$"&amp;$D723&amp;$N$1&amp;"")</f>
        <v>6.7</v>
      </c>
      <c r="O723" s="288"/>
      <c r="P723" s="288">
        <v>0.92</v>
      </c>
      <c r="Q723" s="286">
        <v>2.78</v>
      </c>
      <c r="R723" s="285" cm="1">
        <f t="array" aca="1" ref="R723" ca="1">INDIRECT("'"&amp;$C723&amp;"'!"&amp;"$"&amp;$D723&amp;$R$1&amp;"")</f>
        <v>6.7</v>
      </c>
      <c r="S723" s="288"/>
      <c r="T723" s="288">
        <v>0.92</v>
      </c>
      <c r="U723" s="286">
        <v>2.78</v>
      </c>
      <c r="V723" s="287" t="str" cm="1">
        <f t="array" aca="1" ref="V723" ca="1">INDIRECT("'"&amp;$C723&amp;"'!"&amp;"$"&amp;$D723&amp;$V$1&amp;"")</f>
        <v>CMS</v>
      </c>
      <c r="W723" s="288" t="s">
        <v>1</v>
      </c>
      <c r="X723" s="288" t="s">
        <v>1</v>
      </c>
      <c r="Y723" s="289" t="s">
        <v>1</v>
      </c>
      <c r="Z723" s="285" cm="1">
        <f t="array" aca="1" ref="Z723" ca="1">INDIRECT("'"&amp;$C723&amp;"'!"&amp;"$"&amp;$D723&amp;$Z$1&amp;"")</f>
        <v>3</v>
      </c>
      <c r="AA723" s="288">
        <f>3.8*3.46</f>
        <v>13.148</v>
      </c>
      <c r="AB723" s="288">
        <v>0.91</v>
      </c>
      <c r="AC723" s="286">
        <v>1.31</v>
      </c>
      <c r="AD723" s="287" t="str" cm="1">
        <f t="array" aca="1" ref="AD723" ca="1">INDIRECT("'"&amp;$C723&amp;"'!"&amp;"$"&amp;$D723&amp;$AD$1&amp;"")</f>
        <v>CMS</v>
      </c>
      <c r="AE723" s="288" t="s">
        <v>1</v>
      </c>
      <c r="AF723" s="288" t="s">
        <v>1</v>
      </c>
      <c r="AG723" s="289" t="s">
        <v>1</v>
      </c>
      <c r="AH723" s="285" cm="1">
        <f t="array" aca="1" ref="AH723" ca="1">INDIRECT("'"&amp;$C723&amp;"'!"&amp;"$"&amp;$D723&amp;$AH$1&amp;"")</f>
        <v>3</v>
      </c>
      <c r="AI723" s="288">
        <v>14.04</v>
      </c>
      <c r="AJ723" s="288">
        <v>0.99</v>
      </c>
      <c r="AK723" s="286">
        <v>0.29399999999999998</v>
      </c>
      <c r="AL723" s="285">
        <v>11.7</v>
      </c>
      <c r="AM723" s="289">
        <v>70.900000000000006</v>
      </c>
      <c r="AN723" s="285" cm="1">
        <f t="array" aca="1" ref="AN723" ca="1">INDIRECT("'"&amp;$C723&amp;"'!"&amp;"$"&amp;$D723&amp;$AL$1&amp;"")</f>
        <v>0</v>
      </c>
      <c r="AO723" s="288" t="s">
        <v>1</v>
      </c>
      <c r="AP723" s="286" t="s">
        <v>1</v>
      </c>
      <c r="AQ723" s="287" cm="1">
        <f t="array" aca="1" ref="AQ723" ca="1">INDIRECT("'"&amp;$C723&amp;"'!"&amp;"$"&amp;$D723&amp;$AQ$1&amp;"")</f>
        <v>2.9</v>
      </c>
      <c r="AR723" s="288">
        <v>0.95</v>
      </c>
      <c r="AS723" s="286">
        <v>1.35</v>
      </c>
      <c r="AT723" s="285">
        <v>14.01</v>
      </c>
      <c r="AU723" s="289">
        <v>70.400000000000006</v>
      </c>
      <c r="AV723" s="288" cm="1">
        <f t="array" aca="1" ref="AV723" ca="1">INDIRECT("'"&amp;$C723&amp;"'!"&amp;"$"&amp;$D723&amp;$AV$1&amp;"")</f>
        <v>2.7</v>
      </c>
      <c r="AW723" s="287" t="s">
        <v>1</v>
      </c>
      <c r="AX723" s="288">
        <v>0.9</v>
      </c>
      <c r="AY723" s="286">
        <v>1.8</v>
      </c>
      <c r="AZ723" s="288" cm="1">
        <f t="array" aca="1" ref="AZ723" ca="1">INDIRECT("'"&amp;$C723&amp;"'!"&amp;"$"&amp;$D723&amp;$AZ$1&amp;"")</f>
        <v>7</v>
      </c>
      <c r="BA723" s="287" t="s">
        <v>1</v>
      </c>
      <c r="BB723" s="288">
        <v>0.98</v>
      </c>
      <c r="BC723" s="286">
        <v>1.3</v>
      </c>
      <c r="BD723" s="290">
        <v>14.2</v>
      </c>
      <c r="BE723" s="289">
        <v>71.87</v>
      </c>
      <c r="BF723" s="290" cm="1">
        <f t="array" aca="1" ref="BF723" ca="1">INDIRECT("'"&amp;$C723&amp;"'!"&amp;"$"&amp;$D723&amp;$BF$1&amp;"")</f>
        <v>14.25</v>
      </c>
      <c r="BG723" s="288">
        <v>0.99</v>
      </c>
      <c r="BH723" s="286">
        <v>2.2999999999999998</v>
      </c>
      <c r="BI723" s="525">
        <v>68</v>
      </c>
      <c r="BJ723" s="285" cm="1">
        <f t="array" aca="1" ref="BJ723" ca="1">INDIRECT("'"&amp;$C723&amp;"'!"&amp;"$"&amp;$D723&amp;$BI$1&amp;"")</f>
        <v>0</v>
      </c>
      <c r="BK723" s="287" t="s">
        <v>1</v>
      </c>
      <c r="BL723" s="286" t="s">
        <v>1</v>
      </c>
      <c r="BM723" s="290" cm="1">
        <f t="array" aca="1" ref="BM723" ca="1">INDIRECT("'"&amp;$C723&amp;"'!"&amp;"$"&amp;$D723&amp;$BM$1&amp;"")</f>
        <v>1.35</v>
      </c>
      <c r="BN723" s="288"/>
      <c r="BO723" s="288">
        <v>0.99</v>
      </c>
      <c r="BP723" s="286">
        <v>0.18</v>
      </c>
      <c r="BQ723" s="291" cm="1">
        <f t="array" aca="1" ref="BQ723" ca="1">INDIRECT("'"&amp;$C723&amp;"'!"&amp;"$"&amp;$D723&amp;$BQ$1&amp;"")</f>
        <v>0.91</v>
      </c>
      <c r="BR723" s="288"/>
      <c r="BS723" s="288">
        <v>0.96</v>
      </c>
      <c r="BT723" s="286">
        <v>0.26</v>
      </c>
      <c r="BU723" s="291" cm="1">
        <f t="array" aca="1" ref="BU723" ca="1">INDIRECT("'"&amp;$C723&amp;"'!"&amp;"$"&amp;$D723&amp;74&amp;"")</f>
        <v>0</v>
      </c>
      <c r="BV723" s="288"/>
      <c r="BW723" s="288" t="s">
        <v>1</v>
      </c>
      <c r="BX723" s="286" t="s">
        <v>1</v>
      </c>
    </row>
    <row r="724" spans="1:76">
      <c r="A724" s="459">
        <v>45867</v>
      </c>
      <c r="B724" s="345">
        <v>0.79166666666666696</v>
      </c>
      <c r="C724" s="305">
        <v>29</v>
      </c>
      <c r="D724" s="306" t="s">
        <v>161</v>
      </c>
      <c r="E724" s="278">
        <v>14.1</v>
      </c>
      <c r="F724" s="279">
        <v>69.08</v>
      </c>
      <c r="G724" s="280" t="str" cm="1">
        <f t="array" aca="1" ref="G724" ca="1">INDIRECT("'"&amp;$C724&amp;"'!"&amp;"$"&amp;$D724&amp;$E$1&amp;"")</f>
        <v>CMS</v>
      </c>
      <c r="H724" s="281" t="s">
        <v>1</v>
      </c>
      <c r="I724" s="279" t="s">
        <v>1</v>
      </c>
      <c r="J724" s="280" cm="1">
        <f t="array" aca="1" ref="J724" ca="1">INDIRECT("'"&amp;$C724&amp;"'!"&amp;"$"&amp;$D724&amp;$J$1&amp;"")</f>
        <v>7</v>
      </c>
      <c r="K724" s="292"/>
      <c r="L724" s="281">
        <v>0.92</v>
      </c>
      <c r="M724" s="282">
        <v>2.93</v>
      </c>
      <c r="N724" s="278" cm="1">
        <f t="array" aca="1" ref="N724" ca="1">INDIRECT("'"&amp;$C724&amp;"'!"&amp;"$"&amp;$D724&amp;$N$1&amp;"")</f>
        <v>7</v>
      </c>
      <c r="O724" s="281"/>
      <c r="P724" s="281">
        <v>0.92</v>
      </c>
      <c r="Q724" s="282">
        <v>2.93</v>
      </c>
      <c r="R724" s="468" cm="1">
        <f t="array" aca="1" ref="R724" ca="1">INDIRECT("'"&amp;$C724&amp;"'!"&amp;"$"&amp;$D724&amp;$R$1&amp;"")</f>
        <v>7</v>
      </c>
      <c r="S724" s="281"/>
      <c r="T724" s="281">
        <v>0.92</v>
      </c>
      <c r="U724" s="279">
        <v>2.93</v>
      </c>
      <c r="V724" s="280" t="str" cm="1">
        <f t="array" aca="1" ref="V724" ca="1">INDIRECT("'"&amp;$C724&amp;"'!"&amp;"$"&amp;$D724&amp;$V$1&amp;"")</f>
        <v>CMS</v>
      </c>
      <c r="W724" s="281" t="s">
        <v>1</v>
      </c>
      <c r="X724" s="281" t="s">
        <v>1</v>
      </c>
      <c r="Y724" s="282" t="s">
        <v>1</v>
      </c>
      <c r="Z724" s="278" cm="1">
        <f t="array" aca="1" ref="Z724" ca="1">INDIRECT("'"&amp;$C724&amp;"'!"&amp;"$"&amp;$D724&amp;$Z$1&amp;"")</f>
        <v>3.4</v>
      </c>
      <c r="AA724" s="281">
        <f>3.8*3.45</f>
        <v>13.11</v>
      </c>
      <c r="AB724" s="281">
        <v>0.92</v>
      </c>
      <c r="AC724" s="279">
        <v>1.36</v>
      </c>
      <c r="AD724" s="280" t="str" cm="1">
        <f t="array" aca="1" ref="AD724" ca="1">INDIRECT("'"&amp;$C724&amp;"'!"&amp;"$"&amp;$D724&amp;$AD$1&amp;"")</f>
        <v>CMS</v>
      </c>
      <c r="AE724" s="281" t="s">
        <v>1</v>
      </c>
      <c r="AF724" s="281" t="s">
        <v>1</v>
      </c>
      <c r="AG724" s="282" t="s">
        <v>1</v>
      </c>
      <c r="AH724" s="278" cm="1">
        <f t="array" aca="1" ref="AH724" ca="1">INDIRECT("'"&amp;$C724&amp;"'!"&amp;"$"&amp;$D724&amp;$AH$1&amp;"")</f>
        <v>3.8</v>
      </c>
      <c r="AI724" s="281">
        <v>14.04</v>
      </c>
      <c r="AJ724" s="281">
        <v>0.99</v>
      </c>
      <c r="AK724" s="279">
        <v>0.41499999999999998</v>
      </c>
      <c r="AL724" s="278">
        <v>11.7</v>
      </c>
      <c r="AM724" s="282">
        <v>70.900000000000006</v>
      </c>
      <c r="AN724" s="278" cm="1">
        <f t="array" aca="1" ref="AN724" ca="1">INDIRECT("'"&amp;$C724&amp;"'!"&amp;"$"&amp;$D724&amp;$AL$1&amp;"")</f>
        <v>0</v>
      </c>
      <c r="AO724" s="281" t="s">
        <v>1</v>
      </c>
      <c r="AP724" s="279" t="s">
        <v>1</v>
      </c>
      <c r="AQ724" s="280" cm="1">
        <f t="array" aca="1" ref="AQ724" ca="1">INDIRECT("'"&amp;$C724&amp;"'!"&amp;"$"&amp;$D724&amp;$AQ$1&amp;"")</f>
        <v>4</v>
      </c>
      <c r="AR724" s="281">
        <v>0.95</v>
      </c>
      <c r="AS724" s="279">
        <v>1</v>
      </c>
      <c r="AT724" s="278">
        <v>14</v>
      </c>
      <c r="AU724" s="282">
        <v>70.400000000000006</v>
      </c>
      <c r="AV724" s="281" cm="1">
        <f t="array" aca="1" ref="AV724" ca="1">INDIRECT("'"&amp;$C724&amp;"'!"&amp;"$"&amp;$D724&amp;$AV$1&amp;"")</f>
        <v>4.3</v>
      </c>
      <c r="AW724" s="280">
        <v>13.7</v>
      </c>
      <c r="AX724" s="281">
        <v>0.95</v>
      </c>
      <c r="AY724" s="279">
        <v>1.4</v>
      </c>
      <c r="AZ724" s="281" cm="1">
        <f t="array" aca="1" ref="AZ724" ca="1">INDIRECT("'"&amp;$C724&amp;"'!"&amp;"$"&amp;$D724&amp;$AZ$1&amp;"")</f>
        <v>7</v>
      </c>
      <c r="BA724" s="280">
        <v>13.7</v>
      </c>
      <c r="BB724" s="281">
        <v>0.98</v>
      </c>
      <c r="BC724" s="279">
        <v>1.3</v>
      </c>
      <c r="BD724" s="283">
        <v>14.18</v>
      </c>
      <c r="BE724" s="282">
        <v>71.72</v>
      </c>
      <c r="BF724" s="283" cm="1">
        <f t="array" aca="1" ref="BF724" ca="1">INDIRECT("'"&amp;$C724&amp;"'!"&amp;"$"&amp;$D724&amp;$BF$1&amp;"")</f>
        <v>14.29</v>
      </c>
      <c r="BG724" s="281">
        <v>0.99</v>
      </c>
      <c r="BH724" s="279">
        <v>2.2999999999999998</v>
      </c>
      <c r="BI724" s="524">
        <v>68</v>
      </c>
      <c r="BJ724" s="278" cm="1">
        <f t="array" aca="1" ref="BJ724" ca="1">INDIRECT("'"&amp;$C724&amp;"'!"&amp;"$"&amp;$D724&amp;$BI$1&amp;"")</f>
        <v>0</v>
      </c>
      <c r="BK724" s="280" t="s">
        <v>1</v>
      </c>
      <c r="BL724" s="279" t="s">
        <v>1</v>
      </c>
      <c r="BM724" s="283" cm="1">
        <f t="array" aca="1" ref="BM724" ca="1">INDIRECT("'"&amp;$C724&amp;"'!"&amp;"$"&amp;$D724&amp;$BM$1&amp;"")</f>
        <v>1.5500000000000003</v>
      </c>
      <c r="BN724" s="281"/>
      <c r="BO724" s="281">
        <v>0.99</v>
      </c>
      <c r="BP724" s="279">
        <v>0.22</v>
      </c>
      <c r="BQ724" s="284" cm="1">
        <f t="array" aca="1" ref="BQ724" ca="1">INDIRECT("'"&amp;$C724&amp;"'!"&amp;"$"&amp;$D724&amp;$BQ$1&amp;"")</f>
        <v>0.97</v>
      </c>
      <c r="BR724" s="281"/>
      <c r="BS724" s="281">
        <v>0.96</v>
      </c>
      <c r="BT724" s="279">
        <v>0.26</v>
      </c>
      <c r="BU724" s="284" cm="1">
        <f t="array" aca="1" ref="BU724" ca="1">INDIRECT("'"&amp;$C724&amp;"'!"&amp;"$"&amp;$D724&amp;74&amp;"")</f>
        <v>0</v>
      </c>
      <c r="BV724" s="281"/>
      <c r="BW724" s="281" t="s">
        <v>1</v>
      </c>
      <c r="BX724" s="279" t="s">
        <v>1</v>
      </c>
    </row>
    <row r="725" spans="1:76">
      <c r="A725" s="459">
        <v>45867</v>
      </c>
      <c r="B725" s="345">
        <v>0.83333333333333337</v>
      </c>
      <c r="C725" s="305">
        <v>29</v>
      </c>
      <c r="D725" s="306" t="s">
        <v>162</v>
      </c>
      <c r="E725" s="285">
        <v>14.3</v>
      </c>
      <c r="F725" s="286">
        <v>69.739999999999995</v>
      </c>
      <c r="G725" s="287" t="str" cm="1">
        <f t="array" aca="1" ref="G725" ca="1">INDIRECT("'"&amp;$C725&amp;"'!"&amp;"$"&amp;$D725&amp;$E$1&amp;"")</f>
        <v>CMS</v>
      </c>
      <c r="H725" s="288" t="s">
        <v>1</v>
      </c>
      <c r="I725" s="286" t="s">
        <v>1</v>
      </c>
      <c r="J725" s="287" cm="1">
        <f t="array" aca="1" ref="J725" ca="1">INDIRECT("'"&amp;$C725&amp;"'!"&amp;"$"&amp;$D725&amp;$J$1&amp;"")</f>
        <v>6.9</v>
      </c>
      <c r="K725" s="288"/>
      <c r="L725" s="288">
        <v>0.92</v>
      </c>
      <c r="M725" s="289">
        <v>2.84</v>
      </c>
      <c r="N725" s="285" cm="1">
        <f t="array" aca="1" ref="N725" ca="1">INDIRECT("'"&amp;$C725&amp;"'!"&amp;"$"&amp;$D725&amp;$N$1&amp;"")</f>
        <v>7</v>
      </c>
      <c r="O725" s="288"/>
      <c r="P725" s="288">
        <v>0.98</v>
      </c>
      <c r="Q725" s="286">
        <v>1.49</v>
      </c>
      <c r="R725" s="285" cm="1">
        <f t="array" aca="1" ref="R725" ca="1">INDIRECT("'"&amp;$C725&amp;"'!"&amp;"$"&amp;$D725&amp;$R$1&amp;"")</f>
        <v>6.9</v>
      </c>
      <c r="S725" s="288"/>
      <c r="T725" s="288">
        <v>0.92</v>
      </c>
      <c r="U725" s="286">
        <v>2.84</v>
      </c>
      <c r="V725" s="287" t="str" cm="1">
        <f t="array" aca="1" ref="V725" ca="1">INDIRECT("'"&amp;$C725&amp;"'!"&amp;"$"&amp;$D725&amp;$V$1&amp;"")</f>
        <v>CMS</v>
      </c>
      <c r="W725" s="288" t="s">
        <v>1</v>
      </c>
      <c r="X725" s="288" t="s">
        <v>1</v>
      </c>
      <c r="Y725" s="289" t="s">
        <v>1</v>
      </c>
      <c r="Z725" s="285" cm="1">
        <f t="array" aca="1" ref="Z725" ca="1">INDIRECT("'"&amp;$C725&amp;"'!"&amp;"$"&amp;$D725&amp;$Z$1&amp;"")</f>
        <v>3</v>
      </c>
      <c r="AA725" s="288">
        <f>3.5*3.8</f>
        <v>13.299999999999999</v>
      </c>
      <c r="AB725" s="288">
        <v>0.92</v>
      </c>
      <c r="AC725" s="286">
        <v>1.28</v>
      </c>
      <c r="AD725" s="287" t="str" cm="1">
        <f t="array" aca="1" ref="AD725" ca="1">INDIRECT("'"&amp;$C725&amp;"'!"&amp;"$"&amp;$D725&amp;$AD$1&amp;"")</f>
        <v>CMS</v>
      </c>
      <c r="AE725" s="288" t="s">
        <v>1</v>
      </c>
      <c r="AF725" s="288" t="s">
        <v>1</v>
      </c>
      <c r="AG725" s="289" t="s">
        <v>1</v>
      </c>
      <c r="AH725" s="285" cm="1">
        <f t="array" aca="1" ref="AH725" ca="1">INDIRECT("'"&amp;$C725&amp;"'!"&amp;"$"&amp;$D725&amp;$AH$1&amp;"")</f>
        <v>3</v>
      </c>
      <c r="AI725" s="288">
        <v>14.04</v>
      </c>
      <c r="AJ725" s="288">
        <v>0.99</v>
      </c>
      <c r="AK725" s="286">
        <v>0.33</v>
      </c>
      <c r="AL725" s="285">
        <v>11.7</v>
      </c>
      <c r="AM725" s="289">
        <v>71.099999999999994</v>
      </c>
      <c r="AN725" s="285" cm="1">
        <f t="array" aca="1" ref="AN725" ca="1">INDIRECT("'"&amp;$C725&amp;"'!"&amp;"$"&amp;$D725&amp;$AL$1&amp;"")</f>
        <v>0</v>
      </c>
      <c r="AO725" s="288" t="s">
        <v>1</v>
      </c>
      <c r="AP725" s="286" t="s">
        <v>1</v>
      </c>
      <c r="AQ725" s="287" cm="1">
        <f t="array" aca="1" ref="AQ725" ca="1">INDIRECT("'"&amp;$C725&amp;"'!"&amp;"$"&amp;$D725&amp;$AQ$1&amp;"")</f>
        <v>3</v>
      </c>
      <c r="AR725" s="288">
        <v>0.95</v>
      </c>
      <c r="AS725" s="286">
        <v>0.69</v>
      </c>
      <c r="AT725" s="285">
        <v>14.02</v>
      </c>
      <c r="AU725" s="289">
        <v>70.400000000000006</v>
      </c>
      <c r="AV725" s="288" cm="1">
        <f t="array" aca="1" ref="AV725" ca="1">INDIRECT("'"&amp;$C725&amp;"'!"&amp;"$"&amp;$D725&amp;$AV$1&amp;"")</f>
        <v>2.7</v>
      </c>
      <c r="AW725" s="287" t="s">
        <v>1</v>
      </c>
      <c r="AX725" s="288">
        <v>0.92</v>
      </c>
      <c r="AY725" s="286">
        <v>1.2</v>
      </c>
      <c r="AZ725" s="288" cm="1">
        <f t="array" aca="1" ref="AZ725" ca="1">INDIRECT("'"&amp;$C725&amp;"'!"&amp;"$"&amp;$D725&amp;$AZ$1&amp;"")</f>
        <v>7</v>
      </c>
      <c r="BA725" s="287" t="s">
        <v>1</v>
      </c>
      <c r="BB725" s="288">
        <v>0.97</v>
      </c>
      <c r="BC725" s="286">
        <v>1.7</v>
      </c>
      <c r="BD725" s="290">
        <v>14.22</v>
      </c>
      <c r="BE725" s="289">
        <v>71.959999999999994</v>
      </c>
      <c r="BF725" s="290" cm="1">
        <f t="array" aca="1" ref="BF725" ca="1">INDIRECT("'"&amp;$C725&amp;"'!"&amp;"$"&amp;$D725&amp;$BF$1&amp;"")</f>
        <v>14.26</v>
      </c>
      <c r="BG725" s="288">
        <v>0.99</v>
      </c>
      <c r="BH725" s="286">
        <v>2.2999999999999998</v>
      </c>
      <c r="BI725" s="525">
        <v>68.599999999999994</v>
      </c>
      <c r="BJ725" s="285" cm="1">
        <f t="array" aca="1" ref="BJ725" ca="1">INDIRECT("'"&amp;$C725&amp;"'!"&amp;"$"&amp;$D725&amp;$BI$1&amp;"")</f>
        <v>0</v>
      </c>
      <c r="BK725" s="287" t="s">
        <v>1</v>
      </c>
      <c r="BL725" s="286" t="s">
        <v>1</v>
      </c>
      <c r="BM725" s="290" cm="1">
        <f t="array" aca="1" ref="BM725" ca="1">INDIRECT("'"&amp;$C725&amp;"'!"&amp;"$"&amp;$D725&amp;$BM$1&amp;"")</f>
        <v>1.62</v>
      </c>
      <c r="BN725" s="288"/>
      <c r="BO725" s="288">
        <v>0.99</v>
      </c>
      <c r="BP725" s="286">
        <v>0.21</v>
      </c>
      <c r="BQ725" s="291" cm="1">
        <f t="array" aca="1" ref="BQ725" ca="1">INDIRECT("'"&amp;$C725&amp;"'!"&amp;"$"&amp;$D725&amp;$BQ$1&amp;"")</f>
        <v>1.04</v>
      </c>
      <c r="BR725" s="288"/>
      <c r="BS725" s="288">
        <v>0.97</v>
      </c>
      <c r="BT725" s="286">
        <v>0.27</v>
      </c>
      <c r="BU725" s="291" cm="1">
        <f t="array" aca="1" ref="BU725" ca="1">INDIRECT("'"&amp;$C725&amp;"'!"&amp;"$"&amp;$D725&amp;74&amp;"")</f>
        <v>0</v>
      </c>
      <c r="BV725" s="288"/>
      <c r="BW725" s="288" t="s">
        <v>1</v>
      </c>
      <c r="BX725" s="286" t="s">
        <v>1</v>
      </c>
    </row>
    <row r="726" spans="1:76">
      <c r="A726" s="459">
        <v>45867</v>
      </c>
      <c r="B726" s="345">
        <v>0.875000000000001</v>
      </c>
      <c r="C726" s="305">
        <v>29</v>
      </c>
      <c r="D726" s="306" t="s">
        <v>163</v>
      </c>
      <c r="E726" s="278">
        <v>14.2</v>
      </c>
      <c r="F726" s="279">
        <v>69.489999999999995</v>
      </c>
      <c r="G726" s="280" t="str" cm="1">
        <f t="array" aca="1" ref="G726" ca="1">INDIRECT("'"&amp;$C726&amp;"'!"&amp;"$"&amp;$D726&amp;$E$1&amp;"")</f>
        <v>CMS</v>
      </c>
      <c r="H726" s="281" t="s">
        <v>1</v>
      </c>
      <c r="I726" s="279" t="s">
        <v>1</v>
      </c>
      <c r="J726" s="280" cm="1">
        <f t="array" aca="1" ref="J726" ca="1">INDIRECT("'"&amp;$C726&amp;"'!"&amp;"$"&amp;$D726&amp;$J$1&amp;"")</f>
        <v>6.7</v>
      </c>
      <c r="K726" s="281"/>
      <c r="L726" s="281">
        <v>0.89</v>
      </c>
      <c r="M726" s="282">
        <v>3.47</v>
      </c>
      <c r="N726" s="278" t="str" cm="1">
        <f t="array" aca="1" ref="N726" ca="1">INDIRECT("'"&amp;$C726&amp;"'!"&amp;"$"&amp;$D726&amp;$N$1&amp;"")</f>
        <v>CMS</v>
      </c>
      <c r="O726" s="281"/>
      <c r="P726" s="281" t="s">
        <v>1</v>
      </c>
      <c r="Q726" s="279" t="s">
        <v>1</v>
      </c>
      <c r="R726" s="468" cm="1">
        <f t="array" aca="1" ref="R726" ca="1">INDIRECT("'"&amp;$C726&amp;"'!"&amp;"$"&amp;$D726&amp;$R$1&amp;"")</f>
        <v>6.7</v>
      </c>
      <c r="S726" s="281"/>
      <c r="T726" s="281">
        <v>0.89</v>
      </c>
      <c r="U726" s="279">
        <v>3.47</v>
      </c>
      <c r="V726" s="280" t="str" cm="1">
        <f t="array" aca="1" ref="V726" ca="1">INDIRECT("'"&amp;$C726&amp;"'!"&amp;"$"&amp;$D726&amp;$V$1&amp;"")</f>
        <v>CMS</v>
      </c>
      <c r="W726" s="281" t="s">
        <v>1</v>
      </c>
      <c r="X726" s="281" t="s">
        <v>1</v>
      </c>
      <c r="Y726" s="282" t="s">
        <v>1</v>
      </c>
      <c r="Z726" s="278" cm="1">
        <f t="array" aca="1" ref="Z726" ca="1">INDIRECT("'"&amp;$C726&amp;"'!"&amp;"$"&amp;$D726&amp;$Z$1&amp;"")</f>
        <v>3.4</v>
      </c>
      <c r="AA726" s="281">
        <f>3.51*3.8</f>
        <v>13.337999999999999</v>
      </c>
      <c r="AB726" s="281">
        <v>0.94</v>
      </c>
      <c r="AC726" s="279">
        <v>1.1000000000000001</v>
      </c>
      <c r="AD726" s="280" t="str" cm="1">
        <f t="array" aca="1" ref="AD726" ca="1">INDIRECT("'"&amp;$C726&amp;"'!"&amp;"$"&amp;$D726&amp;$AD$1&amp;"")</f>
        <v>CMS</v>
      </c>
      <c r="AE726" s="281" t="s">
        <v>1</v>
      </c>
      <c r="AF726" s="281" t="s">
        <v>1</v>
      </c>
      <c r="AG726" s="282" t="s">
        <v>1</v>
      </c>
      <c r="AH726" s="278" cm="1">
        <f t="array" aca="1" ref="AH726" ca="1">INDIRECT("'"&amp;$C726&amp;"'!"&amp;"$"&amp;$D726&amp;$AH$1&amp;"")</f>
        <v>3.8</v>
      </c>
      <c r="AI726" s="281">
        <v>14.04</v>
      </c>
      <c r="AJ726" s="281">
        <v>0.99</v>
      </c>
      <c r="AK726" s="279">
        <v>0.47399999999999998</v>
      </c>
      <c r="AL726" s="278">
        <v>11.7</v>
      </c>
      <c r="AM726" s="282">
        <v>71.099999999999994</v>
      </c>
      <c r="AN726" s="278" cm="1">
        <f t="array" aca="1" ref="AN726" ca="1">INDIRECT("'"&amp;$C726&amp;"'!"&amp;"$"&amp;$D726&amp;$AL$1&amp;"")</f>
        <v>0</v>
      </c>
      <c r="AO726" s="281" t="s">
        <v>1</v>
      </c>
      <c r="AP726" s="279" t="s">
        <v>1</v>
      </c>
      <c r="AQ726" s="280" cm="1">
        <f t="array" aca="1" ref="AQ726" ca="1">INDIRECT("'"&amp;$C726&amp;"'!"&amp;"$"&amp;$D726&amp;$AQ$1&amp;"")</f>
        <v>4</v>
      </c>
      <c r="AR726" s="281">
        <v>0.96</v>
      </c>
      <c r="AS726" s="279">
        <v>0.95</v>
      </c>
      <c r="AT726" s="278">
        <v>14</v>
      </c>
      <c r="AU726" s="282">
        <v>70.400000000000006</v>
      </c>
      <c r="AV726" s="281" cm="1">
        <f t="array" aca="1" ref="AV726" ca="1">INDIRECT("'"&amp;$C726&amp;"'!"&amp;"$"&amp;$D726&amp;$AV$1&amp;"")</f>
        <v>5.5</v>
      </c>
      <c r="AW726" s="280" t="s">
        <v>1</v>
      </c>
      <c r="AX726" s="281">
        <v>0.98</v>
      </c>
      <c r="AY726" s="279">
        <v>1</v>
      </c>
      <c r="AZ726" s="281" cm="1">
        <f t="array" aca="1" ref="AZ726" ca="1">INDIRECT("'"&amp;$C726&amp;"'!"&amp;"$"&amp;$D726&amp;$AZ$1&amp;"")</f>
        <v>7</v>
      </c>
      <c r="BA726" s="280" t="s">
        <v>1</v>
      </c>
      <c r="BB726" s="281">
        <v>0.97</v>
      </c>
      <c r="BC726" s="279">
        <v>1.3</v>
      </c>
      <c r="BD726" s="283">
        <v>14.08</v>
      </c>
      <c r="BE726" s="282">
        <v>71.67</v>
      </c>
      <c r="BF726" s="283" cm="1">
        <f t="array" aca="1" ref="BF726" ca="1">INDIRECT("'"&amp;$C726&amp;"'!"&amp;"$"&amp;$D726&amp;$BF$1&amp;"")</f>
        <v>14.25</v>
      </c>
      <c r="BG726" s="281">
        <v>1</v>
      </c>
      <c r="BH726" s="279">
        <v>1.21</v>
      </c>
      <c r="BI726" s="524">
        <v>68.2</v>
      </c>
      <c r="BJ726" s="278" cm="1">
        <f t="array" aca="1" ref="BJ726" ca="1">INDIRECT("'"&amp;$C726&amp;"'!"&amp;"$"&amp;$D726&amp;$BI$1&amp;"")</f>
        <v>0</v>
      </c>
      <c r="BK726" s="280" t="s">
        <v>1</v>
      </c>
      <c r="BL726" s="279" t="s">
        <v>1</v>
      </c>
      <c r="BM726" s="283" cm="1">
        <f t="array" aca="1" ref="BM726" ca="1">INDIRECT("'"&amp;$C726&amp;"'!"&amp;"$"&amp;$D726&amp;$BM$1&amp;"")</f>
        <v>1.54</v>
      </c>
      <c r="BN726" s="281"/>
      <c r="BO726" s="281">
        <v>0.99</v>
      </c>
      <c r="BP726" s="279">
        <v>0.19</v>
      </c>
      <c r="BQ726" s="284" cm="1">
        <f t="array" aca="1" ref="BQ726" ca="1">INDIRECT("'"&amp;$C726&amp;"'!"&amp;"$"&amp;$D726&amp;$BQ$1&amp;"")</f>
        <v>1</v>
      </c>
      <c r="BR726" s="281"/>
      <c r="BS726" s="281">
        <v>0.97</v>
      </c>
      <c r="BT726" s="279">
        <v>0.25</v>
      </c>
      <c r="BU726" s="284" cm="1">
        <f t="array" aca="1" ref="BU726" ca="1">INDIRECT("'"&amp;$C726&amp;"'!"&amp;"$"&amp;$D726&amp;74&amp;"")</f>
        <v>0</v>
      </c>
      <c r="BV726" s="281"/>
      <c r="BW726" s="281" t="s">
        <v>1</v>
      </c>
      <c r="BX726" s="279" t="s">
        <v>1</v>
      </c>
    </row>
    <row r="727" spans="1:76">
      <c r="A727" s="459">
        <v>45867</v>
      </c>
      <c r="B727" s="345">
        <v>0.91666666666666696</v>
      </c>
      <c r="C727" s="305">
        <v>29</v>
      </c>
      <c r="D727" s="306" t="s">
        <v>164</v>
      </c>
      <c r="E727" s="285">
        <v>14.3</v>
      </c>
      <c r="F727" s="286">
        <v>70.09</v>
      </c>
      <c r="G727" s="287" t="str" cm="1">
        <f t="array" aca="1" ref="G727" ca="1">INDIRECT("'"&amp;$C727&amp;"'!"&amp;"$"&amp;$D727&amp;$E$1&amp;"")</f>
        <v>CMS</v>
      </c>
      <c r="H727" s="288" t="s">
        <v>1</v>
      </c>
      <c r="I727" s="286" t="s">
        <v>1</v>
      </c>
      <c r="J727" s="287" cm="1">
        <f t="array" aca="1" ref="J727" ca="1">INDIRECT("'"&amp;$C727&amp;"'!"&amp;"$"&amp;$D727&amp;$J$1&amp;"")</f>
        <v>6.7</v>
      </c>
      <c r="K727" s="288"/>
      <c r="L727" s="288">
        <v>0.92</v>
      </c>
      <c r="M727" s="289">
        <v>2.83</v>
      </c>
      <c r="N727" s="285" t="str" cm="1">
        <f t="array" aca="1" ref="N727" ca="1">INDIRECT("'"&amp;$C727&amp;"'!"&amp;"$"&amp;$D727&amp;$N$1&amp;"")</f>
        <v>CMS</v>
      </c>
      <c r="O727" s="288"/>
      <c r="P727" s="288" t="s">
        <v>1</v>
      </c>
      <c r="Q727" s="286" t="s">
        <v>1</v>
      </c>
      <c r="R727" s="285" cm="1">
        <f t="array" aca="1" ref="R727" ca="1">INDIRECT("'"&amp;$C727&amp;"'!"&amp;"$"&amp;$D727&amp;$R$1&amp;"")</f>
        <v>6.7</v>
      </c>
      <c r="S727" s="288"/>
      <c r="T727" s="288">
        <v>0.92</v>
      </c>
      <c r="U727" s="286">
        <v>2.83</v>
      </c>
      <c r="V727" s="287" t="str" cm="1">
        <f t="array" aca="1" ref="V727" ca="1">INDIRECT("'"&amp;$C727&amp;"'!"&amp;"$"&amp;$D727&amp;$V$1&amp;"")</f>
        <v>CMS</v>
      </c>
      <c r="W727" s="288" t="s">
        <v>1</v>
      </c>
      <c r="X727" s="288" t="s">
        <v>1</v>
      </c>
      <c r="Y727" s="289" t="s">
        <v>1</v>
      </c>
      <c r="Z727" s="285" cm="1">
        <f t="array" aca="1" ref="Z727" ca="1">INDIRECT("'"&amp;$C727&amp;"'!"&amp;"$"&amp;$D727&amp;$Z$1&amp;"")</f>
        <v>3</v>
      </c>
      <c r="AA727" s="288">
        <f>3.8*3.55</f>
        <v>13.489999999999998</v>
      </c>
      <c r="AB727" s="288">
        <v>0.96</v>
      </c>
      <c r="AC727" s="286">
        <v>0.89</v>
      </c>
      <c r="AD727" s="287" t="str" cm="1">
        <f t="array" aca="1" ref="AD727" ca="1">INDIRECT("'"&amp;$C727&amp;"'!"&amp;"$"&amp;$D727&amp;$AD$1&amp;"")</f>
        <v>CMS</v>
      </c>
      <c r="AE727" s="288" t="s">
        <v>1</v>
      </c>
      <c r="AF727" s="288" t="s">
        <v>1</v>
      </c>
      <c r="AG727" s="289" t="s">
        <v>1</v>
      </c>
      <c r="AH727" s="285" cm="1">
        <f t="array" aca="1" ref="AH727" ca="1">INDIRECT("'"&amp;$C727&amp;"'!"&amp;"$"&amp;$D727&amp;$AH$1&amp;"")</f>
        <v>3</v>
      </c>
      <c r="AI727" s="288">
        <v>14.04</v>
      </c>
      <c r="AJ727" s="288">
        <v>0.99</v>
      </c>
      <c r="AK727" s="286">
        <v>0.193</v>
      </c>
      <c r="AL727" s="285">
        <v>11.7</v>
      </c>
      <c r="AM727" s="289">
        <v>71.3</v>
      </c>
      <c r="AN727" s="285" cm="1">
        <f t="array" aca="1" ref="AN727" ca="1">INDIRECT("'"&amp;$C727&amp;"'!"&amp;"$"&amp;$D727&amp;$AL$1&amp;"")</f>
        <v>0</v>
      </c>
      <c r="AO727" s="288" t="s">
        <v>1</v>
      </c>
      <c r="AP727" s="286" t="s">
        <v>1</v>
      </c>
      <c r="AQ727" s="287" cm="1">
        <f t="array" aca="1" ref="AQ727" ca="1">INDIRECT("'"&amp;$C727&amp;"'!"&amp;"$"&amp;$D727&amp;$AQ$1&amp;"")</f>
        <v>2.2999999999999998</v>
      </c>
      <c r="AR727" s="288">
        <v>0.94</v>
      </c>
      <c r="AS727" s="286">
        <v>0.74</v>
      </c>
      <c r="AT727" s="285">
        <v>14</v>
      </c>
      <c r="AU727" s="289">
        <v>70.400000000000006</v>
      </c>
      <c r="AV727" s="288" cm="1">
        <f t="array" aca="1" ref="AV727" ca="1">INDIRECT("'"&amp;$C727&amp;"'!"&amp;"$"&amp;$D727&amp;$AV$1&amp;"")</f>
        <v>2.7</v>
      </c>
      <c r="AW727" s="287" t="s">
        <v>1</v>
      </c>
      <c r="AX727" s="288">
        <v>0.97</v>
      </c>
      <c r="AY727" s="286">
        <v>0.98</v>
      </c>
      <c r="AZ727" s="288" cm="1">
        <f t="array" aca="1" ref="AZ727" ca="1">INDIRECT("'"&amp;$C727&amp;"'!"&amp;"$"&amp;$D727&amp;$AZ$1&amp;"")</f>
        <v>7</v>
      </c>
      <c r="BA727" s="287" t="s">
        <v>1</v>
      </c>
      <c r="BB727" s="288">
        <v>0.97</v>
      </c>
      <c r="BC727" s="286">
        <v>1.31</v>
      </c>
      <c r="BD727" s="290">
        <v>14.14</v>
      </c>
      <c r="BE727" s="289">
        <v>71.97</v>
      </c>
      <c r="BF727" s="290" cm="1">
        <f t="array" aca="1" ref="BF727" ca="1">INDIRECT("'"&amp;$C727&amp;"'!"&amp;"$"&amp;$D727&amp;$BF$1&amp;"")</f>
        <v>14.26</v>
      </c>
      <c r="BG727" s="288">
        <v>1</v>
      </c>
      <c r="BH727" s="286">
        <v>1.25</v>
      </c>
      <c r="BI727" s="525">
        <v>69</v>
      </c>
      <c r="BJ727" s="285" cm="1">
        <f t="array" aca="1" ref="BJ727" ca="1">INDIRECT("'"&amp;$C727&amp;"'!"&amp;"$"&amp;$D727&amp;$BI$1&amp;"")</f>
        <v>0</v>
      </c>
      <c r="BK727" s="287" t="s">
        <v>1</v>
      </c>
      <c r="BL727" s="286" t="s">
        <v>1</v>
      </c>
      <c r="BM727" s="290" cm="1">
        <f t="array" aca="1" ref="BM727" ca="1">INDIRECT("'"&amp;$C727&amp;"'!"&amp;"$"&amp;$D727&amp;$BM$1&amp;"")</f>
        <v>1.34</v>
      </c>
      <c r="BN727" s="288"/>
      <c r="BO727" s="288">
        <v>0.99</v>
      </c>
      <c r="BP727" s="286">
        <v>0.17</v>
      </c>
      <c r="BQ727" s="291" cm="1">
        <f t="array" aca="1" ref="BQ727" ca="1">INDIRECT("'"&amp;$C727&amp;"'!"&amp;"$"&amp;$D727&amp;$BQ$1&amp;"")</f>
        <v>0.96</v>
      </c>
      <c r="BR727" s="288"/>
      <c r="BS727" s="288">
        <v>0.97</v>
      </c>
      <c r="BT727" s="286">
        <v>0.24</v>
      </c>
      <c r="BU727" s="291" cm="1">
        <f t="array" aca="1" ref="BU727" ca="1">INDIRECT("'"&amp;$C727&amp;"'!"&amp;"$"&amp;$D727&amp;74&amp;"")</f>
        <v>0</v>
      </c>
      <c r="BV727" s="288"/>
      <c r="BW727" s="288" t="s">
        <v>1</v>
      </c>
      <c r="BX727" s="286" t="s">
        <v>1</v>
      </c>
    </row>
    <row r="728" spans="1:76" ht="14.45" thickBot="1">
      <c r="A728" s="460">
        <v>45867</v>
      </c>
      <c r="B728" s="346">
        <v>0.95833333333333404</v>
      </c>
      <c r="C728" s="307">
        <v>29</v>
      </c>
      <c r="D728" s="308" t="s">
        <v>165</v>
      </c>
      <c r="E728" s="293">
        <v>14.2</v>
      </c>
      <c r="F728" s="294">
        <v>70.319999999999993</v>
      </c>
      <c r="G728" s="295" t="str" cm="1">
        <f t="array" aca="1" ref="G728" ca="1">INDIRECT("'"&amp;$C728&amp;"'!"&amp;"$"&amp;$D728&amp;$E$1&amp;"")</f>
        <v>CMS</v>
      </c>
      <c r="H728" s="296" t="s">
        <v>1</v>
      </c>
      <c r="I728" s="294" t="s">
        <v>1</v>
      </c>
      <c r="J728" s="295" cm="1">
        <f t="array" aca="1" ref="J728" ca="1">INDIRECT("'"&amp;$C728&amp;"'!"&amp;"$"&amp;$D728&amp;$J$1&amp;"")</f>
        <v>6.6</v>
      </c>
      <c r="K728" s="296"/>
      <c r="L728" s="296">
        <v>0.94</v>
      </c>
      <c r="M728" s="297">
        <v>2.36</v>
      </c>
      <c r="N728" s="293" t="str" cm="1">
        <f t="array" aca="1" ref="N728" ca="1">INDIRECT("'"&amp;$C728&amp;"'!"&amp;"$"&amp;$D728&amp;$N$1&amp;"")</f>
        <v>CMS</v>
      </c>
      <c r="O728" s="296"/>
      <c r="P728" s="296" t="s">
        <v>1</v>
      </c>
      <c r="Q728" s="294" t="s">
        <v>1</v>
      </c>
      <c r="R728" s="470" cm="1">
        <f t="array" aca="1" ref="R728" ca="1">INDIRECT("'"&amp;$C728&amp;"'!"&amp;"$"&amp;$D728&amp;$R$1&amp;"")</f>
        <v>6.6</v>
      </c>
      <c r="S728" s="296"/>
      <c r="T728" s="296">
        <v>0.94</v>
      </c>
      <c r="U728" s="294">
        <v>2.36</v>
      </c>
      <c r="V728" s="295" t="str" cm="1">
        <f t="array" aca="1" ref="V728" ca="1">INDIRECT("'"&amp;$C728&amp;"'!"&amp;"$"&amp;$D728&amp;$V$1&amp;"")</f>
        <v>CMS</v>
      </c>
      <c r="W728" s="296" t="s">
        <v>1</v>
      </c>
      <c r="X728" s="296" t="s">
        <v>1</v>
      </c>
      <c r="Y728" s="297" t="s">
        <v>1</v>
      </c>
      <c r="Z728" s="293" cm="1">
        <f t="array" aca="1" ref="Z728" ca="1">INDIRECT("'"&amp;$C728&amp;"'!"&amp;"$"&amp;$D728&amp;$Z$1&amp;"")</f>
        <v>3</v>
      </c>
      <c r="AA728" s="296">
        <f>3.8*3.56</f>
        <v>13.527999999999999</v>
      </c>
      <c r="AB728" s="296">
        <v>0.96</v>
      </c>
      <c r="AC728" s="294">
        <v>0.85</v>
      </c>
      <c r="AD728" s="295" t="str" cm="1">
        <f t="array" aca="1" ref="AD728" ca="1">INDIRECT("'"&amp;$C728&amp;"'!"&amp;"$"&amp;$D728&amp;$AD$1&amp;"")</f>
        <v>CMS</v>
      </c>
      <c r="AE728" s="296" t="s">
        <v>1</v>
      </c>
      <c r="AF728" s="296" t="s">
        <v>1</v>
      </c>
      <c r="AG728" s="297" t="s">
        <v>1</v>
      </c>
      <c r="AH728" s="293" cm="1">
        <f t="array" aca="1" ref="AH728" ca="1">INDIRECT("'"&amp;$C728&amp;"'!"&amp;"$"&amp;$D728&amp;$AH$1&amp;"")</f>
        <v>3</v>
      </c>
      <c r="AI728" s="296">
        <v>14.04</v>
      </c>
      <c r="AJ728" s="296">
        <v>0.99</v>
      </c>
      <c r="AK728" s="294">
        <v>0.245</v>
      </c>
      <c r="AL728" s="293">
        <v>11.6</v>
      </c>
      <c r="AM728" s="297">
        <v>71.2</v>
      </c>
      <c r="AN728" s="293" cm="1">
        <f t="array" aca="1" ref="AN728" ca="1">INDIRECT("'"&amp;$C728&amp;"'!"&amp;"$"&amp;$D728&amp;$AL$1&amp;"")</f>
        <v>0</v>
      </c>
      <c r="AO728" s="296" t="s">
        <v>1</v>
      </c>
      <c r="AP728" s="294" t="s">
        <v>1</v>
      </c>
      <c r="AQ728" s="295" cm="1">
        <f t="array" aca="1" ref="AQ728" ca="1">INDIRECT("'"&amp;$C728&amp;"'!"&amp;"$"&amp;$D728&amp;$AQ$1&amp;"")</f>
        <v>3</v>
      </c>
      <c r="AR728" s="296">
        <v>0.97</v>
      </c>
      <c r="AS728" s="294">
        <v>0.52</v>
      </c>
      <c r="AT728" s="293">
        <v>13.96</v>
      </c>
      <c r="AU728" s="297">
        <v>70.5</v>
      </c>
      <c r="AV728" s="296" cm="1">
        <f t="array" aca="1" ref="AV728" ca="1">INDIRECT("'"&amp;$C728&amp;"'!"&amp;"$"&amp;$D728&amp;$AV$1&amp;"")</f>
        <v>0</v>
      </c>
      <c r="AW728" s="295" t="s">
        <v>1</v>
      </c>
      <c r="AX728" s="296" t="s">
        <v>1</v>
      </c>
      <c r="AY728" s="294" t="s">
        <v>1</v>
      </c>
      <c r="AZ728" s="296" cm="1">
        <f t="array" aca="1" ref="AZ728" ca="1">INDIRECT("'"&amp;$C728&amp;"'!"&amp;"$"&amp;$D728&amp;$AZ$1&amp;"")</f>
        <v>7</v>
      </c>
      <c r="BA728" s="295" t="s">
        <v>1</v>
      </c>
      <c r="BB728" s="296">
        <v>0.98</v>
      </c>
      <c r="BC728" s="294">
        <v>1.39</v>
      </c>
      <c r="BD728" s="298">
        <v>14.15</v>
      </c>
      <c r="BE728" s="297">
        <v>72.03</v>
      </c>
      <c r="BF728" s="298" cm="1">
        <f t="array" aca="1" ref="BF728" ca="1">INDIRECT("'"&amp;$C728&amp;"'!"&amp;"$"&amp;$D728&amp;$BF$1&amp;"")</f>
        <v>14.27</v>
      </c>
      <c r="BG728" s="296">
        <v>1</v>
      </c>
      <c r="BH728" s="294">
        <v>1.24</v>
      </c>
      <c r="BI728" s="526">
        <v>69.099999999999994</v>
      </c>
      <c r="BJ728" s="293" cm="1">
        <f t="array" aca="1" ref="BJ728" ca="1">INDIRECT("'"&amp;$C728&amp;"'!"&amp;"$"&amp;$D728&amp;$BI$1&amp;"")</f>
        <v>0</v>
      </c>
      <c r="BK728" s="295" t="s">
        <v>1</v>
      </c>
      <c r="BL728" s="294" t="s">
        <v>1</v>
      </c>
      <c r="BM728" s="298" cm="1">
        <f t="array" aca="1" ref="BM728" ca="1">INDIRECT("'"&amp;$C728&amp;"'!"&amp;"$"&amp;$D728&amp;$BM$1&amp;"")</f>
        <v>1.28</v>
      </c>
      <c r="BN728" s="296"/>
      <c r="BO728" s="296">
        <v>0.99</v>
      </c>
      <c r="BP728" s="294">
        <v>0.16</v>
      </c>
      <c r="BQ728" s="299" cm="1">
        <f t="array" aca="1" ref="BQ728" ca="1">INDIRECT("'"&amp;$C728&amp;"'!"&amp;"$"&amp;$D728&amp;$BQ$1&amp;"")</f>
        <v>0.9</v>
      </c>
      <c r="BR728" s="296"/>
      <c r="BS728" s="296">
        <v>0.97</v>
      </c>
      <c r="BT728" s="294">
        <v>0.23</v>
      </c>
      <c r="BU728" s="299" cm="1">
        <f t="array" aca="1" ref="BU728" ca="1">INDIRECT("'"&amp;$C728&amp;"'!"&amp;"$"&amp;$D728&amp;74&amp;"")</f>
        <v>0</v>
      </c>
      <c r="BV728" s="296"/>
      <c r="BW728" s="296" t="s">
        <v>1</v>
      </c>
      <c r="BX728" s="294" t="s">
        <v>1</v>
      </c>
    </row>
    <row r="729" spans="1:76" ht="14.45" thickBot="1"/>
    <row r="730" spans="1:76">
      <c r="A730" s="347">
        <v>45868</v>
      </c>
      <c r="B730" s="344">
        <v>0</v>
      </c>
      <c r="C730" s="302">
        <v>30</v>
      </c>
      <c r="D730" s="303" t="s">
        <v>142</v>
      </c>
      <c r="E730" s="272">
        <v>14.2</v>
      </c>
      <c r="F730" s="273">
        <v>70.56</v>
      </c>
      <c r="G730" s="274" t="str" cm="1">
        <f t="array" aca="1" ref="G730" ca="1">INDIRECT("'"&amp;$C730&amp;"'!"&amp;"$"&amp;$D730&amp;$E$1&amp;"")</f>
        <v>CMS</v>
      </c>
      <c r="H730" s="275" t="s">
        <v>1</v>
      </c>
      <c r="I730" s="273" t="s">
        <v>1</v>
      </c>
      <c r="J730" s="274" cm="1">
        <f t="array" aca="1" ref="J730" ca="1">INDIRECT("'"&amp;$C730&amp;"'!"&amp;"$"&amp;$D730&amp;$J$1&amp;"")</f>
        <v>6.5</v>
      </c>
      <c r="K730" s="275"/>
      <c r="L730" s="275">
        <v>0.97</v>
      </c>
      <c r="M730" s="276">
        <v>1.69</v>
      </c>
      <c r="N730" s="272" t="str" cm="1">
        <f t="array" aca="1" ref="N730" ca="1">INDIRECT("'"&amp;$C730&amp;"'!"&amp;"$"&amp;$D730&amp;$N$1&amp;"")</f>
        <v>CMS</v>
      </c>
      <c r="O730" s="275"/>
      <c r="P730" s="275" t="s">
        <v>1</v>
      </c>
      <c r="Q730" s="273" t="s">
        <v>1</v>
      </c>
      <c r="R730" s="467" cm="1">
        <f t="array" aca="1" ref="R730" ca="1">INDIRECT("'"&amp;$C730&amp;"'!"&amp;"$"&amp;$D730&amp;$R$1&amp;"")</f>
        <v>6.5</v>
      </c>
      <c r="S730" s="275"/>
      <c r="T730" s="275">
        <v>0.97</v>
      </c>
      <c r="U730" s="273">
        <v>1.69</v>
      </c>
      <c r="V730" s="274" t="str" cm="1">
        <f t="array" aca="1" ref="V730" ca="1">INDIRECT("'"&amp;$C730&amp;"'!"&amp;"$"&amp;$D730&amp;$V$1&amp;"")</f>
        <v>CMS</v>
      </c>
      <c r="W730" s="275" t="s">
        <v>1</v>
      </c>
      <c r="X730" s="275" t="s">
        <v>1</v>
      </c>
      <c r="Y730" s="276" t="s">
        <v>1</v>
      </c>
      <c r="Z730" s="272" cm="1">
        <f t="array" aca="1" ref="Z730" ca="1">INDIRECT("'"&amp;$C730&amp;"'!"&amp;"$"&amp;$D730&amp;$Z$1&amp;"")</f>
        <v>3</v>
      </c>
      <c r="AA730" s="275">
        <f>3.8*3.59</f>
        <v>13.641999999999999</v>
      </c>
      <c r="AB730" s="275">
        <v>0.96</v>
      </c>
      <c r="AC730" s="273">
        <v>0.84</v>
      </c>
      <c r="AD730" s="274" t="str" cm="1">
        <f t="array" aca="1" ref="AD730" ca="1">INDIRECT("'"&amp;$C730&amp;"'!"&amp;"$"&amp;$D730&amp;$AD$1&amp;"")</f>
        <v>CMS</v>
      </c>
      <c r="AE730" s="275" t="s">
        <v>1</v>
      </c>
      <c r="AF730" s="275" t="s">
        <v>1</v>
      </c>
      <c r="AG730" s="273" t="s">
        <v>1</v>
      </c>
      <c r="AH730" s="272" cm="1">
        <f t="array" aca="1" ref="AH730" ca="1">INDIRECT("'"&amp;$C730&amp;"'!"&amp;"$"&amp;$D730&amp;$AH$1&amp;"")</f>
        <v>0</v>
      </c>
      <c r="AI730" s="275" t="s">
        <v>1</v>
      </c>
      <c r="AJ730" s="275" t="s">
        <v>1</v>
      </c>
      <c r="AK730" s="273" t="s">
        <v>1</v>
      </c>
      <c r="AL730" s="272">
        <v>11.6</v>
      </c>
      <c r="AM730" s="276">
        <v>71.2</v>
      </c>
      <c r="AN730" s="272" cm="1">
        <f t="array" aca="1" ref="AN730" ca="1">INDIRECT("'"&amp;$C730&amp;"'!"&amp;"$"&amp;$D730&amp;$AL$1&amp;"")</f>
        <v>0</v>
      </c>
      <c r="AO730" s="275" t="s">
        <v>1</v>
      </c>
      <c r="AP730" s="273" t="s">
        <v>1</v>
      </c>
      <c r="AQ730" s="274" cm="1">
        <f t="array" aca="1" ref="AQ730" ca="1">INDIRECT("'"&amp;$C730&amp;"'!"&amp;"$"&amp;$D730&amp;$AQ$1&amp;"")</f>
        <v>2.8</v>
      </c>
      <c r="AR730" s="275">
        <v>0.98</v>
      </c>
      <c r="AS730" s="273">
        <v>0.44</v>
      </c>
      <c r="AT730" s="272">
        <v>13.97</v>
      </c>
      <c r="AU730" s="276">
        <v>70.7</v>
      </c>
      <c r="AV730" s="275" cm="1">
        <f t="array" aca="1" ref="AV730" ca="1">INDIRECT("'"&amp;$C730&amp;"'!"&amp;"$"&amp;$D730&amp;$AV$1&amp;"")</f>
        <v>0</v>
      </c>
      <c r="AW730" s="274" t="s">
        <v>1</v>
      </c>
      <c r="AX730" s="275" t="s">
        <v>1</v>
      </c>
      <c r="AY730" s="273" t="s">
        <v>1</v>
      </c>
      <c r="AZ730" s="275" cm="1">
        <f t="array" aca="1" ref="AZ730" ca="1">INDIRECT("'"&amp;$C730&amp;"'!"&amp;"$"&amp;$D730&amp;$AZ$1&amp;"")</f>
        <v>7</v>
      </c>
      <c r="BA730" s="274" t="s">
        <v>1</v>
      </c>
      <c r="BB730" s="275">
        <v>0.98</v>
      </c>
      <c r="BC730" s="273">
        <v>1.21</v>
      </c>
      <c r="BD730" s="277">
        <v>14.07</v>
      </c>
      <c r="BE730" s="276">
        <v>71.67</v>
      </c>
      <c r="BF730" s="277" cm="1">
        <f t="array" aca="1" ref="BF730" ca="1">INDIRECT("'"&amp;$C730&amp;"'!"&amp;"$"&amp;$D730&amp;$BF$1&amp;"")</f>
        <v>14.27</v>
      </c>
      <c r="BG730" s="275">
        <v>1</v>
      </c>
      <c r="BH730" s="273">
        <v>1.23</v>
      </c>
      <c r="BI730" s="523">
        <v>69.5</v>
      </c>
      <c r="BJ730" s="272" cm="1">
        <f t="array" aca="1" ref="BJ730" ca="1">INDIRECT("'"&amp;$C730&amp;"'!"&amp;"$"&amp;$D730&amp;$BI$1&amp;"")</f>
        <v>0</v>
      </c>
      <c r="BK730" s="274" t="s">
        <v>1</v>
      </c>
      <c r="BL730" s="273" t="s">
        <v>1</v>
      </c>
      <c r="BM730" s="277" cm="1">
        <f t="array" aca="1" ref="BM730" ca="1">INDIRECT("'"&amp;$C730&amp;"'!"&amp;"$"&amp;$D730&amp;$BM$1&amp;"")</f>
        <v>1.1599999999999999</v>
      </c>
      <c r="BN730" s="275"/>
      <c r="BO730" s="275">
        <v>0.99</v>
      </c>
      <c r="BP730" s="273">
        <v>0.15</v>
      </c>
      <c r="BQ730" s="277" cm="1">
        <f t="array" aca="1" ref="BQ730" ca="1">INDIRECT("'"&amp;$C730&amp;"'!"&amp;"$"&amp;$D730&amp;$BQ$1&amp;"")</f>
        <v>0.85</v>
      </c>
      <c r="BR730" s="275"/>
      <c r="BS730" s="275">
        <v>0.96</v>
      </c>
      <c r="BT730" s="273">
        <v>0.22</v>
      </c>
      <c r="BU730" s="358" cm="1">
        <f t="array" aca="1" ref="BU730" ca="1">INDIRECT("'"&amp;$C730&amp;"'!"&amp;"$"&amp;$D730&amp;74&amp;"")</f>
        <v>0</v>
      </c>
      <c r="BV730" s="275"/>
      <c r="BW730" s="275" t="s">
        <v>1</v>
      </c>
      <c r="BX730" s="273" t="s">
        <v>1</v>
      </c>
    </row>
    <row r="731" spans="1:76">
      <c r="A731" s="459">
        <v>45868</v>
      </c>
      <c r="B731" s="345">
        <v>4.1666666666666699E-2</v>
      </c>
      <c r="C731" s="305">
        <v>30</v>
      </c>
      <c r="D731" s="306" t="s">
        <v>143</v>
      </c>
      <c r="E731" s="278">
        <v>14.2</v>
      </c>
      <c r="F731" s="279">
        <v>70.22</v>
      </c>
      <c r="G731" s="280" t="str" cm="1">
        <f t="array" aca="1" ref="G731" ca="1">INDIRECT("'"&amp;$C731&amp;"'!"&amp;"$"&amp;$D731&amp;$E$1&amp;"")</f>
        <v>CMS</v>
      </c>
      <c r="H731" s="281" t="s">
        <v>1</v>
      </c>
      <c r="I731" s="279" t="s">
        <v>1</v>
      </c>
      <c r="J731" s="280" cm="1">
        <f t="array" aca="1" ref="J731" ca="1">INDIRECT("'"&amp;$C731&amp;"'!"&amp;"$"&amp;$D731&amp;$J$1&amp;"")</f>
        <v>6.5</v>
      </c>
      <c r="K731" s="281"/>
      <c r="L731" s="281">
        <v>0.97</v>
      </c>
      <c r="M731" s="282">
        <v>1.68</v>
      </c>
      <c r="N731" s="278" t="str" cm="1">
        <f t="array" aca="1" ref="N731" ca="1">INDIRECT("'"&amp;$C731&amp;"'!"&amp;"$"&amp;$D731&amp;$N$1&amp;"")</f>
        <v>CMS</v>
      </c>
      <c r="O731" s="281"/>
      <c r="P731" s="281" t="s">
        <v>1</v>
      </c>
      <c r="Q731" s="279" t="s">
        <v>1</v>
      </c>
      <c r="R731" s="468" cm="1">
        <f t="array" aca="1" ref="R731" ca="1">INDIRECT("'"&amp;$C731&amp;"'!"&amp;"$"&amp;$D731&amp;$R$1&amp;"")</f>
        <v>6.5</v>
      </c>
      <c r="S731" s="281"/>
      <c r="T731" s="281">
        <v>0.97</v>
      </c>
      <c r="U731" s="279">
        <v>1.68</v>
      </c>
      <c r="V731" s="280" t="str" cm="1">
        <f t="array" aca="1" ref="V731" ca="1">INDIRECT("'"&amp;$C731&amp;"'!"&amp;"$"&amp;$D731&amp;$V$1&amp;"")</f>
        <v>CMS</v>
      </c>
      <c r="W731" s="281" t="s">
        <v>1</v>
      </c>
      <c r="X731" s="281" t="s">
        <v>1</v>
      </c>
      <c r="Y731" s="282" t="s">
        <v>1</v>
      </c>
      <c r="Z731" s="278" cm="1">
        <f t="array" aca="1" ref="Z731" ca="1">INDIRECT("'"&amp;$C731&amp;"'!"&amp;"$"&amp;$D731&amp;$Z$1&amp;"")</f>
        <v>0</v>
      </c>
      <c r="AA731" s="281" t="s">
        <v>1</v>
      </c>
      <c r="AB731" s="281" t="s">
        <v>1</v>
      </c>
      <c r="AC731" s="279" t="s">
        <v>1</v>
      </c>
      <c r="AD731" s="280" t="str" cm="1">
        <f t="array" aca="1" ref="AD731" ca="1">INDIRECT("'"&amp;$C731&amp;"'!"&amp;"$"&amp;$D731&amp;$AD$1&amp;"")</f>
        <v>CMS</v>
      </c>
      <c r="AE731" s="281" t="s">
        <v>1</v>
      </c>
      <c r="AF731" s="281" t="s">
        <v>1</v>
      </c>
      <c r="AG731" s="282" t="s">
        <v>1</v>
      </c>
      <c r="AH731" s="278" cm="1">
        <f t="array" aca="1" ref="AH731" ca="1">INDIRECT("'"&amp;$C731&amp;"'!"&amp;"$"&amp;$D731&amp;$AH$1&amp;"")</f>
        <v>0</v>
      </c>
      <c r="AI731" s="281" t="s">
        <v>1</v>
      </c>
      <c r="AJ731" s="281" t="s">
        <v>1</v>
      </c>
      <c r="AK731" s="279" t="s">
        <v>1</v>
      </c>
      <c r="AL731" s="278">
        <v>11.6</v>
      </c>
      <c r="AM731" s="282">
        <v>71.099999999999994</v>
      </c>
      <c r="AN731" s="278" cm="1">
        <f t="array" aca="1" ref="AN731" ca="1">INDIRECT("'"&amp;$C731&amp;"'!"&amp;"$"&amp;$D731&amp;$AL$1&amp;"")</f>
        <v>0</v>
      </c>
      <c r="AO731" s="281" t="s">
        <v>1</v>
      </c>
      <c r="AP731" s="279" t="s">
        <v>1</v>
      </c>
      <c r="AQ731" s="280" cm="1">
        <f t="array" aca="1" ref="AQ731" ca="1">INDIRECT("'"&amp;$C731&amp;"'!"&amp;"$"&amp;$D731&amp;$AQ$1&amp;"")</f>
        <v>3.5</v>
      </c>
      <c r="AR731" s="281">
        <v>0.98</v>
      </c>
      <c r="AS731" s="279">
        <v>0.62</v>
      </c>
      <c r="AT731" s="278">
        <v>13.95</v>
      </c>
      <c r="AU731" s="282">
        <v>70.7</v>
      </c>
      <c r="AV731" s="281" cm="1">
        <f t="array" aca="1" ref="AV731" ca="1">INDIRECT("'"&amp;$C731&amp;"'!"&amp;"$"&amp;$D731&amp;$AV$1&amp;"")</f>
        <v>0</v>
      </c>
      <c r="AW731" s="280" t="s">
        <v>1</v>
      </c>
      <c r="AX731" s="281" t="s">
        <v>1</v>
      </c>
      <c r="AY731" s="279" t="s">
        <v>1</v>
      </c>
      <c r="AZ731" s="281" cm="1">
        <f t="array" aca="1" ref="AZ731" ca="1">INDIRECT("'"&amp;$C731&amp;"'!"&amp;"$"&amp;$D731&amp;$AZ$1&amp;"")</f>
        <v>7</v>
      </c>
      <c r="BA731" s="280" t="s">
        <v>1</v>
      </c>
      <c r="BB731" s="281">
        <v>0.98</v>
      </c>
      <c r="BC731" s="279">
        <v>1.45</v>
      </c>
      <c r="BD731" s="283">
        <v>14.09</v>
      </c>
      <c r="BE731" s="282">
        <v>71.739999999999995</v>
      </c>
      <c r="BF731" s="283" cm="1">
        <f t="array" aca="1" ref="BF731" ca="1">INDIRECT("'"&amp;$C731&amp;"'!"&amp;"$"&amp;$D731&amp;$BF$1&amp;"")</f>
        <v>14.28</v>
      </c>
      <c r="BG731" s="281">
        <v>1</v>
      </c>
      <c r="BH731" s="279">
        <v>1.25</v>
      </c>
      <c r="BI731" s="524">
        <v>69.099999999999994</v>
      </c>
      <c r="BJ731" s="278" cm="1">
        <f t="array" aca="1" ref="BJ731" ca="1">INDIRECT("'"&amp;$C731&amp;"'!"&amp;"$"&amp;$D731&amp;$BI$1&amp;"")</f>
        <v>0</v>
      </c>
      <c r="BK731" s="280" t="s">
        <v>1</v>
      </c>
      <c r="BL731" s="279" t="s">
        <v>1</v>
      </c>
      <c r="BM731" s="283" cm="1">
        <f t="array" aca="1" ref="BM731" ca="1">INDIRECT("'"&amp;$C731&amp;"'!"&amp;"$"&amp;$D731&amp;$BM$1&amp;"")</f>
        <v>1.05</v>
      </c>
      <c r="BN731" s="281"/>
      <c r="BO731" s="281">
        <v>0.99</v>
      </c>
      <c r="BP731" s="279">
        <v>0.13</v>
      </c>
      <c r="BQ731" s="283" cm="1">
        <f t="array" aca="1" ref="BQ731" ca="1">INDIRECT("'"&amp;$C731&amp;"'!"&amp;"$"&amp;$D731&amp;$BQ$1&amp;"")</f>
        <v>0.8</v>
      </c>
      <c r="BR731" s="281"/>
      <c r="BS731" s="281">
        <v>0.96</v>
      </c>
      <c r="BT731" s="279">
        <v>0.21</v>
      </c>
      <c r="BU731" s="284" cm="1">
        <f t="array" aca="1" ref="BU731" ca="1">INDIRECT("'"&amp;$C731&amp;"'!"&amp;"$"&amp;$D731&amp;74&amp;"")</f>
        <v>0</v>
      </c>
      <c r="BV731" s="281"/>
      <c r="BW731" s="281" t="s">
        <v>1</v>
      </c>
      <c r="BX731" s="279" t="s">
        <v>1</v>
      </c>
    </row>
    <row r="732" spans="1:76">
      <c r="A732" s="459">
        <v>45868</v>
      </c>
      <c r="B732" s="345">
        <v>8.3333333333333301E-2</v>
      </c>
      <c r="C732" s="305">
        <v>30</v>
      </c>
      <c r="D732" s="306" t="s">
        <v>144</v>
      </c>
      <c r="E732" s="285">
        <v>14.2</v>
      </c>
      <c r="F732" s="286">
        <v>70.48</v>
      </c>
      <c r="G732" s="287" t="str" cm="1">
        <f t="array" aca="1" ref="G732" ca="1">INDIRECT("'"&amp;$C732&amp;"'!"&amp;"$"&amp;$D732&amp;$E$1&amp;"")</f>
        <v>CMS</v>
      </c>
      <c r="H732" s="288" t="s">
        <v>1</v>
      </c>
      <c r="I732" s="286" t="s">
        <v>1</v>
      </c>
      <c r="J732" s="287" cm="1">
        <f t="array" aca="1" ref="J732" ca="1">INDIRECT("'"&amp;$C732&amp;"'!"&amp;"$"&amp;$D732&amp;$J$1&amp;"")</f>
        <v>6.6</v>
      </c>
      <c r="K732" s="288"/>
      <c r="L732" s="288">
        <v>0.98</v>
      </c>
      <c r="M732" s="289">
        <v>1.4</v>
      </c>
      <c r="N732" s="285" t="str" cm="1">
        <f t="array" aca="1" ref="N732" ca="1">INDIRECT("'"&amp;$C732&amp;"'!"&amp;"$"&amp;$D732&amp;$N$1&amp;"")</f>
        <v>CMS</v>
      </c>
      <c r="O732" s="288"/>
      <c r="P732" s="288" t="s">
        <v>1</v>
      </c>
      <c r="Q732" s="286" t="s">
        <v>1</v>
      </c>
      <c r="R732" s="285" cm="1">
        <f t="array" aca="1" ref="R732" ca="1">INDIRECT("'"&amp;$C732&amp;"'!"&amp;"$"&amp;$D732&amp;$R$1&amp;"")</f>
        <v>6.6</v>
      </c>
      <c r="S732" s="288"/>
      <c r="T732" s="288">
        <v>0.98</v>
      </c>
      <c r="U732" s="286">
        <v>1.4</v>
      </c>
      <c r="V732" s="287" t="str" cm="1">
        <f t="array" aca="1" ref="V732" ca="1">INDIRECT("'"&amp;$C732&amp;"'!"&amp;"$"&amp;$D732&amp;$V$1&amp;"")</f>
        <v>CMS</v>
      </c>
      <c r="W732" s="288" t="s">
        <v>1</v>
      </c>
      <c r="X732" s="288" t="s">
        <v>1</v>
      </c>
      <c r="Y732" s="289" t="s">
        <v>1</v>
      </c>
      <c r="Z732" s="533" cm="1">
        <f t="array" aca="1" ref="Z732" ca="1">INDIRECT("'"&amp;$C732&amp;"'!"&amp;"$"&amp;$D732&amp;$Z$1&amp;"")</f>
        <v>0</v>
      </c>
      <c r="AA732" s="288" t="s">
        <v>1</v>
      </c>
      <c r="AB732" s="288" t="s">
        <v>1</v>
      </c>
      <c r="AC732" s="286" t="s">
        <v>1</v>
      </c>
      <c r="AD732" s="287" t="str" cm="1">
        <f t="array" aca="1" ref="AD732" ca="1">INDIRECT("'"&amp;$C732&amp;"'!"&amp;"$"&amp;$D732&amp;$AD$1&amp;"")</f>
        <v>CMS</v>
      </c>
      <c r="AE732" s="288" t="s">
        <v>1</v>
      </c>
      <c r="AF732" s="288" t="s">
        <v>1</v>
      </c>
      <c r="AG732" s="289" t="s">
        <v>1</v>
      </c>
      <c r="AH732" s="285" cm="1">
        <f t="array" aca="1" ref="AH732" ca="1">INDIRECT("'"&amp;$C732&amp;"'!"&amp;"$"&amp;$D732&amp;$AH$1&amp;"")</f>
        <v>0</v>
      </c>
      <c r="AI732" s="288" t="s">
        <v>1</v>
      </c>
      <c r="AJ732" s="288" t="s">
        <v>1</v>
      </c>
      <c r="AK732" s="289" t="s">
        <v>1</v>
      </c>
      <c r="AL732" s="285">
        <v>11.6</v>
      </c>
      <c r="AM732" s="289">
        <v>71.2</v>
      </c>
      <c r="AN732" s="285" cm="1">
        <f t="array" aca="1" ref="AN732" ca="1">INDIRECT("'"&amp;$C732&amp;"'!"&amp;"$"&amp;$D732&amp;$AL$1&amp;"")</f>
        <v>0</v>
      </c>
      <c r="AO732" s="288" t="s">
        <v>1</v>
      </c>
      <c r="AP732" s="286" t="s">
        <v>1</v>
      </c>
      <c r="AQ732" s="287" cm="1">
        <f t="array" aca="1" ref="AQ732" ca="1">INDIRECT("'"&amp;$C732&amp;"'!"&amp;"$"&amp;$D732&amp;$AQ$1&amp;"")</f>
        <v>1.5</v>
      </c>
      <c r="AR732" s="288">
        <v>0.94</v>
      </c>
      <c r="AS732" s="286">
        <v>0.54</v>
      </c>
      <c r="AT732" s="285">
        <v>13.95</v>
      </c>
      <c r="AU732" s="289">
        <v>70.7</v>
      </c>
      <c r="AV732" s="288" cm="1">
        <f t="array" aca="1" ref="AV732" ca="1">INDIRECT("'"&amp;$C732&amp;"'!"&amp;"$"&amp;$D732&amp;$AV$1&amp;"")</f>
        <v>0</v>
      </c>
      <c r="AW732" s="287" t="s">
        <v>1</v>
      </c>
      <c r="AX732" s="288" t="s">
        <v>1</v>
      </c>
      <c r="AY732" s="286" t="s">
        <v>1</v>
      </c>
      <c r="AZ732" s="288" cm="1">
        <f t="array" aca="1" ref="AZ732" ca="1">INDIRECT("'"&amp;$C732&amp;"'!"&amp;"$"&amp;$D732&amp;$AZ$1&amp;"")</f>
        <v>7</v>
      </c>
      <c r="BA732" s="287" t="s">
        <v>1</v>
      </c>
      <c r="BB732" s="288">
        <v>0.98</v>
      </c>
      <c r="BC732" s="286">
        <v>1.31</v>
      </c>
      <c r="BD732" s="290">
        <v>14.12</v>
      </c>
      <c r="BE732" s="289">
        <v>71.87</v>
      </c>
      <c r="BF732" s="290" cm="1">
        <f t="array" aca="1" ref="BF732" ca="1">INDIRECT("'"&amp;$C732&amp;"'!"&amp;"$"&amp;$D732&amp;$BF$1&amp;"")</f>
        <v>14.26</v>
      </c>
      <c r="BG732" s="288">
        <v>1</v>
      </c>
      <c r="BH732" s="286">
        <v>1.21</v>
      </c>
      <c r="BI732" s="525">
        <v>69.400000000000006</v>
      </c>
      <c r="BJ732" s="285" cm="1">
        <f t="array" aca="1" ref="BJ732" ca="1">INDIRECT("'"&amp;$C732&amp;"'!"&amp;"$"&amp;$D732&amp;$BI$1&amp;"")</f>
        <v>0</v>
      </c>
      <c r="BK732" s="287" t="s">
        <v>1</v>
      </c>
      <c r="BL732" s="286" t="s">
        <v>1</v>
      </c>
      <c r="BM732" s="290" cm="1">
        <f t="array" aca="1" ref="BM732" ca="1">INDIRECT("'"&amp;$C732&amp;"'!"&amp;"$"&amp;$D732&amp;$BM$1&amp;"")</f>
        <v>1.04</v>
      </c>
      <c r="BN732" s="288"/>
      <c r="BO732" s="288">
        <v>0.99</v>
      </c>
      <c r="BP732" s="286">
        <v>0.13</v>
      </c>
      <c r="BQ732" s="290" cm="1">
        <f t="array" aca="1" ref="BQ732" ca="1">INDIRECT("'"&amp;$C732&amp;"'!"&amp;"$"&amp;$D732&amp;$BQ$1&amp;"")</f>
        <v>0.78</v>
      </c>
      <c r="BR732" s="288"/>
      <c r="BS732" s="288">
        <v>0.96</v>
      </c>
      <c r="BT732" s="286">
        <v>0.21</v>
      </c>
      <c r="BU732" s="291" cm="1">
        <f t="array" aca="1" ref="BU732" ca="1">INDIRECT("'"&amp;$C732&amp;"'!"&amp;"$"&amp;$D732&amp;74&amp;"")</f>
        <v>0</v>
      </c>
      <c r="BV732" s="288"/>
      <c r="BW732" s="288" t="s">
        <v>1</v>
      </c>
      <c r="BX732" s="286" t="s">
        <v>1</v>
      </c>
    </row>
    <row r="733" spans="1:76">
      <c r="A733" s="459">
        <v>45868</v>
      </c>
      <c r="B733" s="345">
        <v>0.125</v>
      </c>
      <c r="C733" s="305">
        <v>30</v>
      </c>
      <c r="D733" s="306" t="s">
        <v>145</v>
      </c>
      <c r="E733" s="278">
        <v>14.2</v>
      </c>
      <c r="F733" s="279">
        <v>70.239999999999995</v>
      </c>
      <c r="G733" s="280" t="str" cm="1">
        <f t="array" aca="1" ref="G733" ca="1">INDIRECT("'"&amp;$C733&amp;"'!"&amp;"$"&amp;$D733&amp;$E$1&amp;"")</f>
        <v>CMS</v>
      </c>
      <c r="H733" s="281" t="s">
        <v>1</v>
      </c>
      <c r="I733" s="279" t="s">
        <v>1</v>
      </c>
      <c r="J733" s="280" cm="1">
        <f t="array" aca="1" ref="J733" ca="1">INDIRECT("'"&amp;$C733&amp;"'!"&amp;"$"&amp;$D733&amp;$J$1&amp;"")</f>
        <v>6.7</v>
      </c>
      <c r="K733" s="281"/>
      <c r="L733" s="281">
        <v>0.98</v>
      </c>
      <c r="M733" s="282">
        <v>1.45</v>
      </c>
      <c r="N733" s="278" t="str" cm="1">
        <f t="array" aca="1" ref="N733" ca="1">INDIRECT("'"&amp;$C733&amp;"'!"&amp;"$"&amp;$D733&amp;$N$1&amp;"")</f>
        <v>CMS</v>
      </c>
      <c r="O733" s="281"/>
      <c r="P733" s="281" t="s">
        <v>1</v>
      </c>
      <c r="Q733" s="279" t="s">
        <v>1</v>
      </c>
      <c r="R733" s="468" cm="1">
        <f t="array" aca="1" ref="R733" ca="1">INDIRECT("'"&amp;$C733&amp;"'!"&amp;"$"&amp;$D733&amp;$R$1&amp;"")</f>
        <v>6.7</v>
      </c>
      <c r="S733" s="281"/>
      <c r="T733" s="281">
        <v>0.98</v>
      </c>
      <c r="U733" s="279">
        <v>1.45</v>
      </c>
      <c r="V733" s="280" t="str" cm="1">
        <f t="array" aca="1" ref="V733" ca="1">INDIRECT("'"&amp;$C733&amp;"'!"&amp;"$"&amp;$D733&amp;$V$1&amp;"")</f>
        <v>CMS</v>
      </c>
      <c r="W733" s="281" t="s">
        <v>1</v>
      </c>
      <c r="X733" s="281" t="s">
        <v>1</v>
      </c>
      <c r="Y733" s="282" t="s">
        <v>1</v>
      </c>
      <c r="Z733" s="278" cm="1">
        <f t="array" aca="1" ref="Z733" ca="1">INDIRECT("'"&amp;$C733&amp;"'!"&amp;"$"&amp;$D733&amp;$Z$1&amp;"")</f>
        <v>0</v>
      </c>
      <c r="AA733" s="281" t="s">
        <v>1</v>
      </c>
      <c r="AB733" s="281" t="s">
        <v>1</v>
      </c>
      <c r="AC733" s="279" t="s">
        <v>1</v>
      </c>
      <c r="AD733" s="280" t="str" cm="1">
        <f t="array" aca="1" ref="AD733" ca="1">INDIRECT("'"&amp;$C733&amp;"'!"&amp;"$"&amp;$D733&amp;$AD$1&amp;"")</f>
        <v>CMS</v>
      </c>
      <c r="AE733" s="281" t="s">
        <v>1</v>
      </c>
      <c r="AF733" s="281" t="s">
        <v>1</v>
      </c>
      <c r="AG733" s="282" t="s">
        <v>1</v>
      </c>
      <c r="AH733" s="278" cm="1">
        <f t="array" aca="1" ref="AH733" ca="1">INDIRECT("'"&amp;$C733&amp;"'!"&amp;"$"&amp;$D733&amp;$AH$1&amp;"")</f>
        <v>0</v>
      </c>
      <c r="AI733" s="281" t="s">
        <v>1</v>
      </c>
      <c r="AJ733" s="281" t="s">
        <v>1</v>
      </c>
      <c r="AK733" s="279" t="s">
        <v>1</v>
      </c>
      <c r="AL733" s="278">
        <v>11.6</v>
      </c>
      <c r="AM733" s="282">
        <v>70.8</v>
      </c>
      <c r="AN733" s="278" cm="1">
        <f t="array" aca="1" ref="AN733" ca="1">INDIRECT("'"&amp;$C733&amp;"'!"&amp;"$"&amp;$D733&amp;$AL$1&amp;"")</f>
        <v>0</v>
      </c>
      <c r="AO733" s="281" t="s">
        <v>1</v>
      </c>
      <c r="AP733" s="279" t="s">
        <v>1</v>
      </c>
      <c r="AQ733" s="280" cm="1">
        <f t="array" aca="1" ref="AQ733" ca="1">INDIRECT("'"&amp;$C733&amp;"'!"&amp;"$"&amp;$D733&amp;$AQ$1&amp;"")</f>
        <v>1.5</v>
      </c>
      <c r="AR733" s="281">
        <v>0.8</v>
      </c>
      <c r="AS733" s="279">
        <v>0.35</v>
      </c>
      <c r="AT733" s="278">
        <v>13.9</v>
      </c>
      <c r="AU733" s="282">
        <v>70.7</v>
      </c>
      <c r="AV733" s="281" cm="1">
        <f t="array" aca="1" ref="AV733" ca="1">INDIRECT("'"&amp;$C733&amp;"'!"&amp;"$"&amp;$D733&amp;$AV$1&amp;"")</f>
        <v>0</v>
      </c>
      <c r="AW733" s="280" t="s">
        <v>1</v>
      </c>
      <c r="AX733" s="281" t="s">
        <v>1</v>
      </c>
      <c r="AY733" s="279" t="s">
        <v>1</v>
      </c>
      <c r="AZ733" s="281" cm="1">
        <f t="array" aca="1" ref="AZ733" ca="1">INDIRECT("'"&amp;$C733&amp;"'!"&amp;"$"&amp;$D733&amp;$AZ$1&amp;"")</f>
        <v>5.81</v>
      </c>
      <c r="BA733" s="280" t="s">
        <v>1</v>
      </c>
      <c r="BB733" s="281">
        <v>0.98</v>
      </c>
      <c r="BC733" s="279">
        <v>1.1299999999999999</v>
      </c>
      <c r="BD733" s="283">
        <v>14.06</v>
      </c>
      <c r="BE733" s="282">
        <v>71.58</v>
      </c>
      <c r="BF733" s="283" cm="1">
        <f t="array" aca="1" ref="BF733" ca="1">INDIRECT("'"&amp;$C733&amp;"'!"&amp;"$"&amp;$D733&amp;$BF$1&amp;"")</f>
        <v>14.28</v>
      </c>
      <c r="BG733" s="281">
        <v>1</v>
      </c>
      <c r="BH733" s="279">
        <v>1.22</v>
      </c>
      <c r="BI733" s="524">
        <v>69.2</v>
      </c>
      <c r="BJ733" s="278" cm="1">
        <f t="array" aca="1" ref="BJ733" ca="1">INDIRECT("'"&amp;$C733&amp;"'!"&amp;"$"&amp;$D733&amp;$BI$1&amp;"")</f>
        <v>0</v>
      </c>
      <c r="BK733" s="280" t="s">
        <v>1</v>
      </c>
      <c r="BL733" s="279" t="s">
        <v>1</v>
      </c>
      <c r="BM733" s="283" cm="1">
        <f t="array" aca="1" ref="BM733" ca="1">INDIRECT("'"&amp;$C733&amp;"'!"&amp;"$"&amp;$D733&amp;$BM$1&amp;"")</f>
        <v>1.02</v>
      </c>
      <c r="BN733" s="281"/>
      <c r="BO733" s="281">
        <v>0.99</v>
      </c>
      <c r="BP733" s="279">
        <v>0.13</v>
      </c>
      <c r="BQ733" s="283" cm="1">
        <f t="array" aca="1" ref="BQ733" ca="1">INDIRECT("'"&amp;$C733&amp;"'!"&amp;"$"&amp;$D733&amp;$BQ$1&amp;"")</f>
        <v>0.76</v>
      </c>
      <c r="BR733" s="281"/>
      <c r="BS733" s="281">
        <v>0.96</v>
      </c>
      <c r="BT733" s="279">
        <v>0.2</v>
      </c>
      <c r="BU733" s="284" cm="1">
        <f t="array" aca="1" ref="BU733" ca="1">INDIRECT("'"&amp;$C733&amp;"'!"&amp;"$"&amp;$D733&amp;74&amp;"")</f>
        <v>0</v>
      </c>
      <c r="BV733" s="281"/>
      <c r="BW733" s="281" t="s">
        <v>1</v>
      </c>
      <c r="BX733" s="279" t="s">
        <v>1</v>
      </c>
    </row>
    <row r="734" spans="1:76">
      <c r="A734" s="459">
        <v>45868</v>
      </c>
      <c r="B734" s="345">
        <v>0.16666666666666699</v>
      </c>
      <c r="C734" s="305">
        <v>30</v>
      </c>
      <c r="D734" s="306" t="s">
        <v>146</v>
      </c>
      <c r="E734" s="285">
        <v>14.2</v>
      </c>
      <c r="F734" s="286">
        <v>7.19</v>
      </c>
      <c r="G734" s="287" t="str" cm="1">
        <f t="array" aca="1" ref="G734" ca="1">INDIRECT("'"&amp;$C734&amp;"'!"&amp;"$"&amp;$D734&amp;$E$1&amp;"")</f>
        <v>CMS</v>
      </c>
      <c r="H734" s="288" t="s">
        <v>1</v>
      </c>
      <c r="I734" s="286" t="s">
        <v>1</v>
      </c>
      <c r="J734" s="287" cm="1">
        <f t="array" aca="1" ref="J734" ca="1">INDIRECT("'"&amp;$C734&amp;"'!"&amp;"$"&amp;$D734&amp;$J$1&amp;"")</f>
        <v>6.7</v>
      </c>
      <c r="K734" s="288"/>
      <c r="L734" s="288">
        <v>0.98</v>
      </c>
      <c r="M734" s="286">
        <v>1.46</v>
      </c>
      <c r="N734" s="285" t="str" cm="1">
        <f t="array" aca="1" ref="N734" ca="1">INDIRECT("'"&amp;$C734&amp;"'!"&amp;"$"&amp;$D734&amp;$N$1&amp;"")</f>
        <v>CMS</v>
      </c>
      <c r="O734" s="288"/>
      <c r="P734" s="288" t="s">
        <v>1</v>
      </c>
      <c r="Q734" s="286" t="s">
        <v>1</v>
      </c>
      <c r="R734" s="285" cm="1">
        <f t="array" aca="1" ref="R734" ca="1">INDIRECT("'"&amp;$C734&amp;"'!"&amp;"$"&amp;$D734&amp;$R$1&amp;"")</f>
        <v>6.7</v>
      </c>
      <c r="S734" s="288"/>
      <c r="T734" s="288">
        <v>0.98</v>
      </c>
      <c r="U734" s="286">
        <v>1.46</v>
      </c>
      <c r="V734" s="287" t="str" cm="1">
        <f t="array" aca="1" ref="V734" ca="1">INDIRECT("'"&amp;$C734&amp;"'!"&amp;"$"&amp;$D734&amp;$V$1&amp;"")</f>
        <v>CMS</v>
      </c>
      <c r="W734" s="288" t="s">
        <v>1</v>
      </c>
      <c r="X734" s="288" t="s">
        <v>1</v>
      </c>
      <c r="Y734" s="289" t="s">
        <v>1</v>
      </c>
      <c r="Z734" s="285" cm="1">
        <f t="array" aca="1" ref="Z734" ca="1">INDIRECT("'"&amp;$C734&amp;"'!"&amp;"$"&amp;$D734&amp;$Z$1&amp;"")</f>
        <v>0</v>
      </c>
      <c r="AA734" s="288" t="s">
        <v>1</v>
      </c>
      <c r="AB734" s="288" t="s">
        <v>1</v>
      </c>
      <c r="AC734" s="286" t="s">
        <v>1</v>
      </c>
      <c r="AD734" s="287" t="str" cm="1">
        <f t="array" aca="1" ref="AD734" ca="1">INDIRECT("'"&amp;$C734&amp;"'!"&amp;"$"&amp;$D734&amp;$AD$1&amp;"")</f>
        <v>CMS</v>
      </c>
      <c r="AE734" s="288" t="s">
        <v>1</v>
      </c>
      <c r="AF734" s="288" t="s">
        <v>1</v>
      </c>
      <c r="AG734" s="289" t="s">
        <v>1</v>
      </c>
      <c r="AH734" s="285" cm="1">
        <f t="array" aca="1" ref="AH734" ca="1">INDIRECT("'"&amp;$C734&amp;"'!"&amp;"$"&amp;$D734&amp;$AH$1&amp;"")</f>
        <v>0</v>
      </c>
      <c r="AI734" s="288" t="s">
        <v>1</v>
      </c>
      <c r="AJ734" s="288" t="s">
        <v>1</v>
      </c>
      <c r="AK734" s="286" t="s">
        <v>1</v>
      </c>
      <c r="AL734" s="285">
        <v>0</v>
      </c>
      <c r="AM734" s="289">
        <v>70.7</v>
      </c>
      <c r="AN734" s="285" cm="1">
        <f t="array" aca="1" ref="AN734" ca="1">INDIRECT("'"&amp;$C734&amp;"'!"&amp;"$"&amp;$D734&amp;$AL$1&amp;"")</f>
        <v>0</v>
      </c>
      <c r="AO734" s="288" t="s">
        <v>1</v>
      </c>
      <c r="AP734" s="286" t="s">
        <v>1</v>
      </c>
      <c r="AQ734" s="287" cm="1">
        <f t="array" aca="1" ref="AQ734" ca="1">INDIRECT("'"&amp;$C734&amp;"'!"&amp;"$"&amp;$D734&amp;$AQ$1&amp;"")</f>
        <v>0</v>
      </c>
      <c r="AR734" s="288" t="s">
        <v>1</v>
      </c>
      <c r="AS734" s="286" t="s">
        <v>1</v>
      </c>
      <c r="AT734" s="285">
        <v>13.989000000000001</v>
      </c>
      <c r="AU734" s="289">
        <v>70.7</v>
      </c>
      <c r="AV734" s="288" cm="1">
        <f t="array" aca="1" ref="AV734" ca="1">INDIRECT("'"&amp;$C734&amp;"'!"&amp;"$"&amp;$D734&amp;$AV$1&amp;"")</f>
        <v>0</v>
      </c>
      <c r="AW734" s="287" t="s">
        <v>1</v>
      </c>
      <c r="AX734" s="288" t="s">
        <v>1</v>
      </c>
      <c r="AY734" s="286" t="s">
        <v>1</v>
      </c>
      <c r="AZ734" s="288" cm="1">
        <f t="array" aca="1" ref="AZ734" ca="1">INDIRECT("'"&amp;$C734&amp;"'!"&amp;"$"&amp;$D734&amp;$AZ$1&amp;"")</f>
        <v>7</v>
      </c>
      <c r="BA734" s="287" t="s">
        <v>1</v>
      </c>
      <c r="BB734" s="288">
        <v>0.98</v>
      </c>
      <c r="BC734" s="286">
        <v>1.36</v>
      </c>
      <c r="BD734" s="290">
        <v>14.03</v>
      </c>
      <c r="BE734" s="289">
        <v>71.489999999999995</v>
      </c>
      <c r="BF734" s="290" cm="1">
        <f t="array" aca="1" ref="BF734" ca="1">INDIRECT("'"&amp;$C734&amp;"'!"&amp;"$"&amp;$D734&amp;$BF$1&amp;"")</f>
        <v>14.27</v>
      </c>
      <c r="BG734" s="288">
        <v>1</v>
      </c>
      <c r="BH734" s="286">
        <v>1.25</v>
      </c>
      <c r="BI734" s="525">
        <v>69.2</v>
      </c>
      <c r="BJ734" s="285" cm="1">
        <f t="array" aca="1" ref="BJ734" ca="1">INDIRECT("'"&amp;$C734&amp;"'!"&amp;"$"&amp;$D734&amp;$BI$1&amp;"")</f>
        <v>0</v>
      </c>
      <c r="BK734" s="287" t="s">
        <v>1</v>
      </c>
      <c r="BL734" s="286" t="s">
        <v>1</v>
      </c>
      <c r="BM734" s="290" cm="1">
        <f t="array" aca="1" ref="BM734" ca="1">INDIRECT("'"&amp;$C734&amp;"'!"&amp;"$"&amp;$D734&amp;$BM$1&amp;"")</f>
        <v>0.97</v>
      </c>
      <c r="BN734" s="288"/>
      <c r="BO734" s="288">
        <v>0.99</v>
      </c>
      <c r="BP734" s="286">
        <v>0.14000000000000001</v>
      </c>
      <c r="BQ734" s="290" cm="1">
        <f t="array" aca="1" ref="BQ734" ca="1">INDIRECT("'"&amp;$C734&amp;"'!"&amp;"$"&amp;$D734&amp;$BQ$1&amp;"")</f>
        <v>0.74</v>
      </c>
      <c r="BR734" s="288"/>
      <c r="BS734" s="288">
        <v>0.96</v>
      </c>
      <c r="BT734" s="286">
        <v>0.2</v>
      </c>
      <c r="BU734" s="291" cm="1">
        <f t="array" aca="1" ref="BU734" ca="1">INDIRECT("'"&amp;$C734&amp;"'!"&amp;"$"&amp;$D734&amp;74&amp;"")</f>
        <v>0</v>
      </c>
      <c r="BV734" s="288"/>
      <c r="BW734" s="288" t="s">
        <v>1</v>
      </c>
      <c r="BX734" s="286" t="s">
        <v>1</v>
      </c>
    </row>
    <row r="735" spans="1:76">
      <c r="A735" s="459">
        <v>45868</v>
      </c>
      <c r="B735" s="345">
        <v>0.20833333333333301</v>
      </c>
      <c r="C735" s="305">
        <v>30</v>
      </c>
      <c r="D735" s="306" t="s">
        <v>147</v>
      </c>
      <c r="E735" s="278">
        <v>14.2</v>
      </c>
      <c r="F735" s="279">
        <v>70.290000000000006</v>
      </c>
      <c r="G735" s="280" t="str" cm="1">
        <f t="array" aca="1" ref="G735" ca="1">INDIRECT("'"&amp;$C735&amp;"'!"&amp;"$"&amp;$D735&amp;$E$1&amp;"")</f>
        <v>CMS</v>
      </c>
      <c r="H735" s="281" t="s">
        <v>1</v>
      </c>
      <c r="I735" s="279" t="s">
        <v>1</v>
      </c>
      <c r="J735" s="280" cm="1">
        <f t="array" aca="1" ref="J735" ca="1">INDIRECT("'"&amp;$C735&amp;"'!"&amp;"$"&amp;$D735&amp;$J$1&amp;"")</f>
        <v>6.8</v>
      </c>
      <c r="K735" s="281"/>
      <c r="L735" s="281">
        <v>0.97</v>
      </c>
      <c r="M735" s="279">
        <v>1.78</v>
      </c>
      <c r="N735" s="278" t="str" cm="1">
        <f t="array" aca="1" ref="N735" ca="1">INDIRECT("'"&amp;$C735&amp;"'!"&amp;"$"&amp;$D735&amp;$N$1&amp;"")</f>
        <v>CMS</v>
      </c>
      <c r="O735" s="281"/>
      <c r="P735" s="281" t="s">
        <v>1</v>
      </c>
      <c r="Q735" s="279" t="s">
        <v>1</v>
      </c>
      <c r="R735" s="468" cm="1">
        <f t="array" aca="1" ref="R735" ca="1">INDIRECT("'"&amp;$C735&amp;"'!"&amp;"$"&amp;$D735&amp;$R$1&amp;"")</f>
        <v>6.8</v>
      </c>
      <c r="S735" s="281"/>
      <c r="T735" s="281">
        <v>0.97</v>
      </c>
      <c r="U735" s="279">
        <v>1.78</v>
      </c>
      <c r="V735" s="280" t="str" cm="1">
        <f t="array" aca="1" ref="V735" ca="1">INDIRECT("'"&amp;$C735&amp;"'!"&amp;"$"&amp;$D735&amp;$V$1&amp;"")</f>
        <v>CMS</v>
      </c>
      <c r="W735" s="281" t="s">
        <v>1</v>
      </c>
      <c r="X735" s="281" t="s">
        <v>1</v>
      </c>
      <c r="Y735" s="282" t="s">
        <v>1</v>
      </c>
      <c r="Z735" s="278" cm="1">
        <f t="array" aca="1" ref="Z735" ca="1">INDIRECT("'"&amp;$C735&amp;"'!"&amp;"$"&amp;$D735&amp;$Z$1&amp;"")</f>
        <v>0</v>
      </c>
      <c r="AA735" s="281" t="s">
        <v>1</v>
      </c>
      <c r="AB735" s="281" t="s">
        <v>1</v>
      </c>
      <c r="AC735" s="279" t="s">
        <v>1</v>
      </c>
      <c r="AD735" s="280" t="str" cm="1">
        <f t="array" aca="1" ref="AD735" ca="1">INDIRECT("'"&amp;$C735&amp;"'!"&amp;"$"&amp;$D735&amp;$AD$1&amp;"")</f>
        <v>CMS</v>
      </c>
      <c r="AE735" s="281" t="s">
        <v>1</v>
      </c>
      <c r="AF735" s="281" t="s">
        <v>1</v>
      </c>
      <c r="AG735" s="282" t="s">
        <v>1</v>
      </c>
      <c r="AH735" s="278" cm="1">
        <f t="array" aca="1" ref="AH735" ca="1">INDIRECT("'"&amp;$C735&amp;"'!"&amp;"$"&amp;$D735&amp;$AH$1&amp;"")</f>
        <v>0</v>
      </c>
      <c r="AI735" s="281" t="s">
        <v>1</v>
      </c>
      <c r="AJ735" s="281" t="s">
        <v>1</v>
      </c>
      <c r="AK735" s="279" t="s">
        <v>1</v>
      </c>
      <c r="AL735" s="278">
        <v>0</v>
      </c>
      <c r="AM735" s="282">
        <v>70.599999999999994</v>
      </c>
      <c r="AN735" s="278" cm="1">
        <f t="array" aca="1" ref="AN735" ca="1">INDIRECT("'"&amp;$C735&amp;"'!"&amp;"$"&amp;$D735&amp;$AL$1&amp;"")</f>
        <v>0</v>
      </c>
      <c r="AO735" s="281" t="s">
        <v>1</v>
      </c>
      <c r="AP735" s="279" t="s">
        <v>1</v>
      </c>
      <c r="AQ735" s="280" cm="1">
        <f t="array" aca="1" ref="AQ735" ca="1">INDIRECT("'"&amp;$C735&amp;"'!"&amp;"$"&amp;$D735&amp;$AQ$1&amp;"")</f>
        <v>0</v>
      </c>
      <c r="AR735" s="281" t="s">
        <v>1</v>
      </c>
      <c r="AS735" s="279" t="s">
        <v>1</v>
      </c>
      <c r="AT735" s="278">
        <v>13.89</v>
      </c>
      <c r="AU735" s="282">
        <v>70.7</v>
      </c>
      <c r="AV735" s="281" cm="1">
        <f t="array" aca="1" ref="AV735" ca="1">INDIRECT("'"&amp;$C735&amp;"'!"&amp;"$"&amp;$D735&amp;$AV$1&amp;"")</f>
        <v>0</v>
      </c>
      <c r="AW735" s="280" t="s">
        <v>1</v>
      </c>
      <c r="AX735" s="281" t="s">
        <v>1</v>
      </c>
      <c r="AY735" s="279" t="s">
        <v>1</v>
      </c>
      <c r="AZ735" s="281" cm="1">
        <f t="array" aca="1" ref="AZ735" ca="1">INDIRECT("'"&amp;$C735&amp;"'!"&amp;"$"&amp;$D735&amp;$AZ$1&amp;"")</f>
        <v>7.5</v>
      </c>
      <c r="BA735" s="280" t="s">
        <v>1</v>
      </c>
      <c r="BB735" s="281">
        <v>0.98</v>
      </c>
      <c r="BC735" s="279">
        <v>1.55</v>
      </c>
      <c r="BD735" s="283">
        <v>13.98</v>
      </c>
      <c r="BE735" s="282">
        <v>71.23</v>
      </c>
      <c r="BF735" s="283" cm="1">
        <f t="array" aca="1" ref="BF735" ca="1">INDIRECT("'"&amp;$C735&amp;"'!"&amp;"$"&amp;$D735&amp;$BF$1&amp;"")</f>
        <v>14.28</v>
      </c>
      <c r="BG735" s="281">
        <v>1</v>
      </c>
      <c r="BH735" s="279">
        <v>1.2</v>
      </c>
      <c r="BI735" s="524">
        <v>69.099999999999994</v>
      </c>
      <c r="BJ735" s="278" cm="1">
        <f t="array" aca="1" ref="BJ735" ca="1">INDIRECT("'"&amp;$C735&amp;"'!"&amp;"$"&amp;$D735&amp;$BI$1&amp;"")</f>
        <v>0.8</v>
      </c>
      <c r="BK735" s="280">
        <v>0.97</v>
      </c>
      <c r="BL735" s="279">
        <v>0.222</v>
      </c>
      <c r="BM735" s="283" cm="1">
        <f t="array" aca="1" ref="BM735" ca="1">INDIRECT("'"&amp;$C735&amp;"'!"&amp;"$"&amp;$D735&amp;$BM$1&amp;"")</f>
        <v>1.05</v>
      </c>
      <c r="BN735" s="281"/>
      <c r="BO735" s="281">
        <v>0.99</v>
      </c>
      <c r="BP735" s="279">
        <v>0.14000000000000001</v>
      </c>
      <c r="BQ735" s="283" cm="1">
        <f t="array" aca="1" ref="BQ735" ca="1">INDIRECT("'"&amp;$C735&amp;"'!"&amp;"$"&amp;$D735&amp;$BQ$1&amp;"")</f>
        <v>0.77</v>
      </c>
      <c r="BR735" s="281"/>
      <c r="BS735" s="281">
        <v>0.96</v>
      </c>
      <c r="BT735" s="279">
        <v>0.2</v>
      </c>
      <c r="BU735" s="284" cm="1">
        <f t="array" aca="1" ref="BU735" ca="1">INDIRECT("'"&amp;$C735&amp;"'!"&amp;"$"&amp;$D735&amp;74&amp;"")</f>
        <v>0</v>
      </c>
      <c r="BV735" s="281"/>
      <c r="BW735" s="281" t="s">
        <v>1</v>
      </c>
      <c r="BX735" s="279" t="s">
        <v>1</v>
      </c>
    </row>
    <row r="736" spans="1:76">
      <c r="A736" s="459">
        <v>45868</v>
      </c>
      <c r="B736" s="345">
        <v>0.25</v>
      </c>
      <c r="C736" s="305">
        <v>30</v>
      </c>
      <c r="D736" s="306" t="s">
        <v>148</v>
      </c>
      <c r="E736" s="285">
        <v>14.2</v>
      </c>
      <c r="F736" s="286">
        <v>70.12</v>
      </c>
      <c r="G736" s="287" t="str" cm="1">
        <f t="array" aca="1" ref="G736" ca="1">INDIRECT("'"&amp;$C736&amp;"'!"&amp;"$"&amp;$D736&amp;$E$1&amp;"")</f>
        <v>CMS</v>
      </c>
      <c r="H736" s="288" t="s">
        <v>1</v>
      </c>
      <c r="I736" s="286" t="s">
        <v>1</v>
      </c>
      <c r="J736" s="287" cm="1">
        <f t="array" aca="1" ref="J736" ca="1">INDIRECT("'"&amp;$C736&amp;"'!"&amp;"$"&amp;$D736&amp;$J$1&amp;"")</f>
        <v>6.8</v>
      </c>
      <c r="K736" s="288"/>
      <c r="L736" s="288">
        <v>0.98</v>
      </c>
      <c r="M736" s="286">
        <v>1.51</v>
      </c>
      <c r="N736" s="285" t="str" cm="1">
        <f t="array" aca="1" ref="N736" ca="1">INDIRECT("'"&amp;$C736&amp;"'!"&amp;"$"&amp;$D736&amp;$N$1&amp;"")</f>
        <v>CMS</v>
      </c>
      <c r="O736" s="288"/>
      <c r="P736" s="288" t="s">
        <v>1</v>
      </c>
      <c r="Q736" s="286" t="s">
        <v>1</v>
      </c>
      <c r="R736" s="285" cm="1">
        <f t="array" aca="1" ref="R736" ca="1">INDIRECT("'"&amp;$C736&amp;"'!"&amp;"$"&amp;$D736&amp;$R$1&amp;"")</f>
        <v>6.8</v>
      </c>
      <c r="S736" s="288"/>
      <c r="T736" s="288">
        <v>0.98</v>
      </c>
      <c r="U736" s="286">
        <v>1.51</v>
      </c>
      <c r="V736" s="287" t="str" cm="1">
        <f t="array" aca="1" ref="V736" ca="1">INDIRECT("'"&amp;$C736&amp;"'!"&amp;"$"&amp;$D736&amp;$V$1&amp;"")</f>
        <v>CMS</v>
      </c>
      <c r="W736" s="288" t="s">
        <v>1</v>
      </c>
      <c r="X736" s="288" t="s">
        <v>1</v>
      </c>
      <c r="Y736" s="289" t="s">
        <v>1</v>
      </c>
      <c r="Z736" s="285" cm="1">
        <f t="array" aca="1" ref="Z736" ca="1">INDIRECT("'"&amp;$C736&amp;"'!"&amp;"$"&amp;$D736&amp;$Z$1&amp;"")</f>
        <v>0</v>
      </c>
      <c r="AA736" s="288" t="s">
        <v>1</v>
      </c>
      <c r="AB736" s="288" t="s">
        <v>1</v>
      </c>
      <c r="AC736" s="286" t="s">
        <v>1</v>
      </c>
      <c r="AD736" s="287" t="str" cm="1">
        <f t="array" aca="1" ref="AD736" ca="1">INDIRECT("'"&amp;$C736&amp;"'!"&amp;"$"&amp;$D736&amp;$AD$1&amp;"")</f>
        <v>CMS</v>
      </c>
      <c r="AE736" s="288" t="s">
        <v>1</v>
      </c>
      <c r="AF736" s="288" t="s">
        <v>1</v>
      </c>
      <c r="AG736" s="289" t="s">
        <v>1</v>
      </c>
      <c r="AH736" s="285" cm="1">
        <f t="array" aca="1" ref="AH736" ca="1">INDIRECT("'"&amp;$C736&amp;"'!"&amp;"$"&amp;$D736&amp;$AH$1&amp;"")</f>
        <v>0</v>
      </c>
      <c r="AI736" s="288" t="s">
        <v>1</v>
      </c>
      <c r="AJ736" s="288" t="s">
        <v>1</v>
      </c>
      <c r="AK736" s="286" t="s">
        <v>1</v>
      </c>
      <c r="AL736" s="285">
        <v>11.6</v>
      </c>
      <c r="AM736" s="289">
        <v>71</v>
      </c>
      <c r="AN736" s="285" cm="1">
        <f t="array" aca="1" ref="AN736" ca="1">INDIRECT("'"&amp;$C736&amp;"'!"&amp;"$"&amp;$D736&amp;$AL$1&amp;"")</f>
        <v>3.9</v>
      </c>
      <c r="AO736" s="288">
        <v>0.99</v>
      </c>
      <c r="AP736" s="286">
        <v>0.33</v>
      </c>
      <c r="AQ736" s="287" cm="1">
        <f t="array" aca="1" ref="AQ736" ca="1">INDIRECT("'"&amp;$C736&amp;"'!"&amp;"$"&amp;$D736&amp;$AQ$1&amp;"")</f>
        <v>0</v>
      </c>
      <c r="AR736" s="288" t="s">
        <v>1</v>
      </c>
      <c r="AS736" s="286" t="s">
        <v>1</v>
      </c>
      <c r="AT736" s="285">
        <v>13.93</v>
      </c>
      <c r="AU736" s="289">
        <v>70.7</v>
      </c>
      <c r="AV736" s="288" cm="1">
        <f t="array" aca="1" ref="AV736" ca="1">INDIRECT("'"&amp;$C736&amp;"'!"&amp;"$"&amp;$D736&amp;$AV$1&amp;"")</f>
        <v>0</v>
      </c>
      <c r="AW736" s="287" t="s">
        <v>1</v>
      </c>
      <c r="AX736" s="288" t="s">
        <v>1</v>
      </c>
      <c r="AY736" s="286" t="s">
        <v>1</v>
      </c>
      <c r="AZ736" s="288" cm="1">
        <f t="array" aca="1" ref="AZ736" ca="1">INDIRECT("'"&amp;$C736&amp;"'!"&amp;"$"&amp;$D736&amp;$AZ$1&amp;"")</f>
        <v>7</v>
      </c>
      <c r="BA736" s="287" t="s">
        <v>1</v>
      </c>
      <c r="BB736" s="288">
        <v>0.99</v>
      </c>
      <c r="BC736" s="286">
        <v>1.02</v>
      </c>
      <c r="BD736" s="290">
        <v>14.17</v>
      </c>
      <c r="BE736" s="289">
        <v>71.73</v>
      </c>
      <c r="BF736" s="290" cm="1">
        <f t="array" aca="1" ref="BF736" ca="1">INDIRECT("'"&amp;$C736&amp;"'!"&amp;"$"&amp;$D736&amp;$BF$1&amp;"")</f>
        <v>14.28</v>
      </c>
      <c r="BG736" s="288">
        <v>0.99</v>
      </c>
      <c r="BH736" s="286">
        <v>2.31</v>
      </c>
      <c r="BI736" s="525">
        <v>69.099999999999994</v>
      </c>
      <c r="BJ736" s="285" cm="1">
        <f t="array" aca="1" ref="BJ736" ca="1">INDIRECT("'"&amp;$C736&amp;"'!"&amp;"$"&amp;$D736&amp;$BI$1&amp;"")</f>
        <v>2.2999999999999998</v>
      </c>
      <c r="BK736" s="287">
        <v>0.97</v>
      </c>
      <c r="BL736" s="286">
        <v>0.59</v>
      </c>
      <c r="BM736" s="290" cm="1">
        <f t="array" aca="1" ref="BM736" ca="1">INDIRECT("'"&amp;$C736&amp;"'!"&amp;"$"&amp;$D736&amp;$BM$1&amp;"")</f>
        <v>1.33</v>
      </c>
      <c r="BN736" s="288"/>
      <c r="BO736" s="288">
        <v>0.99</v>
      </c>
      <c r="BP736" s="286">
        <v>0.17</v>
      </c>
      <c r="BQ736" s="290" cm="1">
        <f t="array" aca="1" ref="BQ736" ca="1">INDIRECT("'"&amp;$C736&amp;"'!"&amp;"$"&amp;$D736&amp;$BQ$1&amp;"")</f>
        <v>0.87</v>
      </c>
      <c r="BR736" s="288"/>
      <c r="BS736" s="288">
        <v>0.97</v>
      </c>
      <c r="BT736" s="286">
        <v>0.21</v>
      </c>
      <c r="BU736" s="291" cm="1">
        <f t="array" aca="1" ref="BU736" ca="1">INDIRECT("'"&amp;$C736&amp;"'!"&amp;"$"&amp;$D736&amp;74&amp;"")</f>
        <v>0</v>
      </c>
      <c r="BV736" s="288"/>
      <c r="BW736" s="288" t="s">
        <v>1</v>
      </c>
      <c r="BX736" s="286" t="s">
        <v>1</v>
      </c>
    </row>
    <row r="737" spans="1:76">
      <c r="A737" s="459">
        <v>45868</v>
      </c>
      <c r="B737" s="345">
        <v>0.29166666666666702</v>
      </c>
      <c r="C737" s="305">
        <v>30</v>
      </c>
      <c r="D737" s="306" t="s">
        <v>149</v>
      </c>
      <c r="E737" s="278">
        <v>14.1</v>
      </c>
      <c r="F737" s="279">
        <v>69.83</v>
      </c>
      <c r="G737" s="280" t="str" cm="1">
        <f t="array" aca="1" ref="G737" ca="1">INDIRECT("'"&amp;$C737&amp;"'!"&amp;"$"&amp;$D737&amp;$E$1&amp;"")</f>
        <v>CMS</v>
      </c>
      <c r="H737" s="281" t="s">
        <v>1</v>
      </c>
      <c r="I737" s="279" t="s">
        <v>1</v>
      </c>
      <c r="J737" s="280" cm="1">
        <f t="array" aca="1" ref="J737" ca="1">INDIRECT("'"&amp;$C737&amp;"'!"&amp;"$"&amp;$D737&amp;$J$1&amp;"")</f>
        <v>6.6</v>
      </c>
      <c r="K737" s="281"/>
      <c r="L737" s="281">
        <v>0.96</v>
      </c>
      <c r="M737" s="282">
        <v>1.85</v>
      </c>
      <c r="N737" s="278" t="str" cm="1">
        <f t="array" aca="1" ref="N737" ca="1">INDIRECT("'"&amp;$C737&amp;"'!"&amp;"$"&amp;$D737&amp;$N$1&amp;"")</f>
        <v>CMS</v>
      </c>
      <c r="O737" s="281"/>
      <c r="P737" s="281" t="s">
        <v>1</v>
      </c>
      <c r="Q737" s="279" t="s">
        <v>1</v>
      </c>
      <c r="R737" s="468" cm="1">
        <f t="array" aca="1" ref="R737" ca="1">INDIRECT("'"&amp;$C737&amp;"'!"&amp;"$"&amp;$D737&amp;$R$1&amp;"")</f>
        <v>6.6</v>
      </c>
      <c r="S737" s="281"/>
      <c r="T737" s="281">
        <v>0.96</v>
      </c>
      <c r="U737" s="279">
        <v>1.85</v>
      </c>
      <c r="V737" s="280" t="str" cm="1">
        <f t="array" aca="1" ref="V737" ca="1">INDIRECT("'"&amp;$C737&amp;"'!"&amp;"$"&amp;$D737&amp;$V$1&amp;"")</f>
        <v>CMS</v>
      </c>
      <c r="W737" s="281" t="s">
        <v>1</v>
      </c>
      <c r="X737" s="281" t="s">
        <v>1</v>
      </c>
      <c r="Y737" s="282" t="s">
        <v>1</v>
      </c>
      <c r="Z737" s="278" cm="1">
        <f t="array" aca="1" ref="Z737" ca="1">INDIRECT("'"&amp;$C737&amp;"'!"&amp;"$"&amp;$D737&amp;$Z$1&amp;"")</f>
        <v>0</v>
      </c>
      <c r="AA737" s="281" t="s">
        <v>1</v>
      </c>
      <c r="AB737" s="281" t="s">
        <v>1</v>
      </c>
      <c r="AC737" s="279" t="s">
        <v>1</v>
      </c>
      <c r="AD737" s="280" t="str" cm="1">
        <f t="array" aca="1" ref="AD737" ca="1">INDIRECT("'"&amp;$C737&amp;"'!"&amp;"$"&amp;$D737&amp;$AD$1&amp;"")</f>
        <v>CMS</v>
      </c>
      <c r="AE737" s="281" t="s">
        <v>1</v>
      </c>
      <c r="AF737" s="281" t="s">
        <v>1</v>
      </c>
      <c r="AG737" s="282" t="s">
        <v>1</v>
      </c>
      <c r="AH737" s="278" cm="1">
        <f t="array" aca="1" ref="AH737" ca="1">INDIRECT("'"&amp;$C737&amp;"'!"&amp;"$"&amp;$D737&amp;$AH$1&amp;"")</f>
        <v>0</v>
      </c>
      <c r="AI737" s="281" t="s">
        <v>1</v>
      </c>
      <c r="AJ737" s="281" t="s">
        <v>1</v>
      </c>
      <c r="AK737" s="279" t="s">
        <v>1</v>
      </c>
      <c r="AL737" s="278">
        <v>11.6</v>
      </c>
      <c r="AM737" s="282">
        <v>70.8</v>
      </c>
      <c r="AN737" s="278" cm="1">
        <f t="array" aca="1" ref="AN737" ca="1">INDIRECT("'"&amp;$C737&amp;"'!"&amp;"$"&amp;$D737&amp;$AL$1&amp;"")</f>
        <v>3.3</v>
      </c>
      <c r="AO737" s="281">
        <v>0.98</v>
      </c>
      <c r="AP737" s="279">
        <v>0.5</v>
      </c>
      <c r="AQ737" s="280" cm="1">
        <f t="array" aca="1" ref="AQ737" ca="1">INDIRECT("'"&amp;$C737&amp;"'!"&amp;"$"&amp;$D737&amp;$AQ$1&amp;"")</f>
        <v>0</v>
      </c>
      <c r="AR737" s="281" t="s">
        <v>1</v>
      </c>
      <c r="AS737" s="279" t="s">
        <v>1</v>
      </c>
      <c r="AT737" s="278">
        <v>13.91</v>
      </c>
      <c r="AU737" s="282">
        <v>70.7</v>
      </c>
      <c r="AV737" s="281" cm="1">
        <f t="array" aca="1" ref="AV737" ca="1">INDIRECT("'"&amp;$C737&amp;"'!"&amp;"$"&amp;$D737&amp;$AV$1&amp;"")</f>
        <v>0</v>
      </c>
      <c r="AW737" s="280" t="s">
        <v>1</v>
      </c>
      <c r="AX737" s="281" t="s">
        <v>1</v>
      </c>
      <c r="AY737" s="279" t="s">
        <v>1</v>
      </c>
      <c r="AZ737" s="281" cm="1">
        <f t="array" aca="1" ref="AZ737" ca="1">INDIRECT("'"&amp;$C737&amp;"'!"&amp;"$"&amp;$D737&amp;$AZ$1&amp;"")</f>
        <v>7</v>
      </c>
      <c r="BA737" s="280" t="s">
        <v>1</v>
      </c>
      <c r="BB737" s="281">
        <v>0.98</v>
      </c>
      <c r="BC737" s="279">
        <v>1.33</v>
      </c>
      <c r="BD737" s="283">
        <v>14.17</v>
      </c>
      <c r="BE737" s="282" t="s">
        <v>170</v>
      </c>
      <c r="BF737" s="283" cm="1">
        <f t="array" aca="1" ref="BF737" ca="1">INDIRECT("'"&amp;$C737&amp;"'!"&amp;"$"&amp;$D737&amp;$BF$1&amp;"")</f>
        <v>14.28</v>
      </c>
      <c r="BG737" s="281">
        <v>0.99</v>
      </c>
      <c r="BH737" s="279">
        <v>2.33</v>
      </c>
      <c r="BI737" s="524">
        <v>68.8</v>
      </c>
      <c r="BJ737" s="278" cm="1">
        <f t="array" aca="1" ref="BJ737" ca="1">INDIRECT("'"&amp;$C737&amp;"'!"&amp;"$"&amp;$D737&amp;$BI$1&amp;"")</f>
        <v>0</v>
      </c>
      <c r="BK737" s="280" t="s">
        <v>1</v>
      </c>
      <c r="BL737" s="279" t="s">
        <v>1</v>
      </c>
      <c r="BM737" s="283" cm="1">
        <f t="array" aca="1" ref="BM737" ca="1">INDIRECT("'"&amp;$C737&amp;"'!"&amp;"$"&amp;$D737&amp;$BM$1&amp;"")</f>
        <v>1.22</v>
      </c>
      <c r="BN737" s="281"/>
      <c r="BO737" s="281">
        <v>0.99</v>
      </c>
      <c r="BP737" s="279">
        <v>0.15</v>
      </c>
      <c r="BQ737" s="284" cm="1">
        <f t="array" aca="1" ref="BQ737" ca="1">INDIRECT("'"&amp;$C737&amp;"'!"&amp;"$"&amp;$D737&amp;$BQ$1&amp;"")</f>
        <v>0.78</v>
      </c>
      <c r="BR737" s="281"/>
      <c r="BS737" s="281">
        <v>0.96</v>
      </c>
      <c r="BT737" s="279">
        <v>0.21</v>
      </c>
      <c r="BU737" s="284" cm="1">
        <f t="array" aca="1" ref="BU737" ca="1">INDIRECT("'"&amp;$C737&amp;"'!"&amp;"$"&amp;$D737&amp;74&amp;"")</f>
        <v>0</v>
      </c>
      <c r="BV737" s="281"/>
      <c r="BW737" s="281" t="s">
        <v>1</v>
      </c>
      <c r="BX737" s="279" t="s">
        <v>1</v>
      </c>
    </row>
    <row r="738" spans="1:76">
      <c r="A738" s="459">
        <v>45868</v>
      </c>
      <c r="B738" s="345">
        <v>0.33333333333333398</v>
      </c>
      <c r="C738" s="305">
        <v>30</v>
      </c>
      <c r="D738" s="306" t="s">
        <v>150</v>
      </c>
      <c r="E738" s="285">
        <v>14.1</v>
      </c>
      <c r="F738" s="286">
        <v>69.94</v>
      </c>
      <c r="G738" s="287" t="str" cm="1">
        <f t="array" aca="1" ref="G738" ca="1">INDIRECT("'"&amp;$C738&amp;"'!"&amp;"$"&amp;$D738&amp;$E$1&amp;"")</f>
        <v>CMS</v>
      </c>
      <c r="H738" s="288" t="s">
        <v>1</v>
      </c>
      <c r="I738" s="286" t="s">
        <v>1</v>
      </c>
      <c r="J738" s="287" cm="1">
        <f t="array" aca="1" ref="J738" ca="1">INDIRECT("'"&amp;$C738&amp;"'!"&amp;"$"&amp;$D738&amp;$J$1&amp;"")</f>
        <v>6.7</v>
      </c>
      <c r="K738" s="288"/>
      <c r="L738" s="288">
        <v>0.94</v>
      </c>
      <c r="M738" s="289">
        <v>2.44</v>
      </c>
      <c r="N738" s="285" t="str" cm="1">
        <f t="array" aca="1" ref="N738" ca="1">INDIRECT("'"&amp;$C738&amp;"'!"&amp;"$"&amp;$D738&amp;$N$1&amp;"")</f>
        <v>CMS</v>
      </c>
      <c r="O738" s="288"/>
      <c r="P738" s="288" t="s">
        <v>1</v>
      </c>
      <c r="Q738" s="286" t="s">
        <v>1</v>
      </c>
      <c r="R738" s="285" cm="1">
        <f t="array" aca="1" ref="R738" ca="1">INDIRECT("'"&amp;$C738&amp;"'!"&amp;"$"&amp;$D738&amp;$R$1&amp;"")</f>
        <v>6.7</v>
      </c>
      <c r="S738" s="288"/>
      <c r="T738" s="288">
        <v>0.94</v>
      </c>
      <c r="U738" s="286">
        <v>2.44</v>
      </c>
      <c r="V738" s="287" t="str" cm="1">
        <f t="array" aca="1" ref="V738" ca="1">INDIRECT("'"&amp;$C738&amp;"'!"&amp;"$"&amp;$D738&amp;$V$1&amp;"")</f>
        <v>CMS</v>
      </c>
      <c r="W738" s="288" t="s">
        <v>1</v>
      </c>
      <c r="X738" s="288" t="s">
        <v>1</v>
      </c>
      <c r="Y738" s="289" t="s">
        <v>1</v>
      </c>
      <c r="Z738" s="285" cm="1">
        <f t="array" aca="1" ref="Z738" ca="1">INDIRECT("'"&amp;$C738&amp;"'!"&amp;"$"&amp;$D738&amp;$Z$1&amp;"")</f>
        <v>3.5</v>
      </c>
      <c r="AA738" s="288">
        <f>3.8*3.5</f>
        <v>13.299999999999999</v>
      </c>
      <c r="AB738" s="288">
        <v>0.95</v>
      </c>
      <c r="AC738" s="286">
        <v>1.01</v>
      </c>
      <c r="AD738" s="287" t="str" cm="1">
        <f t="array" aca="1" ref="AD738" ca="1">INDIRECT("'"&amp;$C738&amp;"'!"&amp;"$"&amp;$D738&amp;$AD$1&amp;"")</f>
        <v>CMS</v>
      </c>
      <c r="AE738" s="288" t="s">
        <v>1</v>
      </c>
      <c r="AF738" s="288" t="s">
        <v>1</v>
      </c>
      <c r="AG738" s="289" t="s">
        <v>1</v>
      </c>
      <c r="AH738" s="285" cm="1">
        <f t="array" aca="1" ref="AH738" ca="1">INDIRECT("'"&amp;$C738&amp;"'!"&amp;"$"&amp;$D738&amp;$AH$1&amp;"")</f>
        <v>2.5</v>
      </c>
      <c r="AI738" s="288">
        <v>13.96</v>
      </c>
      <c r="AJ738" s="288">
        <v>0.99</v>
      </c>
      <c r="AK738" s="286">
        <v>0.23499999999999999</v>
      </c>
      <c r="AL738" s="285">
        <v>11.6</v>
      </c>
      <c r="AM738" s="289">
        <v>70.7</v>
      </c>
      <c r="AN738" s="285" cm="1">
        <f t="array" aca="1" ref="AN738" ca="1">INDIRECT("'"&amp;$C738&amp;"'!"&amp;"$"&amp;$D738&amp;$AL$1&amp;"")</f>
        <v>3.8</v>
      </c>
      <c r="AO738" s="288">
        <v>0.99</v>
      </c>
      <c r="AP738" s="286">
        <v>0.62</v>
      </c>
      <c r="AQ738" s="287" cm="1">
        <f t="array" aca="1" ref="AQ738" ca="1">INDIRECT("'"&amp;$C738&amp;"'!"&amp;"$"&amp;$D738&amp;$AQ$1&amp;"")</f>
        <v>0</v>
      </c>
      <c r="AR738" s="288" t="s">
        <v>1</v>
      </c>
      <c r="AS738" s="286" t="s">
        <v>1</v>
      </c>
      <c r="AT738" s="285">
        <v>13.89</v>
      </c>
      <c r="AU738" s="289">
        <v>70.599999999999994</v>
      </c>
      <c r="AV738" s="288" cm="1">
        <f t="array" aca="1" ref="AV738" ca="1">INDIRECT("'"&amp;$C738&amp;"'!"&amp;"$"&amp;$D738&amp;$AV$1&amp;"")</f>
        <v>0</v>
      </c>
      <c r="AW738" s="287" t="s">
        <v>1</v>
      </c>
      <c r="AX738" s="288" t="s">
        <v>1</v>
      </c>
      <c r="AY738" s="286" t="s">
        <v>1</v>
      </c>
      <c r="AZ738" s="288" cm="1">
        <f t="array" aca="1" ref="AZ738" ca="1">INDIRECT("'"&amp;$C738&amp;"'!"&amp;"$"&amp;$D738&amp;$AZ$1&amp;"")</f>
        <v>7</v>
      </c>
      <c r="BA738" s="287" t="s">
        <v>1</v>
      </c>
      <c r="BB738" s="288">
        <v>0.98</v>
      </c>
      <c r="BC738" s="286">
        <v>1.56</v>
      </c>
      <c r="BD738" s="290">
        <v>14.16</v>
      </c>
      <c r="BE738" s="289">
        <v>71.48</v>
      </c>
      <c r="BF738" s="290" cm="1">
        <f t="array" aca="1" ref="BF738" ca="1">INDIRECT("'"&amp;$C738&amp;"'!"&amp;"$"&amp;$D738&amp;$BF$1&amp;"")</f>
        <v>14.29</v>
      </c>
      <c r="BG738" s="288">
        <v>0.99</v>
      </c>
      <c r="BH738" s="286">
        <v>2.2999999999999998</v>
      </c>
      <c r="BI738" s="525">
        <v>68.400000000000006</v>
      </c>
      <c r="BJ738" s="285" cm="1">
        <f t="array" aca="1" ref="BJ738" ca="1">INDIRECT("'"&amp;$C738&amp;"'!"&amp;"$"&amp;$D738&amp;$BI$1&amp;"")</f>
        <v>0</v>
      </c>
      <c r="BK738" s="287" t="s">
        <v>1</v>
      </c>
      <c r="BL738" s="286" t="s">
        <v>1</v>
      </c>
      <c r="BM738" s="290" cm="1">
        <f t="array" aca="1" ref="BM738" ca="1">INDIRECT("'"&amp;$C738&amp;"'!"&amp;"$"&amp;$D738&amp;$BM$1&amp;"")</f>
        <v>1.24</v>
      </c>
      <c r="BN738" s="288"/>
      <c r="BO738" s="288">
        <v>0.99</v>
      </c>
      <c r="BP738" s="286">
        <v>0.19</v>
      </c>
      <c r="BQ738" s="291" cm="1">
        <f t="array" aca="1" ref="BQ738" ca="1">INDIRECT("'"&amp;$C738&amp;"'!"&amp;"$"&amp;$D738&amp;$BQ$1&amp;"")</f>
        <v>0.76</v>
      </c>
      <c r="BR738" s="288"/>
      <c r="BS738" s="288">
        <v>0.96</v>
      </c>
      <c r="BT738" s="286">
        <v>0.22</v>
      </c>
      <c r="BU738" s="291" cm="1">
        <f t="array" aca="1" ref="BU738" ca="1">INDIRECT("'"&amp;$C738&amp;"'!"&amp;"$"&amp;$D738&amp;74&amp;"")</f>
        <v>0</v>
      </c>
      <c r="BV738" s="288"/>
      <c r="BW738" s="288" t="s">
        <v>1</v>
      </c>
      <c r="BX738" s="286" t="s">
        <v>1</v>
      </c>
    </row>
    <row r="739" spans="1:76">
      <c r="A739" s="459">
        <v>45868</v>
      </c>
      <c r="B739" s="345">
        <v>0.375</v>
      </c>
      <c r="C739" s="305">
        <v>30</v>
      </c>
      <c r="D739" s="306" t="s">
        <v>151</v>
      </c>
      <c r="E739" s="278">
        <v>14</v>
      </c>
      <c r="F739" s="279">
        <v>68.92</v>
      </c>
      <c r="G739" s="280" t="str" cm="1">
        <f t="array" aca="1" ref="G739" ca="1">INDIRECT("'"&amp;$C739&amp;"'!"&amp;"$"&amp;$D739&amp;$E$1&amp;"")</f>
        <v>CMS</v>
      </c>
      <c r="H739" s="281" t="s">
        <v>1</v>
      </c>
      <c r="I739" s="279" t="s">
        <v>1</v>
      </c>
      <c r="J739" s="280" cm="1">
        <f t="array" aca="1" ref="J739" ca="1">INDIRECT("'"&amp;$C739&amp;"'!"&amp;"$"&amp;$D739&amp;$J$1&amp;"")</f>
        <v>6.8</v>
      </c>
      <c r="K739" s="281"/>
      <c r="L739" s="281">
        <v>0.9</v>
      </c>
      <c r="M739" s="282">
        <v>3.32</v>
      </c>
      <c r="N739" s="278" t="str" cm="1">
        <f t="array" aca="1" ref="N739" ca="1">INDIRECT("'"&amp;$C739&amp;"'!"&amp;"$"&amp;$D739&amp;$N$1&amp;"")</f>
        <v>CMS</v>
      </c>
      <c r="O739" s="281"/>
      <c r="P739" s="281" t="s">
        <v>1</v>
      </c>
      <c r="Q739" s="279" t="s">
        <v>1</v>
      </c>
      <c r="R739" s="468" cm="1">
        <f t="array" aca="1" ref="R739" ca="1">INDIRECT("'"&amp;$C739&amp;"'!"&amp;"$"&amp;$D739&amp;$R$1&amp;"")</f>
        <v>6.8</v>
      </c>
      <c r="S739" s="281"/>
      <c r="T739" s="281">
        <v>0.87</v>
      </c>
      <c r="U739" s="279">
        <v>4.0199999999999996</v>
      </c>
      <c r="V739" s="280" t="str" cm="1">
        <f t="array" aca="1" ref="V739" ca="1">INDIRECT("'"&amp;$C739&amp;"'!"&amp;"$"&amp;$D739&amp;$V$1&amp;"")</f>
        <v>CMS</v>
      </c>
      <c r="W739" s="281" t="s">
        <v>1</v>
      </c>
      <c r="X739" s="281" t="s">
        <v>1</v>
      </c>
      <c r="Y739" s="282" t="s">
        <v>1</v>
      </c>
      <c r="Z739" s="278" cm="1">
        <f t="array" aca="1" ref="Z739" ca="1">INDIRECT("'"&amp;$C739&amp;"'!"&amp;"$"&amp;$D739&amp;$Z$1&amp;"")</f>
        <v>3.5</v>
      </c>
      <c r="AA739" s="281">
        <f>3.8*3.41</f>
        <v>12.958</v>
      </c>
      <c r="AB739" s="281">
        <v>0.94</v>
      </c>
      <c r="AC739" s="279">
        <v>1.1599999999999999</v>
      </c>
      <c r="AD739" s="280" t="str" cm="1">
        <f t="array" aca="1" ref="AD739" ca="1">INDIRECT("'"&amp;$C739&amp;"'!"&amp;"$"&amp;$D739&amp;$AD$1&amp;"")</f>
        <v>CMS</v>
      </c>
      <c r="AE739" s="281" t="s">
        <v>1</v>
      </c>
      <c r="AF739" s="281" t="s">
        <v>1</v>
      </c>
      <c r="AG739" s="282" t="s">
        <v>1</v>
      </c>
      <c r="AH739" s="278" cm="1">
        <f t="array" aca="1" ref="AH739" ca="1">INDIRECT("'"&amp;$C739&amp;"'!"&amp;"$"&amp;$D739&amp;$AH$1&amp;"")</f>
        <v>3.8</v>
      </c>
      <c r="AI739" s="281">
        <v>14.12</v>
      </c>
      <c r="AJ739" s="281">
        <v>0.95</v>
      </c>
      <c r="AK739" s="279">
        <v>1.03</v>
      </c>
      <c r="AL739" s="278">
        <v>11.6</v>
      </c>
      <c r="AM739" s="282">
        <v>70.599999999999994</v>
      </c>
      <c r="AN739" s="278" cm="1">
        <f t="array" aca="1" ref="AN739" ca="1">INDIRECT("'"&amp;$C739&amp;"'!"&amp;"$"&amp;$D739&amp;$AL$1&amp;"")</f>
        <v>3.8</v>
      </c>
      <c r="AO739" s="281">
        <v>0.97</v>
      </c>
      <c r="AP739" s="279">
        <v>0.93</v>
      </c>
      <c r="AQ739" s="280" cm="1">
        <f t="array" aca="1" ref="AQ739" ca="1">INDIRECT("'"&amp;$C739&amp;"'!"&amp;"$"&amp;$D739&amp;$AQ$1&amp;"")</f>
        <v>0</v>
      </c>
      <c r="AR739" s="281" t="s">
        <v>1</v>
      </c>
      <c r="AS739" s="279" t="s">
        <v>1</v>
      </c>
      <c r="AT739" s="278">
        <v>13.94</v>
      </c>
      <c r="AU739" s="282">
        <v>70.7</v>
      </c>
      <c r="AV739" s="281" cm="1">
        <f t="array" aca="1" ref="AV739" ca="1">INDIRECT("'"&amp;$C739&amp;"'!"&amp;"$"&amp;$D739&amp;$AV$1&amp;"")</f>
        <v>6.5</v>
      </c>
      <c r="AW739" s="280" t="s">
        <v>1</v>
      </c>
      <c r="AX739" s="281">
        <v>0.98</v>
      </c>
      <c r="AY739" s="279">
        <v>1.22</v>
      </c>
      <c r="AZ739" s="281" cm="1">
        <f t="array" aca="1" ref="AZ739" ca="1">INDIRECT("'"&amp;$C739&amp;"'!"&amp;"$"&amp;$D739&amp;$AZ$1&amp;"")</f>
        <v>7</v>
      </c>
      <c r="BA739" s="280" t="s">
        <v>1</v>
      </c>
      <c r="BB739" s="281">
        <v>0.97</v>
      </c>
      <c r="BC739" s="279">
        <v>1.5</v>
      </c>
      <c r="BD739" s="283">
        <v>14.14</v>
      </c>
      <c r="BE739" s="282">
        <v>71.319999999999993</v>
      </c>
      <c r="BF739" s="283" cm="1">
        <f t="array" aca="1" ref="BF739" ca="1">INDIRECT("'"&amp;$C739&amp;"'!"&amp;"$"&amp;$D739&amp;$BF$1&amp;"")</f>
        <v>14.26</v>
      </c>
      <c r="BG739" s="281">
        <v>0.99</v>
      </c>
      <c r="BH739" s="279">
        <v>2.2999999999999998</v>
      </c>
      <c r="BI739" s="524">
        <v>67.400000000000006</v>
      </c>
      <c r="BJ739" s="278" cm="1">
        <f t="array" aca="1" ref="BJ739" ca="1">INDIRECT("'"&amp;$C739&amp;"'!"&amp;"$"&amp;$D739&amp;$BI$1&amp;"")</f>
        <v>2.2000000000000002</v>
      </c>
      <c r="BK739" s="280">
        <v>0.95</v>
      </c>
      <c r="BL739" s="279">
        <v>0.72</v>
      </c>
      <c r="BM739" s="283" cm="1">
        <f t="array" aca="1" ref="BM739" ca="1">INDIRECT("'"&amp;$C739&amp;"'!"&amp;"$"&amp;$D739&amp;$BM$1&amp;"")</f>
        <v>1.42</v>
      </c>
      <c r="BN739" s="281"/>
      <c r="BO739" s="281">
        <v>0.99</v>
      </c>
      <c r="BP739" s="279">
        <v>0.19</v>
      </c>
      <c r="BQ739" s="284" cm="1">
        <f t="array" aca="1" ref="BQ739" ca="1">INDIRECT("'"&amp;$C739&amp;"'!"&amp;"$"&amp;$D739&amp;$BQ$1&amp;"")</f>
        <v>0.85</v>
      </c>
      <c r="BR739" s="281"/>
      <c r="BS739" s="281">
        <v>0.96</v>
      </c>
      <c r="BT739" s="279">
        <v>0.23</v>
      </c>
      <c r="BU739" s="284" cm="1">
        <f t="array" aca="1" ref="BU739" ca="1">INDIRECT("'"&amp;$C739&amp;"'!"&amp;"$"&amp;$D739&amp;74&amp;"")</f>
        <v>0</v>
      </c>
      <c r="BV739" s="281"/>
      <c r="BW739" s="281" t="s">
        <v>1</v>
      </c>
      <c r="BX739" s="279" t="s">
        <v>1</v>
      </c>
    </row>
    <row r="740" spans="1:76">
      <c r="A740" s="459">
        <v>45868</v>
      </c>
      <c r="B740" s="345">
        <v>0.41666666666666702</v>
      </c>
      <c r="C740" s="305">
        <v>30</v>
      </c>
      <c r="D740" s="306" t="s">
        <v>152</v>
      </c>
      <c r="E740" s="285">
        <v>13.9</v>
      </c>
      <c r="F740" s="286">
        <v>68.59</v>
      </c>
      <c r="G740" s="287" t="str" cm="1">
        <f t="array" aca="1" ref="G740" ca="1">INDIRECT("'"&amp;$C740&amp;"'!"&amp;"$"&amp;$D740&amp;$E$1&amp;"")</f>
        <v>CMS</v>
      </c>
      <c r="H740" s="288" t="s">
        <v>1</v>
      </c>
      <c r="I740" s="286" t="s">
        <v>1</v>
      </c>
      <c r="J740" s="287" cm="1">
        <f t="array" aca="1" ref="J740" ca="1">INDIRECT("'"&amp;$C740&amp;"'!"&amp;"$"&amp;$D740&amp;$J$1&amp;"")</f>
        <v>6.7</v>
      </c>
      <c r="K740" s="288"/>
      <c r="L740" s="288">
        <v>0.88</v>
      </c>
      <c r="M740" s="289">
        <v>3.49</v>
      </c>
      <c r="N740" s="285" t="str" cm="1">
        <f t="array" aca="1" ref="N740" ca="1">INDIRECT("'"&amp;$C740&amp;"'!"&amp;"$"&amp;$D740&amp;$N$1&amp;"")</f>
        <v>CMS</v>
      </c>
      <c r="O740" s="288"/>
      <c r="P740" s="288" t="s">
        <v>1</v>
      </c>
      <c r="Q740" s="286" t="s">
        <v>1</v>
      </c>
      <c r="R740" s="285" cm="1">
        <f t="array" aca="1" ref="R740" ca="1">INDIRECT("'"&amp;$C740&amp;"'!"&amp;"$"&amp;$D740&amp;$R$1&amp;"")</f>
        <v>6.7</v>
      </c>
      <c r="S740" s="288"/>
      <c r="T740" s="288">
        <v>0.88</v>
      </c>
      <c r="U740" s="286">
        <v>3.52</v>
      </c>
      <c r="V740" s="287" t="str" cm="1">
        <f t="array" aca="1" ref="V740" ca="1">INDIRECT("'"&amp;$C740&amp;"'!"&amp;"$"&amp;$D740&amp;$V$1&amp;"")</f>
        <v>CMS</v>
      </c>
      <c r="W740" s="288" t="s">
        <v>1</v>
      </c>
      <c r="X740" s="288" t="s">
        <v>1</v>
      </c>
      <c r="Y740" s="289" t="s">
        <v>1</v>
      </c>
      <c r="Z740" s="285" cm="1">
        <f t="array" aca="1" ref="Z740" ca="1">INDIRECT("'"&amp;$C740&amp;"'!"&amp;"$"&amp;$D740&amp;$Z$1&amp;"")</f>
        <v>3.5</v>
      </c>
      <c r="AA740" s="288">
        <f>3.8*3.38</f>
        <v>12.843999999999999</v>
      </c>
      <c r="AB740" s="288">
        <v>0.87</v>
      </c>
      <c r="AC740" s="286">
        <v>1.8</v>
      </c>
      <c r="AD740" s="287" t="str" cm="1">
        <f t="array" aca="1" ref="AD740" ca="1">INDIRECT("'"&amp;$C740&amp;"'!"&amp;"$"&amp;$D740&amp;$AD$1&amp;"")</f>
        <v>CMS</v>
      </c>
      <c r="AE740" s="288" t="s">
        <v>1</v>
      </c>
      <c r="AF740" s="288" t="s">
        <v>1</v>
      </c>
      <c r="AG740" s="289" t="s">
        <v>1</v>
      </c>
      <c r="AH740" s="285" cm="1">
        <f t="array" aca="1" ref="AH740" ca="1">INDIRECT("'"&amp;$C740&amp;"'!"&amp;"$"&amp;$D740&amp;$AH$1&amp;"")</f>
        <v>3.8</v>
      </c>
      <c r="AI740" s="288">
        <v>14.08</v>
      </c>
      <c r="AJ740" s="288">
        <v>0.95</v>
      </c>
      <c r="AK740" s="286">
        <v>1.1100000000000001</v>
      </c>
      <c r="AL740" s="285">
        <v>11.6</v>
      </c>
      <c r="AM740" s="289">
        <v>70.900000000000006</v>
      </c>
      <c r="AN740" s="285" cm="1">
        <f t="array" aca="1" ref="AN740" ca="1">INDIRECT("'"&amp;$C740&amp;"'!"&amp;"$"&amp;$D740&amp;$AL$1&amp;"")</f>
        <v>3.2</v>
      </c>
      <c r="AO740" s="288">
        <v>0.98</v>
      </c>
      <c r="AP740" s="286">
        <v>0.69</v>
      </c>
      <c r="AQ740" s="287" cm="1">
        <f t="array" aca="1" ref="AQ740" ca="1">INDIRECT("'"&amp;$C740&amp;"'!"&amp;"$"&amp;$D740&amp;$AQ$1&amp;"")</f>
        <v>3.2</v>
      </c>
      <c r="AR740" s="288">
        <v>0.98</v>
      </c>
      <c r="AS740" s="286">
        <v>0.69</v>
      </c>
      <c r="AT740" s="285">
        <v>14.1</v>
      </c>
      <c r="AU740" s="289">
        <v>71</v>
      </c>
      <c r="AV740" s="288" cm="1">
        <f t="array" aca="1" ref="AV740" ca="1">INDIRECT("'"&amp;$C740&amp;"'!"&amp;"$"&amp;$D740&amp;$AV$1&amp;"")</f>
        <v>6.5</v>
      </c>
      <c r="AW740" s="287" t="s">
        <v>1</v>
      </c>
      <c r="AX740" s="288">
        <v>0.96</v>
      </c>
      <c r="AY740" s="286">
        <v>1.97</v>
      </c>
      <c r="AZ740" s="288" cm="1">
        <f t="array" aca="1" ref="AZ740" ca="1">INDIRECT("'"&amp;$C740&amp;"'!"&amp;"$"&amp;$D740&amp;$AZ$1&amp;"")</f>
        <v>7</v>
      </c>
      <c r="BA740" s="287" t="s">
        <v>1</v>
      </c>
      <c r="BB740" s="288">
        <v>0.96</v>
      </c>
      <c r="BC740" s="286">
        <v>1.6</v>
      </c>
      <c r="BD740" s="290">
        <v>14.14</v>
      </c>
      <c r="BE740" s="289">
        <v>71.290000000000006</v>
      </c>
      <c r="BF740" s="290" cm="1">
        <f t="array" aca="1" ref="BF740" ca="1">INDIRECT("'"&amp;$C740&amp;"'!"&amp;"$"&amp;$D740&amp;$BF$1&amp;"")</f>
        <v>14.29</v>
      </c>
      <c r="BG740" s="288">
        <v>0.99</v>
      </c>
      <c r="BH740" s="286">
        <v>2.2999999999999998</v>
      </c>
      <c r="BI740" s="525">
        <v>66.900000000000006</v>
      </c>
      <c r="BJ740" s="285" cm="1">
        <f t="array" aca="1" ref="BJ740" ca="1">INDIRECT("'"&amp;$C740&amp;"'!"&amp;"$"&amp;$D740&amp;$BI$1&amp;"")</f>
        <v>4.4000000000000004</v>
      </c>
      <c r="BK740" s="287">
        <v>0.95</v>
      </c>
      <c r="BL740" s="286">
        <v>1.4</v>
      </c>
      <c r="BM740" s="290" cm="1">
        <f t="array" aca="1" ref="BM740" ca="1">INDIRECT("'"&amp;$C740&amp;"'!"&amp;"$"&amp;$D740&amp;$BM$1&amp;"")</f>
        <v>1.5</v>
      </c>
      <c r="BN740" s="288"/>
      <c r="BO740" s="288">
        <v>0.99</v>
      </c>
      <c r="BP740" s="286">
        <v>0.2</v>
      </c>
      <c r="BQ740" s="291" cm="1">
        <f t="array" aca="1" ref="BQ740" ca="1">INDIRECT("'"&amp;$C740&amp;"'!"&amp;"$"&amp;$D740&amp;$BQ$1&amp;"")</f>
        <v>0.87</v>
      </c>
      <c r="BR740" s="288"/>
      <c r="BS740" s="288">
        <v>0.96</v>
      </c>
      <c r="BT740" s="286">
        <v>0.24</v>
      </c>
      <c r="BU740" s="291" cm="1">
        <f t="array" aca="1" ref="BU740" ca="1">INDIRECT("'"&amp;$C740&amp;"'!"&amp;"$"&amp;$D740&amp;74&amp;"")</f>
        <v>0</v>
      </c>
      <c r="BV740" s="288"/>
      <c r="BW740" s="288" t="s">
        <v>1</v>
      </c>
      <c r="BX740" s="286" t="s">
        <v>1</v>
      </c>
    </row>
    <row r="741" spans="1:76">
      <c r="A741" s="459">
        <v>45868</v>
      </c>
      <c r="B741" s="345">
        <v>0.45833333333333398</v>
      </c>
      <c r="C741" s="305">
        <v>30</v>
      </c>
      <c r="D741" s="306" t="s">
        <v>153</v>
      </c>
      <c r="E741" s="278">
        <v>14</v>
      </c>
      <c r="F741" s="279">
        <v>68.44</v>
      </c>
      <c r="G741" s="280" t="str" cm="1">
        <f t="array" aca="1" ref="G741" ca="1">INDIRECT("'"&amp;$C741&amp;"'!"&amp;"$"&amp;$D741&amp;$E$1&amp;"")</f>
        <v>CMS</v>
      </c>
      <c r="H741" s="281" t="s">
        <v>1</v>
      </c>
      <c r="I741" s="279" t="s">
        <v>1</v>
      </c>
      <c r="J741" s="280" cm="1">
        <f t="array" aca="1" ref="J741" ca="1">INDIRECT("'"&amp;$C741&amp;"'!"&amp;"$"&amp;$D741&amp;$J$1&amp;"")</f>
        <v>6.8</v>
      </c>
      <c r="K741" s="281"/>
      <c r="L741" s="281">
        <v>0.97</v>
      </c>
      <c r="M741" s="282">
        <v>3.75</v>
      </c>
      <c r="N741" s="278" t="str" cm="1">
        <f t="array" aca="1" ref="N741" ca="1">INDIRECT("'"&amp;$C741&amp;"'!"&amp;"$"&amp;$D741&amp;$N$1&amp;"")</f>
        <v>CMS</v>
      </c>
      <c r="O741" s="281"/>
      <c r="P741" s="281" t="s">
        <v>1</v>
      </c>
      <c r="Q741" s="279" t="s">
        <v>1</v>
      </c>
      <c r="R741" s="468" cm="1">
        <f t="array" aca="1" ref="R741" ca="1">INDIRECT("'"&amp;$C741&amp;"'!"&amp;"$"&amp;$D741&amp;$R$1&amp;"")</f>
        <v>6.8</v>
      </c>
      <c r="S741" s="281"/>
      <c r="T741" s="281">
        <v>0.87</v>
      </c>
      <c r="U741" s="279">
        <v>3.75</v>
      </c>
      <c r="V741" s="280" t="str" cm="1">
        <f t="array" aca="1" ref="V741" ca="1">INDIRECT("'"&amp;$C741&amp;"'!"&amp;"$"&amp;$D741&amp;$V$1&amp;"")</f>
        <v>CMS</v>
      </c>
      <c r="W741" s="281" t="s">
        <v>1</v>
      </c>
      <c r="X741" s="281" t="s">
        <v>1</v>
      </c>
      <c r="Y741" s="282" t="s">
        <v>1</v>
      </c>
      <c r="Z741" s="278" cm="1">
        <f t="array" aca="1" ref="Z741" ca="1">INDIRECT("'"&amp;$C741&amp;"'!"&amp;"$"&amp;$D741&amp;$Z$1&amp;"")</f>
        <v>3.3</v>
      </c>
      <c r="AA741" s="281">
        <f>3.8*3.38</f>
        <v>12.843999999999999</v>
      </c>
      <c r="AB741" s="281">
        <v>0.96</v>
      </c>
      <c r="AC741" s="279">
        <v>1.88</v>
      </c>
      <c r="AD741" s="280" t="str" cm="1">
        <f t="array" aca="1" ref="AD741" ca="1">INDIRECT("'"&amp;$C741&amp;"'!"&amp;"$"&amp;$D741&amp;$AD$1&amp;"")</f>
        <v>CMS</v>
      </c>
      <c r="AE741" s="281" t="s">
        <v>1</v>
      </c>
      <c r="AF741" s="281" t="s">
        <v>1</v>
      </c>
      <c r="AG741" s="282" t="s">
        <v>1</v>
      </c>
      <c r="AH741" s="278" cm="1">
        <f t="array" aca="1" ref="AH741" ca="1">INDIRECT("'"&amp;$C741&amp;"'!"&amp;"$"&amp;$D741&amp;$AH$1&amp;"")</f>
        <v>3.8</v>
      </c>
      <c r="AI741" s="281">
        <v>14.04</v>
      </c>
      <c r="AJ741" s="281">
        <v>0.95</v>
      </c>
      <c r="AK741" s="279">
        <v>1.1200000000000001</v>
      </c>
      <c r="AL741" s="278">
        <v>11.6</v>
      </c>
      <c r="AM741" s="282">
        <v>70.900000000000006</v>
      </c>
      <c r="AN741" s="278" cm="1">
        <f t="array" aca="1" ref="AN741" ca="1">INDIRECT("'"&amp;$C741&amp;"'!"&amp;"$"&amp;$D741&amp;$AL$1&amp;"")</f>
        <v>3.8</v>
      </c>
      <c r="AO741" s="281">
        <v>0.98</v>
      </c>
      <c r="AP741" s="279">
        <v>0.71</v>
      </c>
      <c r="AQ741" s="280" cm="1">
        <f t="array" aca="1" ref="AQ741" ca="1">INDIRECT("'"&amp;$C741&amp;"'!"&amp;"$"&amp;$D741&amp;$AQ$1&amp;"")</f>
        <v>3.8</v>
      </c>
      <c r="AR741" s="281">
        <v>0.98</v>
      </c>
      <c r="AS741" s="279">
        <v>0.71</v>
      </c>
      <c r="AT741" s="278">
        <v>14.1</v>
      </c>
      <c r="AU741" s="282">
        <v>71</v>
      </c>
      <c r="AV741" s="281" cm="1">
        <f t="array" aca="1" ref="AV741" ca="1">INDIRECT("'"&amp;$C741&amp;"'!"&amp;"$"&amp;$D741&amp;$AV$1&amp;"")</f>
        <v>7.2</v>
      </c>
      <c r="AW741" s="280" t="s">
        <v>1</v>
      </c>
      <c r="AX741" s="281">
        <v>0.96</v>
      </c>
      <c r="AY741" s="279">
        <v>1.85</v>
      </c>
      <c r="AZ741" s="281" cm="1">
        <f t="array" aca="1" ref="AZ741" ca="1">INDIRECT("'"&amp;$C741&amp;"'!"&amp;"$"&amp;$D741&amp;$AZ$1&amp;"")</f>
        <v>7</v>
      </c>
      <c r="BA741" s="280" t="s">
        <v>1</v>
      </c>
      <c r="BB741" s="281">
        <v>0.96</v>
      </c>
      <c r="BC741" s="279">
        <v>1.85</v>
      </c>
      <c r="BD741" s="283">
        <v>14.01</v>
      </c>
      <c r="BE741" s="282">
        <v>70.739999999999995</v>
      </c>
      <c r="BF741" s="283" cm="1">
        <f t="array" aca="1" ref="BF741" ca="1">INDIRECT("'"&amp;$C741&amp;"'!"&amp;"$"&amp;$D741&amp;$BF$1&amp;"")</f>
        <v>14.27</v>
      </c>
      <c r="BG741" s="281">
        <v>0.99</v>
      </c>
      <c r="BH741" s="279">
        <v>2.2999999999999998</v>
      </c>
      <c r="BI741" s="524">
        <v>67</v>
      </c>
      <c r="BJ741" s="278" cm="1">
        <f t="array" aca="1" ref="BJ741" ca="1">INDIRECT("'"&amp;$C741&amp;"'!"&amp;"$"&amp;$D741&amp;$BI$1&amp;"")</f>
        <v>4.4000000000000004</v>
      </c>
      <c r="BK741" s="280">
        <v>0.95</v>
      </c>
      <c r="BL741" s="279">
        <v>1.4</v>
      </c>
      <c r="BM741" s="283" cm="1">
        <f t="array" aca="1" ref="BM741" ca="1">INDIRECT("'"&amp;$C741&amp;"'!"&amp;"$"&amp;$D741&amp;$BM$1&amp;"")</f>
        <v>1.5</v>
      </c>
      <c r="BN741" s="281"/>
      <c r="BO741" s="281">
        <v>0.99</v>
      </c>
      <c r="BP741" s="279">
        <v>0.22</v>
      </c>
      <c r="BQ741" s="284" cm="1">
        <f t="array" aca="1" ref="BQ741" ca="1">INDIRECT("'"&amp;$C741&amp;"'!"&amp;"$"&amp;$D741&amp;$BQ$1&amp;"")</f>
        <v>0.92</v>
      </c>
      <c r="BR741" s="281"/>
      <c r="BS741" s="281">
        <v>0.96</v>
      </c>
      <c r="BT741" s="279">
        <v>0.25</v>
      </c>
      <c r="BU741" s="284" cm="1">
        <f t="array" aca="1" ref="BU741" ca="1">INDIRECT("'"&amp;$C741&amp;"'!"&amp;"$"&amp;$D741&amp;74&amp;"")</f>
        <v>0</v>
      </c>
      <c r="BV741" s="281"/>
      <c r="BW741" s="281" t="s">
        <v>1</v>
      </c>
      <c r="BX741" s="279" t="s">
        <v>1</v>
      </c>
    </row>
    <row r="742" spans="1:76">
      <c r="A742" s="459">
        <v>45868</v>
      </c>
      <c r="B742" s="345">
        <v>0.5</v>
      </c>
      <c r="C742" s="305">
        <v>30</v>
      </c>
      <c r="D742" s="306" t="s">
        <v>154</v>
      </c>
      <c r="E742" s="285">
        <v>14</v>
      </c>
      <c r="F742" s="286">
        <v>69.510000000000005</v>
      </c>
      <c r="G742" s="287" t="str" cm="1">
        <f t="array" aca="1" ref="G742" ca="1">INDIRECT("'"&amp;$C742&amp;"'!"&amp;"$"&amp;$D742&amp;$E$1&amp;"")</f>
        <v>CMS</v>
      </c>
      <c r="H742" s="288" t="s">
        <v>1</v>
      </c>
      <c r="I742" s="286" t="s">
        <v>1</v>
      </c>
      <c r="J742" s="287" cm="1">
        <f t="array" aca="1" ref="J742" ca="1">INDIRECT("'"&amp;$C742&amp;"'!"&amp;"$"&amp;$D742&amp;$J$1&amp;"")</f>
        <v>6.8</v>
      </c>
      <c r="K742" s="288"/>
      <c r="L742" s="288">
        <v>0.88</v>
      </c>
      <c r="M742" s="289">
        <v>3.51</v>
      </c>
      <c r="N742" s="285" t="str" cm="1">
        <f t="array" aca="1" ref="N742" ca="1">INDIRECT("'"&amp;$C742&amp;"'!"&amp;"$"&amp;$D742&amp;$N$1&amp;"")</f>
        <v>CMS</v>
      </c>
      <c r="O742" s="288"/>
      <c r="P742" s="288" t="s">
        <v>1</v>
      </c>
      <c r="Q742" s="289" t="s">
        <v>1</v>
      </c>
      <c r="R742" s="285" cm="1">
        <f t="array" aca="1" ref="R742" ca="1">INDIRECT("'"&amp;$C742&amp;"'!"&amp;"$"&amp;$D742&amp;$R$1&amp;"")</f>
        <v>6.8</v>
      </c>
      <c r="S742" s="288"/>
      <c r="T742" s="288">
        <v>0.87</v>
      </c>
      <c r="U742" s="286">
        <v>3.76</v>
      </c>
      <c r="V742" s="287" t="str" cm="1">
        <f t="array" aca="1" ref="V742" ca="1">INDIRECT("'"&amp;$C742&amp;"'!"&amp;"$"&amp;$D742&amp;$V$1&amp;"")</f>
        <v>CMS</v>
      </c>
      <c r="W742" s="288" t="s">
        <v>1</v>
      </c>
      <c r="X742" s="288" t="s">
        <v>1</v>
      </c>
      <c r="Y742" s="289" t="s">
        <v>1</v>
      </c>
      <c r="Z742" s="285" cm="1">
        <f t="array" aca="1" ref="Z742" ca="1">INDIRECT("'"&amp;$C742&amp;"'!"&amp;"$"&amp;$D742&amp;$Z$1&amp;"")</f>
        <v>3.5</v>
      </c>
      <c r="AA742" s="288">
        <f>3.8*3.44</f>
        <v>13.071999999999999</v>
      </c>
      <c r="AB742" s="288">
        <v>0.85</v>
      </c>
      <c r="AC742" s="286">
        <v>2.0099999999999998</v>
      </c>
      <c r="AD742" s="287" t="str" cm="1">
        <f t="array" aca="1" ref="AD742" ca="1">INDIRECT("'"&amp;$C742&amp;"'!"&amp;"$"&amp;$D742&amp;$AD$1&amp;"")</f>
        <v>CMS</v>
      </c>
      <c r="AE742" s="288" t="s">
        <v>1</v>
      </c>
      <c r="AF742" s="288" t="s">
        <v>1</v>
      </c>
      <c r="AG742" s="289" t="s">
        <v>1</v>
      </c>
      <c r="AH742" s="285" cm="1">
        <f t="array" aca="1" ref="AH742" ca="1">INDIRECT("'"&amp;$C742&amp;"'!"&amp;"$"&amp;$D742&amp;$AH$1&amp;"")</f>
        <v>3.8</v>
      </c>
      <c r="AI742" s="288">
        <v>14.12</v>
      </c>
      <c r="AJ742" s="288">
        <v>0.97</v>
      </c>
      <c r="AK742" s="286">
        <v>0.83899999999999997</v>
      </c>
      <c r="AL742" s="285">
        <v>11.8</v>
      </c>
      <c r="AM742" s="289">
        <v>71.400000000000006</v>
      </c>
      <c r="AN742" s="285" cm="1">
        <f t="array" aca="1" ref="AN742" ca="1">INDIRECT("'"&amp;$C742&amp;"'!"&amp;"$"&amp;$D742&amp;$AL$1&amp;"")</f>
        <v>3.8</v>
      </c>
      <c r="AO742" s="288">
        <v>0.97</v>
      </c>
      <c r="AP742" s="286">
        <v>1</v>
      </c>
      <c r="AQ742" s="287" cm="1">
        <f t="array" aca="1" ref="AQ742" ca="1">INDIRECT("'"&amp;$C742&amp;"'!"&amp;"$"&amp;$D742&amp;$AQ$1&amp;"")</f>
        <v>2.5</v>
      </c>
      <c r="AR742" s="288">
        <v>0.97</v>
      </c>
      <c r="AS742" s="286">
        <v>1</v>
      </c>
      <c r="AT742" s="285">
        <v>14.1</v>
      </c>
      <c r="AU742" s="289">
        <v>71</v>
      </c>
      <c r="AV742" s="288" cm="1">
        <f t="array" aca="1" ref="AV742" ca="1">INDIRECT("'"&amp;$C742&amp;"'!"&amp;"$"&amp;$D742&amp;$AV$1&amp;"")</f>
        <v>7.4</v>
      </c>
      <c r="AW742" s="287" t="s">
        <v>1</v>
      </c>
      <c r="AX742" s="288">
        <v>0.96</v>
      </c>
      <c r="AY742" s="286">
        <v>1.95</v>
      </c>
      <c r="AZ742" s="288" cm="1">
        <f t="array" aca="1" ref="AZ742" ca="1">INDIRECT("'"&amp;$C742&amp;"'!"&amp;"$"&amp;$D742&amp;$AZ$1&amp;"")</f>
        <v>7</v>
      </c>
      <c r="BA742" s="287" t="s">
        <v>1</v>
      </c>
      <c r="BB742" s="288">
        <v>0.96</v>
      </c>
      <c r="BC742" s="286">
        <v>1.85</v>
      </c>
      <c r="BD742" s="290">
        <v>14.3</v>
      </c>
      <c r="BE742" s="289">
        <v>71.95</v>
      </c>
      <c r="BF742" s="290" cm="1">
        <f t="array" aca="1" ref="BF742" ca="1">INDIRECT("'"&amp;$C742&amp;"'!"&amp;"$"&amp;$D742&amp;$BF$1&amp;"")</f>
        <v>14.25</v>
      </c>
      <c r="BG742" s="288">
        <v>0.98</v>
      </c>
      <c r="BH742" s="286">
        <v>3.5</v>
      </c>
      <c r="BI742" s="525">
        <v>68</v>
      </c>
      <c r="BJ742" s="285" cm="1">
        <f t="array" aca="1" ref="BJ742" ca="1">INDIRECT("'"&amp;$C742&amp;"'!"&amp;"$"&amp;$D742&amp;$BI$1&amp;"")</f>
        <v>5.25</v>
      </c>
      <c r="BK742" s="287">
        <v>0.95</v>
      </c>
      <c r="BL742" s="286">
        <v>1.72</v>
      </c>
      <c r="BM742" s="290" cm="1">
        <f t="array" aca="1" ref="BM742" ca="1">INDIRECT("'"&amp;$C742&amp;"'!"&amp;"$"&amp;$D742&amp;$BM$1&amp;"")</f>
        <v>1.6100000000000003</v>
      </c>
      <c r="BN742" s="288"/>
      <c r="BO742" s="288">
        <v>0.99</v>
      </c>
      <c r="BP742" s="286">
        <v>0.23</v>
      </c>
      <c r="BQ742" s="291" cm="1">
        <f t="array" aca="1" ref="BQ742" ca="1">INDIRECT("'"&amp;$C742&amp;"'!"&amp;"$"&amp;$D742&amp;$BQ$1&amp;"")</f>
        <v>0.92</v>
      </c>
      <c r="BR742" s="288"/>
      <c r="BS742" s="288">
        <v>0.96</v>
      </c>
      <c r="BT742" s="286">
        <v>0.25</v>
      </c>
      <c r="BU742" s="291" cm="1">
        <f t="array" aca="1" ref="BU742" ca="1">INDIRECT("'"&amp;$C742&amp;"'!"&amp;"$"&amp;$D742&amp;74&amp;"")</f>
        <v>0</v>
      </c>
      <c r="BV742" s="288"/>
      <c r="BW742" s="288" t="s">
        <v>1</v>
      </c>
      <c r="BX742" s="286" t="s">
        <v>1</v>
      </c>
    </row>
    <row r="743" spans="1:76">
      <c r="A743" s="459">
        <v>45868</v>
      </c>
      <c r="B743" s="345">
        <v>0.54166666666666696</v>
      </c>
      <c r="C743" s="305">
        <v>30</v>
      </c>
      <c r="D743" s="306" t="s">
        <v>155</v>
      </c>
      <c r="E743" s="278">
        <v>14.1</v>
      </c>
      <c r="F743" s="279">
        <v>69.040000000000006</v>
      </c>
      <c r="G743" s="280" t="str" cm="1">
        <f t="array" aca="1" ref="G743" ca="1">INDIRECT("'"&amp;$C743&amp;"'!"&amp;"$"&amp;$D743&amp;$E$1&amp;"")</f>
        <v>CMS</v>
      </c>
      <c r="H743" s="281" t="s">
        <v>1</v>
      </c>
      <c r="I743" s="279" t="s">
        <v>1</v>
      </c>
      <c r="J743" s="280" cm="1">
        <f t="array" aca="1" ref="J743" ca="1">INDIRECT("'"&amp;$C743&amp;"'!"&amp;"$"&amp;$D743&amp;$J$1&amp;"")</f>
        <v>6.7</v>
      </c>
      <c r="K743" s="281"/>
      <c r="L743" s="281">
        <v>0.88</v>
      </c>
      <c r="M743" s="279">
        <v>3.48</v>
      </c>
      <c r="N743" s="278" cm="1">
        <f t="array" aca="1" ref="N743" ca="1">INDIRECT("'"&amp;$C743&amp;"'!"&amp;"$"&amp;$D743&amp;$N$1&amp;"")</f>
        <v>1.5</v>
      </c>
      <c r="O743" s="281"/>
      <c r="P743" s="281">
        <v>0.89</v>
      </c>
      <c r="Q743" s="279">
        <v>0.74</v>
      </c>
      <c r="R743" s="468" cm="1">
        <f t="array" aca="1" ref="R743" ca="1">INDIRECT("'"&amp;$C743&amp;"'!"&amp;"$"&amp;$D743&amp;$R$1&amp;"")</f>
        <v>5.0999999999999996</v>
      </c>
      <c r="S743" s="281"/>
      <c r="T743" s="281">
        <v>0.85</v>
      </c>
      <c r="U743" s="279">
        <v>3.14</v>
      </c>
      <c r="V743" s="280" t="str" cm="1">
        <f t="array" aca="1" ref="V743" ca="1">INDIRECT("'"&amp;$C743&amp;"'!"&amp;"$"&amp;$D743&amp;$V$1&amp;"")</f>
        <v>CMS</v>
      </c>
      <c r="W743" s="281" t="s">
        <v>1</v>
      </c>
      <c r="X743" s="281" t="s">
        <v>1</v>
      </c>
      <c r="Y743" s="282" t="s">
        <v>1</v>
      </c>
      <c r="Z743" s="278" cm="1">
        <f t="array" aca="1" ref="Z743" ca="1">INDIRECT("'"&amp;$C743&amp;"'!"&amp;"$"&amp;$D743&amp;$Z$1&amp;"")</f>
        <v>3.5</v>
      </c>
      <c r="AA743" s="281">
        <f>3.8*3.4</f>
        <v>12.92</v>
      </c>
      <c r="AB743" s="281">
        <v>0.85</v>
      </c>
      <c r="AC743" s="279">
        <v>1.99</v>
      </c>
      <c r="AD743" s="280" t="str" cm="1">
        <f t="array" aca="1" ref="AD743" ca="1">INDIRECT("'"&amp;$C743&amp;"'!"&amp;"$"&amp;$D743&amp;$AD$1&amp;"")</f>
        <v>CMS</v>
      </c>
      <c r="AE743" s="281" t="s">
        <v>1</v>
      </c>
      <c r="AF743" s="281" t="s">
        <v>1</v>
      </c>
      <c r="AG743" s="282" t="s">
        <v>1</v>
      </c>
      <c r="AH743" s="278" cm="1">
        <f t="array" aca="1" ref="AH743" ca="1">INDIRECT("'"&amp;$C743&amp;"'!"&amp;"$"&amp;$D743&amp;$AH$1&amp;"")</f>
        <v>3.8</v>
      </c>
      <c r="AI743" s="281">
        <v>14.12</v>
      </c>
      <c r="AJ743" s="281">
        <v>0.97</v>
      </c>
      <c r="AK743" s="279">
        <v>0.82599999999999996</v>
      </c>
      <c r="AL743" s="278">
        <v>11.8</v>
      </c>
      <c r="AM743" s="282">
        <v>71.400000000000006</v>
      </c>
      <c r="AN743" s="278" cm="1">
        <f t="array" aca="1" ref="AN743" ca="1">INDIRECT("'"&amp;$C743&amp;"'!"&amp;"$"&amp;$D743&amp;$AL$1&amp;"")</f>
        <v>3.8</v>
      </c>
      <c r="AO743" s="281">
        <v>0.97</v>
      </c>
      <c r="AP743" s="279">
        <v>1</v>
      </c>
      <c r="AQ743" s="280" cm="1">
        <f t="array" aca="1" ref="AQ743" ca="1">INDIRECT("'"&amp;$C743&amp;"'!"&amp;"$"&amp;$D743&amp;$AQ$1&amp;"")</f>
        <v>3.5</v>
      </c>
      <c r="AR743" s="281">
        <v>0.97</v>
      </c>
      <c r="AS743" s="279">
        <v>1</v>
      </c>
      <c r="AT743" s="278">
        <v>14.1</v>
      </c>
      <c r="AU743" s="282">
        <v>71</v>
      </c>
      <c r="AV743" s="281" cm="1">
        <f t="array" aca="1" ref="AV743" ca="1">INDIRECT("'"&amp;$C743&amp;"'!"&amp;"$"&amp;$D743&amp;$AV$1&amp;"")</f>
        <v>7.6</v>
      </c>
      <c r="AW743" s="280">
        <v>13.7</v>
      </c>
      <c r="AX743" s="281">
        <v>0.96</v>
      </c>
      <c r="AY743" s="279">
        <v>1.95</v>
      </c>
      <c r="AZ743" s="281" cm="1">
        <f t="array" aca="1" ref="AZ743" ca="1">INDIRECT("'"&amp;$C743&amp;"'!"&amp;"$"&amp;$D743&amp;$AZ$1&amp;"")</f>
        <v>7</v>
      </c>
      <c r="BA743" s="280">
        <v>13.7</v>
      </c>
      <c r="BB743" s="281">
        <v>0.96</v>
      </c>
      <c r="BC743" s="279">
        <v>1.95</v>
      </c>
      <c r="BD743" s="283">
        <v>14.1</v>
      </c>
      <c r="BE743" s="282">
        <v>71</v>
      </c>
      <c r="BF743" s="283" cm="1">
        <f t="array" aca="1" ref="BF743" ca="1">INDIRECT("'"&amp;$C743&amp;"'!"&amp;"$"&amp;$D743&amp;$BF$1&amp;"")</f>
        <v>14.29</v>
      </c>
      <c r="BG743" s="281">
        <v>0.98</v>
      </c>
      <c r="BH743" s="279">
        <v>3.3</v>
      </c>
      <c r="BI743" s="524">
        <v>67.8</v>
      </c>
      <c r="BJ743" s="278" cm="1">
        <f t="array" aca="1" ref="BJ743" ca="1">INDIRECT("'"&amp;$C743&amp;"'!"&amp;"$"&amp;$D743&amp;$BI$1&amp;"")</f>
        <v>5.4</v>
      </c>
      <c r="BK743" s="280">
        <v>0.95</v>
      </c>
      <c r="BL743" s="279">
        <v>1.7</v>
      </c>
      <c r="BM743" s="283" cm="1">
        <f t="array" aca="1" ref="BM743" ca="1">INDIRECT("'"&amp;$C743&amp;"'!"&amp;"$"&amp;$D743&amp;$BM$1&amp;"")</f>
        <v>1.59</v>
      </c>
      <c r="BN743" s="281"/>
      <c r="BO743" s="281">
        <v>0.99</v>
      </c>
      <c r="BP743" s="279">
        <v>0.21</v>
      </c>
      <c r="BQ743" s="284" cm="1">
        <f t="array" aca="1" ref="BQ743" ca="1">INDIRECT("'"&amp;$C743&amp;"'!"&amp;"$"&amp;$D743&amp;$BQ$1&amp;"")</f>
        <v>0.94</v>
      </c>
      <c r="BR743" s="281"/>
      <c r="BS743" s="281">
        <v>0.96</v>
      </c>
      <c r="BT743" s="279">
        <v>0.26</v>
      </c>
      <c r="BU743" s="284" cm="1">
        <f t="array" aca="1" ref="BU743" ca="1">INDIRECT("'"&amp;$C743&amp;"'!"&amp;"$"&amp;$D743&amp;74&amp;"")</f>
        <v>0</v>
      </c>
      <c r="BV743" s="281"/>
      <c r="BW743" s="281" t="s">
        <v>1</v>
      </c>
      <c r="BX743" s="279" t="s">
        <v>1</v>
      </c>
    </row>
    <row r="744" spans="1:76">
      <c r="A744" s="459">
        <v>45868</v>
      </c>
      <c r="B744" s="345">
        <v>0.58333333333333404</v>
      </c>
      <c r="C744" s="305">
        <v>30</v>
      </c>
      <c r="D744" s="306" t="s">
        <v>156</v>
      </c>
      <c r="E744" s="285">
        <v>14</v>
      </c>
      <c r="F744" s="286">
        <v>68.98</v>
      </c>
      <c r="G744" s="287" t="str" cm="1">
        <f t="array" aca="1" ref="G744" ca="1">INDIRECT("'"&amp;$C744&amp;"'!"&amp;"$"&amp;$D744&amp;$E$1&amp;"")</f>
        <v>CMS</v>
      </c>
      <c r="H744" s="288" t="s">
        <v>1</v>
      </c>
      <c r="I744" s="286" t="s">
        <v>1</v>
      </c>
      <c r="J744" s="287" cm="1">
        <f t="array" aca="1" ref="J744" ca="1">INDIRECT("'"&amp;$C744&amp;"'!"&amp;"$"&amp;$D744&amp;$J$1&amp;"")</f>
        <v>6.7</v>
      </c>
      <c r="K744" s="288"/>
      <c r="L744" s="288">
        <v>0.86</v>
      </c>
      <c r="M744" s="289">
        <v>3.94</v>
      </c>
      <c r="N744" s="285" cm="1">
        <f t="array" aca="1" ref="N744" ca="1">INDIRECT("'"&amp;$C744&amp;"'!"&amp;"$"&amp;$D744&amp;$N$1&amp;"")</f>
        <v>6.7</v>
      </c>
      <c r="O744" s="288"/>
      <c r="P744" s="288">
        <v>0.88</v>
      </c>
      <c r="Q744" s="286">
        <v>3.54</v>
      </c>
      <c r="R744" s="285" t="str" cm="1">
        <f t="array" aca="1" ref="R744" ca="1">INDIRECT("'"&amp;$C744&amp;"'!"&amp;"$"&amp;$D744&amp;$R$1&amp;"")</f>
        <v>CMS</v>
      </c>
      <c r="S744" s="288"/>
      <c r="T744" s="288" t="s">
        <v>1</v>
      </c>
      <c r="U744" s="286" t="s">
        <v>1</v>
      </c>
      <c r="V744" s="287" t="str" cm="1">
        <f t="array" aca="1" ref="V744" ca="1">INDIRECT("'"&amp;$C744&amp;"'!"&amp;"$"&amp;$D744&amp;$V$1&amp;"")</f>
        <v>CMS</v>
      </c>
      <c r="W744" s="288" t="s">
        <v>1</v>
      </c>
      <c r="X744" s="288" t="s">
        <v>1</v>
      </c>
      <c r="Y744" s="289" t="s">
        <v>1</v>
      </c>
      <c r="Z744" s="285" cm="1">
        <f t="array" aca="1" ref="Z744" ca="1">INDIRECT("'"&amp;$C744&amp;"'!"&amp;"$"&amp;$D744&amp;$Z$1&amp;"")</f>
        <v>3.5</v>
      </c>
      <c r="AA744" s="288">
        <f>3.38*3.8</f>
        <v>12.843999999999999</v>
      </c>
      <c r="AB744" s="288">
        <v>0.85</v>
      </c>
      <c r="AC744" s="286">
        <v>1.98</v>
      </c>
      <c r="AD744" s="287" t="str" cm="1">
        <f t="array" aca="1" ref="AD744" ca="1">INDIRECT("'"&amp;$C744&amp;"'!"&amp;"$"&amp;$D744&amp;$AD$1&amp;"")</f>
        <v>CMS</v>
      </c>
      <c r="AE744" s="288" t="s">
        <v>1</v>
      </c>
      <c r="AF744" s="288" t="s">
        <v>1</v>
      </c>
      <c r="AG744" s="289" t="s">
        <v>1</v>
      </c>
      <c r="AH744" s="285" cm="1">
        <f t="array" aca="1" ref="AH744" ca="1">INDIRECT("'"&amp;$C744&amp;"'!"&amp;"$"&amp;$D744&amp;$AH$1&amp;"")</f>
        <v>3.8</v>
      </c>
      <c r="AI744" s="288">
        <v>14.12</v>
      </c>
      <c r="AJ744" s="288">
        <v>0.96</v>
      </c>
      <c r="AK744" s="286">
        <v>0.91500000000000004</v>
      </c>
      <c r="AL744" s="285">
        <v>11.7</v>
      </c>
      <c r="AM744" s="289">
        <v>71.099999999999994</v>
      </c>
      <c r="AN744" s="285" cm="1">
        <f t="array" aca="1" ref="AN744" ca="1">INDIRECT("'"&amp;$C744&amp;"'!"&amp;"$"&amp;$D744&amp;$AL$1&amp;"")</f>
        <v>3.8</v>
      </c>
      <c r="AO744" s="288">
        <v>0.97</v>
      </c>
      <c r="AP744" s="286">
        <v>1.1000000000000001</v>
      </c>
      <c r="AQ744" s="287" cm="1">
        <f t="array" aca="1" ref="AQ744" ca="1">INDIRECT("'"&amp;$C744&amp;"'!"&amp;"$"&amp;$D744&amp;$AQ$1&amp;"")</f>
        <v>3.8</v>
      </c>
      <c r="AR744" s="288">
        <v>0.97</v>
      </c>
      <c r="AS744" s="286">
        <v>1.1000000000000001</v>
      </c>
      <c r="AT744" s="285">
        <v>14.1</v>
      </c>
      <c r="AU744" s="289">
        <v>71</v>
      </c>
      <c r="AV744" s="288" cm="1">
        <f t="array" aca="1" ref="AV744" ca="1">INDIRECT("'"&amp;$C744&amp;"'!"&amp;"$"&amp;$D744&amp;$AV$1&amp;"")</f>
        <v>7.6</v>
      </c>
      <c r="AW744" s="287">
        <v>13.7</v>
      </c>
      <c r="AX744" s="288">
        <v>0.96</v>
      </c>
      <c r="AY744" s="286">
        <v>1.95</v>
      </c>
      <c r="AZ744" s="288" cm="1">
        <f t="array" aca="1" ref="AZ744" ca="1">INDIRECT("'"&amp;$C744&amp;"'!"&amp;"$"&amp;$D744&amp;$AZ$1&amp;"")</f>
        <v>7</v>
      </c>
      <c r="BA744" s="287">
        <v>13.7</v>
      </c>
      <c r="BB744" s="288">
        <v>0.96</v>
      </c>
      <c r="BC744" s="286">
        <v>1.85</v>
      </c>
      <c r="BD744" s="290">
        <v>14.33</v>
      </c>
      <c r="BE744" s="289">
        <v>72.23</v>
      </c>
      <c r="BF744" s="290" cm="1">
        <f t="array" aca="1" ref="BF744" ca="1">INDIRECT("'"&amp;$C744&amp;"'!"&amp;"$"&amp;$D744&amp;$BF$1&amp;"")</f>
        <v>14.25</v>
      </c>
      <c r="BG744" s="288">
        <v>0.98</v>
      </c>
      <c r="BH744" s="286">
        <v>3.4</v>
      </c>
      <c r="BI744" s="525">
        <v>67.3</v>
      </c>
      <c r="BJ744" s="285" cm="1">
        <f t="array" aca="1" ref="BJ744" ca="1">INDIRECT("'"&amp;$C744&amp;"'!"&amp;"$"&amp;$D744&amp;$BI$1&amp;"")</f>
        <v>4.4000000000000004</v>
      </c>
      <c r="BK744" s="287">
        <v>0.95</v>
      </c>
      <c r="BL744" s="286">
        <v>1.4</v>
      </c>
      <c r="BM744" s="290" cm="1">
        <f t="array" aca="1" ref="BM744" ca="1">INDIRECT("'"&amp;$C744&amp;"'!"&amp;"$"&amp;$D744&amp;$BM$1&amp;"")</f>
        <v>1.63</v>
      </c>
      <c r="BN744" s="288"/>
      <c r="BO744" s="288">
        <v>0.99</v>
      </c>
      <c r="BP744" s="286">
        <v>0.23</v>
      </c>
      <c r="BQ744" s="291" cm="1">
        <f t="array" aca="1" ref="BQ744" ca="1">INDIRECT("'"&amp;$C744&amp;"'!"&amp;"$"&amp;$D744&amp;$BQ$1&amp;"")</f>
        <v>0.94</v>
      </c>
      <c r="BR744" s="288"/>
      <c r="BS744" s="288">
        <v>0.96</v>
      </c>
      <c r="BT744" s="286">
        <v>0.25</v>
      </c>
      <c r="BU744" s="291" cm="1">
        <f t="array" aca="1" ref="BU744" ca="1">INDIRECT("'"&amp;$C744&amp;"'!"&amp;"$"&amp;$D744&amp;74&amp;"")</f>
        <v>0</v>
      </c>
      <c r="BV744" s="288"/>
      <c r="BW744" s="288" t="s">
        <v>1</v>
      </c>
      <c r="BX744" s="286" t="s">
        <v>1</v>
      </c>
    </row>
    <row r="745" spans="1:76">
      <c r="A745" s="459">
        <v>45868</v>
      </c>
      <c r="B745" s="345">
        <v>0.625</v>
      </c>
      <c r="C745" s="305">
        <v>30</v>
      </c>
      <c r="D745" s="306" t="s">
        <v>157</v>
      </c>
      <c r="E745" s="278">
        <v>13.9</v>
      </c>
      <c r="F745" s="279">
        <v>68.97</v>
      </c>
      <c r="G745" s="280" t="str" cm="1">
        <f t="array" aca="1" ref="G745" ca="1">INDIRECT("'"&amp;$C745&amp;"'!"&amp;"$"&amp;$D745&amp;$E$1&amp;"")</f>
        <v>CMS</v>
      </c>
      <c r="H745" s="281" t="s">
        <v>1</v>
      </c>
      <c r="I745" s="279" t="s">
        <v>1</v>
      </c>
      <c r="J745" s="280" cm="1">
        <f t="array" aca="1" ref="J745" ca="1">INDIRECT("'"&amp;$C745&amp;"'!"&amp;"$"&amp;$D745&amp;$J$1&amp;"")</f>
        <v>6.5</v>
      </c>
      <c r="K745" s="281"/>
      <c r="L745" s="281">
        <v>0.86</v>
      </c>
      <c r="M745" s="282">
        <v>3.81</v>
      </c>
      <c r="N745" s="278" cm="1">
        <f t="array" aca="1" ref="N745" ca="1">INDIRECT("'"&amp;$C745&amp;"'!"&amp;"$"&amp;$D745&amp;$N$1&amp;"")</f>
        <v>6.5</v>
      </c>
      <c r="O745" s="281"/>
      <c r="P745" s="281">
        <v>0.88</v>
      </c>
      <c r="Q745" s="279">
        <v>3.48</v>
      </c>
      <c r="R745" s="468" t="str" cm="1">
        <f t="array" aca="1" ref="R745" ca="1">INDIRECT("'"&amp;$C745&amp;"'!"&amp;"$"&amp;$D745&amp;$R$1&amp;"")</f>
        <v>CMS</v>
      </c>
      <c r="S745" s="281"/>
      <c r="T745" s="281" t="s">
        <v>1</v>
      </c>
      <c r="U745" s="279" t="s">
        <v>1</v>
      </c>
      <c r="V745" s="280" t="str" cm="1">
        <f t="array" aca="1" ref="V745" ca="1">INDIRECT("'"&amp;$C745&amp;"'!"&amp;"$"&amp;$D745&amp;$V$1&amp;"")</f>
        <v>CMS</v>
      </c>
      <c r="W745" s="281" t="s">
        <v>1</v>
      </c>
      <c r="X745" s="281" t="s">
        <v>1</v>
      </c>
      <c r="Y745" s="282" t="s">
        <v>1</v>
      </c>
      <c r="Z745" s="278" cm="1">
        <f t="array" aca="1" ref="Z745" ca="1">INDIRECT("'"&amp;$C745&amp;"'!"&amp;"$"&amp;$D745&amp;$Z$1&amp;"")</f>
        <v>3.5</v>
      </c>
      <c r="AA745" s="281">
        <f>3.39*3.8</f>
        <v>12.882</v>
      </c>
      <c r="AB745" s="281">
        <v>0.85</v>
      </c>
      <c r="AC745" s="279">
        <v>2.02</v>
      </c>
      <c r="AD745" s="280" t="str" cm="1">
        <f t="array" aca="1" ref="AD745" ca="1">INDIRECT("'"&amp;$C745&amp;"'!"&amp;"$"&amp;$D745&amp;$AD$1&amp;"")</f>
        <v>CMS</v>
      </c>
      <c r="AE745" s="281" t="s">
        <v>1</v>
      </c>
      <c r="AF745" s="281" t="s">
        <v>1</v>
      </c>
      <c r="AG745" s="279" t="s">
        <v>1</v>
      </c>
      <c r="AH745" s="278" cm="1">
        <f t="array" aca="1" ref="AH745" ca="1">INDIRECT("'"&amp;$C745&amp;"'!"&amp;"$"&amp;$D745&amp;$AH$1&amp;"")</f>
        <v>3.8</v>
      </c>
      <c r="AI745" s="281">
        <v>14.12</v>
      </c>
      <c r="AJ745" s="281">
        <v>0.98</v>
      </c>
      <c r="AK745" s="279">
        <v>0.83</v>
      </c>
      <c r="AL745" s="278">
        <v>11.7</v>
      </c>
      <c r="AM745" s="282">
        <v>71.099999999999994</v>
      </c>
      <c r="AN745" s="278" cm="1">
        <f t="array" aca="1" ref="AN745" ca="1">INDIRECT("'"&amp;$C745&amp;"'!"&amp;"$"&amp;$D745&amp;$AL$1&amp;"")</f>
        <v>3.8</v>
      </c>
      <c r="AO745" s="281">
        <v>0.97</v>
      </c>
      <c r="AP745" s="279">
        <v>1.1000000000000001</v>
      </c>
      <c r="AQ745" s="280" cm="1">
        <f t="array" aca="1" ref="AQ745" ca="1">INDIRECT("'"&amp;$C745&amp;"'!"&amp;"$"&amp;$D745&amp;$AQ$1&amp;"")</f>
        <v>3.8</v>
      </c>
      <c r="AR745" s="281">
        <v>0.97</v>
      </c>
      <c r="AS745" s="279">
        <v>1.1000000000000001</v>
      </c>
      <c r="AT745" s="278">
        <v>14.1</v>
      </c>
      <c r="AU745" s="282">
        <v>71</v>
      </c>
      <c r="AV745" s="281" cm="1">
        <f t="array" aca="1" ref="AV745" ca="1">INDIRECT("'"&amp;$C745&amp;"'!"&amp;"$"&amp;$D745&amp;$AV$1&amp;"")</f>
        <v>7.7</v>
      </c>
      <c r="AW745" s="280">
        <v>13.7</v>
      </c>
      <c r="AX745" s="281">
        <v>0.96</v>
      </c>
      <c r="AY745" s="279">
        <v>1.95</v>
      </c>
      <c r="AZ745" s="281" cm="1">
        <f t="array" aca="1" ref="AZ745" ca="1">INDIRECT("'"&amp;$C745&amp;"'!"&amp;"$"&amp;$D745&amp;$AZ$1&amp;"")</f>
        <v>7</v>
      </c>
      <c r="BA745" s="280">
        <v>13.7</v>
      </c>
      <c r="BB745" s="281">
        <v>0.96</v>
      </c>
      <c r="BC745" s="279">
        <v>1.85</v>
      </c>
      <c r="BD745" s="283">
        <v>14.17</v>
      </c>
      <c r="BE745" s="282">
        <v>71.760000000000005</v>
      </c>
      <c r="BF745" s="283" cm="1">
        <f t="array" aca="1" ref="BF745" ca="1">INDIRECT("'"&amp;$C745&amp;"'!"&amp;"$"&amp;$D745&amp;$BF$1&amp;"")</f>
        <v>14.24</v>
      </c>
      <c r="BG745" s="281">
        <v>0.99</v>
      </c>
      <c r="BH745" s="279">
        <v>2.2999999999999998</v>
      </c>
      <c r="BI745" s="524">
        <v>67.8</v>
      </c>
      <c r="BJ745" s="278" cm="1">
        <f t="array" aca="1" ref="BJ745" ca="1">INDIRECT("'"&amp;$C745&amp;"'!"&amp;"$"&amp;$D745&amp;$BI$1&amp;"")</f>
        <v>4.3000000000000007</v>
      </c>
      <c r="BK745" s="280">
        <v>0.95</v>
      </c>
      <c r="BL745" s="279">
        <v>1.4</v>
      </c>
      <c r="BM745" s="283" cm="1">
        <f t="array" aca="1" ref="BM745" ca="1">INDIRECT("'"&amp;$C745&amp;"'!"&amp;"$"&amp;$D745&amp;$BM$1&amp;"")</f>
        <v>1.6</v>
      </c>
      <c r="BN745" s="281"/>
      <c r="BO745" s="281">
        <v>0.99</v>
      </c>
      <c r="BP745" s="279">
        <v>0.24</v>
      </c>
      <c r="BQ745" s="284" cm="1">
        <f t="array" aca="1" ref="BQ745" ca="1">INDIRECT("'"&amp;$C745&amp;"'!"&amp;"$"&amp;$D745&amp;$BQ$1&amp;"")</f>
        <v>0.94</v>
      </c>
      <c r="BR745" s="281"/>
      <c r="BS745" s="281">
        <v>0.96</v>
      </c>
      <c r="BT745" s="279">
        <v>0.26</v>
      </c>
      <c r="BU745" s="284" cm="1">
        <f t="array" aca="1" ref="BU745" ca="1">INDIRECT("'"&amp;$C745&amp;"'!"&amp;"$"&amp;$D745&amp;74&amp;"")</f>
        <v>0</v>
      </c>
      <c r="BV745" s="281"/>
      <c r="BW745" s="281" t="s">
        <v>1</v>
      </c>
      <c r="BX745" s="279" t="s">
        <v>1</v>
      </c>
    </row>
    <row r="746" spans="1:76">
      <c r="A746" s="459">
        <v>45868</v>
      </c>
      <c r="B746" s="345">
        <v>0.66666666666666696</v>
      </c>
      <c r="C746" s="305">
        <v>30</v>
      </c>
      <c r="D746" s="306" t="s">
        <v>158</v>
      </c>
      <c r="E746" s="285">
        <v>13.9</v>
      </c>
      <c r="F746" s="286">
        <v>69.03</v>
      </c>
      <c r="G746" s="287" t="str" cm="1">
        <f t="array" aca="1" ref="G746" ca="1">INDIRECT("'"&amp;$C746&amp;"'!"&amp;"$"&amp;$D746&amp;$E$1&amp;"")</f>
        <v>CMS</v>
      </c>
      <c r="H746" s="288" t="s">
        <v>1</v>
      </c>
      <c r="I746" s="286" t="s">
        <v>1</v>
      </c>
      <c r="J746" s="287" cm="1">
        <f t="array" aca="1" ref="J746" ca="1">INDIRECT("'"&amp;$C746&amp;"'!"&amp;"$"&amp;$D746&amp;$J$1&amp;"")</f>
        <v>6.2</v>
      </c>
      <c r="K746" s="288"/>
      <c r="L746" s="288">
        <v>0.89</v>
      </c>
      <c r="M746" s="289">
        <v>3.4</v>
      </c>
      <c r="N746" s="285" cm="1">
        <f t="array" aca="1" ref="N746" ca="1">INDIRECT("'"&amp;$C746&amp;"'!"&amp;"$"&amp;$D746&amp;$N$1&amp;"")</f>
        <v>6.2</v>
      </c>
      <c r="O746" s="288"/>
      <c r="P746" s="288">
        <v>0.89</v>
      </c>
      <c r="Q746" s="286">
        <v>3.19</v>
      </c>
      <c r="R746" s="469" t="str" cm="1">
        <f t="array" aca="1" ref="R746" ca="1">INDIRECT("'"&amp;$C746&amp;"'!"&amp;"$"&amp;$D746&amp;$R$1&amp;"")</f>
        <v>CMS</v>
      </c>
      <c r="S746" s="288"/>
      <c r="T746" s="288" t="s">
        <v>1</v>
      </c>
      <c r="U746" s="286" t="s">
        <v>1</v>
      </c>
      <c r="V746" s="287" cm="1">
        <f t="array" aca="1" ref="V746" ca="1">INDIRECT("'"&amp;$C746&amp;"'!"&amp;"$"&amp;$D746&amp;$V$1&amp;"")</f>
        <v>2.5</v>
      </c>
      <c r="W746" s="288">
        <f>3.43*3.8</f>
        <v>13.034000000000001</v>
      </c>
      <c r="X746" s="288">
        <v>0.85</v>
      </c>
      <c r="Y746" s="289">
        <v>1.53</v>
      </c>
      <c r="Z746" s="285" cm="1">
        <f t="array" aca="1" ref="Z746" ca="1">INDIRECT("'"&amp;$C746&amp;"'!"&amp;"$"&amp;$D746&amp;$Z$1&amp;"")</f>
        <v>2.5</v>
      </c>
      <c r="AA746" s="288">
        <f>3.43*3.8</f>
        <v>13.034000000000001</v>
      </c>
      <c r="AB746" s="288">
        <v>0.85</v>
      </c>
      <c r="AC746" s="286">
        <v>1.52</v>
      </c>
      <c r="AD746" s="287" t="str" cm="1">
        <f t="array" aca="1" ref="AD746" ca="1">INDIRECT("'"&amp;$C746&amp;"'!"&amp;"$"&amp;$D746&amp;$AD$1&amp;"")</f>
        <v>CMS</v>
      </c>
      <c r="AE746" s="288" t="s">
        <v>1</v>
      </c>
      <c r="AF746" s="288" t="s">
        <v>1</v>
      </c>
      <c r="AG746" s="289" t="s">
        <v>1</v>
      </c>
      <c r="AH746" s="285" cm="1">
        <f t="array" aca="1" ref="AH746" ca="1">INDIRECT("'"&amp;$C746&amp;"'!"&amp;"$"&amp;$D746&amp;$AH$1&amp;"")</f>
        <v>3.8</v>
      </c>
      <c r="AI746" s="288">
        <v>14.12</v>
      </c>
      <c r="AJ746" s="288">
        <v>0.99</v>
      </c>
      <c r="AK746" s="286">
        <v>0.44400000000000001</v>
      </c>
      <c r="AL746" s="285">
        <v>11.8</v>
      </c>
      <c r="AM746" s="289">
        <v>71.3</v>
      </c>
      <c r="AN746" s="285" cm="1">
        <f t="array" aca="1" ref="AN746" ca="1">INDIRECT("'"&amp;$C746&amp;"'!"&amp;"$"&amp;$D746&amp;$AL$1&amp;"")</f>
        <v>3.5</v>
      </c>
      <c r="AO746" s="288">
        <v>0.94</v>
      </c>
      <c r="AP746" s="286">
        <v>1.1000000000000001</v>
      </c>
      <c r="AQ746" s="287" cm="1">
        <f t="array" aca="1" ref="AQ746" ca="1">INDIRECT("'"&amp;$C746&amp;"'!"&amp;"$"&amp;$D746&amp;$AQ$1&amp;"")</f>
        <v>3.5</v>
      </c>
      <c r="AR746" s="288">
        <v>0.94</v>
      </c>
      <c r="AS746" s="286">
        <v>1.1000000000000001</v>
      </c>
      <c r="AT746" s="285">
        <v>14.1</v>
      </c>
      <c r="AU746" s="289">
        <v>71.2</v>
      </c>
      <c r="AV746" s="288" cm="1">
        <f t="array" aca="1" ref="AV746" ca="1">INDIRECT("'"&amp;$C746&amp;"'!"&amp;"$"&amp;$D746&amp;$AV$1&amp;"")</f>
        <v>6.7</v>
      </c>
      <c r="AW746" s="287" t="s">
        <v>1</v>
      </c>
      <c r="AX746" s="288">
        <v>0.96</v>
      </c>
      <c r="AY746" s="286">
        <v>1.5</v>
      </c>
      <c r="AZ746" s="288" cm="1">
        <f t="array" aca="1" ref="AZ746" ca="1">INDIRECT("'"&amp;$C746&amp;"'!"&amp;"$"&amp;$D746&amp;$AZ$1&amp;"")</f>
        <v>6.8</v>
      </c>
      <c r="BA746" s="287" t="s">
        <v>1</v>
      </c>
      <c r="BB746" s="288">
        <v>0.96</v>
      </c>
      <c r="BC746" s="286">
        <v>1.5</v>
      </c>
      <c r="BD746" s="290">
        <v>14.26</v>
      </c>
      <c r="BE746" s="289">
        <v>72</v>
      </c>
      <c r="BF746" s="290" cm="1">
        <f t="array" aca="1" ref="BF746" ca="1">INDIRECT("'"&amp;$C746&amp;"'!"&amp;"$"&amp;$D746&amp;$BF$1&amp;"")</f>
        <v>14.27</v>
      </c>
      <c r="BG746" s="288">
        <v>0.99</v>
      </c>
      <c r="BH746" s="286">
        <v>2.2999999999999998</v>
      </c>
      <c r="BI746" s="525">
        <v>67.2</v>
      </c>
      <c r="BJ746" s="285" cm="1">
        <f t="array" aca="1" ref="BJ746" ca="1">INDIRECT("'"&amp;$C746&amp;"'!"&amp;"$"&amp;$D746&amp;$BI$1&amp;"")</f>
        <v>4.4000000000000004</v>
      </c>
      <c r="BK746" s="287">
        <v>0.95</v>
      </c>
      <c r="BL746" s="286">
        <v>1.4</v>
      </c>
      <c r="BM746" s="290" cm="1">
        <f t="array" aca="1" ref="BM746" ca="1">INDIRECT("'"&amp;$C746&amp;"'!"&amp;"$"&amp;$D746&amp;$BM$1&amp;"")</f>
        <v>1.59</v>
      </c>
      <c r="BN746" s="288"/>
      <c r="BO746" s="288">
        <v>0.99</v>
      </c>
      <c r="BP746" s="286">
        <v>0.22</v>
      </c>
      <c r="BQ746" s="291" cm="1">
        <f t="array" aca="1" ref="BQ746" ca="1">INDIRECT("'"&amp;$C746&amp;"'!"&amp;"$"&amp;$D746&amp;$BQ$1&amp;"")</f>
        <v>0.95</v>
      </c>
      <c r="BR746" s="288"/>
      <c r="BS746" s="288">
        <v>0.96</v>
      </c>
      <c r="BT746" s="286">
        <v>0.25</v>
      </c>
      <c r="BU746" s="291" cm="1">
        <f t="array" aca="1" ref="BU746" ca="1">INDIRECT("'"&amp;$C746&amp;"'!"&amp;"$"&amp;$D746&amp;74&amp;"")</f>
        <v>0</v>
      </c>
      <c r="BV746" s="288"/>
      <c r="BW746" s="288" t="s">
        <v>1</v>
      </c>
      <c r="BX746" s="286" t="s">
        <v>1</v>
      </c>
    </row>
    <row r="747" spans="1:76">
      <c r="A747" s="459">
        <v>45868</v>
      </c>
      <c r="B747" s="345">
        <v>0.70833333333333404</v>
      </c>
      <c r="C747" s="305">
        <v>30</v>
      </c>
      <c r="D747" s="306" t="s">
        <v>159</v>
      </c>
      <c r="E747" s="278">
        <v>14.1</v>
      </c>
      <c r="F747" s="279">
        <v>69.88</v>
      </c>
      <c r="G747" s="280" t="str" cm="1">
        <f t="array" aca="1" ref="G747" ca="1">INDIRECT("'"&amp;$C747&amp;"'!"&amp;"$"&amp;$D747&amp;$E$1&amp;"")</f>
        <v>CMS</v>
      </c>
      <c r="H747" s="281" t="s">
        <v>1</v>
      </c>
      <c r="I747" s="279" t="s">
        <v>1</v>
      </c>
      <c r="J747" s="280" cm="1">
        <f t="array" aca="1" ref="J747" ca="1">INDIRECT("'"&amp;$C747&amp;"'!"&amp;"$"&amp;$D747&amp;$J$1&amp;"")</f>
        <v>6.6</v>
      </c>
      <c r="K747" s="281"/>
      <c r="L747" s="281">
        <v>0.95</v>
      </c>
      <c r="M747" s="282">
        <v>2.2200000000000002</v>
      </c>
      <c r="N747" s="278" cm="1">
        <f t="array" aca="1" ref="N747" ca="1">INDIRECT("'"&amp;$C747&amp;"'!"&amp;"$"&amp;$D747&amp;$N$1&amp;"")</f>
        <v>6.6</v>
      </c>
      <c r="O747" s="281"/>
      <c r="P747" s="281">
        <v>0.95</v>
      </c>
      <c r="Q747" s="279">
        <v>2.25</v>
      </c>
      <c r="R747" s="468" cm="1">
        <f t="array" aca="1" ref="R747" ca="1">INDIRECT("'"&amp;$C747&amp;"'!"&amp;"$"&amp;$D747&amp;$R$1&amp;"")</f>
        <v>6.6</v>
      </c>
      <c r="S747" s="281"/>
      <c r="T747" s="281">
        <v>0.95</v>
      </c>
      <c r="U747" s="279">
        <v>2.27</v>
      </c>
      <c r="V747" s="280" cm="1">
        <f t="array" aca="1" ref="V747" ca="1">INDIRECT("'"&amp;$C747&amp;"'!"&amp;"$"&amp;$D747&amp;$V$1&amp;"")</f>
        <v>2.8</v>
      </c>
      <c r="W747" s="281">
        <f>3.49*3.8</f>
        <v>13.262</v>
      </c>
      <c r="X747" s="281">
        <v>0.9</v>
      </c>
      <c r="Y747" s="282">
        <v>1.22</v>
      </c>
      <c r="Z747" s="278" cm="1">
        <f t="array" aca="1" ref="Z747" ca="1">INDIRECT("'"&amp;$C747&amp;"'!"&amp;"$"&amp;$D747&amp;$Z$1&amp;"")</f>
        <v>3.5</v>
      </c>
      <c r="AA747" s="281">
        <f>3.49*3.8</f>
        <v>13.262</v>
      </c>
      <c r="AB747" s="281">
        <v>0.9</v>
      </c>
      <c r="AC747" s="279">
        <v>1.61</v>
      </c>
      <c r="AD747" s="280" t="str" cm="1">
        <f t="array" aca="1" ref="AD747" ca="1">INDIRECT("'"&amp;$C747&amp;"'!"&amp;"$"&amp;$D747&amp;$AD$1&amp;"")</f>
        <v>CMS</v>
      </c>
      <c r="AE747" s="281" t="s">
        <v>1</v>
      </c>
      <c r="AF747" s="281" t="s">
        <v>1</v>
      </c>
      <c r="AG747" s="282" t="s">
        <v>1</v>
      </c>
      <c r="AH747" s="278" cm="1">
        <f t="array" aca="1" ref="AH747" ca="1">INDIRECT("'"&amp;$C747&amp;"'!"&amp;"$"&amp;$D747&amp;$AH$1&amp;"")</f>
        <v>3.8</v>
      </c>
      <c r="AI747" s="281">
        <v>14.16</v>
      </c>
      <c r="AJ747" s="281">
        <v>0.99</v>
      </c>
      <c r="AK747" s="279">
        <v>0.49</v>
      </c>
      <c r="AL747" s="278">
        <v>11.7</v>
      </c>
      <c r="AM747" s="282">
        <v>71.2</v>
      </c>
      <c r="AN747" s="278" cm="1">
        <f t="array" aca="1" ref="AN747" ca="1">INDIRECT("'"&amp;$C747&amp;"'!"&amp;"$"&amp;$D747&amp;$AL$1&amp;"")</f>
        <v>0.5</v>
      </c>
      <c r="AO747" s="281">
        <v>0.99</v>
      </c>
      <c r="AP747" s="279">
        <v>0.22</v>
      </c>
      <c r="AQ747" s="280" cm="1">
        <f t="array" aca="1" ref="AQ747" ca="1">INDIRECT("'"&amp;$C747&amp;"'!"&amp;"$"&amp;$D747&amp;$AQ$1&amp;"")</f>
        <v>3.8</v>
      </c>
      <c r="AR747" s="281">
        <v>0.9</v>
      </c>
      <c r="AS747" s="279">
        <v>1.9</v>
      </c>
      <c r="AT747" s="278">
        <v>14.1</v>
      </c>
      <c r="AU747" s="282">
        <v>71</v>
      </c>
      <c r="AV747" s="281" cm="1">
        <f t="array" aca="1" ref="AV747" ca="1">INDIRECT("'"&amp;$C747&amp;"'!"&amp;"$"&amp;$D747&amp;$AV$1&amp;"")</f>
        <v>2.8</v>
      </c>
      <c r="AW747" s="280" t="s">
        <v>1</v>
      </c>
      <c r="AX747" s="281">
        <v>0.96</v>
      </c>
      <c r="AY747" s="279">
        <v>1</v>
      </c>
      <c r="AZ747" s="281" cm="1">
        <f t="array" aca="1" ref="AZ747" ca="1">INDIRECT("'"&amp;$C747&amp;"'!"&amp;"$"&amp;$D747&amp;$AZ$1&amp;"")</f>
        <v>3.5</v>
      </c>
      <c r="BA747" s="280" t="s">
        <v>1</v>
      </c>
      <c r="BB747" s="281">
        <v>0.96</v>
      </c>
      <c r="BC747" s="279">
        <v>1</v>
      </c>
      <c r="BD747" s="283">
        <v>14.23</v>
      </c>
      <c r="BE747" s="282">
        <v>72.099999999999994</v>
      </c>
      <c r="BF747" s="283" cm="1">
        <f t="array" aca="1" ref="BF747" ca="1">INDIRECT("'"&amp;$C747&amp;"'!"&amp;"$"&amp;$D747&amp;$BF$1&amp;"")</f>
        <v>14.29</v>
      </c>
      <c r="BG747" s="281">
        <v>0.99</v>
      </c>
      <c r="BH747" s="279">
        <v>2.2999999999999998</v>
      </c>
      <c r="BI747" s="524">
        <v>68.400000000000006</v>
      </c>
      <c r="BJ747" s="278" cm="1">
        <f t="array" aca="1" ref="BJ747" ca="1">INDIRECT("'"&amp;$C747&amp;"'!"&amp;"$"&amp;$D747&amp;$BI$1&amp;"")</f>
        <v>4.3000000000000007</v>
      </c>
      <c r="BK747" s="280">
        <v>0.95</v>
      </c>
      <c r="BL747" s="279">
        <v>1.5</v>
      </c>
      <c r="BM747" s="283" cm="1">
        <f t="array" aca="1" ref="BM747" ca="1">INDIRECT("'"&amp;$C747&amp;"'!"&amp;"$"&amp;$D747&amp;$BM$1&amp;"")</f>
        <v>1.48</v>
      </c>
      <c r="BN747" s="281"/>
      <c r="BO747" s="281">
        <v>0.99</v>
      </c>
      <c r="BP747" s="279">
        <v>0.19</v>
      </c>
      <c r="BQ747" s="284" cm="1">
        <f t="array" aca="1" ref="BQ747" ca="1">INDIRECT("'"&amp;$C747&amp;"'!"&amp;"$"&amp;$D747&amp;$BQ$1&amp;"")</f>
        <v>0.96</v>
      </c>
      <c r="BR747" s="281"/>
      <c r="BS747" s="281">
        <v>0.96</v>
      </c>
      <c r="BT747" s="279">
        <v>0.26</v>
      </c>
      <c r="BU747" s="284" cm="1">
        <f t="array" aca="1" ref="BU747" ca="1">INDIRECT("'"&amp;$C747&amp;"'!"&amp;"$"&amp;$D747&amp;74&amp;"")</f>
        <v>0</v>
      </c>
      <c r="BV747" s="281"/>
      <c r="BW747" s="281" t="s">
        <v>1</v>
      </c>
      <c r="BX747" s="279" t="s">
        <v>1</v>
      </c>
    </row>
    <row r="748" spans="1:76">
      <c r="A748" s="459">
        <v>45868</v>
      </c>
      <c r="B748" s="345">
        <v>0.750000000000001</v>
      </c>
      <c r="C748" s="305">
        <v>30</v>
      </c>
      <c r="D748" s="306" t="s">
        <v>160</v>
      </c>
      <c r="E748" s="285">
        <v>14</v>
      </c>
      <c r="F748" s="286">
        <v>69.569999999999993</v>
      </c>
      <c r="G748" s="287" t="str" cm="1">
        <f t="array" aca="1" ref="G748" ca="1">INDIRECT("'"&amp;$C748&amp;"'!"&amp;"$"&amp;$D748&amp;$E$1&amp;"")</f>
        <v>CMS</v>
      </c>
      <c r="H748" s="288" t="s">
        <v>1</v>
      </c>
      <c r="I748" s="286" t="s">
        <v>1</v>
      </c>
      <c r="J748" s="287" cm="1">
        <f t="array" aca="1" ref="J748" ca="1">INDIRECT("'"&amp;$C748&amp;"'!"&amp;"$"&amp;$D748&amp;$J$1&amp;"")</f>
        <v>6.7</v>
      </c>
      <c r="K748" s="288"/>
      <c r="L748" s="288">
        <v>0.95</v>
      </c>
      <c r="M748" s="289">
        <v>2.1800000000000002</v>
      </c>
      <c r="N748" s="285" cm="1">
        <f t="array" aca="1" ref="N748" ca="1">INDIRECT("'"&amp;$C748&amp;"'!"&amp;"$"&amp;$D748&amp;$N$1&amp;"")</f>
        <v>6.7</v>
      </c>
      <c r="O748" s="288"/>
      <c r="P748" s="288">
        <v>0.95</v>
      </c>
      <c r="Q748" s="286">
        <v>2.21</v>
      </c>
      <c r="R748" s="285" cm="1">
        <f t="array" aca="1" ref="R748" ca="1">INDIRECT("'"&amp;$C748&amp;"'!"&amp;"$"&amp;$D748&amp;$R$1&amp;"")</f>
        <v>6.6</v>
      </c>
      <c r="S748" s="288"/>
      <c r="T748" s="288">
        <v>0.95</v>
      </c>
      <c r="U748" s="286">
        <v>2.29</v>
      </c>
      <c r="V748" s="287" cm="1">
        <f t="array" aca="1" ref="V748" ca="1">INDIRECT("'"&amp;$C748&amp;"'!"&amp;"$"&amp;$D748&amp;$V$1&amp;"")</f>
        <v>2</v>
      </c>
      <c r="W748" s="288">
        <f>3.47*3.8</f>
        <v>13.186</v>
      </c>
      <c r="X748" s="288">
        <v>0.91</v>
      </c>
      <c r="Y748" s="289">
        <v>0.57999999999999996</v>
      </c>
      <c r="Z748" s="285" cm="1">
        <f t="array" aca="1" ref="Z748" ca="1">INDIRECT("'"&amp;$C748&amp;"'!"&amp;"$"&amp;$D748&amp;$Z$1&amp;"")</f>
        <v>3</v>
      </c>
      <c r="AA748" s="288">
        <f>3.47*3.8</f>
        <v>13.186</v>
      </c>
      <c r="AB748" s="288">
        <v>0.91</v>
      </c>
      <c r="AC748" s="286">
        <v>1.29</v>
      </c>
      <c r="AD748" s="287" t="str" cm="1">
        <f t="array" aca="1" ref="AD748" ca="1">INDIRECT("'"&amp;$C748&amp;"'!"&amp;"$"&amp;$D748&amp;$AD$1&amp;"")</f>
        <v>CMS</v>
      </c>
      <c r="AE748" s="288" t="s">
        <v>1</v>
      </c>
      <c r="AF748" s="288" t="s">
        <v>1</v>
      </c>
      <c r="AG748" s="289" t="s">
        <v>1</v>
      </c>
      <c r="AH748" s="285" cm="1">
        <f t="array" aca="1" ref="AH748" ca="1">INDIRECT("'"&amp;$C748&amp;"'!"&amp;"$"&amp;$D748&amp;$AH$1&amp;"")</f>
        <v>3</v>
      </c>
      <c r="AI748" s="288">
        <v>14.12</v>
      </c>
      <c r="AJ748" s="288">
        <v>0.99</v>
      </c>
      <c r="AK748" s="286">
        <v>0.48</v>
      </c>
      <c r="AL748" s="285">
        <v>11.7</v>
      </c>
      <c r="AM748" s="289">
        <v>71.2</v>
      </c>
      <c r="AN748" s="285" cm="1">
        <f t="array" aca="1" ref="AN748" ca="1">INDIRECT("'"&amp;$C748&amp;"'!"&amp;"$"&amp;$D748&amp;$AL$1&amp;"")</f>
        <v>0</v>
      </c>
      <c r="AO748" s="288" t="s">
        <v>1</v>
      </c>
      <c r="AP748" s="286" t="s">
        <v>1</v>
      </c>
      <c r="AQ748" s="287" cm="1">
        <f t="array" aca="1" ref="AQ748" ca="1">INDIRECT("'"&amp;$C748&amp;"'!"&amp;"$"&amp;$D748&amp;$AQ$1&amp;"")</f>
        <v>1.5</v>
      </c>
      <c r="AR748" s="288">
        <v>0.98</v>
      </c>
      <c r="AS748" s="286">
        <v>0.89</v>
      </c>
      <c r="AT748" s="285">
        <v>14.1</v>
      </c>
      <c r="AU748" s="289">
        <v>71</v>
      </c>
      <c r="AV748" s="288" cm="1">
        <f t="array" aca="1" ref="AV748" ca="1">INDIRECT("'"&amp;$C748&amp;"'!"&amp;"$"&amp;$D748&amp;$AV$1&amp;"")</f>
        <v>2</v>
      </c>
      <c r="AW748" s="287" t="s">
        <v>1</v>
      </c>
      <c r="AX748" s="288">
        <v>0.96</v>
      </c>
      <c r="AY748" s="286">
        <v>0.8</v>
      </c>
      <c r="AZ748" s="288" cm="1">
        <f t="array" aca="1" ref="AZ748" ca="1">INDIRECT("'"&amp;$C748&amp;"'!"&amp;"$"&amp;$D748&amp;$AZ$1&amp;"")</f>
        <v>7</v>
      </c>
      <c r="BA748" s="287" t="s">
        <v>1</v>
      </c>
      <c r="BB748" s="288">
        <v>0.96</v>
      </c>
      <c r="BC748" s="286">
        <v>1.9</v>
      </c>
      <c r="BD748" s="290">
        <v>14.26</v>
      </c>
      <c r="BE748" s="289">
        <v>72.099999999999994</v>
      </c>
      <c r="BF748" s="290" cm="1">
        <f t="array" aca="1" ref="BF748" ca="1">INDIRECT("'"&amp;$C748&amp;"'!"&amp;"$"&amp;$D748&amp;$BF$1&amp;"")</f>
        <v>14.26</v>
      </c>
      <c r="BG748" s="288">
        <v>0.99</v>
      </c>
      <c r="BH748" s="286">
        <v>2.2999999999999998</v>
      </c>
      <c r="BI748" s="525">
        <v>68</v>
      </c>
      <c r="BJ748" s="285" cm="1">
        <f t="array" aca="1" ref="BJ748" ca="1">INDIRECT("'"&amp;$C748&amp;"'!"&amp;"$"&amp;$D748&amp;$BI$1&amp;"")</f>
        <v>0</v>
      </c>
      <c r="BK748" s="287" t="s">
        <v>1</v>
      </c>
      <c r="BL748" s="286" t="s">
        <v>1</v>
      </c>
      <c r="BM748" s="290" cm="1">
        <f t="array" aca="1" ref="BM748" ca="1">INDIRECT("'"&amp;$C748&amp;"'!"&amp;"$"&amp;$D748&amp;$BM$1&amp;"")</f>
        <v>1.39</v>
      </c>
      <c r="BN748" s="288"/>
      <c r="BO748" s="288">
        <v>0.99</v>
      </c>
      <c r="BP748" s="286">
        <v>0.19</v>
      </c>
      <c r="BQ748" s="291" cm="1">
        <f t="array" aca="1" ref="BQ748" ca="1">INDIRECT("'"&amp;$C748&amp;"'!"&amp;"$"&amp;$D748&amp;$BQ$1&amp;"")</f>
        <v>0.94</v>
      </c>
      <c r="BR748" s="288"/>
      <c r="BS748" s="288">
        <v>0.96</v>
      </c>
      <c r="BT748" s="286">
        <v>0.26</v>
      </c>
      <c r="BU748" s="291" cm="1">
        <f t="array" aca="1" ref="BU748" ca="1">INDIRECT("'"&amp;$C748&amp;"'!"&amp;"$"&amp;$D748&amp;74&amp;"")</f>
        <v>0</v>
      </c>
      <c r="BV748" s="288"/>
      <c r="BW748" s="288" t="s">
        <v>1</v>
      </c>
      <c r="BX748" s="286" t="s">
        <v>1</v>
      </c>
    </row>
    <row r="749" spans="1:76">
      <c r="A749" s="459">
        <v>45868</v>
      </c>
      <c r="B749" s="345">
        <v>0.79166666666666696</v>
      </c>
      <c r="C749" s="305">
        <v>30</v>
      </c>
      <c r="D749" s="306" t="s">
        <v>161</v>
      </c>
      <c r="E749" s="278">
        <v>14</v>
      </c>
      <c r="F749" s="279">
        <v>69.34</v>
      </c>
      <c r="G749" s="280" t="str" cm="1">
        <f t="array" aca="1" ref="G749" ca="1">INDIRECT("'"&amp;$C749&amp;"'!"&amp;"$"&amp;$D749&amp;$E$1&amp;"")</f>
        <v>CMS</v>
      </c>
      <c r="H749" s="281" t="s">
        <v>1</v>
      </c>
      <c r="I749" s="279" t="s">
        <v>1</v>
      </c>
      <c r="J749" s="280" cm="1">
        <f t="array" aca="1" ref="J749" ca="1">INDIRECT("'"&amp;$C749&amp;"'!"&amp;"$"&amp;$D749&amp;$J$1&amp;"")</f>
        <v>6.7</v>
      </c>
      <c r="K749" s="292"/>
      <c r="L749" s="281">
        <v>0.95</v>
      </c>
      <c r="M749" s="282">
        <v>2.19</v>
      </c>
      <c r="N749" s="278" cm="1">
        <f t="array" aca="1" ref="N749" ca="1">INDIRECT("'"&amp;$C749&amp;"'!"&amp;"$"&amp;$D749&amp;$N$1&amp;"")</f>
        <v>6.7</v>
      </c>
      <c r="O749" s="281"/>
      <c r="P749" s="281">
        <v>0.95</v>
      </c>
      <c r="Q749" s="279">
        <v>2.2000000000000002</v>
      </c>
      <c r="R749" s="468" cm="1">
        <f t="array" aca="1" ref="R749" ca="1">INDIRECT("'"&amp;$C749&amp;"'!"&amp;"$"&amp;$D749&amp;$R$1&amp;"")</f>
        <v>6.7</v>
      </c>
      <c r="S749" s="281"/>
      <c r="T749" s="281">
        <v>0.93</v>
      </c>
      <c r="U749" s="279">
        <v>2.64</v>
      </c>
      <c r="V749" s="280" cm="1">
        <f t="array" aca="1" ref="V749" ca="1">INDIRECT("'"&amp;$C749&amp;"'!"&amp;"$"&amp;$D749&amp;$V$1&amp;"")</f>
        <v>2.8</v>
      </c>
      <c r="W749" s="281">
        <f>3.46*3.8</f>
        <v>13.148</v>
      </c>
      <c r="X749" s="281">
        <v>0.91</v>
      </c>
      <c r="Y749" s="282">
        <v>1.1200000000000001</v>
      </c>
      <c r="Z749" s="278" cm="1">
        <f t="array" aca="1" ref="Z749" ca="1">INDIRECT("'"&amp;$C749&amp;"'!"&amp;"$"&amp;$D749&amp;$Z$1&amp;"")</f>
        <v>3.3</v>
      </c>
      <c r="AA749" s="281">
        <f>3.46*3.8</f>
        <v>13.148</v>
      </c>
      <c r="AB749" s="281">
        <v>0.91</v>
      </c>
      <c r="AC749" s="279">
        <v>1.42</v>
      </c>
      <c r="AD749" s="280" t="str" cm="1">
        <f t="array" aca="1" ref="AD749" ca="1">INDIRECT("'"&amp;$C749&amp;"'!"&amp;"$"&amp;$D749&amp;$AD$1&amp;"")</f>
        <v>CMS</v>
      </c>
      <c r="AE749" s="281" t="s">
        <v>1</v>
      </c>
      <c r="AF749" s="281" t="s">
        <v>1</v>
      </c>
      <c r="AG749" s="282" t="s">
        <v>1</v>
      </c>
      <c r="AH749" s="278" cm="1">
        <f t="array" aca="1" ref="AH749" ca="1">INDIRECT("'"&amp;$C749&amp;"'!"&amp;"$"&amp;$D749&amp;$AH$1&amp;"")</f>
        <v>3.8</v>
      </c>
      <c r="AI749" s="281">
        <v>14.12</v>
      </c>
      <c r="AJ749" s="281">
        <v>0.97</v>
      </c>
      <c r="AK749" s="279">
        <v>0.748</v>
      </c>
      <c r="AL749" s="278">
        <v>11.7</v>
      </c>
      <c r="AM749" s="282">
        <v>71.2</v>
      </c>
      <c r="AN749" s="278" cm="1">
        <f t="array" aca="1" ref="AN749" ca="1">INDIRECT("'"&amp;$C749&amp;"'!"&amp;"$"&amp;$D749&amp;$AL$1&amp;"")</f>
        <v>0</v>
      </c>
      <c r="AO749" s="281" t="s">
        <v>1</v>
      </c>
      <c r="AP749" s="279" t="s">
        <v>1</v>
      </c>
      <c r="AQ749" s="280" cm="1">
        <f t="array" aca="1" ref="AQ749" ca="1">INDIRECT("'"&amp;$C749&amp;"'!"&amp;"$"&amp;$D749&amp;$AQ$1&amp;"")</f>
        <v>4</v>
      </c>
      <c r="AR749" s="281">
        <v>0.97</v>
      </c>
      <c r="AS749" s="279">
        <v>0.95</v>
      </c>
      <c r="AT749" s="278">
        <v>14.1</v>
      </c>
      <c r="AU749" s="282">
        <v>71</v>
      </c>
      <c r="AV749" s="281" cm="1">
        <f t="array" aca="1" ref="AV749" ca="1">INDIRECT("'"&amp;$C749&amp;"'!"&amp;"$"&amp;$D749&amp;$AV$1&amp;"")</f>
        <v>5.3</v>
      </c>
      <c r="AW749" s="280">
        <v>13.7</v>
      </c>
      <c r="AX749" s="281">
        <v>0.96</v>
      </c>
      <c r="AY749" s="279">
        <v>1.28</v>
      </c>
      <c r="AZ749" s="281" cm="1">
        <f t="array" aca="1" ref="AZ749" ca="1">INDIRECT("'"&amp;$C749&amp;"'!"&amp;"$"&amp;$D749&amp;$AZ$1&amp;"")</f>
        <v>7</v>
      </c>
      <c r="BA749" s="280">
        <v>13.7</v>
      </c>
      <c r="BB749" s="281">
        <v>0.96</v>
      </c>
      <c r="BC749" s="279">
        <v>1.9</v>
      </c>
      <c r="BD749" s="283">
        <v>14.2</v>
      </c>
      <c r="BE749" s="282">
        <v>71.84</v>
      </c>
      <c r="BF749" s="283" cm="1">
        <f t="array" aca="1" ref="BF749" ca="1">INDIRECT("'"&amp;$C749&amp;"'!"&amp;"$"&amp;$D749&amp;$BF$1&amp;"")</f>
        <v>14.29</v>
      </c>
      <c r="BG749" s="281">
        <v>0.99</v>
      </c>
      <c r="BH749" s="279">
        <v>2.2999999999999998</v>
      </c>
      <c r="BI749" s="524">
        <v>67.8</v>
      </c>
      <c r="BJ749" s="278" cm="1">
        <f t="array" aca="1" ref="BJ749" ca="1">INDIRECT("'"&amp;$C749&amp;"'!"&amp;"$"&amp;$D749&amp;$BI$1&amp;"")</f>
        <v>0</v>
      </c>
      <c r="BK749" s="280" t="s">
        <v>1</v>
      </c>
      <c r="BL749" s="279" t="s">
        <v>1</v>
      </c>
      <c r="BM749" s="283" cm="1">
        <f t="array" aca="1" ref="BM749" ca="1">INDIRECT("'"&amp;$C749&amp;"'!"&amp;"$"&amp;$D749&amp;$BM$1&amp;"")</f>
        <v>1.58</v>
      </c>
      <c r="BN749" s="281"/>
      <c r="BO749" s="281">
        <v>0.99</v>
      </c>
      <c r="BP749" s="279">
        <v>0.2</v>
      </c>
      <c r="BQ749" s="284" cm="1">
        <f t="array" aca="1" ref="BQ749" ca="1">INDIRECT("'"&amp;$C749&amp;"'!"&amp;"$"&amp;$D749&amp;$BQ$1&amp;"")</f>
        <v>1.04</v>
      </c>
      <c r="BR749" s="281"/>
      <c r="BS749" s="281">
        <v>0.97</v>
      </c>
      <c r="BT749" s="279">
        <v>0.26</v>
      </c>
      <c r="BU749" s="284" cm="1">
        <f t="array" aca="1" ref="BU749" ca="1">INDIRECT("'"&amp;$C749&amp;"'!"&amp;"$"&amp;$D749&amp;74&amp;"")</f>
        <v>0</v>
      </c>
      <c r="BV749" s="281"/>
      <c r="BW749" s="281" t="s">
        <v>1</v>
      </c>
      <c r="BX749" s="279" t="s">
        <v>1</v>
      </c>
    </row>
    <row r="750" spans="1:76">
      <c r="A750" s="459">
        <v>45868</v>
      </c>
      <c r="B750" s="345">
        <v>0.83333333333333337</v>
      </c>
      <c r="C750" s="305">
        <v>30</v>
      </c>
      <c r="D750" s="306" t="s">
        <v>162</v>
      </c>
      <c r="E750" s="285">
        <v>14.1</v>
      </c>
      <c r="F750" s="286">
        <v>69.540000000000006</v>
      </c>
      <c r="G750" s="287" t="str" cm="1">
        <f t="array" aca="1" ref="G750" ca="1">INDIRECT("'"&amp;$C750&amp;"'!"&amp;"$"&amp;$D750&amp;$E$1&amp;"")</f>
        <v>CMS</v>
      </c>
      <c r="H750" s="288" t="s">
        <v>1</v>
      </c>
      <c r="I750" s="286" t="s">
        <v>1</v>
      </c>
      <c r="J750" s="287" cm="1">
        <f t="array" aca="1" ref="J750" ca="1">INDIRECT("'"&amp;$C750&amp;"'!"&amp;"$"&amp;$D750&amp;$J$1&amp;"")</f>
        <v>6.7</v>
      </c>
      <c r="K750" s="288"/>
      <c r="L750" s="288">
        <v>0.95</v>
      </c>
      <c r="M750" s="289">
        <v>2.1</v>
      </c>
      <c r="N750" s="285" cm="1">
        <f t="array" aca="1" ref="N750" ca="1">INDIRECT("'"&amp;$C750&amp;"'!"&amp;"$"&amp;$D750&amp;$N$1&amp;"")</f>
        <v>6.7</v>
      </c>
      <c r="O750" s="288"/>
      <c r="P750" s="288">
        <v>0.95</v>
      </c>
      <c r="Q750" s="286">
        <v>2.1</v>
      </c>
      <c r="R750" s="285" cm="1">
        <f t="array" aca="1" ref="R750" ca="1">INDIRECT("'"&amp;$C750&amp;"'!"&amp;"$"&amp;$D750&amp;$R$1&amp;"")</f>
        <v>6.7</v>
      </c>
      <c r="S750" s="288"/>
      <c r="T750" s="288">
        <v>0.95</v>
      </c>
      <c r="U750" s="286">
        <v>2.1</v>
      </c>
      <c r="V750" s="287" cm="1">
        <f t="array" aca="1" ref="V750" ca="1">INDIRECT("'"&amp;$C750&amp;"'!"&amp;"$"&amp;$D750&amp;$V$1&amp;"")</f>
        <v>2.6</v>
      </c>
      <c r="W750" s="288">
        <f>3.5*3.8</f>
        <v>13.299999999999999</v>
      </c>
      <c r="X750" s="288">
        <v>0.91</v>
      </c>
      <c r="Y750" s="289">
        <v>1.1000000000000001</v>
      </c>
      <c r="Z750" s="285" cm="1">
        <f t="array" aca="1" ref="Z750" ca="1">INDIRECT("'"&amp;$C750&amp;"'!"&amp;"$"&amp;$D750&amp;$Z$1&amp;"")</f>
        <v>3.2</v>
      </c>
      <c r="AA750" s="288">
        <f>3.5*3.8</f>
        <v>13.299999999999999</v>
      </c>
      <c r="AB750" s="288">
        <v>0.91</v>
      </c>
      <c r="AC750" s="286">
        <v>1.4</v>
      </c>
      <c r="AD750" s="287" t="str" cm="1">
        <f t="array" aca="1" ref="AD750" ca="1">INDIRECT("'"&amp;$C750&amp;"'!"&amp;"$"&amp;$D750&amp;$AD$1&amp;"")</f>
        <v>CMS</v>
      </c>
      <c r="AE750" s="288" t="s">
        <v>1</v>
      </c>
      <c r="AF750" s="288" t="s">
        <v>1</v>
      </c>
      <c r="AG750" s="289" t="s">
        <v>1</v>
      </c>
      <c r="AH750" s="285" cm="1">
        <f t="array" aca="1" ref="AH750" ca="1">INDIRECT("'"&amp;$C750&amp;"'!"&amp;"$"&amp;$D750&amp;$AH$1&amp;"")</f>
        <v>3.8</v>
      </c>
      <c r="AI750" s="288">
        <v>14.04</v>
      </c>
      <c r="AJ750" s="288">
        <v>0.99</v>
      </c>
      <c r="AK750" s="286">
        <v>0.219</v>
      </c>
      <c r="AL750" s="285">
        <v>11.6</v>
      </c>
      <c r="AM750" s="289">
        <v>70.400000000000006</v>
      </c>
      <c r="AN750" s="285" cm="1">
        <f t="array" aca="1" ref="AN750" ca="1">INDIRECT("'"&amp;$C750&amp;"'!"&amp;"$"&amp;$D750&amp;$AL$1&amp;"")</f>
        <v>0</v>
      </c>
      <c r="AO750" s="288" t="s">
        <v>1</v>
      </c>
      <c r="AP750" s="286" t="s">
        <v>1</v>
      </c>
      <c r="AQ750" s="287" cm="1">
        <f t="array" aca="1" ref="AQ750" ca="1">INDIRECT("'"&amp;$C750&amp;"'!"&amp;"$"&amp;$D750&amp;$AQ$1&amp;"")</f>
        <v>4</v>
      </c>
      <c r="AR750" s="288">
        <v>0.97</v>
      </c>
      <c r="AS750" s="286">
        <v>0.95</v>
      </c>
      <c r="AT750" s="285">
        <v>14.1</v>
      </c>
      <c r="AU750" s="289">
        <v>71</v>
      </c>
      <c r="AV750" s="288" cm="1">
        <f t="array" aca="1" ref="AV750" ca="1">INDIRECT("'"&amp;$C750&amp;"'!"&amp;"$"&amp;$D750&amp;$AV$1&amp;"")</f>
        <v>3.5</v>
      </c>
      <c r="AW750" s="287" t="s">
        <v>1</v>
      </c>
      <c r="AX750" s="288">
        <v>0.96</v>
      </c>
      <c r="AY750" s="286">
        <v>1.28</v>
      </c>
      <c r="AZ750" s="288" cm="1">
        <f t="array" aca="1" ref="AZ750" ca="1">INDIRECT("'"&amp;$C750&amp;"'!"&amp;"$"&amp;$D750&amp;$AZ$1&amp;"")</f>
        <v>7</v>
      </c>
      <c r="BA750" s="287" t="s">
        <v>1</v>
      </c>
      <c r="BB750" s="288">
        <v>0.96</v>
      </c>
      <c r="BC750" s="286">
        <v>1.9</v>
      </c>
      <c r="BD750" s="290">
        <v>14.32</v>
      </c>
      <c r="BE750" s="289">
        <v>71.81</v>
      </c>
      <c r="BF750" s="290" cm="1">
        <f t="array" aca="1" ref="BF750" ca="1">INDIRECT("'"&amp;$C750&amp;"'!"&amp;"$"&amp;$D750&amp;$BF$1&amp;"")</f>
        <v>14.25</v>
      </c>
      <c r="BG750" s="288">
        <v>0.99</v>
      </c>
      <c r="BH750" s="286">
        <v>2.2999999999999998</v>
      </c>
      <c r="BI750" s="525">
        <v>68.3</v>
      </c>
      <c r="BJ750" s="285" cm="1">
        <f t="array" aca="1" ref="BJ750" ca="1">INDIRECT("'"&amp;$C750&amp;"'!"&amp;"$"&amp;$D750&amp;$BI$1&amp;"")</f>
        <v>0</v>
      </c>
      <c r="BK750" s="287" t="s">
        <v>1</v>
      </c>
      <c r="BL750" s="286" t="s">
        <v>1</v>
      </c>
      <c r="BM750" s="290" cm="1">
        <f t="array" aca="1" ref="BM750" ca="1">INDIRECT("'"&amp;$C750&amp;"'!"&amp;"$"&amp;$D750&amp;$BM$1&amp;"")</f>
        <v>1.64</v>
      </c>
      <c r="BN750" s="288"/>
      <c r="BO750" s="288">
        <v>0.99</v>
      </c>
      <c r="BP750" s="286">
        <v>0.21</v>
      </c>
      <c r="BQ750" s="291" cm="1">
        <f t="array" aca="1" ref="BQ750" ca="1">INDIRECT("'"&amp;$C750&amp;"'!"&amp;"$"&amp;$D750&amp;$BQ$1&amp;"")</f>
        <v>1.07</v>
      </c>
      <c r="BR750" s="288"/>
      <c r="BS750" s="288">
        <v>0.97</v>
      </c>
      <c r="BT750" s="286">
        <v>0.26</v>
      </c>
      <c r="BU750" s="291" cm="1">
        <f t="array" aca="1" ref="BU750" ca="1">INDIRECT("'"&amp;$C750&amp;"'!"&amp;"$"&amp;$D750&amp;74&amp;"")</f>
        <v>0</v>
      </c>
      <c r="BV750" s="288"/>
      <c r="BW750" s="288" t="s">
        <v>1</v>
      </c>
      <c r="BX750" s="286" t="s">
        <v>1</v>
      </c>
    </row>
    <row r="751" spans="1:76">
      <c r="A751" s="459">
        <v>45868</v>
      </c>
      <c r="B751" s="345">
        <v>0.875000000000001</v>
      </c>
      <c r="C751" s="305">
        <v>30</v>
      </c>
      <c r="D751" s="306" t="s">
        <v>163</v>
      </c>
      <c r="E751" s="278">
        <v>14.1</v>
      </c>
      <c r="F751" s="279">
        <v>69.540000000000006</v>
      </c>
      <c r="G751" s="280" t="str" cm="1">
        <f t="array" aca="1" ref="G751" ca="1">INDIRECT("'"&amp;$C751&amp;"'!"&amp;"$"&amp;$D751&amp;$E$1&amp;"")</f>
        <v>CMS</v>
      </c>
      <c r="H751" s="281" t="s">
        <v>1</v>
      </c>
      <c r="I751" s="279" t="s">
        <v>1</v>
      </c>
      <c r="J751" s="280" cm="1">
        <f t="array" aca="1" ref="J751" ca="1">INDIRECT("'"&amp;$C751&amp;"'!"&amp;"$"&amp;$D751&amp;$J$1&amp;"")</f>
        <v>6.5</v>
      </c>
      <c r="K751" s="281"/>
      <c r="L751" s="281">
        <v>0.95</v>
      </c>
      <c r="M751" s="282">
        <v>2.1</v>
      </c>
      <c r="N751" s="278" cm="1">
        <f t="array" aca="1" ref="N751" ca="1">INDIRECT("'"&amp;$C751&amp;"'!"&amp;"$"&amp;$D751&amp;$N$1&amp;"")</f>
        <v>6.5</v>
      </c>
      <c r="O751" s="281"/>
      <c r="P751" s="281">
        <v>0.95</v>
      </c>
      <c r="Q751" s="279">
        <v>2.1</v>
      </c>
      <c r="R751" s="468" cm="1">
        <f t="array" aca="1" ref="R751" ca="1">INDIRECT("'"&amp;$C751&amp;"'!"&amp;"$"&amp;$D751&amp;$R$1&amp;"")</f>
        <v>6.5</v>
      </c>
      <c r="S751" s="281"/>
      <c r="T751" s="281">
        <v>0.95</v>
      </c>
      <c r="U751" s="279">
        <v>0.21</v>
      </c>
      <c r="V751" s="280" cm="1">
        <f t="array" aca="1" ref="V751" ca="1">INDIRECT("'"&amp;$C751&amp;"'!"&amp;"$"&amp;$D751&amp;$V$1&amp;"")</f>
        <v>2.1</v>
      </c>
      <c r="W751" s="281">
        <f>3.52*3.8</f>
        <v>13.375999999999999</v>
      </c>
      <c r="X751" s="281">
        <v>0.95</v>
      </c>
      <c r="Y751" s="282">
        <v>1.52</v>
      </c>
      <c r="Z751" s="278" cm="1">
        <f t="array" aca="1" ref="Z751" ca="1">INDIRECT("'"&amp;$C751&amp;"'!"&amp;"$"&amp;$D751&amp;$Z$1&amp;"")</f>
        <v>3</v>
      </c>
      <c r="AA751" s="281">
        <f>3.52*3.8</f>
        <v>13.375999999999999</v>
      </c>
      <c r="AB751" s="281">
        <v>0.95</v>
      </c>
      <c r="AC751" s="279">
        <v>0.94</v>
      </c>
      <c r="AD751" s="280" t="str" cm="1">
        <f t="array" aca="1" ref="AD751" ca="1">INDIRECT("'"&amp;$C751&amp;"'!"&amp;"$"&amp;$D751&amp;$AD$1&amp;"")</f>
        <v>CMS</v>
      </c>
      <c r="AE751" s="281" t="s">
        <v>1</v>
      </c>
      <c r="AF751" s="281" t="s">
        <v>1</v>
      </c>
      <c r="AG751" s="282" t="s">
        <v>1</v>
      </c>
      <c r="AH751" s="278" cm="1">
        <f t="array" aca="1" ref="AH751" ca="1">INDIRECT("'"&amp;$C751&amp;"'!"&amp;"$"&amp;$D751&amp;$AH$1&amp;"")</f>
        <v>3</v>
      </c>
      <c r="AI751" s="281">
        <v>14</v>
      </c>
      <c r="AJ751" s="281">
        <v>0.98</v>
      </c>
      <c r="AK751" s="279">
        <v>0.42499999999999999</v>
      </c>
      <c r="AL751" s="278">
        <v>11.7</v>
      </c>
      <c r="AM751" s="282">
        <v>71.3</v>
      </c>
      <c r="AN751" s="278" cm="1">
        <f t="array" aca="1" ref="AN751" ca="1">INDIRECT("'"&amp;$C751&amp;"'!"&amp;"$"&amp;$D751&amp;$AL$1&amp;"")</f>
        <v>0</v>
      </c>
      <c r="AO751" s="281" t="s">
        <v>1</v>
      </c>
      <c r="AP751" s="279" t="s">
        <v>1</v>
      </c>
      <c r="AQ751" s="280" cm="1">
        <f t="array" aca="1" ref="AQ751" ca="1">INDIRECT("'"&amp;$C751&amp;"'!"&amp;"$"&amp;$D751&amp;$AQ$1&amp;"")</f>
        <v>2.5</v>
      </c>
      <c r="AR751" s="281">
        <v>0.98</v>
      </c>
      <c r="AS751" s="279">
        <v>0.71</v>
      </c>
      <c r="AT751" s="278">
        <v>14.01</v>
      </c>
      <c r="AU751" s="282">
        <v>70.5</v>
      </c>
      <c r="AV751" s="281" cm="1">
        <f t="array" aca="1" ref="AV751" ca="1">INDIRECT("'"&amp;$C751&amp;"'!"&amp;"$"&amp;$D751&amp;$AV$1&amp;"")</f>
        <v>2</v>
      </c>
      <c r="AW751" s="280" t="s">
        <v>1</v>
      </c>
      <c r="AX751" s="281">
        <v>0.92</v>
      </c>
      <c r="AY751" s="279">
        <v>1.1000000000000001</v>
      </c>
      <c r="AZ751" s="281" cm="1">
        <f t="array" aca="1" ref="AZ751" ca="1">INDIRECT("'"&amp;$C751&amp;"'!"&amp;"$"&amp;$D751&amp;$AZ$1&amp;"")</f>
        <v>7</v>
      </c>
      <c r="BA751" s="280" t="s">
        <v>1</v>
      </c>
      <c r="BB751" s="281">
        <v>0.95</v>
      </c>
      <c r="BC751" s="279">
        <v>2.4</v>
      </c>
      <c r="BD751" s="283">
        <v>14.04</v>
      </c>
      <c r="BE751" s="282">
        <v>71.56</v>
      </c>
      <c r="BF751" s="283" cm="1">
        <f t="array" aca="1" ref="BF751" ca="1">INDIRECT("'"&amp;$C751&amp;"'!"&amp;"$"&amp;$D751&amp;$BF$1&amp;"")</f>
        <v>14.26</v>
      </c>
      <c r="BG751" s="281">
        <v>1</v>
      </c>
      <c r="BH751" s="279">
        <v>1.21</v>
      </c>
      <c r="BI751" s="524">
        <v>68.400000000000006</v>
      </c>
      <c r="BJ751" s="278" cm="1">
        <f t="array" aca="1" ref="BJ751" ca="1">INDIRECT("'"&amp;$C751&amp;"'!"&amp;"$"&amp;$D751&amp;$BI$1&amp;"")</f>
        <v>0</v>
      </c>
      <c r="BK751" s="280" t="s">
        <v>1</v>
      </c>
      <c r="BL751" s="279" t="s">
        <v>1</v>
      </c>
      <c r="BM751" s="283" cm="1">
        <f t="array" aca="1" ref="BM751" ca="1">INDIRECT("'"&amp;$C751&amp;"'!"&amp;"$"&amp;$D751&amp;$BM$1&amp;"")</f>
        <v>1.5500000000000003</v>
      </c>
      <c r="BN751" s="281"/>
      <c r="BO751" s="281">
        <v>0.99</v>
      </c>
      <c r="BP751" s="279">
        <v>0.18</v>
      </c>
      <c r="BQ751" s="284" cm="1">
        <f t="array" aca="1" ref="BQ751" ca="1">INDIRECT("'"&amp;$C751&amp;"'!"&amp;"$"&amp;$D751&amp;$BQ$1&amp;"")</f>
        <v>1.05</v>
      </c>
      <c r="BR751" s="281"/>
      <c r="BS751" s="281">
        <v>0.97</v>
      </c>
      <c r="BT751" s="279">
        <v>0.27</v>
      </c>
      <c r="BU751" s="284" cm="1">
        <f t="array" aca="1" ref="BU751" ca="1">INDIRECT("'"&amp;$C751&amp;"'!"&amp;"$"&amp;$D751&amp;74&amp;"")</f>
        <v>0</v>
      </c>
      <c r="BV751" s="281"/>
      <c r="BW751" s="281" t="s">
        <v>1</v>
      </c>
      <c r="BX751" s="279" t="s">
        <v>1</v>
      </c>
    </row>
    <row r="752" spans="1:76">
      <c r="A752" s="459">
        <v>45868</v>
      </c>
      <c r="B752" s="345">
        <v>0.91666666666666696</v>
      </c>
      <c r="C752" s="305">
        <v>30</v>
      </c>
      <c r="D752" s="306" t="s">
        <v>164</v>
      </c>
      <c r="E752" s="285">
        <v>14.1</v>
      </c>
      <c r="F752" s="286">
        <v>70.2</v>
      </c>
      <c r="G752" s="287" t="str" cm="1">
        <f t="array" aca="1" ref="G752" ca="1">INDIRECT("'"&amp;$C752&amp;"'!"&amp;"$"&amp;$D752&amp;$E$1&amp;"")</f>
        <v>CMS</v>
      </c>
      <c r="H752" s="288" t="s">
        <v>1</v>
      </c>
      <c r="I752" s="286" t="s">
        <v>1</v>
      </c>
      <c r="J752" s="287" cm="1">
        <f t="array" aca="1" ref="J752" ca="1">INDIRECT("'"&amp;$C752&amp;"'!"&amp;"$"&amp;$D752&amp;$J$1&amp;"")</f>
        <v>6.5</v>
      </c>
      <c r="K752" s="288"/>
      <c r="L752" s="288">
        <v>0.98</v>
      </c>
      <c r="M752" s="289">
        <v>1.17</v>
      </c>
      <c r="N752" s="285" cm="1">
        <f t="array" aca="1" ref="N752" ca="1">INDIRECT("'"&amp;$C752&amp;"'!"&amp;"$"&amp;$D752&amp;$N$1&amp;"")</f>
        <v>6.5</v>
      </c>
      <c r="O752" s="288"/>
      <c r="P752" s="288">
        <v>0.98</v>
      </c>
      <c r="Q752" s="286">
        <v>1.17</v>
      </c>
      <c r="R752" s="285" cm="1">
        <f t="array" aca="1" ref="R752" ca="1">INDIRECT("'"&amp;$C752&amp;"'!"&amp;"$"&amp;$D752&amp;$R$1&amp;"")</f>
        <v>6.5</v>
      </c>
      <c r="S752" s="288"/>
      <c r="T752" s="288">
        <v>0.98</v>
      </c>
      <c r="U752" s="286">
        <v>1.17</v>
      </c>
      <c r="V752" s="287" cm="1">
        <f t="array" aca="1" ref="V752" ca="1">INDIRECT("'"&amp;$C752&amp;"'!"&amp;"$"&amp;$D752&amp;$V$1&amp;"")</f>
        <v>2.1</v>
      </c>
      <c r="W752" s="288">
        <f>3.56*3.8</f>
        <v>13.527999999999999</v>
      </c>
      <c r="X752" s="288">
        <v>0.96</v>
      </c>
      <c r="Y752" s="289">
        <v>0.68</v>
      </c>
      <c r="Z752" s="285" cm="1">
        <f t="array" aca="1" ref="Z752" ca="1">INDIRECT("'"&amp;$C752&amp;"'!"&amp;"$"&amp;$D752&amp;$Z$1&amp;"")</f>
        <v>3</v>
      </c>
      <c r="AA752" s="288">
        <v>13.527999999999999</v>
      </c>
      <c r="AB752" s="288">
        <v>0.96</v>
      </c>
      <c r="AC752" s="286">
        <v>0.89</v>
      </c>
      <c r="AD752" s="287" t="str" cm="1">
        <f t="array" aca="1" ref="AD752" ca="1">INDIRECT("'"&amp;$C752&amp;"'!"&amp;"$"&amp;$D752&amp;$AD$1&amp;"")</f>
        <v>CMS</v>
      </c>
      <c r="AE752" s="288" t="s">
        <v>1</v>
      </c>
      <c r="AF752" s="288" t="s">
        <v>1</v>
      </c>
      <c r="AG752" s="289" t="s">
        <v>1</v>
      </c>
      <c r="AH752" s="285" cm="1">
        <f t="array" aca="1" ref="AH752" ca="1">INDIRECT("'"&amp;$C752&amp;"'!"&amp;"$"&amp;$D752&amp;$AH$1&amp;"")</f>
        <v>0</v>
      </c>
      <c r="AI752" s="288" t="s">
        <v>1</v>
      </c>
      <c r="AJ752" s="288" t="s">
        <v>1</v>
      </c>
      <c r="AK752" s="286" t="s">
        <v>1</v>
      </c>
      <c r="AL752" s="285">
        <v>11.6</v>
      </c>
      <c r="AM752" s="289">
        <v>71.3</v>
      </c>
      <c r="AN752" s="285" cm="1">
        <f t="array" aca="1" ref="AN752" ca="1">INDIRECT("'"&amp;$C752&amp;"'!"&amp;"$"&amp;$D752&amp;$AL$1&amp;"")</f>
        <v>0</v>
      </c>
      <c r="AO752" s="288" t="s">
        <v>1</v>
      </c>
      <c r="AP752" s="286" t="s">
        <v>1</v>
      </c>
      <c r="AQ752" s="287" cm="1">
        <f t="array" aca="1" ref="AQ752" ca="1">INDIRECT("'"&amp;$C752&amp;"'!"&amp;"$"&amp;$D752&amp;$AQ$1&amp;"")</f>
        <v>2</v>
      </c>
      <c r="AR752" s="288">
        <v>0.98</v>
      </c>
      <c r="AS752" s="286">
        <v>0.37</v>
      </c>
      <c r="AT752" s="285">
        <v>14.03</v>
      </c>
      <c r="AU752" s="289">
        <v>70.5</v>
      </c>
      <c r="AV752" s="288" cm="1">
        <f t="array" aca="1" ref="AV752" ca="1">INDIRECT("'"&amp;$C752&amp;"'!"&amp;"$"&amp;$D752&amp;$AV$1&amp;"")</f>
        <v>0</v>
      </c>
      <c r="AW752" s="287" t="s">
        <v>1</v>
      </c>
      <c r="AX752" s="288" t="s">
        <v>1</v>
      </c>
      <c r="AY752" s="286" t="s">
        <v>1</v>
      </c>
      <c r="AZ752" s="288" cm="1">
        <f t="array" aca="1" ref="AZ752" ca="1">INDIRECT("'"&amp;$C752&amp;"'!"&amp;"$"&amp;$D752&amp;$AZ$1&amp;"")</f>
        <v>7</v>
      </c>
      <c r="BA752" s="287" t="s">
        <v>1</v>
      </c>
      <c r="BB752" s="288">
        <v>0.97</v>
      </c>
      <c r="BC752" s="286">
        <v>1.7</v>
      </c>
      <c r="BD752" s="290">
        <v>14.19</v>
      </c>
      <c r="BE752" s="289">
        <v>71.84</v>
      </c>
      <c r="BF752" s="290" cm="1">
        <f t="array" aca="1" ref="BF752" ca="1">INDIRECT("'"&amp;$C752&amp;"'!"&amp;"$"&amp;$D752&amp;$BF$1&amp;"")</f>
        <v>14.27</v>
      </c>
      <c r="BG752" s="288">
        <v>0.99</v>
      </c>
      <c r="BH752" s="286">
        <v>2.27</v>
      </c>
      <c r="BI752" s="525">
        <v>69.400000000000006</v>
      </c>
      <c r="BJ752" s="285" cm="1">
        <f t="array" aca="1" ref="BJ752" ca="1">INDIRECT("'"&amp;$C752&amp;"'!"&amp;"$"&amp;$D752&amp;$BI$1&amp;"")</f>
        <v>0</v>
      </c>
      <c r="BK752" s="287" t="s">
        <v>1</v>
      </c>
      <c r="BL752" s="286" t="s">
        <v>1</v>
      </c>
      <c r="BM752" s="290" cm="1">
        <f t="array" aca="1" ref="BM752" ca="1">INDIRECT("'"&amp;$C752&amp;"'!"&amp;"$"&amp;$D752&amp;$BM$1&amp;"")</f>
        <v>1.36</v>
      </c>
      <c r="BN752" s="288"/>
      <c r="BO752" s="288">
        <v>0.99</v>
      </c>
      <c r="BP752" s="286">
        <v>0.16</v>
      </c>
      <c r="BQ752" s="291" cm="1">
        <f t="array" aca="1" ref="BQ752" ca="1">INDIRECT("'"&amp;$C752&amp;"'!"&amp;"$"&amp;$D752&amp;$BQ$1&amp;"")</f>
        <v>1.02</v>
      </c>
      <c r="BR752" s="288"/>
      <c r="BS752" s="288">
        <v>0.97</v>
      </c>
      <c r="BT752" s="286">
        <v>0.27</v>
      </c>
      <c r="BU752" s="291" cm="1">
        <f t="array" aca="1" ref="BU752" ca="1">INDIRECT("'"&amp;$C752&amp;"'!"&amp;"$"&amp;$D752&amp;74&amp;"")</f>
        <v>0</v>
      </c>
      <c r="BV752" s="288"/>
      <c r="BW752" s="288" t="s">
        <v>1</v>
      </c>
      <c r="BX752" s="286" t="s">
        <v>1</v>
      </c>
    </row>
    <row r="753" spans="1:76" ht="14.45" thickBot="1">
      <c r="A753" s="460">
        <v>45868</v>
      </c>
      <c r="B753" s="346">
        <v>0.95833333333333404</v>
      </c>
      <c r="C753" s="307">
        <v>30</v>
      </c>
      <c r="D753" s="308" t="s">
        <v>165</v>
      </c>
      <c r="E753" s="293">
        <v>14</v>
      </c>
      <c r="F753" s="294">
        <v>69.400000000000006</v>
      </c>
      <c r="G753" s="295" t="str" cm="1">
        <f t="array" aca="1" ref="G753" ca="1">INDIRECT("'"&amp;$C753&amp;"'!"&amp;"$"&amp;$D753&amp;$E$1&amp;"")</f>
        <v>CMS</v>
      </c>
      <c r="H753" s="296" t="s">
        <v>1</v>
      </c>
      <c r="I753" s="294" t="s">
        <v>1</v>
      </c>
      <c r="J753" s="295" cm="1">
        <f t="array" aca="1" ref="J753" ca="1">INDIRECT("'"&amp;$C753&amp;"'!"&amp;"$"&amp;$D753&amp;$J$1&amp;"")</f>
        <v>6.5</v>
      </c>
      <c r="K753" s="296"/>
      <c r="L753" s="296">
        <v>0.98</v>
      </c>
      <c r="M753" s="297">
        <v>1.25</v>
      </c>
      <c r="N753" s="293" cm="1">
        <f t="array" aca="1" ref="N753" ca="1">INDIRECT("'"&amp;$C753&amp;"'!"&amp;"$"&amp;$D753&amp;$N$1&amp;"")</f>
        <v>6.5</v>
      </c>
      <c r="O753" s="296"/>
      <c r="P753" s="296">
        <v>0.98</v>
      </c>
      <c r="Q753" s="294">
        <v>1.25</v>
      </c>
      <c r="R753" s="470" cm="1">
        <f t="array" aca="1" ref="R753" ca="1">INDIRECT("'"&amp;$C753&amp;"'!"&amp;"$"&amp;$D753&amp;$R$1&amp;"")</f>
        <v>6.5</v>
      </c>
      <c r="S753" s="296"/>
      <c r="T753" s="296">
        <v>0.98</v>
      </c>
      <c r="U753" s="294">
        <v>1.25</v>
      </c>
      <c r="V753" s="295" cm="1">
        <f t="array" aca="1" ref="V753" ca="1">INDIRECT("'"&amp;$C753&amp;"'!"&amp;"$"&amp;$D753&amp;$V$1&amp;"")</f>
        <v>0</v>
      </c>
      <c r="W753" s="296" t="s">
        <v>1</v>
      </c>
      <c r="X753" s="296" t="s">
        <v>1</v>
      </c>
      <c r="Y753" s="297" t="s">
        <v>1</v>
      </c>
      <c r="Z753" s="293" cm="1">
        <f t="array" aca="1" ref="Z753" ca="1">INDIRECT("'"&amp;$C753&amp;"'!"&amp;"$"&amp;$D753&amp;$Z$1&amp;"")</f>
        <v>0</v>
      </c>
      <c r="AA753" s="296" t="s">
        <v>1</v>
      </c>
      <c r="AB753" s="296" t="s">
        <v>1</v>
      </c>
      <c r="AC753" s="294" t="s">
        <v>1</v>
      </c>
      <c r="AD753" s="295" t="str" cm="1">
        <f t="array" aca="1" ref="AD753" ca="1">INDIRECT("'"&amp;$C753&amp;"'!"&amp;"$"&amp;$D753&amp;$AD$1&amp;"")</f>
        <v>CMS</v>
      </c>
      <c r="AE753" s="296" t="s">
        <v>1</v>
      </c>
      <c r="AF753" s="296" t="s">
        <v>1</v>
      </c>
      <c r="AG753" s="297" t="s">
        <v>1</v>
      </c>
      <c r="AH753" s="293" cm="1">
        <f t="array" aca="1" ref="AH753" ca="1">INDIRECT("'"&amp;$C753&amp;"'!"&amp;"$"&amp;$D753&amp;$AH$1&amp;"")</f>
        <v>0</v>
      </c>
      <c r="AI753" s="296" t="s">
        <v>1</v>
      </c>
      <c r="AJ753" s="296" t="s">
        <v>1</v>
      </c>
      <c r="AK753" s="294" t="s">
        <v>1</v>
      </c>
      <c r="AL753" s="293">
        <v>11.6</v>
      </c>
      <c r="AM753" s="297">
        <v>70.599999999999994</v>
      </c>
      <c r="AN753" s="293" cm="1">
        <f t="array" aca="1" ref="AN753" ca="1">INDIRECT("'"&amp;$C753&amp;"'!"&amp;"$"&amp;$D753&amp;$AL$1&amp;"")</f>
        <v>0</v>
      </c>
      <c r="AO753" s="296" t="s">
        <v>1</v>
      </c>
      <c r="AP753" s="294" t="s">
        <v>1</v>
      </c>
      <c r="AQ753" s="295" cm="1">
        <f t="array" aca="1" ref="AQ753" ca="1">INDIRECT("'"&amp;$C753&amp;"'!"&amp;"$"&amp;$D753&amp;$AQ$1&amp;"")</f>
        <v>3.5</v>
      </c>
      <c r="AR753" s="296">
        <v>0.96</v>
      </c>
      <c r="AS753" s="294">
        <v>1.0900000000000001</v>
      </c>
      <c r="AT753" s="293">
        <v>13.92</v>
      </c>
      <c r="AU753" s="297">
        <v>70.7</v>
      </c>
      <c r="AV753" s="296" cm="1">
        <f t="array" aca="1" ref="AV753" ca="1">INDIRECT("'"&amp;$C753&amp;"'!"&amp;"$"&amp;$D753&amp;$AV$1&amp;"")</f>
        <v>0</v>
      </c>
      <c r="AW753" s="295" t="s">
        <v>1</v>
      </c>
      <c r="AX753" s="296" t="s">
        <v>1</v>
      </c>
      <c r="AY753" s="294" t="s">
        <v>1</v>
      </c>
      <c r="AZ753" s="296" cm="1">
        <f t="array" aca="1" ref="AZ753" ca="1">INDIRECT("'"&amp;$C753&amp;"'!"&amp;"$"&amp;$D753&amp;$AZ$1&amp;"")</f>
        <v>7</v>
      </c>
      <c r="BA753" s="295" t="s">
        <v>1</v>
      </c>
      <c r="BB753" s="296">
        <v>0.95</v>
      </c>
      <c r="BC753" s="294">
        <v>2.4</v>
      </c>
      <c r="BD753" s="298">
        <v>14.02</v>
      </c>
      <c r="BE753" s="297">
        <v>71.37</v>
      </c>
      <c r="BF753" s="298" cm="1">
        <f t="array" aca="1" ref="BF753" ca="1">INDIRECT("'"&amp;$C753&amp;"'!"&amp;"$"&amp;$D753&amp;$BF$1&amp;"")</f>
        <v>14.26</v>
      </c>
      <c r="BG753" s="296">
        <v>1</v>
      </c>
      <c r="BH753" s="294">
        <v>1.28</v>
      </c>
      <c r="BI753" s="526">
        <v>68.400000000000006</v>
      </c>
      <c r="BJ753" s="293" cm="1">
        <f t="array" aca="1" ref="BJ753" ca="1">INDIRECT("'"&amp;$C753&amp;"'!"&amp;"$"&amp;$D753&amp;$BI$1&amp;"")</f>
        <v>0</v>
      </c>
      <c r="BK753" s="295" t="s">
        <v>1</v>
      </c>
      <c r="BL753" s="294" t="s">
        <v>1</v>
      </c>
      <c r="BM753" s="298" cm="1">
        <f t="array" aca="1" ref="BM753" ca="1">INDIRECT("'"&amp;$C753&amp;"'!"&amp;"$"&amp;$D753&amp;$BM$1&amp;"")</f>
        <v>1.24</v>
      </c>
      <c r="BN753" s="296"/>
      <c r="BO753" s="296">
        <v>0.99</v>
      </c>
      <c r="BP753" s="294">
        <v>0.15</v>
      </c>
      <c r="BQ753" s="299" cm="1">
        <f t="array" aca="1" ref="BQ753" ca="1">INDIRECT("'"&amp;$C753&amp;"'!"&amp;"$"&amp;$D753&amp;$BQ$1&amp;"")</f>
        <v>0.94</v>
      </c>
      <c r="BR753" s="296"/>
      <c r="BS753" s="296">
        <v>0.97</v>
      </c>
      <c r="BT753" s="294">
        <v>0.24</v>
      </c>
      <c r="BU753" s="299" cm="1">
        <f t="array" aca="1" ref="BU753" ca="1">INDIRECT("'"&amp;$C753&amp;"'!"&amp;"$"&amp;$D753&amp;74&amp;"")</f>
        <v>0</v>
      </c>
      <c r="BV753" s="296"/>
      <c r="BW753" s="296" t="s">
        <v>1</v>
      </c>
      <c r="BX753" s="294" t="s">
        <v>1</v>
      </c>
    </row>
    <row r="754" spans="1:76" ht="14.45" thickBot="1"/>
    <row r="755" spans="1:76">
      <c r="A755" s="347">
        <v>45869</v>
      </c>
      <c r="B755" s="344">
        <v>0</v>
      </c>
      <c r="C755" s="302">
        <v>31</v>
      </c>
      <c r="D755" s="303" t="s">
        <v>142</v>
      </c>
      <c r="E755" s="272">
        <v>14.1</v>
      </c>
      <c r="F755" s="273">
        <v>70.22</v>
      </c>
      <c r="G755" s="274" t="str" cm="1">
        <f t="array" aca="1" ref="G755" ca="1">INDIRECT("'"&amp;$C755&amp;"'!"&amp;"$"&amp;$D755&amp;$E$1&amp;"")</f>
        <v>CMS</v>
      </c>
      <c r="H755" s="275" t="s">
        <v>1</v>
      </c>
      <c r="I755" s="273" t="s">
        <v>1</v>
      </c>
      <c r="J755" s="274" cm="1">
        <f t="array" aca="1" ref="J755" ca="1">INDIRECT("'"&amp;$C755&amp;"'!"&amp;"$"&amp;$D755&amp;$J$1&amp;"")</f>
        <v>6.8</v>
      </c>
      <c r="K755" s="275"/>
      <c r="L755" s="275">
        <v>0.98</v>
      </c>
      <c r="M755" s="276">
        <v>1.4</v>
      </c>
      <c r="N755" s="272" cm="1">
        <f t="array" aca="1" ref="N755" ca="1">INDIRECT("'"&amp;$C755&amp;"'!"&amp;"$"&amp;$D755&amp;$N$1&amp;"")</f>
        <v>6</v>
      </c>
      <c r="O755" s="275"/>
      <c r="P755" s="275">
        <v>0.98</v>
      </c>
      <c r="Q755" s="273">
        <v>1</v>
      </c>
      <c r="R755" s="467" cm="1">
        <f t="array" aca="1" ref="R755" ca="1">INDIRECT("'"&amp;$C755&amp;"'!"&amp;"$"&amp;$D755&amp;$R$1&amp;"")</f>
        <v>6</v>
      </c>
      <c r="S755" s="275"/>
      <c r="T755" s="275">
        <v>0.98</v>
      </c>
      <c r="U755" s="273">
        <v>1</v>
      </c>
      <c r="V755" s="274" cm="1">
        <f t="array" aca="1" ref="V755" ca="1">INDIRECT("'"&amp;$C755&amp;"'!"&amp;"$"&amp;$D755&amp;$V$1&amp;"")</f>
        <v>0</v>
      </c>
      <c r="W755" s="275" t="s">
        <v>1</v>
      </c>
      <c r="X755" s="275" t="s">
        <v>1</v>
      </c>
      <c r="Y755" s="276" t="s">
        <v>1</v>
      </c>
      <c r="Z755" s="272" cm="1">
        <f t="array" aca="1" ref="Z755" ca="1">INDIRECT("'"&amp;$C755&amp;"'!"&amp;"$"&amp;$D755&amp;$Z$1&amp;"")</f>
        <v>0</v>
      </c>
      <c r="AA755" s="275" t="s">
        <v>1</v>
      </c>
      <c r="AB755" s="275" t="s">
        <v>1</v>
      </c>
      <c r="AC755" s="273" t="s">
        <v>1</v>
      </c>
      <c r="AD755" s="274" t="str" cm="1">
        <f t="array" aca="1" ref="AD755" ca="1">INDIRECT("'"&amp;$C755&amp;"'!"&amp;"$"&amp;$D755&amp;$AD$1&amp;"")</f>
        <v>CMS</v>
      </c>
      <c r="AE755" s="275" t="s">
        <v>1</v>
      </c>
      <c r="AF755" s="275" t="s">
        <v>1</v>
      </c>
      <c r="AG755" s="273" t="s">
        <v>1</v>
      </c>
      <c r="AH755" s="272" cm="1">
        <f t="array" aca="1" ref="AH755" ca="1">INDIRECT("'"&amp;$C755&amp;"'!"&amp;"$"&amp;$D755&amp;$AH$1&amp;"")</f>
        <v>0</v>
      </c>
      <c r="AI755" s="275" t="s">
        <v>1</v>
      </c>
      <c r="AJ755" s="275" t="s">
        <v>1</v>
      </c>
      <c r="AK755" s="273" t="s">
        <v>1</v>
      </c>
      <c r="AL755" s="272">
        <v>11.6</v>
      </c>
      <c r="AM755" s="276">
        <v>70.8</v>
      </c>
      <c r="AN755" s="272" cm="1">
        <f t="array" aca="1" ref="AN755" ca="1">INDIRECT("'"&amp;$C755&amp;"'!"&amp;"$"&amp;$D755&amp;$AL$1&amp;"")</f>
        <v>0</v>
      </c>
      <c r="AO755" s="275" t="s">
        <v>1</v>
      </c>
      <c r="AP755" s="273" t="s">
        <v>1</v>
      </c>
      <c r="AQ755" s="274" cm="1">
        <f t="array" aca="1" ref="AQ755" ca="1">INDIRECT("'"&amp;$C755&amp;"'!"&amp;"$"&amp;$D755&amp;$AQ$1&amp;"")</f>
        <v>1.3</v>
      </c>
      <c r="AR755" s="275">
        <v>0.97</v>
      </c>
      <c r="AS755" s="273">
        <v>0.31</v>
      </c>
      <c r="AT755" s="272">
        <v>13.93</v>
      </c>
      <c r="AU755" s="276">
        <v>70.5</v>
      </c>
      <c r="AV755" s="275" cm="1">
        <f t="array" aca="1" ref="AV755" ca="1">INDIRECT("'"&amp;$C755&amp;"'!"&amp;"$"&amp;$D755&amp;$AV$1&amp;"")</f>
        <v>0</v>
      </c>
      <c r="AW755" s="274" t="s">
        <v>1</v>
      </c>
      <c r="AX755" s="275" t="s">
        <v>1</v>
      </c>
      <c r="AY755" s="273" t="s">
        <v>1</v>
      </c>
      <c r="AZ755" s="275" cm="1">
        <f t="array" aca="1" ref="AZ755" ca="1">INDIRECT("'"&amp;$C755&amp;"'!"&amp;"$"&amp;$D755&amp;$AZ$1&amp;"")</f>
        <v>5.6</v>
      </c>
      <c r="BA755" s="274" t="s">
        <v>1</v>
      </c>
      <c r="BB755" s="275">
        <v>0.94</v>
      </c>
      <c r="BC755" s="273">
        <v>1.9</v>
      </c>
      <c r="BD755" s="277">
        <v>13.91</v>
      </c>
      <c r="BE755" s="276">
        <v>71.11</v>
      </c>
      <c r="BF755" s="277" cm="1">
        <f t="array" aca="1" ref="BF755" ca="1">INDIRECT("'"&amp;$C755&amp;"'!"&amp;"$"&amp;$D755&amp;$BF$1&amp;"")</f>
        <v>13.78</v>
      </c>
      <c r="BG755" s="275">
        <v>1</v>
      </c>
      <c r="BH755" s="273">
        <v>1.18</v>
      </c>
      <c r="BI755" s="523">
        <v>69.2</v>
      </c>
      <c r="BJ755" s="272" cm="1">
        <f t="array" aca="1" ref="BJ755" ca="1">INDIRECT("'"&amp;$C755&amp;"'!"&amp;"$"&amp;$D755&amp;$BI$1&amp;"")</f>
        <v>0</v>
      </c>
      <c r="BK755" s="274" t="s">
        <v>1</v>
      </c>
      <c r="BL755" s="273" t="s">
        <v>1</v>
      </c>
      <c r="BM755" s="277" cm="1">
        <f t="array" aca="1" ref="BM755" ca="1">INDIRECT("'"&amp;$C755&amp;"'!"&amp;"$"&amp;$D755&amp;$BM$1&amp;"")</f>
        <v>1.17</v>
      </c>
      <c r="BN755" s="275"/>
      <c r="BO755" s="275">
        <v>0.99</v>
      </c>
      <c r="BP755" s="273">
        <v>0.15</v>
      </c>
      <c r="BQ755" s="277" cm="1">
        <f t="array" aca="1" ref="BQ755" ca="1">INDIRECT("'"&amp;$C755&amp;"'!"&amp;"$"&amp;$D755&amp;$BQ$1&amp;"")</f>
        <v>0.9</v>
      </c>
      <c r="BR755" s="275"/>
      <c r="BS755" s="275">
        <v>0.96</v>
      </c>
      <c r="BT755" s="273">
        <v>0.24</v>
      </c>
      <c r="BU755" s="358" cm="1">
        <f t="array" aca="1" ref="BU755" ca="1">INDIRECT("'"&amp;$C755&amp;"'!"&amp;"$"&amp;$D755&amp;74&amp;"")</f>
        <v>0</v>
      </c>
      <c r="BV755" s="275"/>
      <c r="BW755" s="275" t="s">
        <v>1</v>
      </c>
      <c r="BX755" s="273" t="s">
        <v>1</v>
      </c>
    </row>
    <row r="756" spans="1:76">
      <c r="A756" s="459">
        <v>45869</v>
      </c>
      <c r="B756" s="345">
        <v>4.1666666666666699E-2</v>
      </c>
      <c r="C756" s="305">
        <v>31</v>
      </c>
      <c r="D756" s="306" t="s">
        <v>143</v>
      </c>
      <c r="E756" s="278">
        <v>13.9</v>
      </c>
      <c r="F756" s="279">
        <v>69.69</v>
      </c>
      <c r="G756" s="280" t="str" cm="1">
        <f t="array" aca="1" ref="G756" ca="1">INDIRECT("'"&amp;$C756&amp;"'!"&amp;"$"&amp;$D756&amp;$E$1&amp;"")</f>
        <v>CMS</v>
      </c>
      <c r="H756" s="281" t="s">
        <v>1</v>
      </c>
      <c r="I756" s="279" t="s">
        <v>1</v>
      </c>
      <c r="J756" s="280" cm="1">
        <f t="array" aca="1" ref="J756" ca="1">INDIRECT("'"&amp;$C756&amp;"'!"&amp;"$"&amp;$D756&amp;$J$1&amp;"")</f>
        <v>0</v>
      </c>
      <c r="K756" s="281"/>
      <c r="L756" s="281" t="s">
        <v>1</v>
      </c>
      <c r="M756" s="282" t="s">
        <v>1</v>
      </c>
      <c r="N756" s="278" cm="1">
        <f t="array" aca="1" ref="N756" ca="1">INDIRECT("'"&amp;$C756&amp;"'!"&amp;"$"&amp;$D756&amp;$N$1&amp;"")</f>
        <v>6.6</v>
      </c>
      <c r="O756" s="281"/>
      <c r="P756" s="281">
        <v>0.96</v>
      </c>
      <c r="Q756" s="279">
        <v>1.94</v>
      </c>
      <c r="R756" s="468" cm="1">
        <f t="array" aca="1" ref="R756" ca="1">INDIRECT("'"&amp;$C756&amp;"'!"&amp;"$"&amp;$D756&amp;$R$1&amp;"")</f>
        <v>6.6</v>
      </c>
      <c r="S756" s="281"/>
      <c r="T756" s="281">
        <v>0.96</v>
      </c>
      <c r="U756" s="279">
        <v>1.94</v>
      </c>
      <c r="V756" s="280" cm="1">
        <f t="array" aca="1" ref="V756" ca="1">INDIRECT("'"&amp;$C756&amp;"'!"&amp;"$"&amp;$D756&amp;$V$1&amp;"")</f>
        <v>0</v>
      </c>
      <c r="W756" s="281" t="s">
        <v>1</v>
      </c>
      <c r="X756" s="281" t="s">
        <v>1</v>
      </c>
      <c r="Y756" s="282" t="s">
        <v>1</v>
      </c>
      <c r="Z756" s="278" cm="1">
        <f t="array" aca="1" ref="Z756" ca="1">INDIRECT("'"&amp;$C756&amp;"'!"&amp;"$"&amp;$D756&amp;$Z$1&amp;"")</f>
        <v>0</v>
      </c>
      <c r="AA756" s="281" t="s">
        <v>1</v>
      </c>
      <c r="AB756" s="281" t="s">
        <v>1</v>
      </c>
      <c r="AC756" s="279" t="s">
        <v>1</v>
      </c>
      <c r="AD756" s="280" t="str" cm="1">
        <f t="array" aca="1" ref="AD756" ca="1">INDIRECT("'"&amp;$C756&amp;"'!"&amp;"$"&amp;$D756&amp;$AD$1&amp;"")</f>
        <v>CMS</v>
      </c>
      <c r="AE756" s="281" t="s">
        <v>1</v>
      </c>
      <c r="AF756" s="281" t="s">
        <v>1</v>
      </c>
      <c r="AG756" s="282" t="s">
        <v>1</v>
      </c>
      <c r="AH756" s="278" cm="1">
        <f t="array" aca="1" ref="AH756" ca="1">INDIRECT("'"&amp;$C756&amp;"'!"&amp;"$"&amp;$D756&amp;$AH$1&amp;"")</f>
        <v>0</v>
      </c>
      <c r="AI756" s="281" t="s">
        <v>1</v>
      </c>
      <c r="AJ756" s="281" t="s">
        <v>1</v>
      </c>
      <c r="AK756" s="279" t="s">
        <v>1</v>
      </c>
      <c r="AL756" s="278">
        <v>11.6</v>
      </c>
      <c r="AM756" s="282">
        <v>71.2</v>
      </c>
      <c r="AN756" s="278" cm="1">
        <f t="array" aca="1" ref="AN756" ca="1">INDIRECT("'"&amp;$C756&amp;"'!"&amp;"$"&amp;$D756&amp;$AL$1&amp;"")</f>
        <v>0</v>
      </c>
      <c r="AO756" s="281" t="s">
        <v>1</v>
      </c>
      <c r="AP756" s="279" t="s">
        <v>1</v>
      </c>
      <c r="AQ756" s="280" cm="1">
        <f t="array" aca="1" ref="AQ756" ca="1">INDIRECT("'"&amp;$C756&amp;"'!"&amp;"$"&amp;$D756&amp;$AQ$1&amp;"")</f>
        <v>3.8</v>
      </c>
      <c r="AR756" s="281">
        <v>0.98</v>
      </c>
      <c r="AS756" s="279">
        <v>0.68</v>
      </c>
      <c r="AT756" s="278">
        <v>13.98</v>
      </c>
      <c r="AU756" s="282">
        <v>70.599999999999994</v>
      </c>
      <c r="AV756" s="281" cm="1">
        <f t="array" aca="1" ref="AV756" ca="1">INDIRECT("'"&amp;$C756&amp;"'!"&amp;"$"&amp;$D756&amp;$AV$1&amp;"")</f>
        <v>0</v>
      </c>
      <c r="AW756" s="280" t="s">
        <v>1</v>
      </c>
      <c r="AX756" s="281" t="s">
        <v>1</v>
      </c>
      <c r="AY756" s="279" t="s">
        <v>1</v>
      </c>
      <c r="AZ756" s="281" cm="1">
        <f t="array" aca="1" ref="AZ756" ca="1">INDIRECT("'"&amp;$C756&amp;"'!"&amp;"$"&amp;$D756&amp;$AZ$1&amp;"")</f>
        <v>7</v>
      </c>
      <c r="BA756" s="280" t="s">
        <v>1</v>
      </c>
      <c r="BB756" s="281">
        <v>0.98</v>
      </c>
      <c r="BC756" s="279">
        <v>1.6</v>
      </c>
      <c r="BD756" s="283">
        <v>14.08</v>
      </c>
      <c r="BE756" s="282">
        <v>71.739999999999995</v>
      </c>
      <c r="BF756" s="283" cm="1">
        <f t="array" aca="1" ref="BF756" ca="1">INDIRECT("'"&amp;$C756&amp;"'!"&amp;"$"&amp;$D756&amp;$BF$1&amp;"")</f>
        <v>14.27</v>
      </c>
      <c r="BG756" s="281">
        <v>1</v>
      </c>
      <c r="BH756" s="279">
        <v>1.21</v>
      </c>
      <c r="BI756" s="524">
        <v>68.900000000000006</v>
      </c>
      <c r="BJ756" s="278" cm="1">
        <f t="array" aca="1" ref="BJ756" ca="1">INDIRECT("'"&amp;$C756&amp;"'!"&amp;"$"&amp;$D756&amp;$BI$1&amp;"")</f>
        <v>0</v>
      </c>
      <c r="BK756" s="280" t="s">
        <v>1</v>
      </c>
      <c r="BL756" s="279" t="s">
        <v>1</v>
      </c>
      <c r="BM756" s="283" cm="1">
        <f t="array" aca="1" ref="BM756" ca="1">INDIRECT("'"&amp;$C756&amp;"'!"&amp;"$"&amp;$D756&amp;$BM$1&amp;"")</f>
        <v>1.07</v>
      </c>
      <c r="BN756" s="281"/>
      <c r="BO756" s="281">
        <v>0.99</v>
      </c>
      <c r="BP756" s="279">
        <v>0.15</v>
      </c>
      <c r="BQ756" s="283" cm="1">
        <f t="array" aca="1" ref="BQ756" ca="1">INDIRECT("'"&amp;$C756&amp;"'!"&amp;"$"&amp;$D756&amp;$BQ$1&amp;"")</f>
        <v>0.86</v>
      </c>
      <c r="BR756" s="281"/>
      <c r="BS756" s="281">
        <v>0.96</v>
      </c>
      <c r="BT756" s="279">
        <v>0.23</v>
      </c>
      <c r="BU756" s="284" cm="1">
        <f t="array" aca="1" ref="BU756" ca="1">INDIRECT("'"&amp;$C756&amp;"'!"&amp;"$"&amp;$D756&amp;74&amp;"")</f>
        <v>0</v>
      </c>
      <c r="BV756" s="281"/>
      <c r="BW756" s="281" t="s">
        <v>1</v>
      </c>
      <c r="BX756" s="279" t="s">
        <v>1</v>
      </c>
    </row>
    <row r="757" spans="1:76">
      <c r="A757" s="459">
        <v>45869</v>
      </c>
      <c r="B757" s="345">
        <v>8.3333333333333301E-2</v>
      </c>
      <c r="C757" s="305">
        <v>31</v>
      </c>
      <c r="D757" s="306" t="s">
        <v>144</v>
      </c>
      <c r="E757" s="285">
        <v>14</v>
      </c>
      <c r="F757" s="286">
        <v>69.88</v>
      </c>
      <c r="G757" s="287" t="str" cm="1">
        <f t="array" aca="1" ref="G757" ca="1">INDIRECT("'"&amp;$C757&amp;"'!"&amp;"$"&amp;$D757&amp;$E$1&amp;"")</f>
        <v>CMS</v>
      </c>
      <c r="H757" s="288" t="s">
        <v>1</v>
      </c>
      <c r="I757" s="286" t="s">
        <v>1</v>
      </c>
      <c r="J757" s="287" cm="1">
        <f t="array" aca="1" ref="J757" ca="1">INDIRECT("'"&amp;$C757&amp;"'!"&amp;"$"&amp;$D757&amp;$J$1&amp;"")</f>
        <v>0</v>
      </c>
      <c r="K757" s="288"/>
      <c r="L757" s="288" t="s">
        <v>1</v>
      </c>
      <c r="M757" s="289" t="s">
        <v>1</v>
      </c>
      <c r="N757" s="285" cm="1">
        <f t="array" aca="1" ref="N757" ca="1">INDIRECT("'"&amp;$C757&amp;"'!"&amp;"$"&amp;$D757&amp;$N$1&amp;"")</f>
        <v>6.6</v>
      </c>
      <c r="O757" s="288"/>
      <c r="P757" s="288">
        <v>0.97</v>
      </c>
      <c r="Q757" s="286">
        <v>1.5</v>
      </c>
      <c r="R757" s="285" cm="1">
        <f t="array" aca="1" ref="R757" ca="1">INDIRECT("'"&amp;$C757&amp;"'!"&amp;"$"&amp;$D757&amp;$R$1&amp;"")</f>
        <v>6.6</v>
      </c>
      <c r="S757" s="288"/>
      <c r="T757" s="288">
        <v>0.97</v>
      </c>
      <c r="U757" s="286">
        <v>1.5</v>
      </c>
      <c r="V757" s="287" cm="1">
        <f t="array" aca="1" ref="V757" ca="1">INDIRECT("'"&amp;$C757&amp;"'!"&amp;"$"&amp;$D757&amp;$V$1&amp;"")</f>
        <v>0</v>
      </c>
      <c r="W757" s="288" t="s">
        <v>1</v>
      </c>
      <c r="X757" s="288" t="s">
        <v>1</v>
      </c>
      <c r="Y757" s="289" t="s">
        <v>1</v>
      </c>
      <c r="Z757" s="533" cm="1">
        <f t="array" aca="1" ref="Z757" ca="1">INDIRECT("'"&amp;$C757&amp;"'!"&amp;"$"&amp;$D757&amp;$Z$1&amp;"")</f>
        <v>0</v>
      </c>
      <c r="AA757" s="288" t="s">
        <v>1</v>
      </c>
      <c r="AB757" s="288" t="s">
        <v>1</v>
      </c>
      <c r="AC757" s="286" t="s">
        <v>1</v>
      </c>
      <c r="AD757" s="287" t="str" cm="1">
        <f t="array" aca="1" ref="AD757" ca="1">INDIRECT("'"&amp;$C757&amp;"'!"&amp;"$"&amp;$D757&amp;$AD$1&amp;"")</f>
        <v>CMS</v>
      </c>
      <c r="AE757" s="288" t="s">
        <v>1</v>
      </c>
      <c r="AF757" s="288" t="s">
        <v>1</v>
      </c>
      <c r="AG757" s="289" t="s">
        <v>1</v>
      </c>
      <c r="AH757" s="285" cm="1">
        <f t="array" aca="1" ref="AH757" ca="1">INDIRECT("'"&amp;$C757&amp;"'!"&amp;"$"&amp;$D757&amp;$AH$1&amp;"")</f>
        <v>0</v>
      </c>
      <c r="AI757" s="288" t="s">
        <v>1</v>
      </c>
      <c r="AJ757" s="288" t="s">
        <v>1</v>
      </c>
      <c r="AK757" s="289" t="s">
        <v>1</v>
      </c>
      <c r="AL757" s="285">
        <v>11.6</v>
      </c>
      <c r="AM757" s="289">
        <v>71</v>
      </c>
      <c r="AN757" s="285" cm="1">
        <f t="array" aca="1" ref="AN757" ca="1">INDIRECT("'"&amp;$C757&amp;"'!"&amp;"$"&amp;$D757&amp;$AL$1&amp;"")</f>
        <v>0</v>
      </c>
      <c r="AO757" s="288" t="s">
        <v>1</v>
      </c>
      <c r="AP757" s="286" t="s">
        <v>1</v>
      </c>
      <c r="AQ757" s="287" cm="1">
        <f t="array" aca="1" ref="AQ757" ca="1">INDIRECT("'"&amp;$C757&amp;"'!"&amp;"$"&amp;$D757&amp;$AQ$1&amp;"")</f>
        <v>2</v>
      </c>
      <c r="AR757" s="288">
        <v>0.98</v>
      </c>
      <c r="AS757" s="286">
        <v>0.41</v>
      </c>
      <c r="AT757" s="285">
        <v>13.96</v>
      </c>
      <c r="AU757" s="289">
        <v>70.5</v>
      </c>
      <c r="AV757" s="288" cm="1">
        <f t="array" aca="1" ref="AV757" ca="1">INDIRECT("'"&amp;$C757&amp;"'!"&amp;"$"&amp;$D757&amp;$AV$1&amp;"")</f>
        <v>0</v>
      </c>
      <c r="AW757" s="287" t="s">
        <v>1</v>
      </c>
      <c r="AX757" s="288" t="s">
        <v>1</v>
      </c>
      <c r="AY757" s="286" t="s">
        <v>1</v>
      </c>
      <c r="AZ757" s="288" cm="1">
        <f t="array" aca="1" ref="AZ757" ca="1">INDIRECT("'"&amp;$C757&amp;"'!"&amp;"$"&amp;$D757&amp;$AZ$1&amp;"")</f>
        <v>7</v>
      </c>
      <c r="BA757" s="287" t="s">
        <v>1</v>
      </c>
      <c r="BB757" s="288">
        <v>0.97</v>
      </c>
      <c r="BC757" s="286">
        <v>1.8</v>
      </c>
      <c r="BD757" s="290">
        <v>14.08</v>
      </c>
      <c r="BE757" s="289">
        <v>71.540000000000006</v>
      </c>
      <c r="BF757" s="290" cm="1">
        <f t="array" aca="1" ref="BF757" ca="1">INDIRECT("'"&amp;$C757&amp;"'!"&amp;"$"&amp;$D757&amp;$BF$1&amp;"")</f>
        <v>14.29</v>
      </c>
      <c r="BG757" s="288">
        <v>1</v>
      </c>
      <c r="BH757" s="286">
        <v>1.22</v>
      </c>
      <c r="BI757" s="525">
        <v>68.900000000000006</v>
      </c>
      <c r="BJ757" s="285" cm="1">
        <f t="array" aca="1" ref="BJ757" ca="1">INDIRECT("'"&amp;$C757&amp;"'!"&amp;"$"&amp;$D757&amp;$BI$1&amp;"")</f>
        <v>0</v>
      </c>
      <c r="BK757" s="287" t="s">
        <v>1</v>
      </c>
      <c r="BL757" s="286" t="s">
        <v>1</v>
      </c>
      <c r="BM757" s="290" cm="1">
        <f t="array" aca="1" ref="BM757" ca="1">INDIRECT("'"&amp;$C757&amp;"'!"&amp;"$"&amp;$D757&amp;$BM$1&amp;"")</f>
        <v>1.06</v>
      </c>
      <c r="BN757" s="288"/>
      <c r="BO757" s="288">
        <v>0.99</v>
      </c>
      <c r="BP757" s="286">
        <v>0.14000000000000001</v>
      </c>
      <c r="BQ757" s="290" cm="1">
        <f t="array" aca="1" ref="BQ757" ca="1">INDIRECT("'"&amp;$C757&amp;"'!"&amp;"$"&amp;$D757&amp;$BQ$1&amp;"")</f>
        <v>0.84</v>
      </c>
      <c r="BR757" s="288"/>
      <c r="BS757" s="288">
        <v>0.96</v>
      </c>
      <c r="BT757" s="286">
        <v>0.22</v>
      </c>
      <c r="BU757" s="291" cm="1">
        <f t="array" aca="1" ref="BU757" ca="1">INDIRECT("'"&amp;$C757&amp;"'!"&amp;"$"&amp;$D757&amp;74&amp;"")</f>
        <v>0</v>
      </c>
      <c r="BV757" s="288"/>
      <c r="BW757" s="288" t="s">
        <v>1</v>
      </c>
      <c r="BX757" s="286" t="s">
        <v>1</v>
      </c>
    </row>
    <row r="758" spans="1:76">
      <c r="A758" s="459">
        <v>45869</v>
      </c>
      <c r="B758" s="345">
        <v>0.125</v>
      </c>
      <c r="C758" s="305">
        <v>31</v>
      </c>
      <c r="D758" s="306" t="s">
        <v>145</v>
      </c>
      <c r="E758" s="278">
        <v>14</v>
      </c>
      <c r="F758" s="279">
        <v>70.02</v>
      </c>
      <c r="G758" s="280" t="str" cm="1">
        <f t="array" aca="1" ref="G758" ca="1">INDIRECT("'"&amp;$C758&amp;"'!"&amp;"$"&amp;$D758&amp;$E$1&amp;"")</f>
        <v>CMS</v>
      </c>
      <c r="H758" s="281" t="s">
        <v>1</v>
      </c>
      <c r="I758" s="279" t="s">
        <v>1</v>
      </c>
      <c r="J758" s="280" cm="1">
        <f t="array" aca="1" ref="J758" ca="1">INDIRECT("'"&amp;$C758&amp;"'!"&amp;"$"&amp;$D758&amp;$J$1&amp;"")</f>
        <v>6.6</v>
      </c>
      <c r="K758" s="281"/>
      <c r="L758" s="281">
        <v>0.97</v>
      </c>
      <c r="M758" s="282">
        <v>1.65</v>
      </c>
      <c r="N758" s="278" cm="1">
        <f t="array" aca="1" ref="N758" ca="1">INDIRECT("'"&amp;$C758&amp;"'!"&amp;"$"&amp;$D758&amp;$N$1&amp;"")</f>
        <v>6.6</v>
      </c>
      <c r="O758" s="281"/>
      <c r="P758" s="281">
        <v>0.97</v>
      </c>
      <c r="Q758" s="279">
        <v>1.65</v>
      </c>
      <c r="R758" s="468" cm="1">
        <f t="array" aca="1" ref="R758" ca="1">INDIRECT("'"&amp;$C758&amp;"'!"&amp;"$"&amp;$D758&amp;$R$1&amp;"")</f>
        <v>0</v>
      </c>
      <c r="S758" s="281"/>
      <c r="T758" s="281" t="s">
        <v>1</v>
      </c>
      <c r="U758" s="279" t="s">
        <v>1</v>
      </c>
      <c r="V758" s="280" cm="1">
        <f t="array" aca="1" ref="V758" ca="1">INDIRECT("'"&amp;$C758&amp;"'!"&amp;"$"&amp;$D758&amp;$V$1&amp;"")</f>
        <v>0</v>
      </c>
      <c r="W758" s="281" t="s">
        <v>1</v>
      </c>
      <c r="X758" s="281" t="s">
        <v>1</v>
      </c>
      <c r="Y758" s="282" t="s">
        <v>1</v>
      </c>
      <c r="Z758" s="278" cm="1">
        <f t="array" aca="1" ref="Z758" ca="1">INDIRECT("'"&amp;$C758&amp;"'!"&amp;"$"&amp;$D758&amp;$Z$1&amp;"")</f>
        <v>0</v>
      </c>
      <c r="AA758" s="281" t="s">
        <v>1</v>
      </c>
      <c r="AB758" s="281" t="s">
        <v>1</v>
      </c>
      <c r="AC758" s="279" t="s">
        <v>1</v>
      </c>
      <c r="AD758" s="280" t="str" cm="1">
        <f t="array" aca="1" ref="AD758" ca="1">INDIRECT("'"&amp;$C758&amp;"'!"&amp;"$"&amp;$D758&amp;$AD$1&amp;"")</f>
        <v>CMS</v>
      </c>
      <c r="AE758" s="281" t="s">
        <v>1</v>
      </c>
      <c r="AF758" s="281" t="s">
        <v>1</v>
      </c>
      <c r="AG758" s="282" t="s">
        <v>1</v>
      </c>
      <c r="AH758" s="278" cm="1">
        <f t="array" aca="1" ref="AH758" ca="1">INDIRECT("'"&amp;$C758&amp;"'!"&amp;"$"&amp;$D758&amp;$AH$1&amp;"")</f>
        <v>0</v>
      </c>
      <c r="AI758" s="281" t="s">
        <v>1</v>
      </c>
      <c r="AJ758" s="281" t="s">
        <v>1</v>
      </c>
      <c r="AK758" s="279" t="s">
        <v>1</v>
      </c>
      <c r="AL758" s="278">
        <v>11.6</v>
      </c>
      <c r="AM758" s="282">
        <v>70.959999999999994</v>
      </c>
      <c r="AN758" s="278" cm="1">
        <f t="array" aca="1" ref="AN758" ca="1">INDIRECT("'"&amp;$C758&amp;"'!"&amp;"$"&amp;$D758&amp;$AL$1&amp;"")</f>
        <v>0</v>
      </c>
      <c r="AO758" s="281" t="s">
        <v>1</v>
      </c>
      <c r="AP758" s="279" t="s">
        <v>1</v>
      </c>
      <c r="AQ758" s="280" cm="1">
        <f t="array" aca="1" ref="AQ758" ca="1">INDIRECT("'"&amp;$C758&amp;"'!"&amp;"$"&amp;$D758&amp;$AQ$1&amp;"")</f>
        <v>1.5</v>
      </c>
      <c r="AR758" s="281">
        <v>0.96</v>
      </c>
      <c r="AS758" s="279">
        <v>0.39</v>
      </c>
      <c r="AT758" s="278">
        <v>13.96</v>
      </c>
      <c r="AU758" s="282">
        <v>70.5</v>
      </c>
      <c r="AV758" s="281" cm="1">
        <f t="array" aca="1" ref="AV758" ca="1">INDIRECT("'"&amp;$C758&amp;"'!"&amp;"$"&amp;$D758&amp;$AV$1&amp;"")</f>
        <v>0</v>
      </c>
      <c r="AW758" s="280" t="s">
        <v>1</v>
      </c>
      <c r="AX758" s="281" t="s">
        <v>1</v>
      </c>
      <c r="AY758" s="279" t="s">
        <v>1</v>
      </c>
      <c r="AZ758" s="281" cm="1">
        <f t="array" aca="1" ref="AZ758" ca="1">INDIRECT("'"&amp;$C758&amp;"'!"&amp;"$"&amp;$D758&amp;$AZ$1&amp;"")</f>
        <v>6.5</v>
      </c>
      <c r="BA758" s="280" t="s">
        <v>1</v>
      </c>
      <c r="BB758" s="281">
        <v>0.97</v>
      </c>
      <c r="BC758" s="279">
        <v>1.7</v>
      </c>
      <c r="BD758" s="283">
        <v>14.09</v>
      </c>
      <c r="BE758" s="282">
        <v>71.739999999999995</v>
      </c>
      <c r="BF758" s="283" cm="1">
        <f t="array" aca="1" ref="BF758" ca="1">INDIRECT("'"&amp;$C758&amp;"'!"&amp;"$"&amp;$D758&amp;$BF$1&amp;"")</f>
        <v>14.28</v>
      </c>
      <c r="BG758" s="281">
        <v>1</v>
      </c>
      <c r="BH758" s="279">
        <v>1.21</v>
      </c>
      <c r="BI758" s="524">
        <v>69.099999999999994</v>
      </c>
      <c r="BJ758" s="278" cm="1">
        <f t="array" aca="1" ref="BJ758" ca="1">INDIRECT("'"&amp;$C758&amp;"'!"&amp;"$"&amp;$D758&amp;$BI$1&amp;"")</f>
        <v>0</v>
      </c>
      <c r="BK758" s="280" t="s">
        <v>1</v>
      </c>
      <c r="BL758" s="279" t="s">
        <v>1</v>
      </c>
      <c r="BM758" s="283" cm="1">
        <f t="array" aca="1" ref="BM758" ca="1">INDIRECT("'"&amp;$C758&amp;"'!"&amp;"$"&amp;$D758&amp;$BM$1&amp;"")</f>
        <v>1.03</v>
      </c>
      <c r="BN758" s="281"/>
      <c r="BO758" s="281">
        <v>0.99</v>
      </c>
      <c r="BP758" s="279">
        <v>0.13</v>
      </c>
      <c r="BQ758" s="283" cm="1">
        <f t="array" aca="1" ref="BQ758" ca="1">INDIRECT("'"&amp;$C758&amp;"'!"&amp;"$"&amp;$D758&amp;$BQ$1&amp;"")</f>
        <v>0.81</v>
      </c>
      <c r="BR758" s="281"/>
      <c r="BS758" s="281">
        <v>0.96</v>
      </c>
      <c r="BT758" s="279">
        <v>0.21</v>
      </c>
      <c r="BU758" s="284" cm="1">
        <f t="array" aca="1" ref="BU758" ca="1">INDIRECT("'"&amp;$C758&amp;"'!"&amp;"$"&amp;$D758&amp;74&amp;"")</f>
        <v>0</v>
      </c>
      <c r="BV758" s="281"/>
      <c r="BW758" s="281" t="s">
        <v>1</v>
      </c>
      <c r="BX758" s="279" t="s">
        <v>1</v>
      </c>
    </row>
    <row r="759" spans="1:76">
      <c r="A759" s="459">
        <v>45869</v>
      </c>
      <c r="B759" s="345">
        <v>0.16666666666666699</v>
      </c>
      <c r="C759" s="305">
        <v>31</v>
      </c>
      <c r="D759" s="306" t="s">
        <v>146</v>
      </c>
      <c r="E759" s="285">
        <v>14</v>
      </c>
      <c r="F759" s="286">
        <v>70.069999999999993</v>
      </c>
      <c r="G759" s="287" t="str" cm="1">
        <f t="array" aca="1" ref="G759" ca="1">INDIRECT("'"&amp;$C759&amp;"'!"&amp;"$"&amp;$D759&amp;$E$1&amp;"")</f>
        <v>CMS</v>
      </c>
      <c r="H759" s="288" t="s">
        <v>1</v>
      </c>
      <c r="I759" s="286" t="s">
        <v>1</v>
      </c>
      <c r="J759" s="287" cm="1">
        <f t="array" aca="1" ref="J759" ca="1">INDIRECT("'"&amp;$C759&amp;"'!"&amp;"$"&amp;$D759&amp;$J$1&amp;"")</f>
        <v>6.7</v>
      </c>
      <c r="K759" s="288"/>
      <c r="L759" s="288">
        <v>0.98</v>
      </c>
      <c r="M759" s="286">
        <v>1.5</v>
      </c>
      <c r="N759" s="285" cm="1">
        <f t="array" aca="1" ref="N759" ca="1">INDIRECT("'"&amp;$C759&amp;"'!"&amp;"$"&amp;$D759&amp;$N$1&amp;"")</f>
        <v>6.7</v>
      </c>
      <c r="O759" s="288"/>
      <c r="P759" s="288">
        <v>0.98</v>
      </c>
      <c r="Q759" s="286">
        <v>1.5</v>
      </c>
      <c r="R759" s="285" cm="1">
        <f t="array" aca="1" ref="R759" ca="1">INDIRECT("'"&amp;$C759&amp;"'!"&amp;"$"&amp;$D759&amp;$R$1&amp;"")</f>
        <v>0</v>
      </c>
      <c r="S759" s="288"/>
      <c r="T759" s="288" t="s">
        <v>1</v>
      </c>
      <c r="U759" s="286" t="s">
        <v>1</v>
      </c>
      <c r="V759" s="287" cm="1">
        <f t="array" aca="1" ref="V759" ca="1">INDIRECT("'"&amp;$C759&amp;"'!"&amp;"$"&amp;$D759&amp;$V$1&amp;"")</f>
        <v>0</v>
      </c>
      <c r="W759" s="288" t="s">
        <v>1</v>
      </c>
      <c r="X759" s="288" t="s">
        <v>1</v>
      </c>
      <c r="Y759" s="289" t="s">
        <v>1</v>
      </c>
      <c r="Z759" s="285" cm="1">
        <f t="array" aca="1" ref="Z759" ca="1">INDIRECT("'"&amp;$C759&amp;"'!"&amp;"$"&amp;$D759&amp;$Z$1&amp;"")</f>
        <v>0</v>
      </c>
      <c r="AA759" s="288" t="s">
        <v>1</v>
      </c>
      <c r="AB759" s="288" t="s">
        <v>1</v>
      </c>
      <c r="AC759" s="286" t="s">
        <v>1</v>
      </c>
      <c r="AD759" s="287" t="str" cm="1">
        <f t="array" aca="1" ref="AD759" ca="1">INDIRECT("'"&amp;$C759&amp;"'!"&amp;"$"&amp;$D759&amp;$AD$1&amp;"")</f>
        <v>CMS</v>
      </c>
      <c r="AE759" s="288" t="s">
        <v>1</v>
      </c>
      <c r="AF759" s="288" t="s">
        <v>1</v>
      </c>
      <c r="AG759" s="289" t="s">
        <v>1</v>
      </c>
      <c r="AH759" s="285" cm="1">
        <f t="array" aca="1" ref="AH759" ca="1">INDIRECT("'"&amp;$C759&amp;"'!"&amp;"$"&amp;$D759&amp;$AH$1&amp;"")</f>
        <v>0</v>
      </c>
      <c r="AI759" s="288" t="s">
        <v>1</v>
      </c>
      <c r="AJ759" s="288" t="s">
        <v>1</v>
      </c>
      <c r="AK759" s="286" t="s">
        <v>1</v>
      </c>
      <c r="AL759" s="285">
        <v>11.6</v>
      </c>
      <c r="AM759" s="289">
        <v>71.16</v>
      </c>
      <c r="AN759" s="285" cm="1">
        <f t="array" aca="1" ref="AN759" ca="1">INDIRECT("'"&amp;$C759&amp;"'!"&amp;"$"&amp;$D759&amp;$AL$1&amp;"")</f>
        <v>0</v>
      </c>
      <c r="AO759" s="288" t="s">
        <v>1</v>
      </c>
      <c r="AP759" s="286" t="s">
        <v>1</v>
      </c>
      <c r="AQ759" s="287" cm="1">
        <f t="array" aca="1" ref="AQ759" ca="1">INDIRECT("'"&amp;$C759&amp;"'!"&amp;"$"&amp;$D759&amp;$AQ$1&amp;"")</f>
        <v>1.5</v>
      </c>
      <c r="AR759" s="288">
        <v>0.98</v>
      </c>
      <c r="AS759" s="286">
        <v>0.3</v>
      </c>
      <c r="AT759" s="285">
        <v>13.98</v>
      </c>
      <c r="AU759" s="289">
        <v>70.5</v>
      </c>
      <c r="AV759" s="288" cm="1">
        <f t="array" aca="1" ref="AV759" ca="1">INDIRECT("'"&amp;$C759&amp;"'!"&amp;"$"&amp;$D759&amp;$AV$1&amp;"")</f>
        <v>0</v>
      </c>
      <c r="AW759" s="287" t="s">
        <v>1</v>
      </c>
      <c r="AX759" s="288" t="s">
        <v>1</v>
      </c>
      <c r="AY759" s="286" t="s">
        <v>1</v>
      </c>
      <c r="AZ759" s="288" cm="1">
        <f t="array" aca="1" ref="AZ759" ca="1">INDIRECT("'"&amp;$C759&amp;"'!"&amp;"$"&amp;$D759&amp;$AZ$1&amp;"")</f>
        <v>6</v>
      </c>
      <c r="BA759" s="287" t="s">
        <v>1</v>
      </c>
      <c r="BB759" s="288">
        <v>0.97</v>
      </c>
      <c r="BC759" s="286">
        <v>1.6</v>
      </c>
      <c r="BD759" s="290">
        <v>14.12</v>
      </c>
      <c r="BE759" s="289">
        <v>71.89</v>
      </c>
      <c r="BF759" s="290" cm="1">
        <f t="array" aca="1" ref="BF759" ca="1">INDIRECT("'"&amp;$C759&amp;"'!"&amp;"$"&amp;$D759&amp;$BF$1&amp;"")</f>
        <v>14.27</v>
      </c>
      <c r="BG759" s="288">
        <v>1</v>
      </c>
      <c r="BH759" s="286">
        <v>1.25</v>
      </c>
      <c r="BI759" s="525">
        <v>69.2</v>
      </c>
      <c r="BJ759" s="285" cm="1">
        <f t="array" aca="1" ref="BJ759" ca="1">INDIRECT("'"&amp;$C759&amp;"'!"&amp;"$"&amp;$D759&amp;$BI$1&amp;"")</f>
        <v>0</v>
      </c>
      <c r="BK759" s="287" t="s">
        <v>1</v>
      </c>
      <c r="BL759" s="286" t="s">
        <v>1</v>
      </c>
      <c r="BM759" s="290" cm="1">
        <f t="array" aca="1" ref="BM759" ca="1">INDIRECT("'"&amp;$C759&amp;"'!"&amp;"$"&amp;$D759&amp;$BM$1&amp;"")</f>
        <v>1.03</v>
      </c>
      <c r="BN759" s="288"/>
      <c r="BO759" s="288">
        <v>0.99</v>
      </c>
      <c r="BP759" s="286">
        <v>0.13</v>
      </c>
      <c r="BQ759" s="290" cm="1">
        <f t="array" aca="1" ref="BQ759" ca="1">INDIRECT("'"&amp;$C759&amp;"'!"&amp;"$"&amp;$D759&amp;$BQ$1&amp;"")</f>
        <v>0.76</v>
      </c>
      <c r="BR759" s="288"/>
      <c r="BS759" s="288">
        <v>0.96</v>
      </c>
      <c r="BT759" s="286">
        <v>0.21</v>
      </c>
      <c r="BU759" s="291" cm="1">
        <f t="array" aca="1" ref="BU759" ca="1">INDIRECT("'"&amp;$C759&amp;"'!"&amp;"$"&amp;$D759&amp;74&amp;"")</f>
        <v>0</v>
      </c>
      <c r="BV759" s="288"/>
      <c r="BW759" s="288" t="s">
        <v>1</v>
      </c>
      <c r="BX759" s="286" t="s">
        <v>1</v>
      </c>
    </row>
    <row r="760" spans="1:76">
      <c r="A760" s="459">
        <v>45869</v>
      </c>
      <c r="B760" s="345">
        <v>0.20833333333333301</v>
      </c>
      <c r="C760" s="305">
        <v>31</v>
      </c>
      <c r="D760" s="306" t="s">
        <v>147</v>
      </c>
      <c r="E760" s="278">
        <v>14</v>
      </c>
      <c r="F760" s="279">
        <v>69.87</v>
      </c>
      <c r="G760" s="280" t="str" cm="1">
        <f t="array" aca="1" ref="G760" ca="1">INDIRECT("'"&amp;$C760&amp;"'!"&amp;"$"&amp;$D760&amp;$E$1&amp;"")</f>
        <v>CMS</v>
      </c>
      <c r="H760" s="281" t="s">
        <v>1</v>
      </c>
      <c r="I760" s="279" t="s">
        <v>1</v>
      </c>
      <c r="J760" s="280" cm="1">
        <f t="array" aca="1" ref="J760" ca="1">INDIRECT("'"&amp;$C760&amp;"'!"&amp;"$"&amp;$D760&amp;$J$1&amp;"")</f>
        <v>6.4</v>
      </c>
      <c r="K760" s="281"/>
      <c r="L760" s="281">
        <v>0.96</v>
      </c>
      <c r="M760" s="279">
        <v>1.81</v>
      </c>
      <c r="N760" s="278" cm="1">
        <f t="array" aca="1" ref="N760" ca="1">INDIRECT("'"&amp;$C760&amp;"'!"&amp;"$"&amp;$D760&amp;$N$1&amp;"")</f>
        <v>6.4</v>
      </c>
      <c r="O760" s="281"/>
      <c r="P760" s="281">
        <v>0.96</v>
      </c>
      <c r="Q760" s="279">
        <v>1.81</v>
      </c>
      <c r="R760" s="468" cm="1">
        <f t="array" aca="1" ref="R760" ca="1">INDIRECT("'"&amp;$C760&amp;"'!"&amp;"$"&amp;$D760&amp;$R$1&amp;"")</f>
        <v>0</v>
      </c>
      <c r="S760" s="281"/>
      <c r="T760" s="281" t="s">
        <v>1</v>
      </c>
      <c r="U760" s="279" t="s">
        <v>1</v>
      </c>
      <c r="V760" s="280" cm="1">
        <f t="array" aca="1" ref="V760" ca="1">INDIRECT("'"&amp;$C760&amp;"'!"&amp;"$"&amp;$D760&amp;$V$1&amp;"")</f>
        <v>0</v>
      </c>
      <c r="W760" s="281" t="s">
        <v>1</v>
      </c>
      <c r="X760" s="281" t="s">
        <v>1</v>
      </c>
      <c r="Y760" s="282" t="s">
        <v>1</v>
      </c>
      <c r="Z760" s="278" cm="1">
        <f t="array" aca="1" ref="Z760" ca="1">INDIRECT("'"&amp;$C760&amp;"'!"&amp;"$"&amp;$D760&amp;$Z$1&amp;"")</f>
        <v>0</v>
      </c>
      <c r="AA760" s="281" t="s">
        <v>1</v>
      </c>
      <c r="AB760" s="281" t="s">
        <v>1</v>
      </c>
      <c r="AC760" s="279" t="s">
        <v>1</v>
      </c>
      <c r="AD760" s="280" t="str" cm="1">
        <f t="array" aca="1" ref="AD760" ca="1">INDIRECT("'"&amp;$C760&amp;"'!"&amp;"$"&amp;$D760&amp;$AD$1&amp;"")</f>
        <v>CMS</v>
      </c>
      <c r="AE760" s="281" t="s">
        <v>1</v>
      </c>
      <c r="AF760" s="281" t="s">
        <v>1</v>
      </c>
      <c r="AG760" s="282" t="s">
        <v>1</v>
      </c>
      <c r="AH760" s="278" cm="1">
        <f t="array" aca="1" ref="AH760" ca="1">INDIRECT("'"&amp;$C760&amp;"'!"&amp;"$"&amp;$D760&amp;$AH$1&amp;"")</f>
        <v>0</v>
      </c>
      <c r="AI760" s="281" t="s">
        <v>1</v>
      </c>
      <c r="AJ760" s="281" t="s">
        <v>1</v>
      </c>
      <c r="AK760" s="279" t="s">
        <v>1</v>
      </c>
      <c r="AL760" s="278">
        <v>11.6</v>
      </c>
      <c r="AM760" s="282">
        <v>71.099999999999994</v>
      </c>
      <c r="AN760" s="278" cm="1">
        <f t="array" aca="1" ref="AN760" ca="1">IN+BP764+AN760+BP764+AN760+BP764+AN760</f>
        <v>0</v>
      </c>
      <c r="AO760" s="281" t="s">
        <v>1</v>
      </c>
      <c r="AP760" s="279" t="s">
        <v>1</v>
      </c>
      <c r="AQ760" s="280" cm="1">
        <f t="array" aca="1" ref="AQ760" ca="1">INDIRECT("'"&amp;$C760&amp;"'!"&amp;"$"&amp;$D760&amp;$AQ$1&amp;"")</f>
        <v>2.5</v>
      </c>
      <c r="AR760" s="281">
        <v>0.98</v>
      </c>
      <c r="AS760" s="279">
        <v>0.32</v>
      </c>
      <c r="AT760" s="278">
        <v>13.98</v>
      </c>
      <c r="AU760" s="282">
        <v>70.599999999999994</v>
      </c>
      <c r="AV760" s="281" cm="1">
        <f t="array" aca="1" ref="AV760" ca="1">INDIRECT("'"&amp;$C760&amp;"'!"&amp;"$"&amp;$D760&amp;$AV$1&amp;"")</f>
        <v>0</v>
      </c>
      <c r="AW760" s="280" t="s">
        <v>1</v>
      </c>
      <c r="AX760" s="281" t="s">
        <v>1</v>
      </c>
      <c r="AY760" s="279" t="s">
        <v>1</v>
      </c>
      <c r="AZ760" s="281" cm="1">
        <f t="array" aca="1" ref="AZ760" ca="1">INDIRECT("'"&amp;$C760&amp;"'!"&amp;"$"&amp;$D760&amp;$AZ$1&amp;"")</f>
        <v>7</v>
      </c>
      <c r="BA760" s="280" t="s">
        <v>1</v>
      </c>
      <c r="BB760" s="281">
        <v>0.98</v>
      </c>
      <c r="BC760" s="279">
        <v>1.5</v>
      </c>
      <c r="BD760" s="283">
        <v>14.12</v>
      </c>
      <c r="BE760" s="282">
        <v>71.89</v>
      </c>
      <c r="BF760" s="283" cm="1">
        <f t="array" aca="1" ref="BF760" ca="1">INDIRECT("'"&amp;$C760&amp;"'!"&amp;"$"&amp;$D760&amp;$BF$1&amp;"")</f>
        <v>14.27</v>
      </c>
      <c r="BG760" s="281">
        <v>1</v>
      </c>
      <c r="BH760" s="279">
        <v>1.23</v>
      </c>
      <c r="BI760" s="524">
        <v>68.900000000000006</v>
      </c>
      <c r="BJ760" s="278" cm="1">
        <f t="array" aca="1" ref="BJ760" ca="1">INDIRECT("'"&amp;$C760&amp;"'!"&amp;"$"&amp;$D760&amp;$BI$1&amp;"")</f>
        <v>0</v>
      </c>
      <c r="BK760" s="280" t="s">
        <v>1</v>
      </c>
      <c r="BL760" s="279" t="s">
        <v>1</v>
      </c>
      <c r="BM760" s="283" cm="1">
        <f t="array" aca="1" ref="BM760" ca="1">INDIRECT("'"&amp;$C760&amp;"'!"&amp;"$"&amp;$D760&amp;$BM$1&amp;"")</f>
        <v>1.1499999999999999</v>
      </c>
      <c r="BN760" s="281"/>
      <c r="BO760" s="281">
        <v>0.99</v>
      </c>
      <c r="BP760" s="279">
        <v>0.16</v>
      </c>
      <c r="BQ760" s="283" cm="1">
        <f t="array" aca="1" ref="BQ760" ca="1">INDIRECT("'"&amp;$C760&amp;"'!"&amp;"$"&amp;$D760&amp;$BQ$1&amp;"")</f>
        <v>0.85</v>
      </c>
      <c r="BR760" s="281"/>
      <c r="BS760" s="281">
        <v>0.96</v>
      </c>
      <c r="BT760" s="279">
        <v>0.22</v>
      </c>
      <c r="BU760" s="284" cm="1">
        <f t="array" aca="1" ref="BU760" ca="1">INDIRECT("'"&amp;$C760&amp;"'!"&amp;"$"&amp;$D760&amp;74&amp;"")</f>
        <v>0</v>
      </c>
      <c r="BV760" s="281"/>
      <c r="BW760" s="281" t="s">
        <v>1</v>
      </c>
      <c r="BX760" s="279" t="s">
        <v>1</v>
      </c>
    </row>
    <row r="761" spans="1:76">
      <c r="A761" s="459">
        <v>45869</v>
      </c>
      <c r="B761" s="345">
        <v>0.25</v>
      </c>
      <c r="C761" s="305">
        <v>31</v>
      </c>
      <c r="D761" s="306" t="s">
        <v>148</v>
      </c>
      <c r="E761" s="285">
        <v>14.1</v>
      </c>
      <c r="F761" s="286">
        <v>69.87</v>
      </c>
      <c r="G761" s="287" t="str" cm="1">
        <f t="array" aca="1" ref="G761" ca="1">INDIRECT("'"&amp;$C761&amp;"'!"&amp;"$"&amp;$D761&amp;$E$1&amp;"")</f>
        <v>CMS</v>
      </c>
      <c r="H761" s="288" t="s">
        <v>1</v>
      </c>
      <c r="I761" s="286" t="s">
        <v>1</v>
      </c>
      <c r="J761" s="287" cm="1">
        <f t="array" aca="1" ref="J761" ca="1">INDIRECT("'"&amp;$C761&amp;"'!"&amp;"$"&amp;$D761&amp;$J$1&amp;"")</f>
        <v>6.7</v>
      </c>
      <c r="K761" s="288"/>
      <c r="L761" s="288">
        <v>0.96</v>
      </c>
      <c r="M761" s="286">
        <v>1.98</v>
      </c>
      <c r="N761" s="285" cm="1">
        <f t="array" aca="1" ref="N761" ca="1">INDIRECT("'"&amp;$C761&amp;"'!"&amp;"$"&amp;$D761&amp;$N$1&amp;"")</f>
        <v>6.7</v>
      </c>
      <c r="O761" s="288"/>
      <c r="P761" s="288">
        <v>0.96</v>
      </c>
      <c r="Q761" s="286">
        <v>1.98</v>
      </c>
      <c r="R761" s="285" cm="1">
        <f t="array" aca="1" ref="R761" ca="1">INDIRECT("'"&amp;$C761&amp;"'!"&amp;"$"&amp;$D761&amp;$R$1&amp;"")</f>
        <v>0</v>
      </c>
      <c r="S761" s="288"/>
      <c r="T761" s="288" t="s">
        <v>1</v>
      </c>
      <c r="U761" s="286" t="s">
        <v>1</v>
      </c>
      <c r="V761" s="287" cm="1">
        <f t="array" aca="1" ref="V761" ca="1">INDIRECT("'"&amp;$C761&amp;"'!"&amp;"$"&amp;$D761&amp;$V$1&amp;"")</f>
        <v>0</v>
      </c>
      <c r="W761" s="288" t="s">
        <v>1</v>
      </c>
      <c r="X761" s="288" t="s">
        <v>1</v>
      </c>
      <c r="Y761" s="289" t="s">
        <v>1</v>
      </c>
      <c r="Z761" s="285" cm="1">
        <f t="array" aca="1" ref="Z761" ca="1">INDIRECT("'"&amp;$C761&amp;"'!"&amp;"$"&amp;$D761&amp;$Z$1&amp;"")</f>
        <v>0</v>
      </c>
      <c r="AA761" s="288" t="s">
        <v>1</v>
      </c>
      <c r="AB761" s="288" t="s">
        <v>1</v>
      </c>
      <c r="AC761" s="286" t="s">
        <v>1</v>
      </c>
      <c r="AD761" s="287" t="str" cm="1">
        <f t="array" aca="1" ref="AD761" ca="1">INDIRECT("'"&amp;$C761&amp;"'!"&amp;"$"&amp;$D761&amp;$AD$1&amp;"")</f>
        <v>CMS</v>
      </c>
      <c r="AE761" s="288" t="s">
        <v>1</v>
      </c>
      <c r="AF761" s="288" t="s">
        <v>1</v>
      </c>
      <c r="AG761" s="289" t="s">
        <v>1</v>
      </c>
      <c r="AH761" s="285" cm="1">
        <f t="array" aca="1" ref="AH761" ca="1">INDIRECT("'"&amp;$C761&amp;"'!"&amp;"$"&amp;$D761&amp;$AH$1&amp;"")</f>
        <v>0</v>
      </c>
      <c r="AI761" s="288" t="s">
        <v>1</v>
      </c>
      <c r="AJ761" s="288" t="s">
        <v>1</v>
      </c>
      <c r="AK761" s="286" t="s">
        <v>1</v>
      </c>
      <c r="AL761" s="285">
        <v>11.6</v>
      </c>
      <c r="AM761" s="289">
        <v>70.900000000000006</v>
      </c>
      <c r="AN761" s="285" cm="1">
        <f t="array" aca="1" ref="AN761" ca="1">INDIRECT("'"&amp;$C761&amp;"'!"&amp;"$"&amp;$D761&amp;$AL$1&amp;"")</f>
        <v>0</v>
      </c>
      <c r="AO761" s="288" t="s">
        <v>1</v>
      </c>
      <c r="AP761" s="286" t="s">
        <v>1</v>
      </c>
      <c r="AQ761" s="287" cm="1">
        <f t="array" aca="1" ref="AQ761" ca="1">INDIRECT("'"&amp;$C761&amp;"'!"&amp;"$"&amp;$D761&amp;$AQ$1&amp;"")</f>
        <v>3.8</v>
      </c>
      <c r="AR761" s="288">
        <v>0.98</v>
      </c>
      <c r="AS761" s="286">
        <v>0.71</v>
      </c>
      <c r="AT761" s="285">
        <v>13.96</v>
      </c>
      <c r="AU761" s="289">
        <v>70.599999999999994</v>
      </c>
      <c r="AV761" s="288" cm="1">
        <f t="array" aca="1" ref="AV761" ca="1">INDIRECT("'"&amp;$C761&amp;"'!"&amp;"$"&amp;$D761&amp;$AV$1&amp;"")</f>
        <v>0</v>
      </c>
      <c r="AW761" s="287" t="s">
        <v>1</v>
      </c>
      <c r="AX761" s="288" t="s">
        <v>1</v>
      </c>
      <c r="AY761" s="286" t="s">
        <v>1</v>
      </c>
      <c r="AZ761" s="288" cm="1">
        <f t="array" aca="1" ref="AZ761" ca="1">INDIRECT("'"&amp;$C761&amp;"'!"&amp;"$"&amp;$D761&amp;$AZ$1&amp;"")</f>
        <v>7</v>
      </c>
      <c r="BA761" s="287" t="s">
        <v>1</v>
      </c>
      <c r="BB761" s="288">
        <v>0.97</v>
      </c>
      <c r="BC761" s="286">
        <v>1.9</v>
      </c>
      <c r="BD761" s="290">
        <v>13.98</v>
      </c>
      <c r="BE761" s="289">
        <v>71.37</v>
      </c>
      <c r="BF761" s="290" cm="1">
        <f t="array" aca="1" ref="BF761" ca="1">INDIRECT("'"&amp;$C761&amp;"'!"&amp;"$"&amp;$D761&amp;$BF$1&amp;"")</f>
        <v>14.26</v>
      </c>
      <c r="BG761" s="288">
        <v>1</v>
      </c>
      <c r="BH761" s="286">
        <v>1.24</v>
      </c>
      <c r="BI761" s="525">
        <v>69</v>
      </c>
      <c r="BJ761" s="285" cm="1">
        <f t="array" aca="1" ref="BJ761" ca="1">INDIRECT("'"&amp;$C761&amp;"'!"&amp;"$"&amp;$D761&amp;$BI$1&amp;"")</f>
        <v>3.8999999999999995</v>
      </c>
      <c r="BK761" s="287">
        <v>0.98</v>
      </c>
      <c r="BL761" s="286">
        <v>0.79</v>
      </c>
      <c r="BM761" s="290" cm="1">
        <f t="array" aca="1" ref="BM761" ca="1">INDIRECT("'"&amp;$C761&amp;"'!"&amp;"$"&amp;$D761&amp;$BM$1&amp;"")</f>
        <v>1.35</v>
      </c>
      <c r="BN761" s="288"/>
      <c r="BO761" s="288">
        <v>0.99</v>
      </c>
      <c r="BP761" s="286">
        <v>0.15</v>
      </c>
      <c r="BQ761" s="290" cm="1">
        <f t="array" aca="1" ref="BQ761" ca="1">INDIRECT("'"&amp;$C761&amp;"'!"&amp;"$"&amp;$D761&amp;$BQ$1&amp;"")</f>
        <v>0.91</v>
      </c>
      <c r="BR761" s="288"/>
      <c r="BS761" s="288">
        <v>0.97</v>
      </c>
      <c r="BT761" s="286">
        <v>0.22</v>
      </c>
      <c r="BU761" s="291" cm="1">
        <f t="array" aca="1" ref="BU761" ca="1">INDIRECT("'"&amp;$C761&amp;"'!"&amp;"$"&amp;$D761&amp;74&amp;"")</f>
        <v>0</v>
      </c>
      <c r="BV761" s="288"/>
      <c r="BW761" s="288" t="s">
        <v>1</v>
      </c>
      <c r="BX761" s="286" t="s">
        <v>1</v>
      </c>
    </row>
    <row r="762" spans="1:76">
      <c r="A762" s="459">
        <v>45869</v>
      </c>
      <c r="B762" s="345">
        <v>0.29166666666666702</v>
      </c>
      <c r="C762" s="305">
        <v>31</v>
      </c>
      <c r="D762" s="306" t="s">
        <v>149</v>
      </c>
      <c r="E762" s="278">
        <v>14</v>
      </c>
      <c r="F762" s="279">
        <v>69.48</v>
      </c>
      <c r="G762" s="280" t="str" cm="1">
        <f t="array" aca="1" ref="G762" ca="1">INDIRECT("'"&amp;$C762&amp;"'!"&amp;"$"&amp;$D762&amp;$E$1&amp;"")</f>
        <v>CMS</v>
      </c>
      <c r="H762" s="281" t="s">
        <v>1</v>
      </c>
      <c r="I762" s="279" t="s">
        <v>1</v>
      </c>
      <c r="J762" s="280" cm="1">
        <f t="array" aca="1" ref="J762" ca="1">INDIRECT("'"&amp;$C762&amp;"'!"&amp;"$"&amp;$D762&amp;$J$1&amp;"")</f>
        <v>6.7</v>
      </c>
      <c r="K762" s="281"/>
      <c r="L762" s="281">
        <v>0.93</v>
      </c>
      <c r="M762" s="282">
        <v>2.7</v>
      </c>
      <c r="N762" s="278" cm="1">
        <f t="array" aca="1" ref="N762" ca="1">INDIRECT("'"&amp;$C762&amp;"'!"&amp;"$"&amp;$D762&amp;$N$1&amp;"")</f>
        <v>6.7</v>
      </c>
      <c r="O762" s="281"/>
      <c r="P762" s="281">
        <v>0.93</v>
      </c>
      <c r="Q762" s="279">
        <v>2.7</v>
      </c>
      <c r="R762" s="468" cm="1">
        <f t="array" aca="1" ref="R762" ca="1">INDIRECT("'"&amp;$C762&amp;"'!"&amp;"$"&amp;$D762&amp;$R$1&amp;"")</f>
        <v>0</v>
      </c>
      <c r="S762" s="281"/>
      <c r="T762" s="281"/>
      <c r="U762" s="279"/>
      <c r="V762" s="280" cm="1">
        <f t="array" aca="1" ref="V762" ca="1">INDIRECT("'"&amp;$C762&amp;"'!"&amp;"$"&amp;$D762&amp;$V$1&amp;"")</f>
        <v>0</v>
      </c>
      <c r="W762" s="281" t="s">
        <v>1</v>
      </c>
      <c r="X762" s="281" t="s">
        <v>1</v>
      </c>
      <c r="Y762" s="282" t="s">
        <v>1</v>
      </c>
      <c r="Z762" s="278" cm="1">
        <f t="array" aca="1" ref="Z762" ca="1">INDIRECT("'"&amp;$C762&amp;"'!"&amp;"$"&amp;$D762&amp;$Z$1&amp;"")</f>
        <v>0</v>
      </c>
      <c r="AA762" s="281" t="s">
        <v>1</v>
      </c>
      <c r="AB762" s="281" t="s">
        <v>1</v>
      </c>
      <c r="AC762" s="279" t="s">
        <v>1</v>
      </c>
      <c r="AD762" s="280" t="str" cm="1">
        <f t="array" aca="1" ref="AD762" ca="1">INDIRECT("'"&amp;$C762&amp;"'!"&amp;"$"&amp;$D762&amp;$AD$1&amp;"")</f>
        <v>CMS</v>
      </c>
      <c r="AE762" s="281" t="s">
        <v>1</v>
      </c>
      <c r="AF762" s="281" t="s">
        <v>1</v>
      </c>
      <c r="AG762" s="282" t="s">
        <v>1</v>
      </c>
      <c r="AH762" s="278" cm="1">
        <f t="array" aca="1" ref="AH762" ca="1">INDIRECT("'"&amp;$C762&amp;"'!"&amp;"$"&amp;$D762&amp;$AH$1&amp;"")</f>
        <v>0</v>
      </c>
      <c r="AI762" s="281" t="s">
        <v>1</v>
      </c>
      <c r="AJ762" s="281" t="s">
        <v>1</v>
      </c>
      <c r="AK762" s="279" t="s">
        <v>1</v>
      </c>
      <c r="AL762" s="278">
        <v>11.6</v>
      </c>
      <c r="AM762" s="282">
        <v>70.8</v>
      </c>
      <c r="AN762" s="278" cm="1">
        <f t="array" aca="1" ref="AN762" ca="1">INDIRECT("'"&amp;$C762&amp;"'!"&amp;"$"&amp;$D762&amp;$AL$1&amp;"")</f>
        <v>3.8</v>
      </c>
      <c r="AO762" s="281">
        <v>0.97</v>
      </c>
      <c r="AP762" s="279">
        <v>0.6</v>
      </c>
      <c r="AQ762" s="280" cm="1">
        <f t="array" aca="1" ref="AQ762" ca="1">INDIRECT("'"&amp;$C762&amp;"'!"&amp;"$"&amp;$D762&amp;$AQ$1&amp;"")</f>
        <v>0</v>
      </c>
      <c r="AR762" s="281" t="s">
        <v>1</v>
      </c>
      <c r="AS762" s="279" t="s">
        <v>1</v>
      </c>
      <c r="AT762" s="278">
        <v>13.92</v>
      </c>
      <c r="AU762" s="282">
        <v>70.5</v>
      </c>
      <c r="AV762" s="281" cm="1">
        <f t="array" aca="1" ref="AV762" ca="1">INDIRECT("'"&amp;$C762&amp;"'!"&amp;"$"&amp;$D762&amp;$AV$1&amp;"")</f>
        <v>0</v>
      </c>
      <c r="AW762" s="280" t="s">
        <v>1</v>
      </c>
      <c r="AX762" s="281" t="s">
        <v>1</v>
      </c>
      <c r="AY762" s="279" t="s">
        <v>1</v>
      </c>
      <c r="AZ762" s="281" cm="1">
        <f t="array" aca="1" ref="AZ762" ca="1">INDIRECT("'"&amp;$C762&amp;"'!"&amp;"$"&amp;$D762&amp;$AZ$1&amp;"")</f>
        <v>7</v>
      </c>
      <c r="BA762" s="280" t="s">
        <v>1</v>
      </c>
      <c r="BB762" s="281">
        <v>0.96</v>
      </c>
      <c r="BC762" s="279">
        <v>2.4</v>
      </c>
      <c r="BD762" s="283">
        <v>13.96</v>
      </c>
      <c r="BE762" s="282">
        <v>71.08</v>
      </c>
      <c r="BF762" s="283" cm="1">
        <f t="array" aca="1" ref="BF762" ca="1">INDIRECT("'"&amp;$C762&amp;"'!"&amp;"$"&amp;$D762&amp;$BF$1&amp;"")</f>
        <v>14.28</v>
      </c>
      <c r="BG762" s="281">
        <v>1</v>
      </c>
      <c r="BH762" s="279">
        <v>1.19</v>
      </c>
      <c r="BI762" s="524">
        <v>68.400000000000006</v>
      </c>
      <c r="BJ762" s="278" cm="1">
        <f t="array" aca="1" ref="BJ762" ca="1">INDIRECT("'"&amp;$C762&amp;"'!"&amp;"$"&amp;$D762&amp;$BI$1&amp;"")</f>
        <v>0</v>
      </c>
      <c r="BK762" s="280" t="s">
        <v>1</v>
      </c>
      <c r="BL762" s="279" t="s">
        <v>1</v>
      </c>
      <c r="BM762" s="283" cm="1">
        <f t="array" aca="1" ref="BM762" ca="1">INDIRECT("'"&amp;$C762&amp;"'!"&amp;"$"&amp;$D762&amp;$BM$1&amp;"")</f>
        <v>1.22</v>
      </c>
      <c r="BN762" s="281"/>
      <c r="BO762" s="281">
        <v>0.99</v>
      </c>
      <c r="BP762" s="279">
        <v>0.14000000000000001</v>
      </c>
      <c r="BQ762" s="284" cm="1">
        <f t="array" aca="1" ref="BQ762" ca="1">INDIRECT("'"&amp;$C762&amp;"'!"&amp;"$"&amp;$D762&amp;$BQ$1&amp;"")</f>
        <v>0.83</v>
      </c>
      <c r="BR762" s="281"/>
      <c r="BS762" s="281">
        <v>0.96</v>
      </c>
      <c r="BT762" s="279">
        <v>0.22</v>
      </c>
      <c r="BU762" s="284" cm="1">
        <f t="array" aca="1" ref="BU762" ca="1">INDIRECT("'"&amp;$C762&amp;"'!"&amp;"$"&amp;$D762&amp;74&amp;"")</f>
        <v>0</v>
      </c>
      <c r="BV762" s="281"/>
      <c r="BW762" s="281" t="s">
        <v>1</v>
      </c>
      <c r="BX762" s="279" t="s">
        <v>1</v>
      </c>
    </row>
    <row r="763" spans="1:76">
      <c r="A763" s="459">
        <v>45869</v>
      </c>
      <c r="B763" s="345">
        <v>0.33333333333333398</v>
      </c>
      <c r="C763" s="305">
        <v>31</v>
      </c>
      <c r="D763" s="306" t="s">
        <v>150</v>
      </c>
      <c r="E763" s="285">
        <v>14</v>
      </c>
      <c r="F763" s="286">
        <v>69.260000000000005</v>
      </c>
      <c r="G763" s="287" t="str" cm="1">
        <f t="array" aca="1" ref="G763" ca="1">INDIRECT("'"&amp;$C763&amp;"'!"&amp;"$"&amp;$D763&amp;$E$1&amp;"")</f>
        <v>CMS</v>
      </c>
      <c r="H763" s="288" t="s">
        <v>1</v>
      </c>
      <c r="I763" s="286" t="s">
        <v>1</v>
      </c>
      <c r="J763" s="287" cm="1">
        <f t="array" aca="1" ref="J763" ca="1">INDIRECT("'"&amp;$C763&amp;"'!"&amp;"$"&amp;$D763&amp;$J$1&amp;"")</f>
        <v>6.5</v>
      </c>
      <c r="K763" s="288"/>
      <c r="L763" s="288">
        <v>0.95</v>
      </c>
      <c r="M763" s="289">
        <v>2.16</v>
      </c>
      <c r="N763" s="285" cm="1">
        <f t="array" aca="1" ref="N763" ca="1">INDIRECT("'"&amp;$C763&amp;"'!"&amp;"$"&amp;$D763&amp;$N$1&amp;"")</f>
        <v>5.9</v>
      </c>
      <c r="O763" s="288"/>
      <c r="P763" s="288">
        <v>0.94</v>
      </c>
      <c r="Q763" s="286">
        <v>2.19</v>
      </c>
      <c r="R763" s="285" cm="1">
        <f t="array" aca="1" ref="R763" ca="1">INDIRECT("'"&amp;$C763&amp;"'!"&amp;"$"&amp;$D763&amp;$R$1&amp;"")</f>
        <v>6.5</v>
      </c>
      <c r="S763" s="288"/>
      <c r="T763" s="288">
        <v>0.95</v>
      </c>
      <c r="U763" s="286">
        <v>2.1800000000000002</v>
      </c>
      <c r="V763" s="287" cm="1">
        <f t="array" aca="1" ref="V763" ca="1">INDIRECT("'"&amp;$C763&amp;"'!"&amp;"$"&amp;$D763&amp;$V$1&amp;"")</f>
        <v>0</v>
      </c>
      <c r="W763" s="288" t="s">
        <v>1</v>
      </c>
      <c r="X763" s="288" t="s">
        <v>1</v>
      </c>
      <c r="Y763" s="289" t="s">
        <v>1</v>
      </c>
      <c r="Z763" s="285" cm="1">
        <f t="array" aca="1" ref="Z763" ca="1">INDIRECT("'"&amp;$C763&amp;"'!"&amp;"$"&amp;$D763&amp;$Z$1&amp;"")</f>
        <v>0</v>
      </c>
      <c r="AA763" s="288" t="s">
        <v>1</v>
      </c>
      <c r="AB763" s="288" t="s">
        <v>1</v>
      </c>
      <c r="AC763" s="286" t="s">
        <v>1</v>
      </c>
      <c r="AD763" s="287" t="str" cm="1">
        <f t="array" aca="1" ref="AD763" ca="1">INDIRECT("'"&amp;$C763&amp;"'!"&amp;"$"&amp;$D763&amp;$AD$1&amp;"")</f>
        <v>CMS</v>
      </c>
      <c r="AE763" s="288" t="s">
        <v>1</v>
      </c>
      <c r="AF763" s="288" t="s">
        <v>1</v>
      </c>
      <c r="AG763" s="289" t="s">
        <v>1</v>
      </c>
      <c r="AH763" s="285" cm="1">
        <f t="array" aca="1" ref="AH763" ca="1">INDIRECT("'"&amp;$C763&amp;"'!"&amp;"$"&amp;$D763&amp;$AH$1&amp;"")</f>
        <v>0</v>
      </c>
      <c r="AI763" s="288" t="s">
        <v>1</v>
      </c>
      <c r="AJ763" s="288" t="s">
        <v>1</v>
      </c>
      <c r="AK763" s="286" t="s">
        <v>1</v>
      </c>
      <c r="AL763" s="285">
        <v>11.6</v>
      </c>
      <c r="AM763" s="289">
        <v>70.7</v>
      </c>
      <c r="AN763" s="285" cm="1">
        <f t="array" aca="1" ref="AN763" ca="1">INDIRECT("'"&amp;$C763&amp;"'!"&amp;"$"&amp;$D763&amp;$AL$1&amp;"")</f>
        <v>3.8</v>
      </c>
      <c r="AO763" s="288">
        <v>0.96</v>
      </c>
      <c r="AP763" s="286">
        <v>0.99</v>
      </c>
      <c r="AQ763" s="287" cm="1">
        <f t="array" aca="1" ref="AQ763" ca="1">INDIRECT("'"&amp;$C763&amp;"'!"&amp;"$"&amp;$D763&amp;$AQ$1&amp;"")</f>
        <v>0</v>
      </c>
      <c r="AR763" s="288" t="s">
        <v>1</v>
      </c>
      <c r="AS763" s="286" t="s">
        <v>1</v>
      </c>
      <c r="AT763" s="285">
        <v>13.93</v>
      </c>
      <c r="AU763" s="289">
        <v>70.5</v>
      </c>
      <c r="AV763" s="288" cm="1">
        <f t="array" aca="1" ref="AV763" ca="1">INDIRECT("'"&amp;$C763&amp;"'!"&amp;"$"&amp;$D763&amp;$AV$1&amp;"")</f>
        <v>0</v>
      </c>
      <c r="AW763" s="287" t="s">
        <v>1</v>
      </c>
      <c r="AX763" s="288" t="s">
        <v>1</v>
      </c>
      <c r="AY763" s="286" t="s">
        <v>1</v>
      </c>
      <c r="AZ763" s="288" cm="1">
        <f t="array" aca="1" ref="AZ763" ca="1">INDIRECT("'"&amp;$C763&amp;"'!"&amp;"$"&amp;$D763&amp;$AZ$1&amp;"")</f>
        <v>7</v>
      </c>
      <c r="BA763" s="287" t="s">
        <v>1</v>
      </c>
      <c r="BB763" s="288">
        <v>0.96</v>
      </c>
      <c r="BC763" s="286">
        <v>2</v>
      </c>
      <c r="BD763" s="290">
        <v>14.07</v>
      </c>
      <c r="BE763" s="289">
        <v>71.3</v>
      </c>
      <c r="BF763" s="290" cm="1">
        <f t="array" aca="1" ref="BF763" ca="1">INDIRECT("'"&amp;$C763&amp;"'!"&amp;"$"&amp;$D763&amp;$BF$1&amp;"")</f>
        <v>14.25</v>
      </c>
      <c r="BG763" s="288">
        <v>0.99</v>
      </c>
      <c r="BH763" s="286">
        <v>2.2599999999999998</v>
      </c>
      <c r="BI763" s="525">
        <v>68</v>
      </c>
      <c r="BJ763" s="285" cm="1">
        <f t="array" aca="1" ref="BJ763" ca="1">INDIRECT("'"&amp;$C763&amp;"'!"&amp;"$"&amp;$D763&amp;$BI$1&amp;"")</f>
        <v>0</v>
      </c>
      <c r="BK763" s="287" t="s">
        <v>1</v>
      </c>
      <c r="BL763" s="286" t="s">
        <v>1</v>
      </c>
      <c r="BM763" s="290" cm="1">
        <f t="array" aca="1" ref="BM763" ca="1">INDIRECT("'"&amp;$C763&amp;"'!"&amp;"$"&amp;$D763&amp;$BM$1&amp;"")</f>
        <v>1.24</v>
      </c>
      <c r="BN763" s="288"/>
      <c r="BO763" s="288">
        <v>0.99</v>
      </c>
      <c r="BP763" s="286">
        <v>0.17</v>
      </c>
      <c r="BQ763" s="291" cm="1">
        <f t="array" aca="1" ref="BQ763" ca="1">INDIRECT("'"&amp;$C763&amp;"'!"&amp;"$"&amp;$D763&amp;$BQ$1&amp;"")</f>
        <v>0.82</v>
      </c>
      <c r="BR763" s="288"/>
      <c r="BS763" s="288">
        <v>0.96</v>
      </c>
      <c r="BT763" s="286">
        <v>0.24</v>
      </c>
      <c r="BU763" s="291" cm="1">
        <f t="array" aca="1" ref="BU763" ca="1">INDIRECT("'"&amp;$C763&amp;"'!"&amp;"$"&amp;$D763&amp;74&amp;"")</f>
        <v>0</v>
      </c>
      <c r="BV763" s="288"/>
      <c r="BW763" s="288" t="s">
        <v>1</v>
      </c>
      <c r="BX763" s="286" t="s">
        <v>1</v>
      </c>
    </row>
    <row r="764" spans="1:76">
      <c r="A764" s="459">
        <v>45869</v>
      </c>
      <c r="B764" s="345">
        <v>0.375</v>
      </c>
      <c r="C764" s="305">
        <v>31</v>
      </c>
      <c r="D764" s="306" t="s">
        <v>151</v>
      </c>
      <c r="E764" s="278">
        <v>14.2</v>
      </c>
      <c r="F764" s="279">
        <v>69.55</v>
      </c>
      <c r="G764" s="280" t="str" cm="1">
        <f t="array" aca="1" ref="G764" ca="1">INDIRECT("'"&amp;$C764&amp;"'!"&amp;"$"&amp;$D764&amp;$E$1&amp;"")</f>
        <v>CMS</v>
      </c>
      <c r="H764" s="281" t="s">
        <v>1</v>
      </c>
      <c r="I764" s="279" t="s">
        <v>1</v>
      </c>
      <c r="J764" s="280" cm="1">
        <f t="array" aca="1" ref="J764" ca="1">INDIRECT("'"&amp;$C764&amp;"'!"&amp;"$"&amp;$D764&amp;$J$1&amp;"")</f>
        <v>6.8</v>
      </c>
      <c r="K764" s="281"/>
      <c r="L764" s="281">
        <v>0.93</v>
      </c>
      <c r="M764" s="282">
        <v>2.62</v>
      </c>
      <c r="N764" s="278" cm="1">
        <f t="array" aca="1" ref="N764" ca="1">INDIRECT("'"&amp;$C764&amp;"'!"&amp;"$"&amp;$D764&amp;$N$1&amp;"")</f>
        <v>6.8</v>
      </c>
      <c r="O764" s="281"/>
      <c r="P764" s="281">
        <v>0.93</v>
      </c>
      <c r="Q764" s="279">
        <v>2.69</v>
      </c>
      <c r="R764" s="468" cm="1">
        <f t="array" aca="1" ref="R764" ca="1">INDIRECT("'"&amp;$C764&amp;"'!"&amp;"$"&amp;$D764&amp;$R$1&amp;"")</f>
        <v>6.8</v>
      </c>
      <c r="S764" s="281"/>
      <c r="T764" s="281">
        <v>0.93</v>
      </c>
      <c r="U764" s="279">
        <v>2.65</v>
      </c>
      <c r="V764" s="280" cm="1">
        <f t="array" aca="1" ref="V764" ca="1">INDIRECT("'"&amp;$C764&amp;"'!"&amp;"$"&amp;$D764&amp;$V$1&amp;"")</f>
        <v>2.8</v>
      </c>
      <c r="W764" s="281">
        <f>3.8*3.49</f>
        <v>13.262</v>
      </c>
      <c r="X764" s="281">
        <v>0.95</v>
      </c>
      <c r="Y764" s="282">
        <v>0.84</v>
      </c>
      <c r="Z764" s="278" cm="1">
        <f t="array" aca="1" ref="Z764" ca="1">INDIRECT("'"&amp;$C764&amp;"'!"&amp;"$"&amp;$D764&amp;$Z$1&amp;"")</f>
        <v>3.5</v>
      </c>
      <c r="AA764" s="281">
        <v>13.26</v>
      </c>
      <c r="AB764" s="281">
        <v>0.95</v>
      </c>
      <c r="AC764" s="279">
        <v>1.06</v>
      </c>
      <c r="AD764" s="280" t="str" cm="1">
        <f t="array" aca="1" ref="AD764" ca="1">INDIRECT("'"&amp;$C764&amp;"'!"&amp;"$"&amp;$D764&amp;$AD$1&amp;"")</f>
        <v>CMS</v>
      </c>
      <c r="AE764" s="281" t="s">
        <v>1</v>
      </c>
      <c r="AF764" s="281" t="s">
        <v>1</v>
      </c>
      <c r="AG764" s="282" t="s">
        <v>1</v>
      </c>
      <c r="AH764" s="278" t="str" cm="1">
        <f t="array" aca="1" ref="AH764" ca="1">INDIRECT("'"&amp;$C764&amp;"'!"&amp;"$"&amp;$D764&amp;$AH$1&amp;"")</f>
        <v>CMS</v>
      </c>
      <c r="AI764" s="281" t="s">
        <v>1</v>
      </c>
      <c r="AJ764" s="281" t="s">
        <v>1</v>
      </c>
      <c r="AK764" s="279" t="s">
        <v>1</v>
      </c>
      <c r="AL764" s="278">
        <v>11.6</v>
      </c>
      <c r="AM764" s="282">
        <v>70.08</v>
      </c>
      <c r="AN764" s="278" cm="1">
        <f t="array" aca="1" ref="AN764" ca="1">INDIRECT("'"&amp;$C764&amp;"'!"&amp;"$"&amp;$D764&amp;$AL$1&amp;"")</f>
        <v>4</v>
      </c>
      <c r="AO764" s="281">
        <v>0.96</v>
      </c>
      <c r="AP764" s="279">
        <v>0.96</v>
      </c>
      <c r="AQ764" s="280" cm="1">
        <f t="array" aca="1" ref="AQ764" ca="1">INDIRECT("'"&amp;$C764&amp;"'!"&amp;"$"&amp;$D764&amp;$AQ$1&amp;"")</f>
        <v>0</v>
      </c>
      <c r="AR764" s="281" t="s">
        <v>1</v>
      </c>
      <c r="AS764" s="279" t="s">
        <v>1</v>
      </c>
      <c r="AT764" s="278">
        <v>14</v>
      </c>
      <c r="AU764" s="282">
        <v>70.599999999999994</v>
      </c>
      <c r="AV764" s="281" cm="1">
        <f t="array" aca="1" ref="AV764" ca="1">INDIRECT("'"&amp;$C764&amp;"'!"&amp;"$"&amp;$D764&amp;$AV$1&amp;"")</f>
        <v>0</v>
      </c>
      <c r="AW764" s="280" t="s">
        <v>1</v>
      </c>
      <c r="AX764" s="281" t="s">
        <v>1</v>
      </c>
      <c r="AY764" s="279" t="s">
        <v>1</v>
      </c>
      <c r="AZ764" s="281" cm="1">
        <f t="array" aca="1" ref="AZ764" ca="1">INDIRECT("'"&amp;$C764&amp;"'!"&amp;"$"&amp;$D764&amp;$AZ$1&amp;"")</f>
        <v>7.2</v>
      </c>
      <c r="BA764" s="280" t="s">
        <v>1</v>
      </c>
      <c r="BB764" s="281">
        <v>0.96</v>
      </c>
      <c r="BC764" s="279">
        <v>2</v>
      </c>
      <c r="BD764" s="283">
        <v>14.25</v>
      </c>
      <c r="BE764" s="282">
        <v>71.56</v>
      </c>
      <c r="BF764" s="283" cm="1">
        <f t="array" aca="1" ref="BF764" ca="1">INDIRECT("'"&amp;$C764&amp;"'!"&amp;"$"&amp;$D764&amp;$BF$1&amp;"")</f>
        <v>14.26</v>
      </c>
      <c r="BG764" s="281">
        <v>0.98</v>
      </c>
      <c r="BH764" s="279">
        <v>3.4</v>
      </c>
      <c r="BI764" s="524">
        <v>68.3</v>
      </c>
      <c r="BJ764" s="278" cm="1">
        <f t="array" aca="1" ref="BJ764" ca="1">INDIRECT("'"&amp;$C764&amp;"'!"&amp;"$"&amp;$D764&amp;$BI$1&amp;"")</f>
        <v>2.2999999999999998</v>
      </c>
      <c r="BK764" s="280">
        <v>0.96</v>
      </c>
      <c r="BL764" s="279">
        <v>0.64</v>
      </c>
      <c r="BM764" s="283" cm="1">
        <f t="array" aca="1" ref="BM764" ca="1">INDIRECT("'"&amp;$C764&amp;"'!"&amp;"$"&amp;$D764&amp;$BM$1&amp;"")</f>
        <v>1.4</v>
      </c>
      <c r="BN764" s="281"/>
      <c r="BO764" s="281">
        <v>0.99</v>
      </c>
      <c r="BP764" s="279">
        <v>0.18</v>
      </c>
      <c r="BQ764" s="284" cm="1">
        <f t="array" aca="1" ref="BQ764" ca="1">INDIRECT("'"&amp;$C764&amp;"'!"&amp;"$"&amp;$D764&amp;$BQ$1&amp;"")</f>
        <v>0.86</v>
      </c>
      <c r="BR764" s="281"/>
      <c r="BS764" s="281">
        <v>0.96</v>
      </c>
      <c r="BT764" s="279">
        <v>0.24</v>
      </c>
      <c r="BU764" s="284" cm="1">
        <f t="array" aca="1" ref="BU764" ca="1">INDIRECT("'"&amp;$C764&amp;"'!"&amp;"$"&amp;$D764&amp;74&amp;"")</f>
        <v>0</v>
      </c>
      <c r="BV764" s="281"/>
      <c r="BW764" s="281" t="s">
        <v>1</v>
      </c>
      <c r="BX764" s="279" t="s">
        <v>1</v>
      </c>
    </row>
    <row r="765" spans="1:76">
      <c r="A765" s="459">
        <v>45869</v>
      </c>
      <c r="B765" s="345">
        <v>0.41666666666666702</v>
      </c>
      <c r="C765" s="305">
        <v>31</v>
      </c>
      <c r="D765" s="306" t="s">
        <v>152</v>
      </c>
      <c r="E765" s="285">
        <v>14.2</v>
      </c>
      <c r="F765" s="286">
        <v>69.150000000000006</v>
      </c>
      <c r="G765" s="287" t="str" cm="1">
        <f t="array" aca="1" ref="G765" ca="1">INDIRECT("'"&amp;$C765&amp;"'!"&amp;"$"&amp;$D765&amp;$E$1&amp;"")</f>
        <v>CMS</v>
      </c>
      <c r="H765" s="288" t="s">
        <v>1</v>
      </c>
      <c r="I765" s="286" t="s">
        <v>1</v>
      </c>
      <c r="J765" s="287" cm="1">
        <f t="array" aca="1" ref="J765" ca="1">INDIRECT("'"&amp;$C765&amp;"'!"&amp;"$"&amp;$D765&amp;$J$1&amp;"")</f>
        <v>6.6</v>
      </c>
      <c r="K765" s="288"/>
      <c r="L765" s="288">
        <v>0.93</v>
      </c>
      <c r="M765" s="289">
        <v>2.6</v>
      </c>
      <c r="N765" s="285" cm="1">
        <f t="array" aca="1" ref="N765" ca="1">INDIRECT("'"&amp;$C765&amp;"'!"&amp;"$"&amp;$D765&amp;$N$1&amp;"")</f>
        <v>6.6</v>
      </c>
      <c r="O765" s="288"/>
      <c r="P765" s="288">
        <v>0.9</v>
      </c>
      <c r="Q765" s="286">
        <v>2.61</v>
      </c>
      <c r="R765" s="285" cm="1">
        <f t="array" aca="1" ref="R765" ca="1">INDIRECT("'"&amp;$C765&amp;"'!"&amp;"$"&amp;$D765&amp;$R$1&amp;"")</f>
        <v>6.6</v>
      </c>
      <c r="S765" s="288"/>
      <c r="T765" s="288">
        <v>0.93</v>
      </c>
      <c r="U765" s="286">
        <v>2.61</v>
      </c>
      <c r="V765" s="287" cm="1">
        <f t="array" aca="1" ref="V765" ca="1">INDIRECT("'"&amp;$C765&amp;"'!"&amp;"$"&amp;$D765&amp;$V$1&amp;"")</f>
        <v>2.8</v>
      </c>
      <c r="W765" s="288">
        <f>3.8*3.46</f>
        <v>13.148</v>
      </c>
      <c r="X765" s="288">
        <v>0.89</v>
      </c>
      <c r="Y765" s="289">
        <v>1.59</v>
      </c>
      <c r="Z765" s="285" cm="1">
        <f t="array" aca="1" ref="Z765" ca="1">INDIRECT("'"&amp;$C765&amp;"'!"&amp;"$"&amp;$D765&amp;$Z$1&amp;"")</f>
        <v>3.4</v>
      </c>
      <c r="AA765" s="288">
        <v>13.15</v>
      </c>
      <c r="AB765" s="288">
        <v>0.89</v>
      </c>
      <c r="AC765" s="286">
        <v>1.59</v>
      </c>
      <c r="AD765" s="287" t="str" cm="1">
        <f t="array" aca="1" ref="AD765" ca="1">INDIRECT("'"&amp;$C765&amp;"'!"&amp;"$"&amp;$D765&amp;$AD$1&amp;"")</f>
        <v>CMS</v>
      </c>
      <c r="AE765" s="288" t="s">
        <v>1</v>
      </c>
      <c r="AF765" s="288" t="s">
        <v>1</v>
      </c>
      <c r="AG765" s="289" t="s">
        <v>1</v>
      </c>
      <c r="AH765" s="285" cm="1">
        <f t="array" aca="1" ref="AH765" ca="1">INDIRECT("'"&amp;$C765&amp;"'!"&amp;"$"&amp;$D765&amp;$AH$1&amp;"")</f>
        <v>3</v>
      </c>
      <c r="AI765" s="288">
        <v>14.08</v>
      </c>
      <c r="AJ765" s="288">
        <v>0.94</v>
      </c>
      <c r="AK765" s="286">
        <v>0.36299999999999999</v>
      </c>
      <c r="AL765" s="285">
        <v>11.6</v>
      </c>
      <c r="AM765" s="289">
        <v>71.3</v>
      </c>
      <c r="AN765" s="285" cm="1">
        <f t="array" aca="1" ref="AN765" ca="1">INDIRECT("'"&amp;$C765&amp;"'!"&amp;"$"&amp;$D765&amp;$AL$1&amp;"")</f>
        <v>4</v>
      </c>
      <c r="AO765" s="288">
        <v>0.96</v>
      </c>
      <c r="AP765" s="286">
        <v>1.2</v>
      </c>
      <c r="AQ765" s="287" cm="1">
        <f t="array" aca="1" ref="AQ765" ca="1">INDIRECT("'"&amp;$C765&amp;"'!"&amp;"$"&amp;$D765&amp;$AQ$1&amp;"")</f>
        <v>0</v>
      </c>
      <c r="AR765" s="288" t="s">
        <v>1</v>
      </c>
      <c r="AS765" s="286" t="s">
        <v>1</v>
      </c>
      <c r="AT765" s="285">
        <v>14</v>
      </c>
      <c r="AU765" s="289">
        <v>70.599999999999994</v>
      </c>
      <c r="AV765" s="288" cm="1">
        <f t="array" aca="1" ref="AV765" ca="1">INDIRECT("'"&amp;$C765&amp;"'!"&amp;"$"&amp;$D765&amp;$AV$1&amp;"")</f>
        <v>2.7</v>
      </c>
      <c r="AW765" s="287" t="s">
        <v>1</v>
      </c>
      <c r="AX765" s="288">
        <v>0.94</v>
      </c>
      <c r="AY765" s="286">
        <v>0.4</v>
      </c>
      <c r="AZ765" s="288" cm="1">
        <f t="array" aca="1" ref="AZ765" ca="1">INDIRECT("'"&amp;$C765&amp;"'!"&amp;"$"&amp;$D765&amp;$AZ$1&amp;"")</f>
        <v>7</v>
      </c>
      <c r="BA765" s="287" t="s">
        <v>1</v>
      </c>
      <c r="BB765" s="288">
        <v>0.91</v>
      </c>
      <c r="BC765" s="286">
        <v>3</v>
      </c>
      <c r="BD765" s="290">
        <v>14.32</v>
      </c>
      <c r="BE765" s="289">
        <v>71.91</v>
      </c>
      <c r="BF765" s="290" cm="1">
        <f t="array" aca="1" ref="BF765" ca="1">INDIRECT("'"&amp;$C765&amp;"'!"&amp;"$"&amp;$D765&amp;$BF$1&amp;"")</f>
        <v>14.29</v>
      </c>
      <c r="BG765" s="288">
        <v>0.98</v>
      </c>
      <c r="BH765" s="286">
        <v>3.3</v>
      </c>
      <c r="BI765" s="525">
        <v>68.099999999999994</v>
      </c>
      <c r="BJ765" s="285" cm="1">
        <f t="array" aca="1" ref="BJ765" ca="1">INDIRECT("'"&amp;$C765&amp;"'!"&amp;"$"&amp;$D765&amp;$BI$1&amp;"")</f>
        <v>1.5</v>
      </c>
      <c r="BK765" s="287">
        <v>0.96</v>
      </c>
      <c r="BL765" s="286">
        <v>0.42</v>
      </c>
      <c r="BM765" s="290" cm="1">
        <f t="array" aca="1" ref="BM765" ca="1">INDIRECT("'"&amp;$C765&amp;"'!"&amp;"$"&amp;$D765&amp;$BM$1&amp;"")</f>
        <v>1.48</v>
      </c>
      <c r="BN765" s="288"/>
      <c r="BO765" s="288">
        <v>0.99</v>
      </c>
      <c r="BP765" s="286">
        <v>0.2</v>
      </c>
      <c r="BQ765" s="291" cm="1">
        <f t="array" aca="1" ref="BQ765" ca="1">INDIRECT("'"&amp;$C765&amp;"'!"&amp;"$"&amp;$D765&amp;$BQ$1&amp;"")</f>
        <v>0.9</v>
      </c>
      <c r="BR765" s="288"/>
      <c r="BS765" s="288">
        <v>0.96</v>
      </c>
      <c r="BT765" s="286">
        <v>0.25</v>
      </c>
      <c r="BU765" s="291" cm="1">
        <f t="array" aca="1" ref="BU765" ca="1">INDIRECT("'"&amp;$C765&amp;"'!"&amp;"$"&amp;$D765&amp;74&amp;"")</f>
        <v>0</v>
      </c>
      <c r="BV765" s="288"/>
      <c r="BW765" s="288" t="s">
        <v>1</v>
      </c>
      <c r="BX765" s="286" t="s">
        <v>1</v>
      </c>
    </row>
    <row r="766" spans="1:76">
      <c r="A766" s="459">
        <v>45869</v>
      </c>
      <c r="B766" s="345">
        <v>0.45833333333333398</v>
      </c>
      <c r="C766" s="305">
        <v>31</v>
      </c>
      <c r="D766" s="306" t="s">
        <v>153</v>
      </c>
      <c r="E766" s="278">
        <v>14.2</v>
      </c>
      <c r="F766" s="279">
        <v>69.55</v>
      </c>
      <c r="G766" s="280" t="str" cm="1">
        <f t="array" aca="1" ref="G766" ca="1">INDIRECT("'"&amp;$C766&amp;"'!"&amp;"$"&amp;$D766&amp;$E$1&amp;"")</f>
        <v>CMS</v>
      </c>
      <c r="H766" s="281" t="s">
        <v>1</v>
      </c>
      <c r="I766" s="279" t="s">
        <v>1</v>
      </c>
      <c r="J766" s="280" cm="1">
        <f t="array" aca="1" ref="J766" ca="1">INDIRECT("'"&amp;$C766&amp;"'!"&amp;"$"&amp;$D766&amp;$J$1&amp;"")</f>
        <v>6.7</v>
      </c>
      <c r="K766" s="281"/>
      <c r="L766" s="281">
        <v>0.92</v>
      </c>
      <c r="M766" s="282">
        <v>2.96</v>
      </c>
      <c r="N766" s="278" cm="1">
        <f t="array" aca="1" ref="N766" ca="1">INDIRECT("'"&amp;$C766&amp;"'!"&amp;"$"&amp;$D766&amp;$N$1&amp;"")</f>
        <v>6.7</v>
      </c>
      <c r="O766" s="281"/>
      <c r="P766" s="281">
        <v>0.92</v>
      </c>
      <c r="Q766" s="279">
        <v>2.93</v>
      </c>
      <c r="R766" s="468" cm="1">
        <f t="array" aca="1" ref="R766" ca="1">INDIRECT("'"&amp;$C766&amp;"'!"&amp;"$"&amp;$D766&amp;$R$1&amp;"")</f>
        <v>6.7</v>
      </c>
      <c r="S766" s="281"/>
      <c r="T766" s="281">
        <v>0.92</v>
      </c>
      <c r="U766" s="279">
        <v>2.97</v>
      </c>
      <c r="V766" s="280" cm="1">
        <f t="array" aca="1" ref="V766" ca="1">INDIRECT("'"&amp;$C766&amp;"'!"&amp;"$"&amp;$D766&amp;$V$1&amp;"")</f>
        <v>2.8</v>
      </c>
      <c r="W766" s="281">
        <f>3.8*3.47</f>
        <v>13.186</v>
      </c>
      <c r="X766" s="281">
        <v>0.89</v>
      </c>
      <c r="Y766" s="282">
        <v>1.3660000000000001</v>
      </c>
      <c r="Z766" s="278" cm="1">
        <f t="array" aca="1" ref="Z766" ca="1">INDIRECT("'"&amp;$C766&amp;"'!"&amp;"$"&amp;$D766&amp;$Z$1&amp;"")</f>
        <v>3.5</v>
      </c>
      <c r="AA766" s="281">
        <v>13.19</v>
      </c>
      <c r="AB766" s="281">
        <v>0.89</v>
      </c>
      <c r="AC766" s="279">
        <v>1.6</v>
      </c>
      <c r="AD766" s="280" t="str" cm="1">
        <f t="array" aca="1" ref="AD766" ca="1">INDIRECT("'"&amp;$C766&amp;"'!"&amp;"$"&amp;$D766&amp;$AD$1&amp;"")</f>
        <v>CMS</v>
      </c>
      <c r="AE766" s="281" t="s">
        <v>1</v>
      </c>
      <c r="AF766" s="281" t="s">
        <v>1</v>
      </c>
      <c r="AG766" s="282" t="s">
        <v>1</v>
      </c>
      <c r="AH766" s="278" cm="1">
        <f t="array" aca="1" ref="AH766" ca="1">INDIRECT("'"&amp;$C766&amp;"'!"&amp;"$"&amp;$D766&amp;$AH$1&amp;"")</f>
        <v>3.8</v>
      </c>
      <c r="AI766" s="281">
        <v>14.08</v>
      </c>
      <c r="AJ766" s="281">
        <v>0.99</v>
      </c>
      <c r="AK766" s="279">
        <v>0.34899999999999998</v>
      </c>
      <c r="AL766" s="278">
        <v>11.6</v>
      </c>
      <c r="AM766" s="282">
        <v>71.2</v>
      </c>
      <c r="AN766" s="278" cm="1">
        <f t="array" aca="1" ref="AN766" ca="1">INDIRECT("'"&amp;$C766&amp;"'!"&amp;"$"&amp;$D766&amp;$AL$1&amp;"")</f>
        <v>3.8</v>
      </c>
      <c r="AO766" s="281">
        <v>0.96</v>
      </c>
      <c r="AP766" s="279">
        <v>1.2</v>
      </c>
      <c r="AQ766" s="280" cm="1">
        <f t="array" aca="1" ref="AQ766" ca="1">INDIRECT("'"&amp;$C766&amp;"'!"&amp;"$"&amp;$D766&amp;$AQ$1&amp;"")</f>
        <v>0</v>
      </c>
      <c r="AR766" s="281" t="s">
        <v>1</v>
      </c>
      <c r="AS766" s="279" t="s">
        <v>1</v>
      </c>
      <c r="AT766" s="278">
        <v>14</v>
      </c>
      <c r="AU766" s="282">
        <v>70.599999999999994</v>
      </c>
      <c r="AV766" s="281" cm="1">
        <f t="array" aca="1" ref="AV766" ca="1">INDIRECT("'"&amp;$C766&amp;"'!"&amp;"$"&amp;$D766&amp;$AV$1&amp;"")</f>
        <v>3.2</v>
      </c>
      <c r="AW766" s="280" t="s">
        <v>1</v>
      </c>
      <c r="AX766" s="281">
        <v>0.93</v>
      </c>
      <c r="AY766" s="279">
        <v>0.8</v>
      </c>
      <c r="AZ766" s="281" cm="1">
        <f t="array" aca="1" ref="AZ766" ca="1">INDIRECT("'"&amp;$C766&amp;"'!"&amp;"$"&amp;$D766&amp;$AZ$1&amp;"")</f>
        <v>7</v>
      </c>
      <c r="BA766" s="280" t="s">
        <v>1</v>
      </c>
      <c r="BB766" s="281">
        <v>0.92</v>
      </c>
      <c r="BC766" s="279">
        <v>2.9</v>
      </c>
      <c r="BD766" s="283">
        <v>14.32</v>
      </c>
      <c r="BE766" s="282">
        <v>71.13</v>
      </c>
      <c r="BF766" s="283" cm="1">
        <f t="array" aca="1" ref="BF766" ca="1">INDIRECT("'"&amp;$C766&amp;"'!"&amp;"$"&amp;$D766&amp;$BF$1&amp;"")</f>
        <v>14.25</v>
      </c>
      <c r="BG766" s="281">
        <v>0.98</v>
      </c>
      <c r="BH766" s="279">
        <v>3.3</v>
      </c>
      <c r="BI766" s="524">
        <v>68.3</v>
      </c>
      <c r="BJ766" s="278" cm="1">
        <f t="array" aca="1" ref="BJ766" ca="1">INDIRECT("'"&amp;$C766&amp;"'!"&amp;"$"&amp;$D766&amp;$BI$1&amp;"")</f>
        <v>3.1</v>
      </c>
      <c r="BK766" s="280">
        <v>0.96</v>
      </c>
      <c r="BL766" s="279">
        <v>0.9</v>
      </c>
      <c r="BM766" s="283" cm="1">
        <f t="array" aca="1" ref="BM766" ca="1">INDIRECT("'"&amp;$C766&amp;"'!"&amp;"$"&amp;$D766&amp;$BM$1&amp;"")</f>
        <v>1.53</v>
      </c>
      <c r="BN766" s="281"/>
      <c r="BO766" s="281">
        <v>0.99</v>
      </c>
      <c r="BP766" s="279">
        <v>0.22</v>
      </c>
      <c r="BQ766" s="284" cm="1">
        <f t="array" aca="1" ref="BQ766" ca="1">INDIRECT("'"&amp;$C766&amp;"'!"&amp;"$"&amp;$D766&amp;$BQ$1&amp;"")</f>
        <v>0.91</v>
      </c>
      <c r="BR766" s="281"/>
      <c r="BS766" s="281">
        <v>0.96</v>
      </c>
      <c r="BT766" s="279">
        <v>0.21</v>
      </c>
      <c r="BU766" s="284" cm="1">
        <f t="array" aca="1" ref="BU766" ca="1">INDIRECT("'"&amp;$C766&amp;"'!"&amp;"$"&amp;$D766&amp;74&amp;"")</f>
        <v>0</v>
      </c>
      <c r="BV766" s="281"/>
      <c r="BW766" s="281" t="s">
        <v>1</v>
      </c>
      <c r="BX766" s="279" t="s">
        <v>1</v>
      </c>
    </row>
    <row r="767" spans="1:76">
      <c r="A767" s="459">
        <v>45869</v>
      </c>
      <c r="B767" s="345">
        <v>0.5</v>
      </c>
      <c r="C767" s="305">
        <v>31</v>
      </c>
      <c r="D767" s="306" t="s">
        <v>154</v>
      </c>
      <c r="E767" s="285">
        <v>14.3</v>
      </c>
      <c r="F767" s="286">
        <v>69.63</v>
      </c>
      <c r="G767" s="287" t="str" cm="1">
        <f t="array" aca="1" ref="G767" ca="1">INDIRECT("'"&amp;$C767&amp;"'!"&amp;"$"&amp;$D767&amp;$E$1&amp;"")</f>
        <v>CMS</v>
      </c>
      <c r="H767" s="288" t="s">
        <v>1</v>
      </c>
      <c r="I767" s="286" t="s">
        <v>1</v>
      </c>
      <c r="J767" s="287" cm="1">
        <f t="array" aca="1" ref="J767" ca="1">INDIRECT("'"&amp;$C767&amp;"'!"&amp;"$"&amp;$D767&amp;$J$1&amp;"")</f>
        <v>6.7</v>
      </c>
      <c r="K767" s="288"/>
      <c r="L767" s="288">
        <v>0.93</v>
      </c>
      <c r="M767" s="289">
        <v>2.67</v>
      </c>
      <c r="N767" s="285" cm="1">
        <f t="array" aca="1" ref="N767" ca="1">INDIRECT("'"&amp;$C767&amp;"'!"&amp;"$"&amp;$D767&amp;$N$1&amp;"")</f>
        <v>6.7</v>
      </c>
      <c r="O767" s="288"/>
      <c r="P767" s="288">
        <v>0.93</v>
      </c>
      <c r="Q767" s="289">
        <v>2.6</v>
      </c>
      <c r="R767" s="285" cm="1">
        <f t="array" aca="1" ref="R767" ca="1">INDIRECT("'"&amp;$C767&amp;"'!"&amp;"$"&amp;$D767&amp;$R$1&amp;"")</f>
        <v>6.7</v>
      </c>
      <c r="S767" s="288"/>
      <c r="T767" s="288">
        <v>0.93</v>
      </c>
      <c r="U767" s="286">
        <v>2.65</v>
      </c>
      <c r="V767" s="287" cm="1">
        <f t="array" aca="1" ref="V767" ca="1">INDIRECT("'"&amp;$C767&amp;"'!"&amp;"$"&amp;$D767&amp;$V$1&amp;"")</f>
        <v>2.8</v>
      </c>
      <c r="W767" s="288">
        <f>3.8*3.47</f>
        <v>13.186</v>
      </c>
      <c r="X767" s="288">
        <v>0.9</v>
      </c>
      <c r="Y767" s="289">
        <v>1.28</v>
      </c>
      <c r="Z767" s="285" cm="1">
        <f t="array" aca="1" ref="Z767" ca="1">INDIRECT("'"&amp;$C767&amp;"'!"&amp;"$"&amp;$D767&amp;$Z$1&amp;"")</f>
        <v>3.4</v>
      </c>
      <c r="AA767" s="288">
        <v>13.19</v>
      </c>
      <c r="AB767" s="288">
        <v>0.9</v>
      </c>
      <c r="AC767" s="286">
        <v>1.51</v>
      </c>
      <c r="AD767" s="287" t="str" cm="1">
        <f t="array" aca="1" ref="AD767" ca="1">INDIRECT("'"&amp;$C767&amp;"'!"&amp;"$"&amp;$D767&amp;$AD$1&amp;"")</f>
        <v>CMS</v>
      </c>
      <c r="AE767" s="288" t="s">
        <v>1</v>
      </c>
      <c r="AF767" s="288" t="s">
        <v>1</v>
      </c>
      <c r="AG767" s="289" t="s">
        <v>1</v>
      </c>
      <c r="AH767" s="285" cm="1">
        <f t="array" aca="1" ref="AH767" ca="1">INDIRECT("'"&amp;$C767&amp;"'!"&amp;"$"&amp;$D767&amp;$AH$1&amp;"")</f>
        <v>3.8</v>
      </c>
      <c r="AI767" s="288">
        <v>14.12</v>
      </c>
      <c r="AJ767" s="288">
        <v>0.97</v>
      </c>
      <c r="AK767" s="286">
        <v>0.84899999999999998</v>
      </c>
      <c r="AL767" s="285">
        <v>11.7</v>
      </c>
      <c r="AM767" s="289">
        <v>71.599999999999994</v>
      </c>
      <c r="AN767" s="285" cm="1">
        <f t="array" aca="1" ref="AN767" ca="1">INDIRECT("'"&amp;$C767&amp;"'!"&amp;"$"&amp;$D767&amp;$AL$1&amp;"")</f>
        <v>3.7</v>
      </c>
      <c r="AO767" s="288">
        <v>0.96</v>
      </c>
      <c r="AP767" s="286">
        <v>1.1000000000000001</v>
      </c>
      <c r="AQ767" s="287" cm="1">
        <f t="array" aca="1" ref="AQ767" ca="1">INDIRECT("'"&amp;$C767&amp;"'!"&amp;"$"&amp;$D767&amp;$AQ$1&amp;"")</f>
        <v>0</v>
      </c>
      <c r="AR767" s="288" t="s">
        <v>1</v>
      </c>
      <c r="AS767" s="286" t="s">
        <v>1</v>
      </c>
      <c r="AT767" s="285">
        <v>14.15</v>
      </c>
      <c r="AU767" s="289">
        <v>70.599999999999994</v>
      </c>
      <c r="AV767" s="288" cm="1">
        <f t="array" aca="1" ref="AV767" ca="1">INDIRECT("'"&amp;$C767&amp;"'!"&amp;"$"&amp;$D767&amp;$AV$1&amp;"")</f>
        <v>2.7</v>
      </c>
      <c r="AW767" s="287" t="s">
        <v>1</v>
      </c>
      <c r="AX767" s="288">
        <v>0.93</v>
      </c>
      <c r="AY767" s="286">
        <v>0.8</v>
      </c>
      <c r="AZ767" s="288" cm="1">
        <f t="array" aca="1" ref="AZ767" ca="1">INDIRECT("'"&amp;$C767&amp;"'!"&amp;"$"&amp;$D767&amp;$AZ$1&amp;"")</f>
        <v>7</v>
      </c>
      <c r="BA767" s="287" t="s">
        <v>1</v>
      </c>
      <c r="BB767" s="288">
        <v>0.96</v>
      </c>
      <c r="BC767" s="286">
        <v>3</v>
      </c>
      <c r="BD767" s="290">
        <v>14.38</v>
      </c>
      <c r="BE767" s="289">
        <v>72.260000000000005</v>
      </c>
      <c r="BF767" s="290" cm="1">
        <f t="array" aca="1" ref="BF767" ca="1">INDIRECT("'"&amp;$C767&amp;"'!"&amp;"$"&amp;$D767&amp;$BF$1&amp;"")</f>
        <v>14.29</v>
      </c>
      <c r="BG767" s="288">
        <v>0.98</v>
      </c>
      <c r="BH767" s="286">
        <v>3.4</v>
      </c>
      <c r="BI767" s="525">
        <v>68.400000000000006</v>
      </c>
      <c r="BJ767" s="285" cm="1">
        <f t="array" aca="1" ref="BJ767" ca="1">INDIRECT("'"&amp;$C767&amp;"'!"&amp;"$"&amp;$D767&amp;$BI$1&amp;"")</f>
        <v>3.1</v>
      </c>
      <c r="BK767" s="287">
        <v>0.96</v>
      </c>
      <c r="BL767" s="286">
        <v>0.89</v>
      </c>
      <c r="BM767" s="290" cm="1">
        <f t="array" aca="1" ref="BM767" ca="1">INDIRECT("'"&amp;$C767&amp;"'!"&amp;"$"&amp;$D767&amp;$BM$1&amp;"")</f>
        <v>1.5699999999999998</v>
      </c>
      <c r="BN767" s="288"/>
      <c r="BO767" s="288">
        <v>0.99</v>
      </c>
      <c r="BP767" s="286">
        <v>0.21</v>
      </c>
      <c r="BQ767" s="291" cm="1">
        <f t="array" aca="1" ref="BQ767" ca="1">INDIRECT("'"&amp;$C767&amp;"'!"&amp;"$"&amp;$D767&amp;$BQ$1&amp;"")</f>
        <v>0.94</v>
      </c>
      <c r="BR767" s="288"/>
      <c r="BS767" s="288">
        <v>0.96</v>
      </c>
      <c r="BT767" s="286">
        <v>0.26</v>
      </c>
      <c r="BU767" s="291" cm="1">
        <f t="array" aca="1" ref="BU767" ca="1">INDIRECT("'"&amp;$C767&amp;"'!"&amp;"$"&amp;$D767&amp;74&amp;"")</f>
        <v>0</v>
      </c>
      <c r="BV767" s="288"/>
      <c r="BW767" s="288" t="s">
        <v>1</v>
      </c>
      <c r="BX767" s="286" t="s">
        <v>1</v>
      </c>
    </row>
    <row r="768" spans="1:76">
      <c r="A768" s="459">
        <v>45869</v>
      </c>
      <c r="B768" s="345">
        <v>0.54166666666666696</v>
      </c>
      <c r="C768" s="305">
        <v>31</v>
      </c>
      <c r="D768" s="306" t="s">
        <v>155</v>
      </c>
      <c r="E768" s="278">
        <v>14.3</v>
      </c>
      <c r="F768" s="279">
        <v>14.3</v>
      </c>
      <c r="G768" s="280" t="str" cm="1">
        <f t="array" aca="1" ref="G768" ca="1">INDIRECT("'"&amp;$C768&amp;"'!"&amp;"$"&amp;$D768&amp;$E$1&amp;"")</f>
        <v>CMS</v>
      </c>
      <c r="H768" s="281" t="s">
        <v>1</v>
      </c>
      <c r="I768" s="279" t="s">
        <v>1</v>
      </c>
      <c r="J768" s="280" cm="1">
        <f t="array" aca="1" ref="J768" ca="1">INDIRECT("'"&amp;$C768&amp;"'!"&amp;"$"&amp;$D768&amp;$J$1&amp;"")</f>
        <v>6.8</v>
      </c>
      <c r="K768" s="281"/>
      <c r="L768" s="281">
        <v>0.92</v>
      </c>
      <c r="M768" s="279">
        <v>2.96</v>
      </c>
      <c r="N768" s="278" cm="1">
        <f t="array" aca="1" ref="N768" ca="1">INDIRECT("'"&amp;$C768&amp;"'!"&amp;"$"&amp;$D768&amp;$N$1&amp;"")</f>
        <v>6.8</v>
      </c>
      <c r="O768" s="281"/>
      <c r="P768" s="281">
        <v>0.9</v>
      </c>
      <c r="Q768" s="279">
        <v>3.28</v>
      </c>
      <c r="R768" s="468" cm="1">
        <f t="array" aca="1" ref="R768" ca="1">INDIRECT("'"&amp;$C768&amp;"'!"&amp;"$"&amp;$D768&amp;$R$1&amp;"")</f>
        <v>6.8</v>
      </c>
      <c r="S768" s="281"/>
      <c r="T768" s="281">
        <v>0.92</v>
      </c>
      <c r="U768" s="279">
        <v>2.93</v>
      </c>
      <c r="V768" s="280" cm="1">
        <f t="array" aca="1" ref="V768" ca="1">INDIRECT("'"&amp;$C768&amp;"'!"&amp;"$"&amp;$D768&amp;$V$1&amp;"")</f>
        <v>2.8</v>
      </c>
      <c r="W768" s="281">
        <f>3.8*3.45</f>
        <v>13.11</v>
      </c>
      <c r="X768" s="281">
        <v>0.9</v>
      </c>
      <c r="Y768" s="282">
        <v>1.24</v>
      </c>
      <c r="Z768" s="278" cm="1">
        <f t="array" aca="1" ref="Z768" ca="1">INDIRECT("'"&amp;$C768&amp;"'!"&amp;"$"&amp;$D768&amp;$Z$1&amp;"")</f>
        <v>3.5</v>
      </c>
      <c r="AA768" s="281">
        <v>13.11</v>
      </c>
      <c r="AB768" s="281">
        <v>0.9</v>
      </c>
      <c r="AC768" s="279">
        <v>1.53</v>
      </c>
      <c r="AD768" s="280" t="str" cm="1">
        <f t="array" aca="1" ref="AD768" ca="1">INDIRECT("'"&amp;$C768&amp;"'!"&amp;"$"&amp;$D768&amp;$AD$1&amp;"")</f>
        <v>CMS</v>
      </c>
      <c r="AE768" s="281" t="s">
        <v>1</v>
      </c>
      <c r="AF768" s="281" t="s">
        <v>1</v>
      </c>
      <c r="AG768" s="282" t="s">
        <v>1</v>
      </c>
      <c r="AH768" s="278" cm="1">
        <f t="array" aca="1" ref="AH768" ca="1">INDIRECT("'"&amp;$C768&amp;"'!"&amp;"$"&amp;$D768&amp;$AH$1&amp;"")</f>
        <v>3.8</v>
      </c>
      <c r="AI768" s="281">
        <v>14.1</v>
      </c>
      <c r="AJ768" s="281">
        <v>0.97</v>
      </c>
      <c r="AK768" s="279">
        <v>0.81899999999999995</v>
      </c>
      <c r="AL768" s="278">
        <v>11.7</v>
      </c>
      <c r="AM768" s="282">
        <v>71.599999999999994</v>
      </c>
      <c r="AN768" s="278" cm="1">
        <f t="array" aca="1" ref="AN768" ca="1">INDIRECT("'"&amp;$C768&amp;"'!"&amp;"$"&amp;$D768&amp;$AL$1&amp;"")</f>
        <v>3.8</v>
      </c>
      <c r="AO768" s="281">
        <v>0.96</v>
      </c>
      <c r="AP768" s="279">
        <v>1.1000000000000001</v>
      </c>
      <c r="AQ768" s="280" cm="1">
        <f t="array" aca="1" ref="AQ768" ca="1">INDIRECT("'"&amp;$C768&amp;"'!"&amp;"$"&amp;$D768&amp;$AQ$1&amp;"")</f>
        <v>0</v>
      </c>
      <c r="AR768" s="281" t="s">
        <v>1</v>
      </c>
      <c r="AS768" s="279" t="s">
        <v>1</v>
      </c>
      <c r="AT768" s="278">
        <v>14.15</v>
      </c>
      <c r="AU768" s="282">
        <v>70.599999999999994</v>
      </c>
      <c r="AV768" s="281" cm="1">
        <f t="array" aca="1" ref="AV768" ca="1">INDIRECT("'"&amp;$C768&amp;"'!"&amp;"$"&amp;$D768&amp;$AV$1&amp;"")</f>
        <v>3.3</v>
      </c>
      <c r="AW768" s="280">
        <v>13.7</v>
      </c>
      <c r="AX768" s="281">
        <v>0.93</v>
      </c>
      <c r="AY768" s="279">
        <v>0.8</v>
      </c>
      <c r="AZ768" s="281" cm="1">
        <f t="array" aca="1" ref="AZ768" ca="1">INDIRECT("'"&amp;$C768&amp;"'!"&amp;"$"&amp;$D768&amp;$AZ$1&amp;"")</f>
        <v>7</v>
      </c>
      <c r="BA768" s="280">
        <v>13.7</v>
      </c>
      <c r="BB768" s="281">
        <v>0.96</v>
      </c>
      <c r="BC768" s="279">
        <v>3</v>
      </c>
      <c r="BD768" s="283">
        <v>14.21</v>
      </c>
      <c r="BE768" s="282">
        <v>71.83</v>
      </c>
      <c r="BF768" s="283" cm="1">
        <f t="array" aca="1" ref="BF768" ca="1">INDIRECT("'"&amp;$C768&amp;"'!"&amp;"$"&amp;$D768&amp;$BF$1&amp;"")</f>
        <v>14.27</v>
      </c>
      <c r="BG768" s="281">
        <v>0.99</v>
      </c>
      <c r="BH768" s="279">
        <v>2.2999999999999998</v>
      </c>
      <c r="BI768" s="524">
        <v>68.2</v>
      </c>
      <c r="BJ768" s="278" cm="1">
        <f t="array" aca="1" ref="BJ768" ca="1">INDIRECT("'"&amp;$C768&amp;"'!"&amp;"$"&amp;$D768&amp;$BI$1&amp;"")</f>
        <v>3.9000000000000004</v>
      </c>
      <c r="BK768" s="280">
        <v>0.96</v>
      </c>
      <c r="BL768" s="279">
        <v>1.1000000000000001</v>
      </c>
      <c r="BM768" s="283" cm="1">
        <f t="array" aca="1" ref="BM768" ca="1">INDIRECT("'"&amp;$C768&amp;"'!"&amp;"$"&amp;$D768&amp;$BM$1&amp;"")</f>
        <v>1.58</v>
      </c>
      <c r="BN768" s="281"/>
      <c r="BO768" s="281">
        <v>0.99</v>
      </c>
      <c r="BP768" s="279">
        <v>0.22</v>
      </c>
      <c r="BQ768" s="284" cm="1">
        <f t="array" aca="1" ref="BQ768" ca="1">INDIRECT("'"&amp;$C768&amp;"'!"&amp;"$"&amp;$D768&amp;$BQ$1&amp;"")</f>
        <v>0.96</v>
      </c>
      <c r="BR768" s="281"/>
      <c r="BS768" s="281">
        <v>0.96</v>
      </c>
      <c r="BT768" s="279">
        <v>0.26</v>
      </c>
      <c r="BU768" s="284" cm="1">
        <f t="array" aca="1" ref="BU768" ca="1">INDIRECT("'"&amp;$C768&amp;"'!"&amp;"$"&amp;$D768&amp;74&amp;"")</f>
        <v>0</v>
      </c>
      <c r="BV768" s="281"/>
      <c r="BW768" s="281" t="s">
        <v>1</v>
      </c>
      <c r="BX768" s="279" t="s">
        <v>1</v>
      </c>
    </row>
    <row r="769" spans="1:76">
      <c r="A769" s="459">
        <v>45869</v>
      </c>
      <c r="B769" s="345">
        <v>0.58333333333333404</v>
      </c>
      <c r="C769" s="305">
        <v>31</v>
      </c>
      <c r="D769" s="306" t="s">
        <v>156</v>
      </c>
      <c r="E769" s="285">
        <v>14.1</v>
      </c>
      <c r="F769" s="286">
        <v>69.31</v>
      </c>
      <c r="G769" s="287" t="str" cm="1">
        <f t="array" aca="1" ref="G769" ca="1">INDIRECT("'"&amp;$C769&amp;"'!"&amp;"$"&amp;$D769&amp;$E$1&amp;"")</f>
        <v>CMS</v>
      </c>
      <c r="H769" s="288" t="s">
        <v>1</v>
      </c>
      <c r="I769" s="286" t="s">
        <v>1</v>
      </c>
      <c r="J769" s="287" cm="1">
        <f t="array" aca="1" ref="J769" ca="1">INDIRECT("'"&amp;$C769&amp;"'!"&amp;"$"&amp;$D769&amp;$J$1&amp;"")</f>
        <v>6.7</v>
      </c>
      <c r="K769" s="288"/>
      <c r="L769" s="288">
        <v>0.92</v>
      </c>
      <c r="M769" s="289">
        <v>2.91</v>
      </c>
      <c r="N769" s="285" cm="1">
        <f t="array" aca="1" ref="N769" ca="1">INDIRECT("'"&amp;$C769&amp;"'!"&amp;"$"&amp;$D769&amp;$N$1&amp;"")</f>
        <v>6.7</v>
      </c>
      <c r="O769" s="288"/>
      <c r="P769" s="288">
        <v>0.92</v>
      </c>
      <c r="Q769" s="286">
        <v>2.92</v>
      </c>
      <c r="R769" s="285" cm="1">
        <f t="array" aca="1" ref="R769" ca="1">INDIRECT("'"&amp;$C769&amp;"'!"&amp;"$"&amp;$D769&amp;$R$1&amp;"")</f>
        <v>6.7</v>
      </c>
      <c r="S769" s="288"/>
      <c r="T769" s="288">
        <v>0.92</v>
      </c>
      <c r="U769" s="286">
        <v>2.91</v>
      </c>
      <c r="V769" s="287" cm="1">
        <f t="array" aca="1" ref="V769" ca="1">INDIRECT("'"&amp;$C769&amp;"'!"&amp;"$"&amp;$D769&amp;$V$1&amp;"")</f>
        <v>2.8</v>
      </c>
      <c r="W769" s="288">
        <f>3.8*3.44</f>
        <v>13.071999999999999</v>
      </c>
      <c r="X769" s="288">
        <v>0.9</v>
      </c>
      <c r="Y769" s="289">
        <v>1.37</v>
      </c>
      <c r="Z769" s="285" cm="1">
        <f t="array" aca="1" ref="Z769" ca="1">INDIRECT("'"&amp;$C769&amp;"'!"&amp;"$"&amp;$D769&amp;$Z$1&amp;"")</f>
        <v>3.5</v>
      </c>
      <c r="AA769" s="288">
        <f>3.8*3.44</f>
        <v>13.071999999999999</v>
      </c>
      <c r="AB769" s="288">
        <v>0.9</v>
      </c>
      <c r="AC769" s="286">
        <v>1.51</v>
      </c>
      <c r="AD769" s="287" t="str" cm="1">
        <f t="array" aca="1" ref="AD769" ca="1">INDIRECT("'"&amp;$C769&amp;"'!"&amp;"$"&amp;$D769&amp;$AD$1&amp;"")</f>
        <v>CMS</v>
      </c>
      <c r="AE769" s="288" t="s">
        <v>1</v>
      </c>
      <c r="AF769" s="288" t="s">
        <v>1</v>
      </c>
      <c r="AG769" s="289" t="s">
        <v>1</v>
      </c>
      <c r="AH769" s="285" cm="1">
        <f t="array" aca="1" ref="AH769" ca="1">INDIRECT("'"&amp;$C769&amp;"'!"&amp;"$"&amp;$D769&amp;$AH$1&amp;"")</f>
        <v>3.8</v>
      </c>
      <c r="AI769" s="288">
        <v>14.14</v>
      </c>
      <c r="AJ769" s="288">
        <v>0.97</v>
      </c>
      <c r="AK769" s="286">
        <v>0.82399999999999995</v>
      </c>
      <c r="AL769" s="285">
        <v>11.7</v>
      </c>
      <c r="AM769" s="289">
        <v>71.3</v>
      </c>
      <c r="AN769" s="285" cm="1">
        <f t="array" aca="1" ref="AN769" ca="1">INDIRECT("'"&amp;$C769&amp;"'!"&amp;"$"&amp;$D769&amp;$AL$1&amp;"")</f>
        <v>3.6</v>
      </c>
      <c r="AO769" s="288">
        <v>0.96</v>
      </c>
      <c r="AP769" s="286">
        <v>1.3</v>
      </c>
      <c r="AQ769" s="287" cm="1">
        <f t="array" aca="1" ref="AQ769" ca="1">INDIRECT("'"&amp;$C769&amp;"'!"&amp;"$"&amp;$D769&amp;$AQ$1&amp;"")</f>
        <v>0</v>
      </c>
      <c r="AR769" s="288" t="s">
        <v>1</v>
      </c>
      <c r="AS769" s="286" t="s">
        <v>1</v>
      </c>
      <c r="AT769" s="285">
        <v>14.15</v>
      </c>
      <c r="AU769" s="289">
        <v>70.599999999999994</v>
      </c>
      <c r="AV769" s="288" cm="1">
        <f t="array" aca="1" ref="AV769" ca="1">INDIRECT("'"&amp;$C769&amp;"'!"&amp;"$"&amp;$D769&amp;$AV$1&amp;"")</f>
        <v>4.5</v>
      </c>
      <c r="AW769" s="287">
        <v>13.7</v>
      </c>
      <c r="AX769" s="288">
        <v>0.97</v>
      </c>
      <c r="AY769" s="286">
        <v>1.1000000000000001</v>
      </c>
      <c r="AZ769" s="288" cm="1">
        <f t="array" aca="1" ref="AZ769" ca="1">INDIRECT("'"&amp;$C769&amp;"'!"&amp;"$"&amp;$D769&amp;$AZ$1&amp;"")</f>
        <v>7</v>
      </c>
      <c r="BA769" s="287">
        <v>13.7</v>
      </c>
      <c r="BB769" s="288">
        <v>0.96</v>
      </c>
      <c r="BC769" s="286">
        <v>3</v>
      </c>
      <c r="BD769" s="290">
        <v>14.19</v>
      </c>
      <c r="BE769" s="289">
        <v>71.66</v>
      </c>
      <c r="BF769" s="290" cm="1">
        <f t="array" aca="1" ref="BF769" ca="1">INDIRECT("'"&amp;$C769&amp;"'!"&amp;"$"&amp;$D769&amp;$BF$1&amp;"")</f>
        <v>14.24</v>
      </c>
      <c r="BG769" s="288">
        <v>0.99</v>
      </c>
      <c r="BH769" s="286">
        <v>2.2000000000000002</v>
      </c>
      <c r="BI769" s="525">
        <v>68</v>
      </c>
      <c r="BJ769" s="285" cm="1">
        <f t="array" aca="1" ref="BJ769" ca="1">INDIRECT("'"&amp;$C769&amp;"'!"&amp;"$"&amp;$D769&amp;$BI$1&amp;"")</f>
        <v>4.5999999999999996</v>
      </c>
      <c r="BK769" s="287">
        <v>0.96</v>
      </c>
      <c r="BL769" s="286">
        <v>1.3</v>
      </c>
      <c r="BM769" s="290" cm="1">
        <f t="array" aca="1" ref="BM769" ca="1">INDIRECT("'"&amp;$C769&amp;"'!"&amp;"$"&amp;$D769&amp;$BM$1&amp;"")</f>
        <v>1.5699999999999998</v>
      </c>
      <c r="BN769" s="288"/>
      <c r="BO769" s="288">
        <v>0.99</v>
      </c>
      <c r="BP769" s="286">
        <v>0.22</v>
      </c>
      <c r="BQ769" s="291" cm="1">
        <f t="array" aca="1" ref="BQ769" ca="1">INDIRECT("'"&amp;$C769&amp;"'!"&amp;"$"&amp;$D769&amp;$BQ$1&amp;"")</f>
        <v>0.97</v>
      </c>
      <c r="BR769" s="288"/>
      <c r="BS769" s="288">
        <v>0.96</v>
      </c>
      <c r="BT769" s="286">
        <v>0.26</v>
      </c>
      <c r="BU769" s="291" cm="1">
        <f t="array" aca="1" ref="BU769" ca="1">INDIRECT("'"&amp;$C769&amp;"'!"&amp;"$"&amp;$D769&amp;74&amp;"")</f>
        <v>0</v>
      </c>
      <c r="BV769" s="288"/>
      <c r="BW769" s="288" t="s">
        <v>1</v>
      </c>
      <c r="BX769" s="286" t="s">
        <v>1</v>
      </c>
    </row>
    <row r="770" spans="1:76">
      <c r="A770" s="459">
        <v>45869</v>
      </c>
      <c r="B770" s="345">
        <v>0.625</v>
      </c>
      <c r="C770" s="305">
        <v>31</v>
      </c>
      <c r="D770" s="306" t="s">
        <v>157</v>
      </c>
      <c r="E770" s="278">
        <v>14.1</v>
      </c>
      <c r="F770" s="279">
        <v>69.25</v>
      </c>
      <c r="G770" s="280" t="str" cm="1">
        <f t="array" aca="1" ref="G770" ca="1">INDIRECT("'"&amp;$C770&amp;"'!"&amp;"$"&amp;$D770&amp;$E$1&amp;"")</f>
        <v>CMS</v>
      </c>
      <c r="H770" s="281" t="s">
        <v>1</v>
      </c>
      <c r="I770" s="279" t="s">
        <v>1</v>
      </c>
      <c r="J770" s="280" cm="1">
        <f t="array" aca="1" ref="J770" ca="1">INDIRECT("'"&amp;$C770&amp;"'!"&amp;"$"&amp;$D770&amp;$J$1&amp;"")</f>
        <v>6.7</v>
      </c>
      <c r="K770" s="281"/>
      <c r="L770" s="281">
        <v>0.92</v>
      </c>
      <c r="M770" s="282">
        <v>2.93</v>
      </c>
      <c r="N770" s="278" cm="1">
        <f t="array" aca="1" ref="N770" ca="1">INDIRECT("'"&amp;$C770&amp;"'!"&amp;"$"&amp;$D770&amp;$N$1&amp;"")</f>
        <v>6.7</v>
      </c>
      <c r="O770" s="281"/>
      <c r="P770" s="281">
        <v>0.92</v>
      </c>
      <c r="Q770" s="279">
        <v>2.91</v>
      </c>
      <c r="R770" s="468" cm="1">
        <f t="array" aca="1" ref="R770" ca="1">INDIRECT("'"&amp;$C770&amp;"'!"&amp;"$"&amp;$D770&amp;$R$1&amp;"")</f>
        <v>6.7</v>
      </c>
      <c r="S770" s="281"/>
      <c r="T770" s="281">
        <v>0.92</v>
      </c>
      <c r="U770" s="279">
        <v>2.92</v>
      </c>
      <c r="V770" s="280" cm="1">
        <f t="array" aca="1" ref="V770" ca="1">INDIRECT("'"&amp;$C770&amp;"'!"&amp;"$"&amp;$D770&amp;$V$1&amp;"")</f>
        <v>2.8</v>
      </c>
      <c r="W770" s="281">
        <f>3.8*3.45</f>
        <v>13.11</v>
      </c>
      <c r="X770" s="281">
        <v>0.9</v>
      </c>
      <c r="Y770" s="282">
        <v>1.26</v>
      </c>
      <c r="Z770" s="278" cm="1">
        <f t="array" aca="1" ref="Z770" ca="1">INDIRECT("'"&amp;$C770&amp;"'!"&amp;"$"&amp;$D770&amp;$Z$1&amp;"")</f>
        <v>3.5</v>
      </c>
      <c r="AA770" s="281">
        <f>3.8*3.45</f>
        <v>13.11</v>
      </c>
      <c r="AB770" s="281">
        <v>0.9</v>
      </c>
      <c r="AC770" s="279">
        <v>1.55</v>
      </c>
      <c r="AD770" s="280" t="str" cm="1">
        <f t="array" aca="1" ref="AD770" ca="1">INDIRECT("'"&amp;$C770&amp;"'!"&amp;"$"&amp;$D770&amp;$AD$1&amp;"")</f>
        <v>CMS</v>
      </c>
      <c r="AE770" s="281" t="s">
        <v>1</v>
      </c>
      <c r="AF770" s="281" t="s">
        <v>1</v>
      </c>
      <c r="AG770" s="282" t="s">
        <v>1</v>
      </c>
      <c r="AH770" s="278" cm="1">
        <f t="array" aca="1" ref="AH770" ca="1">INDIRECT("'"&amp;$C770&amp;"'!"&amp;"$"&amp;$D770&amp;$AH$1&amp;"")</f>
        <v>3.8</v>
      </c>
      <c r="AI770" s="281">
        <v>14.04</v>
      </c>
      <c r="AJ770" s="281">
        <v>0.98</v>
      </c>
      <c r="AK770" s="279">
        <v>0.64600000000000002</v>
      </c>
      <c r="AL770" s="278">
        <v>11.7</v>
      </c>
      <c r="AM770" s="282">
        <v>71.3</v>
      </c>
      <c r="AN770" s="278" cm="1">
        <f t="array" aca="1" ref="AN770" ca="1">INDIRECT("'"&amp;$C770&amp;"'!"&amp;"$"&amp;$D770&amp;$AL$1&amp;"")</f>
        <v>0</v>
      </c>
      <c r="AO770" s="281" t="s">
        <v>1</v>
      </c>
      <c r="AP770" s="279" t="s">
        <v>1</v>
      </c>
      <c r="AQ770" s="280" cm="1">
        <f t="array" aca="1" ref="AQ770" ca="1">INDIRECT("'"&amp;$C770&amp;"'!"&amp;"$"&amp;$D770&amp;$AQ$1&amp;"")</f>
        <v>3.8</v>
      </c>
      <c r="AR770" s="281">
        <v>0.97</v>
      </c>
      <c r="AS770" s="279">
        <v>0.9</v>
      </c>
      <c r="AT770" s="278">
        <v>14.15</v>
      </c>
      <c r="AU770" s="282">
        <v>70.599999999999994</v>
      </c>
      <c r="AV770" s="281" cm="1">
        <f t="array" aca="1" ref="AV770" ca="1">INDIRECT("'"&amp;$C770&amp;"'!"&amp;"$"&amp;$D770&amp;$AV$1&amp;"")</f>
        <v>4</v>
      </c>
      <c r="AW770" s="280">
        <v>13.7</v>
      </c>
      <c r="AX770" s="281">
        <v>0.97</v>
      </c>
      <c r="AY770" s="279">
        <v>1</v>
      </c>
      <c r="AZ770" s="281" cm="1">
        <f t="array" aca="1" ref="AZ770" ca="1">INDIRECT("'"&amp;$C770&amp;"'!"&amp;"$"&amp;$D770&amp;$AZ$1&amp;"")</f>
        <v>7</v>
      </c>
      <c r="BA770" s="280">
        <v>13.7</v>
      </c>
      <c r="BB770" s="281">
        <v>0.96</v>
      </c>
      <c r="BC770" s="279">
        <v>3</v>
      </c>
      <c r="BD770" s="283">
        <v>14.19</v>
      </c>
      <c r="BE770" s="282">
        <v>71.709999999999994</v>
      </c>
      <c r="BF770" s="283" cm="1">
        <f t="array" aca="1" ref="BF770" ca="1">INDIRECT("'"&amp;$C770&amp;"'!"&amp;"$"&amp;$D770&amp;$BF$1&amp;"")</f>
        <v>14.3</v>
      </c>
      <c r="BG770" s="281">
        <v>0.99</v>
      </c>
      <c r="BH770" s="279">
        <v>2.2999999999999998</v>
      </c>
      <c r="BI770" s="524">
        <v>67.900000000000006</v>
      </c>
      <c r="BJ770" s="278" cm="1">
        <f t="array" aca="1" ref="BJ770" ca="1">INDIRECT("'"&amp;$C770&amp;"'!"&amp;"$"&amp;$D770&amp;$BI$1&amp;"")</f>
        <v>4.5999999999999996</v>
      </c>
      <c r="BK770" s="280">
        <v>0.96</v>
      </c>
      <c r="BL770" s="279">
        <v>1.3</v>
      </c>
      <c r="BM770" s="283" cm="1">
        <f t="array" aca="1" ref="BM770" ca="1">INDIRECT("'"&amp;$C770&amp;"'!"&amp;"$"&amp;$D770&amp;$BM$1&amp;"")</f>
        <v>1.59</v>
      </c>
      <c r="BN770" s="281"/>
      <c r="BO770" s="281">
        <v>0.99</v>
      </c>
      <c r="BP770" s="279">
        <v>0.22</v>
      </c>
      <c r="BQ770" s="284" cm="1">
        <f t="array" aca="1" ref="BQ770" ca="1">INDIRECT("'"&amp;$C770&amp;"'!"&amp;"$"&amp;$D770&amp;$BQ$1&amp;"")</f>
        <v>0.98</v>
      </c>
      <c r="BR770" s="281"/>
      <c r="BS770" s="281">
        <v>0.96</v>
      </c>
      <c r="BT770" s="279">
        <v>0.26</v>
      </c>
      <c r="BU770" s="284" cm="1">
        <f t="array" aca="1" ref="BU770" ca="1">INDIRECT("'"&amp;$C770&amp;"'!"&amp;"$"&amp;$D770&amp;74&amp;"")</f>
        <v>0</v>
      </c>
      <c r="BV770" s="281"/>
      <c r="BW770" s="281" t="s">
        <v>1</v>
      </c>
      <c r="BX770" s="279" t="s">
        <v>1</v>
      </c>
    </row>
    <row r="771" spans="1:76">
      <c r="A771" s="459">
        <v>45869</v>
      </c>
      <c r="B771" s="345">
        <v>0.66666666666666696</v>
      </c>
      <c r="C771" s="305">
        <v>31</v>
      </c>
      <c r="D771" s="306" t="s">
        <v>158</v>
      </c>
      <c r="E771" s="285">
        <v>14.1</v>
      </c>
      <c r="F771" s="286">
        <v>69.14</v>
      </c>
      <c r="G771" s="287" t="str" cm="1">
        <f t="array" aca="1" ref="G771" ca="1">INDIRECT("'"&amp;$C771&amp;"'!"&amp;"$"&amp;$D771&amp;$E$1&amp;"")</f>
        <v>CMS</v>
      </c>
      <c r="H771" s="288" t="s">
        <v>1</v>
      </c>
      <c r="I771" s="286" t="s">
        <v>1</v>
      </c>
      <c r="J771" s="287" cm="1">
        <f t="array" aca="1" ref="J771" ca="1">INDIRECT("'"&amp;$C771&amp;"'!"&amp;"$"&amp;$D771&amp;$J$1&amp;"")</f>
        <v>6.7</v>
      </c>
      <c r="K771" s="288"/>
      <c r="L771" s="288">
        <v>0.93</v>
      </c>
      <c r="M771" s="289">
        <v>2.76</v>
      </c>
      <c r="N771" s="285" cm="1">
        <f t="array" aca="1" ref="N771" ca="1">INDIRECT("'"&amp;$C771&amp;"'!"&amp;"$"&amp;$D771&amp;$N$1&amp;"")</f>
        <v>6.7</v>
      </c>
      <c r="O771" s="288"/>
      <c r="P771" s="288">
        <v>0.92</v>
      </c>
      <c r="Q771" s="286">
        <v>2.9</v>
      </c>
      <c r="R771" s="469" cm="1">
        <f t="array" aca="1" ref="R771" ca="1">INDIRECT("'"&amp;$C771&amp;"'!"&amp;"$"&amp;$D771&amp;$R$1&amp;"")</f>
        <v>6.7</v>
      </c>
      <c r="S771" s="288"/>
      <c r="T771" s="288">
        <v>0.93</v>
      </c>
      <c r="U771" s="286">
        <v>2.74</v>
      </c>
      <c r="V771" s="287" cm="1">
        <f t="array" aca="1" ref="V771" ca="1">INDIRECT("'"&amp;$C771&amp;"'!"&amp;"$"&amp;$D771&amp;$V$1&amp;"")</f>
        <v>2.8</v>
      </c>
      <c r="W771" s="288">
        <f>3.8*3.44</f>
        <v>13.071999999999999</v>
      </c>
      <c r="X771" s="288">
        <v>0.9</v>
      </c>
      <c r="Y771" s="289">
        <v>1.28</v>
      </c>
      <c r="Z771" s="285" cm="1">
        <f t="array" aca="1" ref="Z771" ca="1">INDIRECT("'"&amp;$C771&amp;"'!"&amp;"$"&amp;$D771&amp;$Z$1&amp;"")</f>
        <v>3.5</v>
      </c>
      <c r="AA771" s="288">
        <f>3.8*3.44</f>
        <v>13.071999999999999</v>
      </c>
      <c r="AB771" s="288">
        <v>0.9</v>
      </c>
      <c r="AC771" s="286">
        <v>1.51</v>
      </c>
      <c r="AD771" s="287" t="str" cm="1">
        <f t="array" aca="1" ref="AD771" ca="1">INDIRECT("'"&amp;$C771&amp;"'!"&amp;"$"&amp;$D771&amp;$AD$1&amp;"")</f>
        <v>CMS</v>
      </c>
      <c r="AE771" s="288" t="s">
        <v>1</v>
      </c>
      <c r="AF771" s="288" t="s">
        <v>1</v>
      </c>
      <c r="AG771" s="289" t="s">
        <v>1</v>
      </c>
      <c r="AH771" s="285" cm="1">
        <f t="array" aca="1" ref="AH771" ca="1">INDIRECT("'"&amp;$C771&amp;"'!"&amp;"$"&amp;$D771&amp;$AH$1&amp;"")</f>
        <v>3.8</v>
      </c>
      <c r="AI771" s="288">
        <v>14.08</v>
      </c>
      <c r="AJ771" s="288">
        <v>0.98</v>
      </c>
      <c r="AK771" s="286">
        <v>0.66100000000000003</v>
      </c>
      <c r="AL771" s="285">
        <v>11.7</v>
      </c>
      <c r="AM771" s="289">
        <v>71.3</v>
      </c>
      <c r="AN771" s="285" cm="1">
        <f t="array" aca="1" ref="AN771" ca="1">INDIRECT("'"&amp;$C771&amp;"'!"&amp;"$"&amp;$D771&amp;$AL$1&amp;"")</f>
        <v>0</v>
      </c>
      <c r="AO771" s="288" t="s">
        <v>1</v>
      </c>
      <c r="AP771" s="286" t="s">
        <v>1</v>
      </c>
      <c r="AQ771" s="287" cm="1">
        <f t="array" aca="1" ref="AQ771" ca="1">INDIRECT("'"&amp;$C771&amp;"'!"&amp;"$"&amp;$D771&amp;$AQ$1&amp;"")</f>
        <v>3.8</v>
      </c>
      <c r="AR771" s="288">
        <v>0.97</v>
      </c>
      <c r="AS771" s="286">
        <v>0.9</v>
      </c>
      <c r="AT771" s="285">
        <v>14.1</v>
      </c>
      <c r="AU771" s="289">
        <v>70.599999999999994</v>
      </c>
      <c r="AV771" s="288" cm="1">
        <f t="array" aca="1" ref="AV771" ca="1">INDIRECT("'"&amp;$C771&amp;"'!"&amp;"$"&amp;$D771&amp;$AV$1&amp;"")</f>
        <v>4</v>
      </c>
      <c r="AW771" s="287" t="s">
        <v>1</v>
      </c>
      <c r="AX771" s="288">
        <v>0.97</v>
      </c>
      <c r="AY771" s="286">
        <v>1</v>
      </c>
      <c r="AZ771" s="288" cm="1">
        <f t="array" aca="1" ref="AZ771" ca="1">INDIRECT("'"&amp;$C771&amp;"'!"&amp;"$"&amp;$D771&amp;$AZ$1&amp;"")</f>
        <v>7</v>
      </c>
      <c r="BA771" s="287" t="s">
        <v>1</v>
      </c>
      <c r="BB771" s="288">
        <v>0.96</v>
      </c>
      <c r="BC771" s="286">
        <v>3</v>
      </c>
      <c r="BD771" s="290">
        <v>14.22</v>
      </c>
      <c r="BE771" s="289">
        <v>71.930000000000007</v>
      </c>
      <c r="BF771" s="290" cm="1">
        <f t="array" aca="1" ref="BF771" ca="1">INDIRECT("'"&amp;$C771&amp;"'!"&amp;"$"&amp;$D771&amp;$BF$1&amp;"")</f>
        <v>14.28</v>
      </c>
      <c r="BG771" s="288">
        <v>0.99</v>
      </c>
      <c r="BH771" s="286">
        <v>2.2999999999999998</v>
      </c>
      <c r="BI771" s="525">
        <v>67.7</v>
      </c>
      <c r="BJ771" s="285" cm="1">
        <f t="array" aca="1" ref="BJ771" ca="1">INDIRECT("'"&amp;$C771&amp;"'!"&amp;"$"&amp;$D771&amp;$BI$1&amp;"")</f>
        <v>4.5999999999999996</v>
      </c>
      <c r="BK771" s="287">
        <v>0.96</v>
      </c>
      <c r="BL771" s="286">
        <v>1.3</v>
      </c>
      <c r="BM771" s="290" cm="1">
        <f t="array" aca="1" ref="BM771" ca="1">INDIRECT("'"&amp;$C771&amp;"'!"&amp;"$"&amp;$D771&amp;$BM$1&amp;"")</f>
        <v>1.56</v>
      </c>
      <c r="BN771" s="288"/>
      <c r="BO771" s="288">
        <v>0.99</v>
      </c>
      <c r="BP771" s="286">
        <v>0.23</v>
      </c>
      <c r="BQ771" s="291" cm="1">
        <f t="array" aca="1" ref="BQ771" ca="1">INDIRECT("'"&amp;$C771&amp;"'!"&amp;"$"&amp;$D771&amp;$BQ$1&amp;"")</f>
        <v>0.96</v>
      </c>
      <c r="BR771" s="288"/>
      <c r="BS771" s="288">
        <v>0.96</v>
      </c>
      <c r="BT771" s="286">
        <v>0.26</v>
      </c>
      <c r="BU771" s="291" cm="1">
        <f t="array" aca="1" ref="BU771" ca="1">INDIRECT("'"&amp;$C771&amp;"'!"&amp;"$"&amp;$D771&amp;74&amp;"")</f>
        <v>0</v>
      </c>
      <c r="BV771" s="288"/>
      <c r="BW771" s="288" t="s">
        <v>1</v>
      </c>
      <c r="BX771" s="286" t="s">
        <v>1</v>
      </c>
    </row>
    <row r="772" spans="1:76">
      <c r="A772" s="459">
        <v>45869</v>
      </c>
      <c r="B772" s="345">
        <v>0.70833333333333404</v>
      </c>
      <c r="C772" s="305">
        <v>31</v>
      </c>
      <c r="D772" s="306" t="s">
        <v>159</v>
      </c>
      <c r="E772" s="278">
        <v>14.1</v>
      </c>
      <c r="F772" s="279">
        <v>69.37</v>
      </c>
      <c r="G772" s="280" t="str" cm="1">
        <f t="array" aca="1" ref="G772" ca="1">INDIRECT("'"&amp;$C772&amp;"'!"&amp;"$"&amp;$D772&amp;$E$1&amp;"")</f>
        <v>CMS</v>
      </c>
      <c r="H772" s="281" t="s">
        <v>1</v>
      </c>
      <c r="I772" s="279" t="s">
        <v>1</v>
      </c>
      <c r="J772" s="280" cm="1">
        <f t="array" aca="1" ref="J772" ca="1">INDIRECT("'"&amp;$C772&amp;"'!"&amp;"$"&amp;$D772&amp;$J$1&amp;"")</f>
        <v>6.7</v>
      </c>
      <c r="K772" s="281"/>
      <c r="L772" s="281">
        <v>0.93</v>
      </c>
      <c r="M772" s="282">
        <v>2.75</v>
      </c>
      <c r="N772" s="278" cm="1">
        <f t="array" aca="1" ref="N772" ca="1">INDIRECT("'"&amp;$C772&amp;"'!"&amp;"$"&amp;$D772&amp;$N$1&amp;"")</f>
        <v>6.7</v>
      </c>
      <c r="O772" s="281"/>
      <c r="P772" s="281">
        <v>0.93</v>
      </c>
      <c r="Q772" s="279">
        <v>2.72</v>
      </c>
      <c r="R772" s="468" cm="1">
        <f t="array" aca="1" ref="R772" ca="1">INDIRECT("'"&amp;$C772&amp;"'!"&amp;"$"&amp;$D772&amp;$R$1&amp;"")</f>
        <v>6.7</v>
      </c>
      <c r="S772" s="281"/>
      <c r="T772" s="281">
        <v>0.93</v>
      </c>
      <c r="U772" s="279">
        <v>2.78</v>
      </c>
      <c r="V772" s="280" cm="1">
        <f t="array" aca="1" ref="V772" ca="1">INDIRECT("'"&amp;$C772&amp;"'!"&amp;"$"&amp;$D772&amp;$V$1&amp;"")</f>
        <v>2.8</v>
      </c>
      <c r="W772" s="281">
        <f>3.8*3.46</f>
        <v>13.148</v>
      </c>
      <c r="X772" s="281">
        <v>0.9</v>
      </c>
      <c r="Y772" s="282">
        <v>1.27</v>
      </c>
      <c r="Z772" s="278" cm="1">
        <f t="array" aca="1" ref="Z772" ca="1">INDIRECT("'"&amp;$C772&amp;"'!"&amp;"$"&amp;$D772&amp;$Z$1&amp;"")</f>
        <v>3.4</v>
      </c>
      <c r="AA772" s="281">
        <f>3.8*3.46</f>
        <v>13.148</v>
      </c>
      <c r="AB772" s="281">
        <v>0.9</v>
      </c>
      <c r="AC772" s="279">
        <v>1.49</v>
      </c>
      <c r="AD772" s="280" t="str" cm="1">
        <f t="array" aca="1" ref="AD772" ca="1">INDIRECT("'"&amp;$C772&amp;"'!"&amp;"$"&amp;$D772&amp;$AD$1&amp;"")</f>
        <v>CMS</v>
      </c>
      <c r="AE772" s="281" t="s">
        <v>1</v>
      </c>
      <c r="AF772" s="281" t="s">
        <v>1</v>
      </c>
      <c r="AG772" s="282" t="s">
        <v>1</v>
      </c>
      <c r="AH772" s="278" cm="1">
        <f t="array" aca="1" ref="AH772" ca="1">INDIRECT("'"&amp;$C772&amp;"'!"&amp;"$"&amp;$D772&amp;$AH$1&amp;"")</f>
        <v>3.8</v>
      </c>
      <c r="AI772" s="281">
        <v>14.08</v>
      </c>
      <c r="AJ772" s="281">
        <v>0.99</v>
      </c>
      <c r="AK772" s="279">
        <v>0.34</v>
      </c>
      <c r="AL772" s="278">
        <v>11.7</v>
      </c>
      <c r="AM772" s="282">
        <v>71.3</v>
      </c>
      <c r="AN772" s="278" cm="1">
        <f t="array" aca="1" ref="AN772" ca="1">INDIRECT("'"&amp;$C772&amp;"'!"&amp;"$"&amp;$D772&amp;$AL$1&amp;"")</f>
        <v>0</v>
      </c>
      <c r="AO772" s="281" t="s">
        <v>1</v>
      </c>
      <c r="AP772" s="279" t="s">
        <v>1</v>
      </c>
      <c r="AQ772" s="280" cm="1">
        <f t="array" aca="1" ref="AQ772" ca="1">INDIRECT("'"&amp;$C772&amp;"'!"&amp;"$"&amp;$D772&amp;$AQ$1&amp;"")</f>
        <v>3.6</v>
      </c>
      <c r="AR772" s="281">
        <v>0.97</v>
      </c>
      <c r="AS772" s="279">
        <v>0.91</v>
      </c>
      <c r="AT772" s="278">
        <v>14.11</v>
      </c>
      <c r="AU772" s="282">
        <v>70.599999999999994</v>
      </c>
      <c r="AV772" s="281" cm="1">
        <f t="array" aca="1" ref="AV772" ca="1">INDIRECT("'"&amp;$C772&amp;"'!"&amp;"$"&amp;$D772&amp;$AV$1&amp;"")</f>
        <v>3</v>
      </c>
      <c r="AW772" s="280" t="s">
        <v>1</v>
      </c>
      <c r="AX772" s="281">
        <v>0.95</v>
      </c>
      <c r="AY772" s="279">
        <v>0.87</v>
      </c>
      <c r="AZ772" s="281" cm="1">
        <f t="array" aca="1" ref="AZ772" ca="1">INDIRECT("'"&amp;$C772&amp;"'!"&amp;"$"&amp;$D772&amp;$AZ$1&amp;"")</f>
        <v>7</v>
      </c>
      <c r="BA772" s="280" t="s">
        <v>1</v>
      </c>
      <c r="BB772" s="281">
        <v>0.92</v>
      </c>
      <c r="BC772" s="279">
        <v>2.7</v>
      </c>
      <c r="BD772" s="283">
        <v>14.22</v>
      </c>
      <c r="BE772" s="282">
        <v>71.87</v>
      </c>
      <c r="BF772" s="283" cm="1">
        <f t="array" aca="1" ref="BF772" ca="1">INDIRECT("'"&amp;$C772&amp;"'!"&amp;"$"&amp;$D772&amp;$BF$1&amp;"")</f>
        <v>14.24</v>
      </c>
      <c r="BG772" s="281">
        <v>0.99</v>
      </c>
      <c r="BH772" s="279">
        <v>2.2999999999999998</v>
      </c>
      <c r="BI772" s="524">
        <v>68.099999999999994</v>
      </c>
      <c r="BJ772" s="278" cm="1">
        <f t="array" aca="1" ref="BJ772" ca="1">INDIRECT("'"&amp;$C772&amp;"'!"&amp;"$"&amp;$D772&amp;$BI$1&amp;"")</f>
        <v>3.1</v>
      </c>
      <c r="BK772" s="280">
        <v>0.96</v>
      </c>
      <c r="BL772" s="279">
        <v>0.89</v>
      </c>
      <c r="BM772" s="283" cm="1">
        <f t="array" aca="1" ref="BM772" ca="1">INDIRECT("'"&amp;$C772&amp;"'!"&amp;"$"&amp;$D772&amp;$BM$1&amp;"")</f>
        <v>1.5</v>
      </c>
      <c r="BN772" s="281"/>
      <c r="BO772" s="281">
        <v>0.99</v>
      </c>
      <c r="BP772" s="279">
        <v>0.2</v>
      </c>
      <c r="BQ772" s="284" cm="1">
        <f t="array" aca="1" ref="BQ772" ca="1">INDIRECT("'"&amp;$C772&amp;"'!"&amp;"$"&amp;$D772&amp;$BQ$1&amp;"")</f>
        <v>0.95</v>
      </c>
      <c r="BR772" s="281"/>
      <c r="BS772" s="281">
        <v>0.96</v>
      </c>
      <c r="BT772" s="279">
        <v>0.26</v>
      </c>
      <c r="BU772" s="284" cm="1">
        <f t="array" aca="1" ref="BU772" ca="1">INDIRECT("'"&amp;$C772&amp;"'!"&amp;"$"&amp;$D772&amp;74&amp;"")</f>
        <v>0</v>
      </c>
      <c r="BV772" s="281"/>
      <c r="BW772" s="281" t="s">
        <v>1</v>
      </c>
      <c r="BX772" s="279" t="s">
        <v>1</v>
      </c>
    </row>
    <row r="773" spans="1:76">
      <c r="A773" s="459">
        <v>45869</v>
      </c>
      <c r="B773" s="345">
        <v>0.750000000000001</v>
      </c>
      <c r="C773" s="305">
        <v>31</v>
      </c>
      <c r="D773" s="306" t="s">
        <v>160</v>
      </c>
      <c r="E773" s="285">
        <v>14.1</v>
      </c>
      <c r="F773" s="286">
        <v>68.959999999999994</v>
      </c>
      <c r="G773" s="287" t="str" cm="1">
        <f t="array" aca="1" ref="G773" ca="1">INDIRECT("'"&amp;$C773&amp;"'!"&amp;"$"&amp;$D773&amp;$E$1&amp;"")</f>
        <v>CMS</v>
      </c>
      <c r="H773" s="288" t="s">
        <v>1</v>
      </c>
      <c r="I773" s="286" t="s">
        <v>1</v>
      </c>
      <c r="J773" s="287" cm="1">
        <f t="array" aca="1" ref="J773" ca="1">INDIRECT("'"&amp;$C773&amp;"'!"&amp;"$"&amp;$D773&amp;$J$1&amp;"")</f>
        <v>6.7</v>
      </c>
      <c r="K773" s="288"/>
      <c r="L773" s="288">
        <v>0.92</v>
      </c>
      <c r="M773" s="289">
        <v>2.94</v>
      </c>
      <c r="N773" s="285" cm="1">
        <f t="array" aca="1" ref="N773" ca="1">INDIRECT("'"&amp;$C773&amp;"'!"&amp;"$"&amp;$D773&amp;$N$1&amp;"")</f>
        <v>6.6</v>
      </c>
      <c r="O773" s="288"/>
      <c r="P773" s="288">
        <v>0.91</v>
      </c>
      <c r="Q773" s="286">
        <v>3.08</v>
      </c>
      <c r="R773" s="285" cm="1">
        <f t="array" aca="1" ref="R773" ca="1">INDIRECT("'"&amp;$C773&amp;"'!"&amp;"$"&amp;$D773&amp;$R$1&amp;"")</f>
        <v>6.7</v>
      </c>
      <c r="S773" s="288"/>
      <c r="T773" s="288">
        <v>0.92</v>
      </c>
      <c r="U773" s="286">
        <v>2.96</v>
      </c>
      <c r="V773" s="287" cm="1">
        <f t="array" aca="1" ref="V773" ca="1">INDIRECT("'"&amp;$C773&amp;"'!"&amp;"$"&amp;$D773&amp;$V$1&amp;"")</f>
        <v>2</v>
      </c>
      <c r="W773" s="288">
        <f>3.45*3.8</f>
        <v>13.11</v>
      </c>
      <c r="X773" s="288">
        <v>0.92</v>
      </c>
      <c r="Y773" s="289">
        <v>0.81</v>
      </c>
      <c r="Z773" s="285" cm="1">
        <f t="array" aca="1" ref="Z773" ca="1">INDIRECT("'"&amp;$C773&amp;"'!"&amp;"$"&amp;$D773&amp;$Z$1&amp;"")</f>
        <v>3</v>
      </c>
      <c r="AA773" s="288">
        <f>3.45*3.8</f>
        <v>13.11</v>
      </c>
      <c r="AB773" s="288">
        <v>0.92</v>
      </c>
      <c r="AC773" s="286">
        <v>1.1499999999999999</v>
      </c>
      <c r="AD773" s="287" t="str" cm="1">
        <f t="array" aca="1" ref="AD773" ca="1">INDIRECT("'"&amp;$C773&amp;"'!"&amp;"$"&amp;$D773&amp;$AD$1&amp;"")</f>
        <v>CMS</v>
      </c>
      <c r="AE773" s="288" t="s">
        <v>1</v>
      </c>
      <c r="AF773" s="288" t="s">
        <v>1</v>
      </c>
      <c r="AG773" s="289" t="s">
        <v>1</v>
      </c>
      <c r="AH773" s="285" cm="1">
        <f t="array" aca="1" ref="AH773" ca="1">INDIRECT("'"&amp;$C773&amp;"'!"&amp;"$"&amp;$D773&amp;$AH$1&amp;"")</f>
        <v>3.8</v>
      </c>
      <c r="AI773" s="288">
        <v>14.12</v>
      </c>
      <c r="AJ773" s="288">
        <v>0.99</v>
      </c>
      <c r="AK773" s="286">
        <v>0.314</v>
      </c>
      <c r="AL773" s="285">
        <v>11.7</v>
      </c>
      <c r="AM773" s="289">
        <v>71.3</v>
      </c>
      <c r="AN773" s="285" cm="1">
        <f t="array" aca="1" ref="AN773" ca="1">INDIRECT("'"&amp;$C773&amp;"'!"&amp;"$"&amp;$D773&amp;$AL$1&amp;"")</f>
        <v>0</v>
      </c>
      <c r="AO773" s="288" t="s">
        <v>1</v>
      </c>
      <c r="AP773" s="286" t="s">
        <v>1</v>
      </c>
      <c r="AQ773" s="287" cm="1">
        <f t="array" aca="1" ref="AQ773" ca="1">INDIRECT("'"&amp;$C773&amp;"'!"&amp;"$"&amp;$D773&amp;$AQ$1&amp;"")</f>
        <v>3.8</v>
      </c>
      <c r="AR773" s="288">
        <v>0.97</v>
      </c>
      <c r="AS773" s="286">
        <v>0.96</v>
      </c>
      <c r="AT773" s="285">
        <v>14.1</v>
      </c>
      <c r="AU773" s="289">
        <v>70.400000000000006</v>
      </c>
      <c r="AV773" s="288" cm="1">
        <f t="array" aca="1" ref="AV773" ca="1">INDIRECT("'"&amp;$C773&amp;"'!"&amp;"$"&amp;$D773&amp;$AV$1&amp;"")</f>
        <v>2.7</v>
      </c>
      <c r="AW773" s="287" t="s">
        <v>1</v>
      </c>
      <c r="AX773" s="288">
        <v>0.93</v>
      </c>
      <c r="AY773" s="286">
        <v>1</v>
      </c>
      <c r="AZ773" s="288" cm="1">
        <f t="array" aca="1" ref="AZ773" ca="1">INDIRECT("'"&amp;$C773&amp;"'!"&amp;"$"&amp;$D773&amp;$AZ$1&amp;"")</f>
        <v>7</v>
      </c>
      <c r="BA773" s="287" t="s">
        <v>1</v>
      </c>
      <c r="BB773" s="288">
        <v>0.93</v>
      </c>
      <c r="BC773" s="286">
        <v>1.8</v>
      </c>
      <c r="BD773" s="290">
        <v>14.26</v>
      </c>
      <c r="BE773" s="289">
        <v>72</v>
      </c>
      <c r="BF773" s="290" cm="1">
        <f t="array" aca="1" ref="BF773" ca="1">INDIRECT("'"&amp;$C773&amp;"'!"&amp;"$"&amp;$D773&amp;$BF$1&amp;"")</f>
        <v>14.3</v>
      </c>
      <c r="BG773" s="288">
        <v>0.99</v>
      </c>
      <c r="BH773" s="286">
        <v>2.2999999999999998</v>
      </c>
      <c r="BI773" s="525">
        <v>67.7</v>
      </c>
      <c r="BJ773" s="285" cm="1">
        <f t="array" aca="1" ref="BJ773" ca="1">INDIRECT("'"&amp;$C773&amp;"'!"&amp;"$"&amp;$D773&amp;$BI$1&amp;"")</f>
        <v>0</v>
      </c>
      <c r="BK773" s="287" t="s">
        <v>1</v>
      </c>
      <c r="BL773" s="286" t="s">
        <v>1</v>
      </c>
      <c r="BM773" s="290" cm="1">
        <f t="array" aca="1" ref="BM773" ca="1">INDIRECT("'"&amp;$C773&amp;"'!"&amp;"$"&amp;$D773&amp;$BM$1&amp;"")</f>
        <v>1.36</v>
      </c>
      <c r="BN773" s="288"/>
      <c r="BO773" s="288">
        <v>0.99</v>
      </c>
      <c r="BP773" s="286">
        <v>0.2</v>
      </c>
      <c r="BQ773" s="291" cm="1">
        <f t="array" aca="1" ref="BQ773" ca="1">INDIRECT("'"&amp;$C773&amp;"'!"&amp;"$"&amp;$D773&amp;$BQ$1&amp;"")</f>
        <v>0.93</v>
      </c>
      <c r="BR773" s="288"/>
      <c r="BS773" s="288">
        <v>0.96</v>
      </c>
      <c r="BT773" s="286">
        <v>0.26</v>
      </c>
      <c r="BU773" s="291" cm="1">
        <f t="array" aca="1" ref="BU773" ca="1">INDIRECT("'"&amp;$C773&amp;"'!"&amp;"$"&amp;$D773&amp;74&amp;"")</f>
        <v>0</v>
      </c>
      <c r="BV773" s="288"/>
      <c r="BW773" s="288" t="s">
        <v>1</v>
      </c>
      <c r="BX773" s="286" t="s">
        <v>1</v>
      </c>
    </row>
    <row r="774" spans="1:76">
      <c r="A774" s="459">
        <v>45869</v>
      </c>
      <c r="B774" s="345">
        <v>0.79166666666666696</v>
      </c>
      <c r="C774" s="305">
        <v>31</v>
      </c>
      <c r="D774" s="306" t="s">
        <v>161</v>
      </c>
      <c r="E774" s="278">
        <v>14.1</v>
      </c>
      <c r="F774" s="279">
        <v>69.099999999999994</v>
      </c>
      <c r="G774" s="280" t="str" cm="1">
        <f t="array" aca="1" ref="G774" ca="1">INDIRECT("'"&amp;$C774&amp;"'!"&amp;"$"&amp;$D774&amp;$E$1&amp;"")</f>
        <v>CMS</v>
      </c>
      <c r="H774" s="281" t="s">
        <v>1</v>
      </c>
      <c r="I774" s="279" t="s">
        <v>1</v>
      </c>
      <c r="J774" s="280" cm="1">
        <f t="array" aca="1" ref="J774" ca="1">INDIRECT("'"&amp;$C774&amp;"'!"&amp;"$"&amp;$D774&amp;$J$1&amp;"")</f>
        <v>6.7</v>
      </c>
      <c r="K774" s="292"/>
      <c r="L774" s="281">
        <v>0.93</v>
      </c>
      <c r="M774" s="282">
        <v>2.75</v>
      </c>
      <c r="N774" s="278" cm="1">
        <f t="array" aca="1" ref="N774" ca="1">INDIRECT("'"&amp;$C774&amp;"'!"&amp;"$"&amp;$D774&amp;$N$1&amp;"")</f>
        <v>6.7</v>
      </c>
      <c r="O774" s="281"/>
      <c r="P774" s="281">
        <v>0.93</v>
      </c>
      <c r="Q774" s="279">
        <v>2.71</v>
      </c>
      <c r="R774" s="468" cm="1">
        <f t="array" aca="1" ref="R774" ca="1">INDIRECT("'"&amp;$C774&amp;"'!"&amp;"$"&amp;$D774&amp;$R$1&amp;"")</f>
        <v>6.7</v>
      </c>
      <c r="S774" s="281"/>
      <c r="T774" s="281">
        <v>0.93</v>
      </c>
      <c r="U774" s="279">
        <v>2.77</v>
      </c>
      <c r="V774" s="280" cm="1">
        <f t="array" aca="1" ref="V774" ca="1">INDIRECT("'"&amp;$C774&amp;"'!"&amp;"$"&amp;$D774&amp;$V$1&amp;"")</f>
        <v>2.8</v>
      </c>
      <c r="W774" s="281">
        <f>3.47*3.8</f>
        <v>13.186</v>
      </c>
      <c r="X774" s="281">
        <v>0.91</v>
      </c>
      <c r="Y774" s="282">
        <v>1.1499999999999999</v>
      </c>
      <c r="Z774" s="278" cm="1">
        <f t="array" aca="1" ref="Z774" ca="1">INDIRECT("'"&amp;$C774&amp;"'!"&amp;"$"&amp;$D774&amp;$Z$1&amp;"")</f>
        <v>3.5</v>
      </c>
      <c r="AA774" s="281">
        <f>3.47*3.8</f>
        <v>13.186</v>
      </c>
      <c r="AB774" s="281">
        <v>0.91</v>
      </c>
      <c r="AC774" s="279">
        <v>1.37</v>
      </c>
      <c r="AD774" s="280" t="str" cm="1">
        <f t="array" aca="1" ref="AD774" ca="1">INDIRECT("'"&amp;$C774&amp;"'!"&amp;"$"&amp;$D774&amp;$AD$1&amp;"")</f>
        <v>CMS</v>
      </c>
      <c r="AE774" s="281" t="s">
        <v>1</v>
      </c>
      <c r="AF774" s="281" t="s">
        <v>1</v>
      </c>
      <c r="AG774" s="282" t="s">
        <v>1</v>
      </c>
      <c r="AH774" s="278" cm="1">
        <f t="array" aca="1" ref="AH774" ca="1">INDIRECT("'"&amp;$C774&amp;"'!"&amp;"$"&amp;$D774&amp;$AH$1&amp;"")</f>
        <v>3.8</v>
      </c>
      <c r="AI774" s="281">
        <v>14.09</v>
      </c>
      <c r="AJ774" s="281">
        <v>0.99</v>
      </c>
      <c r="AK774" s="279">
        <v>0.49</v>
      </c>
      <c r="AL774" s="278">
        <v>11.7</v>
      </c>
      <c r="AM774" s="282">
        <v>71.3</v>
      </c>
      <c r="AN774" s="278" cm="1">
        <f t="array" aca="1" ref="AN774" ca="1">INDIRECT("'"&amp;$C774&amp;"'!"&amp;"$"&amp;$D774&amp;$AL$1&amp;"")</f>
        <v>0</v>
      </c>
      <c r="AO774" s="281" t="s">
        <v>1</v>
      </c>
      <c r="AP774" s="279" t="s">
        <v>1</v>
      </c>
      <c r="AQ774" s="280" cm="1">
        <f t="array" aca="1" ref="AQ774" ca="1">INDIRECT("'"&amp;$C774&amp;"'!"&amp;"$"&amp;$D774&amp;$AQ$1&amp;"")</f>
        <v>3.8</v>
      </c>
      <c r="AR774" s="281">
        <v>0.97</v>
      </c>
      <c r="AS774" s="279">
        <v>0.9</v>
      </c>
      <c r="AT774" s="278">
        <v>14.11</v>
      </c>
      <c r="AU774" s="282">
        <v>70.5</v>
      </c>
      <c r="AV774" s="281" cm="1">
        <f t="array" aca="1" ref="AV774" ca="1">INDIRECT("'"&amp;$C774&amp;"'!"&amp;"$"&amp;$D774&amp;$AV$1&amp;"")</f>
        <v>5.5</v>
      </c>
      <c r="AW774" s="280">
        <v>13.7</v>
      </c>
      <c r="AX774" s="281">
        <v>0.98</v>
      </c>
      <c r="AY774" s="279">
        <v>0.94</v>
      </c>
      <c r="AZ774" s="281" cm="1">
        <f t="array" aca="1" ref="AZ774" ca="1">INDIRECT("'"&amp;$C774&amp;"'!"&amp;"$"&amp;$D774&amp;$AZ$1&amp;"")</f>
        <v>7</v>
      </c>
      <c r="BA774" s="280">
        <v>13.7</v>
      </c>
      <c r="BB774" s="281">
        <v>0.93</v>
      </c>
      <c r="BC774" s="279">
        <v>2.7</v>
      </c>
      <c r="BD774" s="283">
        <v>14.2</v>
      </c>
      <c r="BE774" s="282">
        <v>71.77</v>
      </c>
      <c r="BF774" s="283" cm="1">
        <f t="array" aca="1" ref="BF774" ca="1">INDIRECT("'"&amp;$C774&amp;"'!"&amp;"$"&amp;$D774&amp;$BF$1&amp;"")</f>
        <v>14.3</v>
      </c>
      <c r="BG774" s="281">
        <v>0.99</v>
      </c>
      <c r="BH774" s="279">
        <v>2.2999999999999998</v>
      </c>
      <c r="BI774" s="524">
        <v>68</v>
      </c>
      <c r="BJ774" s="278" cm="1">
        <f t="array" aca="1" ref="BJ774" ca="1">INDIRECT("'"&amp;$C774&amp;"'!"&amp;"$"&amp;$D774&amp;$BI$1&amp;"")</f>
        <v>0</v>
      </c>
      <c r="BK774" s="280" t="s">
        <v>1</v>
      </c>
      <c r="BL774" s="279" t="s">
        <v>1</v>
      </c>
      <c r="BM774" s="283" cm="1">
        <f t="array" aca="1" ref="BM774" ca="1">INDIRECT("'"&amp;$C774&amp;"'!"&amp;"$"&amp;$D774&amp;$BM$1&amp;"")</f>
        <v>1.51</v>
      </c>
      <c r="BN774" s="281"/>
      <c r="BO774" s="281">
        <v>0.99</v>
      </c>
      <c r="BP774" s="279">
        <v>0.19</v>
      </c>
      <c r="BQ774" s="284" cm="1">
        <f t="array" aca="1" ref="BQ774" ca="1">INDIRECT("'"&amp;$C774&amp;"'!"&amp;"$"&amp;$D774&amp;$BQ$1&amp;"")</f>
        <v>1</v>
      </c>
      <c r="BR774" s="281"/>
      <c r="BS774" s="281">
        <v>0.97</v>
      </c>
      <c r="BT774" s="279">
        <v>0.26</v>
      </c>
      <c r="BU774" s="284" cm="1">
        <f t="array" aca="1" ref="BU774" ca="1">INDIRECT("'"&amp;$C774&amp;"'!"&amp;"$"&amp;$D774&amp;74&amp;"")</f>
        <v>0</v>
      </c>
      <c r="BV774" s="281"/>
      <c r="BW774" s="281" t="s">
        <v>1</v>
      </c>
      <c r="BX774" s="279" t="s">
        <v>1</v>
      </c>
    </row>
    <row r="775" spans="1:76">
      <c r="A775" s="459">
        <v>45869</v>
      </c>
      <c r="B775" s="345">
        <v>0.83333333333333337</v>
      </c>
      <c r="C775" s="305">
        <v>31</v>
      </c>
      <c r="D775" s="306" t="s">
        <v>162</v>
      </c>
      <c r="E775" s="285">
        <v>14.1</v>
      </c>
      <c r="F775" s="286">
        <v>69.41</v>
      </c>
      <c r="G775" s="287" t="str" cm="1">
        <f t="array" aca="1" ref="G775" ca="1">INDIRECT("'"&amp;$C775&amp;"'!"&amp;"$"&amp;$D775&amp;$E$1&amp;"")</f>
        <v>CMS</v>
      </c>
      <c r="H775" s="288" t="s">
        <v>1</v>
      </c>
      <c r="I775" s="286" t="s">
        <v>1</v>
      </c>
      <c r="J775" s="287" cm="1">
        <f t="array" aca="1" ref="J775" ca="1">INDIRECT("'"&amp;$C775&amp;"'!"&amp;"$"&amp;$D775&amp;$J$1&amp;"")</f>
        <v>6.6</v>
      </c>
      <c r="K775" s="288"/>
      <c r="L775" s="288">
        <v>0.95</v>
      </c>
      <c r="M775" s="289">
        <v>2.1800000000000002</v>
      </c>
      <c r="N775" s="285" cm="1">
        <f t="array" aca="1" ref="N775" ca="1">INDIRECT("'"&amp;$C775&amp;"'!"&amp;"$"&amp;$D775&amp;$N$1&amp;"")</f>
        <v>6.6</v>
      </c>
      <c r="O775" s="288"/>
      <c r="P775" s="288">
        <v>0.95</v>
      </c>
      <c r="Q775" s="286">
        <v>2.19</v>
      </c>
      <c r="R775" s="285" cm="1">
        <f t="array" aca="1" ref="R775" ca="1">INDIRECT("'"&amp;$C775&amp;"'!"&amp;"$"&amp;$D775&amp;$R$1&amp;"")</f>
        <v>6.6</v>
      </c>
      <c r="S775" s="288"/>
      <c r="T775" s="288">
        <v>0.95</v>
      </c>
      <c r="U775" s="286">
        <v>2.16</v>
      </c>
      <c r="V775" s="287" cm="1">
        <f t="array" aca="1" ref="V775" ca="1">INDIRECT("'"&amp;$C775&amp;"'!"&amp;"$"&amp;$D775&amp;$V$1&amp;"")</f>
        <v>2.8</v>
      </c>
      <c r="W775" s="288">
        <f>3.49*3.8</f>
        <v>13.262</v>
      </c>
      <c r="X775" s="288">
        <v>0.92</v>
      </c>
      <c r="Y775" s="289">
        <v>1.1499999999999999</v>
      </c>
      <c r="Z775" s="285" cm="1">
        <f t="array" aca="1" ref="Z775" ca="1">INDIRECT("'"&amp;$C775&amp;"'!"&amp;"$"&amp;$D775&amp;$Z$1&amp;"")</f>
        <v>3.4</v>
      </c>
      <c r="AA775" s="288">
        <f>3.49*3.8</f>
        <v>13.262</v>
      </c>
      <c r="AB775" s="288">
        <v>0.92</v>
      </c>
      <c r="AC775" s="286">
        <v>1.33</v>
      </c>
      <c r="AD775" s="287" t="str" cm="1">
        <f t="array" aca="1" ref="AD775" ca="1">INDIRECT("'"&amp;$C775&amp;"'!"&amp;"$"&amp;$D775&amp;$AD$1&amp;"")</f>
        <v>CMS</v>
      </c>
      <c r="AE775" s="288" t="s">
        <v>1</v>
      </c>
      <c r="AF775" s="288" t="s">
        <v>1</v>
      </c>
      <c r="AG775" s="289" t="s">
        <v>1</v>
      </c>
      <c r="AH775" s="285" cm="1">
        <f t="array" aca="1" ref="AH775" ca="1">INDIRECT("'"&amp;$C775&amp;"'!"&amp;"$"&amp;$D775&amp;$AH$1&amp;"")</f>
        <v>3.8</v>
      </c>
      <c r="AI775" s="288">
        <v>14.04</v>
      </c>
      <c r="AJ775" s="288">
        <v>0.99</v>
      </c>
      <c r="AK775" s="286">
        <v>0.25800000000000001</v>
      </c>
      <c r="AL775" s="285">
        <v>11.7</v>
      </c>
      <c r="AM775" s="289">
        <v>71.3</v>
      </c>
      <c r="AN775" s="285" cm="1">
        <f t="array" aca="1" ref="AN775" ca="1">INDIRECT("'"&amp;$C775&amp;"'!"&amp;"$"&amp;$D775&amp;$AL$1&amp;"")</f>
        <v>0</v>
      </c>
      <c r="AO775" s="288" t="s">
        <v>1</v>
      </c>
      <c r="AP775" s="286" t="s">
        <v>1</v>
      </c>
      <c r="AQ775" s="287" cm="1">
        <f t="array" aca="1" ref="AQ775" ca="1">INDIRECT("'"&amp;$C775&amp;"'!"&amp;"$"&amp;$D775&amp;$AQ$1&amp;"")</f>
        <v>3.8</v>
      </c>
      <c r="AR775" s="288">
        <v>0.97</v>
      </c>
      <c r="AS775" s="286">
        <v>0.88</v>
      </c>
      <c r="AT775" s="285">
        <v>14.12</v>
      </c>
      <c r="AU775" s="289">
        <v>70.5</v>
      </c>
      <c r="AV775" s="288" cm="1">
        <f t="array" aca="1" ref="AV775" ca="1">INDIRECT("'"&amp;$C775&amp;"'!"&amp;"$"&amp;$D775&amp;$AV$1&amp;"")</f>
        <v>4.2</v>
      </c>
      <c r="AW775" s="287" t="s">
        <v>1</v>
      </c>
      <c r="AX775" s="288">
        <v>0.98</v>
      </c>
      <c r="AY775" s="286">
        <v>0.76</v>
      </c>
      <c r="AZ775" s="288" cm="1">
        <f t="array" aca="1" ref="AZ775" ca="1">INDIRECT("'"&amp;$C775&amp;"'!"&amp;"$"&amp;$D775&amp;$AZ$1&amp;"")</f>
        <v>7</v>
      </c>
      <c r="BA775" s="287" t="s">
        <v>1</v>
      </c>
      <c r="BB775" s="288">
        <v>0.94</v>
      </c>
      <c r="BC775" s="286">
        <v>2.5</v>
      </c>
      <c r="BD775" s="290">
        <v>14.22</v>
      </c>
      <c r="BE775" s="289">
        <v>71.790000000000006</v>
      </c>
      <c r="BF775" s="290" cm="1">
        <f t="array" aca="1" ref="BF775" ca="1">INDIRECT("'"&amp;$C775&amp;"'!"&amp;"$"&amp;$D775&amp;$BF$1&amp;"")</f>
        <v>14.27</v>
      </c>
      <c r="BG775" s="288">
        <v>0.99</v>
      </c>
      <c r="BH775" s="286">
        <v>2.2999999999999998</v>
      </c>
      <c r="BI775" s="525">
        <v>68.3</v>
      </c>
      <c r="BJ775" s="285" cm="1">
        <f t="array" aca="1" ref="BJ775" ca="1">INDIRECT("'"&amp;$C775&amp;"'!"&amp;"$"&amp;$D775&amp;$BI$1&amp;"")</f>
        <v>0</v>
      </c>
      <c r="BK775" s="287" t="s">
        <v>1</v>
      </c>
      <c r="BL775" s="286" t="s">
        <v>1</v>
      </c>
      <c r="BM775" s="290" cm="1">
        <f t="array" aca="1" ref="BM775" ca="1">INDIRECT("'"&amp;$C775&amp;"'!"&amp;"$"&amp;$D775&amp;$BM$1&amp;"")</f>
        <v>1.69</v>
      </c>
      <c r="BN775" s="288"/>
      <c r="BO775" s="288">
        <v>0.99</v>
      </c>
      <c r="BP775" s="286">
        <v>0.22</v>
      </c>
      <c r="BQ775" s="291" cm="1">
        <f t="array" aca="1" ref="BQ775" ca="1">INDIRECT("'"&amp;$C775&amp;"'!"&amp;"$"&amp;$D775&amp;$BQ$1&amp;"")</f>
        <v>0.81</v>
      </c>
      <c r="BR775" s="288"/>
      <c r="BS775" s="288">
        <v>0.95</v>
      </c>
      <c r="BT775" s="286">
        <v>0.18</v>
      </c>
      <c r="BU775" s="291" cm="1">
        <f t="array" aca="1" ref="BU775" ca="1">INDIRECT("'"&amp;$C775&amp;"'!"&amp;"$"&amp;$D775&amp;74&amp;"")</f>
        <v>0</v>
      </c>
      <c r="BV775" s="288"/>
      <c r="BW775" s="288" t="s">
        <v>1</v>
      </c>
      <c r="BX775" s="286" t="s">
        <v>1</v>
      </c>
    </row>
    <row r="776" spans="1:76">
      <c r="A776" s="459">
        <v>45869</v>
      </c>
      <c r="B776" s="345">
        <v>0.875000000000001</v>
      </c>
      <c r="C776" s="305">
        <v>31</v>
      </c>
      <c r="D776" s="306" t="s">
        <v>163</v>
      </c>
      <c r="E776" s="278">
        <v>14</v>
      </c>
      <c r="F776" s="279">
        <v>69.62</v>
      </c>
      <c r="G776" s="280" t="str" cm="1">
        <f t="array" aca="1" ref="G776" ca="1">INDIRECT("'"&amp;$C776&amp;"'!"&amp;"$"&amp;$D776&amp;$E$1&amp;"")</f>
        <v>CMS</v>
      </c>
      <c r="H776" s="281" t="s">
        <v>1</v>
      </c>
      <c r="I776" s="279" t="s">
        <v>1</v>
      </c>
      <c r="J776" s="280" cm="1">
        <f t="array" aca="1" ref="J776" ca="1">INDIRECT("'"&amp;$C776&amp;"'!"&amp;"$"&amp;$D776&amp;$J$1&amp;"")</f>
        <v>6.6</v>
      </c>
      <c r="K776" s="281"/>
      <c r="L776" s="281">
        <v>0.96</v>
      </c>
      <c r="M776" s="282">
        <v>1.92</v>
      </c>
      <c r="N776" s="278" cm="1">
        <f t="array" aca="1" ref="N776" ca="1">INDIRECT("'"&amp;$C776&amp;"'!"&amp;"$"&amp;$D776&amp;$N$1&amp;"")</f>
        <v>6.6</v>
      </c>
      <c r="O776" s="281"/>
      <c r="P776" s="281">
        <v>0.96</v>
      </c>
      <c r="Q776" s="279">
        <v>1.92</v>
      </c>
      <c r="R776" s="468" cm="1">
        <f t="array" aca="1" ref="R776" ca="1">INDIRECT("'"&amp;$C776&amp;"'!"&amp;"$"&amp;$D776&amp;$R$1&amp;"")</f>
        <v>6.6</v>
      </c>
      <c r="S776" s="281"/>
      <c r="T776" s="281">
        <v>0.96</v>
      </c>
      <c r="U776" s="279">
        <v>1.92</v>
      </c>
      <c r="V776" s="280" cm="1">
        <f t="array" aca="1" ref="V776" ca="1">INDIRECT("'"&amp;$C776&amp;"'!"&amp;"$"&amp;$D776&amp;$V$1&amp;"")</f>
        <v>2.1</v>
      </c>
      <c r="W776" s="281">
        <f>3.51*3.8</f>
        <v>13.337999999999999</v>
      </c>
      <c r="X776" s="281">
        <v>0.94</v>
      </c>
      <c r="Y776" s="282">
        <v>0.99</v>
      </c>
      <c r="Z776" s="278" cm="1">
        <f t="array" aca="1" ref="Z776" ca="1">INDIRECT("'"&amp;$C776&amp;"'!"&amp;"$"&amp;$D776&amp;$Z$1&amp;"")</f>
        <v>3</v>
      </c>
      <c r="AA776" s="281">
        <f>3.51*3.8</f>
        <v>13.337999999999999</v>
      </c>
      <c r="AB776" s="281">
        <v>0.94</v>
      </c>
      <c r="AC776" s="279">
        <v>1.19</v>
      </c>
      <c r="AD776" s="280" t="str" cm="1">
        <f t="array" aca="1" ref="AD776" ca="1">INDIRECT("'"&amp;$C776&amp;"'!"&amp;"$"&amp;$D776&amp;$AD$1&amp;"")</f>
        <v>CMS</v>
      </c>
      <c r="AE776" s="281" t="s">
        <v>1</v>
      </c>
      <c r="AF776" s="281" t="s">
        <v>1</v>
      </c>
      <c r="AG776" s="282" t="s">
        <v>1</v>
      </c>
      <c r="AH776" s="278" cm="1">
        <f t="array" aca="1" ref="AH776" ca="1">INDIRECT("'"&amp;$C776&amp;"'!"&amp;"$"&amp;$D776&amp;$AH$1&amp;"")</f>
        <v>3</v>
      </c>
      <c r="AI776" s="281">
        <v>14.04</v>
      </c>
      <c r="AJ776" s="281">
        <v>0.99</v>
      </c>
      <c r="AK776" s="279">
        <v>0.21</v>
      </c>
      <c r="AL776" s="278">
        <v>11.6</v>
      </c>
      <c r="AM776" s="282">
        <v>71.400000000000006</v>
      </c>
      <c r="AN776" s="278" cm="1">
        <f t="array" aca="1" ref="AN776" ca="1">INDIRECT("'"&amp;$C776&amp;"'!"&amp;"$"&amp;$D776&amp;$AL$1&amp;"")</f>
        <v>0</v>
      </c>
      <c r="AO776" s="281" t="s">
        <v>1</v>
      </c>
      <c r="AP776" s="279" t="s">
        <v>1</v>
      </c>
      <c r="AQ776" s="280" cm="1">
        <f t="array" aca="1" ref="AQ776" ca="1">INDIRECT("'"&amp;$C776&amp;"'!"&amp;"$"&amp;$D776&amp;$AQ$1&amp;"")</f>
        <v>3.3</v>
      </c>
      <c r="AR776" s="281">
        <v>0.99</v>
      </c>
      <c r="AS776" s="279">
        <v>0.74</v>
      </c>
      <c r="AT776" s="278">
        <v>14.11</v>
      </c>
      <c r="AU776" s="282">
        <v>70.400000000000006</v>
      </c>
      <c r="AV776" s="281" cm="1">
        <f t="array" aca="1" ref="AV776" ca="1">INDIRECT("'"&amp;$C776&amp;"'!"&amp;"$"&amp;$D776&amp;$AV$1&amp;"")</f>
        <v>2.7</v>
      </c>
      <c r="AW776" s="280" t="s">
        <v>1</v>
      </c>
      <c r="AX776" s="281">
        <v>0.95</v>
      </c>
      <c r="AY776" s="279">
        <v>0.79</v>
      </c>
      <c r="AZ776" s="281" cm="1">
        <f t="array" aca="1" ref="AZ776" ca="1">INDIRECT("'"&amp;$C776&amp;"'!"&amp;"$"&amp;$D776&amp;$AZ$1&amp;"")</f>
        <v>7</v>
      </c>
      <c r="BA776" s="280" t="s">
        <v>1</v>
      </c>
      <c r="BB776" s="281">
        <v>0.94</v>
      </c>
      <c r="BC776" s="279">
        <v>2.6</v>
      </c>
      <c r="BD776" s="283">
        <v>14.24</v>
      </c>
      <c r="BE776" s="282">
        <v>71.989999999999995</v>
      </c>
      <c r="BF776" s="283" cm="1">
        <f t="array" aca="1" ref="BF776" ca="1">INDIRECT("'"&amp;$C776&amp;"'!"&amp;"$"&amp;$D776&amp;$BF$1&amp;"")</f>
        <v>14.29</v>
      </c>
      <c r="BG776" s="281">
        <v>0.99</v>
      </c>
      <c r="BH776" s="279">
        <v>2.2999999999999998</v>
      </c>
      <c r="BI776" s="524">
        <v>68.400000000000006</v>
      </c>
      <c r="BJ776" s="278" cm="1">
        <f t="array" aca="1" ref="BJ776" ca="1">INDIRECT("'"&amp;$C776&amp;"'!"&amp;"$"&amp;$D776&amp;$BI$1&amp;"")</f>
        <v>0</v>
      </c>
      <c r="BK776" s="280" t="s">
        <v>1</v>
      </c>
      <c r="BL776" s="279" t="s">
        <v>1</v>
      </c>
      <c r="BM776" s="283" cm="1">
        <f t="array" aca="1" ref="BM776" ca="1">INDIRECT("'"&amp;$C776&amp;"'!"&amp;"$"&amp;$D776&amp;$BM$1&amp;"")</f>
        <v>1.6</v>
      </c>
      <c r="BN776" s="281"/>
      <c r="BO776" s="281">
        <v>0.99</v>
      </c>
      <c r="BP776" s="279">
        <v>0.2</v>
      </c>
      <c r="BQ776" s="284" cm="1">
        <f t="array" aca="1" ref="BQ776" ca="1">INDIRECT("'"&amp;$C776&amp;"'!"&amp;"$"&amp;$D776&amp;$BQ$1&amp;"")</f>
        <v>1.05</v>
      </c>
      <c r="BR776" s="281"/>
      <c r="BS776" s="281">
        <v>0.97</v>
      </c>
      <c r="BT776" s="279">
        <v>0.26</v>
      </c>
      <c r="BU776" s="284" cm="1">
        <f t="array" aca="1" ref="BU776" ca="1">INDIRECT("'"&amp;$C776&amp;"'!"&amp;"$"&amp;$D776&amp;74&amp;"")</f>
        <v>0</v>
      </c>
      <c r="BV776" s="281"/>
      <c r="BW776" s="281" t="s">
        <v>1</v>
      </c>
      <c r="BX776" s="279" t="s">
        <v>1</v>
      </c>
    </row>
    <row r="777" spans="1:76">
      <c r="A777" s="459">
        <v>45869</v>
      </c>
      <c r="B777" s="345">
        <v>0.91666666666666696</v>
      </c>
      <c r="C777" s="305">
        <v>31</v>
      </c>
      <c r="D777" s="306" t="s">
        <v>164</v>
      </c>
      <c r="E777" s="285">
        <v>14.1</v>
      </c>
      <c r="F777" s="286">
        <v>69.900000000000006</v>
      </c>
      <c r="G777" s="287" t="str" cm="1">
        <f t="array" aca="1" ref="G777" ca="1">INDIRECT("'"&amp;$C777&amp;"'!"&amp;"$"&amp;$D777&amp;$E$1&amp;"")</f>
        <v>CMS</v>
      </c>
      <c r="H777" s="288" t="s">
        <v>1</v>
      </c>
      <c r="I777" s="286" t="s">
        <v>1</v>
      </c>
      <c r="J777" s="287" cm="1">
        <f t="array" aca="1" ref="J777" ca="1">INDIRECT("'"&amp;$C777&amp;"'!"&amp;"$"&amp;$D777&amp;$J$1&amp;"")</f>
        <v>6.4</v>
      </c>
      <c r="K777" s="288"/>
      <c r="L777" s="288">
        <v>0.98</v>
      </c>
      <c r="M777" s="289">
        <v>1.32</v>
      </c>
      <c r="N777" s="285" cm="1">
        <f t="array" aca="1" ref="N777" ca="1">INDIRECT("'"&amp;$C777&amp;"'!"&amp;"$"&amp;$D777&amp;$N$1&amp;"")</f>
        <v>6.4</v>
      </c>
      <c r="O777" s="288"/>
      <c r="P777" s="288">
        <v>0.98</v>
      </c>
      <c r="Q777" s="286">
        <v>1.32</v>
      </c>
      <c r="R777" s="285" cm="1">
        <f t="array" aca="1" ref="R777" ca="1">INDIRECT("'"&amp;$C777&amp;"'!"&amp;"$"&amp;$D777&amp;$R$1&amp;"")</f>
        <v>6.4</v>
      </c>
      <c r="S777" s="288"/>
      <c r="T777" s="288">
        <v>0.98</v>
      </c>
      <c r="U777" s="286">
        <v>1.32</v>
      </c>
      <c r="V777" s="287" cm="1">
        <f t="array" aca="1" ref="V777" ca="1">INDIRECT("'"&amp;$C777&amp;"'!"&amp;"$"&amp;$D777&amp;$V$1&amp;"")</f>
        <v>2</v>
      </c>
      <c r="W777" s="288">
        <f>3.8*3.54</f>
        <v>13.452</v>
      </c>
      <c r="X777" s="288">
        <v>0.94</v>
      </c>
      <c r="Y777" s="289">
        <v>0.82</v>
      </c>
      <c r="Z777" s="285" cm="1">
        <f t="array" aca="1" ref="Z777" ca="1">INDIRECT("'"&amp;$C777&amp;"'!"&amp;"$"&amp;$D777&amp;$Z$1&amp;"")</f>
        <v>3</v>
      </c>
      <c r="AA777" s="288">
        <f>3.8*3.54</f>
        <v>13.452</v>
      </c>
      <c r="AB777" s="288">
        <v>0.94</v>
      </c>
      <c r="AC777" s="286">
        <v>1.17</v>
      </c>
      <c r="AD777" s="287" t="str" cm="1">
        <f t="array" aca="1" ref="AD777" ca="1">INDIRECT("'"&amp;$C777&amp;"'!"&amp;"$"&amp;$D777&amp;$AD$1&amp;"")</f>
        <v>CMS</v>
      </c>
      <c r="AE777" s="288" t="s">
        <v>1</v>
      </c>
      <c r="AF777" s="288" t="s">
        <v>1</v>
      </c>
      <c r="AG777" s="289" t="s">
        <v>1</v>
      </c>
      <c r="AH777" s="285" cm="1">
        <f t="array" aca="1" ref="AH777" ca="1">INDIRECT("'"&amp;$C777&amp;"'!"&amp;"$"&amp;$D777&amp;$AH$1&amp;"")</f>
        <v>0</v>
      </c>
      <c r="AI777" s="288" t="s">
        <v>1</v>
      </c>
      <c r="AJ777" s="288" t="s">
        <v>1</v>
      </c>
      <c r="AK777" s="286" t="s">
        <v>1</v>
      </c>
      <c r="AL777" s="285">
        <v>11.6</v>
      </c>
      <c r="AM777" s="289">
        <v>71.099999999999994</v>
      </c>
      <c r="AN777" s="285" cm="1">
        <f t="array" aca="1" ref="AN777" ca="1">INDIRECT("'"&amp;$C777&amp;"'!"&amp;"$"&amp;$D777&amp;$AL$1&amp;"")</f>
        <v>0</v>
      </c>
      <c r="AO777" s="288" t="s">
        <v>1</v>
      </c>
      <c r="AP777" s="286" t="s">
        <v>1</v>
      </c>
      <c r="AQ777" s="287" cm="1">
        <f t="array" aca="1" ref="AQ777" ca="1">INDIRECT("'"&amp;$C777&amp;"'!"&amp;"$"&amp;$D777&amp;$AQ$1&amp;"")</f>
        <v>1.5</v>
      </c>
      <c r="AR777" s="288">
        <v>0.97</v>
      </c>
      <c r="AS777" s="286">
        <v>0.6</v>
      </c>
      <c r="AT777" s="285">
        <v>14.02</v>
      </c>
      <c r="AU777" s="289">
        <v>70.400000000000006</v>
      </c>
      <c r="AV777" s="288" cm="1">
        <f t="array" aca="1" ref="AV777" ca="1">INDIRECT("'"&amp;$C777&amp;"'!"&amp;"$"&amp;$D777&amp;$AV$1&amp;"")</f>
        <v>0</v>
      </c>
      <c r="AW777" s="287" t="s">
        <v>1</v>
      </c>
      <c r="AX777" s="288" t="s">
        <v>1</v>
      </c>
      <c r="AY777" s="286" t="s">
        <v>1</v>
      </c>
      <c r="AZ777" s="288" cm="1">
        <f t="array" aca="1" ref="AZ777" ca="1">INDIRECT("'"&amp;$C777&amp;"'!"&amp;"$"&amp;$D777&amp;$AZ$1&amp;"")</f>
        <v>4.5</v>
      </c>
      <c r="BA777" s="287" t="s">
        <v>1</v>
      </c>
      <c r="BB777" s="288">
        <v>0.92</v>
      </c>
      <c r="BC777" s="286">
        <v>2.1</v>
      </c>
      <c r="BD777" s="290">
        <v>14.14</v>
      </c>
      <c r="BE777" s="289">
        <v>71.91</v>
      </c>
      <c r="BF777" s="290" cm="1">
        <f t="array" aca="1" ref="BF777" ca="1">INDIRECT("'"&amp;$C777&amp;"'!"&amp;"$"&amp;$D777&amp;$BF$1&amp;"")</f>
        <v>14.26</v>
      </c>
      <c r="BG777" s="288">
        <v>1</v>
      </c>
      <c r="BH777" s="286">
        <v>1.2</v>
      </c>
      <c r="BI777" s="525">
        <v>68.900000000000006</v>
      </c>
      <c r="BJ777" s="285" cm="1">
        <f t="array" aca="1" ref="BJ777" ca="1">INDIRECT("'"&amp;$C777&amp;"'!"&amp;"$"&amp;$D777&amp;$BI$1&amp;"")</f>
        <v>0</v>
      </c>
      <c r="BK777" s="287" t="s">
        <v>1</v>
      </c>
      <c r="BL777" s="286" t="s">
        <v>1</v>
      </c>
      <c r="BM777" s="290" cm="1">
        <f t="array" aca="1" ref="BM777" ca="1">INDIRECT("'"&amp;$C777&amp;"'!"&amp;"$"&amp;$D777&amp;$BM$1&amp;"")</f>
        <v>1.42</v>
      </c>
      <c r="BN777" s="288"/>
      <c r="BO777" s="288">
        <v>0.99</v>
      </c>
      <c r="BP777" s="286">
        <v>0.17</v>
      </c>
      <c r="BQ777" s="291" cm="1">
        <f t="array" aca="1" ref="BQ777" ca="1">INDIRECT("'"&amp;$C777&amp;"'!"&amp;"$"&amp;$D777&amp;$BQ$1&amp;"")</f>
        <v>0.99</v>
      </c>
      <c r="BR777" s="288"/>
      <c r="BS777" s="288">
        <v>0.97</v>
      </c>
      <c r="BT777" s="286">
        <v>0.25</v>
      </c>
      <c r="BU777" s="291" cm="1">
        <f t="array" aca="1" ref="BU777" ca="1">INDIRECT("'"&amp;$C777&amp;"'!"&amp;"$"&amp;$D777&amp;74&amp;"")</f>
        <v>0</v>
      </c>
      <c r="BV777" s="288"/>
      <c r="BW777" s="288" t="s">
        <v>1</v>
      </c>
      <c r="BX777" s="286" t="s">
        <v>1</v>
      </c>
    </row>
    <row r="778" spans="1:76" ht="14.45" thickBot="1">
      <c r="A778" s="460">
        <v>45869</v>
      </c>
      <c r="B778" s="346">
        <v>0.95833333333333404</v>
      </c>
      <c r="C778" s="307">
        <v>31</v>
      </c>
      <c r="D778" s="308" t="s">
        <v>165</v>
      </c>
      <c r="E778" s="293">
        <v>14.1</v>
      </c>
      <c r="F778" s="294">
        <v>69.69</v>
      </c>
      <c r="G778" s="295" t="str" cm="1">
        <f t="array" aca="1" ref="G778" ca="1">INDIRECT("'"&amp;$C778&amp;"'!"&amp;"$"&amp;$D778&amp;$E$1&amp;"")</f>
        <v>CMS</v>
      </c>
      <c r="H778" s="296" t="s">
        <v>1</v>
      </c>
      <c r="I778" s="294" t="s">
        <v>1</v>
      </c>
      <c r="J778" s="295" cm="1">
        <f t="array" aca="1" ref="J778" ca="1">INDIRECT("'"&amp;$C778&amp;"'!"&amp;"$"&amp;$D778&amp;$J$1&amp;"")</f>
        <v>6.5</v>
      </c>
      <c r="K778" s="296"/>
      <c r="L778" s="296">
        <v>0.98</v>
      </c>
      <c r="M778" s="297">
        <v>1.33</v>
      </c>
      <c r="N778" s="293" cm="1">
        <f t="array" aca="1" ref="N778" ca="1">INDIRECT("'"&amp;$C778&amp;"'!"&amp;"$"&amp;$D778&amp;$N$1&amp;"")</f>
        <v>6.5</v>
      </c>
      <c r="O778" s="296"/>
      <c r="P778" s="296">
        <v>0.98</v>
      </c>
      <c r="Q778" s="294">
        <v>1.33</v>
      </c>
      <c r="R778" s="470" cm="1">
        <f t="array" aca="1" ref="R778" ca="1">INDIRECT("'"&amp;$C778&amp;"'!"&amp;"$"&amp;$D778&amp;$R$1&amp;"")</f>
        <v>6.5</v>
      </c>
      <c r="S778" s="296"/>
      <c r="T778" s="296">
        <v>0.98</v>
      </c>
      <c r="U778" s="294">
        <v>1.33</v>
      </c>
      <c r="V778" s="295" cm="1">
        <f t="array" aca="1" ref="V778" ca="1">INDIRECT("'"&amp;$C778&amp;"'!"&amp;"$"&amp;$D778&amp;$V$1&amp;"")</f>
        <v>0</v>
      </c>
      <c r="W778" s="296" t="s">
        <v>1</v>
      </c>
      <c r="X778" s="296" t="s">
        <v>1</v>
      </c>
      <c r="Y778" s="297" t="s">
        <v>1</v>
      </c>
      <c r="Z778" s="293" cm="1">
        <f t="array" aca="1" ref="Z778" ca="1">INDIRECT("'"&amp;$C778&amp;"'!"&amp;"$"&amp;$D778&amp;$Z$1&amp;"")</f>
        <v>3.2</v>
      </c>
      <c r="AA778" s="296">
        <f>3.8*3.52</f>
        <v>13.375999999999999</v>
      </c>
      <c r="AB778" s="296">
        <v>0.96</v>
      </c>
      <c r="AC778" s="294">
        <v>0.91</v>
      </c>
      <c r="AD778" s="295" t="str" cm="1">
        <f t="array" aca="1" ref="AD778" ca="1">INDIRECT("'"&amp;$C778&amp;"'!"&amp;"$"&amp;$D778&amp;$AD$1&amp;"")</f>
        <v>CMS</v>
      </c>
      <c r="AE778" s="296" t="s">
        <v>1</v>
      </c>
      <c r="AF778" s="296" t="s">
        <v>1</v>
      </c>
      <c r="AG778" s="297" t="s">
        <v>1</v>
      </c>
      <c r="AH778" s="293" cm="1">
        <f t="array" aca="1" ref="AH778" ca="1">INDIRECT("'"&amp;$C778&amp;"'!"&amp;"$"&amp;$D778&amp;$AH$1&amp;"")</f>
        <v>0</v>
      </c>
      <c r="AI778" s="296" t="s">
        <v>1</v>
      </c>
      <c r="AJ778" s="296" t="s">
        <v>1</v>
      </c>
      <c r="AK778" s="294" t="s">
        <v>1</v>
      </c>
      <c r="AL778" s="293">
        <v>11.6</v>
      </c>
      <c r="AM778" s="297">
        <v>70.87</v>
      </c>
      <c r="AN778" s="293" cm="1">
        <f t="array" aca="1" ref="AN778" ca="1">INDIRECT("'"&amp;$C778&amp;"'!"&amp;"$"&amp;$D778&amp;$AL$1&amp;"")</f>
        <v>0</v>
      </c>
      <c r="AO778" s="296" t="s">
        <v>1</v>
      </c>
      <c r="AP778" s="294" t="s">
        <v>1</v>
      </c>
      <c r="AQ778" s="295" cm="1">
        <f t="array" aca="1" ref="AQ778" ca="1">INDIRECT("'"&amp;$C778&amp;"'!"&amp;"$"&amp;$D778&amp;$AQ$1&amp;"")</f>
        <v>1.5</v>
      </c>
      <c r="AR778" s="296">
        <v>0.95</v>
      </c>
      <c r="AS778" s="294">
        <v>0.62</v>
      </c>
      <c r="AT778" s="293">
        <v>13.97</v>
      </c>
      <c r="AU778" s="297">
        <v>70.5</v>
      </c>
      <c r="AV778" s="296" cm="1">
        <f t="array" aca="1" ref="AV778" ca="1">INDIRECT("'"&amp;$C778&amp;"'!"&amp;"$"&amp;$D778&amp;$AV$1&amp;"")</f>
        <v>0</v>
      </c>
      <c r="AW778" s="295" t="s">
        <v>1</v>
      </c>
      <c r="AX778" s="296" t="s">
        <v>1</v>
      </c>
      <c r="AY778" s="294" t="s">
        <v>1</v>
      </c>
      <c r="AZ778" s="296" cm="1">
        <f t="array" aca="1" ref="AZ778" ca="1">INDIRECT("'"&amp;$C778&amp;"'!"&amp;"$"&amp;$D778&amp;$AZ$1&amp;"")</f>
        <v>7</v>
      </c>
      <c r="BA778" s="295" t="s">
        <v>1</v>
      </c>
      <c r="BB778" s="296">
        <v>0.94</v>
      </c>
      <c r="BC778" s="294">
        <v>2.6</v>
      </c>
      <c r="BD778" s="298">
        <v>13.98</v>
      </c>
      <c r="BE778" s="297">
        <v>71.2</v>
      </c>
      <c r="BF778" s="298" cm="1">
        <f t="array" aca="1" ref="BF778" ca="1">INDIRECT("'"&amp;$C778&amp;"'!"&amp;"$"&amp;$D778&amp;$BF$1&amp;"")</f>
        <v>14.21</v>
      </c>
      <c r="BG778" s="296">
        <v>1</v>
      </c>
      <c r="BH778" s="294">
        <v>1.2</v>
      </c>
      <c r="BI778" s="526">
        <v>68.8</v>
      </c>
      <c r="BJ778" s="293" cm="1">
        <f t="array" aca="1" ref="BJ778" ca="1">INDIRECT("'"&amp;$C778&amp;"'!"&amp;"$"&amp;$D778&amp;$BI$1&amp;"")</f>
        <v>0</v>
      </c>
      <c r="BK778" s="295" t="s">
        <v>1</v>
      </c>
      <c r="BL778" s="294" t="s">
        <v>1</v>
      </c>
      <c r="BM778" s="298" cm="1">
        <f t="array" aca="1" ref="BM778" ca="1">INDIRECT("'"&amp;$C778&amp;"'!"&amp;"$"&amp;$D778&amp;$BM$1&amp;"")</f>
        <v>1.3</v>
      </c>
      <c r="BN778" s="296"/>
      <c r="BO778" s="296">
        <v>0.99</v>
      </c>
      <c r="BP778" s="294">
        <v>0.16</v>
      </c>
      <c r="BQ778" s="299" cm="1">
        <f t="array" aca="1" ref="BQ778" ca="1">INDIRECT("'"&amp;$C778&amp;"'!"&amp;"$"&amp;$D778&amp;$BQ$1&amp;"")</f>
        <v>0.96</v>
      </c>
      <c r="BR778" s="296"/>
      <c r="BS778" s="296">
        <v>0.97</v>
      </c>
      <c r="BT778" s="294">
        <v>0.24</v>
      </c>
      <c r="BU778" s="299" cm="1">
        <f t="array" aca="1" ref="BU778" ca="1">INDIRECT("'"&amp;$C778&amp;"'!"&amp;"$"&amp;$D778&amp;74&amp;"")</f>
        <v>0</v>
      </c>
      <c r="BV778" s="296"/>
      <c r="BW778" s="296" t="s">
        <v>1</v>
      </c>
      <c r="BX778" s="294" t="s">
        <v>1</v>
      </c>
    </row>
    <row r="1047677" spans="12:12">
      <c r="L1047677" s="300" t="s">
        <v>171</v>
      </c>
    </row>
  </sheetData>
  <mergeCells count="36">
    <mergeCell ref="BU2:BX2"/>
    <mergeCell ref="E3:F3"/>
    <mergeCell ref="AL3:AM3"/>
    <mergeCell ref="BD3:BE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BD2:BH2"/>
    <mergeCell ref="BI2:BL2"/>
    <mergeCell ref="BM2:BP2"/>
    <mergeCell ref="BQ2:BT2"/>
    <mergeCell ref="V4:Y4"/>
    <mergeCell ref="Z4:AC4"/>
    <mergeCell ref="AD4:AG4"/>
    <mergeCell ref="AH4:AK4"/>
    <mergeCell ref="AL4:AM4"/>
    <mergeCell ref="BQ4:BT4"/>
    <mergeCell ref="AZ4:BC4"/>
    <mergeCell ref="AT3:AU3"/>
    <mergeCell ref="AT4:AU4"/>
    <mergeCell ref="AL2:AS2"/>
    <mergeCell ref="AT2:BC2"/>
    <mergeCell ref="BU4:BX4"/>
    <mergeCell ref="AQ4:AS4"/>
    <mergeCell ref="AV4:AY4"/>
    <mergeCell ref="BD4:BE4"/>
    <mergeCell ref="BF4:BH4"/>
    <mergeCell ref="BJ4:BL4"/>
    <mergeCell ref="BM4:BP4"/>
  </mergeCells>
  <conditionalFormatting sqref="BN5:BP28 BR5:BT28 BV5:BV28 BG6:BI28 BG5:BH5 BK5:BL28 E5:BF28">
    <cfRule type="cellIs" dxfId="1081" priority="6491" operator="equal">
      <formula>"PMS"</formula>
    </cfRule>
    <cfRule type="cellIs" dxfId="1080" priority="6492" operator="equal">
      <formula>"CMS"</formula>
    </cfRule>
  </conditionalFormatting>
  <conditionalFormatting sqref="BI5:BJ5">
    <cfRule type="cellIs" dxfId="1079" priority="6489" operator="equal">
      <formula>"PMS"</formula>
    </cfRule>
    <cfRule type="cellIs" dxfId="1078" priority="6490" operator="equal">
      <formula>"CMS"</formula>
    </cfRule>
  </conditionalFormatting>
  <conditionalFormatting sqref="BW5:BX28">
    <cfRule type="cellIs" dxfId="1077" priority="6487" operator="equal">
      <formula>"PMS"</formula>
    </cfRule>
    <cfRule type="cellIs" dxfId="1076" priority="6488" operator="equal">
      <formula>"CMS"</formula>
    </cfRule>
  </conditionalFormatting>
  <conditionalFormatting sqref="BJ6:BJ27">
    <cfRule type="cellIs" dxfId="1075" priority="6485" operator="equal">
      <formula>"PMS"</formula>
    </cfRule>
    <cfRule type="cellIs" dxfId="1074" priority="6486" operator="equal">
      <formula>"CMS"</formula>
    </cfRule>
  </conditionalFormatting>
  <conditionalFormatting sqref="BJ28">
    <cfRule type="cellIs" dxfId="1073" priority="6483" operator="equal">
      <formula>"PMS"</formula>
    </cfRule>
    <cfRule type="cellIs" dxfId="1072" priority="6484" operator="equal">
      <formula>"CMS"</formula>
    </cfRule>
  </conditionalFormatting>
  <conditionalFormatting sqref="BM6:BM28">
    <cfRule type="cellIs" dxfId="1071" priority="6481" operator="equal">
      <formula>"PMS"</formula>
    </cfRule>
    <cfRule type="cellIs" dxfId="1070" priority="6482" operator="equal">
      <formula>"CMS"</formula>
    </cfRule>
  </conditionalFormatting>
  <conditionalFormatting sqref="BM5">
    <cfRule type="cellIs" dxfId="1069" priority="6479" operator="equal">
      <formula>"PMS"</formula>
    </cfRule>
    <cfRule type="cellIs" dxfId="1068" priority="6480" operator="equal">
      <formula>"CMS"</formula>
    </cfRule>
  </conditionalFormatting>
  <conditionalFormatting sqref="BQ12:BQ28">
    <cfRule type="cellIs" dxfId="1067" priority="6477" operator="equal">
      <formula>"PMS"</formula>
    </cfRule>
    <cfRule type="cellIs" dxfId="1066" priority="6478" operator="equal">
      <formula>"CMS"</formula>
    </cfRule>
  </conditionalFormatting>
  <conditionalFormatting sqref="BU6:BU28">
    <cfRule type="cellIs" dxfId="1065" priority="6473" operator="equal">
      <formula>"PMS"</formula>
    </cfRule>
    <cfRule type="cellIs" dxfId="1064" priority="6474" operator="equal">
      <formula>"CMS"</formula>
    </cfRule>
  </conditionalFormatting>
  <conditionalFormatting sqref="BU5">
    <cfRule type="cellIs" dxfId="1063" priority="6471" operator="equal">
      <formula>"PMS"</formula>
    </cfRule>
    <cfRule type="cellIs" dxfId="1062" priority="6472" operator="equal">
      <formula>"CMS"</formula>
    </cfRule>
  </conditionalFormatting>
  <conditionalFormatting sqref="BQ5">
    <cfRule type="cellIs" dxfId="1061" priority="4403" operator="equal">
      <formula>"PMS"</formula>
    </cfRule>
    <cfRule type="cellIs" dxfId="1060" priority="4404" operator="equal">
      <formula>"CMS"</formula>
    </cfRule>
  </conditionalFormatting>
  <conditionalFormatting sqref="BQ6">
    <cfRule type="cellIs" dxfId="1059" priority="4401" operator="equal">
      <formula>"PMS"</formula>
    </cfRule>
    <cfRule type="cellIs" dxfId="1058" priority="4402" operator="equal">
      <formula>"CMS"</formula>
    </cfRule>
  </conditionalFormatting>
  <conditionalFormatting sqref="BQ7">
    <cfRule type="cellIs" dxfId="1057" priority="4399" operator="equal">
      <formula>"PMS"</formula>
    </cfRule>
    <cfRule type="cellIs" dxfId="1056" priority="4400" operator="equal">
      <formula>"CMS"</formula>
    </cfRule>
  </conditionalFormatting>
  <conditionalFormatting sqref="BQ8">
    <cfRule type="cellIs" dxfId="1055" priority="4395" operator="equal">
      <formula>"PMS"</formula>
    </cfRule>
    <cfRule type="cellIs" dxfId="1054" priority="4396" operator="equal">
      <formula>"CMS"</formula>
    </cfRule>
  </conditionalFormatting>
  <conditionalFormatting sqref="BQ9">
    <cfRule type="cellIs" dxfId="1053" priority="4393" operator="equal">
      <formula>"PMS"</formula>
    </cfRule>
    <cfRule type="cellIs" dxfId="1052" priority="4394" operator="equal">
      <formula>"CMS"</formula>
    </cfRule>
  </conditionalFormatting>
  <conditionalFormatting sqref="BQ10">
    <cfRule type="cellIs" dxfId="1051" priority="4391" operator="equal">
      <formula>"PMS"</formula>
    </cfRule>
    <cfRule type="cellIs" dxfId="1050" priority="4392" operator="equal">
      <formula>"CMS"</formula>
    </cfRule>
  </conditionalFormatting>
  <conditionalFormatting sqref="BQ11">
    <cfRule type="cellIs" dxfId="1049" priority="4389" operator="equal">
      <formula>"PMS"</formula>
    </cfRule>
    <cfRule type="cellIs" dxfId="1048" priority="4390" operator="equal">
      <formula>"CMS"</formula>
    </cfRule>
  </conditionalFormatting>
  <conditionalFormatting sqref="BN30:BP53 BR30:BT53 BV30:BV53 BG31:BI53 BG30:BH30 BK30:BL53 E30:BF53">
    <cfRule type="cellIs" dxfId="1047" priority="1047" operator="equal">
      <formula>"PMS"</formula>
    </cfRule>
    <cfRule type="cellIs" dxfId="1046" priority="1048" operator="equal">
      <formula>"CMS"</formula>
    </cfRule>
  </conditionalFormatting>
  <conditionalFormatting sqref="BI30:BJ30">
    <cfRule type="cellIs" dxfId="1045" priority="1045" operator="equal">
      <formula>"PMS"</formula>
    </cfRule>
    <cfRule type="cellIs" dxfId="1044" priority="1046" operator="equal">
      <formula>"CMS"</formula>
    </cfRule>
  </conditionalFormatting>
  <conditionalFormatting sqref="BW30:BX53">
    <cfRule type="cellIs" dxfId="1043" priority="1043" operator="equal">
      <formula>"PMS"</formula>
    </cfRule>
    <cfRule type="cellIs" dxfId="1042" priority="1044" operator="equal">
      <formula>"CMS"</formula>
    </cfRule>
  </conditionalFormatting>
  <conditionalFormatting sqref="BJ31:BJ52">
    <cfRule type="cellIs" dxfId="1041" priority="1041" operator="equal">
      <formula>"PMS"</formula>
    </cfRule>
    <cfRule type="cellIs" dxfId="1040" priority="1042" operator="equal">
      <formula>"CMS"</formula>
    </cfRule>
  </conditionalFormatting>
  <conditionalFormatting sqref="BJ53">
    <cfRule type="cellIs" dxfId="1039" priority="1039" operator="equal">
      <formula>"PMS"</formula>
    </cfRule>
    <cfRule type="cellIs" dxfId="1038" priority="1040" operator="equal">
      <formula>"CMS"</formula>
    </cfRule>
  </conditionalFormatting>
  <conditionalFormatting sqref="BM31:BM53">
    <cfRule type="cellIs" dxfId="1037" priority="1037" operator="equal">
      <formula>"PMS"</formula>
    </cfRule>
    <cfRule type="cellIs" dxfId="1036" priority="1038" operator="equal">
      <formula>"CMS"</formula>
    </cfRule>
  </conditionalFormatting>
  <conditionalFormatting sqref="BM30">
    <cfRule type="cellIs" dxfId="1035" priority="1035" operator="equal">
      <formula>"PMS"</formula>
    </cfRule>
    <cfRule type="cellIs" dxfId="1034" priority="1036" operator="equal">
      <formula>"CMS"</formula>
    </cfRule>
  </conditionalFormatting>
  <conditionalFormatting sqref="BQ37:BQ53">
    <cfRule type="cellIs" dxfId="1033" priority="1033" operator="equal">
      <formula>"PMS"</formula>
    </cfRule>
    <cfRule type="cellIs" dxfId="1032" priority="1034" operator="equal">
      <formula>"CMS"</formula>
    </cfRule>
  </conditionalFormatting>
  <conditionalFormatting sqref="BU31:BU53">
    <cfRule type="cellIs" dxfId="1031" priority="1031" operator="equal">
      <formula>"PMS"</formula>
    </cfRule>
    <cfRule type="cellIs" dxfId="1030" priority="1032" operator="equal">
      <formula>"CMS"</formula>
    </cfRule>
  </conditionalFormatting>
  <conditionalFormatting sqref="BU30">
    <cfRule type="cellIs" dxfId="1029" priority="1029" operator="equal">
      <formula>"PMS"</formula>
    </cfRule>
    <cfRule type="cellIs" dxfId="1028" priority="1030" operator="equal">
      <formula>"CMS"</formula>
    </cfRule>
  </conditionalFormatting>
  <conditionalFormatting sqref="BQ30">
    <cfRule type="cellIs" dxfId="1027" priority="1027" operator="equal">
      <formula>"PMS"</formula>
    </cfRule>
    <cfRule type="cellIs" dxfId="1026" priority="1028" operator="equal">
      <formula>"CMS"</formula>
    </cfRule>
  </conditionalFormatting>
  <conditionalFormatting sqref="BQ31">
    <cfRule type="cellIs" dxfId="1025" priority="1025" operator="equal">
      <formula>"PMS"</formula>
    </cfRule>
    <cfRule type="cellIs" dxfId="1024" priority="1026" operator="equal">
      <formula>"CMS"</formula>
    </cfRule>
  </conditionalFormatting>
  <conditionalFormatting sqref="BQ32">
    <cfRule type="cellIs" dxfId="1023" priority="1023" operator="equal">
      <formula>"PMS"</formula>
    </cfRule>
    <cfRule type="cellIs" dxfId="1022" priority="1024" operator="equal">
      <formula>"CMS"</formula>
    </cfRule>
  </conditionalFormatting>
  <conditionalFormatting sqref="BQ33">
    <cfRule type="cellIs" dxfId="1021" priority="1021" operator="equal">
      <formula>"PMS"</formula>
    </cfRule>
    <cfRule type="cellIs" dxfId="1020" priority="1022" operator="equal">
      <formula>"CMS"</formula>
    </cfRule>
  </conditionalFormatting>
  <conditionalFormatting sqref="BQ34">
    <cfRule type="cellIs" dxfId="1019" priority="1019" operator="equal">
      <formula>"PMS"</formula>
    </cfRule>
    <cfRule type="cellIs" dxfId="1018" priority="1020" operator="equal">
      <formula>"CMS"</formula>
    </cfRule>
  </conditionalFormatting>
  <conditionalFormatting sqref="BQ35">
    <cfRule type="cellIs" dxfId="1017" priority="1017" operator="equal">
      <formula>"PMS"</formula>
    </cfRule>
    <cfRule type="cellIs" dxfId="1016" priority="1018" operator="equal">
      <formula>"CMS"</formula>
    </cfRule>
  </conditionalFormatting>
  <conditionalFormatting sqref="BQ36">
    <cfRule type="cellIs" dxfId="1015" priority="1015" operator="equal">
      <formula>"PMS"</formula>
    </cfRule>
    <cfRule type="cellIs" dxfId="1014" priority="1016" operator="equal">
      <formula>"CMS"</formula>
    </cfRule>
  </conditionalFormatting>
  <conditionalFormatting sqref="BN55:BP78 BR55:BT78 BV55:BV78 BG56:BI78 BG55:BH55 BK55:BL78 E55:BF78">
    <cfRule type="cellIs" dxfId="1013" priority="1013" operator="equal">
      <formula>"PMS"</formula>
    </cfRule>
    <cfRule type="cellIs" dxfId="1012" priority="1014" operator="equal">
      <formula>"CMS"</formula>
    </cfRule>
  </conditionalFormatting>
  <conditionalFormatting sqref="BI55:BJ55">
    <cfRule type="cellIs" dxfId="1011" priority="1011" operator="equal">
      <formula>"PMS"</formula>
    </cfRule>
    <cfRule type="cellIs" dxfId="1010" priority="1012" operator="equal">
      <formula>"CMS"</formula>
    </cfRule>
  </conditionalFormatting>
  <conditionalFormatting sqref="BW55:BX78">
    <cfRule type="cellIs" dxfId="1009" priority="1009" operator="equal">
      <formula>"PMS"</formula>
    </cfRule>
    <cfRule type="cellIs" dxfId="1008" priority="1010" operator="equal">
      <formula>"CMS"</formula>
    </cfRule>
  </conditionalFormatting>
  <conditionalFormatting sqref="BJ56:BJ77">
    <cfRule type="cellIs" dxfId="1007" priority="1007" operator="equal">
      <formula>"PMS"</formula>
    </cfRule>
    <cfRule type="cellIs" dxfId="1006" priority="1008" operator="equal">
      <formula>"CMS"</formula>
    </cfRule>
  </conditionalFormatting>
  <conditionalFormatting sqref="BJ78">
    <cfRule type="cellIs" dxfId="1005" priority="1005" operator="equal">
      <formula>"PMS"</formula>
    </cfRule>
    <cfRule type="cellIs" dxfId="1004" priority="1006" operator="equal">
      <formula>"CMS"</formula>
    </cfRule>
  </conditionalFormatting>
  <conditionalFormatting sqref="BM56:BM78">
    <cfRule type="cellIs" dxfId="1003" priority="1003" operator="equal">
      <formula>"PMS"</formula>
    </cfRule>
    <cfRule type="cellIs" dxfId="1002" priority="1004" operator="equal">
      <formula>"CMS"</formula>
    </cfRule>
  </conditionalFormatting>
  <conditionalFormatting sqref="BM55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Q62:BQ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U56:BU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U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Q55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Q56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7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9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Q60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61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N80:BP103 BR80:BT103 BV80:BV103 BG81:BI103 BG80:BH80 BK80:BL103 E80:BF103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I80:BJ80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W80:BX103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J81:BJ102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J103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M81:BM103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M8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Q87:BQ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81:BU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Q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Q81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Q8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4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5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Q86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N105:BP128 BR105:BT128 BV105:BV128 BG106:BI128 BG105:BH105 BK105:BL128 E105:BF128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I105:BJ105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W105:BX128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J106:BJ127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J128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M106:BM128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M10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Q112:BQ128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106:BU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105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Q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Q10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Q10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Q10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9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10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11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30:BP153 BR130:BT153 BV130:BV153 BG131:BI153 BG130:BH130 BK130:BL153 E130:BF153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I130:BJ130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W130:BX153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J131:BJ152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J153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M131:BM153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M130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Q137:BQ153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31:BU153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30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Q130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Q131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Q132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Q13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Q134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5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6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55:BP178 BR155:BT178 BV155:BV178 BG156:BI178 BG155:BH155 BK155:BL178 E155:BF178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I155:BJ155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W155:BX178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J156:BJ177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J178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M156:BM178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M155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Q162:BQ178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56:BU178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5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Q155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Q156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Q157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Q15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Q159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Q160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61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N180:BP203 BR180:BT203 BV180:BV203 BG181:BI203 BG180:BH180 BK180:BL203 E180:BF203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I180:BJ180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W180:BX203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J181:BJ202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J203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M181:BM203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M180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Q187:BQ203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81:BU203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8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Q18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Q18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Q182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Q183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Q184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Q185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Q186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5:BP228 BR205:BT228 BV205:BV228 BG206:BI228 BG205:BH205 BK205:BL228 E205:BF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I205:BJ205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W205:BX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J206:BJ227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J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M206:BM228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M205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Q212:BQ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206:BU228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205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Q20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Q20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Q207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Q208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9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10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Q211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30:BP253 BR230:BT253 BV230:BV253 BG231:BI253 BG230:BH230 BK230:BL253 E230:BF253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I230:BJ230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W230:BX253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J231:BJ252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J253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M231:BM253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M230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Q237:BQ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31:BU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30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0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Q232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Q23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4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5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6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N255:BP278 BR255:BT278 BV255:BV278 BG256:BI278 BG255:BH255 BK255:BL278 E255:BF278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I255:BJ255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W255:BX278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J256:BJ277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J278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M256:BM278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M25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Q262:BQ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56:BU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5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Q255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7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Q25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Q259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60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61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N280:BP303 BR280:BT303 BV280:BV303 BG281:BI303 BG280:BH280 BK280:BL303 E280:BF303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I280:BJ280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W280:BX303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J281:BJ302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J303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M281:BM303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M28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Q287:BQ303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81:BU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80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Q28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Q28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2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Q284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Q285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6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305:BP328 BR305:BT328 BV305:BV328 BG306:BI328 BG305:BH305 BK305:BL328 E305:BF328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I305:BJ305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W305:BX328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J306:BJ327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J328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M306:BM328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M305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Q312:BQ328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306:BU328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305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Q305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Q306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Q307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9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Q310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Q311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30:BP353 BR330:BT353 BV330:BV353 BG331:BI353 BG330:BH330 BK330:BL353 E330:BF353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I330:BJ330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W330:BX353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J331:BJ352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J353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M331:BM353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M330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Q337:BQ353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31:BU353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3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Q330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Q331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Q332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Q33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4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5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Q336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5:BP378 BR355:BT378 BV355:BV378 BG356:BI378 BG355:BH355 BK355:BL378 E362:Z378 AD355:AD361 E355:K361 N361:Z361 N355:V360 Z355:Z360 AH355:AN355 AH356:AH361 AL356:AN361 AQ355:BF361 AD362:BF378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I355:BJ355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W355:BX378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J356:BJ377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J378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M356:BM378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M355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Q362:BQ378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56:BU378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5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Q35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Q35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Q357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Q35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Q359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60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61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N380:BP403 BR380:BT403 BV380:BV403 BG381:BI403 BG380:BH380 BK380:BL403 E380:BF381 E382:V387 Z382:Z387 AD382:AD387 AH382:AH387 AL386:BF387 AL382:AN385 AQ382:AW385 AZ382:BF385 E388:BF403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I380:BJ380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W380:BX403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J381:BJ402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J403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81:BM403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M380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87:BQ403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81:BU403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80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Q38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Q38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Q382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Q38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Q384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Q385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6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405:BT428 BV405:BV428 BG406:BI428 BG405:BH405 BK405:BL428 BN405:BP428 E405:BF428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I405:BJ405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W405:BX428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J406:BJ427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J428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M406:BM428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405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Q412:BQ428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406:BU428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405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Q405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Q406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Q407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Q40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Q409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Q410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Q411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30:BP453 BR430:BT453 BV430:BV453 BG431:BI453 BG430:BH430 BK430:BL453 E430:BF453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I430:BJ430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W430:BX453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J431:BJ452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J453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M431:BM453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M430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Q437:BQ453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31:BU453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30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Q430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Q431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Q432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Q433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Q434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Q435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Q436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5:BP478 BR455:BT478 BV455:BV478 BG456:BI478 BG455:BH455 BK455:BL478 E455:BF478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I455:BJ455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W455:BX478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J456:BJ477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J478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56:BM478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M455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62:BQ478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56:BU478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55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55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Q456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Q457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Q458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Q459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Q460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Q461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N480:BP503 BR480:BT503 BV480:BV503 BG481:BI503 BG480:BH480 BK480:BL503 E480:BF503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I480:BJ480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W480:BX503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J481:BJ502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J503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81:BM503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80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87:BQ503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U481:BU503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80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Q480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81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Q482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Q483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Q484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Q485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Q486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N505:BP528 BR505:BT528 BV505:BV528 BG506:BI528 BG505:BH505 BK505:BL528 E505:BF528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I505:BJ505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W505:BX528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J506:BJ527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J528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M506:BM528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505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512:BQ528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506:BU528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U505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Q505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Q506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507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Q508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Q509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Q510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Q511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N530:BP553 BR530:BT553 BV530:BV553 BG531:BI553 BG530:BH530 BK530:BL553 E530:BF55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I530:BJ530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W530:BX553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J531:BJ552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J553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M531:BM553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M530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Q537:BQ553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U531:BU553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30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30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Q531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Q532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33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Q534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Q53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Q53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N555:BP578 BR555:BT578 BV555:BV578 BG556:BI578 BG555:BH555 BK555:BL578 E555:BF578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I555:BJ555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W555:BX578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J556:BJ577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J578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M556:BM578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M555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Q562:BQ578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U556:BU578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U555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55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56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Q557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Q558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59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Q56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Q561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N580:BP603 BR580:BT603 BV580:BV603 BG581:BI603 BG580:BH580 BK580:BL603 E580:BF603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I580:BJ580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W580:BX60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J581:BJ602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J603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M581:BM603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M580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87:BQ603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81:BU603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U580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80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81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82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Q583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Q584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8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Q586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N605:BP628 BR605:BT628 BV605:BV628 BG606:BI628 BG605:BH605 BK605:BL628 E605:BF62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I605:BJ605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W605:BX628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J606:BJ627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J628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M606:BM628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M605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612:BQ628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606:BU628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605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Q605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606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607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608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Q609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Q61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61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N630:BP653 BR630:BT653 BV630:BV653 BG631:BI653 BG630:BH630 BK630:BL653 E630:BF65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I630:BJ63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W630:BX653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J631:BJ65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J65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M631:BM653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M630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Q637:BQ653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U631:BU653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30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Q630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Q631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32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33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34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Q63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Q63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N655:BP678 BR655:BT678 BV655:BV678 BG656:BI678 BG655:BH655 BK655:BL678 E655:BF678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I655:BJ65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W655:BX67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J656:BJ677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J678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M656:BM67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M655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Q662:BQ678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56:BU678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U655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55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Q656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Q657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58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59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6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Q661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80:BP703 BR680:BT703 BV680:BV703 BG681:BI703 BG680:BH680 BK680:BL703 E680:BF703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I680:BJ68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W680:BX70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J681:BJ702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J703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M681:BM703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M680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Q687:BQ703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81:BU703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80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80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81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Q682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Q683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84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8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86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N705:BP728 BR705:BT728 BV705:BV728 BG706:BI728 BG705:BH705 BK705:BL728 E705:BF728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I705:BJ70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W705:BX728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J706:BJ72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J72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M706:BM728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M705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Q712:BQ72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706:BU728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705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Q705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706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707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Q708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Q709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71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711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N730:BP753 BR730:BT753 BV730:BV753 BG731:BI753 BG730:BH730 BK730:BL753 E730:BF75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I730:BJ73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W730:BX753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J731:BJ75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J75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M731:BM75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M730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Q737:BQ753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731:BU75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730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Q730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Q731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32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33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Q734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Q73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36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55:BP778 BR755:BT778 BV755:BV778 BG756:BI778 BG755:BH755 BK755:BL778 E755:BF77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I755:BJ75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W755:BX778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J756:BJ77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J778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M756:BM77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M75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Q762:BQ778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56:BU778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55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Q755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Q756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Q757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58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59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Q760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Q761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AA355:AC3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AE355:AG361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L355:M359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L360:M361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W355:Y36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O355:AP36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AO361:AP361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AI356:AK361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W382:Y387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AA382:AC387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E382:AG387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I382:AK387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O382:AP38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X382:AY385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21"/>
  <sheetViews>
    <sheetView tabSelected="1" zoomScaleNormal="100" workbookViewId="0">
      <pane ySplit="1" topLeftCell="A1196" activePane="bottomLeft" state="frozen"/>
      <selection pane="bottomLeft" activeCell="A16" sqref="A16:XFD1221"/>
    </sheetView>
  </sheetViews>
  <sheetFormatPr defaultColWidth="8.85546875" defaultRowHeight="13.9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27.7109375" style="100" customWidth="1"/>
    <col min="7" max="7" width="13.85546875" style="37" bestFit="1" customWidth="1"/>
    <col min="8" max="8" width="59.85546875" style="94" customWidth="1"/>
    <col min="9" max="9" width="13.42578125" style="37" customWidth="1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>
      <c r="A1" s="90" t="s">
        <v>172</v>
      </c>
      <c r="B1" s="234" t="s">
        <v>173</v>
      </c>
      <c r="C1" s="95" t="s">
        <v>174</v>
      </c>
      <c r="D1" s="95" t="s">
        <v>175</v>
      </c>
      <c r="E1" s="90" t="s">
        <v>176</v>
      </c>
      <c r="F1" s="99" t="s">
        <v>177</v>
      </c>
      <c r="G1" s="91" t="s">
        <v>178</v>
      </c>
      <c r="H1" s="92" t="s">
        <v>179</v>
      </c>
      <c r="J1" s="90"/>
      <c r="K1" s="169"/>
      <c r="L1" s="169"/>
    </row>
    <row r="2" spans="1:12">
      <c r="A2" s="37" t="s">
        <v>180</v>
      </c>
      <c r="B2" s="93">
        <v>45633</v>
      </c>
      <c r="C2" s="37" t="s">
        <v>181</v>
      </c>
      <c r="G2" s="37" t="s">
        <v>9</v>
      </c>
    </row>
    <row r="3" spans="1:12">
      <c r="A3" s="37" t="s">
        <v>182</v>
      </c>
      <c r="B3" s="93">
        <v>45791</v>
      </c>
      <c r="C3" s="37" t="s">
        <v>183</v>
      </c>
      <c r="D3" s="93">
        <v>45845</v>
      </c>
      <c r="E3" s="37" t="s">
        <v>184</v>
      </c>
      <c r="F3" s="100">
        <f>(D3 + TIME(LEFT(E3, 2), MID(E3, 3, 2), 0)) - (B3 + TIME(LEFT(C3, 2), MID(C3, 3, 2), 0))</f>
        <v>54.001388888893416</v>
      </c>
      <c r="G3" s="37" t="s">
        <v>9</v>
      </c>
    </row>
    <row r="4" spans="1:12">
      <c r="A4" s="37" t="s">
        <v>185</v>
      </c>
      <c r="B4" s="93">
        <v>45693</v>
      </c>
      <c r="C4" s="37" t="s">
        <v>186</v>
      </c>
      <c r="G4" s="37" t="s">
        <v>9</v>
      </c>
      <c r="H4" s="94" t="s">
        <v>187</v>
      </c>
    </row>
    <row r="5" spans="1:12" ht="27.6">
      <c r="A5" s="37" t="s">
        <v>188</v>
      </c>
      <c r="B5" s="93">
        <v>45795</v>
      </c>
      <c r="C5" s="37" t="s">
        <v>189</v>
      </c>
      <c r="G5" s="37" t="s">
        <v>9</v>
      </c>
      <c r="H5" s="94" t="s">
        <v>190</v>
      </c>
    </row>
    <row r="6" spans="1:12">
      <c r="A6" s="37" t="s">
        <v>191</v>
      </c>
      <c r="B6" s="93">
        <v>45821</v>
      </c>
      <c r="C6" s="37" t="s">
        <v>192</v>
      </c>
      <c r="D6" s="93">
        <v>45856</v>
      </c>
      <c r="E6" s="37" t="s">
        <v>193</v>
      </c>
      <c r="F6" s="100">
        <f>(D6 + TIME(LEFT(E6, 2), MID(E6, 3, 2), 0)) - (B6 + TIME(LEFT(C6, 2), MID(C6, 3, 2), 0))</f>
        <v>35.006944444437977</v>
      </c>
    </row>
    <row r="7" spans="1:12">
      <c r="A7" s="37" t="s">
        <v>194</v>
      </c>
      <c r="B7" s="93">
        <v>45837</v>
      </c>
      <c r="C7" s="37" t="s">
        <v>195</v>
      </c>
      <c r="D7" s="93">
        <v>45840</v>
      </c>
      <c r="E7" s="37" t="s">
        <v>196</v>
      </c>
      <c r="F7" s="100">
        <f>(D7 + TIME(LEFT(E7, 2), MID(E7, 3, 2), 0)) - (B7 + TIME(LEFT(C7, 2), MID(C7, 3, 2), 0))</f>
        <v>3.3472222222189885</v>
      </c>
    </row>
    <row r="8" spans="1:12">
      <c r="A8" s="37" t="s">
        <v>197</v>
      </c>
      <c r="B8" s="93">
        <v>45837</v>
      </c>
      <c r="C8" s="37" t="s">
        <v>198</v>
      </c>
      <c r="D8" s="93">
        <v>45840</v>
      </c>
      <c r="E8" s="37" t="s">
        <v>199</v>
      </c>
      <c r="F8" s="100">
        <f t="shared" ref="F8:F30" si="0">(D8 + TIME(LEFT(E8, 2), MID(E8, 3, 2), 0)) - (B8 + TIME(LEFT(C8, 2), MID(C8, 3, 2), 0))</f>
        <v>2.4000000000014552</v>
      </c>
    </row>
    <row r="9" spans="1:12">
      <c r="A9" s="37" t="s">
        <v>200</v>
      </c>
      <c r="B9" s="93">
        <v>45837</v>
      </c>
      <c r="C9" s="37" t="s">
        <v>201</v>
      </c>
      <c r="D9" s="93">
        <v>45839</v>
      </c>
      <c r="E9" s="37" t="s">
        <v>202</v>
      </c>
      <c r="F9" s="100">
        <f t="shared" si="0"/>
        <v>1.4638888888875954</v>
      </c>
    </row>
    <row r="10" spans="1:12">
      <c r="A10" s="37" t="s">
        <v>203</v>
      </c>
      <c r="B10" s="93">
        <v>45838</v>
      </c>
      <c r="C10" s="37" t="s">
        <v>204</v>
      </c>
      <c r="D10" s="93">
        <v>45838</v>
      </c>
      <c r="E10" s="37" t="s">
        <v>205</v>
      </c>
      <c r="F10" s="100">
        <f t="shared" si="0"/>
        <v>0.6652777777708252</v>
      </c>
    </row>
    <row r="11" spans="1:12">
      <c r="A11" s="37" t="s">
        <v>206</v>
      </c>
      <c r="B11" s="93">
        <v>45838</v>
      </c>
      <c r="C11" s="37" t="s">
        <v>207</v>
      </c>
      <c r="D11" s="93">
        <v>45839</v>
      </c>
      <c r="E11" s="37" t="s">
        <v>208</v>
      </c>
      <c r="F11" s="100">
        <f t="shared" si="0"/>
        <v>0.60208333333866904</v>
      </c>
    </row>
    <row r="12" spans="1:12">
      <c r="A12" s="37" t="s">
        <v>209</v>
      </c>
      <c r="B12" s="93">
        <v>45838</v>
      </c>
      <c r="C12" s="37" t="s">
        <v>210</v>
      </c>
      <c r="D12" s="93">
        <v>45839</v>
      </c>
      <c r="E12" s="37" t="s">
        <v>211</v>
      </c>
      <c r="F12" s="100">
        <f t="shared" si="0"/>
        <v>0.62708333333284827</v>
      </c>
      <c r="G12" s="37" t="s">
        <v>9</v>
      </c>
      <c r="H12" s="94" t="s">
        <v>212</v>
      </c>
    </row>
    <row r="13" spans="1:12">
      <c r="A13" s="37" t="s">
        <v>213</v>
      </c>
      <c r="B13" s="93">
        <v>45838</v>
      </c>
      <c r="C13" s="37" t="s">
        <v>214</v>
      </c>
      <c r="D13" s="93">
        <v>45839</v>
      </c>
      <c r="E13" s="37" t="s">
        <v>215</v>
      </c>
      <c r="F13" s="100">
        <f t="shared" si="0"/>
        <v>0.49861111110658385</v>
      </c>
    </row>
    <row r="14" spans="1:12">
      <c r="A14" s="37" t="s">
        <v>216</v>
      </c>
      <c r="B14" s="93">
        <v>45838</v>
      </c>
      <c r="C14" s="37" t="s">
        <v>217</v>
      </c>
      <c r="D14" s="93">
        <v>45839</v>
      </c>
      <c r="E14" s="37" t="s">
        <v>218</v>
      </c>
      <c r="F14" s="100">
        <f t="shared" si="0"/>
        <v>0.50069444443943212</v>
      </c>
    </row>
    <row r="15" spans="1:12">
      <c r="A15" s="37" t="s">
        <v>219</v>
      </c>
      <c r="B15" s="93">
        <v>45838</v>
      </c>
      <c r="C15" s="37" t="s">
        <v>220</v>
      </c>
      <c r="D15" s="93">
        <v>45839</v>
      </c>
      <c r="E15" s="37" t="s">
        <v>221</v>
      </c>
      <c r="F15" s="100">
        <f t="shared" si="0"/>
        <v>0.62569444443943212</v>
      </c>
    </row>
    <row r="16" spans="1:12">
      <c r="A16" s="37" t="s">
        <v>222</v>
      </c>
      <c r="B16" s="93">
        <v>45839</v>
      </c>
      <c r="C16" s="37" t="s">
        <v>223</v>
      </c>
      <c r="D16" s="93">
        <v>45839</v>
      </c>
      <c r="E16" s="37" t="s">
        <v>224</v>
      </c>
      <c r="F16" s="100">
        <f t="shared" si="0"/>
        <v>0.66736111111094942</v>
      </c>
    </row>
    <row r="17" spans="1:6">
      <c r="A17" s="37" t="s">
        <v>203</v>
      </c>
      <c r="B17" s="93">
        <v>45839</v>
      </c>
      <c r="C17" s="37" t="s">
        <v>225</v>
      </c>
      <c r="D17" s="93">
        <v>45839</v>
      </c>
      <c r="E17" s="37" t="s">
        <v>226</v>
      </c>
      <c r="F17" s="100">
        <f t="shared" si="0"/>
        <v>0.74583333333430346</v>
      </c>
    </row>
    <row r="18" spans="1:6">
      <c r="A18" s="37" t="s">
        <v>227</v>
      </c>
      <c r="B18" s="93">
        <v>45839</v>
      </c>
      <c r="C18" s="37" t="s">
        <v>228</v>
      </c>
      <c r="D18" s="93">
        <v>45839</v>
      </c>
      <c r="E18" s="37" t="s">
        <v>229</v>
      </c>
      <c r="F18" s="100">
        <f t="shared" si="0"/>
        <v>1.5972222223354038E-2</v>
      </c>
    </row>
    <row r="19" spans="1:6">
      <c r="A19" s="37" t="s">
        <v>230</v>
      </c>
      <c r="B19" s="93">
        <v>45839</v>
      </c>
      <c r="C19" s="37" t="s">
        <v>231</v>
      </c>
      <c r="D19" s="93">
        <v>45839</v>
      </c>
      <c r="E19" s="37" t="s">
        <v>232</v>
      </c>
      <c r="F19" s="100">
        <f t="shared" si="0"/>
        <v>2.0138888889050577E-2</v>
      </c>
    </row>
    <row r="20" spans="1:6">
      <c r="A20" s="37" t="s">
        <v>233</v>
      </c>
      <c r="B20" s="93">
        <v>45839</v>
      </c>
      <c r="C20" s="37" t="s">
        <v>234</v>
      </c>
      <c r="D20" s="93">
        <v>45839</v>
      </c>
      <c r="E20" s="37" t="s">
        <v>193</v>
      </c>
      <c r="F20" s="100">
        <f t="shared" si="0"/>
        <v>0.34166666666715173</v>
      </c>
    </row>
    <row r="21" spans="1:6">
      <c r="A21" s="37" t="s">
        <v>235</v>
      </c>
      <c r="B21" s="93">
        <v>45839</v>
      </c>
      <c r="C21" s="37" t="s">
        <v>236</v>
      </c>
      <c r="D21" s="93">
        <v>45839</v>
      </c>
      <c r="E21" s="37" t="s">
        <v>237</v>
      </c>
      <c r="F21" s="100">
        <f t="shared" si="0"/>
        <v>0.26041666666424135</v>
      </c>
    </row>
    <row r="22" spans="1:6">
      <c r="A22" s="37" t="s">
        <v>200</v>
      </c>
      <c r="B22" s="93">
        <v>45839</v>
      </c>
      <c r="C22" s="37" t="s">
        <v>238</v>
      </c>
      <c r="D22" s="93">
        <v>45840</v>
      </c>
      <c r="E22" s="37" t="s">
        <v>239</v>
      </c>
      <c r="F22" s="100">
        <f t="shared" si="0"/>
        <v>0.82986111110949423</v>
      </c>
    </row>
    <row r="23" spans="1:6">
      <c r="A23" s="37" t="s">
        <v>240</v>
      </c>
      <c r="B23" s="93">
        <v>45839</v>
      </c>
      <c r="C23" s="37" t="s">
        <v>241</v>
      </c>
      <c r="D23" s="93">
        <v>45839</v>
      </c>
      <c r="E23" s="37" t="s">
        <v>242</v>
      </c>
      <c r="F23" s="100">
        <f t="shared" si="0"/>
        <v>1.4583333337213844E-2</v>
      </c>
    </row>
    <row r="24" spans="1:6">
      <c r="A24" s="37" t="s">
        <v>243</v>
      </c>
      <c r="B24" s="93">
        <v>45839</v>
      </c>
      <c r="C24" s="37" t="s">
        <v>244</v>
      </c>
      <c r="D24" s="93">
        <v>45839</v>
      </c>
      <c r="E24" s="37" t="s">
        <v>245</v>
      </c>
      <c r="F24" s="100">
        <f t="shared" si="0"/>
        <v>9.0277777781011537E-3</v>
      </c>
    </row>
    <row r="25" spans="1:6">
      <c r="A25" s="37" t="s">
        <v>246</v>
      </c>
      <c r="B25" s="93">
        <v>45839</v>
      </c>
      <c r="C25" s="37" t="s">
        <v>244</v>
      </c>
      <c r="D25" s="93">
        <v>45839</v>
      </c>
      <c r="E25" s="37" t="s">
        <v>247</v>
      </c>
      <c r="F25" s="100">
        <f t="shared" si="0"/>
        <v>1.3888888890505768E-2</v>
      </c>
    </row>
    <row r="26" spans="1:6">
      <c r="A26" s="37" t="s">
        <v>209</v>
      </c>
      <c r="B26" s="93">
        <v>45839</v>
      </c>
      <c r="C26" s="37" t="s">
        <v>248</v>
      </c>
      <c r="D26" s="93">
        <v>45840</v>
      </c>
      <c r="E26" s="37" t="s">
        <v>249</v>
      </c>
      <c r="F26" s="100">
        <f t="shared" si="0"/>
        <v>0.66388888889196096</v>
      </c>
    </row>
    <row r="27" spans="1:6">
      <c r="A27" s="37" t="s">
        <v>216</v>
      </c>
      <c r="B27" s="93">
        <v>45839</v>
      </c>
      <c r="C27" s="37" t="s">
        <v>250</v>
      </c>
      <c r="D27" s="93">
        <v>45840</v>
      </c>
      <c r="E27" s="37" t="s">
        <v>218</v>
      </c>
      <c r="F27" s="100">
        <f t="shared" si="0"/>
        <v>0.62569444443943212</v>
      </c>
    </row>
    <row r="28" spans="1:6">
      <c r="A28" s="37" t="s">
        <v>251</v>
      </c>
      <c r="B28" s="93">
        <v>45839</v>
      </c>
      <c r="C28" s="37" t="s">
        <v>252</v>
      </c>
      <c r="D28" s="93">
        <v>45839</v>
      </c>
      <c r="E28" s="37" t="s">
        <v>253</v>
      </c>
      <c r="F28" s="100">
        <f t="shared" si="0"/>
        <v>0.55694444444816327</v>
      </c>
    </row>
    <row r="29" spans="1:6">
      <c r="A29" s="37" t="s">
        <v>254</v>
      </c>
      <c r="B29" s="93">
        <v>45839</v>
      </c>
      <c r="C29" s="37" t="s">
        <v>255</v>
      </c>
      <c r="D29" s="93">
        <v>45839</v>
      </c>
      <c r="E29" s="37" t="s">
        <v>256</v>
      </c>
      <c r="F29" s="100">
        <f t="shared" si="0"/>
        <v>0.4805555555576575</v>
      </c>
    </row>
    <row r="30" spans="1:6">
      <c r="A30" s="37" t="s">
        <v>235</v>
      </c>
      <c r="B30" s="93">
        <v>45839</v>
      </c>
      <c r="C30" s="37" t="s">
        <v>257</v>
      </c>
      <c r="D30" s="93">
        <v>45839</v>
      </c>
      <c r="E30" s="37" t="s">
        <v>258</v>
      </c>
      <c r="F30" s="100">
        <f t="shared" si="0"/>
        <v>1.3888888934161514E-3</v>
      </c>
    </row>
    <row r="31" spans="1:6">
      <c r="A31" s="37" t="s">
        <v>213</v>
      </c>
      <c r="B31" s="93">
        <v>45839</v>
      </c>
      <c r="C31" s="37" t="s">
        <v>257</v>
      </c>
      <c r="D31" s="93">
        <v>45840</v>
      </c>
      <c r="E31" s="37" t="s">
        <v>215</v>
      </c>
      <c r="F31" s="100">
        <f t="shared" ref="F31:F40" si="1">(D31 + TIME(LEFT(E31, 2), MID(E31, 3, 2), 0)) - (B31 + TIME(LEFT(C31, 2), MID(C31, 3, 2), 0))</f>
        <v>0.73194444444379769</v>
      </c>
    </row>
    <row r="32" spans="1:6">
      <c r="A32" s="37" t="s">
        <v>230</v>
      </c>
      <c r="B32" s="93">
        <v>45839</v>
      </c>
      <c r="C32" s="37" t="s">
        <v>259</v>
      </c>
      <c r="D32" s="93">
        <v>45839</v>
      </c>
      <c r="E32" s="37" t="s">
        <v>260</v>
      </c>
      <c r="F32" s="100">
        <f t="shared" si="1"/>
        <v>3.0555555553291924E-2</v>
      </c>
    </row>
    <row r="33" spans="1:8">
      <c r="A33" s="37" t="s">
        <v>240</v>
      </c>
      <c r="B33" s="93">
        <v>45839</v>
      </c>
      <c r="C33" s="37" t="s">
        <v>261</v>
      </c>
      <c r="D33" s="93">
        <v>45839</v>
      </c>
      <c r="E33" s="37" t="s">
        <v>262</v>
      </c>
      <c r="F33" s="100">
        <f t="shared" si="1"/>
        <v>6.8749999998544808E-2</v>
      </c>
    </row>
    <row r="34" spans="1:8">
      <c r="A34" s="37" t="s">
        <v>243</v>
      </c>
      <c r="B34" s="93">
        <v>45839</v>
      </c>
      <c r="C34" s="37" t="s">
        <v>263</v>
      </c>
      <c r="D34" s="93">
        <v>45839</v>
      </c>
      <c r="E34" s="37" t="s">
        <v>264</v>
      </c>
      <c r="F34" s="100">
        <f t="shared" si="1"/>
        <v>7.0833333331393078E-2</v>
      </c>
    </row>
    <row r="35" spans="1:8">
      <c r="A35" s="37" t="s">
        <v>206</v>
      </c>
      <c r="B35" s="93">
        <v>45839</v>
      </c>
      <c r="C35" s="37" t="s">
        <v>265</v>
      </c>
      <c r="D35" s="93">
        <v>45840</v>
      </c>
      <c r="E35" s="37" t="s">
        <v>266</v>
      </c>
      <c r="F35" s="100">
        <f t="shared" si="1"/>
        <v>0.49861111111385981</v>
      </c>
    </row>
    <row r="36" spans="1:8">
      <c r="A36" s="37" t="s">
        <v>246</v>
      </c>
      <c r="B36" s="93">
        <v>45839</v>
      </c>
      <c r="C36" s="37" t="s">
        <v>267</v>
      </c>
      <c r="D36" s="93">
        <v>45839</v>
      </c>
      <c r="E36" s="37" t="s">
        <v>268</v>
      </c>
      <c r="F36" s="100">
        <f t="shared" si="1"/>
        <v>4.1666666664241347E-2</v>
      </c>
    </row>
    <row r="37" spans="1:8">
      <c r="A37" s="37" t="s">
        <v>219</v>
      </c>
      <c r="B37" s="93">
        <v>45839</v>
      </c>
      <c r="C37" s="37" t="s">
        <v>269</v>
      </c>
      <c r="D37" s="93">
        <v>45840</v>
      </c>
      <c r="E37" s="37" t="s">
        <v>270</v>
      </c>
      <c r="F37" s="100">
        <f t="shared" si="1"/>
        <v>0.75069444444670808</v>
      </c>
    </row>
    <row r="38" spans="1:8">
      <c r="A38" s="37" t="s">
        <v>203</v>
      </c>
      <c r="B38" s="93">
        <v>45839</v>
      </c>
      <c r="C38" s="37" t="s">
        <v>226</v>
      </c>
      <c r="D38" s="93">
        <v>45840</v>
      </c>
      <c r="E38" s="37" t="s">
        <v>271</v>
      </c>
      <c r="F38" s="100">
        <f t="shared" si="1"/>
        <v>0.15138888888759539</v>
      </c>
      <c r="G38" s="37" t="s">
        <v>9</v>
      </c>
      <c r="H38" s="94" t="s">
        <v>272</v>
      </c>
    </row>
    <row r="39" spans="1:8">
      <c r="A39" s="37" t="s">
        <v>254</v>
      </c>
      <c r="B39" s="93">
        <v>45839</v>
      </c>
      <c r="C39" s="37" t="s">
        <v>256</v>
      </c>
      <c r="D39" s="93">
        <v>45840</v>
      </c>
      <c r="E39" s="37" t="s">
        <v>273</v>
      </c>
      <c r="F39" s="100">
        <f t="shared" si="1"/>
        <v>0.46458333333430346</v>
      </c>
      <c r="G39" s="37" t="s">
        <v>9</v>
      </c>
      <c r="H39" s="23" t="s">
        <v>274</v>
      </c>
    </row>
    <row r="40" spans="1:8">
      <c r="A40" s="37" t="s">
        <v>230</v>
      </c>
      <c r="B40" s="93">
        <v>45839</v>
      </c>
      <c r="C40" s="37" t="s">
        <v>256</v>
      </c>
      <c r="D40" s="93">
        <v>45839</v>
      </c>
      <c r="E40" s="37" t="s">
        <v>275</v>
      </c>
      <c r="F40" s="100">
        <f t="shared" si="1"/>
        <v>1.4583333337213844E-2</v>
      </c>
    </row>
    <row r="41" spans="1:8">
      <c r="A41" s="37" t="s">
        <v>203</v>
      </c>
      <c r="B41" s="93">
        <v>45840</v>
      </c>
      <c r="C41" s="37" t="s">
        <v>271</v>
      </c>
      <c r="D41" s="93">
        <v>45842</v>
      </c>
      <c r="E41" s="37" t="s">
        <v>276</v>
      </c>
      <c r="F41" s="100">
        <f t="shared" ref="F41:F47" si="2">(D41 + TIME(LEFT(E41, 2), MID(E41, 3, 2), 0)) - (B41 + TIME(LEFT(C41, 2), MID(C41, 3, 2), 0))</f>
        <v>2.8715277777810115</v>
      </c>
    </row>
    <row r="42" spans="1:8">
      <c r="A42" s="37" t="s">
        <v>222</v>
      </c>
      <c r="B42" s="93">
        <v>45840</v>
      </c>
      <c r="C42" s="37" t="s">
        <v>223</v>
      </c>
      <c r="D42" s="93">
        <v>45840</v>
      </c>
      <c r="E42" s="37" t="s">
        <v>277</v>
      </c>
      <c r="F42" s="100">
        <f t="shared" si="2"/>
        <v>0.75069444443943212</v>
      </c>
    </row>
    <row r="43" spans="1:8">
      <c r="A43" s="37" t="s">
        <v>197</v>
      </c>
      <c r="B43" s="93">
        <v>45840</v>
      </c>
      <c r="C43" s="37" t="s">
        <v>199</v>
      </c>
      <c r="D43" s="93">
        <v>45840</v>
      </c>
      <c r="E43" s="37" t="s">
        <v>278</v>
      </c>
      <c r="F43" s="100">
        <f t="shared" si="2"/>
        <v>5.694444444088731E-2</v>
      </c>
      <c r="G43" s="37" t="s">
        <v>9</v>
      </c>
      <c r="H43" s="23" t="s">
        <v>279</v>
      </c>
    </row>
    <row r="44" spans="1:8">
      <c r="A44" s="37" t="s">
        <v>197</v>
      </c>
      <c r="B44" s="93">
        <v>45840</v>
      </c>
      <c r="C44" s="37" t="s">
        <v>278</v>
      </c>
      <c r="D44" s="93">
        <v>45840</v>
      </c>
      <c r="E44" s="37" t="s">
        <v>280</v>
      </c>
      <c r="F44" s="100">
        <f t="shared" si="2"/>
        <v>6.9444444452528842E-3</v>
      </c>
      <c r="H44" s="94" t="s">
        <v>281</v>
      </c>
    </row>
    <row r="45" spans="1:8">
      <c r="A45" s="37" t="s">
        <v>200</v>
      </c>
      <c r="B45" s="93">
        <v>45840</v>
      </c>
      <c r="C45" s="37" t="s">
        <v>282</v>
      </c>
      <c r="D45" s="93">
        <v>45840</v>
      </c>
      <c r="E45" s="37" t="s">
        <v>283</v>
      </c>
      <c r="F45" s="100">
        <f t="shared" si="2"/>
        <v>5.3472222229174804E-2</v>
      </c>
      <c r="H45" s="23" t="s">
        <v>284</v>
      </c>
    </row>
    <row r="46" spans="1:8">
      <c r="A46" s="37" t="s">
        <v>233</v>
      </c>
      <c r="B46" s="93">
        <v>45840</v>
      </c>
      <c r="C46" s="37" t="s">
        <v>228</v>
      </c>
      <c r="D46" s="93">
        <v>45840</v>
      </c>
      <c r="E46" s="37" t="s">
        <v>285</v>
      </c>
      <c r="F46" s="100">
        <f t="shared" si="2"/>
        <v>0.54166666666424135</v>
      </c>
    </row>
    <row r="47" spans="1:8">
      <c r="A47" s="37" t="s">
        <v>251</v>
      </c>
      <c r="B47" s="93">
        <v>45840</v>
      </c>
      <c r="C47" s="37" t="s">
        <v>286</v>
      </c>
      <c r="D47" s="93">
        <v>45844</v>
      </c>
      <c r="E47" s="37" t="s">
        <v>287</v>
      </c>
      <c r="F47" s="100">
        <f t="shared" si="2"/>
        <v>4.2298611111109494</v>
      </c>
      <c r="G47" s="37" t="s">
        <v>9</v>
      </c>
    </row>
    <row r="48" spans="1:8">
      <c r="A48" s="37" t="s">
        <v>235</v>
      </c>
      <c r="B48" s="93">
        <v>45840</v>
      </c>
      <c r="C48" s="37" t="s">
        <v>236</v>
      </c>
      <c r="D48" s="93">
        <v>45840</v>
      </c>
      <c r="E48" s="37" t="s">
        <v>277</v>
      </c>
      <c r="F48" s="100">
        <f t="shared" ref="F48:F74" si="3">(D48 + TIME(LEFT(E48, 2), MID(E48, 3, 2), 0)) - (B48 + TIME(LEFT(C48, 2), MID(C48, 3, 2), 0))</f>
        <v>0.50069444443943212</v>
      </c>
    </row>
    <row r="49" spans="1:6">
      <c r="A49" s="37" t="s">
        <v>240</v>
      </c>
      <c r="B49" s="93">
        <v>45840</v>
      </c>
      <c r="C49" s="37" t="s">
        <v>288</v>
      </c>
      <c r="D49" s="93">
        <v>45840</v>
      </c>
      <c r="E49" s="37" t="s">
        <v>289</v>
      </c>
      <c r="F49" s="100">
        <f t="shared" si="3"/>
        <v>2.9166666667151731E-2</v>
      </c>
    </row>
    <row r="50" spans="1:6">
      <c r="A50" s="37" t="s">
        <v>243</v>
      </c>
      <c r="B50" s="93">
        <v>45840</v>
      </c>
      <c r="C50" s="37" t="s">
        <v>290</v>
      </c>
      <c r="D50" s="93">
        <v>45840</v>
      </c>
      <c r="E50" s="37" t="s">
        <v>291</v>
      </c>
      <c r="F50" s="100">
        <f t="shared" si="3"/>
        <v>2.9861111113859806E-2</v>
      </c>
    </row>
    <row r="51" spans="1:6">
      <c r="A51" s="37" t="s">
        <v>246</v>
      </c>
      <c r="B51" s="93">
        <v>45840</v>
      </c>
      <c r="C51" s="37" t="s">
        <v>292</v>
      </c>
      <c r="D51" s="93">
        <v>45840</v>
      </c>
      <c r="E51" s="37" t="s">
        <v>291</v>
      </c>
      <c r="F51" s="100">
        <f t="shared" si="3"/>
        <v>2.9166666667151731E-2</v>
      </c>
    </row>
    <row r="52" spans="1:6">
      <c r="A52" s="37" t="s">
        <v>230</v>
      </c>
      <c r="B52" s="93">
        <v>45840</v>
      </c>
      <c r="C52" s="37" t="s">
        <v>293</v>
      </c>
      <c r="D52" s="93">
        <v>45840</v>
      </c>
      <c r="E52" s="37" t="s">
        <v>294</v>
      </c>
      <c r="F52" s="100">
        <f t="shared" si="3"/>
        <v>3.6111111112404615E-2</v>
      </c>
    </row>
    <row r="53" spans="1:6">
      <c r="A53" s="37" t="s">
        <v>227</v>
      </c>
      <c r="B53" s="93">
        <v>45840</v>
      </c>
      <c r="C53" s="37" t="s">
        <v>295</v>
      </c>
      <c r="D53" s="93">
        <v>45840</v>
      </c>
      <c r="E53" s="37" t="s">
        <v>296</v>
      </c>
      <c r="F53" s="100">
        <f t="shared" si="3"/>
        <v>2.5000000001455192E-2</v>
      </c>
    </row>
    <row r="54" spans="1:6">
      <c r="A54" s="37" t="s">
        <v>297</v>
      </c>
      <c r="B54" s="93">
        <v>45840</v>
      </c>
      <c r="C54" s="37" t="s">
        <v>244</v>
      </c>
      <c r="D54" s="93">
        <v>45840</v>
      </c>
      <c r="E54" s="37" t="s">
        <v>298</v>
      </c>
      <c r="F54" s="100">
        <f t="shared" si="3"/>
        <v>1.1111111110949423E-2</v>
      </c>
    </row>
    <row r="55" spans="1:6">
      <c r="A55" s="37" t="s">
        <v>200</v>
      </c>
      <c r="B55" s="93">
        <v>45840</v>
      </c>
      <c r="C55" s="37" t="s">
        <v>299</v>
      </c>
      <c r="D55" s="93">
        <v>45840</v>
      </c>
      <c r="E55" s="37" t="s">
        <v>300</v>
      </c>
      <c r="F55" s="100">
        <f t="shared" si="3"/>
        <v>0.62361111111385981</v>
      </c>
    </row>
    <row r="56" spans="1:6">
      <c r="A56" s="37" t="s">
        <v>209</v>
      </c>
      <c r="B56" s="93">
        <v>45840</v>
      </c>
      <c r="C56" s="37" t="s">
        <v>245</v>
      </c>
      <c r="D56" s="93">
        <v>45841</v>
      </c>
      <c r="E56" s="37" t="s">
        <v>301</v>
      </c>
      <c r="F56" s="100">
        <f t="shared" si="3"/>
        <v>0.69166666666569654</v>
      </c>
    </row>
    <row r="57" spans="1:6">
      <c r="A57" s="37" t="s">
        <v>254</v>
      </c>
      <c r="B57" s="93">
        <v>45840</v>
      </c>
      <c r="C57" s="37" t="s">
        <v>273</v>
      </c>
      <c r="D57" s="93">
        <v>45840</v>
      </c>
      <c r="E57" s="37" t="s">
        <v>302</v>
      </c>
      <c r="F57" s="100">
        <f t="shared" si="3"/>
        <v>0.48958333333575865</v>
      </c>
    </row>
    <row r="58" spans="1:6">
      <c r="A58" s="37" t="s">
        <v>240</v>
      </c>
      <c r="B58" s="93">
        <v>45840</v>
      </c>
      <c r="C58" s="37" t="s">
        <v>250</v>
      </c>
      <c r="D58" s="93">
        <v>45840</v>
      </c>
      <c r="E58" s="37" t="s">
        <v>303</v>
      </c>
      <c r="F58" s="100">
        <f t="shared" si="3"/>
        <v>3.0555555553291924E-2</v>
      </c>
    </row>
    <row r="59" spans="1:6">
      <c r="A59" s="37" t="s">
        <v>243</v>
      </c>
      <c r="B59" s="93">
        <v>45840</v>
      </c>
      <c r="C59" s="37" t="s">
        <v>304</v>
      </c>
      <c r="D59" s="93">
        <v>45840</v>
      </c>
      <c r="E59" s="37" t="s">
        <v>305</v>
      </c>
      <c r="F59" s="100">
        <f t="shared" si="3"/>
        <v>3.1944444439432118E-2</v>
      </c>
    </row>
    <row r="60" spans="1:6">
      <c r="A60" s="37" t="s">
        <v>246</v>
      </c>
      <c r="B60" s="93">
        <v>45840</v>
      </c>
      <c r="C60" s="37" t="s">
        <v>306</v>
      </c>
      <c r="D60" s="93">
        <v>45840</v>
      </c>
      <c r="E60" s="37" t="s">
        <v>307</v>
      </c>
      <c r="F60" s="100">
        <f t="shared" si="3"/>
        <v>3.125E-2</v>
      </c>
    </row>
    <row r="61" spans="1:6">
      <c r="A61" s="37" t="s">
        <v>230</v>
      </c>
      <c r="B61" s="93">
        <v>45840</v>
      </c>
      <c r="C61" s="37" t="s">
        <v>308</v>
      </c>
      <c r="D61" s="93">
        <v>45840</v>
      </c>
      <c r="E61" s="37" t="s">
        <v>309</v>
      </c>
      <c r="F61" s="100">
        <f t="shared" si="3"/>
        <v>0.117361111115315</v>
      </c>
    </row>
    <row r="62" spans="1:6">
      <c r="A62" s="37" t="s">
        <v>227</v>
      </c>
      <c r="B62" s="93">
        <v>45840</v>
      </c>
      <c r="C62" s="37" t="s">
        <v>310</v>
      </c>
      <c r="D62" s="93">
        <v>45840</v>
      </c>
      <c r="E62" s="37" t="s">
        <v>311</v>
      </c>
      <c r="F62" s="100">
        <f t="shared" si="3"/>
        <v>5.7638888887595385E-2</v>
      </c>
    </row>
    <row r="63" spans="1:6">
      <c r="A63" s="37" t="s">
        <v>312</v>
      </c>
      <c r="B63" s="93">
        <v>45840</v>
      </c>
      <c r="C63" s="37" t="s">
        <v>313</v>
      </c>
      <c r="D63" s="93">
        <v>45840</v>
      </c>
      <c r="E63" s="37" t="s">
        <v>314</v>
      </c>
      <c r="F63" s="100">
        <f t="shared" si="3"/>
        <v>0.23055555555038154</v>
      </c>
    </row>
    <row r="64" spans="1:6">
      <c r="A64" s="37" t="s">
        <v>216</v>
      </c>
      <c r="B64" s="93">
        <v>45840</v>
      </c>
      <c r="C64" s="37" t="s">
        <v>315</v>
      </c>
      <c r="D64" s="93">
        <v>45841</v>
      </c>
      <c r="E64" s="37" t="s">
        <v>218</v>
      </c>
      <c r="F64" s="100">
        <f t="shared" si="3"/>
        <v>0.58402777777519077</v>
      </c>
    </row>
    <row r="65" spans="1:8">
      <c r="A65" s="37" t="s">
        <v>240</v>
      </c>
      <c r="B65" s="93">
        <v>45840</v>
      </c>
      <c r="C65" s="37" t="s">
        <v>316</v>
      </c>
      <c r="D65" s="93">
        <v>45840</v>
      </c>
      <c r="E65" s="37" t="s">
        <v>237</v>
      </c>
      <c r="F65" s="100">
        <f t="shared" si="3"/>
        <v>8.2638888889050577E-2</v>
      </c>
    </row>
    <row r="66" spans="1:8">
      <c r="A66" s="37" t="s">
        <v>243</v>
      </c>
      <c r="B66" s="93">
        <v>45840</v>
      </c>
      <c r="C66" s="37" t="s">
        <v>317</v>
      </c>
      <c r="D66" s="93">
        <v>45840</v>
      </c>
      <c r="E66" s="37" t="s">
        <v>318</v>
      </c>
      <c r="F66" s="100">
        <f t="shared" si="3"/>
        <v>8.6805555554747116E-2</v>
      </c>
    </row>
    <row r="67" spans="1:8">
      <c r="A67" s="37" t="s">
        <v>246</v>
      </c>
      <c r="B67" s="93">
        <v>45840</v>
      </c>
      <c r="C67" s="37" t="s">
        <v>319</v>
      </c>
      <c r="D67" s="93">
        <v>45840</v>
      </c>
      <c r="E67" s="37" t="s">
        <v>320</v>
      </c>
      <c r="F67" s="100">
        <f t="shared" si="3"/>
        <v>9.375E-2</v>
      </c>
    </row>
    <row r="68" spans="1:8">
      <c r="A68" s="37" t="s">
        <v>297</v>
      </c>
      <c r="B68" s="93">
        <v>45840</v>
      </c>
      <c r="C68" s="37" t="s">
        <v>287</v>
      </c>
      <c r="D68" s="93">
        <v>45840</v>
      </c>
      <c r="E68" s="37" t="s">
        <v>321</v>
      </c>
      <c r="F68" s="100">
        <f t="shared" si="3"/>
        <v>3.4722222218988463E-2</v>
      </c>
    </row>
    <row r="69" spans="1:8">
      <c r="A69" s="37" t="s">
        <v>227</v>
      </c>
      <c r="B69" s="93">
        <v>45840</v>
      </c>
      <c r="C69" s="37" t="s">
        <v>322</v>
      </c>
      <c r="D69" s="93">
        <v>45840</v>
      </c>
      <c r="E69" s="37" t="s">
        <v>196</v>
      </c>
      <c r="F69" s="100">
        <f t="shared" si="3"/>
        <v>0.46597222222044365</v>
      </c>
      <c r="G69" s="37" t="s">
        <v>9</v>
      </c>
      <c r="H69" s="94" t="s">
        <v>323</v>
      </c>
    </row>
    <row r="70" spans="1:8">
      <c r="A70" s="37" t="s">
        <v>230</v>
      </c>
      <c r="B70" s="93">
        <v>45840</v>
      </c>
      <c r="C70" s="37" t="s">
        <v>324</v>
      </c>
      <c r="D70" s="93">
        <v>45840</v>
      </c>
      <c r="E70" s="37" t="s">
        <v>325</v>
      </c>
      <c r="F70" s="100">
        <f t="shared" si="3"/>
        <v>3.5416666665696539E-2</v>
      </c>
    </row>
    <row r="71" spans="1:8">
      <c r="A71" s="37" t="s">
        <v>326</v>
      </c>
      <c r="B71" s="93">
        <v>45840</v>
      </c>
      <c r="C71" s="37" t="s">
        <v>327</v>
      </c>
      <c r="D71" s="93">
        <v>45840</v>
      </c>
      <c r="E71" s="37" t="s">
        <v>328</v>
      </c>
      <c r="F71" s="100">
        <f t="shared" si="3"/>
        <v>4.4444444443797693E-2</v>
      </c>
      <c r="H71" s="94" t="s">
        <v>329</v>
      </c>
    </row>
    <row r="72" spans="1:8">
      <c r="A72" s="37" t="s">
        <v>326</v>
      </c>
      <c r="B72" s="93">
        <v>45840</v>
      </c>
      <c r="C72" s="37" t="s">
        <v>330</v>
      </c>
      <c r="D72" s="93">
        <v>45840</v>
      </c>
      <c r="E72" s="37" t="s">
        <v>331</v>
      </c>
      <c r="F72" s="100">
        <f t="shared" si="3"/>
        <v>0.17222222222335404</v>
      </c>
    </row>
    <row r="73" spans="1:8">
      <c r="A73" s="37" t="s">
        <v>213</v>
      </c>
      <c r="B73" s="93">
        <v>45840</v>
      </c>
      <c r="C73" s="37" t="s">
        <v>220</v>
      </c>
      <c r="D73" s="93">
        <v>45841</v>
      </c>
      <c r="E73" s="37" t="s">
        <v>236</v>
      </c>
      <c r="F73" s="100">
        <f t="shared" si="3"/>
        <v>0.5</v>
      </c>
    </row>
    <row r="74" spans="1:8">
      <c r="A74" s="37" t="s">
        <v>219</v>
      </c>
      <c r="B74" s="93">
        <v>45840</v>
      </c>
      <c r="C74" s="37" t="s">
        <v>220</v>
      </c>
      <c r="D74" s="93">
        <v>45841</v>
      </c>
      <c r="E74" s="37" t="s">
        <v>215</v>
      </c>
      <c r="F74" s="100">
        <f t="shared" si="3"/>
        <v>0.50069444443943212</v>
      </c>
    </row>
    <row r="75" spans="1:8">
      <c r="A75" s="37" t="s">
        <v>206</v>
      </c>
      <c r="B75" s="93">
        <v>45840</v>
      </c>
      <c r="C75" s="37" t="s">
        <v>332</v>
      </c>
      <c r="D75" s="93">
        <v>45842</v>
      </c>
      <c r="E75" s="37" t="s">
        <v>333</v>
      </c>
      <c r="F75" s="100">
        <f>(D75 + TIME(LEFT(E75, 2), MID(E75, 3, 2), 0)) - (B75 + TIME(LEFT(C75, 2), MID(C75, 3, 2), 0))</f>
        <v>1.2715277777751908</v>
      </c>
    </row>
    <row r="76" spans="1:8">
      <c r="A76" s="37" t="s">
        <v>197</v>
      </c>
      <c r="B76" s="93">
        <v>45840</v>
      </c>
      <c r="C76" s="37" t="s">
        <v>334</v>
      </c>
      <c r="D76" s="93">
        <v>45840</v>
      </c>
      <c r="E76" s="37" t="s">
        <v>239</v>
      </c>
      <c r="F76" s="100">
        <f>(D76 + TIME(LEFT(E76, 2), MID(E76, 3, 2), 0)) - (B76 + TIME(LEFT(C76, 2), MID(C76, 3, 2), 0))</f>
        <v>2.569444444088731E-2</v>
      </c>
      <c r="H76" s="94" t="s">
        <v>335</v>
      </c>
    </row>
    <row r="77" spans="1:8">
      <c r="A77" s="37" t="s">
        <v>197</v>
      </c>
      <c r="B77" s="93">
        <v>45840</v>
      </c>
      <c r="C77" s="37" t="s">
        <v>239</v>
      </c>
      <c r="D77" s="93">
        <v>45841</v>
      </c>
      <c r="E77" s="37" t="s">
        <v>336</v>
      </c>
      <c r="F77" s="100">
        <f>(D77 + TIME(LEFT(E77, 2), MID(E77, 3, 2), 0)) - (B77 + TIME(LEFT(C77, 2), MID(C77, 3, 2), 0))</f>
        <v>1.163888888891961</v>
      </c>
      <c r="H77" s="94" t="s">
        <v>337</v>
      </c>
    </row>
    <row r="78" spans="1:8">
      <c r="A78" s="37" t="s">
        <v>326</v>
      </c>
      <c r="B78" s="93">
        <v>45840</v>
      </c>
      <c r="C78" s="37" t="s">
        <v>331</v>
      </c>
      <c r="D78" s="93">
        <v>45843</v>
      </c>
      <c r="E78" s="37" t="s">
        <v>338</v>
      </c>
      <c r="F78" s="100">
        <f>(D78 + TIME(LEFT(E78, 2), MID(E78, 3, 2), 0)) - (B78 + TIME(LEFT(C78, 2), MID(C78, 3, 2), 0))</f>
        <v>2.4736111111051287</v>
      </c>
      <c r="G78" s="37" t="s">
        <v>9</v>
      </c>
      <c r="H78" s="94" t="s">
        <v>339</v>
      </c>
    </row>
    <row r="79" spans="1:8">
      <c r="A79" s="37" t="s">
        <v>200</v>
      </c>
      <c r="B79" s="93">
        <v>45840</v>
      </c>
      <c r="C79" s="37" t="s">
        <v>300</v>
      </c>
      <c r="D79" s="93">
        <v>45841</v>
      </c>
      <c r="E79" s="37" t="s">
        <v>340</v>
      </c>
      <c r="F79" s="100">
        <f t="shared" ref="F79:F105" si="4">(D79 + TIME(LEFT(E79, 2), MID(E79, 3, 2), 0)) - (B79 + TIME(LEFT(C79, 2), MID(C79, 3, 2), 0))</f>
        <v>0.28819444444525288</v>
      </c>
      <c r="G79" s="37" t="s">
        <v>9</v>
      </c>
      <c r="H79" s="23" t="s">
        <v>341</v>
      </c>
    </row>
    <row r="80" spans="1:8">
      <c r="A80" s="37" t="s">
        <v>240</v>
      </c>
      <c r="B80" s="93">
        <v>45840</v>
      </c>
      <c r="C80" s="37" t="s">
        <v>196</v>
      </c>
      <c r="D80" s="93">
        <v>45840</v>
      </c>
      <c r="E80" s="37" t="s">
        <v>342</v>
      </c>
      <c r="F80" s="100">
        <f t="shared" si="4"/>
        <v>1.527777778392192E-2</v>
      </c>
    </row>
    <row r="81" spans="1:8">
      <c r="A81" s="37" t="s">
        <v>227</v>
      </c>
      <c r="B81" s="93">
        <v>45840</v>
      </c>
      <c r="C81" s="37" t="s">
        <v>196</v>
      </c>
      <c r="D81" s="93">
        <v>45840</v>
      </c>
      <c r="E81" s="37" t="s">
        <v>343</v>
      </c>
      <c r="F81" s="100">
        <f t="shared" si="4"/>
        <v>1.3194444443797693E-2</v>
      </c>
    </row>
    <row r="82" spans="1:8">
      <c r="A82" s="37" t="s">
        <v>243</v>
      </c>
      <c r="B82" s="93">
        <v>45840</v>
      </c>
      <c r="C82" s="37" t="s">
        <v>196</v>
      </c>
      <c r="D82" s="93">
        <v>45840</v>
      </c>
      <c r="E82" s="37" t="s">
        <v>343</v>
      </c>
      <c r="F82" s="100">
        <f t="shared" si="4"/>
        <v>1.3194444443797693E-2</v>
      </c>
    </row>
    <row r="83" spans="1:8">
      <c r="A83" s="37" t="s">
        <v>230</v>
      </c>
      <c r="B83" s="93">
        <v>45840</v>
      </c>
      <c r="C83" s="37" t="s">
        <v>196</v>
      </c>
      <c r="D83" s="93">
        <v>45840</v>
      </c>
      <c r="E83" s="37" t="s">
        <v>342</v>
      </c>
      <c r="F83" s="100">
        <f t="shared" si="4"/>
        <v>1.527777778392192E-2</v>
      </c>
    </row>
    <row r="84" spans="1:8">
      <c r="A84" s="37" t="s">
        <v>246</v>
      </c>
      <c r="B84" s="93">
        <v>45840</v>
      </c>
      <c r="C84" s="37" t="s">
        <v>196</v>
      </c>
      <c r="D84" s="93">
        <v>45840</v>
      </c>
      <c r="E84" s="37" t="s">
        <v>344</v>
      </c>
      <c r="F84" s="100">
        <f t="shared" si="4"/>
        <v>1.7361111116770189E-2</v>
      </c>
    </row>
    <row r="85" spans="1:8">
      <c r="A85" s="37" t="s">
        <v>233</v>
      </c>
      <c r="B85" s="93">
        <v>45840</v>
      </c>
      <c r="C85" s="37" t="s">
        <v>345</v>
      </c>
      <c r="D85" s="93">
        <v>45841</v>
      </c>
      <c r="E85" s="37" t="s">
        <v>346</v>
      </c>
      <c r="F85" s="100">
        <f t="shared" si="4"/>
        <v>0.42291666667006211</v>
      </c>
    </row>
    <row r="86" spans="1:8">
      <c r="A86" s="37" t="s">
        <v>194</v>
      </c>
      <c r="B86" s="93">
        <v>45840</v>
      </c>
      <c r="C86" s="37" t="s">
        <v>196</v>
      </c>
      <c r="D86" s="93">
        <v>45841</v>
      </c>
      <c r="E86" s="37" t="s">
        <v>347</v>
      </c>
      <c r="F86" s="100">
        <f t="shared" si="4"/>
        <v>0.24097222222189885</v>
      </c>
      <c r="G86" s="37" t="s">
        <v>9</v>
      </c>
      <c r="H86" s="94" t="s">
        <v>348</v>
      </c>
    </row>
    <row r="87" spans="1:8">
      <c r="A87" s="37" t="s">
        <v>222</v>
      </c>
      <c r="B87" s="93">
        <v>45841</v>
      </c>
      <c r="C87" s="37" t="s">
        <v>223</v>
      </c>
      <c r="D87" s="93">
        <v>45841</v>
      </c>
      <c r="E87" s="37" t="s">
        <v>349</v>
      </c>
      <c r="F87" s="100">
        <f t="shared" si="4"/>
        <v>0.27638888888759539</v>
      </c>
    </row>
    <row r="88" spans="1:8">
      <c r="A88" s="37" t="s">
        <v>194</v>
      </c>
      <c r="B88" s="93">
        <v>45841</v>
      </c>
      <c r="C88" s="37" t="s">
        <v>347</v>
      </c>
      <c r="D88" s="93">
        <v>45841</v>
      </c>
      <c r="E88" s="37" t="s">
        <v>350</v>
      </c>
      <c r="F88" s="100">
        <f t="shared" si="4"/>
        <v>7.5694444443797693E-2</v>
      </c>
    </row>
    <row r="89" spans="1:8">
      <c r="A89" s="37" t="s">
        <v>227</v>
      </c>
      <c r="B89" s="93">
        <v>45841</v>
      </c>
      <c r="C89" s="37" t="s">
        <v>351</v>
      </c>
      <c r="D89" s="93">
        <v>45841</v>
      </c>
      <c r="E89" s="37" t="s">
        <v>236</v>
      </c>
      <c r="F89" s="100">
        <f t="shared" si="4"/>
        <v>2.5000000001455192E-2</v>
      </c>
    </row>
    <row r="90" spans="1:8">
      <c r="A90" s="37" t="s">
        <v>230</v>
      </c>
      <c r="B90" s="93">
        <v>45841</v>
      </c>
      <c r="C90" s="37" t="s">
        <v>352</v>
      </c>
      <c r="D90" s="93">
        <v>45841</v>
      </c>
      <c r="E90" s="37" t="s">
        <v>353</v>
      </c>
      <c r="F90" s="100">
        <f t="shared" si="4"/>
        <v>2.0833333328482695E-2</v>
      </c>
    </row>
    <row r="91" spans="1:8">
      <c r="A91" s="37" t="s">
        <v>240</v>
      </c>
      <c r="B91" s="93">
        <v>45841</v>
      </c>
      <c r="C91" s="37" t="s">
        <v>354</v>
      </c>
      <c r="D91" s="93">
        <v>45841</v>
      </c>
      <c r="E91" s="37" t="s">
        <v>353</v>
      </c>
      <c r="F91" s="100">
        <f t="shared" si="4"/>
        <v>1.9444444442342501E-2</v>
      </c>
    </row>
    <row r="92" spans="1:8">
      <c r="A92" s="37" t="s">
        <v>209</v>
      </c>
      <c r="B92" s="93">
        <v>45841</v>
      </c>
      <c r="C92" s="37" t="s">
        <v>355</v>
      </c>
      <c r="D92" s="93">
        <v>45841</v>
      </c>
      <c r="E92" s="37" t="s">
        <v>356</v>
      </c>
      <c r="F92" s="100">
        <f t="shared" si="4"/>
        <v>0.63888888889050577</v>
      </c>
    </row>
    <row r="93" spans="1:8">
      <c r="A93" s="37" t="s">
        <v>216</v>
      </c>
      <c r="B93" s="93">
        <v>45841</v>
      </c>
      <c r="C93" s="37" t="s">
        <v>236</v>
      </c>
      <c r="D93" s="93">
        <v>45841</v>
      </c>
      <c r="E93" s="37" t="s">
        <v>349</v>
      </c>
      <c r="F93" s="100">
        <f t="shared" si="4"/>
        <v>2.6388888887595385E-2</v>
      </c>
    </row>
    <row r="94" spans="1:8">
      <c r="A94" s="37" t="s">
        <v>200</v>
      </c>
      <c r="B94" s="93">
        <v>45841</v>
      </c>
      <c r="C94" s="37" t="s">
        <v>340</v>
      </c>
      <c r="D94" s="93">
        <v>45841</v>
      </c>
      <c r="E94" s="37" t="s">
        <v>357</v>
      </c>
      <c r="F94" s="100">
        <f t="shared" si="4"/>
        <v>2.0833333328482695E-3</v>
      </c>
    </row>
    <row r="95" spans="1:8">
      <c r="A95" s="37" t="s">
        <v>216</v>
      </c>
      <c r="B95" s="93">
        <v>45841</v>
      </c>
      <c r="C95" s="37" t="s">
        <v>293</v>
      </c>
      <c r="D95" s="93">
        <v>45841</v>
      </c>
      <c r="E95" s="37" t="s">
        <v>358</v>
      </c>
      <c r="F95" s="100">
        <f t="shared" si="4"/>
        <v>0.50486111111240461</v>
      </c>
    </row>
    <row r="96" spans="1:8">
      <c r="A96" s="37" t="s">
        <v>194</v>
      </c>
      <c r="B96" s="93">
        <v>45841</v>
      </c>
      <c r="C96" s="37" t="s">
        <v>350</v>
      </c>
      <c r="D96" s="93">
        <v>45841</v>
      </c>
      <c r="E96" s="37" t="s">
        <v>359</v>
      </c>
      <c r="F96" s="100">
        <f t="shared" si="4"/>
        <v>9.7222222226264421E-2</v>
      </c>
      <c r="G96" s="37" t="s">
        <v>9</v>
      </c>
      <c r="H96" s="94" t="s">
        <v>360</v>
      </c>
    </row>
    <row r="97" spans="1:8">
      <c r="A97" s="37" t="s">
        <v>235</v>
      </c>
      <c r="B97" s="93">
        <v>45841</v>
      </c>
      <c r="C97" s="37" t="s">
        <v>361</v>
      </c>
      <c r="D97" s="93">
        <v>45841</v>
      </c>
      <c r="E97" s="37" t="s">
        <v>362</v>
      </c>
      <c r="F97" s="100">
        <f t="shared" si="4"/>
        <v>0.23749999999563443</v>
      </c>
    </row>
    <row r="98" spans="1:8">
      <c r="A98" s="37" t="s">
        <v>243</v>
      </c>
      <c r="B98" s="93">
        <v>45841</v>
      </c>
      <c r="C98" s="37" t="s">
        <v>290</v>
      </c>
      <c r="D98" s="93">
        <v>45841</v>
      </c>
      <c r="E98" s="37" t="s">
        <v>363</v>
      </c>
      <c r="F98" s="100">
        <f t="shared" si="4"/>
        <v>2.6388888887595385E-2</v>
      </c>
    </row>
    <row r="99" spans="1:8">
      <c r="A99" s="37" t="s">
        <v>246</v>
      </c>
      <c r="B99" s="93">
        <v>45841</v>
      </c>
      <c r="C99" s="37" t="s">
        <v>241</v>
      </c>
      <c r="D99" s="93">
        <v>45841</v>
      </c>
      <c r="E99" s="37" t="s">
        <v>364</v>
      </c>
      <c r="F99" s="100">
        <f t="shared" si="4"/>
        <v>2.6388888887595385E-2</v>
      </c>
    </row>
    <row r="100" spans="1:8">
      <c r="A100" s="37" t="s">
        <v>227</v>
      </c>
      <c r="B100" s="93">
        <v>45841</v>
      </c>
      <c r="C100" s="37" t="s">
        <v>365</v>
      </c>
      <c r="D100" s="93">
        <v>45841</v>
      </c>
      <c r="E100" s="37" t="s">
        <v>366</v>
      </c>
      <c r="F100" s="100">
        <f t="shared" si="4"/>
        <v>4.2361111110949423E-2</v>
      </c>
    </row>
    <row r="101" spans="1:8">
      <c r="A101" s="37" t="s">
        <v>222</v>
      </c>
      <c r="B101" s="93">
        <v>45841</v>
      </c>
      <c r="C101" s="37" t="s">
        <v>293</v>
      </c>
      <c r="D101" s="93">
        <v>45841</v>
      </c>
      <c r="E101" s="37" t="s">
        <v>367</v>
      </c>
      <c r="F101" s="100">
        <f t="shared" si="4"/>
        <v>0.17152777777664596</v>
      </c>
    </row>
    <row r="102" spans="1:8">
      <c r="A102" s="37" t="s">
        <v>254</v>
      </c>
      <c r="B102" s="93">
        <v>45841</v>
      </c>
      <c r="C102" s="37" t="s">
        <v>295</v>
      </c>
      <c r="D102" s="93">
        <v>45841</v>
      </c>
      <c r="E102" s="37" t="s">
        <v>368</v>
      </c>
      <c r="F102" s="100">
        <f t="shared" si="4"/>
        <v>0.51388888889050577</v>
      </c>
    </row>
    <row r="103" spans="1:8">
      <c r="A103" s="37" t="s">
        <v>240</v>
      </c>
      <c r="B103" s="93">
        <v>45841</v>
      </c>
      <c r="C103" s="37" t="s">
        <v>369</v>
      </c>
      <c r="D103" s="93">
        <v>45841</v>
      </c>
      <c r="E103" s="37" t="s">
        <v>370</v>
      </c>
      <c r="F103" s="100">
        <f t="shared" si="4"/>
        <v>3.3333333332848269E-2</v>
      </c>
    </row>
    <row r="104" spans="1:8">
      <c r="A104" s="37" t="s">
        <v>230</v>
      </c>
      <c r="B104" s="93">
        <v>45841</v>
      </c>
      <c r="C104" s="37" t="s">
        <v>369</v>
      </c>
      <c r="D104" s="93">
        <v>45841</v>
      </c>
      <c r="E104" s="37" t="s">
        <v>370</v>
      </c>
      <c r="F104" s="100">
        <f t="shared" si="4"/>
        <v>3.3333333332848269E-2</v>
      </c>
    </row>
    <row r="105" spans="1:8">
      <c r="A105" s="37" t="s">
        <v>200</v>
      </c>
      <c r="B105" s="93">
        <v>45841</v>
      </c>
      <c r="C105" s="37" t="s">
        <v>371</v>
      </c>
      <c r="D105" s="93">
        <v>45841</v>
      </c>
      <c r="E105" s="37" t="s">
        <v>372</v>
      </c>
      <c r="F105" s="100">
        <f t="shared" si="4"/>
        <v>2.7083333334303461E-2</v>
      </c>
    </row>
    <row r="106" spans="1:8">
      <c r="A106" s="37" t="s">
        <v>200</v>
      </c>
      <c r="B106" s="93">
        <v>45841</v>
      </c>
      <c r="C106" s="37" t="s">
        <v>372</v>
      </c>
      <c r="D106" s="93">
        <v>45842</v>
      </c>
      <c r="E106" s="37" t="s">
        <v>352</v>
      </c>
      <c r="F106" s="100">
        <f t="shared" ref="F106:F124" si="5">(D106 + TIME(LEFT(E106, 2), MID(E106, 3, 2), 0)) - (B106 + TIME(LEFT(C106, 2), MID(C106, 3, 2), 0))</f>
        <v>0.92430555555620231</v>
      </c>
    </row>
    <row r="107" spans="1:8">
      <c r="A107" s="37" t="s">
        <v>197</v>
      </c>
      <c r="B107" s="93">
        <v>45841</v>
      </c>
      <c r="C107" s="37" t="s">
        <v>298</v>
      </c>
      <c r="D107" s="93">
        <v>45841</v>
      </c>
      <c r="E107" s="37" t="s">
        <v>345</v>
      </c>
      <c r="F107" s="100">
        <f t="shared" si="5"/>
        <v>0.62083333333430346</v>
      </c>
    </row>
    <row r="108" spans="1:8">
      <c r="A108" s="37" t="s">
        <v>243</v>
      </c>
      <c r="B108" s="93">
        <v>45841</v>
      </c>
      <c r="C108" s="37" t="s">
        <v>373</v>
      </c>
      <c r="D108" s="93">
        <v>45841</v>
      </c>
      <c r="E108" s="37" t="s">
        <v>374</v>
      </c>
      <c r="F108" s="100">
        <f t="shared" si="5"/>
        <v>8.611111110803904E-2</v>
      </c>
    </row>
    <row r="109" spans="1:8">
      <c r="A109" s="37" t="s">
        <v>246</v>
      </c>
      <c r="B109" s="93">
        <v>45841</v>
      </c>
      <c r="C109" s="37" t="s">
        <v>375</v>
      </c>
      <c r="D109" s="93">
        <v>45841</v>
      </c>
      <c r="E109" s="37" t="s">
        <v>376</v>
      </c>
      <c r="F109" s="100">
        <f t="shared" si="5"/>
        <v>8.2638888889050577E-2</v>
      </c>
    </row>
    <row r="110" spans="1:8">
      <c r="A110" s="37" t="s">
        <v>297</v>
      </c>
      <c r="B110" s="93">
        <v>45841</v>
      </c>
      <c r="C110" s="37" t="s">
        <v>377</v>
      </c>
      <c r="D110" s="93">
        <v>45841</v>
      </c>
      <c r="E110" s="37" t="s">
        <v>366</v>
      </c>
      <c r="F110" s="100">
        <f t="shared" si="5"/>
        <v>6.9444444452528842E-3</v>
      </c>
    </row>
    <row r="111" spans="1:8">
      <c r="A111" s="37" t="s">
        <v>194</v>
      </c>
      <c r="B111" s="93">
        <v>45841</v>
      </c>
      <c r="C111" s="37" t="s">
        <v>359</v>
      </c>
      <c r="D111" s="93">
        <v>45841</v>
      </c>
      <c r="E111" s="37" t="s">
        <v>378</v>
      </c>
      <c r="F111" s="100">
        <f t="shared" si="5"/>
        <v>8.333333331393078E-3</v>
      </c>
      <c r="H111" s="94" t="s">
        <v>335</v>
      </c>
    </row>
    <row r="112" spans="1:8">
      <c r="A112" s="37" t="s">
        <v>230</v>
      </c>
      <c r="B112" s="93">
        <v>45841</v>
      </c>
      <c r="C112" s="37" t="s">
        <v>370</v>
      </c>
      <c r="D112" s="93">
        <v>45841</v>
      </c>
      <c r="E112" s="37" t="s">
        <v>307</v>
      </c>
      <c r="F112" s="100">
        <f t="shared" si="5"/>
        <v>3.4722222226264421E-2</v>
      </c>
    </row>
    <row r="113" spans="1:8">
      <c r="A113" s="37" t="s">
        <v>194</v>
      </c>
      <c r="B113" s="93">
        <v>45841</v>
      </c>
      <c r="C113" s="37" t="s">
        <v>378</v>
      </c>
      <c r="D113" s="93">
        <v>45841</v>
      </c>
      <c r="E113" s="37" t="s">
        <v>379</v>
      </c>
      <c r="F113" s="100">
        <f t="shared" si="5"/>
        <v>0.617361111115315</v>
      </c>
      <c r="H113" s="94" t="s">
        <v>380</v>
      </c>
    </row>
    <row r="114" spans="1:8">
      <c r="A114" s="37" t="s">
        <v>227</v>
      </c>
      <c r="B114" s="93">
        <v>45841</v>
      </c>
      <c r="C114" s="37" t="s">
        <v>381</v>
      </c>
      <c r="D114" s="93">
        <v>45841</v>
      </c>
      <c r="E114" s="37" t="s">
        <v>382</v>
      </c>
      <c r="F114" s="100">
        <f t="shared" si="5"/>
        <v>7.7083333337213844E-2</v>
      </c>
    </row>
    <row r="115" spans="1:8">
      <c r="A115" s="37" t="s">
        <v>240</v>
      </c>
      <c r="B115" s="93">
        <v>45841</v>
      </c>
      <c r="C115" s="37" t="s">
        <v>383</v>
      </c>
      <c r="D115" s="93">
        <v>45841</v>
      </c>
      <c r="E115" s="37" t="s">
        <v>384</v>
      </c>
      <c r="F115" s="100">
        <f t="shared" si="5"/>
        <v>6.3888888886140194E-2</v>
      </c>
    </row>
    <row r="116" spans="1:8">
      <c r="A116" s="37" t="s">
        <v>312</v>
      </c>
      <c r="B116" s="93">
        <v>45841</v>
      </c>
      <c r="C116" s="37" t="s">
        <v>385</v>
      </c>
      <c r="D116" s="93">
        <v>45841</v>
      </c>
      <c r="E116" s="37" t="s">
        <v>386</v>
      </c>
      <c r="F116" s="100">
        <f t="shared" si="5"/>
        <v>0.20833333332848269</v>
      </c>
    </row>
    <row r="117" spans="1:8">
      <c r="A117" s="37" t="s">
        <v>230</v>
      </c>
      <c r="B117" s="93">
        <v>45841</v>
      </c>
      <c r="C117" s="37" t="s">
        <v>369</v>
      </c>
      <c r="D117" s="93">
        <v>45841</v>
      </c>
      <c r="E117" s="37" t="s">
        <v>387</v>
      </c>
      <c r="F117" s="100">
        <f t="shared" si="5"/>
        <v>0.15000000000145519</v>
      </c>
    </row>
    <row r="118" spans="1:8">
      <c r="A118" s="37" t="s">
        <v>219</v>
      </c>
      <c r="B118" s="93">
        <v>45841</v>
      </c>
      <c r="C118" s="37" t="s">
        <v>217</v>
      </c>
      <c r="D118" s="93">
        <v>45842</v>
      </c>
      <c r="E118" s="37" t="s">
        <v>388</v>
      </c>
      <c r="F118" s="100">
        <f t="shared" si="5"/>
        <v>0.66736111111094942</v>
      </c>
    </row>
    <row r="119" spans="1:8">
      <c r="A119" s="37" t="s">
        <v>243</v>
      </c>
      <c r="B119" s="93">
        <v>45841</v>
      </c>
      <c r="C119" s="37" t="s">
        <v>389</v>
      </c>
      <c r="D119" s="93">
        <v>45841</v>
      </c>
      <c r="E119" s="37" t="s">
        <v>390</v>
      </c>
      <c r="F119" s="100">
        <f t="shared" si="5"/>
        <v>8.5416666668606922E-2</v>
      </c>
    </row>
    <row r="120" spans="1:8">
      <c r="A120" s="37" t="s">
        <v>246</v>
      </c>
      <c r="B120" s="93">
        <v>45841</v>
      </c>
      <c r="C120" s="37" t="s">
        <v>391</v>
      </c>
      <c r="D120" s="93">
        <v>45841</v>
      </c>
      <c r="E120" s="37" t="s">
        <v>392</v>
      </c>
      <c r="F120" s="100">
        <f t="shared" si="5"/>
        <v>9.2361111113859806E-2</v>
      </c>
    </row>
    <row r="121" spans="1:8">
      <c r="A121" s="37" t="s">
        <v>227</v>
      </c>
      <c r="B121" s="93">
        <v>45841</v>
      </c>
      <c r="C121" s="37" t="s">
        <v>267</v>
      </c>
      <c r="D121" s="93">
        <v>45841</v>
      </c>
      <c r="E121" s="37" t="s">
        <v>393</v>
      </c>
      <c r="F121" s="100">
        <f t="shared" si="5"/>
        <v>7.6388888883229811E-2</v>
      </c>
    </row>
    <row r="122" spans="1:8">
      <c r="A122" s="37" t="s">
        <v>235</v>
      </c>
      <c r="B122" s="93">
        <v>45841</v>
      </c>
      <c r="C122" s="37" t="s">
        <v>394</v>
      </c>
      <c r="D122" s="93">
        <v>45842</v>
      </c>
      <c r="E122" s="37" t="s">
        <v>236</v>
      </c>
      <c r="F122" s="100">
        <f t="shared" si="5"/>
        <v>0.57361111111094942</v>
      </c>
    </row>
    <row r="123" spans="1:8">
      <c r="A123" s="37" t="s">
        <v>213</v>
      </c>
      <c r="B123" s="93">
        <v>45841</v>
      </c>
      <c r="C123" s="37" t="s">
        <v>394</v>
      </c>
      <c r="D123" s="93">
        <v>45841</v>
      </c>
      <c r="E123" s="37" t="s">
        <v>395</v>
      </c>
      <c r="F123" s="100">
        <f t="shared" si="5"/>
        <v>1.3888888861401938E-3</v>
      </c>
    </row>
    <row r="124" spans="1:8">
      <c r="A124" s="37" t="s">
        <v>213</v>
      </c>
      <c r="B124" s="93">
        <v>45841</v>
      </c>
      <c r="C124" s="37" t="s">
        <v>220</v>
      </c>
      <c r="D124" s="93">
        <v>45842</v>
      </c>
      <c r="E124" s="37" t="s">
        <v>215</v>
      </c>
      <c r="F124" s="100">
        <f t="shared" si="5"/>
        <v>0.50069444443943212</v>
      </c>
    </row>
    <row r="125" spans="1:8">
      <c r="A125" s="37" t="s">
        <v>222</v>
      </c>
      <c r="B125" s="93">
        <v>45841</v>
      </c>
      <c r="C125" s="37" t="s">
        <v>396</v>
      </c>
      <c r="D125" s="93">
        <v>45842</v>
      </c>
      <c r="E125" s="37" t="s">
        <v>367</v>
      </c>
      <c r="F125" s="100">
        <f t="shared" ref="F125:F162" si="6">(D125 + TIME(LEFT(E125, 2), MID(E125, 3, 2), 0)) - (B125 + TIME(LEFT(C125, 2), MID(C125, 3, 2), 0))</f>
        <v>0.66736111111094942</v>
      </c>
    </row>
    <row r="126" spans="1:8">
      <c r="A126" s="37" t="s">
        <v>233</v>
      </c>
      <c r="B126" s="93">
        <v>45841</v>
      </c>
      <c r="C126" s="37" t="s">
        <v>397</v>
      </c>
      <c r="D126" s="93">
        <v>45842</v>
      </c>
      <c r="E126" s="37" t="s">
        <v>398</v>
      </c>
      <c r="F126" s="100">
        <f t="shared" si="6"/>
        <v>3.5416666665696539E-2</v>
      </c>
    </row>
    <row r="127" spans="1:8">
      <c r="A127" s="37" t="s">
        <v>240</v>
      </c>
      <c r="B127" s="93">
        <v>45841</v>
      </c>
      <c r="C127" s="37" t="s">
        <v>399</v>
      </c>
      <c r="D127" s="93">
        <v>45842</v>
      </c>
      <c r="E127" s="37" t="s">
        <v>400</v>
      </c>
      <c r="F127" s="100">
        <f t="shared" si="6"/>
        <v>1.3194444443797693E-2</v>
      </c>
    </row>
    <row r="128" spans="1:8">
      <c r="A128" s="37" t="s">
        <v>194</v>
      </c>
      <c r="B128" s="93">
        <v>45841</v>
      </c>
      <c r="C128" s="37" t="s">
        <v>379</v>
      </c>
      <c r="D128" s="93">
        <v>45842</v>
      </c>
      <c r="E128" s="37" t="s">
        <v>401</v>
      </c>
      <c r="F128" s="100">
        <f t="shared" si="6"/>
        <v>1.597222221607808E-2</v>
      </c>
      <c r="G128" s="37" t="s">
        <v>9</v>
      </c>
    </row>
    <row r="129" spans="1:8">
      <c r="A129" s="37" t="s">
        <v>194</v>
      </c>
      <c r="B129" s="93">
        <v>45842</v>
      </c>
      <c r="C129" s="37" t="s">
        <v>401</v>
      </c>
      <c r="D129" s="93">
        <v>45843</v>
      </c>
      <c r="E129" s="37" t="s">
        <v>402</v>
      </c>
      <c r="F129" s="100">
        <f t="shared" si="6"/>
        <v>1.7027777777839219</v>
      </c>
    </row>
    <row r="130" spans="1:8">
      <c r="A130" s="5" t="s">
        <v>216</v>
      </c>
      <c r="B130" s="93">
        <v>45842</v>
      </c>
      <c r="C130" s="37" t="s">
        <v>403</v>
      </c>
      <c r="D130" s="93">
        <v>45842</v>
      </c>
      <c r="E130" s="37" t="s">
        <v>404</v>
      </c>
      <c r="F130" s="100">
        <f t="shared" si="6"/>
        <v>0.70902777777519077</v>
      </c>
    </row>
    <row r="131" spans="1:8">
      <c r="A131" s="37" t="s">
        <v>197</v>
      </c>
      <c r="B131" s="93">
        <v>45842</v>
      </c>
      <c r="C131" s="37" t="s">
        <v>405</v>
      </c>
      <c r="D131" s="93">
        <v>45842</v>
      </c>
      <c r="E131" s="37" t="s">
        <v>406</v>
      </c>
      <c r="F131" s="100">
        <f t="shared" si="6"/>
        <v>0.17013888888322981</v>
      </c>
      <c r="H131" s="23" t="s">
        <v>407</v>
      </c>
    </row>
    <row r="132" spans="1:8">
      <c r="A132" s="37" t="s">
        <v>206</v>
      </c>
      <c r="B132" s="93">
        <v>45842</v>
      </c>
      <c r="C132" s="37" t="s">
        <v>408</v>
      </c>
      <c r="D132" s="93">
        <v>45842</v>
      </c>
      <c r="E132" s="37" t="s">
        <v>409</v>
      </c>
      <c r="F132" s="100">
        <f t="shared" si="6"/>
        <v>0.50972222221753327</v>
      </c>
    </row>
    <row r="133" spans="1:8">
      <c r="A133" s="37" t="s">
        <v>235</v>
      </c>
      <c r="B133" s="93">
        <v>45842</v>
      </c>
      <c r="C133" s="37" t="s">
        <v>236</v>
      </c>
      <c r="D133" s="93">
        <v>45842</v>
      </c>
      <c r="E133" s="37" t="s">
        <v>277</v>
      </c>
      <c r="F133" s="100">
        <f t="shared" si="6"/>
        <v>0.50069444443943212</v>
      </c>
    </row>
    <row r="134" spans="1:8">
      <c r="A134" s="37" t="s">
        <v>200</v>
      </c>
      <c r="B134" s="93">
        <v>45842</v>
      </c>
      <c r="C134" s="37" t="s">
        <v>410</v>
      </c>
      <c r="D134" s="93">
        <v>45842</v>
      </c>
      <c r="E134" s="37" t="s">
        <v>411</v>
      </c>
      <c r="F134" s="100">
        <f t="shared" si="6"/>
        <v>1.1805555557657499E-2</v>
      </c>
    </row>
    <row r="135" spans="1:8">
      <c r="A135" s="37" t="s">
        <v>243</v>
      </c>
      <c r="B135" s="93">
        <v>45842</v>
      </c>
      <c r="C135" s="37" t="s">
        <v>412</v>
      </c>
      <c r="D135" s="93">
        <v>45842</v>
      </c>
      <c r="E135" s="37" t="s">
        <v>413</v>
      </c>
      <c r="F135" s="100">
        <f t="shared" si="6"/>
        <v>4.7222222223354038E-2</v>
      </c>
    </row>
    <row r="136" spans="1:8">
      <c r="A136" s="37" t="s">
        <v>246</v>
      </c>
      <c r="B136" s="93">
        <v>45842</v>
      </c>
      <c r="C136" s="37" t="s">
        <v>414</v>
      </c>
      <c r="D136" s="93">
        <v>45842</v>
      </c>
      <c r="E136" s="37" t="s">
        <v>383</v>
      </c>
      <c r="F136" s="100">
        <f t="shared" si="6"/>
        <v>0.10069444444525288</v>
      </c>
    </row>
    <row r="137" spans="1:8">
      <c r="A137" s="37" t="s">
        <v>227</v>
      </c>
      <c r="B137" s="93">
        <v>45842</v>
      </c>
      <c r="C137" s="37" t="s">
        <v>415</v>
      </c>
      <c r="D137" s="93">
        <v>45842</v>
      </c>
      <c r="E137" s="37" t="s">
        <v>319</v>
      </c>
      <c r="F137" s="100">
        <f t="shared" si="6"/>
        <v>0.10624999999708962</v>
      </c>
    </row>
    <row r="138" spans="1:8">
      <c r="A138" s="37" t="s">
        <v>230</v>
      </c>
      <c r="B138" s="93">
        <v>45842</v>
      </c>
      <c r="C138" s="37" t="s">
        <v>416</v>
      </c>
      <c r="D138" s="93">
        <v>45842</v>
      </c>
      <c r="E138" s="37" t="s">
        <v>417</v>
      </c>
      <c r="F138" s="100">
        <f t="shared" si="6"/>
        <v>0.11111111110949423</v>
      </c>
    </row>
    <row r="139" spans="1:8">
      <c r="A139" s="37" t="s">
        <v>240</v>
      </c>
      <c r="B139" s="93">
        <v>45842</v>
      </c>
      <c r="C139" s="37" t="s">
        <v>418</v>
      </c>
      <c r="D139" s="93">
        <v>45842</v>
      </c>
      <c r="E139" s="37" t="s">
        <v>419</v>
      </c>
      <c r="F139" s="100">
        <f t="shared" si="6"/>
        <v>0.12430555555329192</v>
      </c>
    </row>
    <row r="140" spans="1:8">
      <c r="A140" s="37" t="s">
        <v>297</v>
      </c>
      <c r="B140" s="93">
        <v>45842</v>
      </c>
      <c r="C140" s="37" t="s">
        <v>369</v>
      </c>
      <c r="D140" s="93">
        <v>45842</v>
      </c>
      <c r="E140" s="37" t="s">
        <v>413</v>
      </c>
      <c r="F140" s="100">
        <f t="shared" si="6"/>
        <v>3.6111111112404615E-2</v>
      </c>
    </row>
    <row r="141" spans="1:8">
      <c r="A141" s="37" t="s">
        <v>200</v>
      </c>
      <c r="B141" s="93">
        <v>45842</v>
      </c>
      <c r="C141" s="37" t="s">
        <v>420</v>
      </c>
      <c r="D141" s="93">
        <v>45843</v>
      </c>
      <c r="E141" s="37" t="s">
        <v>421</v>
      </c>
      <c r="F141" s="100">
        <f t="shared" si="6"/>
        <v>1.0798611111094942</v>
      </c>
    </row>
    <row r="142" spans="1:8">
      <c r="A142" s="37" t="s">
        <v>209</v>
      </c>
      <c r="B142" s="93">
        <v>45842</v>
      </c>
      <c r="C142" s="37" t="s">
        <v>369</v>
      </c>
      <c r="D142" s="93">
        <v>45843</v>
      </c>
      <c r="E142" s="37" t="s">
        <v>422</v>
      </c>
      <c r="F142" s="100">
        <f t="shared" si="6"/>
        <v>0.67152777777664596</v>
      </c>
    </row>
    <row r="143" spans="1:8">
      <c r="A143" s="37" t="s">
        <v>312</v>
      </c>
      <c r="B143" s="93">
        <v>45842</v>
      </c>
      <c r="C143" s="37" t="s">
        <v>359</v>
      </c>
      <c r="D143" s="93">
        <v>45842</v>
      </c>
      <c r="E143" s="37" t="s">
        <v>423</v>
      </c>
      <c r="F143" s="100">
        <f t="shared" si="6"/>
        <v>0.36944444444088731</v>
      </c>
    </row>
    <row r="144" spans="1:8">
      <c r="A144" s="37" t="s">
        <v>197</v>
      </c>
      <c r="B144" s="93">
        <v>45842</v>
      </c>
      <c r="C144" s="37" t="s">
        <v>406</v>
      </c>
      <c r="D144" s="93">
        <v>45842</v>
      </c>
      <c r="E144" s="37" t="s">
        <v>313</v>
      </c>
      <c r="F144" s="100">
        <f t="shared" si="6"/>
        <v>2.8472222227719612E-2</v>
      </c>
      <c r="G144" s="37" t="s">
        <v>9</v>
      </c>
      <c r="H144" s="94" t="s">
        <v>424</v>
      </c>
    </row>
    <row r="145" spans="1:8">
      <c r="A145" s="37" t="s">
        <v>254</v>
      </c>
      <c r="B145" s="93">
        <v>45842</v>
      </c>
      <c r="C145" s="37" t="s">
        <v>250</v>
      </c>
      <c r="D145" s="93">
        <v>45842</v>
      </c>
      <c r="E145" s="37" t="s">
        <v>345</v>
      </c>
      <c r="F145" s="100">
        <f t="shared" si="6"/>
        <v>0.59305555555329192</v>
      </c>
    </row>
    <row r="146" spans="1:8">
      <c r="A146" s="37" t="s">
        <v>197</v>
      </c>
      <c r="B146" s="93">
        <v>45842</v>
      </c>
      <c r="C146" s="37" t="s">
        <v>313</v>
      </c>
      <c r="D146" s="93">
        <v>45842</v>
      </c>
      <c r="E146" s="37" t="s">
        <v>425</v>
      </c>
      <c r="F146" s="100">
        <f t="shared" si="6"/>
        <v>1.3888888861401938E-3</v>
      </c>
    </row>
    <row r="147" spans="1:8">
      <c r="A147" s="37" t="s">
        <v>197</v>
      </c>
      <c r="B147" s="93">
        <v>45842</v>
      </c>
      <c r="C147" s="37" t="s">
        <v>425</v>
      </c>
      <c r="D147" s="93">
        <v>45842</v>
      </c>
      <c r="E147" s="37" t="s">
        <v>425</v>
      </c>
      <c r="F147" s="100">
        <f t="shared" si="6"/>
        <v>0</v>
      </c>
      <c r="G147" s="37" t="s">
        <v>9</v>
      </c>
      <c r="H147" s="94" t="s">
        <v>424</v>
      </c>
    </row>
    <row r="148" spans="1:8">
      <c r="A148" s="37" t="s">
        <v>197</v>
      </c>
      <c r="B148" s="93">
        <v>45842</v>
      </c>
      <c r="C148" s="37" t="s">
        <v>425</v>
      </c>
      <c r="D148" s="93">
        <v>45842</v>
      </c>
      <c r="E148" s="37" t="s">
        <v>426</v>
      </c>
      <c r="F148" s="100">
        <f t="shared" si="6"/>
        <v>2.9166666667151731E-2</v>
      </c>
      <c r="H148" s="94" t="s">
        <v>427</v>
      </c>
    </row>
    <row r="149" spans="1:8">
      <c r="A149" s="37" t="s">
        <v>197</v>
      </c>
      <c r="B149" s="93">
        <v>45842</v>
      </c>
      <c r="C149" s="37" t="s">
        <v>426</v>
      </c>
      <c r="D149" s="93">
        <v>45843</v>
      </c>
      <c r="E149" s="37" t="s">
        <v>428</v>
      </c>
      <c r="F149" s="100">
        <f t="shared" si="6"/>
        <v>0.70833333333575865</v>
      </c>
    </row>
    <row r="150" spans="1:8">
      <c r="A150" s="37" t="s">
        <v>243</v>
      </c>
      <c r="B150" s="93">
        <v>45842</v>
      </c>
      <c r="C150" s="37" t="s">
        <v>429</v>
      </c>
      <c r="D150" s="93">
        <v>45842</v>
      </c>
      <c r="E150" s="37" t="s">
        <v>383</v>
      </c>
      <c r="F150" s="100">
        <f t="shared" si="6"/>
        <v>2.1527777775190771E-2</v>
      </c>
    </row>
    <row r="151" spans="1:8">
      <c r="A151" s="37" t="s">
        <v>243</v>
      </c>
      <c r="B151" s="93">
        <v>45842</v>
      </c>
      <c r="C151" s="37" t="s">
        <v>430</v>
      </c>
      <c r="D151" s="93">
        <v>45842</v>
      </c>
      <c r="E151" s="37" t="s">
        <v>431</v>
      </c>
      <c r="F151" s="100">
        <f t="shared" si="6"/>
        <v>0.13680555555038154</v>
      </c>
    </row>
    <row r="152" spans="1:8">
      <c r="A152" s="37" t="s">
        <v>219</v>
      </c>
      <c r="B152" s="93">
        <v>45842</v>
      </c>
      <c r="C152" s="37" t="s">
        <v>217</v>
      </c>
      <c r="D152" s="93">
        <v>45843</v>
      </c>
      <c r="E152" s="37" t="s">
        <v>388</v>
      </c>
      <c r="F152" s="100">
        <f t="shared" si="6"/>
        <v>0.66736111111094942</v>
      </c>
    </row>
    <row r="153" spans="1:8">
      <c r="A153" s="37" t="s">
        <v>246</v>
      </c>
      <c r="B153" s="93">
        <v>45842</v>
      </c>
      <c r="C153" s="37" t="s">
        <v>432</v>
      </c>
      <c r="D153" s="93">
        <v>45842</v>
      </c>
      <c r="E153" s="37" t="s">
        <v>433</v>
      </c>
      <c r="F153" s="100">
        <f t="shared" si="6"/>
        <v>0.15138888888759539</v>
      </c>
    </row>
    <row r="154" spans="1:8">
      <c r="A154" s="37" t="s">
        <v>227</v>
      </c>
      <c r="B154" s="93">
        <v>45842</v>
      </c>
      <c r="C154" s="37" t="s">
        <v>260</v>
      </c>
      <c r="D154" s="93">
        <v>45842</v>
      </c>
      <c r="E154" s="37" t="s">
        <v>434</v>
      </c>
      <c r="F154" s="100">
        <f t="shared" si="6"/>
        <v>0.13819444445107365</v>
      </c>
    </row>
    <row r="155" spans="1:8">
      <c r="A155" s="37" t="s">
        <v>233</v>
      </c>
      <c r="B155" s="93">
        <v>45842</v>
      </c>
      <c r="C155" s="37" t="s">
        <v>435</v>
      </c>
      <c r="D155" s="93">
        <v>45843</v>
      </c>
      <c r="E155" s="37" t="s">
        <v>436</v>
      </c>
      <c r="F155" s="100">
        <f t="shared" si="6"/>
        <v>0.32986111111677019</v>
      </c>
    </row>
    <row r="156" spans="1:8">
      <c r="A156" s="37" t="s">
        <v>213</v>
      </c>
      <c r="B156" s="93">
        <v>45842</v>
      </c>
      <c r="C156" s="37" t="s">
        <v>220</v>
      </c>
      <c r="D156" s="93">
        <v>45843</v>
      </c>
      <c r="E156" s="37" t="s">
        <v>437</v>
      </c>
      <c r="F156" s="100">
        <f t="shared" si="6"/>
        <v>0.48402777777664596</v>
      </c>
    </row>
    <row r="157" spans="1:8">
      <c r="A157" s="37" t="s">
        <v>230</v>
      </c>
      <c r="B157" s="93">
        <v>45842</v>
      </c>
      <c r="C157" s="37" t="s">
        <v>438</v>
      </c>
      <c r="D157" s="93">
        <v>45842</v>
      </c>
      <c r="E157" s="37" t="s">
        <v>439</v>
      </c>
      <c r="F157" s="100">
        <f t="shared" si="6"/>
        <v>4.9305555556202307E-2</v>
      </c>
    </row>
    <row r="158" spans="1:8">
      <c r="A158" s="37" t="s">
        <v>240</v>
      </c>
      <c r="B158" s="93">
        <v>45842</v>
      </c>
      <c r="C158" s="37" t="s">
        <v>440</v>
      </c>
      <c r="D158" s="93">
        <v>45842</v>
      </c>
      <c r="E158" s="37" t="s">
        <v>441</v>
      </c>
      <c r="F158" s="100">
        <f t="shared" si="6"/>
        <v>5.0694444442342501E-2</v>
      </c>
    </row>
    <row r="159" spans="1:8">
      <c r="A159" s="37" t="s">
        <v>243</v>
      </c>
      <c r="B159" s="93">
        <v>45842</v>
      </c>
      <c r="C159" s="37" t="s">
        <v>442</v>
      </c>
      <c r="D159" s="93">
        <v>45842</v>
      </c>
      <c r="E159" s="37" t="s">
        <v>443</v>
      </c>
      <c r="F159" s="100">
        <f t="shared" si="6"/>
        <v>4.2361111110949423E-2</v>
      </c>
    </row>
    <row r="160" spans="1:8">
      <c r="A160" s="37" t="s">
        <v>246</v>
      </c>
      <c r="B160" s="93">
        <v>45842</v>
      </c>
      <c r="C160" s="37" t="s">
        <v>444</v>
      </c>
      <c r="D160" s="93">
        <v>45842</v>
      </c>
      <c r="E160" s="37" t="s">
        <v>445</v>
      </c>
      <c r="F160" s="100">
        <f t="shared" si="6"/>
        <v>4.5138888890505768E-2</v>
      </c>
    </row>
    <row r="161" spans="1:8">
      <c r="A161" s="37" t="s">
        <v>227</v>
      </c>
      <c r="B161" s="93">
        <v>45842</v>
      </c>
      <c r="C161" s="37" t="s">
        <v>446</v>
      </c>
      <c r="D161" s="93">
        <v>45842</v>
      </c>
      <c r="E161" s="37" t="s">
        <v>447</v>
      </c>
      <c r="F161" s="100">
        <f t="shared" si="6"/>
        <v>4.9305555556202307E-2</v>
      </c>
    </row>
    <row r="162" spans="1:8">
      <c r="A162" s="37" t="s">
        <v>297</v>
      </c>
      <c r="B162" s="93">
        <v>45842</v>
      </c>
      <c r="C162" s="37" t="s">
        <v>448</v>
      </c>
      <c r="D162" s="93">
        <v>45842</v>
      </c>
      <c r="E162" s="37" t="s">
        <v>449</v>
      </c>
      <c r="F162" s="100">
        <f t="shared" si="6"/>
        <v>1.9444444442342501E-2</v>
      </c>
    </row>
    <row r="163" spans="1:8">
      <c r="A163" s="37" t="s">
        <v>222</v>
      </c>
      <c r="B163" s="93">
        <v>45842</v>
      </c>
      <c r="C163" s="37" t="s">
        <v>450</v>
      </c>
      <c r="D163" s="93">
        <v>45843</v>
      </c>
      <c r="E163" s="37" t="s">
        <v>451</v>
      </c>
      <c r="F163" s="100">
        <f>(D163 + TIME(LEFT(E163, 2), MID(E163, 3, 2), 0)) - (B163 + TIME(LEFT(C163, 2), MID(C163, 3, 2), 0))</f>
        <v>0.66736111111094942</v>
      </c>
    </row>
    <row r="164" spans="1:8">
      <c r="A164" s="37" t="s">
        <v>246</v>
      </c>
      <c r="B164" s="93">
        <v>45842</v>
      </c>
      <c r="C164" s="37" t="s">
        <v>452</v>
      </c>
      <c r="D164" s="93">
        <v>45842</v>
      </c>
      <c r="E164" s="37" t="s">
        <v>275</v>
      </c>
      <c r="F164" s="100">
        <f t="shared" ref="F164:F174" si="7">(D164 + TIME(LEFT(E164, 2), MID(E164, 3, 2), 0)) - (B164 + TIME(LEFT(C164, 2), MID(C164, 3, 2), 0))</f>
        <v>2.6388888894871343E-2</v>
      </c>
    </row>
    <row r="165" spans="1:8">
      <c r="A165" s="37" t="s">
        <v>240</v>
      </c>
      <c r="B165" s="93">
        <v>45842</v>
      </c>
      <c r="C165" s="37" t="s">
        <v>452</v>
      </c>
      <c r="D165" s="93">
        <v>45842</v>
      </c>
      <c r="E165" s="37" t="s">
        <v>453</v>
      </c>
      <c r="F165" s="100">
        <f t="shared" si="7"/>
        <v>1.9444444449618459E-2</v>
      </c>
    </row>
    <row r="166" spans="1:8">
      <c r="A166" s="37" t="s">
        <v>227</v>
      </c>
      <c r="B166" s="93">
        <v>45842</v>
      </c>
      <c r="C166" s="37" t="s">
        <v>452</v>
      </c>
      <c r="D166" s="93">
        <v>45842</v>
      </c>
      <c r="E166" s="37" t="s">
        <v>454</v>
      </c>
      <c r="F166" s="100">
        <f t="shared" si="7"/>
        <v>3.125E-2</v>
      </c>
    </row>
    <row r="167" spans="1:8">
      <c r="A167" s="37" t="s">
        <v>243</v>
      </c>
      <c r="B167" s="93">
        <v>45842</v>
      </c>
      <c r="C167" s="37" t="s">
        <v>452</v>
      </c>
      <c r="D167" s="93">
        <v>45842</v>
      </c>
      <c r="E167" s="37" t="s">
        <v>455</v>
      </c>
      <c r="F167" s="100">
        <f t="shared" si="7"/>
        <v>9.7222222248092294E-3</v>
      </c>
    </row>
    <row r="168" spans="1:8">
      <c r="A168" s="37" t="s">
        <v>230</v>
      </c>
      <c r="B168" s="93">
        <v>45842</v>
      </c>
      <c r="C168" s="37" t="s">
        <v>452</v>
      </c>
      <c r="D168" s="93">
        <v>45842</v>
      </c>
      <c r="E168" s="37" t="s">
        <v>456</v>
      </c>
      <c r="F168" s="100">
        <f t="shared" si="7"/>
        <v>3.8194444445252884E-2</v>
      </c>
    </row>
    <row r="169" spans="1:8">
      <c r="A169" s="37" t="s">
        <v>203</v>
      </c>
      <c r="B169" s="93">
        <v>45842</v>
      </c>
      <c r="C169" s="37" t="s">
        <v>276</v>
      </c>
      <c r="D169" s="93">
        <v>45843</v>
      </c>
      <c r="E169" s="37" t="s">
        <v>457</v>
      </c>
      <c r="F169" s="100">
        <f t="shared" si="7"/>
        <v>0.47777777777810115</v>
      </c>
      <c r="G169" s="37" t="s">
        <v>9</v>
      </c>
      <c r="H169" s="23" t="s">
        <v>458</v>
      </c>
    </row>
    <row r="170" spans="1:8">
      <c r="A170" s="37" t="s">
        <v>240</v>
      </c>
      <c r="B170" s="93">
        <v>45843</v>
      </c>
      <c r="C170" s="37" t="s">
        <v>459</v>
      </c>
      <c r="D170" s="93">
        <v>45843</v>
      </c>
      <c r="E170" s="37" t="s">
        <v>460</v>
      </c>
      <c r="F170" s="100">
        <f t="shared" si="7"/>
        <v>1.1111111110949423E-2</v>
      </c>
    </row>
    <row r="171" spans="1:8">
      <c r="A171" s="37" t="s">
        <v>227</v>
      </c>
      <c r="B171" s="93">
        <v>45843</v>
      </c>
      <c r="C171" s="37" t="s">
        <v>459</v>
      </c>
      <c r="D171" s="93">
        <v>45843</v>
      </c>
      <c r="E171" s="37" t="s">
        <v>461</v>
      </c>
      <c r="F171" s="100">
        <f t="shared" si="7"/>
        <v>1.4583333329937886E-2</v>
      </c>
    </row>
    <row r="172" spans="1:8">
      <c r="A172" s="37" t="s">
        <v>243</v>
      </c>
      <c r="B172" s="93">
        <v>45843</v>
      </c>
      <c r="C172" s="37" t="s">
        <v>459</v>
      </c>
      <c r="D172" s="93">
        <v>45843</v>
      </c>
      <c r="E172" s="37" t="s">
        <v>462</v>
      </c>
      <c r="F172" s="100">
        <f t="shared" si="7"/>
        <v>9.7222222175332718E-3</v>
      </c>
    </row>
    <row r="173" spans="1:8">
      <c r="A173" s="37" t="s">
        <v>230</v>
      </c>
      <c r="B173" s="93">
        <v>45843</v>
      </c>
      <c r="C173" s="37" t="s">
        <v>459</v>
      </c>
      <c r="D173" s="93">
        <v>45843</v>
      </c>
      <c r="E173" s="37" t="s">
        <v>463</v>
      </c>
      <c r="F173" s="100">
        <f t="shared" si="7"/>
        <v>0.15138888888759539</v>
      </c>
    </row>
    <row r="174" spans="1:8">
      <c r="A174" s="37" t="s">
        <v>246</v>
      </c>
      <c r="B174" s="93">
        <v>45843</v>
      </c>
      <c r="C174" s="37" t="s">
        <v>459</v>
      </c>
      <c r="D174" s="93">
        <v>45843</v>
      </c>
      <c r="E174" s="37" t="s">
        <v>464</v>
      </c>
      <c r="F174" s="100">
        <f t="shared" si="7"/>
        <v>1.3194444443797693E-2</v>
      </c>
    </row>
    <row r="175" spans="1:8">
      <c r="A175" s="37" t="s">
        <v>206</v>
      </c>
      <c r="B175" s="93">
        <v>45843</v>
      </c>
      <c r="C175" s="37" t="s">
        <v>465</v>
      </c>
      <c r="D175" s="93">
        <v>45844</v>
      </c>
      <c r="E175" s="37" t="s">
        <v>466</v>
      </c>
      <c r="F175" s="100">
        <f>(D175 + TIME(LEFT(E175, 2), MID(E175, 3, 2), 0)) - (B175 + TIME(LEFT(C175, 2), MID(C175, 3, 2), 0))</f>
        <v>0.92986111110803904</v>
      </c>
    </row>
    <row r="176" spans="1:8">
      <c r="A176" s="37" t="s">
        <v>197</v>
      </c>
      <c r="B176" s="93">
        <v>45843</v>
      </c>
      <c r="C176" s="37" t="s">
        <v>428</v>
      </c>
      <c r="D176" s="93">
        <v>45843</v>
      </c>
      <c r="E176" s="37" t="s">
        <v>467</v>
      </c>
      <c r="F176" s="100">
        <f>(D176 + TIME(LEFT(E176, 2), MID(E176, 3, 2), 0)) - (B176 + TIME(LEFT(C176, 2), MID(C176, 3, 2), 0))</f>
        <v>7.3611111110949423E-2</v>
      </c>
      <c r="G176" s="37" t="s">
        <v>9</v>
      </c>
    </row>
    <row r="177" spans="1:8">
      <c r="A177" s="37" t="s">
        <v>216</v>
      </c>
      <c r="B177" s="93">
        <v>45843</v>
      </c>
      <c r="C177" s="37" t="s">
        <v>403</v>
      </c>
      <c r="D177" s="93">
        <v>45843</v>
      </c>
      <c r="E177" s="37" t="s">
        <v>358</v>
      </c>
      <c r="F177" s="100">
        <f>(D177 + TIME(LEFT(E177, 2), MID(E177, 3, 2), 0)) - (B177 + TIME(LEFT(C177, 2), MID(C177, 3, 2), 0))</f>
        <v>0.66736111111094942</v>
      </c>
    </row>
    <row r="178" spans="1:8">
      <c r="A178" s="37" t="s">
        <v>251</v>
      </c>
      <c r="B178" s="93">
        <v>45844</v>
      </c>
      <c r="C178" s="37" t="s">
        <v>287</v>
      </c>
      <c r="D178" s="93">
        <v>45844</v>
      </c>
      <c r="E178" s="37" t="s">
        <v>237</v>
      </c>
      <c r="F178" s="100">
        <f t="shared" ref="F178:F184" si="8">(D178 + TIME(LEFT(E178, 2), MID(E178, 3, 2), 0)) - (B178 + TIME(LEFT(C178, 2), MID(C178, 3, 2), 0))</f>
        <v>3.125E-2</v>
      </c>
    </row>
    <row r="179" spans="1:8">
      <c r="A179" s="37" t="s">
        <v>197</v>
      </c>
      <c r="B179" s="93">
        <v>45843</v>
      </c>
      <c r="C179" s="37" t="s">
        <v>467</v>
      </c>
      <c r="D179" s="93">
        <v>45843</v>
      </c>
      <c r="E179" s="37" t="s">
        <v>352</v>
      </c>
      <c r="F179" s="100">
        <f t="shared" si="8"/>
        <v>1.7361111109494232E-2</v>
      </c>
      <c r="H179" s="94" t="s">
        <v>407</v>
      </c>
    </row>
    <row r="180" spans="1:8">
      <c r="A180" s="37" t="s">
        <v>240</v>
      </c>
      <c r="B180" s="93">
        <v>45843</v>
      </c>
      <c r="C180" s="37" t="s">
        <v>468</v>
      </c>
      <c r="D180" s="93">
        <v>45843</v>
      </c>
      <c r="E180" s="37" t="s">
        <v>469</v>
      </c>
      <c r="F180" s="100">
        <f t="shared" si="8"/>
        <v>6.1805555553291924E-2</v>
      </c>
    </row>
    <row r="181" spans="1:8">
      <c r="A181" s="37" t="s">
        <v>197</v>
      </c>
      <c r="B181" s="93">
        <v>45843</v>
      </c>
      <c r="C181" s="37" t="s">
        <v>352</v>
      </c>
      <c r="D181" s="93">
        <v>45843</v>
      </c>
      <c r="E181" s="37" t="s">
        <v>470</v>
      </c>
      <c r="F181" s="100">
        <f t="shared" si="8"/>
        <v>5.2083333328482695E-2</v>
      </c>
      <c r="G181" s="37" t="s">
        <v>9</v>
      </c>
    </row>
    <row r="182" spans="1:8">
      <c r="A182" s="37" t="s">
        <v>243</v>
      </c>
      <c r="B182" s="93">
        <v>45843</v>
      </c>
      <c r="C182" s="37" t="s">
        <v>471</v>
      </c>
      <c r="D182" s="93">
        <v>45843</v>
      </c>
      <c r="E182" s="37" t="s">
        <v>472</v>
      </c>
      <c r="F182" s="100">
        <f t="shared" si="8"/>
        <v>6.1805555553291924E-2</v>
      </c>
    </row>
    <row r="183" spans="1:8">
      <c r="A183" s="37" t="s">
        <v>227</v>
      </c>
      <c r="B183" s="93">
        <v>45843</v>
      </c>
      <c r="C183" s="37" t="s">
        <v>232</v>
      </c>
      <c r="D183" s="93">
        <v>45843</v>
      </c>
      <c r="E183" s="37" t="s">
        <v>473</v>
      </c>
      <c r="F183" s="100">
        <f t="shared" si="8"/>
        <v>5.3472222221898846E-2</v>
      </c>
    </row>
    <row r="184" spans="1:8">
      <c r="A184" s="37" t="s">
        <v>197</v>
      </c>
      <c r="B184" s="93">
        <v>45843</v>
      </c>
      <c r="C184" s="37" t="s">
        <v>470</v>
      </c>
      <c r="D184" s="93">
        <v>45843</v>
      </c>
      <c r="E184" s="37" t="s">
        <v>474</v>
      </c>
      <c r="F184" s="100">
        <f t="shared" si="8"/>
        <v>1.1805555557657499E-2</v>
      </c>
      <c r="H184" s="94" t="s">
        <v>475</v>
      </c>
    </row>
    <row r="185" spans="1:8">
      <c r="A185" s="37" t="s">
        <v>209</v>
      </c>
      <c r="B185" s="93">
        <v>45843</v>
      </c>
      <c r="C185" s="37" t="s">
        <v>476</v>
      </c>
      <c r="D185" s="93">
        <v>45843</v>
      </c>
      <c r="E185" s="37" t="s">
        <v>477</v>
      </c>
      <c r="F185" s="100">
        <f>(D185 + TIME(LEFT(E185, 2), MID(E185, 3, 2), 0)) - (B185 + TIME(LEFT(C185, 2), MID(C185, 3, 2), 0))</f>
        <v>0.63819444445107365</v>
      </c>
    </row>
    <row r="186" spans="1:8">
      <c r="A186" s="37" t="s">
        <v>235</v>
      </c>
      <c r="B186" s="93">
        <v>45843</v>
      </c>
      <c r="C186" s="37" t="s">
        <v>355</v>
      </c>
      <c r="D186" s="93">
        <v>45843</v>
      </c>
      <c r="E186" s="37" t="s">
        <v>277</v>
      </c>
      <c r="F186" s="100">
        <f>(D186 + TIME(LEFT(E186, 2), MID(E186, 3, 2), 0)) - (B186 + TIME(LEFT(C186, 2), MID(C186, 3, 2), 0))</f>
        <v>0.50972222221753327</v>
      </c>
    </row>
    <row r="187" spans="1:8">
      <c r="A187" s="37" t="s">
        <v>197</v>
      </c>
      <c r="B187" s="93">
        <v>45843</v>
      </c>
      <c r="C187" s="37" t="s">
        <v>474</v>
      </c>
      <c r="D187" s="93">
        <v>45844</v>
      </c>
      <c r="E187" s="37" t="s">
        <v>271</v>
      </c>
      <c r="F187" s="100">
        <f>(D187 + TIME(LEFT(E187, 2), MID(E187, 3, 2), 0)) - (B187 + TIME(LEFT(C187, 2), MID(C187, 3, 2), 0))</f>
        <v>0.72291666666569654</v>
      </c>
      <c r="H187" s="23" t="s">
        <v>337</v>
      </c>
    </row>
    <row r="188" spans="1:8">
      <c r="A188" s="37" t="s">
        <v>230</v>
      </c>
      <c r="B188" s="93">
        <v>45843</v>
      </c>
      <c r="C188" s="37" t="s">
        <v>478</v>
      </c>
      <c r="D188" s="93">
        <v>45843</v>
      </c>
      <c r="E188" s="37" t="s">
        <v>479</v>
      </c>
      <c r="F188" s="100">
        <f t="shared" ref="F188:F202" si="9">(D188 + TIME(LEFT(E188, 2), MID(E188, 3, 2), 0)) - (B188 + TIME(LEFT(C188, 2), MID(C188, 3, 2), 0))</f>
        <v>2.6388888894871343E-2</v>
      </c>
    </row>
    <row r="189" spans="1:8">
      <c r="A189" s="37" t="s">
        <v>240</v>
      </c>
      <c r="B189" s="93">
        <v>45843</v>
      </c>
      <c r="C189" s="37" t="s">
        <v>248</v>
      </c>
      <c r="D189" s="93">
        <v>45843</v>
      </c>
      <c r="E189" s="37" t="s">
        <v>480</v>
      </c>
      <c r="F189" s="100">
        <f t="shared" si="9"/>
        <v>2.6388888894871343E-2</v>
      </c>
    </row>
    <row r="190" spans="1:8">
      <c r="A190" s="37" t="s">
        <v>203</v>
      </c>
      <c r="B190" s="93">
        <v>45843</v>
      </c>
      <c r="C190" s="37" t="s">
        <v>457</v>
      </c>
      <c r="D190" s="93">
        <v>45843</v>
      </c>
      <c r="E190" s="37" t="s">
        <v>481</v>
      </c>
      <c r="F190" s="100">
        <f t="shared" si="9"/>
        <v>4.7916666662786156E-2</v>
      </c>
      <c r="H190" s="23" t="s">
        <v>475</v>
      </c>
    </row>
    <row r="191" spans="1:8">
      <c r="A191" s="37" t="s">
        <v>326</v>
      </c>
      <c r="B191" s="93">
        <v>45843</v>
      </c>
      <c r="C191" s="37" t="s">
        <v>338</v>
      </c>
      <c r="D191" s="93">
        <v>45843</v>
      </c>
      <c r="E191" s="37" t="s">
        <v>480</v>
      </c>
      <c r="F191" s="100">
        <f t="shared" si="9"/>
        <v>1.527777778392192E-2</v>
      </c>
      <c r="H191" s="23" t="s">
        <v>475</v>
      </c>
    </row>
    <row r="192" spans="1:8">
      <c r="A192" s="37" t="s">
        <v>243</v>
      </c>
      <c r="B192" s="93">
        <v>45843</v>
      </c>
      <c r="C192" s="37" t="s">
        <v>482</v>
      </c>
      <c r="D192" s="93">
        <v>45843</v>
      </c>
      <c r="E192" s="37" t="s">
        <v>483</v>
      </c>
      <c r="F192" s="100">
        <f t="shared" si="9"/>
        <v>4.6527777776645962E-2</v>
      </c>
    </row>
    <row r="193" spans="1:8">
      <c r="A193" s="37" t="s">
        <v>246</v>
      </c>
      <c r="B193" s="93">
        <v>45843</v>
      </c>
      <c r="C193" s="37" t="s">
        <v>375</v>
      </c>
      <c r="D193" s="93">
        <v>45843</v>
      </c>
      <c r="E193" s="37" t="s">
        <v>484</v>
      </c>
      <c r="F193" s="100">
        <f t="shared" si="9"/>
        <v>4.3055555557657499E-2</v>
      </c>
    </row>
    <row r="194" spans="1:8">
      <c r="A194" s="37" t="s">
        <v>254</v>
      </c>
      <c r="B194" s="93">
        <v>45843</v>
      </c>
      <c r="C194" s="37" t="s">
        <v>338</v>
      </c>
      <c r="D194" s="93">
        <v>45843</v>
      </c>
      <c r="E194" s="37" t="s">
        <v>485</v>
      </c>
      <c r="F194" s="100">
        <f t="shared" si="9"/>
        <v>0.50069444444670808</v>
      </c>
    </row>
    <row r="195" spans="1:8">
      <c r="A195" s="37" t="s">
        <v>227</v>
      </c>
      <c r="B195" s="93">
        <v>45843</v>
      </c>
      <c r="C195" s="37" t="s">
        <v>486</v>
      </c>
      <c r="D195" s="93">
        <v>45843</v>
      </c>
      <c r="E195" s="37" t="s">
        <v>487</v>
      </c>
      <c r="F195" s="100">
        <f t="shared" si="9"/>
        <v>2.361111110803904E-2</v>
      </c>
    </row>
    <row r="196" spans="1:8">
      <c r="A196" s="37" t="s">
        <v>230</v>
      </c>
      <c r="B196" s="93">
        <v>45843</v>
      </c>
      <c r="C196" s="37" t="s">
        <v>488</v>
      </c>
      <c r="D196" s="93">
        <v>45843</v>
      </c>
      <c r="E196" s="37" t="s">
        <v>489</v>
      </c>
      <c r="F196" s="100">
        <f t="shared" si="9"/>
        <v>2.7083333334303461E-2</v>
      </c>
    </row>
    <row r="197" spans="1:8">
      <c r="A197" s="37" t="s">
        <v>326</v>
      </c>
      <c r="B197" s="93">
        <v>45843</v>
      </c>
      <c r="C197" s="37" t="s">
        <v>480</v>
      </c>
      <c r="D197" s="93">
        <v>45843</v>
      </c>
      <c r="E197" s="37" t="s">
        <v>490</v>
      </c>
      <c r="F197" s="100">
        <f t="shared" si="9"/>
        <v>1.3194444443797693E-2</v>
      </c>
      <c r="G197" s="37" t="s">
        <v>9</v>
      </c>
      <c r="H197" s="94" t="s">
        <v>491</v>
      </c>
    </row>
    <row r="198" spans="1:8">
      <c r="A198" s="37" t="s">
        <v>326</v>
      </c>
      <c r="B198" s="93">
        <v>45843</v>
      </c>
      <c r="C198" s="37" t="s">
        <v>490</v>
      </c>
      <c r="D198" s="93">
        <v>45843</v>
      </c>
      <c r="E198" s="37" t="s">
        <v>492</v>
      </c>
      <c r="F198" s="100">
        <f t="shared" si="9"/>
        <v>0.21736111110658385</v>
      </c>
      <c r="H198" s="94" t="s">
        <v>475</v>
      </c>
    </row>
    <row r="199" spans="1:8">
      <c r="A199" s="37" t="s">
        <v>240</v>
      </c>
      <c r="B199" s="93">
        <v>45843</v>
      </c>
      <c r="C199" s="37" t="s">
        <v>493</v>
      </c>
      <c r="D199" s="93">
        <v>45843</v>
      </c>
      <c r="E199" s="37" t="s">
        <v>494</v>
      </c>
      <c r="F199" s="100">
        <f t="shared" si="9"/>
        <v>6.6666666665696539E-2</v>
      </c>
    </row>
    <row r="200" spans="1:8">
      <c r="A200" s="37" t="s">
        <v>312</v>
      </c>
      <c r="B200" s="93">
        <v>45843</v>
      </c>
      <c r="C200" s="37" t="s">
        <v>495</v>
      </c>
      <c r="D200" s="93">
        <v>45843</v>
      </c>
      <c r="E200" s="37" t="s">
        <v>496</v>
      </c>
      <c r="F200" s="100">
        <f t="shared" si="9"/>
        <v>9.9305555551836733E-2</v>
      </c>
    </row>
    <row r="201" spans="1:8">
      <c r="A201" s="37" t="s">
        <v>243</v>
      </c>
      <c r="B201" s="93">
        <v>45843</v>
      </c>
      <c r="C201" s="37" t="s">
        <v>497</v>
      </c>
      <c r="D201" s="93">
        <v>45843</v>
      </c>
      <c r="E201" s="37" t="s">
        <v>498</v>
      </c>
      <c r="F201" s="100">
        <f t="shared" si="9"/>
        <v>3.4027777772280388E-2</v>
      </c>
    </row>
    <row r="202" spans="1:8">
      <c r="A202" s="37" t="s">
        <v>203</v>
      </c>
      <c r="B202" s="93">
        <v>45843</v>
      </c>
      <c r="C202" s="37" t="s">
        <v>481</v>
      </c>
      <c r="D202" s="84">
        <v>45844</v>
      </c>
      <c r="E202" s="23" t="s">
        <v>499</v>
      </c>
      <c r="F202" s="100">
        <f t="shared" si="9"/>
        <v>0.82569444444379769</v>
      </c>
      <c r="H202" s="94" t="s">
        <v>500</v>
      </c>
    </row>
    <row r="203" spans="1:8">
      <c r="A203" s="37" t="s">
        <v>246</v>
      </c>
      <c r="B203" s="93">
        <v>45843</v>
      </c>
      <c r="C203" s="37" t="s">
        <v>501</v>
      </c>
      <c r="D203" s="93">
        <v>45843</v>
      </c>
      <c r="E203" s="37" t="s">
        <v>502</v>
      </c>
      <c r="F203" s="100">
        <f t="shared" ref="F203:F211" si="10">(D203 + TIME(LEFT(E203, 2), MID(E203, 3, 2), 0)) - (B203 + TIME(LEFT(C203, 2), MID(C203, 3, 2), 0))</f>
        <v>1.3194444443797693E-2</v>
      </c>
    </row>
    <row r="204" spans="1:8">
      <c r="A204" s="37" t="s">
        <v>227</v>
      </c>
      <c r="B204" s="93">
        <v>45843</v>
      </c>
      <c r="C204" s="37" t="s">
        <v>503</v>
      </c>
      <c r="D204" s="93">
        <v>45843</v>
      </c>
      <c r="E204" s="37" t="s">
        <v>504</v>
      </c>
      <c r="F204" s="100">
        <f t="shared" si="10"/>
        <v>5.0694444442342501E-2</v>
      </c>
    </row>
    <row r="205" spans="1:8">
      <c r="A205" s="37" t="s">
        <v>230</v>
      </c>
      <c r="B205" s="93">
        <v>45843</v>
      </c>
      <c r="C205" s="37" t="s">
        <v>503</v>
      </c>
      <c r="D205" s="93">
        <v>45843</v>
      </c>
      <c r="E205" s="37" t="s">
        <v>504</v>
      </c>
      <c r="F205" s="100">
        <f t="shared" si="10"/>
        <v>5.0694444442342501E-2</v>
      </c>
    </row>
    <row r="206" spans="1:8">
      <c r="A206" s="37" t="s">
        <v>200</v>
      </c>
      <c r="B206" s="93">
        <v>45843</v>
      </c>
      <c r="C206" s="37" t="s">
        <v>421</v>
      </c>
      <c r="D206" s="93">
        <v>45843</v>
      </c>
      <c r="E206" s="37" t="s">
        <v>505</v>
      </c>
      <c r="F206" s="100">
        <f t="shared" si="10"/>
        <v>3.6805555551836733E-2</v>
      </c>
      <c r="G206" s="37" t="s">
        <v>9</v>
      </c>
    </row>
    <row r="207" spans="1:8">
      <c r="A207" s="37" t="s">
        <v>240</v>
      </c>
      <c r="B207" s="93">
        <v>45843</v>
      </c>
      <c r="C207" s="37" t="s">
        <v>506</v>
      </c>
      <c r="D207" s="93">
        <v>45843</v>
      </c>
      <c r="E207" s="37" t="s">
        <v>507</v>
      </c>
      <c r="F207" s="100">
        <f t="shared" si="10"/>
        <v>1.9444444442342501E-2</v>
      </c>
    </row>
    <row r="208" spans="1:8">
      <c r="A208" s="37" t="s">
        <v>243</v>
      </c>
      <c r="B208" s="93">
        <v>45843</v>
      </c>
      <c r="C208" s="37" t="s">
        <v>506</v>
      </c>
      <c r="D208" s="93">
        <v>45843</v>
      </c>
      <c r="E208" s="37" t="s">
        <v>507</v>
      </c>
      <c r="F208" s="100">
        <f t="shared" si="10"/>
        <v>1.9444444442342501E-2</v>
      </c>
    </row>
    <row r="209" spans="1:7">
      <c r="A209" s="37" t="s">
        <v>246</v>
      </c>
      <c r="B209" s="93">
        <v>45843</v>
      </c>
      <c r="C209" s="37" t="s">
        <v>508</v>
      </c>
      <c r="D209" s="93">
        <v>45843</v>
      </c>
      <c r="E209" s="37" t="s">
        <v>237</v>
      </c>
      <c r="F209" s="100">
        <f t="shared" si="10"/>
        <v>2.0833333335758653E-2</v>
      </c>
    </row>
    <row r="210" spans="1:7">
      <c r="A210" s="37" t="s">
        <v>200</v>
      </c>
      <c r="B210" s="93">
        <v>45843</v>
      </c>
      <c r="C210" s="37" t="s">
        <v>509</v>
      </c>
      <c r="D210" s="93">
        <v>45846</v>
      </c>
      <c r="E210" s="37" t="s">
        <v>510</v>
      </c>
      <c r="F210" s="100">
        <f>(D210 + TIME(LEFT(E210, 2), MID(E210, 3, 2), 0)) - (B210 + TIME(LEFT(C210, 2), MID(C210, 3, 2), 0))</f>
        <v>2.7631944444437977</v>
      </c>
    </row>
    <row r="211" spans="1:7">
      <c r="A211" s="37" t="s">
        <v>219</v>
      </c>
      <c r="B211" s="93">
        <v>45843</v>
      </c>
      <c r="C211" s="37" t="s">
        <v>389</v>
      </c>
      <c r="D211" s="84">
        <v>45844</v>
      </c>
      <c r="E211" s="23" t="s">
        <v>511</v>
      </c>
      <c r="F211" s="100">
        <f t="shared" si="10"/>
        <v>0.58402777777519077</v>
      </c>
    </row>
    <row r="212" spans="1:7">
      <c r="A212" s="37" t="s">
        <v>326</v>
      </c>
      <c r="B212" s="93">
        <v>45843</v>
      </c>
      <c r="C212" s="37" t="s">
        <v>492</v>
      </c>
      <c r="D212" s="93">
        <v>45845</v>
      </c>
      <c r="E212" s="37" t="s">
        <v>383</v>
      </c>
      <c r="F212" s="100">
        <f>(D212 + TIME(LEFT(E212, 2), MID(E212, 3, 2), 0)) - (B212 + TIME(LEFT(C212, 2), MID(C212, 3, 2), 0))</f>
        <v>1.820138888891961</v>
      </c>
      <c r="G212" s="37" t="s">
        <v>9</v>
      </c>
    </row>
    <row r="213" spans="1:7">
      <c r="A213" s="37" t="s">
        <v>194</v>
      </c>
      <c r="B213" s="93">
        <v>45843</v>
      </c>
      <c r="C213" s="37" t="s">
        <v>402</v>
      </c>
      <c r="D213" s="93">
        <v>45843</v>
      </c>
      <c r="E213" s="37" t="s">
        <v>512</v>
      </c>
      <c r="F213" s="100">
        <f>(D213 + TIME(LEFT(E213, 2), MID(E213, 3, 2), 0)) - (B213 + TIME(LEFT(C213, 2), MID(C213, 3, 2), 0))</f>
        <v>1.7361111109494232E-2</v>
      </c>
      <c r="G213" s="37" t="s">
        <v>9</v>
      </c>
    </row>
    <row r="214" spans="1:7">
      <c r="A214" s="37" t="s">
        <v>227</v>
      </c>
      <c r="B214" s="93">
        <v>45843</v>
      </c>
      <c r="C214" s="37" t="s">
        <v>512</v>
      </c>
      <c r="D214" s="93">
        <v>45843</v>
      </c>
      <c r="E214" s="37" t="s">
        <v>513</v>
      </c>
      <c r="F214" s="100">
        <f>(D214 + TIME(LEFT(E214, 2), MID(E214, 3, 2), 0)) - (B214 + TIME(LEFT(C214, 2), MID(C214, 3, 2), 0))</f>
        <v>4.0277777778101154E-2</v>
      </c>
    </row>
    <row r="215" spans="1:7">
      <c r="A215" s="37" t="s">
        <v>230</v>
      </c>
      <c r="B215" s="93">
        <v>45843</v>
      </c>
      <c r="C215" s="37" t="s">
        <v>514</v>
      </c>
      <c r="D215" s="93">
        <v>45843</v>
      </c>
      <c r="E215" s="37" t="s">
        <v>515</v>
      </c>
      <c r="F215" s="100">
        <f>(D215 + TIME(LEFT(E215, 2), MID(E215, 3, 2), 0)) - (B215 + TIME(LEFT(C215, 2), MID(C215, 3, 2), 0))</f>
        <v>5.6250000001455192E-2</v>
      </c>
    </row>
    <row r="216" spans="1:7">
      <c r="A216" s="37" t="s">
        <v>194</v>
      </c>
      <c r="B216" s="93">
        <v>45843</v>
      </c>
      <c r="C216" s="37" t="s">
        <v>512</v>
      </c>
      <c r="D216" s="93">
        <v>45846</v>
      </c>
      <c r="E216" s="37" t="s">
        <v>516</v>
      </c>
      <c r="F216" s="100">
        <f>(D216 + TIME(LEFT(E216, 2), MID(E216, 3, 2), 0)) - (B216 + TIME(LEFT(C216, 2), MID(C216, 3, 2), 0))</f>
        <v>3.2222222222189885</v>
      </c>
    </row>
    <row r="217" spans="1:7">
      <c r="A217" s="37" t="s">
        <v>312</v>
      </c>
      <c r="B217" s="93">
        <v>45843</v>
      </c>
      <c r="C217" s="37" t="s">
        <v>517</v>
      </c>
      <c r="D217" s="93">
        <v>45843</v>
      </c>
      <c r="E217" s="37" t="s">
        <v>518</v>
      </c>
      <c r="F217" s="100">
        <f t="shared" ref="F217:F223" si="11">(D217 + TIME(LEFT(E217, 2), MID(E217, 3, 2), 0)) - (B217 + TIME(LEFT(C217, 2), MID(C217, 3, 2), 0))</f>
        <v>4.0277777778101154E-2</v>
      </c>
    </row>
    <row r="218" spans="1:7">
      <c r="A218" s="37" t="s">
        <v>213</v>
      </c>
      <c r="B218" s="93">
        <v>45843</v>
      </c>
      <c r="C218" s="37" t="s">
        <v>220</v>
      </c>
      <c r="D218" s="84">
        <v>45844</v>
      </c>
      <c r="E218" s="23" t="s">
        <v>215</v>
      </c>
      <c r="F218" s="100">
        <f t="shared" si="11"/>
        <v>0.50069444443943212</v>
      </c>
    </row>
    <row r="219" spans="1:7">
      <c r="A219" s="37" t="s">
        <v>240</v>
      </c>
      <c r="B219" s="93">
        <v>45843</v>
      </c>
      <c r="C219" s="37" t="s">
        <v>519</v>
      </c>
      <c r="D219" s="93">
        <v>45843</v>
      </c>
      <c r="E219" s="37" t="s">
        <v>520</v>
      </c>
      <c r="F219" s="100">
        <f t="shared" si="11"/>
        <v>3.125E-2</v>
      </c>
    </row>
    <row r="220" spans="1:7">
      <c r="A220" s="37" t="s">
        <v>243</v>
      </c>
      <c r="B220" s="93">
        <v>45843</v>
      </c>
      <c r="C220" s="37" t="s">
        <v>519</v>
      </c>
      <c r="D220" s="93">
        <v>45843</v>
      </c>
      <c r="E220" s="37" t="s">
        <v>449</v>
      </c>
      <c r="F220" s="100">
        <f t="shared" si="11"/>
        <v>5.2777777775190771E-2</v>
      </c>
    </row>
    <row r="221" spans="1:7">
      <c r="A221" s="37" t="s">
        <v>246</v>
      </c>
      <c r="B221" s="93">
        <v>45843</v>
      </c>
      <c r="C221" s="37" t="s">
        <v>332</v>
      </c>
      <c r="D221" s="93">
        <v>45843</v>
      </c>
      <c r="E221" s="37" t="s">
        <v>521</v>
      </c>
      <c r="F221" s="100">
        <f t="shared" si="11"/>
        <v>5.9722222220443655E-2</v>
      </c>
    </row>
    <row r="222" spans="1:7">
      <c r="A222" s="37" t="s">
        <v>297</v>
      </c>
      <c r="B222" s="93">
        <v>45843</v>
      </c>
      <c r="C222" s="37" t="s">
        <v>522</v>
      </c>
      <c r="D222" s="93">
        <v>45843</v>
      </c>
      <c r="E222" s="37" t="s">
        <v>523</v>
      </c>
      <c r="F222" s="100">
        <f t="shared" si="11"/>
        <v>2.1527777775190771E-2</v>
      </c>
    </row>
    <row r="223" spans="1:7">
      <c r="A223" s="5" t="s">
        <v>222</v>
      </c>
      <c r="B223" s="93">
        <v>45843</v>
      </c>
      <c r="C223" s="37" t="s">
        <v>396</v>
      </c>
      <c r="D223" s="84">
        <v>45844</v>
      </c>
      <c r="E223" s="23" t="s">
        <v>524</v>
      </c>
      <c r="F223" s="100">
        <f t="shared" si="11"/>
        <v>0.62569444444670808</v>
      </c>
    </row>
    <row r="224" spans="1:7">
      <c r="A224" s="37" t="s">
        <v>206</v>
      </c>
      <c r="B224" s="93">
        <v>45844</v>
      </c>
      <c r="C224" s="37" t="s">
        <v>525</v>
      </c>
      <c r="D224" s="93">
        <v>45845</v>
      </c>
      <c r="E224" s="37" t="s">
        <v>526</v>
      </c>
      <c r="F224" s="100">
        <f>(D224 + TIME(LEFT(E224, 2), MID(E224, 3, 2), 0)) - (B224 + TIME(LEFT(C224, 2), MID(C224, 3, 2), 0))</f>
        <v>0.58263888888905058</v>
      </c>
    </row>
    <row r="225" spans="1:6">
      <c r="A225" s="37" t="s">
        <v>233</v>
      </c>
      <c r="B225" s="93">
        <v>45844</v>
      </c>
      <c r="C225" s="37" t="s">
        <v>418</v>
      </c>
      <c r="D225" s="93">
        <v>45844</v>
      </c>
      <c r="E225" s="37" t="s">
        <v>527</v>
      </c>
      <c r="F225" s="100">
        <f>(D225 + TIME(LEFT(E225, 2), MID(E225, 3, 2), 0)) - (B225 + TIME(LEFT(C225, 2), MID(C225, 3, 2), 0))</f>
        <v>0.16805555555038154</v>
      </c>
    </row>
    <row r="226" spans="1:6">
      <c r="A226" s="37" t="s">
        <v>251</v>
      </c>
      <c r="B226" s="93">
        <v>45844</v>
      </c>
      <c r="C226" s="37" t="s">
        <v>528</v>
      </c>
      <c r="D226" s="93">
        <v>45844</v>
      </c>
      <c r="E226" s="37" t="s">
        <v>529</v>
      </c>
      <c r="F226" s="100">
        <f t="shared" ref="F226:F235" si="12">(D226 + TIME(LEFT(E226, 2), MID(E226, 3, 2), 0)) - (B226 + TIME(LEFT(C226, 2), MID(C226, 3, 2), 0))</f>
        <v>0.163888888884685</v>
      </c>
    </row>
    <row r="227" spans="1:6">
      <c r="A227" s="37" t="s">
        <v>243</v>
      </c>
      <c r="B227" s="93">
        <v>45844</v>
      </c>
      <c r="C227" s="37" t="s">
        <v>263</v>
      </c>
      <c r="D227" s="93">
        <v>45844</v>
      </c>
      <c r="E227" s="37" t="s">
        <v>530</v>
      </c>
      <c r="F227" s="100">
        <f t="shared" si="12"/>
        <v>1.6666666662786156E-2</v>
      </c>
    </row>
    <row r="228" spans="1:6">
      <c r="A228" s="37" t="s">
        <v>243</v>
      </c>
      <c r="B228" s="93">
        <v>45844</v>
      </c>
      <c r="C228" s="37" t="s">
        <v>531</v>
      </c>
      <c r="D228" s="93">
        <v>45844</v>
      </c>
      <c r="E228" s="37" t="s">
        <v>532</v>
      </c>
      <c r="F228" s="100">
        <f t="shared" si="12"/>
        <v>2.2916666668606922E-2</v>
      </c>
    </row>
    <row r="229" spans="1:6">
      <c r="A229" s="37" t="s">
        <v>246</v>
      </c>
      <c r="B229" s="93">
        <v>45844</v>
      </c>
      <c r="C229" s="37" t="s">
        <v>533</v>
      </c>
      <c r="D229" s="93">
        <v>45844</v>
      </c>
      <c r="E229" s="37" t="s">
        <v>390</v>
      </c>
      <c r="F229" s="100">
        <f t="shared" si="12"/>
        <v>4.8611111109494232E-2</v>
      </c>
    </row>
    <row r="230" spans="1:6">
      <c r="A230" s="37" t="s">
        <v>227</v>
      </c>
      <c r="B230" s="93">
        <v>45844</v>
      </c>
      <c r="C230" s="37" t="s">
        <v>534</v>
      </c>
      <c r="D230" s="93">
        <v>45844</v>
      </c>
      <c r="E230" s="37" t="s">
        <v>535</v>
      </c>
      <c r="F230" s="100">
        <f t="shared" si="12"/>
        <v>7.6388888890505768E-2</v>
      </c>
    </row>
    <row r="231" spans="1:6">
      <c r="A231" s="37" t="s">
        <v>230</v>
      </c>
      <c r="B231" s="93">
        <v>45844</v>
      </c>
      <c r="C231" s="37" t="s">
        <v>536</v>
      </c>
      <c r="D231" s="93">
        <v>45844</v>
      </c>
      <c r="E231" s="37" t="s">
        <v>393</v>
      </c>
      <c r="F231" s="100">
        <f t="shared" si="12"/>
        <v>7.847222221607808E-2</v>
      </c>
    </row>
    <row r="232" spans="1:6">
      <c r="A232" s="37" t="s">
        <v>235</v>
      </c>
      <c r="B232" s="93">
        <v>45844</v>
      </c>
      <c r="C232" s="37" t="s">
        <v>236</v>
      </c>
      <c r="D232" s="93">
        <v>45844</v>
      </c>
      <c r="E232" s="37" t="s">
        <v>537</v>
      </c>
      <c r="F232" s="100">
        <f t="shared" si="12"/>
        <v>0.34444444443943212</v>
      </c>
    </row>
    <row r="233" spans="1:6">
      <c r="A233" s="37" t="s">
        <v>240</v>
      </c>
      <c r="B233" s="93">
        <v>45844</v>
      </c>
      <c r="C233" s="37" t="s">
        <v>328</v>
      </c>
      <c r="D233" s="93">
        <v>45844</v>
      </c>
      <c r="E233" s="37" t="s">
        <v>538</v>
      </c>
      <c r="F233" s="100">
        <f t="shared" si="12"/>
        <v>7.0833333331393078E-2</v>
      </c>
    </row>
    <row r="234" spans="1:6">
      <c r="A234" s="37" t="s">
        <v>213</v>
      </c>
      <c r="B234" s="93">
        <v>45844</v>
      </c>
      <c r="C234" s="37" t="s">
        <v>539</v>
      </c>
      <c r="D234" s="93">
        <v>45844</v>
      </c>
      <c r="E234" s="37" t="s">
        <v>540</v>
      </c>
      <c r="F234" s="100">
        <f t="shared" si="12"/>
        <v>2.7777777795563452E-3</v>
      </c>
    </row>
    <row r="235" spans="1:6">
      <c r="A235" s="37" t="s">
        <v>243</v>
      </c>
      <c r="B235" s="93">
        <v>45844</v>
      </c>
      <c r="C235" s="37" t="s">
        <v>541</v>
      </c>
      <c r="D235" s="93">
        <v>45844</v>
      </c>
      <c r="E235" s="37" t="s">
        <v>542</v>
      </c>
      <c r="F235" s="100">
        <f t="shared" si="12"/>
        <v>6.8749999998544808E-2</v>
      </c>
    </row>
    <row r="236" spans="1:6">
      <c r="A236" s="37" t="s">
        <v>213</v>
      </c>
      <c r="B236" s="93">
        <v>45844</v>
      </c>
      <c r="C236" s="37" t="s">
        <v>220</v>
      </c>
      <c r="D236" s="93">
        <v>45845</v>
      </c>
      <c r="E236" s="37" t="s">
        <v>414</v>
      </c>
      <c r="F236" s="100">
        <f t="shared" ref="F236:F242" si="13">(D236 + TIME(LEFT(E236, 2), MID(E236, 3, 2), 0)) - (B236 + TIME(LEFT(C236, 2), MID(C236, 3, 2), 0))</f>
        <v>0.58402777777519077</v>
      </c>
    </row>
    <row r="237" spans="1:6">
      <c r="A237" s="37" t="s">
        <v>235</v>
      </c>
      <c r="B237" s="93">
        <v>45844</v>
      </c>
      <c r="C237" s="37" t="s">
        <v>539</v>
      </c>
      <c r="D237" s="93">
        <v>45844</v>
      </c>
      <c r="E237" s="37" t="s">
        <v>277</v>
      </c>
      <c r="F237" s="100">
        <f t="shared" si="13"/>
        <v>4.9999999995634425E-2</v>
      </c>
    </row>
    <row r="238" spans="1:6">
      <c r="A238" s="37" t="s">
        <v>246</v>
      </c>
      <c r="B238" s="93">
        <v>45844</v>
      </c>
      <c r="C238" s="37" t="s">
        <v>543</v>
      </c>
      <c r="D238" s="93">
        <v>45844</v>
      </c>
      <c r="E238" s="37" t="s">
        <v>544</v>
      </c>
      <c r="F238" s="100">
        <f t="shared" si="13"/>
        <v>6.5972222226264421E-2</v>
      </c>
    </row>
    <row r="239" spans="1:6">
      <c r="A239" s="37" t="s">
        <v>227</v>
      </c>
      <c r="B239" s="93">
        <v>45844</v>
      </c>
      <c r="C239" s="37" t="s">
        <v>517</v>
      </c>
      <c r="D239" s="93">
        <v>45844</v>
      </c>
      <c r="E239" s="37" t="s">
        <v>545</v>
      </c>
      <c r="F239" s="100">
        <f t="shared" si="13"/>
        <v>7.9166666662786156E-2</v>
      </c>
    </row>
    <row r="240" spans="1:6">
      <c r="A240" s="37" t="s">
        <v>230</v>
      </c>
      <c r="B240" s="93">
        <v>45844</v>
      </c>
      <c r="C240" s="37" t="s">
        <v>546</v>
      </c>
      <c r="D240" s="93">
        <v>45844</v>
      </c>
      <c r="E240" s="37" t="s">
        <v>547</v>
      </c>
      <c r="F240" s="100">
        <f t="shared" si="13"/>
        <v>0.10902777777664596</v>
      </c>
    </row>
    <row r="241" spans="1:6">
      <c r="A241" s="37" t="s">
        <v>240</v>
      </c>
      <c r="B241" s="93">
        <v>45844</v>
      </c>
      <c r="C241" s="37" t="s">
        <v>548</v>
      </c>
      <c r="D241" s="93">
        <v>45844</v>
      </c>
      <c r="E241" s="37" t="s">
        <v>549</v>
      </c>
      <c r="F241" s="100">
        <f t="shared" si="13"/>
        <v>0.11041666667006211</v>
      </c>
    </row>
    <row r="242" spans="1:6">
      <c r="A242" s="37" t="s">
        <v>297</v>
      </c>
      <c r="B242" s="93">
        <v>45844</v>
      </c>
      <c r="C242" s="37" t="s">
        <v>550</v>
      </c>
      <c r="D242" s="93">
        <v>45844</v>
      </c>
      <c r="E242" s="37" t="s">
        <v>551</v>
      </c>
      <c r="F242" s="100">
        <f t="shared" si="13"/>
        <v>3.8888888884685002E-2</v>
      </c>
    </row>
    <row r="243" spans="1:6">
      <c r="A243" s="37" t="s">
        <v>222</v>
      </c>
      <c r="B243" s="93">
        <v>45844</v>
      </c>
      <c r="C243" s="37" t="s">
        <v>552</v>
      </c>
      <c r="D243" s="93">
        <v>45845</v>
      </c>
      <c r="E243" s="37" t="s">
        <v>553</v>
      </c>
      <c r="F243" s="100">
        <f>(D243 + TIME(LEFT(E243, 2), MID(E243, 3, 2), 0)) - (B243 + TIME(LEFT(C243, 2), MID(C243, 3, 2), 0))</f>
        <v>0.70972222222189885</v>
      </c>
    </row>
    <row r="244" spans="1:6">
      <c r="A244" s="37" t="s">
        <v>216</v>
      </c>
      <c r="B244" s="93">
        <v>45844</v>
      </c>
      <c r="C244" s="37" t="s">
        <v>554</v>
      </c>
      <c r="D244" s="93">
        <v>45844</v>
      </c>
      <c r="E244" s="37" t="s">
        <v>555</v>
      </c>
      <c r="F244" s="100">
        <f>(D244 + TIME(LEFT(E244, 2), MID(E244, 3, 2), 0)) - (B244 + TIME(LEFT(C244, 2), MID(C244, 3, 2), 0))</f>
        <v>0.726388888884685</v>
      </c>
    </row>
    <row r="245" spans="1:6">
      <c r="A245" s="37" t="s">
        <v>209</v>
      </c>
      <c r="B245" s="93">
        <v>45844</v>
      </c>
      <c r="C245" s="37" t="s">
        <v>556</v>
      </c>
      <c r="D245" s="93">
        <v>45844</v>
      </c>
      <c r="E245" s="37" t="s">
        <v>454</v>
      </c>
      <c r="F245" s="100">
        <f>(D245 + TIME(LEFT(E245, 2), MID(E245, 3, 2), 0)) - (B245 + TIME(LEFT(C245, 2), MID(C245, 3, 2), 0))</f>
        <v>0.47013888888614019</v>
      </c>
    </row>
    <row r="246" spans="1:6">
      <c r="A246" s="37" t="s">
        <v>197</v>
      </c>
      <c r="B246" s="93">
        <v>45844</v>
      </c>
      <c r="C246" s="37" t="s">
        <v>557</v>
      </c>
      <c r="D246" s="93">
        <v>45845</v>
      </c>
      <c r="E246" s="37" t="s">
        <v>271</v>
      </c>
      <c r="F246" s="100">
        <f>(D246 + TIME(LEFT(E246, 2), MID(E246, 3, 2), 0)) - (B246 + TIME(LEFT(C246, 2), MID(C246, 3, 2), 0))</f>
        <v>0.80138888888905058</v>
      </c>
    </row>
    <row r="247" spans="1:6">
      <c r="A247" s="37" t="s">
        <v>203</v>
      </c>
      <c r="B247" s="84">
        <v>45844</v>
      </c>
      <c r="C247" s="23" t="s">
        <v>291</v>
      </c>
      <c r="D247" s="93">
        <v>45845</v>
      </c>
      <c r="E247" s="37" t="s">
        <v>462</v>
      </c>
      <c r="F247" s="100">
        <f t="shared" ref="F247:F248" si="14">(D247 + TIME(LEFT(E247, 2), MID(E247, 3, 2), 0)) - (B247 + TIME(LEFT(C247, 2), MID(C247, 3, 2), 0))</f>
        <v>0.788888888884685</v>
      </c>
    </row>
    <row r="248" spans="1:6">
      <c r="A248" s="37" t="s">
        <v>219</v>
      </c>
      <c r="B248" s="84">
        <v>45844</v>
      </c>
      <c r="C248" s="23" t="s">
        <v>558</v>
      </c>
      <c r="D248" s="93">
        <v>45845</v>
      </c>
      <c r="E248" s="37" t="s">
        <v>388</v>
      </c>
      <c r="F248" s="100">
        <f t="shared" si="14"/>
        <v>0.70902777778246673</v>
      </c>
    </row>
    <row r="249" spans="1:6">
      <c r="A249" s="37" t="s">
        <v>246</v>
      </c>
      <c r="B249" s="93">
        <v>45845</v>
      </c>
      <c r="C249" s="37" t="s">
        <v>559</v>
      </c>
      <c r="D249" s="93">
        <v>45845</v>
      </c>
      <c r="E249" s="37" t="s">
        <v>283</v>
      </c>
      <c r="F249" s="100">
        <f t="shared" ref="F249:F262" si="15">(D249 + TIME(LEFT(E249, 2), MID(E249, 3, 2), 0)) - (B249 + TIME(LEFT(C249, 2), MID(C249, 3, 2), 0))</f>
        <v>3.9583333338669036E-2</v>
      </c>
    </row>
    <row r="250" spans="1:6">
      <c r="A250" s="37" t="s">
        <v>227</v>
      </c>
      <c r="B250" s="93">
        <v>45845</v>
      </c>
      <c r="C250" s="37" t="s">
        <v>560</v>
      </c>
      <c r="D250" s="93">
        <v>45845</v>
      </c>
      <c r="E250" s="37" t="s">
        <v>561</v>
      </c>
      <c r="F250" s="100">
        <f t="shared" si="15"/>
        <v>3.5416666665696539E-2</v>
      </c>
    </row>
    <row r="251" spans="1:6">
      <c r="A251" s="37" t="s">
        <v>240</v>
      </c>
      <c r="B251" s="93">
        <v>45845</v>
      </c>
      <c r="C251" s="37" t="s">
        <v>562</v>
      </c>
      <c r="D251" s="93">
        <v>45845</v>
      </c>
      <c r="E251" s="37" t="s">
        <v>292</v>
      </c>
      <c r="F251" s="100">
        <f t="shared" si="15"/>
        <v>6.9444444452528842E-3</v>
      </c>
    </row>
    <row r="252" spans="1:6">
      <c r="A252" s="37" t="s">
        <v>243</v>
      </c>
      <c r="B252" s="93">
        <v>45845</v>
      </c>
      <c r="C252" s="37" t="s">
        <v>365</v>
      </c>
      <c r="D252" s="93">
        <v>45845</v>
      </c>
      <c r="E252" s="23" t="s">
        <v>563</v>
      </c>
      <c r="F252" s="100">
        <f t="shared" si="15"/>
        <v>3.3333333332848269E-2</v>
      </c>
    </row>
    <row r="253" spans="1:6">
      <c r="A253" s="37" t="s">
        <v>246</v>
      </c>
      <c r="B253" s="93">
        <v>45845</v>
      </c>
      <c r="C253" s="37" t="s">
        <v>365</v>
      </c>
      <c r="D253" s="93">
        <v>45845</v>
      </c>
      <c r="E253" s="37" t="s">
        <v>564</v>
      </c>
      <c r="F253" s="100">
        <f t="shared" si="15"/>
        <v>5.2083333328482695E-2</v>
      </c>
    </row>
    <row r="254" spans="1:6">
      <c r="A254" s="37" t="s">
        <v>209</v>
      </c>
      <c r="B254" s="93">
        <v>45845</v>
      </c>
      <c r="C254" s="37" t="s">
        <v>565</v>
      </c>
      <c r="D254" s="93">
        <v>45845</v>
      </c>
      <c r="E254" s="37" t="s">
        <v>566</v>
      </c>
      <c r="F254" s="100">
        <f t="shared" si="15"/>
        <v>0.60972222222335404</v>
      </c>
    </row>
    <row r="255" spans="1:6">
      <c r="A255" s="37" t="s">
        <v>251</v>
      </c>
      <c r="B255" s="93">
        <v>45845</v>
      </c>
      <c r="C255" s="23" t="s">
        <v>299</v>
      </c>
      <c r="D255" s="93">
        <v>45845</v>
      </c>
      <c r="E255" s="37" t="s">
        <v>555</v>
      </c>
      <c r="F255" s="100">
        <f t="shared" si="15"/>
        <v>0.51111111111094942</v>
      </c>
    </row>
    <row r="256" spans="1:6">
      <c r="A256" s="37" t="s">
        <v>233</v>
      </c>
      <c r="B256" s="93">
        <v>45845</v>
      </c>
      <c r="C256" s="37" t="s">
        <v>567</v>
      </c>
      <c r="D256" s="93">
        <v>45845</v>
      </c>
      <c r="E256" s="37" t="s">
        <v>568</v>
      </c>
      <c r="F256" s="100">
        <f t="shared" si="15"/>
        <v>0.27499999999417923</v>
      </c>
    </row>
    <row r="257" spans="1:8">
      <c r="A257" s="37" t="s">
        <v>197</v>
      </c>
      <c r="B257" s="93">
        <v>45845</v>
      </c>
      <c r="C257" s="37" t="s">
        <v>569</v>
      </c>
      <c r="D257" s="93">
        <v>45846</v>
      </c>
      <c r="E257" s="37" t="s">
        <v>570</v>
      </c>
      <c r="F257" s="100">
        <f t="shared" si="15"/>
        <v>0.88055555555911269</v>
      </c>
    </row>
    <row r="258" spans="1:8">
      <c r="A258" s="37" t="s">
        <v>235</v>
      </c>
      <c r="B258" s="84">
        <v>45845</v>
      </c>
      <c r="C258" s="23" t="s">
        <v>295</v>
      </c>
      <c r="D258" s="93">
        <v>45845</v>
      </c>
      <c r="E258" s="37" t="s">
        <v>277</v>
      </c>
      <c r="F258" s="100">
        <f t="shared" si="15"/>
        <v>0.41736111111094942</v>
      </c>
    </row>
    <row r="259" spans="1:8">
      <c r="A259" s="37" t="s">
        <v>230</v>
      </c>
      <c r="B259" s="93">
        <v>45845</v>
      </c>
      <c r="C259" s="37" t="s">
        <v>571</v>
      </c>
      <c r="D259" s="93">
        <v>45845</v>
      </c>
      <c r="E259" s="37" t="s">
        <v>572</v>
      </c>
      <c r="F259" s="100">
        <f t="shared" si="15"/>
        <v>9.2361111106583849E-2</v>
      </c>
    </row>
    <row r="260" spans="1:8">
      <c r="A260" s="37" t="s">
        <v>227</v>
      </c>
      <c r="B260" s="93">
        <v>45845</v>
      </c>
      <c r="C260" s="37" t="s">
        <v>248</v>
      </c>
      <c r="D260" s="93">
        <v>45845</v>
      </c>
      <c r="E260" s="23" t="s">
        <v>370</v>
      </c>
      <c r="F260" s="100">
        <f t="shared" si="15"/>
        <v>1.8750000002910383E-2</v>
      </c>
    </row>
    <row r="261" spans="1:8">
      <c r="A261" s="37" t="s">
        <v>216</v>
      </c>
      <c r="B261" s="93">
        <v>45845</v>
      </c>
      <c r="C261" s="37" t="s">
        <v>403</v>
      </c>
      <c r="D261" s="93">
        <v>45845</v>
      </c>
      <c r="E261" s="37" t="s">
        <v>277</v>
      </c>
      <c r="F261" s="100">
        <f t="shared" si="15"/>
        <v>0.58402777777519077</v>
      </c>
    </row>
    <row r="262" spans="1:8">
      <c r="A262" s="37" t="s">
        <v>240</v>
      </c>
      <c r="B262" s="93">
        <v>45845</v>
      </c>
      <c r="C262" s="23" t="s">
        <v>373</v>
      </c>
      <c r="D262" s="93">
        <v>45845</v>
      </c>
      <c r="E262" s="37" t="s">
        <v>573</v>
      </c>
      <c r="F262" s="100">
        <f t="shared" si="15"/>
        <v>0.14374999999563443</v>
      </c>
    </row>
    <row r="263" spans="1:8">
      <c r="A263" s="37" t="s">
        <v>203</v>
      </c>
      <c r="B263" s="93">
        <v>45845</v>
      </c>
      <c r="C263" s="23" t="s">
        <v>574</v>
      </c>
      <c r="D263" s="93">
        <v>45846</v>
      </c>
      <c r="E263" s="37" t="s">
        <v>575</v>
      </c>
      <c r="F263" s="100">
        <f t="shared" ref="F263:F301" si="16">(D263 + TIME(LEFT(E263, 2), MID(E263, 3, 2), 0)) - (B263 + TIME(LEFT(C263, 2), MID(C263, 3, 2), 0))</f>
        <v>0.79583333332993789</v>
      </c>
    </row>
    <row r="264" spans="1:8">
      <c r="A264" s="37" t="s">
        <v>246</v>
      </c>
      <c r="B264" s="93">
        <v>45845</v>
      </c>
      <c r="C264" s="37" t="s">
        <v>576</v>
      </c>
      <c r="D264" s="93">
        <v>45845</v>
      </c>
      <c r="E264" s="37" t="s">
        <v>577</v>
      </c>
      <c r="F264" s="100">
        <f t="shared" si="16"/>
        <v>0.14166666667006211</v>
      </c>
    </row>
    <row r="265" spans="1:8">
      <c r="A265" s="37" t="s">
        <v>254</v>
      </c>
      <c r="B265" s="93">
        <v>45845</v>
      </c>
      <c r="C265" s="37" t="s">
        <v>381</v>
      </c>
      <c r="D265" s="93">
        <v>45845</v>
      </c>
      <c r="E265" s="37" t="s">
        <v>578</v>
      </c>
      <c r="F265" s="100">
        <f t="shared" si="16"/>
        <v>0.48888888888905058</v>
      </c>
    </row>
    <row r="266" spans="1:8">
      <c r="A266" s="37" t="s">
        <v>326</v>
      </c>
      <c r="B266" s="93">
        <v>45845</v>
      </c>
      <c r="C266" s="37" t="s">
        <v>383</v>
      </c>
      <c r="D266" s="93">
        <v>45845</v>
      </c>
      <c r="E266" s="37" t="s">
        <v>579</v>
      </c>
      <c r="F266" s="100">
        <f t="shared" si="16"/>
        <v>7.7777777776645962E-2</v>
      </c>
    </row>
    <row r="267" spans="1:8">
      <c r="A267" s="37" t="s">
        <v>230</v>
      </c>
      <c r="B267" s="93">
        <v>45845</v>
      </c>
      <c r="C267" s="37" t="s">
        <v>580</v>
      </c>
      <c r="D267" s="93">
        <v>45845</v>
      </c>
      <c r="E267" s="37" t="s">
        <v>581</v>
      </c>
      <c r="F267" s="100">
        <f t="shared" si="16"/>
        <v>0.12916666666569654</v>
      </c>
    </row>
    <row r="268" spans="1:8">
      <c r="A268" s="37" t="s">
        <v>227</v>
      </c>
      <c r="B268" s="93">
        <v>45845</v>
      </c>
      <c r="C268" s="37" t="s">
        <v>582</v>
      </c>
      <c r="D268" s="93">
        <v>45845</v>
      </c>
      <c r="E268" s="37" t="s">
        <v>583</v>
      </c>
      <c r="F268" s="100">
        <f t="shared" si="16"/>
        <v>6.9444444445252884E-2</v>
      </c>
    </row>
    <row r="269" spans="1:8">
      <c r="A269" s="37" t="s">
        <v>206</v>
      </c>
      <c r="B269" s="93">
        <v>45845</v>
      </c>
      <c r="C269" s="37" t="s">
        <v>584</v>
      </c>
      <c r="D269" s="93">
        <v>45846</v>
      </c>
      <c r="E269" s="37" t="s">
        <v>349</v>
      </c>
      <c r="F269" s="100">
        <f t="shared" si="16"/>
        <v>0.804861111115315</v>
      </c>
    </row>
    <row r="270" spans="1:8">
      <c r="A270" s="37" t="s">
        <v>240</v>
      </c>
      <c r="B270" s="93">
        <v>45845</v>
      </c>
      <c r="C270" s="37" t="s">
        <v>579</v>
      </c>
      <c r="D270" s="93">
        <v>45845</v>
      </c>
      <c r="E270" s="37" t="s">
        <v>320</v>
      </c>
      <c r="F270" s="100">
        <f t="shared" si="16"/>
        <v>2.2222222221898846E-2</v>
      </c>
    </row>
    <row r="271" spans="1:8">
      <c r="A271" s="37" t="s">
        <v>243</v>
      </c>
      <c r="B271" s="93">
        <v>45845</v>
      </c>
      <c r="C271" s="37" t="s">
        <v>585</v>
      </c>
      <c r="D271" s="93">
        <v>45845</v>
      </c>
      <c r="E271" s="37" t="s">
        <v>586</v>
      </c>
      <c r="F271" s="100">
        <f t="shared" si="16"/>
        <v>0.27083333333575865</v>
      </c>
      <c r="G271" s="37" t="s">
        <v>9</v>
      </c>
      <c r="H271" s="94" t="s">
        <v>587</v>
      </c>
    </row>
    <row r="272" spans="1:8">
      <c r="A272" s="37" t="s">
        <v>297</v>
      </c>
      <c r="B272" s="93">
        <v>45845</v>
      </c>
      <c r="C272" s="37" t="s">
        <v>585</v>
      </c>
      <c r="D272" s="93">
        <v>45845</v>
      </c>
      <c r="E272" s="37" t="s">
        <v>588</v>
      </c>
      <c r="F272" s="100">
        <f t="shared" si="16"/>
        <v>1.2499999997089617E-2</v>
      </c>
    </row>
    <row r="273" spans="1:8">
      <c r="A273" s="37" t="s">
        <v>233</v>
      </c>
      <c r="B273" s="93">
        <v>45845</v>
      </c>
      <c r="C273" s="37" t="s">
        <v>589</v>
      </c>
      <c r="D273" s="93">
        <v>45845</v>
      </c>
      <c r="E273" s="37" t="s">
        <v>590</v>
      </c>
      <c r="F273" s="100">
        <f t="shared" si="16"/>
        <v>9.7222222226264421E-2</v>
      </c>
    </row>
    <row r="274" spans="1:8">
      <c r="A274" s="37" t="s">
        <v>219</v>
      </c>
      <c r="B274" s="93">
        <v>45845</v>
      </c>
      <c r="C274" s="37" t="s">
        <v>217</v>
      </c>
      <c r="D274" s="93">
        <v>45846</v>
      </c>
      <c r="E274" s="37" t="s">
        <v>388</v>
      </c>
      <c r="F274" s="100">
        <f t="shared" si="16"/>
        <v>0.66736111111094942</v>
      </c>
    </row>
    <row r="275" spans="1:8">
      <c r="A275" s="37" t="s">
        <v>312</v>
      </c>
      <c r="B275" s="93">
        <v>45845</v>
      </c>
      <c r="C275" s="37" t="s">
        <v>591</v>
      </c>
      <c r="D275" s="93">
        <v>45845</v>
      </c>
      <c r="E275" s="37" t="s">
        <v>592</v>
      </c>
      <c r="F275" s="100">
        <f t="shared" si="16"/>
        <v>0.14166666667006211</v>
      </c>
    </row>
    <row r="276" spans="1:8">
      <c r="A276" s="37" t="s">
        <v>326</v>
      </c>
      <c r="B276" s="93">
        <v>45845</v>
      </c>
      <c r="C276" s="37" t="s">
        <v>579</v>
      </c>
      <c r="D276" s="93">
        <v>45846</v>
      </c>
      <c r="E276" s="37" t="s">
        <v>435</v>
      </c>
      <c r="F276" s="100">
        <f t="shared" si="16"/>
        <v>1.2159722222204437</v>
      </c>
      <c r="G276" s="37" t="s">
        <v>9</v>
      </c>
      <c r="H276" s="94" t="s">
        <v>593</v>
      </c>
    </row>
    <row r="277" spans="1:8">
      <c r="A277" s="37" t="s">
        <v>222</v>
      </c>
      <c r="B277" s="93">
        <v>45845</v>
      </c>
      <c r="C277" s="37" t="s">
        <v>220</v>
      </c>
      <c r="D277" s="93">
        <v>45846</v>
      </c>
      <c r="E277" s="37" t="s">
        <v>270</v>
      </c>
      <c r="F277" s="100">
        <f t="shared" si="16"/>
        <v>0.66736111111094942</v>
      </c>
    </row>
    <row r="278" spans="1:8">
      <c r="A278" s="37" t="s">
        <v>213</v>
      </c>
      <c r="B278" s="93">
        <v>45845</v>
      </c>
      <c r="C278" s="37" t="s">
        <v>220</v>
      </c>
      <c r="D278" s="93">
        <v>45846</v>
      </c>
      <c r="E278" s="37" t="s">
        <v>215</v>
      </c>
      <c r="F278" s="100">
        <f t="shared" si="16"/>
        <v>0.50069444443943212</v>
      </c>
    </row>
    <row r="279" spans="1:8">
      <c r="A279" s="37" t="s">
        <v>240</v>
      </c>
      <c r="B279" s="93">
        <v>45845</v>
      </c>
      <c r="C279" s="37" t="s">
        <v>594</v>
      </c>
      <c r="D279" s="93">
        <v>45845</v>
      </c>
      <c r="E279" s="37" t="s">
        <v>449</v>
      </c>
      <c r="F279" s="100">
        <f t="shared" si="16"/>
        <v>3.3333333332848269E-2</v>
      </c>
    </row>
    <row r="280" spans="1:8">
      <c r="A280" s="37" t="s">
        <v>243</v>
      </c>
      <c r="B280" s="93">
        <v>45845</v>
      </c>
      <c r="C280" s="37" t="s">
        <v>586</v>
      </c>
      <c r="D280" s="93">
        <v>45845</v>
      </c>
      <c r="E280" s="37" t="s">
        <v>443</v>
      </c>
      <c r="F280" s="100">
        <f t="shared" si="16"/>
        <v>2.569444444088731E-2</v>
      </c>
    </row>
    <row r="281" spans="1:8">
      <c r="A281" s="37" t="s">
        <v>197</v>
      </c>
      <c r="B281" s="93">
        <v>45846</v>
      </c>
      <c r="C281" s="37" t="s">
        <v>595</v>
      </c>
      <c r="D281" s="93">
        <v>45846</v>
      </c>
      <c r="E281" s="37" t="s">
        <v>596</v>
      </c>
      <c r="F281" s="100">
        <f t="shared" si="16"/>
        <v>0.78541666666569654</v>
      </c>
    </row>
    <row r="282" spans="1:8">
      <c r="A282" s="37" t="s">
        <v>216</v>
      </c>
      <c r="B282" s="93">
        <v>45846</v>
      </c>
      <c r="C282" s="37" t="s">
        <v>403</v>
      </c>
      <c r="D282" s="93">
        <v>45846</v>
      </c>
      <c r="E282" s="37" t="s">
        <v>277</v>
      </c>
      <c r="F282" s="100">
        <f t="shared" si="16"/>
        <v>0.58402777777519077</v>
      </c>
    </row>
    <row r="283" spans="1:8">
      <c r="A283" s="37" t="s">
        <v>203</v>
      </c>
      <c r="B283" s="93">
        <v>45846</v>
      </c>
      <c r="C283" s="37" t="s">
        <v>352</v>
      </c>
      <c r="D283" s="93">
        <v>45847</v>
      </c>
      <c r="E283" s="37" t="s">
        <v>202</v>
      </c>
      <c r="F283" s="100">
        <f t="shared" si="16"/>
        <v>0.90486111110658385</v>
      </c>
    </row>
    <row r="284" spans="1:8">
      <c r="A284" s="37" t="s">
        <v>246</v>
      </c>
      <c r="B284" s="93">
        <v>45846</v>
      </c>
      <c r="C284" s="37" t="s">
        <v>471</v>
      </c>
      <c r="D284" s="93">
        <v>45846</v>
      </c>
      <c r="E284" s="37" t="s">
        <v>597</v>
      </c>
      <c r="F284" s="100">
        <f t="shared" si="16"/>
        <v>4.166666665696539E-3</v>
      </c>
    </row>
    <row r="285" spans="1:8">
      <c r="A285" s="37" t="s">
        <v>251</v>
      </c>
      <c r="B285" s="93">
        <v>45846</v>
      </c>
      <c r="C285" s="37" t="s">
        <v>471</v>
      </c>
      <c r="D285" s="93">
        <v>45846</v>
      </c>
      <c r="E285" s="37" t="s">
        <v>420</v>
      </c>
      <c r="F285" s="100">
        <f t="shared" si="16"/>
        <v>0.11388888888905058</v>
      </c>
    </row>
    <row r="286" spans="1:8">
      <c r="A286" s="37" t="s">
        <v>235</v>
      </c>
      <c r="B286" s="93">
        <v>45846</v>
      </c>
      <c r="C286" s="37" t="s">
        <v>236</v>
      </c>
      <c r="D286" s="93">
        <v>45846</v>
      </c>
      <c r="E286" s="37" t="s">
        <v>277</v>
      </c>
      <c r="F286" s="100">
        <f t="shared" si="16"/>
        <v>0.50069444443943212</v>
      </c>
    </row>
    <row r="287" spans="1:8">
      <c r="A287" s="37" t="s">
        <v>233</v>
      </c>
      <c r="B287" s="93">
        <v>45846</v>
      </c>
      <c r="C287" s="37" t="s">
        <v>598</v>
      </c>
      <c r="D287" s="93">
        <v>45846</v>
      </c>
      <c r="E287" s="37" t="s">
        <v>599</v>
      </c>
      <c r="F287" s="100">
        <f t="shared" si="16"/>
        <v>0.24722222222044365</v>
      </c>
    </row>
    <row r="288" spans="1:8">
      <c r="A288" s="37" t="s">
        <v>227</v>
      </c>
      <c r="B288" s="93">
        <v>45846</v>
      </c>
      <c r="C288" s="37" t="s">
        <v>565</v>
      </c>
      <c r="D288" s="93">
        <v>45846</v>
      </c>
      <c r="E288" s="37" t="s">
        <v>293</v>
      </c>
      <c r="F288" s="100">
        <f t="shared" si="16"/>
        <v>6.2499999985448085E-3</v>
      </c>
    </row>
    <row r="289" spans="1:8">
      <c r="A289" s="37" t="s">
        <v>230</v>
      </c>
      <c r="B289" s="93">
        <v>45846</v>
      </c>
      <c r="C289" s="37" t="s">
        <v>565</v>
      </c>
      <c r="D289" s="93">
        <v>45846</v>
      </c>
      <c r="E289" s="37" t="s">
        <v>293</v>
      </c>
      <c r="F289" s="100">
        <f t="shared" si="16"/>
        <v>6.2499999985448085E-3</v>
      </c>
    </row>
    <row r="290" spans="1:8">
      <c r="A290" s="37" t="s">
        <v>240</v>
      </c>
      <c r="B290" s="93">
        <v>45846</v>
      </c>
      <c r="C290" s="37" t="s">
        <v>292</v>
      </c>
      <c r="D290" s="93">
        <v>45846</v>
      </c>
      <c r="E290" s="37" t="s">
        <v>600</v>
      </c>
      <c r="F290" s="100">
        <f t="shared" si="16"/>
        <v>2.7083333334303461E-2</v>
      </c>
    </row>
    <row r="291" spans="1:8">
      <c r="A291" s="37" t="s">
        <v>246</v>
      </c>
      <c r="B291" s="93">
        <v>45846</v>
      </c>
      <c r="C291" s="37" t="s">
        <v>601</v>
      </c>
      <c r="D291" s="93">
        <v>45846</v>
      </c>
      <c r="E291" s="37" t="s">
        <v>602</v>
      </c>
      <c r="F291" s="100">
        <f t="shared" si="16"/>
        <v>2.7777777781011537E-2</v>
      </c>
    </row>
    <row r="292" spans="1:8">
      <c r="A292" s="37" t="s">
        <v>200</v>
      </c>
      <c r="B292" s="93">
        <v>45846</v>
      </c>
      <c r="C292" s="37" t="s">
        <v>241</v>
      </c>
      <c r="D292" s="93">
        <v>45848</v>
      </c>
      <c r="E292" s="37" t="s">
        <v>603</v>
      </c>
      <c r="F292" s="100">
        <f t="shared" si="16"/>
        <v>1.9506944444437977</v>
      </c>
    </row>
    <row r="293" spans="1:8">
      <c r="A293" s="37" t="s">
        <v>209</v>
      </c>
      <c r="B293" s="93">
        <v>45846</v>
      </c>
      <c r="C293" s="37" t="s">
        <v>414</v>
      </c>
      <c r="D293" s="93">
        <v>45847</v>
      </c>
      <c r="E293" s="37" t="s">
        <v>604</v>
      </c>
      <c r="F293" s="100">
        <f t="shared" si="16"/>
        <v>0.69097222221898846</v>
      </c>
    </row>
    <row r="294" spans="1:8">
      <c r="A294" s="37" t="s">
        <v>227</v>
      </c>
      <c r="B294" s="93">
        <v>45846</v>
      </c>
      <c r="C294" s="37" t="s">
        <v>418</v>
      </c>
      <c r="D294" s="93">
        <v>45846</v>
      </c>
      <c r="E294" s="37" t="s">
        <v>478</v>
      </c>
      <c r="F294" s="100">
        <f t="shared" si="16"/>
        <v>1.597222221607808E-2</v>
      </c>
    </row>
    <row r="295" spans="1:8">
      <c r="A295" s="37" t="s">
        <v>230</v>
      </c>
      <c r="B295" s="93">
        <v>45846</v>
      </c>
      <c r="C295" s="37" t="s">
        <v>605</v>
      </c>
      <c r="D295" s="93">
        <v>45846</v>
      </c>
      <c r="E295" s="37" t="s">
        <v>375</v>
      </c>
      <c r="F295" s="100">
        <f t="shared" si="16"/>
        <v>2.0138888889050577E-2</v>
      </c>
    </row>
    <row r="296" spans="1:8">
      <c r="A296" s="37" t="s">
        <v>251</v>
      </c>
      <c r="B296" s="93">
        <v>45846</v>
      </c>
      <c r="C296" s="37" t="s">
        <v>420</v>
      </c>
      <c r="D296" s="93">
        <v>45846</v>
      </c>
      <c r="E296" s="37" t="s">
        <v>505</v>
      </c>
      <c r="F296" s="100">
        <f t="shared" si="16"/>
        <v>0.11666666666133096</v>
      </c>
      <c r="G296" s="37" t="s">
        <v>9</v>
      </c>
      <c r="H296" s="94" t="s">
        <v>606</v>
      </c>
    </row>
    <row r="297" spans="1:8">
      <c r="A297" s="37" t="s">
        <v>254</v>
      </c>
      <c r="B297" s="93">
        <v>45846</v>
      </c>
      <c r="C297" s="37" t="s">
        <v>571</v>
      </c>
      <c r="D297" s="93">
        <v>45846</v>
      </c>
      <c r="E297" s="37" t="s">
        <v>397</v>
      </c>
      <c r="F297" s="100">
        <f t="shared" si="16"/>
        <v>0.63402777777810115</v>
      </c>
    </row>
    <row r="298" spans="1:8">
      <c r="A298" s="37" t="s">
        <v>240</v>
      </c>
      <c r="B298" s="93">
        <v>45846</v>
      </c>
      <c r="C298" s="37" t="s">
        <v>370</v>
      </c>
      <c r="D298" s="93">
        <v>45846</v>
      </c>
      <c r="E298" s="37" t="s">
        <v>509</v>
      </c>
      <c r="F298" s="100">
        <f t="shared" si="16"/>
        <v>0.10902777777664596</v>
      </c>
    </row>
    <row r="299" spans="1:8">
      <c r="A299" s="37" t="s">
        <v>246</v>
      </c>
      <c r="B299" s="93">
        <v>45846</v>
      </c>
      <c r="C299" s="37" t="s">
        <v>479</v>
      </c>
      <c r="D299" s="93">
        <v>45846</v>
      </c>
      <c r="E299" s="37" t="s">
        <v>607</v>
      </c>
      <c r="F299" s="100">
        <f t="shared" si="16"/>
        <v>9.9305555551836733E-2</v>
      </c>
    </row>
    <row r="300" spans="1:8">
      <c r="A300" s="37" t="s">
        <v>227</v>
      </c>
      <c r="B300" s="93">
        <v>45846</v>
      </c>
      <c r="C300" s="37" t="s">
        <v>608</v>
      </c>
      <c r="D300" s="93">
        <v>45846</v>
      </c>
      <c r="E300" s="37" t="s">
        <v>382</v>
      </c>
      <c r="F300" s="100">
        <f t="shared" si="16"/>
        <v>8.8194444448163267E-2</v>
      </c>
    </row>
    <row r="301" spans="1:8">
      <c r="A301" s="37" t="s">
        <v>230</v>
      </c>
      <c r="B301" s="93">
        <v>45846</v>
      </c>
      <c r="C301" s="37" t="s">
        <v>310</v>
      </c>
      <c r="D301" s="93">
        <v>45846</v>
      </c>
      <c r="E301" s="37" t="s">
        <v>609</v>
      </c>
      <c r="F301" s="100">
        <f t="shared" si="16"/>
        <v>8.1944444442342501E-2</v>
      </c>
    </row>
    <row r="302" spans="1:8">
      <c r="A302" s="37" t="s">
        <v>243</v>
      </c>
      <c r="B302" s="93">
        <v>45846</v>
      </c>
      <c r="C302" s="37" t="s">
        <v>286</v>
      </c>
      <c r="D302" s="93">
        <v>45851</v>
      </c>
      <c r="E302" s="37" t="s">
        <v>610</v>
      </c>
      <c r="F302" s="100">
        <f>(D302 + TIME(LEFT(E302, 2), MID(E302, 3, 2), 0)) - (B302 + TIME(LEFT(C302, 2), MID(C302, 3, 2), 0))</f>
        <v>5.5583333333343035</v>
      </c>
      <c r="G302" s="37" t="s">
        <v>9</v>
      </c>
    </row>
    <row r="303" spans="1:8">
      <c r="A303" s="37" t="s">
        <v>297</v>
      </c>
      <c r="B303" s="93">
        <v>45846</v>
      </c>
      <c r="C303" s="37" t="s">
        <v>611</v>
      </c>
      <c r="D303" s="93">
        <v>45846</v>
      </c>
      <c r="E303" s="37" t="s">
        <v>612</v>
      </c>
      <c r="F303" s="100">
        <f t="shared" ref="F303:F320" si="17">(D303 + TIME(LEFT(E303, 2), MID(E303, 3, 2), 0)) - (B303 + TIME(LEFT(C303, 2), MID(C303, 3, 2), 0))</f>
        <v>4.5138888890505768E-2</v>
      </c>
    </row>
    <row r="304" spans="1:8">
      <c r="A304" s="37" t="s">
        <v>219</v>
      </c>
      <c r="B304" s="93">
        <v>45846</v>
      </c>
      <c r="C304" s="37" t="s">
        <v>315</v>
      </c>
      <c r="D304" s="93">
        <v>45847</v>
      </c>
      <c r="E304" s="37" t="s">
        <v>613</v>
      </c>
      <c r="F304" s="100">
        <f t="shared" si="17"/>
        <v>0.62569444444670808</v>
      </c>
    </row>
    <row r="305" spans="1:8">
      <c r="A305" s="37" t="s">
        <v>312</v>
      </c>
      <c r="B305" s="93">
        <v>45846</v>
      </c>
      <c r="C305" s="37" t="s">
        <v>614</v>
      </c>
      <c r="D305" s="93">
        <v>45846</v>
      </c>
      <c r="E305" s="37" t="s">
        <v>615</v>
      </c>
      <c r="F305" s="100">
        <f t="shared" si="17"/>
        <v>0.40625</v>
      </c>
    </row>
    <row r="306" spans="1:8">
      <c r="A306" s="37" t="s">
        <v>251</v>
      </c>
      <c r="B306" s="93">
        <v>45846</v>
      </c>
      <c r="C306" s="37" t="s">
        <v>505</v>
      </c>
      <c r="D306" s="93">
        <v>45846</v>
      </c>
      <c r="E306" s="37" t="s">
        <v>616</v>
      </c>
      <c r="F306" s="100">
        <f t="shared" si="17"/>
        <v>1.2500000004365575E-2</v>
      </c>
      <c r="H306" s="94" t="s">
        <v>335</v>
      </c>
    </row>
    <row r="307" spans="1:8">
      <c r="A307" s="37" t="s">
        <v>251</v>
      </c>
      <c r="B307" s="93">
        <v>45846</v>
      </c>
      <c r="C307" s="37" t="s">
        <v>616</v>
      </c>
      <c r="D307" s="93">
        <v>45847</v>
      </c>
      <c r="E307" s="37" t="s">
        <v>617</v>
      </c>
      <c r="F307" s="100">
        <f t="shared" si="17"/>
        <v>0.56944444444525288</v>
      </c>
    </row>
    <row r="308" spans="1:8">
      <c r="A308" s="37" t="s">
        <v>206</v>
      </c>
      <c r="B308" s="93">
        <v>45846</v>
      </c>
      <c r="C308" s="37" t="s">
        <v>618</v>
      </c>
      <c r="D308" s="93">
        <v>45848</v>
      </c>
      <c r="E308" s="37" t="s">
        <v>619</v>
      </c>
      <c r="F308" s="100">
        <f t="shared" si="17"/>
        <v>1.7645833333299379</v>
      </c>
    </row>
    <row r="309" spans="1:8">
      <c r="A309" s="37" t="s">
        <v>240</v>
      </c>
      <c r="B309" s="93">
        <v>45846</v>
      </c>
      <c r="C309" s="37" t="s">
        <v>389</v>
      </c>
      <c r="D309" s="93">
        <v>45846</v>
      </c>
      <c r="E309" s="37" t="s">
        <v>620</v>
      </c>
      <c r="F309" s="100">
        <f t="shared" si="17"/>
        <v>4.7222222223354038E-2</v>
      </c>
    </row>
    <row r="310" spans="1:8">
      <c r="A310" s="37" t="s">
        <v>246</v>
      </c>
      <c r="B310" s="93">
        <v>45846</v>
      </c>
      <c r="C310" s="37" t="s">
        <v>621</v>
      </c>
      <c r="D310" s="93">
        <v>45846</v>
      </c>
      <c r="E310" s="37" t="s">
        <v>622</v>
      </c>
      <c r="F310" s="100">
        <f t="shared" si="17"/>
        <v>0.15694444443943212</v>
      </c>
    </row>
    <row r="311" spans="1:8">
      <c r="A311" s="37" t="s">
        <v>227</v>
      </c>
      <c r="B311" s="93">
        <v>45846</v>
      </c>
      <c r="C311" s="37" t="s">
        <v>623</v>
      </c>
      <c r="D311" s="93">
        <v>45846</v>
      </c>
      <c r="E311" s="37" t="s">
        <v>624</v>
      </c>
      <c r="F311" s="100">
        <f t="shared" si="17"/>
        <v>0.14027777778392192</v>
      </c>
    </row>
    <row r="312" spans="1:8">
      <c r="A312" s="37" t="s">
        <v>240</v>
      </c>
      <c r="B312" s="93">
        <v>45846</v>
      </c>
      <c r="C312" s="37" t="s">
        <v>625</v>
      </c>
      <c r="D312" s="93">
        <v>45846</v>
      </c>
      <c r="E312" s="37" t="s">
        <v>626</v>
      </c>
      <c r="F312" s="100">
        <f t="shared" si="17"/>
        <v>0.10347222222480923</v>
      </c>
    </row>
    <row r="313" spans="1:8">
      <c r="A313" s="37" t="s">
        <v>230</v>
      </c>
      <c r="B313" s="93">
        <v>45846</v>
      </c>
      <c r="C313" s="37" t="s">
        <v>627</v>
      </c>
      <c r="D313" s="93">
        <v>45846</v>
      </c>
      <c r="E313" s="37" t="s">
        <v>628</v>
      </c>
      <c r="F313" s="100">
        <f t="shared" si="17"/>
        <v>0.11875000000145519</v>
      </c>
    </row>
    <row r="314" spans="1:8">
      <c r="A314" s="37" t="s">
        <v>326</v>
      </c>
      <c r="B314" s="93">
        <v>45846</v>
      </c>
      <c r="C314" s="37" t="s">
        <v>435</v>
      </c>
      <c r="D314" s="93">
        <v>45846</v>
      </c>
      <c r="E314" s="37" t="s">
        <v>629</v>
      </c>
      <c r="F314" s="100">
        <f t="shared" si="17"/>
        <v>0.11319444444961846</v>
      </c>
    </row>
    <row r="315" spans="1:8">
      <c r="A315" s="37" t="s">
        <v>213</v>
      </c>
      <c r="B315" s="93">
        <v>45846</v>
      </c>
      <c r="C315" s="37" t="s">
        <v>220</v>
      </c>
      <c r="D315" s="93">
        <v>45847</v>
      </c>
      <c r="E315" s="37" t="s">
        <v>215</v>
      </c>
      <c r="F315" s="100">
        <f t="shared" si="17"/>
        <v>0.50069444443943212</v>
      </c>
    </row>
    <row r="316" spans="1:8">
      <c r="A316" s="37" t="s">
        <v>222</v>
      </c>
      <c r="B316" s="93">
        <v>45846</v>
      </c>
      <c r="C316" s="37" t="s">
        <v>220</v>
      </c>
      <c r="D316" s="93">
        <v>45847</v>
      </c>
      <c r="E316" s="37" t="s">
        <v>215</v>
      </c>
      <c r="F316" s="100">
        <f t="shared" si="17"/>
        <v>0.50069444443943212</v>
      </c>
    </row>
    <row r="317" spans="1:8">
      <c r="A317" s="37" t="s">
        <v>216</v>
      </c>
      <c r="B317" s="93">
        <v>45846</v>
      </c>
      <c r="C317" s="37" t="s">
        <v>552</v>
      </c>
      <c r="D317" s="93">
        <v>45846</v>
      </c>
      <c r="E317" s="37" t="s">
        <v>396</v>
      </c>
      <c r="F317" s="100">
        <f t="shared" si="17"/>
        <v>4.1666666664241347E-2</v>
      </c>
    </row>
    <row r="318" spans="1:8">
      <c r="A318" s="37" t="s">
        <v>233</v>
      </c>
      <c r="B318" s="93">
        <v>45846</v>
      </c>
      <c r="C318" s="37" t="s">
        <v>630</v>
      </c>
      <c r="D318" s="93">
        <v>45847</v>
      </c>
      <c r="E318" s="37" t="s">
        <v>631</v>
      </c>
      <c r="F318" s="100">
        <f t="shared" si="17"/>
        <v>9.5138888893416151E-2</v>
      </c>
    </row>
    <row r="319" spans="1:8">
      <c r="A319" s="37" t="s">
        <v>194</v>
      </c>
      <c r="B319" s="93">
        <v>45846</v>
      </c>
      <c r="C319" s="37" t="s">
        <v>516</v>
      </c>
      <c r="D319" s="93">
        <v>45847</v>
      </c>
      <c r="E319" s="37" t="s">
        <v>249</v>
      </c>
      <c r="F319" s="100">
        <f t="shared" si="17"/>
        <v>6.5277777779556345E-2</v>
      </c>
      <c r="G319" s="37" t="s">
        <v>9</v>
      </c>
      <c r="H319" s="94" t="s">
        <v>632</v>
      </c>
    </row>
    <row r="320" spans="1:8">
      <c r="A320" s="37" t="s">
        <v>240</v>
      </c>
      <c r="B320" s="93">
        <v>45846</v>
      </c>
      <c r="C320" s="37" t="s">
        <v>633</v>
      </c>
      <c r="D320" s="93">
        <v>45847</v>
      </c>
      <c r="E320" s="37" t="s">
        <v>634</v>
      </c>
      <c r="F320" s="100">
        <f t="shared" si="17"/>
        <v>1.8750000002910383E-2</v>
      </c>
    </row>
    <row r="321" spans="1:8">
      <c r="A321" s="37" t="s">
        <v>194</v>
      </c>
      <c r="B321" s="93">
        <v>45847</v>
      </c>
      <c r="C321" s="37" t="s">
        <v>249</v>
      </c>
      <c r="D321" s="93">
        <v>45856</v>
      </c>
      <c r="E321" s="37" t="s">
        <v>635</v>
      </c>
      <c r="F321" s="100">
        <f>(D321 + TIME(LEFT(E321, 2), MID(E321, 3, 2), 0)) - (B321 + TIME(LEFT(C321, 2), MID(C321, 3, 2), 0))</f>
        <v>8.9833333333372138</v>
      </c>
    </row>
    <row r="322" spans="1:8">
      <c r="A322" s="37" t="s">
        <v>209</v>
      </c>
      <c r="B322" s="93">
        <v>45847</v>
      </c>
      <c r="C322" s="37" t="s">
        <v>604</v>
      </c>
      <c r="D322" s="93">
        <v>45847</v>
      </c>
      <c r="E322" s="37" t="s">
        <v>636</v>
      </c>
      <c r="F322" s="100">
        <f t="shared" ref="F322:F327" si="18">(D322 + TIME(LEFT(E322, 2), MID(E322, 3, 2), 0)) - (B322 + TIME(LEFT(C322, 2), MID(C322, 3, 2), 0))</f>
        <v>0.18125000000145519</v>
      </c>
      <c r="G322" s="37" t="s">
        <v>9</v>
      </c>
      <c r="H322" s="94" t="s">
        <v>637</v>
      </c>
    </row>
    <row r="323" spans="1:8">
      <c r="A323" s="37" t="s">
        <v>216</v>
      </c>
      <c r="B323" s="93">
        <v>45847</v>
      </c>
      <c r="C323" s="37" t="s">
        <v>638</v>
      </c>
      <c r="D323" s="93">
        <v>45847</v>
      </c>
      <c r="E323" s="37" t="s">
        <v>367</v>
      </c>
      <c r="F323" s="100">
        <f t="shared" si="18"/>
        <v>0.45902777777519077</v>
      </c>
    </row>
    <row r="324" spans="1:8">
      <c r="A324" s="37" t="s">
        <v>197</v>
      </c>
      <c r="B324" s="93">
        <v>45847</v>
      </c>
      <c r="C324" s="37" t="s">
        <v>639</v>
      </c>
      <c r="D324" s="93">
        <v>45847</v>
      </c>
      <c r="E324" s="37" t="s">
        <v>640</v>
      </c>
      <c r="F324" s="100">
        <f t="shared" si="18"/>
        <v>0.14930555555474712</v>
      </c>
    </row>
    <row r="325" spans="1:8">
      <c r="A325" s="37" t="s">
        <v>251</v>
      </c>
      <c r="B325" s="93">
        <v>45847</v>
      </c>
      <c r="C325" s="37" t="s">
        <v>641</v>
      </c>
      <c r="D325" s="93">
        <v>45848</v>
      </c>
      <c r="E325" s="37" t="s">
        <v>642</v>
      </c>
      <c r="F325" s="100">
        <f t="shared" si="18"/>
        <v>1.7756944444408873</v>
      </c>
      <c r="G325" s="37" t="s">
        <v>9</v>
      </c>
      <c r="H325" s="23" t="s">
        <v>643</v>
      </c>
    </row>
    <row r="326" spans="1:8">
      <c r="A326" s="37" t="s">
        <v>209</v>
      </c>
      <c r="B326" s="93">
        <v>45847</v>
      </c>
      <c r="C326" s="37" t="s">
        <v>557</v>
      </c>
      <c r="D326" s="93">
        <v>45847</v>
      </c>
      <c r="E326" s="37" t="s">
        <v>644</v>
      </c>
      <c r="F326" s="100">
        <f t="shared" si="18"/>
        <v>0.74444444444816327</v>
      </c>
    </row>
    <row r="327" spans="1:8">
      <c r="A327" s="37" t="s">
        <v>246</v>
      </c>
      <c r="B327" s="93">
        <v>45847</v>
      </c>
      <c r="C327" s="37" t="s">
        <v>232</v>
      </c>
      <c r="D327" s="93">
        <v>45847</v>
      </c>
      <c r="E327" s="37" t="s">
        <v>619</v>
      </c>
      <c r="F327" s="100">
        <f t="shared" si="18"/>
        <v>2.9166666667151731E-2</v>
      </c>
    </row>
    <row r="328" spans="1:8">
      <c r="A328" s="37" t="s">
        <v>203</v>
      </c>
      <c r="B328" s="93">
        <v>45847</v>
      </c>
      <c r="C328" s="37" t="s">
        <v>645</v>
      </c>
      <c r="D328" s="93">
        <v>45852</v>
      </c>
      <c r="E328" s="37" t="s">
        <v>646</v>
      </c>
      <c r="F328" s="100">
        <f>(D328 + TIME(LEFT(E328, 2), MID(E328, 3, 2), 0)) - (B328 + TIME(LEFT(C328, 2), MID(C328, 3, 2), 0))</f>
        <v>5.65625</v>
      </c>
    </row>
    <row r="329" spans="1:8">
      <c r="A329" s="37" t="s">
        <v>219</v>
      </c>
      <c r="B329" s="93">
        <v>45847</v>
      </c>
      <c r="C329" s="37" t="s">
        <v>236</v>
      </c>
      <c r="D329" s="93">
        <v>45847</v>
      </c>
      <c r="E329" s="37" t="s">
        <v>647</v>
      </c>
      <c r="F329" s="100">
        <f t="shared" ref="F329:F360" si="19">(D329 + TIME(LEFT(E329, 2), MID(E329, 3, 2), 0)) - (B329 + TIME(LEFT(C329, 2), MID(C329, 3, 2), 0))</f>
        <v>0.58541666666133096</v>
      </c>
    </row>
    <row r="330" spans="1:8">
      <c r="A330" s="37" t="s">
        <v>235</v>
      </c>
      <c r="B330" s="93">
        <v>45847</v>
      </c>
      <c r="C330" s="37" t="s">
        <v>236</v>
      </c>
      <c r="D330" s="93">
        <v>45847</v>
      </c>
      <c r="E330" s="37" t="s">
        <v>277</v>
      </c>
      <c r="F330" s="100">
        <f t="shared" si="19"/>
        <v>0.50069444443943212</v>
      </c>
    </row>
    <row r="331" spans="1:8">
      <c r="A331" s="37" t="s">
        <v>197</v>
      </c>
      <c r="B331" s="93">
        <v>45847</v>
      </c>
      <c r="C331" s="37" t="s">
        <v>648</v>
      </c>
      <c r="D331" s="93">
        <v>45848</v>
      </c>
      <c r="E331" s="37" t="s">
        <v>649</v>
      </c>
      <c r="F331" s="100">
        <f t="shared" si="19"/>
        <v>0.72777777777810115</v>
      </c>
    </row>
    <row r="332" spans="1:8">
      <c r="A332" s="37" t="s">
        <v>227</v>
      </c>
      <c r="B332" s="93">
        <v>45847</v>
      </c>
      <c r="C332" s="37" t="s">
        <v>650</v>
      </c>
      <c r="D332" s="93">
        <v>45847</v>
      </c>
      <c r="E332" s="37" t="s">
        <v>651</v>
      </c>
      <c r="F332" s="100">
        <f t="shared" si="19"/>
        <v>4.3750000004365575E-2</v>
      </c>
    </row>
    <row r="333" spans="1:8">
      <c r="A333" s="37" t="s">
        <v>230</v>
      </c>
      <c r="B333" s="93">
        <v>45847</v>
      </c>
      <c r="C333" s="37" t="s">
        <v>479</v>
      </c>
      <c r="D333" s="93">
        <v>45847</v>
      </c>
      <c r="E333" s="37" t="s">
        <v>483</v>
      </c>
      <c r="F333" s="100">
        <f t="shared" si="19"/>
        <v>2.4305555554747116E-2</v>
      </c>
    </row>
    <row r="334" spans="1:8">
      <c r="A334" s="37" t="s">
        <v>240</v>
      </c>
      <c r="B334" s="93">
        <v>45847</v>
      </c>
      <c r="C334" s="37" t="s">
        <v>652</v>
      </c>
      <c r="D334" s="93">
        <v>45847</v>
      </c>
      <c r="E334" s="37" t="s">
        <v>483</v>
      </c>
      <c r="F334" s="100">
        <f t="shared" si="19"/>
        <v>2.1527777782466728E-2</v>
      </c>
    </row>
    <row r="335" spans="1:8">
      <c r="A335" s="37" t="s">
        <v>246</v>
      </c>
      <c r="B335" s="93">
        <v>45847</v>
      </c>
      <c r="C335" s="37" t="s">
        <v>653</v>
      </c>
      <c r="D335" s="93">
        <v>45847</v>
      </c>
      <c r="E335" s="37" t="s">
        <v>654</v>
      </c>
      <c r="F335" s="100">
        <f t="shared" si="19"/>
        <v>1.9444444449618459E-2</v>
      </c>
    </row>
    <row r="336" spans="1:8">
      <c r="A336" s="37" t="s">
        <v>297</v>
      </c>
      <c r="B336" s="93">
        <v>45847</v>
      </c>
      <c r="C336" s="37" t="s">
        <v>655</v>
      </c>
      <c r="D336" s="93">
        <v>45847</v>
      </c>
      <c r="E336" s="37" t="s">
        <v>656</v>
      </c>
      <c r="F336" s="100">
        <f t="shared" si="19"/>
        <v>5.5555555591126904E-3</v>
      </c>
    </row>
    <row r="337" spans="1:8">
      <c r="A337" s="37" t="s">
        <v>326</v>
      </c>
      <c r="B337" s="93">
        <v>45847</v>
      </c>
      <c r="C337" s="37" t="s">
        <v>576</v>
      </c>
      <c r="D337" s="93">
        <v>45847</v>
      </c>
      <c r="E337" s="37" t="s">
        <v>657</v>
      </c>
      <c r="F337" s="100">
        <f t="shared" si="19"/>
        <v>0.51597222222335404</v>
      </c>
    </row>
    <row r="338" spans="1:8">
      <c r="A338" s="37" t="s">
        <v>227</v>
      </c>
      <c r="B338" s="93">
        <v>45847</v>
      </c>
      <c r="C338" s="37" t="s">
        <v>658</v>
      </c>
      <c r="D338" s="93">
        <v>45847</v>
      </c>
      <c r="E338" s="37" t="s">
        <v>417</v>
      </c>
      <c r="F338" s="100">
        <f t="shared" si="19"/>
        <v>1.8750000002910383E-2</v>
      </c>
    </row>
    <row r="339" spans="1:8">
      <c r="A339" s="37" t="s">
        <v>230</v>
      </c>
      <c r="B339" s="93">
        <v>45847</v>
      </c>
      <c r="C339" s="37" t="s">
        <v>658</v>
      </c>
      <c r="D339" s="93">
        <v>45847</v>
      </c>
      <c r="E339" s="37" t="s">
        <v>659</v>
      </c>
      <c r="F339" s="100">
        <f t="shared" si="19"/>
        <v>4.9305555556202307E-2</v>
      </c>
    </row>
    <row r="340" spans="1:8">
      <c r="A340" s="37" t="s">
        <v>240</v>
      </c>
      <c r="B340" s="93">
        <v>45847</v>
      </c>
      <c r="C340" s="37" t="s">
        <v>660</v>
      </c>
      <c r="D340" s="93">
        <v>45847</v>
      </c>
      <c r="E340" s="37" t="s">
        <v>506</v>
      </c>
      <c r="F340" s="100">
        <f t="shared" si="19"/>
        <v>5.1388888889050577E-2</v>
      </c>
    </row>
    <row r="341" spans="1:8">
      <c r="A341" s="37" t="s">
        <v>246</v>
      </c>
      <c r="B341" s="93">
        <v>45847</v>
      </c>
      <c r="C341" s="37" t="s">
        <v>572</v>
      </c>
      <c r="D341" s="93">
        <v>45847</v>
      </c>
      <c r="E341" s="37" t="s">
        <v>661</v>
      </c>
      <c r="F341" s="100">
        <f t="shared" si="19"/>
        <v>4.4444444443797693E-2</v>
      </c>
    </row>
    <row r="342" spans="1:8">
      <c r="A342" s="37" t="s">
        <v>227</v>
      </c>
      <c r="B342" s="93">
        <v>45847</v>
      </c>
      <c r="C342" s="37" t="s">
        <v>417</v>
      </c>
      <c r="D342" s="93">
        <v>45847</v>
      </c>
      <c r="E342" s="37" t="s">
        <v>186</v>
      </c>
      <c r="F342" s="100">
        <f t="shared" si="19"/>
        <v>9.375E-2</v>
      </c>
      <c r="G342" s="37" t="s">
        <v>9</v>
      </c>
      <c r="H342" s="94" t="s">
        <v>662</v>
      </c>
    </row>
    <row r="343" spans="1:8">
      <c r="A343" s="37" t="s">
        <v>297</v>
      </c>
      <c r="B343" s="93">
        <v>45847</v>
      </c>
      <c r="C343" s="37" t="s">
        <v>505</v>
      </c>
      <c r="D343" s="93">
        <v>45847</v>
      </c>
      <c r="E343" s="37" t="s">
        <v>616</v>
      </c>
      <c r="F343" s="100">
        <f t="shared" si="19"/>
        <v>1.2500000004365575E-2</v>
      </c>
    </row>
    <row r="344" spans="1:8">
      <c r="A344" s="37" t="s">
        <v>254</v>
      </c>
      <c r="B344" s="93">
        <v>45847</v>
      </c>
      <c r="C344" s="37" t="s">
        <v>663</v>
      </c>
      <c r="D344" s="93">
        <v>45847</v>
      </c>
      <c r="E344" s="37" t="s">
        <v>664</v>
      </c>
      <c r="F344" s="100">
        <f t="shared" si="19"/>
        <v>0.39583333333575865</v>
      </c>
    </row>
    <row r="345" spans="1:8">
      <c r="A345" s="37" t="s">
        <v>222</v>
      </c>
      <c r="B345" s="93">
        <v>45847</v>
      </c>
      <c r="C345" s="37" t="s">
        <v>217</v>
      </c>
      <c r="D345" s="93">
        <v>45848</v>
      </c>
      <c r="E345" s="37" t="s">
        <v>613</v>
      </c>
      <c r="F345" s="100">
        <f t="shared" si="19"/>
        <v>0.54236111111094942</v>
      </c>
    </row>
    <row r="346" spans="1:8">
      <c r="A346" s="37" t="s">
        <v>227</v>
      </c>
      <c r="B346" s="93">
        <v>45847</v>
      </c>
      <c r="C346" s="37" t="s">
        <v>665</v>
      </c>
      <c r="D346" s="93">
        <v>45847</v>
      </c>
      <c r="E346" s="37" t="s">
        <v>536</v>
      </c>
      <c r="F346" s="100">
        <f t="shared" si="19"/>
        <v>3.5416666672972497E-2</v>
      </c>
    </row>
    <row r="347" spans="1:8">
      <c r="A347" s="37" t="s">
        <v>230</v>
      </c>
      <c r="B347" s="93">
        <v>45847</v>
      </c>
      <c r="C347" s="37" t="s">
        <v>666</v>
      </c>
      <c r="D347" s="93">
        <v>45847</v>
      </c>
      <c r="E347" s="23" t="s">
        <v>667</v>
      </c>
      <c r="F347" s="100">
        <f t="shared" si="19"/>
        <v>5.2777777775190771E-2</v>
      </c>
    </row>
    <row r="348" spans="1:8">
      <c r="A348" s="37" t="s">
        <v>240</v>
      </c>
      <c r="B348" s="93">
        <v>45847</v>
      </c>
      <c r="C348" s="37" t="s">
        <v>260</v>
      </c>
      <c r="D348" s="93">
        <v>45847</v>
      </c>
      <c r="E348" s="37" t="s">
        <v>325</v>
      </c>
      <c r="F348" s="100">
        <f t="shared" si="19"/>
        <v>6.9444444452528842E-3</v>
      </c>
    </row>
    <row r="349" spans="1:8">
      <c r="A349" s="37" t="s">
        <v>246</v>
      </c>
      <c r="B349" s="93">
        <v>45847</v>
      </c>
      <c r="C349" s="37" t="s">
        <v>668</v>
      </c>
      <c r="D349" s="93">
        <v>45847</v>
      </c>
      <c r="E349" s="37" t="s">
        <v>669</v>
      </c>
      <c r="F349" s="100">
        <f t="shared" si="19"/>
        <v>5.5555555554747116E-2</v>
      </c>
    </row>
    <row r="350" spans="1:8">
      <c r="A350" s="37" t="s">
        <v>213</v>
      </c>
      <c r="B350" s="93">
        <v>45847</v>
      </c>
      <c r="C350" s="37" t="s">
        <v>220</v>
      </c>
      <c r="D350" s="93">
        <v>45848</v>
      </c>
      <c r="E350" s="37" t="s">
        <v>215</v>
      </c>
      <c r="F350" s="100">
        <f t="shared" si="19"/>
        <v>0.50069444443943212</v>
      </c>
    </row>
    <row r="351" spans="1:8">
      <c r="A351" s="37" t="s">
        <v>227</v>
      </c>
      <c r="B351" s="93">
        <v>45847</v>
      </c>
      <c r="C351" s="37" t="s">
        <v>670</v>
      </c>
      <c r="D351" s="93">
        <v>45847</v>
      </c>
      <c r="E351" s="37" t="s">
        <v>671</v>
      </c>
      <c r="F351" s="100">
        <f t="shared" si="19"/>
        <v>1.1111111110949423E-2</v>
      </c>
    </row>
    <row r="352" spans="1:8">
      <c r="A352" s="37" t="s">
        <v>230</v>
      </c>
      <c r="B352" s="93">
        <v>45847</v>
      </c>
      <c r="C352" s="37" t="s">
        <v>550</v>
      </c>
      <c r="D352" s="93">
        <v>45847</v>
      </c>
      <c r="E352" s="37" t="s">
        <v>443</v>
      </c>
      <c r="F352" s="100">
        <f t="shared" si="19"/>
        <v>3.7499999998544808E-2</v>
      </c>
    </row>
    <row r="353" spans="1:6">
      <c r="A353" s="37" t="s">
        <v>246</v>
      </c>
      <c r="B353" s="93">
        <v>45847</v>
      </c>
      <c r="C353" s="37" t="s">
        <v>671</v>
      </c>
      <c r="D353" s="93">
        <v>45847</v>
      </c>
      <c r="E353" s="37" t="s">
        <v>396</v>
      </c>
      <c r="F353" s="100">
        <f t="shared" si="19"/>
        <v>5.3472222221898846E-2</v>
      </c>
    </row>
    <row r="354" spans="1:6">
      <c r="A354" s="37" t="s">
        <v>240</v>
      </c>
      <c r="B354" s="93">
        <v>45847</v>
      </c>
      <c r="C354" s="37" t="s">
        <v>672</v>
      </c>
      <c r="D354" s="93">
        <v>45847</v>
      </c>
      <c r="E354" s="37" t="s">
        <v>445</v>
      </c>
      <c r="F354" s="100">
        <f t="shared" si="19"/>
        <v>4.3749999997089617E-2</v>
      </c>
    </row>
    <row r="355" spans="1:6">
      <c r="A355" s="37" t="s">
        <v>227</v>
      </c>
      <c r="B355" s="93">
        <v>45847</v>
      </c>
      <c r="C355" s="37" t="s">
        <v>528</v>
      </c>
      <c r="D355" s="93">
        <v>45847</v>
      </c>
      <c r="E355" s="37" t="s">
        <v>673</v>
      </c>
      <c r="F355" s="100">
        <f t="shared" si="19"/>
        <v>1.9444444442342501E-2</v>
      </c>
    </row>
    <row r="356" spans="1:6">
      <c r="A356" s="37" t="s">
        <v>216</v>
      </c>
      <c r="B356" s="93">
        <v>45847</v>
      </c>
      <c r="C356" s="37" t="s">
        <v>552</v>
      </c>
      <c r="D356" s="93">
        <v>45848</v>
      </c>
      <c r="E356" s="37" t="s">
        <v>215</v>
      </c>
      <c r="F356" s="100">
        <f t="shared" si="19"/>
        <v>0.45902777777519077</v>
      </c>
    </row>
    <row r="357" spans="1:6">
      <c r="A357" s="37" t="s">
        <v>219</v>
      </c>
      <c r="B357" s="93">
        <v>45848</v>
      </c>
      <c r="C357" s="37" t="s">
        <v>638</v>
      </c>
      <c r="D357" s="93">
        <v>45848</v>
      </c>
      <c r="E357" s="37" t="s">
        <v>367</v>
      </c>
      <c r="F357" s="100">
        <f t="shared" si="19"/>
        <v>0.45902777777519077</v>
      </c>
    </row>
    <row r="358" spans="1:6">
      <c r="A358" s="37" t="s">
        <v>230</v>
      </c>
      <c r="B358" s="93">
        <v>45848</v>
      </c>
      <c r="C358" s="37" t="s">
        <v>557</v>
      </c>
      <c r="D358" s="93">
        <v>45848</v>
      </c>
      <c r="E358" s="37" t="s">
        <v>674</v>
      </c>
      <c r="F358" s="100">
        <f t="shared" si="19"/>
        <v>2.5000000001455192E-2</v>
      </c>
    </row>
    <row r="359" spans="1:6">
      <c r="A359" s="37" t="s">
        <v>227</v>
      </c>
      <c r="B359" s="93">
        <v>45848</v>
      </c>
      <c r="C359" s="37" t="s">
        <v>351</v>
      </c>
      <c r="D359" s="93">
        <v>45848</v>
      </c>
      <c r="E359" s="37" t="s">
        <v>229</v>
      </c>
      <c r="F359" s="100">
        <f t="shared" si="19"/>
        <v>1.3194444443797693E-2</v>
      </c>
    </row>
    <row r="360" spans="1:6">
      <c r="A360" s="37" t="s">
        <v>197</v>
      </c>
      <c r="B360" s="93">
        <v>45848</v>
      </c>
      <c r="C360" s="37" t="s">
        <v>675</v>
      </c>
      <c r="D360" s="93">
        <v>45848</v>
      </c>
      <c r="E360" s="37" t="s">
        <v>676</v>
      </c>
      <c r="F360" s="100">
        <f t="shared" si="19"/>
        <v>0.72430555555911269</v>
      </c>
    </row>
    <row r="361" spans="1:6">
      <c r="A361" s="37" t="s">
        <v>240</v>
      </c>
      <c r="B361" s="93">
        <v>45848</v>
      </c>
      <c r="C361" s="37" t="s">
        <v>675</v>
      </c>
      <c r="D361" s="93">
        <v>45848</v>
      </c>
      <c r="E361" s="37" t="s">
        <v>677</v>
      </c>
      <c r="F361" s="100">
        <f t="shared" ref="F361:F389" si="20">(D361 + TIME(LEFT(E361, 2), MID(E361, 3, 2), 0)) - (B361 + TIME(LEFT(C361, 2), MID(C361, 3, 2), 0))</f>
        <v>3.4722222226264421E-2</v>
      </c>
    </row>
    <row r="362" spans="1:6">
      <c r="A362" s="37" t="s">
        <v>326</v>
      </c>
      <c r="B362" s="93">
        <v>45848</v>
      </c>
      <c r="C362" s="37" t="s">
        <v>678</v>
      </c>
      <c r="D362" s="93">
        <v>45849</v>
      </c>
      <c r="E362" s="37" t="s">
        <v>679</v>
      </c>
      <c r="F362" s="100">
        <f t="shared" si="20"/>
        <v>0.78333333333284827</v>
      </c>
    </row>
    <row r="363" spans="1:6">
      <c r="A363" s="37" t="s">
        <v>235</v>
      </c>
      <c r="B363" s="93">
        <v>45848</v>
      </c>
      <c r="C363" s="37" t="s">
        <v>236</v>
      </c>
      <c r="D363" s="93">
        <v>45848</v>
      </c>
      <c r="E363" s="37" t="s">
        <v>680</v>
      </c>
      <c r="F363" s="100">
        <f t="shared" si="20"/>
        <v>0.22222222221898846</v>
      </c>
    </row>
    <row r="364" spans="1:6">
      <c r="A364" s="37" t="s">
        <v>222</v>
      </c>
      <c r="B364" s="93">
        <v>45848</v>
      </c>
      <c r="C364" s="37" t="s">
        <v>236</v>
      </c>
      <c r="D364" s="93">
        <v>45848</v>
      </c>
      <c r="E364" s="37" t="s">
        <v>277</v>
      </c>
      <c r="F364" s="100">
        <f t="shared" si="20"/>
        <v>0.50069444443943212</v>
      </c>
    </row>
    <row r="365" spans="1:6">
      <c r="A365" s="37" t="s">
        <v>233</v>
      </c>
      <c r="B365" s="93">
        <v>45848</v>
      </c>
      <c r="C365" s="37" t="s">
        <v>681</v>
      </c>
      <c r="D365" s="93">
        <v>45848</v>
      </c>
      <c r="E365" s="37" t="s">
        <v>682</v>
      </c>
      <c r="F365" s="100">
        <f t="shared" si="20"/>
        <v>0.32708333332993789</v>
      </c>
    </row>
    <row r="366" spans="1:6">
      <c r="A366" s="37" t="s">
        <v>200</v>
      </c>
      <c r="B366" s="93">
        <v>45848</v>
      </c>
      <c r="C366" s="37" t="s">
        <v>601</v>
      </c>
      <c r="D366" s="93">
        <v>45849</v>
      </c>
      <c r="E366" s="37" t="s">
        <v>510</v>
      </c>
      <c r="F366" s="100">
        <f t="shared" si="20"/>
        <v>0.92222222222335404</v>
      </c>
    </row>
    <row r="367" spans="1:6">
      <c r="A367" s="37" t="s">
        <v>227</v>
      </c>
      <c r="B367" s="93">
        <v>45848</v>
      </c>
      <c r="C367" s="37" t="s">
        <v>601</v>
      </c>
      <c r="D367" s="93">
        <v>45848</v>
      </c>
      <c r="E367" s="37" t="s">
        <v>365</v>
      </c>
      <c r="F367" s="100">
        <f t="shared" si="20"/>
        <v>4.1666666729724966E-3</v>
      </c>
    </row>
    <row r="368" spans="1:6">
      <c r="A368" s="37" t="s">
        <v>209</v>
      </c>
      <c r="B368" s="93">
        <v>45848</v>
      </c>
      <c r="C368" s="37" t="s">
        <v>602</v>
      </c>
      <c r="D368" s="93">
        <v>45848</v>
      </c>
      <c r="E368" s="37" t="s">
        <v>683</v>
      </c>
      <c r="F368" s="100">
        <f t="shared" si="20"/>
        <v>0.51111111111094942</v>
      </c>
    </row>
    <row r="369" spans="1:6">
      <c r="A369" s="37" t="s">
        <v>230</v>
      </c>
      <c r="B369" s="93">
        <v>45848</v>
      </c>
      <c r="C369" s="37" t="s">
        <v>684</v>
      </c>
      <c r="D369" s="93">
        <v>45848</v>
      </c>
      <c r="E369" s="37" t="s">
        <v>564</v>
      </c>
      <c r="F369" s="100">
        <f t="shared" si="20"/>
        <v>1.3194444443797693E-2</v>
      </c>
    </row>
    <row r="370" spans="1:6">
      <c r="A370" s="37" t="s">
        <v>254</v>
      </c>
      <c r="B370" s="93">
        <v>45848</v>
      </c>
      <c r="C370" s="37" t="s">
        <v>370</v>
      </c>
      <c r="D370" s="93">
        <v>45848</v>
      </c>
      <c r="E370" s="37" t="s">
        <v>685</v>
      </c>
      <c r="F370" s="100">
        <f t="shared" si="20"/>
        <v>0.52569444444816327</v>
      </c>
    </row>
    <row r="371" spans="1:6">
      <c r="A371" s="37" t="s">
        <v>227</v>
      </c>
      <c r="B371" s="93">
        <v>45848</v>
      </c>
      <c r="C371" s="37" t="s">
        <v>304</v>
      </c>
      <c r="D371" s="93">
        <v>45848</v>
      </c>
      <c r="E371" s="37" t="s">
        <v>658</v>
      </c>
      <c r="F371" s="100">
        <f t="shared" si="20"/>
        <v>5.4166666661330964E-2</v>
      </c>
    </row>
    <row r="372" spans="1:6">
      <c r="A372" s="37" t="s">
        <v>246</v>
      </c>
      <c r="B372" s="93">
        <v>45848</v>
      </c>
      <c r="C372" s="37" t="s">
        <v>495</v>
      </c>
      <c r="D372" s="93">
        <v>45848</v>
      </c>
      <c r="E372" s="37" t="s">
        <v>686</v>
      </c>
      <c r="F372" s="100">
        <f t="shared" si="20"/>
        <v>0.10208333333139308</v>
      </c>
    </row>
    <row r="373" spans="1:6">
      <c r="A373" s="37" t="s">
        <v>230</v>
      </c>
      <c r="B373" s="93">
        <v>45848</v>
      </c>
      <c r="C373" s="37" t="s">
        <v>270</v>
      </c>
      <c r="D373" s="93">
        <v>45848</v>
      </c>
      <c r="E373" s="37" t="s">
        <v>687</v>
      </c>
      <c r="F373" s="100">
        <f t="shared" si="20"/>
        <v>3.4027777772280388E-2</v>
      </c>
    </row>
    <row r="374" spans="1:6">
      <c r="A374" s="37" t="s">
        <v>240</v>
      </c>
      <c r="B374" s="93">
        <v>45848</v>
      </c>
      <c r="C374" s="37" t="s">
        <v>688</v>
      </c>
      <c r="D374" s="93">
        <v>45848</v>
      </c>
      <c r="E374" s="37" t="s">
        <v>686</v>
      </c>
      <c r="F374" s="100">
        <f t="shared" si="20"/>
        <v>7.7777777776645962E-2</v>
      </c>
    </row>
    <row r="375" spans="1:6">
      <c r="A375" s="37" t="s">
        <v>227</v>
      </c>
      <c r="B375" s="93">
        <v>45848</v>
      </c>
      <c r="C375" s="37" t="s">
        <v>568</v>
      </c>
      <c r="D375" s="93">
        <v>45848</v>
      </c>
      <c r="E375" s="37" t="s">
        <v>689</v>
      </c>
      <c r="F375" s="100">
        <f t="shared" si="20"/>
        <v>2.8472222227719612E-2</v>
      </c>
    </row>
    <row r="376" spans="1:6">
      <c r="A376" s="37" t="s">
        <v>230</v>
      </c>
      <c r="B376" s="93">
        <v>45848</v>
      </c>
      <c r="C376" s="37" t="s">
        <v>690</v>
      </c>
      <c r="D376" s="93">
        <v>45848</v>
      </c>
      <c r="E376" s="37" t="s">
        <v>620</v>
      </c>
      <c r="F376" s="100">
        <f t="shared" si="20"/>
        <v>9.8611111112404615E-2</v>
      </c>
    </row>
    <row r="377" spans="1:6">
      <c r="A377" s="37" t="s">
        <v>216</v>
      </c>
      <c r="B377" s="93">
        <v>45848</v>
      </c>
      <c r="C377" s="37" t="s">
        <v>217</v>
      </c>
      <c r="D377" s="93">
        <v>45849</v>
      </c>
      <c r="E377" s="37" t="s">
        <v>613</v>
      </c>
      <c r="F377" s="100">
        <f t="shared" si="20"/>
        <v>0.54236111111094942</v>
      </c>
    </row>
    <row r="378" spans="1:6">
      <c r="A378" s="37" t="s">
        <v>240</v>
      </c>
      <c r="B378" s="93">
        <v>45848</v>
      </c>
      <c r="C378" s="37" t="s">
        <v>691</v>
      </c>
      <c r="D378" s="93">
        <v>45848</v>
      </c>
      <c r="E378" s="37" t="s">
        <v>267</v>
      </c>
      <c r="F378" s="100">
        <f t="shared" si="20"/>
        <v>6.6666666672972497E-2</v>
      </c>
    </row>
    <row r="379" spans="1:6">
      <c r="A379" s="37" t="s">
        <v>246</v>
      </c>
      <c r="B379" s="93">
        <v>45848</v>
      </c>
      <c r="C379" s="37" t="s">
        <v>692</v>
      </c>
      <c r="D379" s="93">
        <v>45848</v>
      </c>
      <c r="E379" s="37" t="s">
        <v>581</v>
      </c>
      <c r="F379" s="100">
        <f t="shared" si="20"/>
        <v>6.5277777779556345E-2</v>
      </c>
    </row>
    <row r="380" spans="1:6">
      <c r="A380" s="37" t="s">
        <v>235</v>
      </c>
      <c r="B380" s="93">
        <v>45848</v>
      </c>
      <c r="C380" s="37" t="s">
        <v>693</v>
      </c>
      <c r="D380" s="93">
        <v>45848</v>
      </c>
      <c r="E380" s="37" t="s">
        <v>389</v>
      </c>
      <c r="F380" s="100">
        <f t="shared" si="20"/>
        <v>3.1944444446708076E-2</v>
      </c>
    </row>
    <row r="381" spans="1:6">
      <c r="A381" s="37" t="s">
        <v>227</v>
      </c>
      <c r="B381" s="93">
        <v>45848</v>
      </c>
      <c r="C381" s="37" t="s">
        <v>391</v>
      </c>
      <c r="D381" s="93">
        <v>45848</v>
      </c>
      <c r="E381" s="37" t="s">
        <v>694</v>
      </c>
      <c r="F381" s="100">
        <f t="shared" si="20"/>
        <v>0.125</v>
      </c>
    </row>
    <row r="382" spans="1:6">
      <c r="A382" s="37" t="s">
        <v>297</v>
      </c>
      <c r="B382" s="93">
        <v>45848</v>
      </c>
      <c r="C382" s="37" t="s">
        <v>695</v>
      </c>
      <c r="D382" s="93">
        <v>45848</v>
      </c>
      <c r="E382" s="37" t="s">
        <v>696</v>
      </c>
      <c r="F382" s="100">
        <f t="shared" si="20"/>
        <v>1.8750000002910383E-2</v>
      </c>
    </row>
    <row r="383" spans="1:6">
      <c r="A383" s="37" t="s">
        <v>182</v>
      </c>
      <c r="B383" s="93">
        <v>45848</v>
      </c>
      <c r="C383" s="37" t="s">
        <v>193</v>
      </c>
      <c r="D383" s="93">
        <v>45848</v>
      </c>
      <c r="E383" s="37" t="s">
        <v>697</v>
      </c>
      <c r="F383" s="100">
        <f t="shared" si="20"/>
        <v>5.5555555591126904E-3</v>
      </c>
    </row>
    <row r="384" spans="1:6">
      <c r="A384" s="37" t="s">
        <v>312</v>
      </c>
      <c r="B384" s="93">
        <v>45848</v>
      </c>
      <c r="C384" s="37" t="s">
        <v>531</v>
      </c>
      <c r="D384" s="93">
        <v>45848</v>
      </c>
      <c r="E384" s="37" t="s">
        <v>409</v>
      </c>
      <c r="F384" s="100">
        <f t="shared" si="20"/>
        <v>0.15347222222044365</v>
      </c>
    </row>
    <row r="385" spans="1:8">
      <c r="A385" s="37" t="s">
        <v>206</v>
      </c>
      <c r="B385" s="93">
        <v>45848</v>
      </c>
      <c r="C385" s="37" t="s">
        <v>267</v>
      </c>
      <c r="D385" s="93">
        <v>45849</v>
      </c>
      <c r="E385" s="37" t="s">
        <v>698</v>
      </c>
      <c r="F385" s="100">
        <f t="shared" si="20"/>
        <v>0.62638888888614019</v>
      </c>
    </row>
    <row r="386" spans="1:8">
      <c r="A386" s="37" t="s">
        <v>235</v>
      </c>
      <c r="B386" s="93">
        <v>45848</v>
      </c>
      <c r="C386" s="37" t="s">
        <v>699</v>
      </c>
      <c r="D386" s="93">
        <v>45848</v>
      </c>
      <c r="E386" s="37" t="s">
        <v>700</v>
      </c>
      <c r="F386" s="100">
        <f t="shared" si="20"/>
        <v>7.5694444443797693E-2</v>
      </c>
    </row>
    <row r="387" spans="1:8">
      <c r="A387" s="37" t="s">
        <v>219</v>
      </c>
      <c r="B387" s="93">
        <v>45848</v>
      </c>
      <c r="C387" s="37" t="s">
        <v>220</v>
      </c>
      <c r="D387" s="93">
        <v>45849</v>
      </c>
      <c r="E387" s="37" t="s">
        <v>215</v>
      </c>
      <c r="F387" s="100">
        <f t="shared" si="20"/>
        <v>0.50069444443943212</v>
      </c>
    </row>
    <row r="388" spans="1:8">
      <c r="A388" s="37" t="s">
        <v>213</v>
      </c>
      <c r="B388" s="93">
        <v>45848</v>
      </c>
      <c r="C388" s="37" t="s">
        <v>543</v>
      </c>
      <c r="D388" s="93">
        <v>45849</v>
      </c>
      <c r="E388" s="37" t="s">
        <v>215</v>
      </c>
      <c r="F388" s="100">
        <f t="shared" si="20"/>
        <v>0.49097222222189885</v>
      </c>
    </row>
    <row r="389" spans="1:8">
      <c r="A389" s="37" t="s">
        <v>222</v>
      </c>
      <c r="B389" s="93">
        <v>45848</v>
      </c>
      <c r="C389" s="37" t="s">
        <v>552</v>
      </c>
      <c r="D389" s="93">
        <v>45848</v>
      </c>
      <c r="E389" s="37" t="s">
        <v>396</v>
      </c>
      <c r="F389" s="100">
        <f t="shared" si="20"/>
        <v>4.1666666664241347E-2</v>
      </c>
    </row>
    <row r="390" spans="1:8">
      <c r="A390" s="37" t="s">
        <v>209</v>
      </c>
      <c r="B390" s="93">
        <v>45848</v>
      </c>
      <c r="C390" s="37" t="s">
        <v>683</v>
      </c>
      <c r="D390" s="93">
        <v>45849</v>
      </c>
      <c r="E390" s="37" t="s">
        <v>701</v>
      </c>
      <c r="F390" s="100">
        <f>(D390 + TIME(LEFT(E390, 2), MID(E390, 3, 2), 0)) - (B390 + TIME(LEFT(C390, 2), MID(C390, 3, 2), 0))</f>
        <v>0.61111111110949423</v>
      </c>
      <c r="G390" s="37" t="s">
        <v>9</v>
      </c>
      <c r="H390" s="23" t="s">
        <v>702</v>
      </c>
    </row>
    <row r="391" spans="1:8">
      <c r="A391" s="37" t="s">
        <v>227</v>
      </c>
      <c r="B391" s="93">
        <v>45848</v>
      </c>
      <c r="C391" s="37" t="s">
        <v>703</v>
      </c>
      <c r="D391" s="93">
        <v>45848</v>
      </c>
      <c r="E391" s="37" t="s">
        <v>704</v>
      </c>
      <c r="F391" s="100">
        <f t="shared" ref="F391:F399" si="21">(D391 + TIME(LEFT(E391, 2), MID(E391, 3, 2), 0)) - (B391 + TIME(LEFT(C391, 2), MID(C391, 3, 2), 0))</f>
        <v>5.5555555591126904E-3</v>
      </c>
    </row>
    <row r="392" spans="1:8">
      <c r="A392" s="37" t="s">
        <v>230</v>
      </c>
      <c r="B392" s="93">
        <v>45848</v>
      </c>
      <c r="C392" s="37" t="s">
        <v>703</v>
      </c>
      <c r="D392" s="93">
        <v>45848</v>
      </c>
      <c r="E392" s="37" t="s">
        <v>705</v>
      </c>
      <c r="F392" s="100">
        <f t="shared" si="21"/>
        <v>1.1805555557657499E-2</v>
      </c>
    </row>
    <row r="393" spans="1:8">
      <c r="A393" s="37" t="s">
        <v>240</v>
      </c>
      <c r="B393" s="93">
        <v>45848</v>
      </c>
      <c r="C393" s="37" t="s">
        <v>706</v>
      </c>
      <c r="D393" s="93">
        <v>45848</v>
      </c>
      <c r="E393" s="37" t="s">
        <v>707</v>
      </c>
      <c r="F393" s="100">
        <f t="shared" si="21"/>
        <v>1.1805555557657499E-2</v>
      </c>
    </row>
    <row r="394" spans="1:8">
      <c r="A394" s="37" t="s">
        <v>227</v>
      </c>
      <c r="B394" s="93">
        <v>45848</v>
      </c>
      <c r="C394" s="37" t="s">
        <v>706</v>
      </c>
      <c r="D394" s="93">
        <v>45848</v>
      </c>
      <c r="E394" s="37" t="s">
        <v>708</v>
      </c>
      <c r="F394" s="100">
        <f t="shared" si="21"/>
        <v>2.2916666668606922E-2</v>
      </c>
    </row>
    <row r="395" spans="1:8">
      <c r="A395" s="37" t="s">
        <v>230</v>
      </c>
      <c r="B395" s="93">
        <v>45848</v>
      </c>
      <c r="C395" s="37" t="s">
        <v>706</v>
      </c>
      <c r="D395" s="93">
        <v>45848</v>
      </c>
      <c r="E395" s="37" t="s">
        <v>709</v>
      </c>
      <c r="F395" s="100">
        <f t="shared" si="21"/>
        <v>2.8472222227719612E-2</v>
      </c>
    </row>
    <row r="396" spans="1:8">
      <c r="A396" s="37" t="s">
        <v>246</v>
      </c>
      <c r="B396" s="93">
        <v>45848</v>
      </c>
      <c r="C396" s="37" t="s">
        <v>706</v>
      </c>
      <c r="D396" s="93">
        <v>45848</v>
      </c>
      <c r="E396" s="37" t="s">
        <v>710</v>
      </c>
      <c r="F396" s="100">
        <f t="shared" si="21"/>
        <v>1.5972222223354038E-2</v>
      </c>
    </row>
    <row r="397" spans="1:8">
      <c r="A397" s="37" t="s">
        <v>297</v>
      </c>
      <c r="B397" s="93">
        <v>45848</v>
      </c>
      <c r="C397" s="37" t="s">
        <v>676</v>
      </c>
      <c r="D397" s="93">
        <v>45848</v>
      </c>
      <c r="E397" s="37" t="s">
        <v>711</v>
      </c>
      <c r="F397" s="100">
        <f t="shared" si="21"/>
        <v>9.7222222248092294E-3</v>
      </c>
    </row>
    <row r="398" spans="1:8">
      <c r="A398" s="37" t="s">
        <v>251</v>
      </c>
      <c r="B398" s="93">
        <v>45848</v>
      </c>
      <c r="C398" s="37" t="s">
        <v>642</v>
      </c>
      <c r="D398" s="93">
        <v>45849</v>
      </c>
      <c r="E398" s="37" t="s">
        <v>712</v>
      </c>
      <c r="F398" s="100">
        <f t="shared" si="21"/>
        <v>2.2222222221898846E-2</v>
      </c>
    </row>
    <row r="399" spans="1:8">
      <c r="A399" s="37" t="s">
        <v>240</v>
      </c>
      <c r="B399" s="93">
        <v>45849</v>
      </c>
      <c r="C399" s="37" t="s">
        <v>271</v>
      </c>
      <c r="D399" s="93">
        <v>45849</v>
      </c>
      <c r="E399" s="37" t="s">
        <v>631</v>
      </c>
      <c r="F399" s="100">
        <f t="shared" si="21"/>
        <v>1.4583333337213844E-2</v>
      </c>
    </row>
    <row r="400" spans="1:8">
      <c r="A400" s="37" t="s">
        <v>222</v>
      </c>
      <c r="B400" s="93">
        <v>45849</v>
      </c>
      <c r="C400" s="37" t="s">
        <v>638</v>
      </c>
      <c r="D400" s="93">
        <v>45849</v>
      </c>
      <c r="E400" s="37" t="s">
        <v>451</v>
      </c>
      <c r="F400" s="100">
        <f t="shared" ref="F400:F431" si="22">(D400 + TIME(LEFT(E400, 2), MID(E400, 3, 2), 0)) - (B400 + TIME(LEFT(C400, 2), MID(C400, 3, 2), 0))</f>
        <v>0.50069444444670808</v>
      </c>
    </row>
    <row r="401" spans="1:8">
      <c r="A401" s="37" t="s">
        <v>233</v>
      </c>
      <c r="B401" s="93">
        <v>45849</v>
      </c>
      <c r="C401" s="37" t="s">
        <v>713</v>
      </c>
      <c r="D401" s="93">
        <v>45849</v>
      </c>
      <c r="E401" s="37" t="s">
        <v>714</v>
      </c>
      <c r="F401" s="100">
        <f t="shared" si="22"/>
        <v>0.39583333332848269</v>
      </c>
    </row>
    <row r="402" spans="1:8">
      <c r="A402" s="37" t="s">
        <v>197</v>
      </c>
      <c r="B402" s="93">
        <v>45849</v>
      </c>
      <c r="C402" s="37" t="s">
        <v>467</v>
      </c>
      <c r="D402" s="93">
        <v>45850</v>
      </c>
      <c r="E402" s="37" t="s">
        <v>715</v>
      </c>
      <c r="F402" s="100">
        <f t="shared" si="22"/>
        <v>0.93888888888614019</v>
      </c>
      <c r="H402" s="94" t="s">
        <v>335</v>
      </c>
    </row>
    <row r="403" spans="1:8">
      <c r="A403" s="37" t="s">
        <v>246</v>
      </c>
      <c r="B403" s="93">
        <v>45849</v>
      </c>
      <c r="C403" s="37" t="s">
        <v>716</v>
      </c>
      <c r="D403" s="93">
        <v>45849</v>
      </c>
      <c r="E403" s="37" t="s">
        <v>355</v>
      </c>
      <c r="F403" s="100">
        <f t="shared" si="22"/>
        <v>1.8055555556202307E-2</v>
      </c>
    </row>
    <row r="404" spans="1:8">
      <c r="A404" s="37" t="s">
        <v>227</v>
      </c>
      <c r="B404" s="93">
        <v>45849</v>
      </c>
      <c r="C404" s="37" t="s">
        <v>231</v>
      </c>
      <c r="D404" s="93">
        <v>45849</v>
      </c>
      <c r="E404" s="37" t="s">
        <v>717</v>
      </c>
      <c r="F404" s="100">
        <f t="shared" si="22"/>
        <v>2.2222222221898846E-2</v>
      </c>
    </row>
    <row r="405" spans="1:8">
      <c r="A405" s="37" t="s">
        <v>326</v>
      </c>
      <c r="B405" s="93">
        <v>45849</v>
      </c>
      <c r="C405" s="37" t="s">
        <v>597</v>
      </c>
      <c r="D405" s="93">
        <v>45849</v>
      </c>
      <c r="E405" s="37" t="s">
        <v>718</v>
      </c>
      <c r="F405" s="100">
        <f t="shared" si="22"/>
        <v>0.30138888888905058</v>
      </c>
    </row>
    <row r="406" spans="1:8">
      <c r="A406" s="37" t="s">
        <v>216</v>
      </c>
      <c r="B406" s="93">
        <v>45849</v>
      </c>
      <c r="C406" s="37" t="s">
        <v>236</v>
      </c>
      <c r="D406" s="93">
        <v>45849</v>
      </c>
      <c r="E406" s="37" t="s">
        <v>448</v>
      </c>
      <c r="F406" s="100">
        <f t="shared" si="22"/>
        <v>0.54236111111094942</v>
      </c>
    </row>
    <row r="407" spans="1:8">
      <c r="A407" s="37" t="s">
        <v>235</v>
      </c>
      <c r="B407" s="93">
        <v>45849</v>
      </c>
      <c r="C407" s="37" t="s">
        <v>236</v>
      </c>
      <c r="D407" s="93">
        <v>45849</v>
      </c>
      <c r="E407" s="37" t="s">
        <v>457</v>
      </c>
      <c r="F407" s="100">
        <f t="shared" si="22"/>
        <v>0.11805555555474712</v>
      </c>
    </row>
    <row r="408" spans="1:8">
      <c r="A408" s="37" t="s">
        <v>200</v>
      </c>
      <c r="B408" s="93">
        <v>45849</v>
      </c>
      <c r="C408" s="37" t="s">
        <v>719</v>
      </c>
      <c r="D408" s="93">
        <v>45849</v>
      </c>
      <c r="E408" s="37" t="s">
        <v>720</v>
      </c>
      <c r="F408" s="100">
        <f t="shared" si="22"/>
        <v>0.64236111110949423</v>
      </c>
    </row>
    <row r="409" spans="1:8">
      <c r="A409" s="37" t="s">
        <v>227</v>
      </c>
      <c r="B409" s="93">
        <v>45849</v>
      </c>
      <c r="C409" s="37" t="s">
        <v>244</v>
      </c>
      <c r="D409" s="93">
        <v>45849</v>
      </c>
      <c r="E409" s="37" t="s">
        <v>248</v>
      </c>
      <c r="F409" s="100">
        <f t="shared" si="22"/>
        <v>2.1527777775190771E-2</v>
      </c>
    </row>
    <row r="410" spans="1:8">
      <c r="A410" s="37" t="s">
        <v>230</v>
      </c>
      <c r="B410" s="93">
        <v>45849</v>
      </c>
      <c r="C410" s="37" t="s">
        <v>369</v>
      </c>
      <c r="D410" s="93">
        <v>45849</v>
      </c>
      <c r="E410" s="37" t="s">
        <v>721</v>
      </c>
      <c r="F410" s="100">
        <f t="shared" si="22"/>
        <v>1.8750000002910383E-2</v>
      </c>
    </row>
    <row r="411" spans="1:8">
      <c r="A411" s="37" t="s">
        <v>240</v>
      </c>
      <c r="B411" s="93">
        <v>45849</v>
      </c>
      <c r="C411" s="37" t="s">
        <v>722</v>
      </c>
      <c r="D411" s="93">
        <v>45849</v>
      </c>
      <c r="E411" s="37" t="s">
        <v>375</v>
      </c>
      <c r="F411" s="100">
        <f t="shared" si="22"/>
        <v>2.2222222221898846E-2</v>
      </c>
    </row>
    <row r="412" spans="1:8">
      <c r="A412" s="37" t="s">
        <v>246</v>
      </c>
      <c r="B412" s="93">
        <v>45849</v>
      </c>
      <c r="C412" s="37" t="s">
        <v>245</v>
      </c>
      <c r="D412" s="93">
        <v>45849</v>
      </c>
      <c r="E412" s="37" t="s">
        <v>406</v>
      </c>
      <c r="F412" s="100">
        <f t="shared" si="22"/>
        <v>2.8472222220443655E-2</v>
      </c>
    </row>
    <row r="413" spans="1:8">
      <c r="A413" s="37" t="s">
        <v>297</v>
      </c>
      <c r="B413" s="93">
        <v>45849</v>
      </c>
      <c r="C413" s="37" t="s">
        <v>723</v>
      </c>
      <c r="D413" s="93">
        <v>45849</v>
      </c>
      <c r="E413" s="37" t="s">
        <v>248</v>
      </c>
      <c r="F413" s="100">
        <f t="shared" si="22"/>
        <v>9.7222222175332718E-3</v>
      </c>
    </row>
    <row r="414" spans="1:8">
      <c r="A414" s="37" t="s">
        <v>251</v>
      </c>
      <c r="B414" s="93">
        <v>45849</v>
      </c>
      <c r="C414" s="37" t="s">
        <v>724</v>
      </c>
      <c r="D414" s="93">
        <v>45849</v>
      </c>
      <c r="E414" s="37" t="s">
        <v>725</v>
      </c>
      <c r="F414" s="100">
        <f t="shared" si="22"/>
        <v>0.47986111111094942</v>
      </c>
    </row>
    <row r="415" spans="1:8">
      <c r="A415" s="37" t="s">
        <v>227</v>
      </c>
      <c r="B415" s="93">
        <v>45849</v>
      </c>
      <c r="C415" s="37" t="s">
        <v>656</v>
      </c>
      <c r="D415" s="93">
        <v>45849</v>
      </c>
      <c r="E415" s="37" t="s">
        <v>726</v>
      </c>
      <c r="F415" s="100">
        <f t="shared" si="22"/>
        <v>3.8888888884685002E-2</v>
      </c>
    </row>
    <row r="416" spans="1:8">
      <c r="A416" s="37" t="s">
        <v>230</v>
      </c>
      <c r="B416" s="93">
        <v>45849</v>
      </c>
      <c r="C416" s="37" t="s">
        <v>487</v>
      </c>
      <c r="D416" s="93">
        <v>45849</v>
      </c>
      <c r="E416" s="37" t="s">
        <v>727</v>
      </c>
      <c r="F416" s="100">
        <f t="shared" si="22"/>
        <v>2.9166666667151731E-2</v>
      </c>
    </row>
    <row r="417" spans="1:8">
      <c r="A417" s="37" t="s">
        <v>240</v>
      </c>
      <c r="B417" s="93">
        <v>45849</v>
      </c>
      <c r="C417" s="37" t="s">
        <v>728</v>
      </c>
      <c r="D417" s="93">
        <v>45849</v>
      </c>
      <c r="E417" s="37" t="s">
        <v>579</v>
      </c>
      <c r="F417" s="100">
        <f t="shared" si="22"/>
        <v>9.0972222220443655E-2</v>
      </c>
    </row>
    <row r="418" spans="1:8">
      <c r="A418" s="37" t="s">
        <v>246</v>
      </c>
      <c r="B418" s="93">
        <v>45849</v>
      </c>
      <c r="C418" s="37" t="s">
        <v>383</v>
      </c>
      <c r="D418" s="93">
        <v>45849</v>
      </c>
      <c r="E418" s="37" t="s">
        <v>729</v>
      </c>
      <c r="F418" s="100">
        <f t="shared" si="22"/>
        <v>8.0555555556202307E-2</v>
      </c>
    </row>
    <row r="419" spans="1:8">
      <c r="A419" s="37" t="s">
        <v>254</v>
      </c>
      <c r="B419" s="93">
        <v>45849</v>
      </c>
      <c r="C419" s="37" t="s">
        <v>730</v>
      </c>
      <c r="D419" s="93">
        <v>45849</v>
      </c>
      <c r="E419" s="37" t="s">
        <v>731</v>
      </c>
      <c r="F419" s="100">
        <f t="shared" si="22"/>
        <v>0.42083333333721384</v>
      </c>
    </row>
    <row r="420" spans="1:8">
      <c r="A420" s="37" t="s">
        <v>235</v>
      </c>
      <c r="B420" s="93">
        <v>45849</v>
      </c>
      <c r="C420" s="37" t="s">
        <v>419</v>
      </c>
      <c r="D420" s="93">
        <v>45849</v>
      </c>
      <c r="E420" s="37" t="s">
        <v>277</v>
      </c>
      <c r="F420" s="100">
        <f t="shared" si="22"/>
        <v>0.28680555555183673</v>
      </c>
    </row>
    <row r="421" spans="1:8" ht="27.6">
      <c r="A421" s="37" t="s">
        <v>209</v>
      </c>
      <c r="B421" s="93">
        <v>45849</v>
      </c>
      <c r="C421" s="37" t="s">
        <v>701</v>
      </c>
      <c r="D421" s="93">
        <v>45849</v>
      </c>
      <c r="E421" s="37" t="s">
        <v>318</v>
      </c>
      <c r="F421" s="100">
        <f t="shared" si="22"/>
        <v>4.7222222223354038E-2</v>
      </c>
      <c r="H421" s="94" t="s">
        <v>732</v>
      </c>
    </row>
    <row r="422" spans="1:8">
      <c r="A422" s="37" t="s">
        <v>230</v>
      </c>
      <c r="B422" s="93">
        <v>45849</v>
      </c>
      <c r="C422" s="37" t="s">
        <v>733</v>
      </c>
      <c r="D422" s="93">
        <v>45849</v>
      </c>
      <c r="E422" s="37" t="s">
        <v>591</v>
      </c>
      <c r="F422" s="100">
        <f t="shared" si="22"/>
        <v>4.3749999997089617E-2</v>
      </c>
    </row>
    <row r="423" spans="1:8">
      <c r="A423" s="37" t="s">
        <v>227</v>
      </c>
      <c r="B423" s="93">
        <v>45849</v>
      </c>
      <c r="C423" s="37" t="s">
        <v>318</v>
      </c>
      <c r="D423" s="93">
        <v>45849</v>
      </c>
      <c r="E423" s="37" t="s">
        <v>734</v>
      </c>
      <c r="F423" s="100">
        <f t="shared" si="22"/>
        <v>6.9444444452528842E-3</v>
      </c>
    </row>
    <row r="424" spans="1:8">
      <c r="A424" s="37" t="s">
        <v>209</v>
      </c>
      <c r="B424" s="93">
        <v>45849</v>
      </c>
      <c r="C424" s="37" t="s">
        <v>318</v>
      </c>
      <c r="D424" s="93">
        <v>45849</v>
      </c>
      <c r="E424" s="37" t="s">
        <v>735</v>
      </c>
      <c r="F424" s="100">
        <f t="shared" si="22"/>
        <v>0.38888888889050577</v>
      </c>
    </row>
    <row r="425" spans="1:8">
      <c r="A425" s="37" t="s">
        <v>240</v>
      </c>
      <c r="B425" s="93">
        <v>45849</v>
      </c>
      <c r="C425" s="37" t="s">
        <v>718</v>
      </c>
      <c r="D425" s="93">
        <v>45849</v>
      </c>
      <c r="E425" s="37" t="s">
        <v>736</v>
      </c>
      <c r="F425" s="100">
        <f t="shared" si="22"/>
        <v>9.0972222220443655E-2</v>
      </c>
    </row>
    <row r="426" spans="1:8">
      <c r="A426" s="37" t="s">
        <v>246</v>
      </c>
      <c r="B426" s="93">
        <v>45849</v>
      </c>
      <c r="C426" s="37" t="s">
        <v>451</v>
      </c>
      <c r="D426" s="93">
        <v>45849</v>
      </c>
      <c r="E426" s="37" t="s">
        <v>737</v>
      </c>
      <c r="F426" s="100">
        <f t="shared" si="22"/>
        <v>0.12291666666715173</v>
      </c>
    </row>
    <row r="427" spans="1:8">
      <c r="A427" s="37" t="s">
        <v>219</v>
      </c>
      <c r="B427" s="93">
        <v>45849</v>
      </c>
      <c r="C427" s="37" t="s">
        <v>389</v>
      </c>
      <c r="D427" s="93">
        <v>45850</v>
      </c>
      <c r="E427" s="37" t="s">
        <v>218</v>
      </c>
      <c r="F427" s="100">
        <f t="shared" si="22"/>
        <v>0.45902777777519077</v>
      </c>
    </row>
    <row r="428" spans="1:8">
      <c r="A428" s="37" t="s">
        <v>227</v>
      </c>
      <c r="B428" s="93">
        <v>45849</v>
      </c>
      <c r="C428" s="37" t="s">
        <v>259</v>
      </c>
      <c r="D428" s="93">
        <v>45849</v>
      </c>
      <c r="E428" s="37" t="s">
        <v>738</v>
      </c>
      <c r="F428" s="100">
        <f t="shared" si="22"/>
        <v>0.13819444444379769</v>
      </c>
    </row>
    <row r="429" spans="1:8">
      <c r="A429" s="37" t="s">
        <v>230</v>
      </c>
      <c r="B429" s="93">
        <v>45849</v>
      </c>
      <c r="C429" s="37" t="s">
        <v>665</v>
      </c>
      <c r="D429" s="93">
        <v>45849</v>
      </c>
      <c r="E429" s="37" t="s">
        <v>739</v>
      </c>
      <c r="F429" s="100">
        <f t="shared" si="22"/>
        <v>0.14375000000291038</v>
      </c>
    </row>
    <row r="430" spans="1:8">
      <c r="A430" s="37" t="s">
        <v>206</v>
      </c>
      <c r="B430" s="93">
        <v>45849</v>
      </c>
      <c r="C430" s="37" t="s">
        <v>181</v>
      </c>
      <c r="D430" s="93">
        <v>45850</v>
      </c>
      <c r="E430" s="37" t="s">
        <v>740</v>
      </c>
      <c r="F430" s="100">
        <f t="shared" si="22"/>
        <v>0.47222222222626442</v>
      </c>
    </row>
    <row r="431" spans="1:8">
      <c r="A431" s="37" t="s">
        <v>213</v>
      </c>
      <c r="B431" s="93">
        <v>45849</v>
      </c>
      <c r="C431" s="37" t="s">
        <v>220</v>
      </c>
      <c r="D431" s="93">
        <v>45850</v>
      </c>
      <c r="E431" s="37" t="s">
        <v>215</v>
      </c>
      <c r="F431" s="100">
        <f t="shared" si="22"/>
        <v>0.50069444443943212</v>
      </c>
    </row>
    <row r="432" spans="1:8">
      <c r="A432" s="37" t="s">
        <v>240</v>
      </c>
      <c r="B432" s="93">
        <v>45849</v>
      </c>
      <c r="C432" s="37" t="s">
        <v>446</v>
      </c>
      <c r="D432" s="93">
        <v>45849</v>
      </c>
      <c r="E432" s="37" t="s">
        <v>741</v>
      </c>
      <c r="F432" s="100">
        <f t="shared" ref="F432:F463" si="23">(D432 + TIME(LEFT(E432, 2), MID(E432, 3, 2), 0)) - (B432 + TIME(LEFT(C432, 2), MID(C432, 3, 2), 0))</f>
        <v>1.5972222223354038E-2</v>
      </c>
    </row>
    <row r="433" spans="1:8">
      <c r="A433" s="37" t="s">
        <v>222</v>
      </c>
      <c r="B433" s="93">
        <v>45849</v>
      </c>
      <c r="C433" s="37" t="s">
        <v>552</v>
      </c>
      <c r="D433" s="93">
        <v>45850</v>
      </c>
      <c r="E433" s="37" t="s">
        <v>742</v>
      </c>
      <c r="F433" s="100">
        <f t="shared" si="23"/>
        <v>0.41736111111094942</v>
      </c>
    </row>
    <row r="434" spans="1:8">
      <c r="A434" s="37" t="s">
        <v>200</v>
      </c>
      <c r="B434" s="93">
        <v>45849</v>
      </c>
      <c r="C434" s="37" t="s">
        <v>720</v>
      </c>
      <c r="D434" s="93">
        <v>45850</v>
      </c>
      <c r="E434" s="37" t="s">
        <v>743</v>
      </c>
      <c r="F434" s="100">
        <f t="shared" si="23"/>
        <v>8.611111110803904E-2</v>
      </c>
      <c r="G434" s="37" t="s">
        <v>9</v>
      </c>
      <c r="H434" s="23" t="s">
        <v>744</v>
      </c>
    </row>
    <row r="435" spans="1:8">
      <c r="A435" s="37" t="s">
        <v>216</v>
      </c>
      <c r="B435" s="93">
        <v>45850</v>
      </c>
      <c r="C435" s="37" t="s">
        <v>223</v>
      </c>
      <c r="D435" s="93">
        <v>45850</v>
      </c>
      <c r="E435" s="37" t="s">
        <v>553</v>
      </c>
      <c r="F435" s="100">
        <f t="shared" si="23"/>
        <v>0.50138888888614019</v>
      </c>
    </row>
    <row r="436" spans="1:8">
      <c r="A436" s="37" t="s">
        <v>200</v>
      </c>
      <c r="B436" s="93">
        <v>45850</v>
      </c>
      <c r="C436" s="37" t="s">
        <v>743</v>
      </c>
      <c r="D436" s="93">
        <v>45850</v>
      </c>
      <c r="E436" s="37" t="s">
        <v>743</v>
      </c>
      <c r="F436" s="100">
        <f t="shared" si="23"/>
        <v>0</v>
      </c>
    </row>
    <row r="437" spans="1:8">
      <c r="A437" s="37" t="s">
        <v>200</v>
      </c>
      <c r="B437" s="93">
        <v>45850</v>
      </c>
      <c r="C437" s="37" t="s">
        <v>743</v>
      </c>
      <c r="D437" s="93">
        <v>45850</v>
      </c>
      <c r="E437" s="37" t="s">
        <v>202</v>
      </c>
      <c r="F437" s="100">
        <f t="shared" si="23"/>
        <v>8.0555555556202307E-2</v>
      </c>
      <c r="G437" s="37" t="s">
        <v>9</v>
      </c>
      <c r="H437" s="23" t="s">
        <v>745</v>
      </c>
    </row>
    <row r="438" spans="1:8">
      <c r="A438" s="37" t="s">
        <v>200</v>
      </c>
      <c r="B438" s="93">
        <v>45850</v>
      </c>
      <c r="C438" s="37" t="s">
        <v>202</v>
      </c>
      <c r="D438" s="93">
        <v>45850</v>
      </c>
      <c r="E438" s="37" t="s">
        <v>421</v>
      </c>
      <c r="F438" s="100">
        <f t="shared" si="23"/>
        <v>0.29166666667151731</v>
      </c>
    </row>
    <row r="439" spans="1:8">
      <c r="A439" s="37" t="s">
        <v>219</v>
      </c>
      <c r="B439" s="93">
        <v>45850</v>
      </c>
      <c r="C439" s="37" t="s">
        <v>746</v>
      </c>
      <c r="D439" s="93">
        <v>45850</v>
      </c>
      <c r="E439" s="37" t="s">
        <v>277</v>
      </c>
      <c r="F439" s="100">
        <f t="shared" si="23"/>
        <v>0.54236111111094942</v>
      </c>
    </row>
    <row r="440" spans="1:8">
      <c r="A440" s="37" t="s">
        <v>246</v>
      </c>
      <c r="B440" s="93">
        <v>45850</v>
      </c>
      <c r="C440" s="37" t="s">
        <v>353</v>
      </c>
      <c r="D440" s="93">
        <v>45850</v>
      </c>
      <c r="E440" s="37" t="s">
        <v>747</v>
      </c>
      <c r="F440" s="100">
        <f t="shared" si="23"/>
        <v>5.5555555562023073E-2</v>
      </c>
    </row>
    <row r="441" spans="1:8">
      <c r="A441" s="37" t="s">
        <v>227</v>
      </c>
      <c r="B441" s="93">
        <v>45850</v>
      </c>
      <c r="C441" s="37" t="s">
        <v>361</v>
      </c>
      <c r="D441" s="93">
        <v>45850</v>
      </c>
      <c r="E441" s="37" t="s">
        <v>336</v>
      </c>
      <c r="F441" s="100">
        <f t="shared" si="23"/>
        <v>1.0416666664241347E-2</v>
      </c>
    </row>
    <row r="442" spans="1:8">
      <c r="A442" s="37" t="s">
        <v>233</v>
      </c>
      <c r="B442" s="93">
        <v>45850</v>
      </c>
      <c r="C442" s="37" t="s">
        <v>411</v>
      </c>
      <c r="D442" s="93">
        <v>45850</v>
      </c>
      <c r="E442" s="37" t="s">
        <v>620</v>
      </c>
      <c r="F442" s="100">
        <f t="shared" si="23"/>
        <v>0.28402777777955635</v>
      </c>
    </row>
    <row r="443" spans="1:8">
      <c r="A443" s="37" t="s">
        <v>197</v>
      </c>
      <c r="B443" s="93">
        <v>45850</v>
      </c>
      <c r="C443" s="37" t="s">
        <v>292</v>
      </c>
      <c r="D443" s="93">
        <v>45850</v>
      </c>
      <c r="E443" s="37" t="s">
        <v>298</v>
      </c>
      <c r="F443" s="100">
        <f t="shared" si="23"/>
        <v>2.1527777775190771E-2</v>
      </c>
      <c r="G443" s="37" t="s">
        <v>9</v>
      </c>
      <c r="H443" s="94" t="s">
        <v>748</v>
      </c>
    </row>
    <row r="444" spans="1:8">
      <c r="A444" s="37" t="s">
        <v>230</v>
      </c>
      <c r="B444" s="93">
        <v>45850</v>
      </c>
      <c r="C444" s="37" t="s">
        <v>749</v>
      </c>
      <c r="D444" s="93">
        <v>45850</v>
      </c>
      <c r="E444" s="37" t="s">
        <v>420</v>
      </c>
      <c r="F444" s="100">
        <f t="shared" si="23"/>
        <v>1.319444445107365E-2</v>
      </c>
    </row>
    <row r="445" spans="1:8">
      <c r="A445" s="37" t="s">
        <v>246</v>
      </c>
      <c r="B445" s="93">
        <v>45850</v>
      </c>
      <c r="C445" s="37" t="s">
        <v>416</v>
      </c>
      <c r="D445" s="93">
        <v>45850</v>
      </c>
      <c r="E445" s="37" t="s">
        <v>600</v>
      </c>
      <c r="F445" s="100">
        <f t="shared" si="23"/>
        <v>1.3888888890505768E-2</v>
      </c>
    </row>
    <row r="446" spans="1:8">
      <c r="A446" s="37" t="s">
        <v>209</v>
      </c>
      <c r="B446" s="93">
        <v>45850</v>
      </c>
      <c r="C446" s="37" t="s">
        <v>369</v>
      </c>
      <c r="D446" s="93">
        <v>45850</v>
      </c>
      <c r="E446" s="37" t="s">
        <v>479</v>
      </c>
      <c r="F446" s="100">
        <f t="shared" si="23"/>
        <v>3.888888889196096E-2</v>
      </c>
    </row>
    <row r="447" spans="1:8">
      <c r="A447" s="37" t="s">
        <v>197</v>
      </c>
      <c r="B447" s="93">
        <v>45850</v>
      </c>
      <c r="C447" s="37" t="s">
        <v>298</v>
      </c>
      <c r="D447" s="93">
        <v>45850</v>
      </c>
      <c r="E447" s="37" t="s">
        <v>294</v>
      </c>
      <c r="F447" s="100">
        <f t="shared" si="23"/>
        <v>1.8055555556202307E-2</v>
      </c>
      <c r="H447" s="94" t="s">
        <v>427</v>
      </c>
    </row>
    <row r="448" spans="1:8">
      <c r="A448" s="37" t="s">
        <v>240</v>
      </c>
      <c r="B448" s="93">
        <v>45850</v>
      </c>
      <c r="C448" s="37" t="s">
        <v>248</v>
      </c>
      <c r="D448" s="93">
        <v>45850</v>
      </c>
      <c r="E448" s="37" t="s">
        <v>656</v>
      </c>
      <c r="F448" s="100">
        <f t="shared" si="23"/>
        <v>4.1666666671517305E-2</v>
      </c>
    </row>
    <row r="449" spans="1:8">
      <c r="A449" s="37" t="s">
        <v>246</v>
      </c>
      <c r="B449" s="93">
        <v>45850</v>
      </c>
      <c r="C449" s="37" t="s">
        <v>574</v>
      </c>
      <c r="D449" s="93">
        <v>45850</v>
      </c>
      <c r="E449" s="37" t="s">
        <v>750</v>
      </c>
      <c r="F449" s="100">
        <f t="shared" si="23"/>
        <v>4.3749999997089617E-2</v>
      </c>
    </row>
    <row r="450" spans="1:8">
      <c r="A450" s="37" t="s">
        <v>227</v>
      </c>
      <c r="B450" s="93">
        <v>45850</v>
      </c>
      <c r="C450" s="37" t="s">
        <v>273</v>
      </c>
      <c r="D450" s="93">
        <v>45850</v>
      </c>
      <c r="E450" s="37" t="s">
        <v>751</v>
      </c>
      <c r="F450" s="100">
        <f t="shared" si="23"/>
        <v>2.9861111113859806E-2</v>
      </c>
    </row>
    <row r="451" spans="1:8">
      <c r="A451" s="37" t="s">
        <v>230</v>
      </c>
      <c r="B451" s="93">
        <v>45850</v>
      </c>
      <c r="C451" s="37" t="s">
        <v>375</v>
      </c>
      <c r="D451" s="93">
        <v>45850</v>
      </c>
      <c r="E451" s="37" t="s">
        <v>490</v>
      </c>
      <c r="F451" s="100">
        <f t="shared" si="23"/>
        <v>3.2638888893416151E-2</v>
      </c>
    </row>
    <row r="452" spans="1:8">
      <c r="A452" s="37" t="s">
        <v>197</v>
      </c>
      <c r="B452" s="93">
        <v>45850</v>
      </c>
      <c r="C452" s="37" t="s">
        <v>294</v>
      </c>
      <c r="D452" s="93">
        <v>45850</v>
      </c>
      <c r="E452" s="37" t="s">
        <v>654</v>
      </c>
      <c r="F452" s="100">
        <f t="shared" si="23"/>
        <v>4.3055555557657499E-2</v>
      </c>
      <c r="G452" s="37" t="s">
        <v>9</v>
      </c>
      <c r="H452" s="94" t="s">
        <v>752</v>
      </c>
    </row>
    <row r="453" spans="1:8">
      <c r="A453" s="37" t="s">
        <v>297</v>
      </c>
      <c r="B453" s="93">
        <v>45850</v>
      </c>
      <c r="C453" s="37" t="s">
        <v>753</v>
      </c>
      <c r="D453" s="93">
        <v>45850</v>
      </c>
      <c r="E453" s="37" t="s">
        <v>493</v>
      </c>
      <c r="F453" s="100">
        <f t="shared" si="23"/>
        <v>2.3611111115314998E-2</v>
      </c>
    </row>
    <row r="454" spans="1:8">
      <c r="A454" s="37" t="s">
        <v>254</v>
      </c>
      <c r="B454" s="93">
        <v>45850</v>
      </c>
      <c r="C454" s="37" t="s">
        <v>304</v>
      </c>
      <c r="D454" s="93">
        <v>45850</v>
      </c>
      <c r="E454" s="37" t="s">
        <v>754</v>
      </c>
      <c r="F454" s="100">
        <f t="shared" si="23"/>
        <v>0.56319444443943212</v>
      </c>
    </row>
    <row r="455" spans="1:8">
      <c r="A455" s="37" t="s">
        <v>251</v>
      </c>
      <c r="B455" s="93">
        <v>45850</v>
      </c>
      <c r="C455" s="37" t="s">
        <v>306</v>
      </c>
      <c r="D455" s="93">
        <v>45850</v>
      </c>
      <c r="E455" s="37" t="s">
        <v>599</v>
      </c>
      <c r="F455" s="100">
        <f t="shared" si="23"/>
        <v>0.13958333332993789</v>
      </c>
      <c r="G455" s="37">
        <v>0</v>
      </c>
    </row>
    <row r="456" spans="1:8">
      <c r="A456" s="37" t="s">
        <v>251</v>
      </c>
      <c r="B456" s="93">
        <v>45850</v>
      </c>
      <c r="C456" s="37" t="s">
        <v>599</v>
      </c>
      <c r="D456" s="93">
        <v>45850</v>
      </c>
      <c r="E456" s="37" t="s">
        <v>755</v>
      </c>
      <c r="F456" s="100">
        <f t="shared" si="23"/>
        <v>0.26249999999708962</v>
      </c>
      <c r="G456" s="37" t="s">
        <v>9</v>
      </c>
      <c r="H456" s="94" t="s">
        <v>756</v>
      </c>
    </row>
    <row r="457" spans="1:8">
      <c r="A457" s="37" t="s">
        <v>209</v>
      </c>
      <c r="B457" s="93">
        <v>45850</v>
      </c>
      <c r="C457" s="37" t="s">
        <v>479</v>
      </c>
      <c r="D457" s="93">
        <v>45851</v>
      </c>
      <c r="E457" s="37" t="s">
        <v>757</v>
      </c>
      <c r="F457" s="100">
        <f t="shared" si="23"/>
        <v>1.2527777777722804</v>
      </c>
      <c r="G457" s="37" t="s">
        <v>9</v>
      </c>
      <c r="H457" s="23" t="s">
        <v>758</v>
      </c>
    </row>
    <row r="458" spans="1:8">
      <c r="A458" s="37" t="s">
        <v>326</v>
      </c>
      <c r="B458" s="93">
        <v>45850</v>
      </c>
      <c r="C458" s="37" t="s">
        <v>486</v>
      </c>
      <c r="D458" s="93">
        <v>45850</v>
      </c>
      <c r="E458" s="37" t="s">
        <v>300</v>
      </c>
      <c r="F458" s="100">
        <f t="shared" si="23"/>
        <v>0.57777777777664596</v>
      </c>
    </row>
    <row r="459" spans="1:8">
      <c r="A459" s="37" t="s">
        <v>197</v>
      </c>
      <c r="B459" s="93">
        <v>45850</v>
      </c>
      <c r="C459" s="37" t="s">
        <v>654</v>
      </c>
      <c r="D459" s="93">
        <v>45850</v>
      </c>
      <c r="E459" s="37" t="s">
        <v>759</v>
      </c>
      <c r="F459" s="100">
        <f t="shared" si="23"/>
        <v>0.48402777777664596</v>
      </c>
    </row>
    <row r="460" spans="1:8">
      <c r="A460" s="37" t="s">
        <v>235</v>
      </c>
      <c r="B460" s="93">
        <v>45850</v>
      </c>
      <c r="C460" s="37" t="s">
        <v>236</v>
      </c>
      <c r="D460" s="93">
        <v>45850</v>
      </c>
      <c r="E460" s="37" t="s">
        <v>277</v>
      </c>
      <c r="F460" s="100">
        <f t="shared" si="23"/>
        <v>0.50069444443943212</v>
      </c>
    </row>
    <row r="461" spans="1:8">
      <c r="A461" s="37" t="s">
        <v>227</v>
      </c>
      <c r="B461" s="93">
        <v>45850</v>
      </c>
      <c r="C461" s="37" t="s">
        <v>658</v>
      </c>
      <c r="D461" s="93">
        <v>45850</v>
      </c>
      <c r="E461" s="37" t="s">
        <v>494</v>
      </c>
      <c r="F461" s="100">
        <f t="shared" si="23"/>
        <v>2.5694444448163267E-2</v>
      </c>
    </row>
    <row r="462" spans="1:8">
      <c r="A462" s="37" t="s">
        <v>200</v>
      </c>
      <c r="B462" s="93">
        <v>45850</v>
      </c>
      <c r="C462" s="37" t="s">
        <v>421</v>
      </c>
      <c r="D462" s="93">
        <v>45850</v>
      </c>
      <c r="E462" s="37" t="s">
        <v>609</v>
      </c>
      <c r="F462" s="100">
        <f t="shared" si="23"/>
        <v>4.9999999995634425E-2</v>
      </c>
      <c r="G462" s="37" t="s">
        <v>9</v>
      </c>
    </row>
    <row r="463" spans="1:8">
      <c r="A463" s="37" t="s">
        <v>230</v>
      </c>
      <c r="B463" s="93">
        <v>45850</v>
      </c>
      <c r="C463" s="37" t="s">
        <v>760</v>
      </c>
      <c r="D463" s="93">
        <v>45850</v>
      </c>
      <c r="E463" s="37" t="s">
        <v>525</v>
      </c>
      <c r="F463" s="100">
        <f t="shared" si="23"/>
        <v>6.0416666667151731E-2</v>
      </c>
    </row>
    <row r="464" spans="1:8">
      <c r="A464" s="37" t="s">
        <v>240</v>
      </c>
      <c r="B464" s="93">
        <v>45850</v>
      </c>
      <c r="C464" s="37" t="s">
        <v>761</v>
      </c>
      <c r="D464" s="93">
        <v>45850</v>
      </c>
      <c r="E464" s="37" t="s">
        <v>384</v>
      </c>
      <c r="F464" s="100">
        <f t="shared" ref="F464:F495" si="24">(D464 + TIME(LEFT(E464, 2), MID(E464, 3, 2), 0)) - (B464 + TIME(LEFT(C464, 2), MID(C464, 3, 2), 0))</f>
        <v>5.8333333334303461E-2</v>
      </c>
    </row>
    <row r="465" spans="1:8">
      <c r="A465" s="37" t="s">
        <v>246</v>
      </c>
      <c r="B465" s="93">
        <v>45850</v>
      </c>
      <c r="C465" s="37" t="s">
        <v>582</v>
      </c>
      <c r="D465" s="93">
        <v>45850</v>
      </c>
      <c r="E465" s="37" t="s">
        <v>217</v>
      </c>
      <c r="F465" s="100">
        <f t="shared" si="24"/>
        <v>3.0555555560567882E-2</v>
      </c>
    </row>
    <row r="466" spans="1:8">
      <c r="A466" s="37" t="s">
        <v>200</v>
      </c>
      <c r="B466" s="93">
        <v>45850</v>
      </c>
      <c r="C466" s="37" t="s">
        <v>609</v>
      </c>
      <c r="D466" s="93">
        <v>45851</v>
      </c>
      <c r="E466" s="37" t="s">
        <v>762</v>
      </c>
      <c r="F466" s="100">
        <f t="shared" si="24"/>
        <v>0.57083333333866904</v>
      </c>
    </row>
    <row r="467" spans="1:8">
      <c r="A467" s="37" t="s">
        <v>222</v>
      </c>
      <c r="B467" s="93">
        <v>45850</v>
      </c>
      <c r="C467" s="37" t="s">
        <v>217</v>
      </c>
      <c r="D467" s="93">
        <v>45851</v>
      </c>
      <c r="E467" s="37" t="s">
        <v>218</v>
      </c>
      <c r="F467" s="100">
        <f t="shared" si="24"/>
        <v>0.50069444443943212</v>
      </c>
    </row>
    <row r="468" spans="1:8">
      <c r="A468" s="37" t="s">
        <v>206</v>
      </c>
      <c r="B468" s="93">
        <v>45850</v>
      </c>
      <c r="C468" s="37" t="s">
        <v>325</v>
      </c>
      <c r="D468" s="93">
        <v>45851</v>
      </c>
      <c r="E468" s="37" t="s">
        <v>278</v>
      </c>
      <c r="F468" s="100">
        <f t="shared" si="24"/>
        <v>0.50902777777810115</v>
      </c>
    </row>
    <row r="469" spans="1:8">
      <c r="A469" s="37" t="s">
        <v>246</v>
      </c>
      <c r="B469" s="93">
        <v>45850</v>
      </c>
      <c r="C469" s="37" t="s">
        <v>763</v>
      </c>
      <c r="D469" s="93">
        <v>45850</v>
      </c>
      <c r="E469" s="37" t="s">
        <v>535</v>
      </c>
      <c r="F469" s="100">
        <f t="shared" si="24"/>
        <v>1.6666666670062114E-2</v>
      </c>
    </row>
    <row r="470" spans="1:8">
      <c r="A470" s="37" t="s">
        <v>227</v>
      </c>
      <c r="B470" s="93">
        <v>45850</v>
      </c>
      <c r="C470" s="37" t="s">
        <v>764</v>
      </c>
      <c r="D470" s="93">
        <v>45850</v>
      </c>
      <c r="E470" s="37" t="s">
        <v>765</v>
      </c>
      <c r="F470" s="100">
        <f t="shared" si="24"/>
        <v>3.2638888886140194E-2</v>
      </c>
    </row>
    <row r="471" spans="1:8">
      <c r="A471" s="37" t="s">
        <v>230</v>
      </c>
      <c r="B471" s="93">
        <v>45850</v>
      </c>
      <c r="C471" s="37" t="s">
        <v>766</v>
      </c>
      <c r="D471" s="93">
        <v>45850</v>
      </c>
      <c r="E471" s="37" t="s">
        <v>439</v>
      </c>
      <c r="F471" s="100">
        <f t="shared" si="24"/>
        <v>3.4027777779556345E-2</v>
      </c>
    </row>
    <row r="472" spans="1:8">
      <c r="A472" s="37" t="s">
        <v>240</v>
      </c>
      <c r="B472" s="93">
        <v>45850</v>
      </c>
      <c r="C472" s="37" t="s">
        <v>594</v>
      </c>
      <c r="D472" s="93">
        <v>45850</v>
      </c>
      <c r="E472" s="37" t="s">
        <v>441</v>
      </c>
      <c r="F472" s="100">
        <f t="shared" si="24"/>
        <v>3.8194444445252884E-2</v>
      </c>
    </row>
    <row r="473" spans="1:8">
      <c r="A473" s="37" t="s">
        <v>246</v>
      </c>
      <c r="B473" s="93">
        <v>45850</v>
      </c>
      <c r="C473" s="37" t="s">
        <v>520</v>
      </c>
      <c r="D473" s="93">
        <v>45850</v>
      </c>
      <c r="E473" s="37" t="s">
        <v>767</v>
      </c>
      <c r="F473" s="100">
        <f t="shared" si="24"/>
        <v>3.7499999998544808E-2</v>
      </c>
    </row>
    <row r="474" spans="1:8">
      <c r="A474" s="37" t="s">
        <v>251</v>
      </c>
      <c r="B474" s="93">
        <v>45850</v>
      </c>
      <c r="C474" s="37" t="s">
        <v>768</v>
      </c>
      <c r="D474" s="93">
        <v>45851</v>
      </c>
      <c r="E474" s="37" t="s">
        <v>769</v>
      </c>
      <c r="F474" s="100">
        <f t="shared" si="24"/>
        <v>0.11597222222189885</v>
      </c>
    </row>
    <row r="475" spans="1:8">
      <c r="A475" s="37" t="s">
        <v>227</v>
      </c>
      <c r="B475" s="93">
        <v>45850</v>
      </c>
      <c r="C475" s="37" t="s">
        <v>770</v>
      </c>
      <c r="D475" s="93">
        <v>45850</v>
      </c>
      <c r="E475" s="37" t="s">
        <v>256</v>
      </c>
      <c r="F475" s="100">
        <f t="shared" si="24"/>
        <v>7.6388888846850023E-3</v>
      </c>
    </row>
    <row r="476" spans="1:8">
      <c r="A476" s="37" t="s">
        <v>230</v>
      </c>
      <c r="B476" s="93">
        <v>45850</v>
      </c>
      <c r="C476" s="37" t="s">
        <v>770</v>
      </c>
      <c r="D476" s="93">
        <v>45850</v>
      </c>
      <c r="E476" s="37" t="s">
        <v>703</v>
      </c>
      <c r="F476" s="100">
        <f t="shared" si="24"/>
        <v>1.1805555550381541E-2</v>
      </c>
    </row>
    <row r="477" spans="1:8">
      <c r="A477" s="37" t="s">
        <v>197</v>
      </c>
      <c r="B477" s="93">
        <v>45850</v>
      </c>
      <c r="C477" s="37" t="s">
        <v>759</v>
      </c>
      <c r="D477" s="93">
        <v>45851</v>
      </c>
      <c r="E477" s="37" t="s">
        <v>771</v>
      </c>
      <c r="F477" s="100">
        <f t="shared" si="24"/>
        <v>0.14236111110949423</v>
      </c>
      <c r="G477" s="37" t="s">
        <v>9</v>
      </c>
      <c r="H477" s="94" t="s">
        <v>772</v>
      </c>
    </row>
    <row r="478" spans="1:8">
      <c r="A478" s="37" t="s">
        <v>216</v>
      </c>
      <c r="B478" s="93">
        <v>45850</v>
      </c>
      <c r="C478" s="37" t="s">
        <v>220</v>
      </c>
      <c r="D478" s="93">
        <v>45851</v>
      </c>
      <c r="E478" s="37" t="s">
        <v>215</v>
      </c>
      <c r="F478" s="100">
        <f t="shared" si="24"/>
        <v>0.50069444443943212</v>
      </c>
    </row>
    <row r="479" spans="1:8">
      <c r="A479" s="37" t="s">
        <v>219</v>
      </c>
      <c r="B479" s="93">
        <v>45851</v>
      </c>
      <c r="C479" s="37" t="s">
        <v>223</v>
      </c>
      <c r="D479" s="93">
        <v>45851</v>
      </c>
      <c r="E479" s="37" t="s">
        <v>367</v>
      </c>
      <c r="F479" s="100">
        <f t="shared" si="24"/>
        <v>0.50069444443943212</v>
      </c>
    </row>
    <row r="480" spans="1:8">
      <c r="A480" s="37" t="s">
        <v>197</v>
      </c>
      <c r="B480" s="93">
        <v>45851</v>
      </c>
      <c r="C480" s="37" t="s">
        <v>771</v>
      </c>
      <c r="D480" s="93">
        <v>45851</v>
      </c>
      <c r="E480" s="37" t="s">
        <v>455</v>
      </c>
      <c r="F480" s="100">
        <f t="shared" si="24"/>
        <v>0.86180555555620231</v>
      </c>
    </row>
    <row r="481" spans="1:7">
      <c r="A481" s="37" t="s">
        <v>213</v>
      </c>
      <c r="B481" s="93">
        <v>45850</v>
      </c>
      <c r="C481" s="37" t="s">
        <v>220</v>
      </c>
      <c r="D481" s="93">
        <v>45851</v>
      </c>
      <c r="E481" s="37" t="s">
        <v>215</v>
      </c>
      <c r="F481" s="100">
        <f t="shared" si="24"/>
        <v>0.50069444443943212</v>
      </c>
    </row>
    <row r="482" spans="1:7">
      <c r="A482" s="37" t="s">
        <v>235</v>
      </c>
      <c r="B482" s="93">
        <v>45851</v>
      </c>
      <c r="C482" s="37" t="s">
        <v>236</v>
      </c>
      <c r="D482" s="93">
        <v>45851</v>
      </c>
      <c r="E482" s="37" t="s">
        <v>277</v>
      </c>
      <c r="F482" s="100">
        <f t="shared" si="24"/>
        <v>0.50069444443943212</v>
      </c>
    </row>
    <row r="483" spans="1:7">
      <c r="A483" s="37" t="s">
        <v>233</v>
      </c>
      <c r="B483" s="93">
        <v>45851</v>
      </c>
      <c r="C483" s="37" t="s">
        <v>773</v>
      </c>
      <c r="D483" s="93">
        <v>45851</v>
      </c>
      <c r="E483" s="37" t="s">
        <v>774</v>
      </c>
      <c r="F483" s="100">
        <f t="shared" si="24"/>
        <v>0.29444444444379769</v>
      </c>
    </row>
    <row r="484" spans="1:7">
      <c r="A484" s="37" t="s">
        <v>227</v>
      </c>
      <c r="B484" s="93">
        <v>45851</v>
      </c>
      <c r="C484" s="37" t="s">
        <v>364</v>
      </c>
      <c r="D484" s="93">
        <v>45851</v>
      </c>
      <c r="E484" s="37" t="s">
        <v>189</v>
      </c>
      <c r="F484" s="100">
        <f t="shared" si="24"/>
        <v>3.888888889196096E-2</v>
      </c>
    </row>
    <row r="485" spans="1:7">
      <c r="A485" s="37" t="s">
        <v>230</v>
      </c>
      <c r="B485" s="93">
        <v>45851</v>
      </c>
      <c r="C485" s="37" t="s">
        <v>721</v>
      </c>
      <c r="D485" s="93">
        <v>45851</v>
      </c>
      <c r="E485" s="37" t="s">
        <v>576</v>
      </c>
      <c r="F485" s="100">
        <f t="shared" si="24"/>
        <v>3.4027777772280388E-2</v>
      </c>
    </row>
    <row r="486" spans="1:7">
      <c r="A486" s="37" t="s">
        <v>240</v>
      </c>
      <c r="B486" s="93">
        <v>45851</v>
      </c>
      <c r="C486" s="37" t="s">
        <v>753</v>
      </c>
      <c r="D486" s="93">
        <v>45851</v>
      </c>
      <c r="E486" s="37" t="s">
        <v>489</v>
      </c>
      <c r="F486" s="100">
        <f t="shared" si="24"/>
        <v>4.8611111116770189E-2</v>
      </c>
    </row>
    <row r="487" spans="1:7">
      <c r="A487" s="37" t="s">
        <v>200</v>
      </c>
      <c r="B487" s="93">
        <v>45851</v>
      </c>
      <c r="C487" s="37" t="s">
        <v>762</v>
      </c>
      <c r="D487" s="93">
        <v>45851</v>
      </c>
      <c r="E487" s="37" t="s">
        <v>775</v>
      </c>
      <c r="F487" s="100">
        <f t="shared" si="24"/>
        <v>0.32152777777810115</v>
      </c>
      <c r="G487" s="37" t="s">
        <v>9</v>
      </c>
    </row>
    <row r="488" spans="1:7">
      <c r="A488" s="37" t="s">
        <v>200</v>
      </c>
      <c r="B488" s="93">
        <v>45851</v>
      </c>
      <c r="C488" s="37" t="s">
        <v>775</v>
      </c>
      <c r="D488" s="93">
        <v>45851</v>
      </c>
      <c r="E488" s="37" t="s">
        <v>406</v>
      </c>
      <c r="F488" s="100">
        <f t="shared" si="24"/>
        <v>2.7777777722803876E-3</v>
      </c>
      <c r="G488" s="37" t="s">
        <v>9</v>
      </c>
    </row>
    <row r="489" spans="1:7">
      <c r="A489" s="37" t="s">
        <v>200</v>
      </c>
      <c r="B489" s="93">
        <v>45851</v>
      </c>
      <c r="C489" s="37" t="s">
        <v>406</v>
      </c>
      <c r="D489" s="93">
        <v>45851</v>
      </c>
      <c r="E489" s="37" t="s">
        <v>680</v>
      </c>
      <c r="F489" s="100">
        <f t="shared" si="24"/>
        <v>9.8611111112404615E-2</v>
      </c>
      <c r="G489" s="37" t="s">
        <v>9</v>
      </c>
    </row>
    <row r="490" spans="1:7">
      <c r="A490" s="37" t="s">
        <v>246</v>
      </c>
      <c r="B490" s="93">
        <v>45851</v>
      </c>
      <c r="C490" s="37" t="s">
        <v>776</v>
      </c>
      <c r="D490" s="93">
        <v>45851</v>
      </c>
      <c r="E490" s="37" t="s">
        <v>611</v>
      </c>
      <c r="F490" s="100">
        <f t="shared" si="24"/>
        <v>3.6111111112404615E-2</v>
      </c>
    </row>
    <row r="491" spans="1:7">
      <c r="A491" s="37" t="s">
        <v>246</v>
      </c>
      <c r="B491" s="93">
        <v>45851</v>
      </c>
      <c r="C491" s="37" t="s">
        <v>659</v>
      </c>
      <c r="D491" s="93">
        <v>45851</v>
      </c>
      <c r="E491" s="37" t="s">
        <v>689</v>
      </c>
      <c r="F491" s="100">
        <f t="shared" si="24"/>
        <v>3.0555555560567882E-2</v>
      </c>
    </row>
    <row r="492" spans="1:7">
      <c r="A492" s="37" t="s">
        <v>326</v>
      </c>
      <c r="B492" s="93">
        <v>45851</v>
      </c>
      <c r="C492" s="37" t="s">
        <v>777</v>
      </c>
      <c r="D492" s="93">
        <v>45851</v>
      </c>
      <c r="E492" s="37" t="s">
        <v>318</v>
      </c>
      <c r="F492" s="100">
        <f t="shared" si="24"/>
        <v>0.14027777777664596</v>
      </c>
    </row>
    <row r="493" spans="1:7">
      <c r="A493" s="37" t="s">
        <v>297</v>
      </c>
      <c r="B493" s="93">
        <v>45851</v>
      </c>
      <c r="C493" s="37" t="s">
        <v>777</v>
      </c>
      <c r="D493" s="93">
        <v>45851</v>
      </c>
      <c r="E493" s="37" t="s">
        <v>653</v>
      </c>
      <c r="F493" s="100">
        <f t="shared" si="24"/>
        <v>5.5555555518367328E-3</v>
      </c>
    </row>
    <row r="494" spans="1:7">
      <c r="A494" s="37" t="s">
        <v>227</v>
      </c>
      <c r="B494" s="93">
        <v>45851</v>
      </c>
      <c r="C494" s="37" t="s">
        <v>778</v>
      </c>
      <c r="D494" s="93">
        <v>45851</v>
      </c>
      <c r="E494" s="37" t="s">
        <v>614</v>
      </c>
      <c r="F494" s="100">
        <f t="shared" si="24"/>
        <v>1.8749999995634425E-2</v>
      </c>
    </row>
    <row r="495" spans="1:7">
      <c r="A495" s="37" t="s">
        <v>251</v>
      </c>
      <c r="B495" s="93">
        <v>45851</v>
      </c>
      <c r="C495" s="37" t="s">
        <v>779</v>
      </c>
      <c r="D495" s="93">
        <v>45851</v>
      </c>
      <c r="E495" s="37" t="s">
        <v>780</v>
      </c>
      <c r="F495" s="100">
        <f t="shared" si="24"/>
        <v>0.18055555555474712</v>
      </c>
    </row>
    <row r="496" spans="1:7">
      <c r="A496" s="37" t="s">
        <v>230</v>
      </c>
      <c r="B496" s="93">
        <v>45851</v>
      </c>
      <c r="C496" s="37" t="s">
        <v>727</v>
      </c>
      <c r="D496" s="93">
        <v>45851</v>
      </c>
      <c r="E496" s="37" t="s">
        <v>321</v>
      </c>
      <c r="F496" s="100">
        <f t="shared" ref="F496:F504" si="25">(D496 + TIME(LEFT(E496, 2), MID(E496, 3, 2), 0)) - (B496 + TIME(LEFT(C496, 2), MID(C496, 3, 2), 0))</f>
        <v>7.4999999997089617E-2</v>
      </c>
    </row>
    <row r="497" spans="1:8">
      <c r="A497" s="37" t="s">
        <v>240</v>
      </c>
      <c r="B497" s="93">
        <v>45851</v>
      </c>
      <c r="C497" s="37" t="s">
        <v>580</v>
      </c>
      <c r="D497" s="93">
        <v>45851</v>
      </c>
      <c r="E497" s="37" t="s">
        <v>781</v>
      </c>
      <c r="F497" s="100">
        <f t="shared" si="25"/>
        <v>5.694444444088731E-2</v>
      </c>
    </row>
    <row r="498" spans="1:8">
      <c r="A498" s="37" t="s">
        <v>200</v>
      </c>
      <c r="B498" s="93">
        <v>45851</v>
      </c>
      <c r="C498" s="37" t="s">
        <v>680</v>
      </c>
      <c r="D498" s="93">
        <v>45851</v>
      </c>
      <c r="E498" s="37" t="s">
        <v>782</v>
      </c>
      <c r="F498" s="100">
        <f t="shared" si="25"/>
        <v>4.8611111124046147E-3</v>
      </c>
      <c r="H498" s="94" t="s">
        <v>427</v>
      </c>
    </row>
    <row r="499" spans="1:8">
      <c r="A499" s="37" t="s">
        <v>200</v>
      </c>
      <c r="B499" s="93">
        <v>45851</v>
      </c>
      <c r="C499" s="37" t="s">
        <v>782</v>
      </c>
      <c r="D499" s="93">
        <v>45851</v>
      </c>
      <c r="E499" s="37" t="s">
        <v>573</v>
      </c>
      <c r="F499" s="100">
        <f t="shared" si="25"/>
        <v>2.569444444088731E-2</v>
      </c>
      <c r="G499" s="37" t="s">
        <v>9</v>
      </c>
      <c r="H499" s="94" t="s">
        <v>783</v>
      </c>
    </row>
    <row r="500" spans="1:8">
      <c r="A500" s="37" t="s">
        <v>227</v>
      </c>
      <c r="B500" s="93">
        <v>45851</v>
      </c>
      <c r="C500" s="37" t="s">
        <v>686</v>
      </c>
      <c r="D500" s="93">
        <v>45851</v>
      </c>
      <c r="E500" s="37" t="s">
        <v>318</v>
      </c>
      <c r="F500" s="100">
        <f t="shared" si="25"/>
        <v>2.6388888887595385E-2</v>
      </c>
    </row>
    <row r="501" spans="1:8">
      <c r="A501" s="37" t="s">
        <v>222</v>
      </c>
      <c r="B501" s="93">
        <v>45851</v>
      </c>
      <c r="C501" s="37" t="s">
        <v>236</v>
      </c>
      <c r="D501" s="93">
        <v>45851</v>
      </c>
      <c r="E501" s="37" t="s">
        <v>277</v>
      </c>
      <c r="F501" s="100">
        <f t="shared" si="25"/>
        <v>0.50069444443943212</v>
      </c>
    </row>
    <row r="502" spans="1:8" ht="27.6">
      <c r="A502" s="37" t="s">
        <v>200</v>
      </c>
      <c r="B502" s="93">
        <v>45851</v>
      </c>
      <c r="C502" s="37" t="s">
        <v>573</v>
      </c>
      <c r="D502" s="93">
        <v>45851</v>
      </c>
      <c r="E502" s="37" t="s">
        <v>784</v>
      </c>
      <c r="F502" s="100">
        <f t="shared" si="25"/>
        <v>3.5416666672972497E-2</v>
      </c>
      <c r="H502" s="94" t="s">
        <v>785</v>
      </c>
    </row>
    <row r="503" spans="1:8">
      <c r="A503" s="37" t="s">
        <v>216</v>
      </c>
      <c r="B503" s="93">
        <v>45851</v>
      </c>
      <c r="C503" s="37" t="s">
        <v>217</v>
      </c>
      <c r="D503" s="93">
        <v>45852</v>
      </c>
      <c r="E503" s="37" t="s">
        <v>218</v>
      </c>
      <c r="F503" s="100">
        <f t="shared" si="25"/>
        <v>0.50069444443943212</v>
      </c>
    </row>
    <row r="504" spans="1:8">
      <c r="A504" s="37" t="s">
        <v>254</v>
      </c>
      <c r="B504" s="93">
        <v>45851</v>
      </c>
      <c r="C504" s="37" t="s">
        <v>507</v>
      </c>
      <c r="D504" s="93">
        <v>45851</v>
      </c>
      <c r="E504" s="37" t="s">
        <v>786</v>
      </c>
      <c r="F504" s="100">
        <f t="shared" si="25"/>
        <v>0.18541666666715173</v>
      </c>
    </row>
    <row r="505" spans="1:8" ht="27.6">
      <c r="A505" s="37" t="s">
        <v>326</v>
      </c>
      <c r="B505" s="93">
        <v>45851</v>
      </c>
      <c r="C505" s="37" t="s">
        <v>318</v>
      </c>
      <c r="D505" s="93">
        <v>45863</v>
      </c>
      <c r="E505" s="37" t="s">
        <v>325</v>
      </c>
      <c r="F505" s="100">
        <f>(D505 + TIME(LEFT(E505, 2), MID(E505, 3, 2), 0)) - (B505 + TIME(LEFT(C505, 2), MID(C505, 3, 2), 0))</f>
        <v>12.059722222220444</v>
      </c>
      <c r="G505" s="37" t="s">
        <v>9</v>
      </c>
      <c r="H505" s="94" t="s">
        <v>787</v>
      </c>
    </row>
    <row r="506" spans="1:8">
      <c r="A506" s="37" t="s">
        <v>200</v>
      </c>
      <c r="B506" s="93">
        <v>45851</v>
      </c>
      <c r="C506" s="37" t="s">
        <v>784</v>
      </c>
      <c r="D506" s="93">
        <v>45851</v>
      </c>
      <c r="E506" s="37" t="s">
        <v>788</v>
      </c>
      <c r="F506" s="100">
        <f t="shared" ref="F506:F520" si="26">(D506 + TIME(LEFT(E506, 2), MID(E506, 3, 2), 0)) - (B506 + TIME(LEFT(C506, 2), MID(C506, 3, 2), 0))</f>
        <v>0.43055555555474712</v>
      </c>
    </row>
    <row r="507" spans="1:8">
      <c r="A507" s="37" t="s">
        <v>206</v>
      </c>
      <c r="B507" s="93">
        <v>45851</v>
      </c>
      <c r="C507" s="37" t="s">
        <v>789</v>
      </c>
      <c r="D507" s="93">
        <v>45852</v>
      </c>
      <c r="E507" s="37" t="s">
        <v>790</v>
      </c>
      <c r="F507" s="100">
        <f t="shared" si="26"/>
        <v>0.54027777777810115</v>
      </c>
    </row>
    <row r="508" spans="1:8">
      <c r="A508" s="37" t="s">
        <v>227</v>
      </c>
      <c r="B508" s="93">
        <v>45851</v>
      </c>
      <c r="C508" s="37" t="s">
        <v>791</v>
      </c>
      <c r="D508" s="93">
        <v>45851</v>
      </c>
      <c r="E508" s="37" t="s">
        <v>535</v>
      </c>
      <c r="F508" s="100">
        <f t="shared" si="26"/>
        <v>4.2361111110949423E-2</v>
      </c>
    </row>
    <row r="509" spans="1:8">
      <c r="A509" s="37" t="s">
        <v>209</v>
      </c>
      <c r="B509" s="93">
        <v>45851</v>
      </c>
      <c r="C509" s="37" t="s">
        <v>757</v>
      </c>
      <c r="D509" s="93">
        <v>45851</v>
      </c>
      <c r="E509" s="37" t="s">
        <v>792</v>
      </c>
      <c r="F509" s="100">
        <f t="shared" si="26"/>
        <v>4.0972222224809229E-2</v>
      </c>
      <c r="H509" s="94" t="s">
        <v>335</v>
      </c>
    </row>
    <row r="510" spans="1:8">
      <c r="A510" s="37" t="s">
        <v>209</v>
      </c>
      <c r="B510" s="93">
        <v>45851</v>
      </c>
      <c r="C510" s="37" t="s">
        <v>792</v>
      </c>
      <c r="D510" s="93">
        <v>45852</v>
      </c>
      <c r="E510" s="37" t="s">
        <v>793</v>
      </c>
      <c r="F510" s="100">
        <f t="shared" si="26"/>
        <v>0.33125000000291038</v>
      </c>
    </row>
    <row r="511" spans="1:8">
      <c r="A511" s="37" t="s">
        <v>230</v>
      </c>
      <c r="B511" s="93">
        <v>45851</v>
      </c>
      <c r="C511" s="37" t="s">
        <v>543</v>
      </c>
      <c r="D511" s="93">
        <v>45851</v>
      </c>
      <c r="E511" s="37" t="s">
        <v>794</v>
      </c>
      <c r="F511" s="100">
        <f t="shared" si="26"/>
        <v>5.9722222227719612E-2</v>
      </c>
    </row>
    <row r="512" spans="1:8">
      <c r="A512" s="37" t="s">
        <v>240</v>
      </c>
      <c r="B512" s="93">
        <v>45851</v>
      </c>
      <c r="C512" s="37" t="s">
        <v>285</v>
      </c>
      <c r="D512" s="93">
        <v>45851</v>
      </c>
      <c r="E512" s="37" t="s">
        <v>725</v>
      </c>
      <c r="F512" s="100">
        <f t="shared" si="26"/>
        <v>6.805555555911269E-2</v>
      </c>
    </row>
    <row r="513" spans="1:8">
      <c r="A513" s="37" t="s">
        <v>219</v>
      </c>
      <c r="B513" s="93">
        <v>45851</v>
      </c>
      <c r="C513" s="37" t="s">
        <v>220</v>
      </c>
      <c r="D513" s="93">
        <v>45852</v>
      </c>
      <c r="E513" s="37" t="s">
        <v>215</v>
      </c>
      <c r="F513" s="100">
        <f t="shared" si="26"/>
        <v>0.50069444443943212</v>
      </c>
    </row>
    <row r="514" spans="1:8">
      <c r="A514" s="37" t="s">
        <v>213</v>
      </c>
      <c r="B514" s="93">
        <v>45851</v>
      </c>
      <c r="C514" s="37" t="s">
        <v>220</v>
      </c>
      <c r="D514" s="93">
        <v>45852</v>
      </c>
      <c r="E514" s="37" t="s">
        <v>215</v>
      </c>
      <c r="F514" s="100">
        <f t="shared" si="26"/>
        <v>0.50069444443943212</v>
      </c>
    </row>
    <row r="515" spans="1:8">
      <c r="A515" s="37" t="s">
        <v>246</v>
      </c>
      <c r="B515" s="93">
        <v>45851</v>
      </c>
      <c r="C515" s="37" t="s">
        <v>670</v>
      </c>
      <c r="D515" s="93">
        <v>45851</v>
      </c>
      <c r="E515" s="37" t="s">
        <v>795</v>
      </c>
      <c r="F515" s="100">
        <f t="shared" si="26"/>
        <v>8.7500000001455192E-2</v>
      </c>
    </row>
    <row r="516" spans="1:8">
      <c r="A516" s="37" t="s">
        <v>227</v>
      </c>
      <c r="B516" s="93">
        <v>45851</v>
      </c>
      <c r="C516" s="37" t="s">
        <v>442</v>
      </c>
      <c r="D516" s="93">
        <v>45851</v>
      </c>
      <c r="E516" s="37" t="s">
        <v>796</v>
      </c>
      <c r="F516" s="100">
        <f t="shared" si="26"/>
        <v>3.9583333331393078E-2</v>
      </c>
    </row>
    <row r="517" spans="1:8">
      <c r="A517" s="37" t="s">
        <v>297</v>
      </c>
      <c r="B517" s="93">
        <v>45851</v>
      </c>
      <c r="C517" s="37" t="s">
        <v>797</v>
      </c>
      <c r="D517" s="93">
        <v>45851</v>
      </c>
      <c r="E517" s="37" t="s">
        <v>798</v>
      </c>
      <c r="F517" s="100">
        <f t="shared" si="26"/>
        <v>3.4722222226264421E-2</v>
      </c>
    </row>
    <row r="518" spans="1:8">
      <c r="A518" s="37" t="s">
        <v>251</v>
      </c>
      <c r="B518" s="93">
        <v>45851</v>
      </c>
      <c r="C518" s="37" t="s">
        <v>799</v>
      </c>
      <c r="D518" s="93">
        <v>45851</v>
      </c>
      <c r="E518" s="37" t="s">
        <v>800</v>
      </c>
      <c r="F518" s="100">
        <f t="shared" si="26"/>
        <v>0.17847222222189885</v>
      </c>
    </row>
    <row r="519" spans="1:8">
      <c r="A519" s="37" t="s">
        <v>243</v>
      </c>
      <c r="B519" s="93">
        <v>45851</v>
      </c>
      <c r="C519" s="37" t="s">
        <v>610</v>
      </c>
      <c r="D519" s="93">
        <v>45851</v>
      </c>
      <c r="E519" s="37" t="s">
        <v>801</v>
      </c>
      <c r="F519" s="100">
        <f t="shared" si="26"/>
        <v>5.5555555518367328E-3</v>
      </c>
      <c r="H519" s="23" t="s">
        <v>475</v>
      </c>
    </row>
    <row r="520" spans="1:8">
      <c r="A520" s="37" t="s">
        <v>297</v>
      </c>
      <c r="B520" s="93">
        <v>45851</v>
      </c>
      <c r="C520" s="37" t="s">
        <v>331</v>
      </c>
      <c r="D520" s="93">
        <v>45851</v>
      </c>
      <c r="E520" s="37" t="s">
        <v>703</v>
      </c>
      <c r="F520" s="100">
        <f t="shared" si="26"/>
        <v>7.6388888846850023E-3</v>
      </c>
    </row>
    <row r="521" spans="1:8">
      <c r="A521" s="37" t="s">
        <v>243</v>
      </c>
      <c r="B521" s="93">
        <v>45851</v>
      </c>
      <c r="C521" s="37" t="s">
        <v>801</v>
      </c>
      <c r="D521" s="93">
        <v>45852</v>
      </c>
      <c r="E521" s="37" t="s">
        <v>608</v>
      </c>
      <c r="F521" s="100">
        <f t="shared" ref="F521:F526" si="27">(D521 + TIME(LEFT(E521, 2), MID(E521, 3, 2), 0)) - (B521 + TIME(LEFT(C521, 2), MID(C521, 3, 2), 0))</f>
        <v>0.57847222222335404</v>
      </c>
      <c r="G521" s="37" t="s">
        <v>9</v>
      </c>
      <c r="H521" s="23" t="s">
        <v>802</v>
      </c>
    </row>
    <row r="522" spans="1:8">
      <c r="A522" s="37" t="s">
        <v>240</v>
      </c>
      <c r="B522" s="93">
        <v>45851</v>
      </c>
      <c r="C522" s="37" t="s">
        <v>331</v>
      </c>
      <c r="D522" s="93">
        <v>45851</v>
      </c>
      <c r="E522" s="37" t="s">
        <v>803</v>
      </c>
      <c r="F522" s="100">
        <f t="shared" si="27"/>
        <v>2.7777777773735579E-2</v>
      </c>
    </row>
    <row r="523" spans="1:8">
      <c r="A523" s="37" t="s">
        <v>227</v>
      </c>
      <c r="B523" s="93">
        <v>45851</v>
      </c>
      <c r="C523" s="37" t="s">
        <v>331</v>
      </c>
      <c r="D523" s="93">
        <v>45851</v>
      </c>
      <c r="E523" s="37" t="s">
        <v>735</v>
      </c>
      <c r="F523" s="100">
        <f t="shared" si="27"/>
        <v>1.7361111109494232E-2</v>
      </c>
    </row>
    <row r="524" spans="1:8">
      <c r="A524" s="37" t="s">
        <v>230</v>
      </c>
      <c r="B524" s="93">
        <v>45851</v>
      </c>
      <c r="C524" s="37" t="s">
        <v>331</v>
      </c>
      <c r="D524" s="93">
        <v>45851</v>
      </c>
      <c r="E524" s="37" t="s">
        <v>804</v>
      </c>
      <c r="F524" s="100">
        <f t="shared" si="27"/>
        <v>2.569444444088731E-2</v>
      </c>
    </row>
    <row r="525" spans="1:8">
      <c r="A525" s="37" t="s">
        <v>246</v>
      </c>
      <c r="B525" s="93">
        <v>45851</v>
      </c>
      <c r="C525" s="37" t="s">
        <v>331</v>
      </c>
      <c r="D525" s="93">
        <v>45851</v>
      </c>
      <c r="E525" s="37" t="s">
        <v>805</v>
      </c>
      <c r="F525" s="100">
        <f t="shared" si="27"/>
        <v>3.4027777772280388E-2</v>
      </c>
    </row>
    <row r="526" spans="1:8">
      <c r="A526" s="37" t="s">
        <v>197</v>
      </c>
      <c r="B526" s="93">
        <v>45851</v>
      </c>
      <c r="C526" s="37" t="s">
        <v>455</v>
      </c>
      <c r="D526" s="93">
        <v>45851</v>
      </c>
      <c r="E526" s="37" t="s">
        <v>806</v>
      </c>
      <c r="F526" s="100">
        <f t="shared" si="27"/>
        <v>5.4166666668606922E-2</v>
      </c>
      <c r="G526" s="37" t="s">
        <v>9</v>
      </c>
    </row>
    <row r="527" spans="1:8">
      <c r="A527" s="37" t="s">
        <v>297</v>
      </c>
      <c r="B527" s="93">
        <v>45852</v>
      </c>
      <c r="C527" s="37" t="s">
        <v>295</v>
      </c>
      <c r="D527" s="93">
        <v>45852</v>
      </c>
      <c r="E527" s="37" t="s">
        <v>366</v>
      </c>
      <c r="F527" s="100">
        <f t="shared" ref="F527" si="28">(D527 + TIME(LEFT(E527, 2), MID(E527, 3, 2), 0)) - (B527 + TIME(LEFT(C527, 2), MID(C527, 3, 2), 0))</f>
        <v>3.9583333338669036E-2</v>
      </c>
    </row>
    <row r="528" spans="1:8">
      <c r="A528" s="37" t="s">
        <v>197</v>
      </c>
      <c r="B528" s="93">
        <v>45851</v>
      </c>
      <c r="C528" s="37" t="s">
        <v>806</v>
      </c>
      <c r="D528" s="93">
        <v>45851</v>
      </c>
      <c r="E528" s="37" t="s">
        <v>788</v>
      </c>
      <c r="F528" s="100">
        <f t="shared" ref="F528:F559" si="29">(D528 + TIME(LEFT(E528, 2), MID(E528, 3, 2), 0)) - (B528 + TIME(LEFT(C528, 2), MID(C528, 3, 2), 0))</f>
        <v>1.8055555556202307E-2</v>
      </c>
      <c r="H528" s="23" t="s">
        <v>407</v>
      </c>
    </row>
    <row r="529" spans="1:8">
      <c r="A529" s="37" t="s">
        <v>200</v>
      </c>
      <c r="B529" s="93">
        <v>45851</v>
      </c>
      <c r="C529" s="37" t="s">
        <v>788</v>
      </c>
      <c r="D529" s="93">
        <v>45852</v>
      </c>
      <c r="E529" s="37" t="s">
        <v>510</v>
      </c>
      <c r="F529" s="100">
        <f t="shared" si="29"/>
        <v>0.27986111110658385</v>
      </c>
      <c r="G529" s="37" t="s">
        <v>9</v>
      </c>
      <c r="H529" s="23" t="s">
        <v>807</v>
      </c>
    </row>
    <row r="530" spans="1:8">
      <c r="A530" s="37" t="s">
        <v>197</v>
      </c>
      <c r="B530" s="93">
        <v>45851</v>
      </c>
      <c r="C530" s="37" t="s">
        <v>788</v>
      </c>
      <c r="D530" s="93">
        <v>45855</v>
      </c>
      <c r="E530" s="37" t="s">
        <v>808</v>
      </c>
      <c r="F530" s="100">
        <f t="shared" si="29"/>
        <v>3.1388888888832298</v>
      </c>
    </row>
    <row r="531" spans="1:8">
      <c r="A531" s="37" t="s">
        <v>227</v>
      </c>
      <c r="B531" s="93">
        <v>45852</v>
      </c>
      <c r="C531" s="37" t="s">
        <v>636</v>
      </c>
      <c r="D531" s="93">
        <v>45852</v>
      </c>
      <c r="E531" s="37" t="s">
        <v>698</v>
      </c>
      <c r="F531" s="100">
        <f t="shared" si="29"/>
        <v>1.1805555557657499E-2</v>
      </c>
    </row>
    <row r="532" spans="1:8">
      <c r="A532" s="37" t="s">
        <v>230</v>
      </c>
      <c r="B532" s="93">
        <v>45852</v>
      </c>
      <c r="C532" s="37" t="s">
        <v>809</v>
      </c>
      <c r="D532" s="93">
        <v>45852</v>
      </c>
      <c r="E532" s="37" t="s">
        <v>810</v>
      </c>
      <c r="F532" s="100">
        <f t="shared" si="29"/>
        <v>9.0277777781011537E-3</v>
      </c>
    </row>
    <row r="533" spans="1:8">
      <c r="A533" s="37" t="s">
        <v>233</v>
      </c>
      <c r="B533" s="93">
        <v>45852</v>
      </c>
      <c r="C533" s="37" t="s">
        <v>811</v>
      </c>
      <c r="D533" s="93">
        <v>45852</v>
      </c>
      <c r="E533" s="37" t="s">
        <v>812</v>
      </c>
      <c r="F533" s="100">
        <f t="shared" si="29"/>
        <v>0.63124999999854481</v>
      </c>
    </row>
    <row r="534" spans="1:8">
      <c r="A534" s="37" t="s">
        <v>222</v>
      </c>
      <c r="B534" s="93">
        <v>45852</v>
      </c>
      <c r="C534" s="37" t="s">
        <v>223</v>
      </c>
      <c r="D534" s="93">
        <v>45852</v>
      </c>
      <c r="E534" s="37" t="s">
        <v>269</v>
      </c>
      <c r="F534" s="100">
        <f t="shared" si="29"/>
        <v>0.66666666666424135</v>
      </c>
    </row>
    <row r="535" spans="1:8">
      <c r="A535" s="37" t="s">
        <v>251</v>
      </c>
      <c r="B535" s="93">
        <v>45852</v>
      </c>
      <c r="C535" s="37" t="s">
        <v>716</v>
      </c>
      <c r="D535" s="93">
        <v>45852</v>
      </c>
      <c r="E535" s="37" t="s">
        <v>211</v>
      </c>
      <c r="F535" s="100">
        <f t="shared" si="29"/>
        <v>6.9444444452528842E-3</v>
      </c>
    </row>
    <row r="536" spans="1:8">
      <c r="A536" s="37" t="s">
        <v>246</v>
      </c>
      <c r="B536" s="93">
        <v>45852</v>
      </c>
      <c r="C536" s="37" t="s">
        <v>813</v>
      </c>
      <c r="D536" s="93">
        <v>45852</v>
      </c>
      <c r="E536" s="37" t="s">
        <v>814</v>
      </c>
      <c r="F536" s="100">
        <f t="shared" si="29"/>
        <v>3.680555555911269E-2</v>
      </c>
    </row>
    <row r="537" spans="1:8">
      <c r="A537" s="37" t="s">
        <v>240</v>
      </c>
      <c r="B537" s="93">
        <v>45852</v>
      </c>
      <c r="C537" s="37" t="s">
        <v>645</v>
      </c>
      <c r="D537" s="93">
        <v>45852</v>
      </c>
      <c r="E537" s="37" t="s">
        <v>815</v>
      </c>
      <c r="F537" s="100">
        <f t="shared" si="29"/>
        <v>2.6388888894871343E-2</v>
      </c>
    </row>
    <row r="538" spans="1:8">
      <c r="A538" s="37" t="s">
        <v>200</v>
      </c>
      <c r="B538" s="93">
        <v>45852</v>
      </c>
      <c r="C538" s="37" t="s">
        <v>510</v>
      </c>
      <c r="D538" s="93">
        <v>45852</v>
      </c>
      <c r="E538" s="37" t="s">
        <v>816</v>
      </c>
      <c r="F538" s="100">
        <f t="shared" si="29"/>
        <v>3.6111111112404615E-2</v>
      </c>
      <c r="H538" s="94" t="s">
        <v>427</v>
      </c>
    </row>
    <row r="539" spans="1:8">
      <c r="A539" s="37" t="s">
        <v>235</v>
      </c>
      <c r="B539" s="93">
        <v>45852</v>
      </c>
      <c r="C539" s="37" t="s">
        <v>236</v>
      </c>
      <c r="D539" s="93">
        <v>45852</v>
      </c>
      <c r="E539" s="37" t="s">
        <v>277</v>
      </c>
      <c r="F539" s="100">
        <f t="shared" si="29"/>
        <v>0.50069444443943212</v>
      </c>
    </row>
    <row r="540" spans="1:8">
      <c r="A540" s="37" t="s">
        <v>216</v>
      </c>
      <c r="B540" s="93">
        <v>45852</v>
      </c>
      <c r="C540" s="37" t="s">
        <v>236</v>
      </c>
      <c r="D540" s="93">
        <v>45853</v>
      </c>
      <c r="E540" s="37" t="s">
        <v>388</v>
      </c>
      <c r="F540" s="100">
        <f t="shared" si="29"/>
        <v>0.91736111111094942</v>
      </c>
    </row>
    <row r="541" spans="1:8" ht="27.6">
      <c r="A541" s="37" t="s">
        <v>200</v>
      </c>
      <c r="B541" s="93">
        <v>45852</v>
      </c>
      <c r="C541" s="37" t="s">
        <v>816</v>
      </c>
      <c r="D541" s="93">
        <v>45852</v>
      </c>
      <c r="E541" s="37" t="s">
        <v>221</v>
      </c>
      <c r="F541" s="100">
        <f t="shared" si="29"/>
        <v>9.0972222220443655E-2</v>
      </c>
      <c r="G541" s="37" t="s">
        <v>9</v>
      </c>
      <c r="H541" s="94" t="s">
        <v>817</v>
      </c>
    </row>
    <row r="542" spans="1:8">
      <c r="A542" s="37" t="s">
        <v>227</v>
      </c>
      <c r="B542" s="93">
        <v>45852</v>
      </c>
      <c r="C542" s="37" t="s">
        <v>818</v>
      </c>
      <c r="D542" s="93">
        <v>45852</v>
      </c>
      <c r="E542" s="37" t="s">
        <v>768</v>
      </c>
      <c r="F542" s="100">
        <f t="shared" si="29"/>
        <v>0.56874999999854481</v>
      </c>
    </row>
    <row r="543" spans="1:8">
      <c r="A543" s="37" t="s">
        <v>230</v>
      </c>
      <c r="B543" s="93">
        <v>45852</v>
      </c>
      <c r="C543" s="37" t="s">
        <v>819</v>
      </c>
      <c r="D543" s="93">
        <v>45852</v>
      </c>
      <c r="E543" s="37" t="s">
        <v>596</v>
      </c>
      <c r="F543" s="100">
        <f t="shared" si="29"/>
        <v>0.60486111111094942</v>
      </c>
    </row>
    <row r="544" spans="1:8">
      <c r="A544" s="37" t="s">
        <v>240</v>
      </c>
      <c r="B544" s="93">
        <v>45852</v>
      </c>
      <c r="C544" s="37" t="s">
        <v>601</v>
      </c>
      <c r="D544" s="93">
        <v>45852</v>
      </c>
      <c r="E544" s="37" t="s">
        <v>630</v>
      </c>
      <c r="F544" s="100">
        <f t="shared" si="29"/>
        <v>0.61180555555620231</v>
      </c>
    </row>
    <row r="545" spans="1:8">
      <c r="A545" s="37" t="s">
        <v>246</v>
      </c>
      <c r="B545" s="93">
        <v>45852</v>
      </c>
      <c r="C545" s="37" t="s">
        <v>820</v>
      </c>
      <c r="D545" s="93">
        <v>45852</v>
      </c>
      <c r="E545" s="37" t="s">
        <v>821</v>
      </c>
      <c r="F545" s="100">
        <f t="shared" si="29"/>
        <v>0.61180555555620231</v>
      </c>
    </row>
    <row r="546" spans="1:8">
      <c r="A546" s="37" t="s">
        <v>251</v>
      </c>
      <c r="B546" s="93">
        <v>45852</v>
      </c>
      <c r="C546" s="37" t="s">
        <v>822</v>
      </c>
      <c r="D546" s="93">
        <v>45852</v>
      </c>
      <c r="E546" s="37" t="s">
        <v>823</v>
      </c>
      <c r="F546" s="100">
        <f t="shared" si="29"/>
        <v>0.63958333332993789</v>
      </c>
    </row>
    <row r="547" spans="1:8" ht="27.6">
      <c r="A547" s="37" t="s">
        <v>209</v>
      </c>
      <c r="B547" s="93">
        <v>45852</v>
      </c>
      <c r="C547" s="37" t="s">
        <v>418</v>
      </c>
      <c r="D547" s="93">
        <v>45853</v>
      </c>
      <c r="E547" s="37" t="s">
        <v>314</v>
      </c>
      <c r="F547" s="100">
        <f t="shared" si="29"/>
        <v>1.2930555555503815</v>
      </c>
      <c r="G547" s="37" t="s">
        <v>9</v>
      </c>
      <c r="H547" s="94" t="s">
        <v>824</v>
      </c>
    </row>
    <row r="548" spans="1:8">
      <c r="A548" s="37" t="s">
        <v>254</v>
      </c>
      <c r="B548" s="93">
        <v>45852</v>
      </c>
      <c r="C548" s="37" t="s">
        <v>605</v>
      </c>
      <c r="D548" s="93">
        <v>45853</v>
      </c>
      <c r="E548" s="37" t="s">
        <v>271</v>
      </c>
      <c r="F548" s="100">
        <f t="shared" si="29"/>
        <v>0.67430555555620231</v>
      </c>
    </row>
    <row r="549" spans="1:8">
      <c r="A549" s="37" t="s">
        <v>312</v>
      </c>
      <c r="B549" s="93">
        <v>45852</v>
      </c>
      <c r="C549" s="37" t="s">
        <v>457</v>
      </c>
      <c r="D549" s="93">
        <v>45852</v>
      </c>
      <c r="E549" s="37" t="s">
        <v>529</v>
      </c>
      <c r="F549" s="100">
        <f t="shared" si="29"/>
        <v>0.58124999999563443</v>
      </c>
    </row>
    <row r="550" spans="1:8">
      <c r="A550" s="37" t="s">
        <v>297</v>
      </c>
      <c r="B550" s="93">
        <v>45852</v>
      </c>
      <c r="C550" s="37" t="s">
        <v>825</v>
      </c>
      <c r="D550" s="93">
        <v>45852</v>
      </c>
      <c r="E550" s="37" t="s">
        <v>485</v>
      </c>
      <c r="F550" s="100">
        <f t="shared" si="29"/>
        <v>0.47083333333284827</v>
      </c>
    </row>
    <row r="551" spans="1:8">
      <c r="A551" s="37" t="s">
        <v>200</v>
      </c>
      <c r="B551" s="93">
        <v>45852</v>
      </c>
      <c r="C551" s="37" t="s">
        <v>221</v>
      </c>
      <c r="D551" s="93">
        <v>45852</v>
      </c>
      <c r="E551" s="37" t="s">
        <v>825</v>
      </c>
      <c r="F551" s="100">
        <f t="shared" si="29"/>
        <v>2.2916666668606922E-2</v>
      </c>
      <c r="H551" s="94" t="s">
        <v>427</v>
      </c>
    </row>
    <row r="552" spans="1:8">
      <c r="A552" s="37" t="s">
        <v>243</v>
      </c>
      <c r="B552" s="93">
        <v>45852</v>
      </c>
      <c r="C552" s="37" t="s">
        <v>751</v>
      </c>
      <c r="D552" s="93">
        <v>45852</v>
      </c>
      <c r="E552" s="37" t="s">
        <v>826</v>
      </c>
      <c r="F552" s="100">
        <f t="shared" si="29"/>
        <v>0.54374999999708962</v>
      </c>
    </row>
    <row r="553" spans="1:8">
      <c r="A553" s="37" t="s">
        <v>200</v>
      </c>
      <c r="B553" s="93">
        <v>45852</v>
      </c>
      <c r="C553" s="37" t="s">
        <v>825</v>
      </c>
      <c r="D553" s="93">
        <v>45852</v>
      </c>
      <c r="E553" s="37" t="s">
        <v>827</v>
      </c>
      <c r="F553" s="100">
        <f t="shared" si="29"/>
        <v>5.4166666668606922E-2</v>
      </c>
      <c r="G553" s="37" t="s">
        <v>9</v>
      </c>
    </row>
    <row r="554" spans="1:8">
      <c r="A554" s="37" t="s">
        <v>828</v>
      </c>
      <c r="B554" s="93">
        <v>45852</v>
      </c>
      <c r="C554" s="37" t="s">
        <v>829</v>
      </c>
      <c r="D554" s="93">
        <v>45852</v>
      </c>
      <c r="E554" s="37" t="s">
        <v>830</v>
      </c>
      <c r="F554" s="100">
        <f t="shared" si="29"/>
        <v>0.31180555555329192</v>
      </c>
    </row>
    <row r="555" spans="1:8">
      <c r="A555" s="37" t="s">
        <v>206</v>
      </c>
      <c r="B555" s="93">
        <v>45852</v>
      </c>
      <c r="C555" s="37" t="s">
        <v>829</v>
      </c>
      <c r="D555" s="93">
        <v>45853</v>
      </c>
      <c r="E555" s="37" t="s">
        <v>831</v>
      </c>
      <c r="F555" s="100">
        <f t="shared" si="29"/>
        <v>0.68819444443943212</v>
      </c>
    </row>
    <row r="556" spans="1:8">
      <c r="A556" s="37" t="s">
        <v>200</v>
      </c>
      <c r="B556" s="93">
        <v>45852</v>
      </c>
      <c r="C556" s="37" t="s">
        <v>827</v>
      </c>
      <c r="D556" s="93">
        <v>45852</v>
      </c>
      <c r="E556" s="37" t="s">
        <v>607</v>
      </c>
      <c r="F556" s="100">
        <f t="shared" si="29"/>
        <v>2.8472222220443655E-2</v>
      </c>
    </row>
    <row r="557" spans="1:8">
      <c r="A557" s="37" t="s">
        <v>219</v>
      </c>
      <c r="B557" s="93">
        <v>45852</v>
      </c>
      <c r="C557" s="37" t="s">
        <v>607</v>
      </c>
      <c r="D557" s="93">
        <v>45853</v>
      </c>
      <c r="E557" s="37" t="s">
        <v>367</v>
      </c>
      <c r="F557" s="100">
        <f t="shared" si="29"/>
        <v>1.0194444444423425</v>
      </c>
    </row>
    <row r="558" spans="1:8">
      <c r="A558" s="37" t="s">
        <v>200</v>
      </c>
      <c r="B558" s="93">
        <v>45852</v>
      </c>
      <c r="C558" s="37" t="s">
        <v>607</v>
      </c>
      <c r="D558" s="93">
        <v>45852</v>
      </c>
      <c r="E558" s="37" t="s">
        <v>832</v>
      </c>
      <c r="F558" s="100">
        <f t="shared" si="29"/>
        <v>0.27013888888905058</v>
      </c>
      <c r="G558" s="37" t="s">
        <v>9</v>
      </c>
    </row>
    <row r="559" spans="1:8">
      <c r="A559" s="37" t="s">
        <v>200</v>
      </c>
      <c r="B559" s="93">
        <v>45852</v>
      </c>
      <c r="C559" s="37" t="s">
        <v>832</v>
      </c>
      <c r="D559" s="93">
        <v>45852</v>
      </c>
      <c r="E559" s="37" t="s">
        <v>520</v>
      </c>
      <c r="F559" s="100">
        <f t="shared" si="29"/>
        <v>3.888888889196096E-2</v>
      </c>
      <c r="H559" s="94" t="s">
        <v>335</v>
      </c>
    </row>
    <row r="560" spans="1:8">
      <c r="A560" s="37" t="s">
        <v>213</v>
      </c>
      <c r="B560" s="93">
        <v>45852</v>
      </c>
      <c r="C560" s="37" t="s">
        <v>220</v>
      </c>
      <c r="D560" s="93">
        <v>45853</v>
      </c>
      <c r="E560" s="37" t="s">
        <v>215</v>
      </c>
      <c r="F560" s="100">
        <f t="shared" ref="F560:F591" si="30">(D560 + TIME(LEFT(E560, 2), MID(E560, 3, 2), 0)) - (B560 + TIME(LEFT(C560, 2), MID(C560, 3, 2), 0))</f>
        <v>0.50069444443943212</v>
      </c>
    </row>
    <row r="561" spans="1:8">
      <c r="A561" s="37" t="s">
        <v>828</v>
      </c>
      <c r="B561" s="93">
        <v>45852</v>
      </c>
      <c r="C561" s="37" t="s">
        <v>830</v>
      </c>
      <c r="D561" s="93">
        <v>45853</v>
      </c>
      <c r="E561" s="37" t="s">
        <v>833</v>
      </c>
      <c r="F561" s="100">
        <f t="shared" si="30"/>
        <v>0.625</v>
      </c>
      <c r="G561" s="37" t="s">
        <v>9</v>
      </c>
      <c r="H561" s="23" t="s">
        <v>834</v>
      </c>
    </row>
    <row r="562" spans="1:8">
      <c r="A562" s="37" t="s">
        <v>200</v>
      </c>
      <c r="B562" s="93">
        <v>45852</v>
      </c>
      <c r="C562" s="37" t="s">
        <v>520</v>
      </c>
      <c r="D562" s="93">
        <v>45853</v>
      </c>
      <c r="E562" s="37" t="s">
        <v>221</v>
      </c>
      <c r="F562" s="100">
        <f t="shared" si="30"/>
        <v>0.58541666666133096</v>
      </c>
      <c r="G562" s="37" t="s">
        <v>9</v>
      </c>
      <c r="H562" s="23" t="s">
        <v>835</v>
      </c>
    </row>
    <row r="563" spans="1:8">
      <c r="A563" s="37" t="s">
        <v>222</v>
      </c>
      <c r="B563" s="93">
        <v>45852</v>
      </c>
      <c r="C563" s="37" t="s">
        <v>836</v>
      </c>
      <c r="D563" s="93">
        <v>45852</v>
      </c>
      <c r="E563" s="37" t="s">
        <v>837</v>
      </c>
      <c r="F563" s="100">
        <f t="shared" si="30"/>
        <v>8.8194444448163267E-2</v>
      </c>
    </row>
    <row r="564" spans="1:8">
      <c r="A564" s="37" t="s">
        <v>227</v>
      </c>
      <c r="B564" s="93">
        <v>45852</v>
      </c>
      <c r="C564" s="37" t="s">
        <v>838</v>
      </c>
      <c r="D564" s="93">
        <v>45852</v>
      </c>
      <c r="E564" s="37" t="s">
        <v>456</v>
      </c>
      <c r="F564" s="100">
        <f t="shared" si="30"/>
        <v>2.9166666667151731E-2</v>
      </c>
    </row>
    <row r="565" spans="1:8">
      <c r="A565" s="37" t="s">
        <v>297</v>
      </c>
      <c r="B565" s="93">
        <v>45852</v>
      </c>
      <c r="C565" s="37" t="s">
        <v>838</v>
      </c>
      <c r="D565" s="93">
        <v>45852</v>
      </c>
      <c r="E565" s="37" t="s">
        <v>839</v>
      </c>
      <c r="F565" s="100">
        <f t="shared" si="30"/>
        <v>3.5416666665696539E-2</v>
      </c>
    </row>
    <row r="566" spans="1:8">
      <c r="A566" s="37" t="s">
        <v>203</v>
      </c>
      <c r="B566" s="93">
        <v>45852</v>
      </c>
      <c r="C566" s="37" t="s">
        <v>646</v>
      </c>
      <c r="D566" s="93">
        <v>45852</v>
      </c>
      <c r="E566" s="37" t="s">
        <v>840</v>
      </c>
      <c r="F566" s="100">
        <f t="shared" si="30"/>
        <v>1.9444444449618459E-2</v>
      </c>
      <c r="G566" s="37" t="s">
        <v>9</v>
      </c>
    </row>
    <row r="567" spans="1:8">
      <c r="A567" s="37" t="s">
        <v>203</v>
      </c>
      <c r="B567" s="93">
        <v>45852</v>
      </c>
      <c r="C567" s="37" t="s">
        <v>840</v>
      </c>
      <c r="D567" s="93">
        <v>45855</v>
      </c>
      <c r="E567" s="37" t="s">
        <v>841</v>
      </c>
      <c r="F567" s="100">
        <f t="shared" si="30"/>
        <v>2.3805555555518367</v>
      </c>
    </row>
    <row r="568" spans="1:8">
      <c r="A568" s="37" t="s">
        <v>227</v>
      </c>
      <c r="B568" s="93">
        <v>45852</v>
      </c>
      <c r="C568" s="37" t="s">
        <v>529</v>
      </c>
      <c r="D568" s="93">
        <v>45852</v>
      </c>
      <c r="E568" s="37" t="s">
        <v>706</v>
      </c>
      <c r="F568" s="100">
        <f t="shared" si="30"/>
        <v>2.0833333328482695E-3</v>
      </c>
    </row>
    <row r="569" spans="1:8">
      <c r="A569" s="37" t="s">
        <v>222</v>
      </c>
      <c r="B569" s="93">
        <v>45853</v>
      </c>
      <c r="C569" s="37" t="s">
        <v>403</v>
      </c>
      <c r="D569" s="93">
        <v>45853</v>
      </c>
      <c r="E569" s="37" t="s">
        <v>277</v>
      </c>
      <c r="F569" s="100">
        <f t="shared" si="30"/>
        <v>0.58402777777519077</v>
      </c>
    </row>
    <row r="570" spans="1:8">
      <c r="A570" s="37" t="s">
        <v>230</v>
      </c>
      <c r="B570" s="93">
        <v>45853</v>
      </c>
      <c r="C570" s="37" t="s">
        <v>842</v>
      </c>
      <c r="D570" s="93">
        <v>45853</v>
      </c>
      <c r="E570" s="37" t="s">
        <v>843</v>
      </c>
      <c r="F570" s="100">
        <f t="shared" si="30"/>
        <v>1.7361111116770189E-2</v>
      </c>
    </row>
    <row r="571" spans="1:8">
      <c r="A571" s="37" t="s">
        <v>233</v>
      </c>
      <c r="B571" s="93">
        <v>45853</v>
      </c>
      <c r="C571" s="37" t="s">
        <v>843</v>
      </c>
      <c r="D571" s="93">
        <v>45853</v>
      </c>
      <c r="E571" s="37" t="s">
        <v>844</v>
      </c>
      <c r="F571" s="100">
        <f t="shared" si="30"/>
        <v>0.24513888888759539</v>
      </c>
    </row>
    <row r="572" spans="1:8">
      <c r="A572" s="37" t="s">
        <v>243</v>
      </c>
      <c r="B572" s="93">
        <v>45853</v>
      </c>
      <c r="C572" s="37" t="s">
        <v>678</v>
      </c>
      <c r="D572" s="93">
        <v>45853</v>
      </c>
      <c r="E572" s="37" t="s">
        <v>845</v>
      </c>
      <c r="F572" s="100">
        <f t="shared" si="30"/>
        <v>2.2222222221898846E-2</v>
      </c>
    </row>
    <row r="573" spans="1:8">
      <c r="A573" s="37" t="s">
        <v>240</v>
      </c>
      <c r="B573" s="93">
        <v>45853</v>
      </c>
      <c r="C573" s="37" t="s">
        <v>471</v>
      </c>
      <c r="D573" s="93">
        <v>45853</v>
      </c>
      <c r="E573" s="37" t="s">
        <v>215</v>
      </c>
      <c r="F573" s="100">
        <f t="shared" si="30"/>
        <v>1.597222221607808E-2</v>
      </c>
    </row>
    <row r="574" spans="1:8">
      <c r="A574" s="37" t="s">
        <v>246</v>
      </c>
      <c r="B574" s="93">
        <v>45853</v>
      </c>
      <c r="C574" s="37" t="s">
        <v>597</v>
      </c>
      <c r="D574" s="93">
        <v>45853</v>
      </c>
      <c r="E574" s="37" t="s">
        <v>640</v>
      </c>
      <c r="F574" s="100">
        <f t="shared" si="30"/>
        <v>2.4999999994179234E-2</v>
      </c>
    </row>
    <row r="575" spans="1:8">
      <c r="A575" s="37" t="s">
        <v>251</v>
      </c>
      <c r="B575" s="93">
        <v>45853</v>
      </c>
      <c r="C575" s="37" t="s">
        <v>645</v>
      </c>
      <c r="D575" s="93">
        <v>45853</v>
      </c>
      <c r="E575" s="37" t="s">
        <v>846</v>
      </c>
      <c r="F575" s="100">
        <f t="shared" si="30"/>
        <v>0.68819444444670808</v>
      </c>
    </row>
    <row r="576" spans="1:8">
      <c r="A576" s="37" t="s">
        <v>235</v>
      </c>
      <c r="B576" s="93">
        <v>45853</v>
      </c>
      <c r="C576" s="37" t="s">
        <v>236</v>
      </c>
      <c r="D576" s="93">
        <v>45853</v>
      </c>
      <c r="E576" s="37" t="s">
        <v>652</v>
      </c>
      <c r="F576" s="100">
        <f t="shared" si="30"/>
        <v>0.13472222221753327</v>
      </c>
    </row>
    <row r="577" spans="1:8">
      <c r="A577" s="37" t="s">
        <v>227</v>
      </c>
      <c r="B577" s="93">
        <v>45853</v>
      </c>
      <c r="C577" s="37" t="s">
        <v>847</v>
      </c>
      <c r="D577" s="93">
        <v>45853</v>
      </c>
      <c r="E577" s="37" t="s">
        <v>417</v>
      </c>
      <c r="F577" s="100">
        <f t="shared" si="30"/>
        <v>0.12916666666569654</v>
      </c>
    </row>
    <row r="578" spans="1:8">
      <c r="A578" s="37" t="s">
        <v>230</v>
      </c>
      <c r="B578" s="93">
        <v>45853</v>
      </c>
      <c r="C578" s="37" t="s">
        <v>819</v>
      </c>
      <c r="D578" s="93">
        <v>45853</v>
      </c>
      <c r="E578" s="37" t="s">
        <v>419</v>
      </c>
      <c r="F578" s="100">
        <f t="shared" si="30"/>
        <v>0.14027777777664596</v>
      </c>
    </row>
    <row r="579" spans="1:8">
      <c r="A579" s="37" t="s">
        <v>240</v>
      </c>
      <c r="B579" s="93">
        <v>45853</v>
      </c>
      <c r="C579" s="37" t="s">
        <v>820</v>
      </c>
      <c r="D579" s="93">
        <v>45853</v>
      </c>
      <c r="E579" s="37" t="s">
        <v>659</v>
      </c>
      <c r="F579" s="100">
        <f t="shared" si="30"/>
        <v>0.15069444444088731</v>
      </c>
    </row>
    <row r="580" spans="1:8">
      <c r="A580" s="37" t="s">
        <v>254</v>
      </c>
      <c r="B580" s="93">
        <v>45853</v>
      </c>
      <c r="C580" s="37" t="s">
        <v>293</v>
      </c>
      <c r="D580" s="93">
        <v>45853</v>
      </c>
      <c r="E580" s="37" t="s">
        <v>788</v>
      </c>
      <c r="F580" s="100">
        <f t="shared" si="30"/>
        <v>0.63958333333721384</v>
      </c>
    </row>
    <row r="581" spans="1:8">
      <c r="A581" s="37" t="s">
        <v>243</v>
      </c>
      <c r="B581" s="93">
        <v>45853</v>
      </c>
      <c r="C581" s="37" t="s">
        <v>415</v>
      </c>
      <c r="D581" s="93">
        <v>45853</v>
      </c>
      <c r="E581" s="37" t="s">
        <v>618</v>
      </c>
      <c r="F581" s="100">
        <f t="shared" si="30"/>
        <v>0.17430555555620231</v>
      </c>
    </row>
    <row r="582" spans="1:8">
      <c r="A582" s="37" t="s">
        <v>246</v>
      </c>
      <c r="B582" s="93">
        <v>45853</v>
      </c>
      <c r="C582" s="37" t="s">
        <v>848</v>
      </c>
      <c r="D582" s="93">
        <v>45853</v>
      </c>
      <c r="E582" s="37" t="s">
        <v>849</v>
      </c>
      <c r="F582" s="100">
        <f t="shared" si="30"/>
        <v>0.16249999999854481</v>
      </c>
    </row>
    <row r="583" spans="1:8">
      <c r="A583" s="37" t="s">
        <v>297</v>
      </c>
      <c r="B583" s="93">
        <v>45853</v>
      </c>
      <c r="C583" s="37" t="s">
        <v>364</v>
      </c>
      <c r="D583" s="93">
        <v>45853</v>
      </c>
      <c r="E583" s="37" t="s">
        <v>376</v>
      </c>
      <c r="F583" s="100">
        <f t="shared" si="30"/>
        <v>9.375E-2</v>
      </c>
    </row>
    <row r="584" spans="1:8">
      <c r="A584" s="37" t="s">
        <v>828</v>
      </c>
      <c r="B584" s="93">
        <v>45853</v>
      </c>
      <c r="C584" s="37" t="s">
        <v>833</v>
      </c>
      <c r="D584" s="93">
        <v>45853</v>
      </c>
      <c r="E584" s="37" t="s">
        <v>760</v>
      </c>
      <c r="F584" s="100">
        <f t="shared" si="30"/>
        <v>6.805555555911269E-2</v>
      </c>
    </row>
    <row r="585" spans="1:8">
      <c r="A585" s="37" t="s">
        <v>312</v>
      </c>
      <c r="B585" s="93">
        <v>45853</v>
      </c>
      <c r="C585" s="37" t="s">
        <v>482</v>
      </c>
      <c r="D585" s="93">
        <v>45853</v>
      </c>
      <c r="E585" s="23" t="s">
        <v>457</v>
      </c>
      <c r="F585" s="100">
        <f t="shared" si="30"/>
        <v>8.333333331393078E-3</v>
      </c>
    </row>
    <row r="586" spans="1:8">
      <c r="A586" s="37" t="s">
        <v>312</v>
      </c>
      <c r="B586" s="93">
        <v>45853</v>
      </c>
      <c r="C586" s="23" t="s">
        <v>457</v>
      </c>
      <c r="D586" s="93">
        <v>45853</v>
      </c>
      <c r="E586" s="37" t="s">
        <v>850</v>
      </c>
      <c r="F586" s="100">
        <f t="shared" si="30"/>
        <v>5.5555555554747116E-2</v>
      </c>
      <c r="G586" s="37" t="s">
        <v>9</v>
      </c>
    </row>
    <row r="587" spans="1:8">
      <c r="A587" s="37" t="s">
        <v>206</v>
      </c>
      <c r="B587" s="93">
        <v>45853</v>
      </c>
      <c r="C587" s="37" t="s">
        <v>851</v>
      </c>
      <c r="D587" s="93">
        <v>45854</v>
      </c>
      <c r="E587" s="37" t="s">
        <v>280</v>
      </c>
      <c r="F587" s="100">
        <f t="shared" si="30"/>
        <v>0.72777777777810115</v>
      </c>
    </row>
    <row r="588" spans="1:8">
      <c r="A588" s="37" t="s">
        <v>200</v>
      </c>
      <c r="B588" s="93">
        <v>45853</v>
      </c>
      <c r="C588" s="37" t="s">
        <v>221</v>
      </c>
      <c r="D588" s="93">
        <v>45853</v>
      </c>
      <c r="E588" s="37" t="s">
        <v>852</v>
      </c>
      <c r="F588" s="100">
        <f t="shared" si="30"/>
        <v>5.0000000002910383E-2</v>
      </c>
      <c r="H588" s="94" t="s">
        <v>427</v>
      </c>
    </row>
    <row r="589" spans="1:8">
      <c r="A589" s="37" t="s">
        <v>235</v>
      </c>
      <c r="B589" s="93">
        <v>45853</v>
      </c>
      <c r="C589" s="37" t="s">
        <v>303</v>
      </c>
      <c r="D589" s="93">
        <v>45853</v>
      </c>
      <c r="E589" s="37" t="s">
        <v>277</v>
      </c>
      <c r="F589" s="100">
        <f t="shared" si="30"/>
        <v>0.34513888888614019</v>
      </c>
    </row>
    <row r="590" spans="1:8">
      <c r="A590" s="37" t="s">
        <v>213</v>
      </c>
      <c r="B590" s="93">
        <v>45853</v>
      </c>
      <c r="C590" s="37" t="s">
        <v>303</v>
      </c>
      <c r="D590" s="93">
        <v>45853</v>
      </c>
      <c r="E590" s="37" t="s">
        <v>853</v>
      </c>
      <c r="F590" s="100">
        <f t="shared" si="30"/>
        <v>1.3888888861401938E-3</v>
      </c>
    </row>
    <row r="591" spans="1:8">
      <c r="A591" s="37" t="s">
        <v>312</v>
      </c>
      <c r="B591" s="93">
        <v>45853</v>
      </c>
      <c r="C591" s="37" t="s">
        <v>850</v>
      </c>
      <c r="D591" s="93">
        <v>45853</v>
      </c>
      <c r="E591" s="37" t="s">
        <v>854</v>
      </c>
      <c r="F591" s="100">
        <f t="shared" si="30"/>
        <v>0.48680555555620231</v>
      </c>
    </row>
    <row r="592" spans="1:8" ht="27.6">
      <c r="A592" s="37" t="s">
        <v>200</v>
      </c>
      <c r="B592" s="93">
        <v>45853</v>
      </c>
      <c r="C592" s="37" t="s">
        <v>852</v>
      </c>
      <c r="D592" s="93">
        <v>45853</v>
      </c>
      <c r="E592" s="37" t="s">
        <v>855</v>
      </c>
      <c r="F592" s="100">
        <f t="shared" ref="F592:F623" si="31">(D592 + TIME(LEFT(E592, 2), MID(E592, 3, 2), 0)) - (B592 + TIME(LEFT(C592, 2), MID(C592, 3, 2), 0))</f>
        <v>0.23472222222335404</v>
      </c>
      <c r="H592" s="94" t="s">
        <v>856</v>
      </c>
    </row>
    <row r="593" spans="1:8">
      <c r="A593" s="37" t="s">
        <v>216</v>
      </c>
      <c r="B593" s="93">
        <v>45853</v>
      </c>
      <c r="C593" s="37" t="s">
        <v>217</v>
      </c>
      <c r="D593" s="93">
        <v>45854</v>
      </c>
      <c r="E593" s="37" t="s">
        <v>218</v>
      </c>
      <c r="F593" s="100">
        <f t="shared" si="31"/>
        <v>0.50069444443943212</v>
      </c>
    </row>
    <row r="594" spans="1:8">
      <c r="A594" s="37" t="s">
        <v>227</v>
      </c>
      <c r="B594" s="93">
        <v>45853</v>
      </c>
      <c r="C594" s="37" t="s">
        <v>857</v>
      </c>
      <c r="D594" s="93">
        <v>45853</v>
      </c>
      <c r="E594" s="37" t="s">
        <v>858</v>
      </c>
      <c r="F594" s="100">
        <f t="shared" si="31"/>
        <v>0.20069444444379769</v>
      </c>
    </row>
    <row r="595" spans="1:8">
      <c r="A595" s="37" t="s">
        <v>230</v>
      </c>
      <c r="B595" s="93">
        <v>45853</v>
      </c>
      <c r="C595" s="37" t="s">
        <v>259</v>
      </c>
      <c r="D595" s="93">
        <v>45853</v>
      </c>
      <c r="E595" s="37" t="s">
        <v>859</v>
      </c>
      <c r="F595" s="100">
        <f t="shared" si="31"/>
        <v>0.18680555555329192</v>
      </c>
    </row>
    <row r="596" spans="1:8">
      <c r="A596" s="37" t="s">
        <v>240</v>
      </c>
      <c r="B596" s="93">
        <v>45853</v>
      </c>
      <c r="C596" s="37" t="s">
        <v>665</v>
      </c>
      <c r="D596" s="93">
        <v>45853</v>
      </c>
      <c r="E596" s="37" t="s">
        <v>860</v>
      </c>
      <c r="F596" s="100">
        <f t="shared" si="31"/>
        <v>0.19444444444525288</v>
      </c>
    </row>
    <row r="597" spans="1:8">
      <c r="A597" s="37" t="s">
        <v>243</v>
      </c>
      <c r="B597" s="93">
        <v>45853</v>
      </c>
      <c r="C597" s="37" t="s">
        <v>391</v>
      </c>
      <c r="D597" s="93">
        <v>45853</v>
      </c>
      <c r="E597" s="37" t="s">
        <v>544</v>
      </c>
      <c r="F597" s="100">
        <f t="shared" si="31"/>
        <v>0.2618055555576575</v>
      </c>
    </row>
    <row r="598" spans="1:8">
      <c r="A598" s="37" t="s">
        <v>209</v>
      </c>
      <c r="B598" s="93">
        <v>45853</v>
      </c>
      <c r="C598" s="37" t="s">
        <v>314</v>
      </c>
      <c r="D598" s="93">
        <v>45853</v>
      </c>
      <c r="E598" s="37" t="s">
        <v>700</v>
      </c>
      <c r="F598" s="100">
        <f t="shared" si="31"/>
        <v>8.5416666668606922E-2</v>
      </c>
      <c r="H598" s="94" t="s">
        <v>335</v>
      </c>
    </row>
    <row r="599" spans="1:8">
      <c r="A599" s="37" t="s">
        <v>246</v>
      </c>
      <c r="B599" s="93">
        <v>45853</v>
      </c>
      <c r="C599" s="37" t="s">
        <v>314</v>
      </c>
      <c r="D599" s="93">
        <v>45853</v>
      </c>
      <c r="E599" s="37" t="s">
        <v>861</v>
      </c>
      <c r="F599" s="100">
        <f t="shared" si="31"/>
        <v>0.22569444444525288</v>
      </c>
    </row>
    <row r="600" spans="1:8">
      <c r="A600" s="37" t="s">
        <v>233</v>
      </c>
      <c r="B600" s="93">
        <v>45853</v>
      </c>
      <c r="C600" s="37" t="s">
        <v>862</v>
      </c>
      <c r="D600" s="93">
        <v>45853</v>
      </c>
      <c r="E600" s="37" t="s">
        <v>863</v>
      </c>
      <c r="F600" s="100">
        <f t="shared" si="31"/>
        <v>7.2222222224809229E-2</v>
      </c>
    </row>
    <row r="601" spans="1:8">
      <c r="A601" s="37" t="s">
        <v>200</v>
      </c>
      <c r="B601" s="93">
        <v>45853</v>
      </c>
      <c r="C601" s="37" t="s">
        <v>855</v>
      </c>
      <c r="D601" s="93">
        <v>45854</v>
      </c>
      <c r="E601" s="37" t="s">
        <v>864</v>
      </c>
      <c r="F601" s="100">
        <f t="shared" si="31"/>
        <v>0.64513888888905058</v>
      </c>
      <c r="G601" s="37" t="s">
        <v>9</v>
      </c>
      <c r="H601" s="94" t="s">
        <v>865</v>
      </c>
    </row>
    <row r="602" spans="1:8">
      <c r="A602" s="37" t="s">
        <v>297</v>
      </c>
      <c r="B602" s="93">
        <v>45853</v>
      </c>
      <c r="C602" s="37" t="s">
        <v>855</v>
      </c>
      <c r="D602" s="93">
        <v>45853</v>
      </c>
      <c r="E602" s="37" t="s">
        <v>866</v>
      </c>
      <c r="F602" s="100">
        <f t="shared" si="31"/>
        <v>4.4444444443797693E-2</v>
      </c>
    </row>
    <row r="603" spans="1:8">
      <c r="A603" s="37" t="s">
        <v>209</v>
      </c>
      <c r="B603" s="93">
        <v>45853</v>
      </c>
      <c r="C603" s="37" t="s">
        <v>700</v>
      </c>
      <c r="D603" s="93">
        <v>45853</v>
      </c>
      <c r="E603" s="37" t="s">
        <v>867</v>
      </c>
      <c r="F603" s="100">
        <f t="shared" si="31"/>
        <v>0.27083333333575865</v>
      </c>
      <c r="H603" s="94" t="s">
        <v>868</v>
      </c>
    </row>
    <row r="604" spans="1:8">
      <c r="A604" s="37" t="s">
        <v>227</v>
      </c>
      <c r="B604" s="93">
        <v>45853</v>
      </c>
      <c r="C604" s="37" t="s">
        <v>442</v>
      </c>
      <c r="D604" s="93">
        <v>45853</v>
      </c>
      <c r="E604" s="37" t="s">
        <v>683</v>
      </c>
      <c r="F604" s="100">
        <f t="shared" si="31"/>
        <v>9.375E-2</v>
      </c>
    </row>
    <row r="605" spans="1:8">
      <c r="A605" s="37" t="s">
        <v>219</v>
      </c>
      <c r="B605" s="93">
        <v>45853</v>
      </c>
      <c r="C605" s="23" t="s">
        <v>220</v>
      </c>
      <c r="D605" s="93">
        <v>45854</v>
      </c>
      <c r="E605" s="37" t="s">
        <v>215</v>
      </c>
      <c r="F605" s="100">
        <f t="shared" si="31"/>
        <v>0.50069444443943212</v>
      </c>
    </row>
    <row r="606" spans="1:8">
      <c r="A606" s="37" t="s">
        <v>213</v>
      </c>
      <c r="B606" s="93">
        <v>45853</v>
      </c>
      <c r="C606" s="37" t="s">
        <v>220</v>
      </c>
      <c r="D606" s="93">
        <v>45854</v>
      </c>
      <c r="E606" s="37" t="s">
        <v>215</v>
      </c>
      <c r="F606" s="100">
        <f t="shared" si="31"/>
        <v>0.50069444443943212</v>
      </c>
    </row>
    <row r="607" spans="1:8">
      <c r="A607" s="37" t="s">
        <v>230</v>
      </c>
      <c r="B607" s="93">
        <v>45853</v>
      </c>
      <c r="C607" s="37" t="s">
        <v>869</v>
      </c>
      <c r="D607" s="93">
        <v>45854</v>
      </c>
      <c r="E607" s="37" t="s">
        <v>218</v>
      </c>
      <c r="F607" s="100">
        <f t="shared" si="31"/>
        <v>1.2499999997089617E-2</v>
      </c>
    </row>
    <row r="608" spans="1:8">
      <c r="A608" s="37" t="s">
        <v>240</v>
      </c>
      <c r="B608" s="93">
        <v>45853</v>
      </c>
      <c r="C608" s="37" t="s">
        <v>870</v>
      </c>
      <c r="D608" s="93">
        <v>45854</v>
      </c>
      <c r="E608" s="37" t="s">
        <v>871</v>
      </c>
      <c r="F608" s="100">
        <f t="shared" si="31"/>
        <v>1.3888888890505768E-2</v>
      </c>
    </row>
    <row r="609" spans="1:8">
      <c r="A609" s="37" t="s">
        <v>222</v>
      </c>
      <c r="B609" s="93">
        <v>45854</v>
      </c>
      <c r="C609" s="37" t="s">
        <v>223</v>
      </c>
      <c r="D609" s="93">
        <v>45854</v>
      </c>
      <c r="E609" s="37" t="s">
        <v>556</v>
      </c>
      <c r="F609" s="100">
        <f t="shared" si="31"/>
        <v>0.44791666666424135</v>
      </c>
    </row>
    <row r="610" spans="1:8">
      <c r="A610" s="37" t="s">
        <v>233</v>
      </c>
      <c r="B610" s="93">
        <v>45854</v>
      </c>
      <c r="C610" s="37" t="s">
        <v>872</v>
      </c>
      <c r="D610" s="93">
        <v>45854</v>
      </c>
      <c r="E610" s="37" t="s">
        <v>873</v>
      </c>
      <c r="F610" s="100">
        <f t="shared" si="31"/>
        <v>0.48124999999708962</v>
      </c>
    </row>
    <row r="611" spans="1:8">
      <c r="A611" s="37" t="s">
        <v>243</v>
      </c>
      <c r="B611" s="93">
        <v>45854</v>
      </c>
      <c r="C611" s="37" t="s">
        <v>874</v>
      </c>
      <c r="D611" s="93">
        <v>45854</v>
      </c>
      <c r="E611" s="37" t="s">
        <v>349</v>
      </c>
      <c r="F611" s="100">
        <f t="shared" si="31"/>
        <v>3.9583333331393078E-2</v>
      </c>
    </row>
    <row r="612" spans="1:8">
      <c r="A612" s="37" t="s">
        <v>246</v>
      </c>
      <c r="B612" s="93">
        <v>45854</v>
      </c>
      <c r="C612" s="37" t="s">
        <v>875</v>
      </c>
      <c r="D612" s="93">
        <v>45854</v>
      </c>
      <c r="E612" s="37" t="s">
        <v>876</v>
      </c>
      <c r="F612" s="100">
        <f t="shared" si="31"/>
        <v>4.1666666671517305E-2</v>
      </c>
    </row>
    <row r="613" spans="1:8">
      <c r="A613" s="37" t="s">
        <v>227</v>
      </c>
      <c r="B613" s="93">
        <v>45854</v>
      </c>
      <c r="C613" s="37" t="s">
        <v>499</v>
      </c>
      <c r="D613" s="93">
        <v>45854</v>
      </c>
      <c r="E613" s="37" t="s">
        <v>877</v>
      </c>
      <c r="F613" s="100">
        <f t="shared" si="31"/>
        <v>4.5138888890505768E-2</v>
      </c>
    </row>
    <row r="614" spans="1:8">
      <c r="A614" s="37" t="s">
        <v>216</v>
      </c>
      <c r="B614" s="93">
        <v>45854</v>
      </c>
      <c r="C614" s="37" t="s">
        <v>236</v>
      </c>
      <c r="D614" s="93">
        <v>45854</v>
      </c>
      <c r="E614" s="37" t="s">
        <v>556</v>
      </c>
      <c r="F614" s="100">
        <f t="shared" si="31"/>
        <v>0.19791666666424135</v>
      </c>
    </row>
    <row r="615" spans="1:8">
      <c r="A615" s="37" t="s">
        <v>235</v>
      </c>
      <c r="B615" s="93">
        <v>45854</v>
      </c>
      <c r="C615" s="37" t="s">
        <v>236</v>
      </c>
      <c r="D615" s="93">
        <v>45854</v>
      </c>
      <c r="E615" s="37" t="s">
        <v>245</v>
      </c>
      <c r="F615" s="100">
        <f t="shared" si="31"/>
        <v>9.5138888886140194E-2</v>
      </c>
    </row>
    <row r="616" spans="1:8">
      <c r="A616" s="37" t="s">
        <v>200</v>
      </c>
      <c r="B616" s="93">
        <v>45854</v>
      </c>
      <c r="C616" s="37" t="s">
        <v>864</v>
      </c>
      <c r="D616" s="93">
        <v>45854</v>
      </c>
      <c r="E616" s="37" t="s">
        <v>364</v>
      </c>
      <c r="F616" s="100">
        <f t="shared" si="31"/>
        <v>4.7916666662786156E-2</v>
      </c>
      <c r="H616" s="94" t="s">
        <v>335</v>
      </c>
    </row>
    <row r="617" spans="1:8">
      <c r="A617" s="37" t="s">
        <v>230</v>
      </c>
      <c r="B617" s="93">
        <v>45854</v>
      </c>
      <c r="C617" s="37" t="s">
        <v>878</v>
      </c>
      <c r="D617" s="93">
        <v>45854</v>
      </c>
      <c r="E617" s="37" t="s">
        <v>482</v>
      </c>
      <c r="F617" s="100">
        <f t="shared" si="31"/>
        <v>3.9583333338669036E-2</v>
      </c>
    </row>
    <row r="618" spans="1:8">
      <c r="A618" s="37" t="s">
        <v>209</v>
      </c>
      <c r="B618" s="93">
        <v>45854</v>
      </c>
      <c r="C618" s="37" t="s">
        <v>565</v>
      </c>
      <c r="D618" s="93">
        <v>45854</v>
      </c>
      <c r="E618" s="37" t="s">
        <v>879</v>
      </c>
      <c r="F618" s="100">
        <f t="shared" si="31"/>
        <v>0.48333333332993789</v>
      </c>
    </row>
    <row r="619" spans="1:8">
      <c r="A619" s="37" t="s">
        <v>243</v>
      </c>
      <c r="B619" s="93">
        <v>45854</v>
      </c>
      <c r="C619" s="37" t="s">
        <v>244</v>
      </c>
      <c r="D619" s="93">
        <v>45854</v>
      </c>
      <c r="E619" s="37" t="s">
        <v>377</v>
      </c>
      <c r="F619" s="100">
        <f t="shared" si="31"/>
        <v>2.9861111113859806E-2</v>
      </c>
    </row>
    <row r="620" spans="1:8">
      <c r="A620" s="37" t="s">
        <v>251</v>
      </c>
      <c r="B620" s="93">
        <v>45854</v>
      </c>
      <c r="C620" s="37" t="s">
        <v>880</v>
      </c>
      <c r="D620" s="93">
        <v>45854</v>
      </c>
      <c r="E620" s="37" t="s">
        <v>664</v>
      </c>
      <c r="F620" s="100">
        <f t="shared" si="31"/>
        <v>0.52708333333430346</v>
      </c>
    </row>
    <row r="621" spans="1:8">
      <c r="A621" s="37" t="s">
        <v>200</v>
      </c>
      <c r="B621" s="93">
        <v>45854</v>
      </c>
      <c r="C621" s="37" t="s">
        <v>364</v>
      </c>
      <c r="D621" s="93">
        <v>45854</v>
      </c>
      <c r="E621" s="37" t="s">
        <v>881</v>
      </c>
      <c r="F621" s="100">
        <f t="shared" si="31"/>
        <v>0.39930555555474712</v>
      </c>
      <c r="G621" s="37" t="s">
        <v>9</v>
      </c>
    </row>
    <row r="622" spans="1:8">
      <c r="A622" s="37" t="s">
        <v>254</v>
      </c>
      <c r="B622" s="93">
        <v>45854</v>
      </c>
      <c r="C622" s="37" t="s">
        <v>602</v>
      </c>
      <c r="D622" s="93">
        <v>45854</v>
      </c>
      <c r="E622" s="37" t="s">
        <v>882</v>
      </c>
      <c r="F622" s="100">
        <f t="shared" si="31"/>
        <v>0.47847222222480923</v>
      </c>
    </row>
    <row r="623" spans="1:8">
      <c r="A623" s="37" t="s">
        <v>240</v>
      </c>
      <c r="B623" s="93">
        <v>45854</v>
      </c>
      <c r="C623" s="37" t="s">
        <v>252</v>
      </c>
      <c r="D623" s="93">
        <v>45854</v>
      </c>
      <c r="E623" s="37" t="s">
        <v>429</v>
      </c>
      <c r="F623" s="100">
        <f t="shared" si="31"/>
        <v>2.7777777781011537E-2</v>
      </c>
    </row>
    <row r="624" spans="1:8">
      <c r="A624" s="37" t="s">
        <v>243</v>
      </c>
      <c r="B624" s="93">
        <v>45854</v>
      </c>
      <c r="C624" s="37" t="s">
        <v>883</v>
      </c>
      <c r="D624" s="93">
        <v>45854</v>
      </c>
      <c r="E624" s="37" t="s">
        <v>568</v>
      </c>
      <c r="F624" s="100">
        <f t="shared" ref="F624:F645" si="32">(D624 + TIME(LEFT(E624, 2), MID(E624, 3, 2), 0)) - (B624 + TIME(LEFT(C624, 2), MID(C624, 3, 2), 0))</f>
        <v>9.5833333332848269E-2</v>
      </c>
    </row>
    <row r="625" spans="1:8">
      <c r="A625" s="37" t="s">
        <v>235</v>
      </c>
      <c r="B625" s="93">
        <v>45854</v>
      </c>
      <c r="C625" s="37" t="s">
        <v>776</v>
      </c>
      <c r="D625" s="93">
        <v>45854</v>
      </c>
      <c r="E625" s="37" t="s">
        <v>277</v>
      </c>
      <c r="F625" s="100">
        <f t="shared" si="32"/>
        <v>0.37222222222044365</v>
      </c>
    </row>
    <row r="626" spans="1:8">
      <c r="A626" s="37" t="s">
        <v>246</v>
      </c>
      <c r="B626" s="93">
        <v>45854</v>
      </c>
      <c r="C626" s="37" t="s">
        <v>884</v>
      </c>
      <c r="D626" s="93">
        <v>45854</v>
      </c>
      <c r="E626" s="37" t="s">
        <v>885</v>
      </c>
      <c r="F626" s="100">
        <f t="shared" si="32"/>
        <v>8.6805555554747116E-2</v>
      </c>
    </row>
    <row r="627" spans="1:8">
      <c r="A627" s="37" t="s">
        <v>227</v>
      </c>
      <c r="B627" s="93">
        <v>45854</v>
      </c>
      <c r="C627" s="37" t="s">
        <v>425</v>
      </c>
      <c r="D627" s="93">
        <v>45854</v>
      </c>
      <c r="E627" s="37" t="s">
        <v>686</v>
      </c>
      <c r="F627" s="100">
        <f t="shared" si="32"/>
        <v>9.375E-2</v>
      </c>
    </row>
    <row r="628" spans="1:8">
      <c r="A628" s="37" t="s">
        <v>230</v>
      </c>
      <c r="B628" s="93">
        <v>45854</v>
      </c>
      <c r="C628" s="37" t="s">
        <v>853</v>
      </c>
      <c r="D628" s="93">
        <v>45854</v>
      </c>
      <c r="E628" s="37" t="s">
        <v>886</v>
      </c>
      <c r="F628" s="100">
        <f t="shared" si="32"/>
        <v>0.10000000000582077</v>
      </c>
    </row>
    <row r="629" spans="1:8">
      <c r="A629" s="37" t="s">
        <v>312</v>
      </c>
      <c r="B629" s="93">
        <v>45854</v>
      </c>
      <c r="C629" s="37" t="s">
        <v>305</v>
      </c>
      <c r="D629" s="93">
        <v>45854</v>
      </c>
      <c r="E629" s="37" t="s">
        <v>887</v>
      </c>
      <c r="F629" s="100">
        <f t="shared" si="32"/>
        <v>0.14652777778246673</v>
      </c>
    </row>
    <row r="630" spans="1:8">
      <c r="A630" s="37" t="s">
        <v>219</v>
      </c>
      <c r="B630" s="93">
        <v>45854</v>
      </c>
      <c r="C630" s="37" t="s">
        <v>612</v>
      </c>
      <c r="D630" s="93">
        <v>45854</v>
      </c>
      <c r="E630" s="37" t="s">
        <v>542</v>
      </c>
      <c r="F630" s="100">
        <f t="shared" si="32"/>
        <v>0.35833333332993789</v>
      </c>
    </row>
    <row r="631" spans="1:8">
      <c r="A631" s="37" t="s">
        <v>216</v>
      </c>
      <c r="B631" s="93">
        <v>45854</v>
      </c>
      <c r="C631" s="37" t="s">
        <v>612</v>
      </c>
      <c r="D631" s="93">
        <v>45854</v>
      </c>
      <c r="E631" s="37" t="s">
        <v>277</v>
      </c>
      <c r="F631" s="100">
        <f t="shared" si="32"/>
        <v>0.29097222221753327</v>
      </c>
    </row>
    <row r="632" spans="1:8">
      <c r="A632" s="37" t="s">
        <v>240</v>
      </c>
      <c r="B632" s="93">
        <v>45854</v>
      </c>
      <c r="C632" s="37" t="s">
        <v>888</v>
      </c>
      <c r="D632" s="93">
        <v>45854</v>
      </c>
      <c r="E632" s="37" t="s">
        <v>889</v>
      </c>
      <c r="F632" s="100">
        <f t="shared" si="32"/>
        <v>1.4583333337213844E-2</v>
      </c>
    </row>
    <row r="633" spans="1:8">
      <c r="A633" s="37" t="s">
        <v>243</v>
      </c>
      <c r="B633" s="93">
        <v>45854</v>
      </c>
      <c r="C633" s="37" t="s">
        <v>888</v>
      </c>
      <c r="D633" s="93">
        <v>45854</v>
      </c>
      <c r="E633" s="37" t="s">
        <v>890</v>
      </c>
      <c r="F633" s="100">
        <f t="shared" si="32"/>
        <v>0.125</v>
      </c>
    </row>
    <row r="634" spans="1:8">
      <c r="A634" s="37" t="s">
        <v>246</v>
      </c>
      <c r="B634" s="93">
        <v>45854</v>
      </c>
      <c r="C634" s="37" t="s">
        <v>891</v>
      </c>
      <c r="D634" s="93">
        <v>45854</v>
      </c>
      <c r="E634" s="37" t="s">
        <v>624</v>
      </c>
      <c r="F634" s="100">
        <f t="shared" si="32"/>
        <v>0.14930555556202307</v>
      </c>
    </row>
    <row r="635" spans="1:8">
      <c r="A635" s="37" t="s">
        <v>206</v>
      </c>
      <c r="B635" s="93">
        <v>45854</v>
      </c>
      <c r="C635" s="37" t="s">
        <v>892</v>
      </c>
      <c r="D635" s="93">
        <v>45855</v>
      </c>
      <c r="E635" s="37" t="s">
        <v>893</v>
      </c>
      <c r="F635" s="100">
        <f t="shared" si="32"/>
        <v>0.36180555555620231</v>
      </c>
    </row>
    <row r="636" spans="1:8" ht="27.6">
      <c r="A636" s="37" t="s">
        <v>200</v>
      </c>
      <c r="B636" s="93">
        <v>45854</v>
      </c>
      <c r="C636" s="37" t="s">
        <v>881</v>
      </c>
      <c r="D636" s="93">
        <v>45854</v>
      </c>
      <c r="E636" s="37" t="s">
        <v>894</v>
      </c>
      <c r="F636" s="100">
        <f t="shared" si="32"/>
        <v>4.3055555557657499E-2</v>
      </c>
      <c r="H636" s="535" t="s">
        <v>895</v>
      </c>
    </row>
    <row r="637" spans="1:8">
      <c r="A637" s="37" t="s">
        <v>213</v>
      </c>
      <c r="B637" s="93">
        <v>45854</v>
      </c>
      <c r="C637" s="37" t="s">
        <v>220</v>
      </c>
      <c r="D637" s="93">
        <v>45855</v>
      </c>
      <c r="E637" s="37" t="s">
        <v>896</v>
      </c>
      <c r="F637" s="100">
        <f t="shared" si="32"/>
        <v>0.33958333333430346</v>
      </c>
    </row>
    <row r="638" spans="1:8">
      <c r="A638" s="37" t="s">
        <v>222</v>
      </c>
      <c r="B638" s="93">
        <v>45854</v>
      </c>
      <c r="C638" s="37" t="s">
        <v>220</v>
      </c>
      <c r="D638" s="93">
        <v>45854</v>
      </c>
      <c r="E638" s="37" t="s">
        <v>542</v>
      </c>
      <c r="F638" s="100">
        <f t="shared" si="32"/>
        <v>6.8055555551836733E-2</v>
      </c>
    </row>
    <row r="639" spans="1:8">
      <c r="A639" s="37" t="s">
        <v>200</v>
      </c>
      <c r="B639" s="93">
        <v>45854</v>
      </c>
      <c r="C639" s="37" t="s">
        <v>894</v>
      </c>
      <c r="D639" s="93">
        <v>45854</v>
      </c>
      <c r="E639" s="37" t="s">
        <v>657</v>
      </c>
      <c r="F639" s="100">
        <f t="shared" si="32"/>
        <v>0.11597222222189885</v>
      </c>
      <c r="H639" s="23" t="s">
        <v>897</v>
      </c>
    </row>
    <row r="640" spans="1:8">
      <c r="A640" s="37" t="s">
        <v>227</v>
      </c>
      <c r="B640" s="93">
        <v>45854</v>
      </c>
      <c r="C640" s="37" t="s">
        <v>725</v>
      </c>
      <c r="D640" s="93">
        <v>45854</v>
      </c>
      <c r="E640" s="37" t="s">
        <v>898</v>
      </c>
      <c r="F640" s="100">
        <f t="shared" si="32"/>
        <v>4.8611111124046147E-3</v>
      </c>
    </row>
    <row r="641" spans="1:8">
      <c r="A641" s="37" t="s">
        <v>230</v>
      </c>
      <c r="B641" s="93">
        <v>45854</v>
      </c>
      <c r="C641" s="37" t="s">
        <v>725</v>
      </c>
      <c r="D641" s="93">
        <v>45854</v>
      </c>
      <c r="E641" s="37" t="s">
        <v>899</v>
      </c>
      <c r="F641" s="100">
        <f t="shared" si="32"/>
        <v>1.5972222223354038E-2</v>
      </c>
    </row>
    <row r="642" spans="1:8">
      <c r="A642" s="37" t="s">
        <v>219</v>
      </c>
      <c r="B642" s="93">
        <v>45854</v>
      </c>
      <c r="C642" s="37" t="s">
        <v>900</v>
      </c>
      <c r="D642" s="93">
        <v>45855</v>
      </c>
      <c r="E642" s="37" t="s">
        <v>901</v>
      </c>
      <c r="F642" s="100">
        <f t="shared" si="32"/>
        <v>0.15694444444670808</v>
      </c>
    </row>
    <row r="643" spans="1:8">
      <c r="A643" s="37" t="s">
        <v>222</v>
      </c>
      <c r="B643" s="93">
        <v>45854</v>
      </c>
      <c r="C643" s="37" t="s">
        <v>900</v>
      </c>
      <c r="D643" s="93">
        <v>45855</v>
      </c>
      <c r="E643" s="37" t="s">
        <v>223</v>
      </c>
      <c r="F643" s="100">
        <f t="shared" si="32"/>
        <v>0.15555555556056788</v>
      </c>
    </row>
    <row r="644" spans="1:8">
      <c r="A644" s="37" t="s">
        <v>240</v>
      </c>
      <c r="B644" s="93">
        <v>45854</v>
      </c>
      <c r="C644" s="37" t="s">
        <v>657</v>
      </c>
      <c r="D644" s="93">
        <v>45854</v>
      </c>
      <c r="E644" s="37" t="s">
        <v>902</v>
      </c>
      <c r="F644" s="100">
        <f t="shared" si="32"/>
        <v>1.1805555557657499E-2</v>
      </c>
    </row>
    <row r="645" spans="1:8">
      <c r="A645" s="37" t="s">
        <v>216</v>
      </c>
      <c r="B645" s="93">
        <v>45855</v>
      </c>
      <c r="C645" s="37" t="s">
        <v>218</v>
      </c>
      <c r="D645" s="93">
        <v>45855</v>
      </c>
      <c r="E645" s="37" t="s">
        <v>903</v>
      </c>
      <c r="F645" s="100">
        <f t="shared" si="32"/>
        <v>0.179861111115315</v>
      </c>
    </row>
    <row r="646" spans="1:8">
      <c r="A646" s="37" t="s">
        <v>200</v>
      </c>
      <c r="B646" s="93">
        <v>45855</v>
      </c>
      <c r="C646" s="37" t="s">
        <v>904</v>
      </c>
      <c r="D646" s="93">
        <v>45855</v>
      </c>
      <c r="E646" s="37" t="s">
        <v>770</v>
      </c>
      <c r="F646" s="100">
        <f>(D646 + TIME(LEFT(E646, 2), MID(E646, 3, 2), 0)) - (B646 + TIME(LEFT(C646, 2), MID(C646, 3, 2), 0))</f>
        <v>0.79722222222335404</v>
      </c>
    </row>
    <row r="647" spans="1:8">
      <c r="A647" s="37" t="s">
        <v>213</v>
      </c>
      <c r="B647" s="93">
        <v>45855</v>
      </c>
      <c r="C647" s="37" t="s">
        <v>428</v>
      </c>
      <c r="D647" s="93">
        <v>45855</v>
      </c>
      <c r="E647" s="37" t="s">
        <v>215</v>
      </c>
      <c r="F647" s="100">
        <f>(D647 + TIME(LEFT(E647, 2), MID(E647, 3, 2), 0)) - (B647 + TIME(LEFT(C647, 2), MID(C647, 3, 2), 0))</f>
        <v>0.10972222221607808</v>
      </c>
    </row>
    <row r="648" spans="1:8">
      <c r="A648" s="37" t="s">
        <v>235</v>
      </c>
      <c r="B648" s="93">
        <v>45855</v>
      </c>
      <c r="C648" s="37" t="s">
        <v>236</v>
      </c>
      <c r="D648" s="93">
        <v>45855</v>
      </c>
      <c r="E648" s="37" t="s">
        <v>773</v>
      </c>
      <c r="F648" s="100">
        <f>(D648 + TIME(LEFT(E648, 2), MID(E648, 3, 2), 0)) - (B648 + TIME(LEFT(C648, 2), MID(C648, 3, 2), 0))</f>
        <v>1.3194444443797693E-2</v>
      </c>
      <c r="H648" s="23" t="s">
        <v>905</v>
      </c>
    </row>
    <row r="649" spans="1:8">
      <c r="A649" s="37" t="s">
        <v>197</v>
      </c>
      <c r="B649" s="93">
        <v>45855</v>
      </c>
      <c r="C649" s="37" t="s">
        <v>906</v>
      </c>
      <c r="D649" s="93">
        <v>45856</v>
      </c>
      <c r="E649" s="37" t="s">
        <v>193</v>
      </c>
      <c r="F649" s="100">
        <f>(D649 + TIME(LEFT(E649, 2), MID(E649, 3, 2), 0)) - (B649 + TIME(LEFT(C649, 2), MID(C649, 3, 2), 0))</f>
        <v>1.2972222222160781</v>
      </c>
    </row>
    <row r="650" spans="1:8">
      <c r="A650" s="37" t="s">
        <v>219</v>
      </c>
      <c r="B650" s="93">
        <v>45855</v>
      </c>
      <c r="C650" s="37" t="s">
        <v>906</v>
      </c>
      <c r="D650" s="93">
        <v>45855</v>
      </c>
      <c r="E650" s="37" t="s">
        <v>907</v>
      </c>
      <c r="F650" s="100">
        <f t="shared" ref="F650:F678" si="33">(D650 + TIME(LEFT(E650, 2), MID(E650, 3, 2), 0)) - (B650 + TIME(LEFT(C650, 2), MID(C650, 3, 2), 0))</f>
        <v>0.45208333332993789</v>
      </c>
    </row>
    <row r="651" spans="1:8">
      <c r="A651" s="37" t="s">
        <v>216</v>
      </c>
      <c r="B651" s="93">
        <v>45855</v>
      </c>
      <c r="C651" s="37" t="s">
        <v>906</v>
      </c>
      <c r="D651" s="93">
        <v>45855</v>
      </c>
      <c r="E651" s="37" t="s">
        <v>367</v>
      </c>
      <c r="F651" s="100">
        <f t="shared" si="33"/>
        <v>0.22361111110512866</v>
      </c>
    </row>
    <row r="652" spans="1:8">
      <c r="A652" s="37" t="s">
        <v>233</v>
      </c>
      <c r="B652" s="93">
        <v>45855</v>
      </c>
      <c r="C652" s="37" t="s">
        <v>819</v>
      </c>
      <c r="D652" s="93">
        <v>45855</v>
      </c>
      <c r="E652" s="37" t="s">
        <v>908</v>
      </c>
      <c r="F652" s="100">
        <f t="shared" si="33"/>
        <v>0.35833333332993789</v>
      </c>
    </row>
    <row r="653" spans="1:8">
      <c r="A653" s="37" t="s">
        <v>235</v>
      </c>
      <c r="B653" s="93">
        <v>45855</v>
      </c>
      <c r="C653" s="37" t="s">
        <v>909</v>
      </c>
      <c r="D653" s="93">
        <v>45855</v>
      </c>
      <c r="E653" s="37" t="s">
        <v>255</v>
      </c>
      <c r="F653" s="100">
        <f t="shared" si="33"/>
        <v>9.375E-2</v>
      </c>
    </row>
    <row r="654" spans="1:8">
      <c r="A654" s="37" t="s">
        <v>213</v>
      </c>
      <c r="B654" s="93">
        <v>45855</v>
      </c>
      <c r="C654" s="37" t="s">
        <v>909</v>
      </c>
      <c r="D654" s="93">
        <v>45855</v>
      </c>
      <c r="E654" s="37" t="s">
        <v>292</v>
      </c>
      <c r="F654" s="100">
        <f t="shared" si="33"/>
        <v>1.3888888934161514E-3</v>
      </c>
    </row>
    <row r="655" spans="1:8">
      <c r="A655" s="37" t="s">
        <v>203</v>
      </c>
      <c r="B655" s="93">
        <v>45855</v>
      </c>
      <c r="C655" s="37" t="s">
        <v>242</v>
      </c>
      <c r="D655" s="93">
        <v>45856</v>
      </c>
      <c r="E655" s="37" t="s">
        <v>910</v>
      </c>
      <c r="F655" s="100">
        <f t="shared" si="33"/>
        <v>0.78958333333139308</v>
      </c>
    </row>
    <row r="656" spans="1:8">
      <c r="A656" s="37" t="s">
        <v>243</v>
      </c>
      <c r="B656" s="93">
        <v>45855</v>
      </c>
      <c r="C656" s="37" t="s">
        <v>602</v>
      </c>
      <c r="D656" s="93">
        <v>45855</v>
      </c>
      <c r="E656" s="37" t="s">
        <v>377</v>
      </c>
      <c r="F656" s="100">
        <f t="shared" si="33"/>
        <v>1.1805555557657499E-2</v>
      </c>
    </row>
    <row r="657" spans="1:8">
      <c r="A657" s="37" t="s">
        <v>246</v>
      </c>
      <c r="B657" s="93">
        <v>45855</v>
      </c>
      <c r="C657" s="37" t="s">
        <v>482</v>
      </c>
      <c r="D657" s="93">
        <v>45855</v>
      </c>
      <c r="E657" s="37" t="s">
        <v>377</v>
      </c>
      <c r="F657" s="100">
        <f t="shared" si="33"/>
        <v>6.2499999985448085E-3</v>
      </c>
    </row>
    <row r="658" spans="1:8">
      <c r="A658" s="37" t="s">
        <v>227</v>
      </c>
      <c r="B658" s="93">
        <v>45855</v>
      </c>
      <c r="C658" s="37" t="s">
        <v>751</v>
      </c>
      <c r="D658" s="93">
        <v>45855</v>
      </c>
      <c r="E658" s="37" t="s">
        <v>484</v>
      </c>
      <c r="F658" s="100">
        <f t="shared" si="33"/>
        <v>1.4583333329937886E-2</v>
      </c>
    </row>
    <row r="659" spans="1:8">
      <c r="A659" s="37" t="s">
        <v>209</v>
      </c>
      <c r="B659" s="93">
        <v>45855</v>
      </c>
      <c r="C659" s="37" t="s">
        <v>750</v>
      </c>
      <c r="D659" s="93">
        <v>45855</v>
      </c>
      <c r="E659" s="37" t="s">
        <v>911</v>
      </c>
      <c r="F659" s="100">
        <f t="shared" si="33"/>
        <v>8.6805555554747116E-2</v>
      </c>
    </row>
    <row r="660" spans="1:8" ht="27.6">
      <c r="A660" s="37" t="s">
        <v>235</v>
      </c>
      <c r="B660" s="93">
        <v>45855</v>
      </c>
      <c r="C660" s="37" t="s">
        <v>912</v>
      </c>
      <c r="D660" s="93">
        <v>45855</v>
      </c>
      <c r="E660" s="37" t="s">
        <v>699</v>
      </c>
      <c r="F660" s="100">
        <f t="shared" si="33"/>
        <v>0.20833333333575865</v>
      </c>
      <c r="H660" s="94" t="s">
        <v>913</v>
      </c>
    </row>
    <row r="661" spans="1:8">
      <c r="A661" s="37" t="s">
        <v>213</v>
      </c>
      <c r="B661" s="93">
        <v>45855</v>
      </c>
      <c r="C661" s="37" t="s">
        <v>912</v>
      </c>
      <c r="D661" s="93">
        <v>45855</v>
      </c>
      <c r="E661" s="37" t="s">
        <v>760</v>
      </c>
      <c r="F661" s="100">
        <f t="shared" si="33"/>
        <v>1.3888888934161514E-3</v>
      </c>
    </row>
    <row r="662" spans="1:8">
      <c r="A662" s="37" t="s">
        <v>222</v>
      </c>
      <c r="B662" s="93">
        <v>45855</v>
      </c>
      <c r="C662" s="37" t="s">
        <v>217</v>
      </c>
      <c r="D662" s="93">
        <v>45855</v>
      </c>
      <c r="E662" s="37" t="s">
        <v>907</v>
      </c>
      <c r="F662" s="100">
        <f t="shared" si="33"/>
        <v>0.22916666666424135</v>
      </c>
    </row>
    <row r="663" spans="1:8">
      <c r="A663" s="37" t="s">
        <v>230</v>
      </c>
      <c r="B663" s="93">
        <v>45855</v>
      </c>
      <c r="C663" s="37" t="s">
        <v>914</v>
      </c>
      <c r="D663" s="93">
        <v>45855</v>
      </c>
      <c r="E663" s="37" t="s">
        <v>700</v>
      </c>
      <c r="F663" s="100">
        <f t="shared" si="33"/>
        <v>0.15208333333430346</v>
      </c>
    </row>
    <row r="664" spans="1:8">
      <c r="A664" s="37" t="s">
        <v>240</v>
      </c>
      <c r="B664" s="93">
        <v>45855</v>
      </c>
      <c r="C664" s="37" t="s">
        <v>915</v>
      </c>
      <c r="D664" s="93">
        <v>45855</v>
      </c>
      <c r="E664" s="37" t="s">
        <v>863</v>
      </c>
      <c r="F664" s="100">
        <f t="shared" si="33"/>
        <v>0.15000000000145519</v>
      </c>
    </row>
    <row r="665" spans="1:8">
      <c r="A665" s="37" t="s">
        <v>235</v>
      </c>
      <c r="B665" s="93">
        <v>45855</v>
      </c>
      <c r="C665" s="37" t="s">
        <v>916</v>
      </c>
      <c r="D665" s="93">
        <v>45855</v>
      </c>
      <c r="E665" s="37" t="s">
        <v>277</v>
      </c>
      <c r="F665" s="100">
        <f t="shared" si="33"/>
        <v>7.847222221607808E-2</v>
      </c>
    </row>
    <row r="666" spans="1:8">
      <c r="A666" s="37" t="s">
        <v>206</v>
      </c>
      <c r="B666" s="93">
        <v>45855</v>
      </c>
      <c r="C666" s="37" t="s">
        <v>917</v>
      </c>
      <c r="D666" s="93">
        <v>45856</v>
      </c>
      <c r="E666" s="37" t="s">
        <v>918</v>
      </c>
      <c r="F666" s="100">
        <f t="shared" si="33"/>
        <v>0.63194444444525288</v>
      </c>
    </row>
    <row r="667" spans="1:8">
      <c r="A667" s="37" t="s">
        <v>243</v>
      </c>
      <c r="B667" s="93">
        <v>45855</v>
      </c>
      <c r="C667" s="37" t="s">
        <v>919</v>
      </c>
      <c r="D667" s="93">
        <v>45855</v>
      </c>
      <c r="E667" s="37" t="s">
        <v>859</v>
      </c>
      <c r="F667" s="100">
        <f t="shared" si="33"/>
        <v>2.361111110803904E-2</v>
      </c>
    </row>
    <row r="668" spans="1:8">
      <c r="A668" s="37" t="s">
        <v>246</v>
      </c>
      <c r="B668" s="93">
        <v>45855</v>
      </c>
      <c r="C668" s="37" t="s">
        <v>919</v>
      </c>
      <c r="D668" s="93">
        <v>45855</v>
      </c>
      <c r="E668" s="37" t="s">
        <v>920</v>
      </c>
      <c r="F668" s="100">
        <f t="shared" si="33"/>
        <v>4.7222222223354038E-2</v>
      </c>
    </row>
    <row r="669" spans="1:8">
      <c r="A669" s="37" t="s">
        <v>227</v>
      </c>
      <c r="B669" s="93">
        <v>45855</v>
      </c>
      <c r="C669" s="37" t="s">
        <v>921</v>
      </c>
      <c r="D669" s="93">
        <v>45855</v>
      </c>
      <c r="E669" s="37" t="s">
        <v>443</v>
      </c>
      <c r="F669" s="100">
        <f t="shared" si="33"/>
        <v>7.4999999997089617E-2</v>
      </c>
    </row>
    <row r="670" spans="1:8">
      <c r="A670" s="37" t="s">
        <v>213</v>
      </c>
      <c r="B670" s="93">
        <v>45855</v>
      </c>
      <c r="C670" s="37" t="s">
        <v>220</v>
      </c>
      <c r="D670" s="93">
        <v>45856</v>
      </c>
      <c r="E670" s="37" t="s">
        <v>215</v>
      </c>
      <c r="F670" s="100">
        <f t="shared" si="33"/>
        <v>0.50069444443943212</v>
      </c>
    </row>
    <row r="671" spans="1:8">
      <c r="A671" s="37" t="s">
        <v>222</v>
      </c>
      <c r="B671" s="93">
        <v>45855</v>
      </c>
      <c r="C671" s="37" t="s">
        <v>517</v>
      </c>
      <c r="D671" s="93">
        <v>45856</v>
      </c>
      <c r="E671" s="37" t="s">
        <v>223</v>
      </c>
      <c r="F671" s="100">
        <f t="shared" si="33"/>
        <v>0.23888888888905058</v>
      </c>
    </row>
    <row r="672" spans="1:8">
      <c r="A672" s="37" t="s">
        <v>216</v>
      </c>
      <c r="B672" s="93">
        <v>45855</v>
      </c>
      <c r="C672" s="37" t="s">
        <v>517</v>
      </c>
      <c r="D672" s="93">
        <v>45856</v>
      </c>
      <c r="E672" s="37" t="s">
        <v>901</v>
      </c>
      <c r="F672" s="100">
        <f t="shared" si="33"/>
        <v>0.24027777777519077</v>
      </c>
    </row>
    <row r="673" spans="1:7">
      <c r="A673" s="37" t="s">
        <v>240</v>
      </c>
      <c r="B673" s="93">
        <v>45855</v>
      </c>
      <c r="C673" s="37" t="s">
        <v>442</v>
      </c>
      <c r="D673" s="93">
        <v>45855</v>
      </c>
      <c r="E673" s="37" t="s">
        <v>794</v>
      </c>
      <c r="F673" s="100">
        <f t="shared" si="33"/>
        <v>4.7916666670062114E-2</v>
      </c>
    </row>
    <row r="674" spans="1:7">
      <c r="A674" s="37" t="s">
        <v>230</v>
      </c>
      <c r="B674" s="93">
        <v>45855</v>
      </c>
      <c r="C674" s="37" t="s">
        <v>442</v>
      </c>
      <c r="D674" s="93">
        <v>45855</v>
      </c>
      <c r="E674" s="37" t="s">
        <v>551</v>
      </c>
      <c r="F674" s="100">
        <f t="shared" si="33"/>
        <v>4.3749999997089617E-2</v>
      </c>
    </row>
    <row r="675" spans="1:7">
      <c r="A675" s="37" t="s">
        <v>243</v>
      </c>
      <c r="B675" s="93">
        <v>45855</v>
      </c>
      <c r="C675" s="37" t="s">
        <v>768</v>
      </c>
      <c r="D675" s="93">
        <v>45855</v>
      </c>
      <c r="E675" s="37" t="s">
        <v>922</v>
      </c>
      <c r="F675" s="100">
        <f t="shared" si="33"/>
        <v>9.0277777781011537E-3</v>
      </c>
    </row>
    <row r="676" spans="1:7">
      <c r="A676" s="37" t="s">
        <v>246</v>
      </c>
      <c r="B676" s="93">
        <v>45855</v>
      </c>
      <c r="C676" s="37" t="s">
        <v>768</v>
      </c>
      <c r="D676" s="93">
        <v>45855</v>
      </c>
      <c r="E676" s="37" t="s">
        <v>923</v>
      </c>
      <c r="F676" s="100">
        <f t="shared" si="33"/>
        <v>1.5277777776645962E-2</v>
      </c>
    </row>
    <row r="677" spans="1:7">
      <c r="A677" s="37" t="s">
        <v>219</v>
      </c>
      <c r="B677" s="93">
        <v>45856</v>
      </c>
      <c r="C677" s="37" t="s">
        <v>218</v>
      </c>
      <c r="D677" s="93">
        <v>45856</v>
      </c>
      <c r="E677" s="37" t="s">
        <v>292</v>
      </c>
      <c r="F677" s="100">
        <f t="shared" si="33"/>
        <v>0.32500000000436557</v>
      </c>
    </row>
    <row r="678" spans="1:7">
      <c r="A678" s="37" t="s">
        <v>194</v>
      </c>
      <c r="B678" s="93">
        <v>45856</v>
      </c>
      <c r="C678" s="37" t="s">
        <v>635</v>
      </c>
      <c r="D678" s="93">
        <v>45856</v>
      </c>
      <c r="E678" s="37" t="s">
        <v>286</v>
      </c>
      <c r="F678" s="100">
        <f t="shared" si="33"/>
        <v>0.24444444444088731</v>
      </c>
      <c r="G678" s="37" t="s">
        <v>9</v>
      </c>
    </row>
    <row r="679" spans="1:7">
      <c r="A679" s="37" t="s">
        <v>200</v>
      </c>
      <c r="B679" s="93">
        <v>45856</v>
      </c>
      <c r="C679" s="37" t="s">
        <v>924</v>
      </c>
      <c r="D679" s="93">
        <v>45856</v>
      </c>
      <c r="E679" s="37" t="s">
        <v>193</v>
      </c>
      <c r="F679" s="100">
        <f>(D679 + TIME(LEFT(E679, 2), MID(E679, 3, 2), 0)) - (B679 + TIME(LEFT(C679, 2), MID(C679, 3, 2), 0))</f>
        <v>0.4569444444423425</v>
      </c>
    </row>
    <row r="680" spans="1:7">
      <c r="A680" s="37" t="s">
        <v>222</v>
      </c>
      <c r="B680" s="93">
        <v>45856</v>
      </c>
      <c r="C680" s="37" t="s">
        <v>925</v>
      </c>
      <c r="D680" s="93">
        <v>45856</v>
      </c>
      <c r="E680" s="37" t="s">
        <v>292</v>
      </c>
      <c r="F680" s="100">
        <f>(D680 + TIME(LEFT(E680, 2), MID(E680, 3, 2), 0)) - (B680 + TIME(LEFT(C680, 2), MID(C680, 3, 2), 0))</f>
        <v>9.7222222226264421E-2</v>
      </c>
    </row>
    <row r="681" spans="1:7">
      <c r="A681" s="37" t="s">
        <v>235</v>
      </c>
      <c r="B681" s="93">
        <v>45856</v>
      </c>
      <c r="C681" s="37" t="s">
        <v>236</v>
      </c>
      <c r="D681" s="93">
        <v>45856</v>
      </c>
      <c r="E681" s="37" t="s">
        <v>926</v>
      </c>
      <c r="F681" s="100">
        <f>(D681 + TIME(LEFT(E681, 2), MID(E681, 3, 2), 0)) - (B681 + TIME(LEFT(C681, 2), MID(C681, 3, 2), 0))</f>
        <v>9.5833333332848269E-2</v>
      </c>
    </row>
    <row r="682" spans="1:7">
      <c r="A682" s="37" t="s">
        <v>194</v>
      </c>
      <c r="B682" s="93">
        <v>45856</v>
      </c>
      <c r="C682" s="37" t="s">
        <v>410</v>
      </c>
      <c r="D682" s="93">
        <v>45856</v>
      </c>
      <c r="E682" s="37" t="s">
        <v>193</v>
      </c>
      <c r="F682" s="100">
        <f>(D682 + TIME(LEFT(E682, 2), MID(E682, 3, 2), 0)) - (B682 + TIME(LEFT(C682, 2), MID(C682, 3, 2), 0))</f>
        <v>0.28125</v>
      </c>
    </row>
    <row r="683" spans="1:7">
      <c r="A683" s="37" t="s">
        <v>233</v>
      </c>
      <c r="B683" s="93">
        <v>45856</v>
      </c>
      <c r="C683" s="37" t="s">
        <v>293</v>
      </c>
      <c r="D683" s="93">
        <v>45856</v>
      </c>
      <c r="E683" s="37" t="s">
        <v>927</v>
      </c>
      <c r="F683" s="100">
        <f t="shared" ref="F683:F693" si="34">(D683 + TIME(LEFT(E683, 2), MID(E683, 3, 2), 0)) - (B683 + TIME(LEFT(C683, 2), MID(C683, 3, 2), 0))</f>
        <v>0.22361111111240461</v>
      </c>
    </row>
    <row r="684" spans="1:7">
      <c r="A684" s="37" t="s">
        <v>216</v>
      </c>
      <c r="B684" s="93">
        <v>45856</v>
      </c>
      <c r="C684" s="37" t="s">
        <v>928</v>
      </c>
      <c r="D684" s="93">
        <v>45856</v>
      </c>
      <c r="E684" s="37" t="s">
        <v>568</v>
      </c>
      <c r="F684" s="100">
        <f t="shared" si="34"/>
        <v>0.13611111111094942</v>
      </c>
    </row>
    <row r="685" spans="1:7">
      <c r="A685" s="37" t="s">
        <v>222</v>
      </c>
      <c r="B685" s="93">
        <v>45856</v>
      </c>
      <c r="C685" s="37" t="s">
        <v>928</v>
      </c>
      <c r="D685" s="93">
        <v>45856</v>
      </c>
      <c r="E685" s="37" t="s">
        <v>568</v>
      </c>
      <c r="F685" s="100">
        <f t="shared" si="34"/>
        <v>0.13611111111094942</v>
      </c>
    </row>
    <row r="686" spans="1:7">
      <c r="A686" s="37" t="s">
        <v>235</v>
      </c>
      <c r="B686" s="93">
        <v>45856</v>
      </c>
      <c r="C686" s="37" t="s">
        <v>338</v>
      </c>
      <c r="D686" s="93">
        <v>45856</v>
      </c>
      <c r="E686" s="37" t="s">
        <v>479</v>
      </c>
      <c r="F686" s="100">
        <f t="shared" si="34"/>
        <v>1.319444445107365E-2</v>
      </c>
    </row>
    <row r="687" spans="1:7">
      <c r="A687" s="37" t="s">
        <v>213</v>
      </c>
      <c r="B687" s="93">
        <v>45856</v>
      </c>
      <c r="C687" s="37" t="s">
        <v>338</v>
      </c>
      <c r="D687" s="93">
        <v>45856</v>
      </c>
      <c r="E687" s="37" t="s">
        <v>338</v>
      </c>
      <c r="F687" s="100">
        <f t="shared" si="34"/>
        <v>0</v>
      </c>
    </row>
    <row r="688" spans="1:7">
      <c r="A688" s="37" t="s">
        <v>227</v>
      </c>
      <c r="B688" s="93">
        <v>45856</v>
      </c>
      <c r="C688" s="37" t="s">
        <v>370</v>
      </c>
      <c r="D688" s="93">
        <v>45856</v>
      </c>
      <c r="E688" s="37" t="s">
        <v>429</v>
      </c>
      <c r="F688" s="100">
        <f t="shared" si="34"/>
        <v>3.680555555911269E-2</v>
      </c>
    </row>
    <row r="689" spans="1:6">
      <c r="A689" s="37" t="s">
        <v>230</v>
      </c>
      <c r="B689" s="93">
        <v>45856</v>
      </c>
      <c r="C689" s="37" t="s">
        <v>486</v>
      </c>
      <c r="D689" s="93">
        <v>45856</v>
      </c>
      <c r="E689" s="37" t="s">
        <v>419</v>
      </c>
      <c r="F689" s="100">
        <f t="shared" si="34"/>
        <v>7.7777777776645962E-2</v>
      </c>
    </row>
    <row r="690" spans="1:6">
      <c r="A690" s="37" t="s">
        <v>240</v>
      </c>
      <c r="B690" s="93">
        <v>45856</v>
      </c>
      <c r="C690" s="37" t="s">
        <v>751</v>
      </c>
      <c r="D690" s="93">
        <v>45856</v>
      </c>
      <c r="E690" s="37" t="s">
        <v>929</v>
      </c>
      <c r="F690" s="100">
        <f t="shared" si="34"/>
        <v>7.7777777776645962E-2</v>
      </c>
    </row>
    <row r="691" spans="1:6">
      <c r="A691" s="37" t="s">
        <v>243</v>
      </c>
      <c r="B691" s="93">
        <v>45856</v>
      </c>
      <c r="C691" s="37" t="s">
        <v>750</v>
      </c>
      <c r="D691" s="93">
        <v>45856</v>
      </c>
      <c r="E691" s="37" t="s">
        <v>930</v>
      </c>
      <c r="F691" s="100">
        <f t="shared" si="34"/>
        <v>7.0833333338669036E-2</v>
      </c>
    </row>
    <row r="692" spans="1:6">
      <c r="A692" s="37" t="s">
        <v>235</v>
      </c>
      <c r="B692" s="93">
        <v>45856</v>
      </c>
      <c r="C692" s="37" t="s">
        <v>651</v>
      </c>
      <c r="D692" s="93">
        <v>45856</v>
      </c>
      <c r="E692" s="37" t="s">
        <v>931</v>
      </c>
      <c r="F692" s="100">
        <f t="shared" si="34"/>
        <v>0.12986111110512866</v>
      </c>
    </row>
    <row r="693" spans="1:6">
      <c r="A693" s="37" t="s">
        <v>246</v>
      </c>
      <c r="B693" s="93">
        <v>45856</v>
      </c>
      <c r="C693" s="37" t="s">
        <v>932</v>
      </c>
      <c r="D693" s="93">
        <v>45856</v>
      </c>
      <c r="E693" s="37" t="s">
        <v>701</v>
      </c>
      <c r="F693" s="100">
        <f t="shared" si="34"/>
        <v>4.3055555550381541E-2</v>
      </c>
    </row>
    <row r="694" spans="1:6">
      <c r="A694" s="37" t="s">
        <v>209</v>
      </c>
      <c r="B694" s="93">
        <v>45856</v>
      </c>
      <c r="C694" s="37" t="s">
        <v>498</v>
      </c>
      <c r="D694" s="93">
        <v>45856</v>
      </c>
      <c r="E694" s="37" t="s">
        <v>193</v>
      </c>
      <c r="F694" s="100">
        <f t="shared" ref="F694:F699" si="35">(D694 + TIME(LEFT(E694, 2), MID(E694, 3, 2), 0)) - (B694 + TIME(LEFT(C694, 2), MID(C694, 3, 2), 0))</f>
        <v>0.11388888888905058</v>
      </c>
    </row>
    <row r="695" spans="1:6">
      <c r="A695" s="37" t="s">
        <v>222</v>
      </c>
      <c r="B695" s="93">
        <v>45856</v>
      </c>
      <c r="C695" s="37" t="s">
        <v>933</v>
      </c>
      <c r="D695" s="93">
        <v>45856</v>
      </c>
      <c r="E695" s="37" t="s">
        <v>934</v>
      </c>
      <c r="F695" s="100">
        <f t="shared" si="35"/>
        <v>4.5833333337213844E-2</v>
      </c>
    </row>
    <row r="696" spans="1:6">
      <c r="A696" s="37" t="s">
        <v>216</v>
      </c>
      <c r="B696" s="93">
        <v>45856</v>
      </c>
      <c r="C696" s="37" t="s">
        <v>933</v>
      </c>
      <c r="D696" s="93">
        <v>45856</v>
      </c>
      <c r="E696" s="37" t="s">
        <v>934</v>
      </c>
      <c r="F696" s="100">
        <f t="shared" si="35"/>
        <v>4.5833333337213844E-2</v>
      </c>
    </row>
    <row r="697" spans="1:6">
      <c r="A697" s="37" t="s">
        <v>206</v>
      </c>
      <c r="B697" s="93">
        <v>45856</v>
      </c>
      <c r="C697" s="37" t="s">
        <v>935</v>
      </c>
      <c r="D697" s="93">
        <v>45856</v>
      </c>
      <c r="E697" s="37" t="s">
        <v>193</v>
      </c>
      <c r="F697" s="100">
        <f t="shared" si="35"/>
        <v>2.9166666667151731E-2</v>
      </c>
    </row>
    <row r="698" spans="1:6">
      <c r="A698" s="37" t="s">
        <v>203</v>
      </c>
      <c r="B698" s="93">
        <v>45856</v>
      </c>
      <c r="C698" s="37" t="s">
        <v>261</v>
      </c>
      <c r="D698" s="93">
        <v>45856</v>
      </c>
      <c r="E698" s="37" t="s">
        <v>193</v>
      </c>
      <c r="F698" s="100">
        <f t="shared" si="35"/>
        <v>2.2916666661330964E-2</v>
      </c>
    </row>
    <row r="699" spans="1:6">
      <c r="A699" s="37" t="s">
        <v>235</v>
      </c>
      <c r="B699" s="93">
        <v>45856</v>
      </c>
      <c r="C699" s="37" t="s">
        <v>936</v>
      </c>
      <c r="D699" s="93">
        <v>45856</v>
      </c>
      <c r="E699" s="37" t="s">
        <v>937</v>
      </c>
      <c r="F699" s="100">
        <f t="shared" si="35"/>
        <v>0.18333333333430346</v>
      </c>
    </row>
    <row r="700" spans="1:6">
      <c r="A700" s="37" t="s">
        <v>203</v>
      </c>
      <c r="B700" s="93">
        <v>45856</v>
      </c>
      <c r="C700" s="37" t="s">
        <v>938</v>
      </c>
      <c r="D700" s="93">
        <v>45856</v>
      </c>
      <c r="E700" s="37" t="s">
        <v>939</v>
      </c>
      <c r="F700" s="100">
        <f t="shared" ref="F700:F711" si="36">(D700 + TIME(LEFT(E700, 2), MID(E700, 3, 2), 0)) - (B700 + TIME(LEFT(C700, 2), MID(C700, 3, 2), 0))</f>
        <v>0.26736111110949423</v>
      </c>
    </row>
    <row r="701" spans="1:6">
      <c r="A701" s="37" t="s">
        <v>197</v>
      </c>
      <c r="B701" s="93">
        <v>45856</v>
      </c>
      <c r="C701" s="37" t="s">
        <v>940</v>
      </c>
      <c r="D701" s="93">
        <v>45857</v>
      </c>
      <c r="E701" s="37" t="s">
        <v>941</v>
      </c>
      <c r="F701" s="100">
        <f t="shared" si="36"/>
        <v>0.47430555555911269</v>
      </c>
    </row>
    <row r="702" spans="1:6">
      <c r="A702" s="37" t="s">
        <v>200</v>
      </c>
      <c r="B702" s="93">
        <v>45856</v>
      </c>
      <c r="C702" s="37" t="s">
        <v>942</v>
      </c>
      <c r="D702" s="93">
        <v>45858</v>
      </c>
      <c r="E702" s="37" t="s">
        <v>943</v>
      </c>
      <c r="F702" s="100">
        <f t="shared" si="36"/>
        <v>1.6534722222204437</v>
      </c>
    </row>
    <row r="703" spans="1:6">
      <c r="A703" s="37" t="s">
        <v>209</v>
      </c>
      <c r="B703" s="93">
        <v>45856</v>
      </c>
      <c r="C703" s="37" t="s">
        <v>944</v>
      </c>
      <c r="D703" s="93">
        <v>45856</v>
      </c>
      <c r="E703" s="37" t="s">
        <v>546</v>
      </c>
      <c r="F703" s="100">
        <f t="shared" si="36"/>
        <v>0.12222222222044365</v>
      </c>
    </row>
    <row r="704" spans="1:6">
      <c r="A704" s="37" t="s">
        <v>206</v>
      </c>
      <c r="B704" s="93">
        <v>45856</v>
      </c>
      <c r="C704" s="37" t="s">
        <v>945</v>
      </c>
      <c r="D704" s="93">
        <v>45856</v>
      </c>
      <c r="E704" s="37" t="s">
        <v>946</v>
      </c>
      <c r="F704" s="100">
        <f t="shared" si="36"/>
        <v>0.27638888888759539</v>
      </c>
    </row>
    <row r="705" spans="1:7">
      <c r="A705" s="37" t="s">
        <v>227</v>
      </c>
      <c r="B705" s="93">
        <v>45856</v>
      </c>
      <c r="C705" s="37" t="s">
        <v>916</v>
      </c>
      <c r="D705" s="93">
        <v>45856</v>
      </c>
      <c r="E705" s="37" t="s">
        <v>947</v>
      </c>
      <c r="F705" s="100">
        <f t="shared" si="36"/>
        <v>2.4999999994179234E-2</v>
      </c>
    </row>
    <row r="706" spans="1:7">
      <c r="A706" s="37" t="s">
        <v>230</v>
      </c>
      <c r="B706" s="93">
        <v>45856</v>
      </c>
      <c r="C706" s="37" t="s">
        <v>916</v>
      </c>
      <c r="D706" s="93">
        <v>45856</v>
      </c>
      <c r="E706" s="37" t="s">
        <v>947</v>
      </c>
      <c r="F706" s="100">
        <f t="shared" si="36"/>
        <v>2.4999999994179234E-2</v>
      </c>
    </row>
    <row r="707" spans="1:7">
      <c r="A707" s="37" t="s">
        <v>194</v>
      </c>
      <c r="B707" s="93">
        <v>45856</v>
      </c>
      <c r="C707" s="37" t="s">
        <v>201</v>
      </c>
      <c r="D707" s="93">
        <v>45857</v>
      </c>
      <c r="E707" s="37" t="s">
        <v>948</v>
      </c>
      <c r="F707" s="100">
        <f t="shared" si="36"/>
        <v>0.37777777777955635</v>
      </c>
    </row>
    <row r="708" spans="1:7">
      <c r="A708" s="37" t="s">
        <v>240</v>
      </c>
      <c r="B708" s="93">
        <v>45856</v>
      </c>
      <c r="C708" s="37" t="s">
        <v>792</v>
      </c>
      <c r="D708" s="93">
        <v>45856</v>
      </c>
      <c r="E708" s="37" t="s">
        <v>949</v>
      </c>
      <c r="F708" s="100">
        <f t="shared" si="36"/>
        <v>2.4305555554747116E-2</v>
      </c>
    </row>
    <row r="709" spans="1:7">
      <c r="A709" s="37" t="s">
        <v>243</v>
      </c>
      <c r="B709" s="93">
        <v>45856</v>
      </c>
      <c r="C709" s="37" t="s">
        <v>792</v>
      </c>
      <c r="D709" s="93">
        <v>45856</v>
      </c>
      <c r="E709" s="37" t="s">
        <v>949</v>
      </c>
      <c r="F709" s="100">
        <f t="shared" si="36"/>
        <v>2.4305555554747116E-2</v>
      </c>
    </row>
    <row r="710" spans="1:7">
      <c r="A710" s="37" t="s">
        <v>246</v>
      </c>
      <c r="B710" s="93">
        <v>45856</v>
      </c>
      <c r="C710" s="37" t="s">
        <v>792</v>
      </c>
      <c r="D710" s="93">
        <v>45856</v>
      </c>
      <c r="E710" s="37" t="s">
        <v>950</v>
      </c>
      <c r="F710" s="100">
        <f t="shared" si="36"/>
        <v>2.6388888887595385E-2</v>
      </c>
    </row>
    <row r="711" spans="1:7">
      <c r="A711" s="37" t="s">
        <v>209</v>
      </c>
      <c r="B711" s="93">
        <v>45856</v>
      </c>
      <c r="C711" s="37" t="s">
        <v>546</v>
      </c>
      <c r="D711" s="93">
        <v>45857</v>
      </c>
      <c r="E711" s="37" t="s">
        <v>796</v>
      </c>
      <c r="F711" s="100">
        <f t="shared" si="36"/>
        <v>1.0437499999970896</v>
      </c>
      <c r="G711" s="37" t="s">
        <v>9</v>
      </c>
    </row>
    <row r="712" spans="1:7">
      <c r="A712" s="37" t="s">
        <v>240</v>
      </c>
      <c r="B712" s="93">
        <v>45856</v>
      </c>
      <c r="C712" s="37" t="s">
        <v>797</v>
      </c>
      <c r="D712" s="93">
        <v>45856</v>
      </c>
      <c r="E712" s="37" t="s">
        <v>610</v>
      </c>
      <c r="F712" s="100">
        <f t="shared" ref="F712:F718" si="37">(D712 + TIME(LEFT(E712, 2), MID(E712, 3, 2), 0)) - (B712 + TIME(LEFT(C712, 2), MID(C712, 3, 2), 0))</f>
        <v>3.4027777779556345E-2</v>
      </c>
    </row>
    <row r="713" spans="1:7">
      <c r="A713" s="37" t="s">
        <v>227</v>
      </c>
      <c r="B713" s="93">
        <v>45856</v>
      </c>
      <c r="C713" s="37" t="s">
        <v>797</v>
      </c>
      <c r="D713" s="93">
        <v>45856</v>
      </c>
      <c r="E713" s="37" t="s">
        <v>552</v>
      </c>
      <c r="F713" s="100">
        <f t="shared" si="37"/>
        <v>1.8055555556202307E-2</v>
      </c>
    </row>
    <row r="714" spans="1:7">
      <c r="A714" s="37" t="s">
        <v>230</v>
      </c>
      <c r="B714" s="93">
        <v>45856</v>
      </c>
      <c r="C714" s="37" t="s">
        <v>797</v>
      </c>
      <c r="D714" s="93">
        <v>45856</v>
      </c>
      <c r="E714" s="37" t="s">
        <v>879</v>
      </c>
      <c r="F714" s="100">
        <f t="shared" si="37"/>
        <v>3.2638888886140194E-2</v>
      </c>
    </row>
    <row r="715" spans="1:7">
      <c r="A715" s="37" t="s">
        <v>243</v>
      </c>
      <c r="B715" s="93">
        <v>45856</v>
      </c>
      <c r="C715" s="37" t="s">
        <v>755</v>
      </c>
      <c r="D715" s="93">
        <v>45856</v>
      </c>
      <c r="E715" s="37" t="s">
        <v>879</v>
      </c>
      <c r="F715" s="100">
        <f t="shared" si="37"/>
        <v>2.4305555554747116E-2</v>
      </c>
    </row>
    <row r="716" spans="1:7">
      <c r="A716" s="37" t="s">
        <v>246</v>
      </c>
      <c r="B716" s="93">
        <v>45856</v>
      </c>
      <c r="C716" s="37" t="s">
        <v>755</v>
      </c>
      <c r="D716" s="93">
        <v>45856</v>
      </c>
      <c r="E716" s="37" t="s">
        <v>610</v>
      </c>
      <c r="F716" s="100">
        <f t="shared" si="37"/>
        <v>2.5694444448163267E-2</v>
      </c>
    </row>
    <row r="717" spans="1:7">
      <c r="A717" s="37" t="s">
        <v>297</v>
      </c>
      <c r="B717" s="93">
        <v>45856</v>
      </c>
      <c r="C717" s="37" t="s">
        <v>755</v>
      </c>
      <c r="D717" s="93">
        <v>45856</v>
      </c>
      <c r="E717" s="37" t="s">
        <v>552</v>
      </c>
      <c r="F717" s="100">
        <f t="shared" si="37"/>
        <v>9.7222222248092294E-3</v>
      </c>
    </row>
    <row r="718" spans="1:7">
      <c r="A718" s="37" t="s">
        <v>251</v>
      </c>
      <c r="B718" s="93">
        <v>45856</v>
      </c>
      <c r="C718" s="37" t="s">
        <v>528</v>
      </c>
      <c r="D718" s="93">
        <v>45856</v>
      </c>
      <c r="E718" s="37" t="s">
        <v>951</v>
      </c>
      <c r="F718" s="100">
        <f t="shared" si="37"/>
        <v>3.6805555551836733E-2</v>
      </c>
    </row>
    <row r="719" spans="1:7">
      <c r="A719" s="37" t="s">
        <v>213</v>
      </c>
      <c r="B719" s="93">
        <v>45856</v>
      </c>
      <c r="C719" s="37" t="s">
        <v>670</v>
      </c>
      <c r="D719" s="93">
        <v>45857</v>
      </c>
      <c r="E719" s="37" t="s">
        <v>245</v>
      </c>
      <c r="F719" s="100">
        <f t="shared" ref="F719:F728" si="38">(D719 + TIME(LEFT(E719, 2), MID(E719, 3, 2), 0)) - (B719 + TIME(LEFT(C719, 2), MID(C719, 3, 2), 0))</f>
        <v>0.57638888889050577</v>
      </c>
    </row>
    <row r="720" spans="1:7">
      <c r="A720" s="37" t="s">
        <v>219</v>
      </c>
      <c r="B720" s="93">
        <v>45856</v>
      </c>
      <c r="C720" s="37" t="s">
        <v>537</v>
      </c>
      <c r="D720" s="93">
        <v>45856</v>
      </c>
      <c r="E720" s="37" t="s">
        <v>682</v>
      </c>
      <c r="F720" s="100">
        <f t="shared" si="38"/>
        <v>2.0833333328482695E-3</v>
      </c>
    </row>
    <row r="721" spans="1:8">
      <c r="A721" s="37" t="s">
        <v>216</v>
      </c>
      <c r="B721" s="93">
        <v>45856</v>
      </c>
      <c r="C721" s="37" t="s">
        <v>537</v>
      </c>
      <c r="D721" s="93">
        <v>45856</v>
      </c>
      <c r="E721" s="37" t="s">
        <v>682</v>
      </c>
      <c r="F721" s="100">
        <f t="shared" si="38"/>
        <v>2.0833333328482695E-3</v>
      </c>
    </row>
    <row r="722" spans="1:8">
      <c r="A722" s="37" t="s">
        <v>219</v>
      </c>
      <c r="B722" s="93">
        <v>45856</v>
      </c>
      <c r="C722" s="37" t="s">
        <v>438</v>
      </c>
      <c r="D722" s="93">
        <v>45856</v>
      </c>
      <c r="E722" s="37" t="s">
        <v>952</v>
      </c>
      <c r="F722" s="100">
        <f t="shared" si="38"/>
        <v>3.888888889196096E-2</v>
      </c>
    </row>
    <row r="723" spans="1:8">
      <c r="A723" s="37" t="s">
        <v>216</v>
      </c>
      <c r="B723" s="93">
        <v>45856</v>
      </c>
      <c r="C723" s="37" t="s">
        <v>438</v>
      </c>
      <c r="D723" s="93">
        <v>45856</v>
      </c>
      <c r="E723" s="37" t="s">
        <v>952</v>
      </c>
      <c r="F723" s="100">
        <f t="shared" si="38"/>
        <v>3.888888889196096E-2</v>
      </c>
    </row>
    <row r="724" spans="1:8">
      <c r="A724" s="37" t="s">
        <v>219</v>
      </c>
      <c r="B724" s="93">
        <v>45856</v>
      </c>
      <c r="C724" s="37" t="s">
        <v>953</v>
      </c>
      <c r="D724" s="93">
        <v>45857</v>
      </c>
      <c r="E724" s="37" t="s">
        <v>215</v>
      </c>
      <c r="F724" s="100">
        <f t="shared" si="38"/>
        <v>0.43194444444088731</v>
      </c>
    </row>
    <row r="725" spans="1:8">
      <c r="A725" s="37" t="s">
        <v>216</v>
      </c>
      <c r="B725" s="93">
        <v>45856</v>
      </c>
      <c r="C725" s="37" t="s">
        <v>953</v>
      </c>
      <c r="D725" s="93">
        <v>45856</v>
      </c>
      <c r="E725" s="37" t="s">
        <v>196</v>
      </c>
      <c r="F725" s="100">
        <f t="shared" si="38"/>
        <v>0.13958333332993789</v>
      </c>
    </row>
    <row r="726" spans="1:8">
      <c r="A726" s="37" t="s">
        <v>240</v>
      </c>
      <c r="B726" s="93">
        <v>45856</v>
      </c>
      <c r="C726" s="37" t="s">
        <v>939</v>
      </c>
      <c r="D726" s="93">
        <v>45856</v>
      </c>
      <c r="E726" s="37" t="s">
        <v>954</v>
      </c>
      <c r="F726" s="100">
        <f t="shared" si="38"/>
        <v>1.1805555557657499E-2</v>
      </c>
    </row>
    <row r="727" spans="1:8">
      <c r="A727" s="37" t="s">
        <v>227</v>
      </c>
      <c r="B727" s="93">
        <v>45856</v>
      </c>
      <c r="C727" s="37" t="s">
        <v>939</v>
      </c>
      <c r="D727" s="93">
        <v>45856</v>
      </c>
      <c r="E727" s="37" t="s">
        <v>955</v>
      </c>
      <c r="F727" s="100">
        <f t="shared" si="38"/>
        <v>4.166666665696539E-3</v>
      </c>
    </row>
    <row r="728" spans="1:8">
      <c r="A728" s="37" t="s">
        <v>230</v>
      </c>
      <c r="B728" s="93">
        <v>45856</v>
      </c>
      <c r="C728" s="37" t="s">
        <v>939</v>
      </c>
      <c r="D728" s="93">
        <v>45856</v>
      </c>
      <c r="E728" s="37" t="s">
        <v>837</v>
      </c>
      <c r="F728" s="100">
        <f t="shared" si="38"/>
        <v>8.3333333386690356E-3</v>
      </c>
    </row>
    <row r="729" spans="1:8">
      <c r="A729" s="37" t="s">
        <v>191</v>
      </c>
      <c r="B729" s="93">
        <v>45856</v>
      </c>
      <c r="C729" s="37" t="s">
        <v>956</v>
      </c>
    </row>
    <row r="730" spans="1:8">
      <c r="A730" s="37" t="s">
        <v>206</v>
      </c>
      <c r="B730" s="93">
        <v>45857</v>
      </c>
      <c r="C730" s="37" t="s">
        <v>957</v>
      </c>
      <c r="D730" s="93">
        <v>45857</v>
      </c>
      <c r="E730" s="37" t="s">
        <v>958</v>
      </c>
      <c r="F730" s="100">
        <f t="shared" ref="F730:F736" si="39">(D730 + TIME(LEFT(E730, 2), MID(E730, 3, 2), 0)) - (B730 + TIME(LEFT(C730, 2), MID(C730, 3, 2), 0))</f>
        <v>8.1250000002910383E-2</v>
      </c>
    </row>
    <row r="731" spans="1:8">
      <c r="A731" s="37" t="s">
        <v>203</v>
      </c>
      <c r="B731" s="93">
        <v>45857</v>
      </c>
      <c r="C731" s="37" t="s">
        <v>740</v>
      </c>
      <c r="D731" s="93">
        <v>45857</v>
      </c>
      <c r="E731" s="37" t="s">
        <v>941</v>
      </c>
      <c r="F731" s="100">
        <f t="shared" si="39"/>
        <v>1.7361111109494232E-2</v>
      </c>
      <c r="H731" s="94" t="s">
        <v>335</v>
      </c>
    </row>
    <row r="732" spans="1:8">
      <c r="A732" s="37" t="s">
        <v>203</v>
      </c>
      <c r="B732" s="93">
        <v>45857</v>
      </c>
      <c r="C732" s="37" t="s">
        <v>941</v>
      </c>
      <c r="D732" s="93">
        <v>45857</v>
      </c>
      <c r="E732" s="37" t="s">
        <v>959</v>
      </c>
      <c r="F732" s="100">
        <f t="shared" si="39"/>
        <v>0.77708333333430346</v>
      </c>
      <c r="H732" s="94" t="s">
        <v>337</v>
      </c>
    </row>
    <row r="733" spans="1:8">
      <c r="A733" s="37" t="s">
        <v>243</v>
      </c>
      <c r="B733" s="93">
        <v>45857</v>
      </c>
      <c r="C733" s="37" t="s">
        <v>674</v>
      </c>
      <c r="D733" s="93">
        <v>45857</v>
      </c>
      <c r="E733" s="37" t="s">
        <v>350</v>
      </c>
      <c r="F733" s="100">
        <f t="shared" si="39"/>
        <v>3.2638888886140194E-2</v>
      </c>
    </row>
    <row r="734" spans="1:8">
      <c r="A734" s="37" t="s">
        <v>246</v>
      </c>
      <c r="B734" s="93">
        <v>45857</v>
      </c>
      <c r="C734" s="37" t="s">
        <v>674</v>
      </c>
      <c r="D734" s="93">
        <v>45857</v>
      </c>
      <c r="E734" s="37" t="s">
        <v>603</v>
      </c>
      <c r="F734" s="100">
        <f t="shared" si="39"/>
        <v>3.5416666665696539E-2</v>
      </c>
    </row>
    <row r="735" spans="1:8">
      <c r="A735" s="37" t="s">
        <v>216</v>
      </c>
      <c r="B735" s="93">
        <v>45857</v>
      </c>
      <c r="C735" s="37" t="s">
        <v>236</v>
      </c>
      <c r="D735" s="93">
        <v>45857</v>
      </c>
      <c r="E735" s="37" t="s">
        <v>777</v>
      </c>
      <c r="F735" s="100">
        <f t="shared" si="39"/>
        <v>0.13333333333139308</v>
      </c>
    </row>
    <row r="736" spans="1:8">
      <c r="A736" s="37" t="s">
        <v>227</v>
      </c>
      <c r="B736" s="93">
        <v>45857</v>
      </c>
      <c r="C736" s="37" t="s">
        <v>283</v>
      </c>
      <c r="D736" s="93">
        <v>45857</v>
      </c>
      <c r="E736" s="37" t="s">
        <v>960</v>
      </c>
      <c r="F736" s="100">
        <f t="shared" si="39"/>
        <v>1.3888888883229811E-2</v>
      </c>
    </row>
    <row r="737" spans="1:6">
      <c r="A737" s="37" t="s">
        <v>194</v>
      </c>
      <c r="B737" s="93">
        <v>45857</v>
      </c>
      <c r="C737" s="37" t="s">
        <v>961</v>
      </c>
      <c r="D737" s="93">
        <v>45865</v>
      </c>
      <c r="E737" s="37" t="s">
        <v>962</v>
      </c>
      <c r="F737" s="100">
        <f>(D737 + TIME(LEFT(E737, 2), MID(E737, 3, 2), 0)) - (B737 + TIME(LEFT(C737, 2), MID(C737, 3, 2), 0))</f>
        <v>8.6993055555576575</v>
      </c>
    </row>
    <row r="738" spans="1:6">
      <c r="A738" s="37" t="s">
        <v>222</v>
      </c>
      <c r="B738" s="93">
        <v>45857</v>
      </c>
      <c r="C738" s="37" t="s">
        <v>963</v>
      </c>
      <c r="D738" s="93">
        <v>45857</v>
      </c>
      <c r="E738" s="37" t="s">
        <v>777</v>
      </c>
      <c r="F738" s="100">
        <f t="shared" ref="F738:F781" si="40">(D738 + TIME(LEFT(E738, 2), MID(E738, 3, 2), 0)) - (B738 + TIME(LEFT(C738, 2), MID(C738, 3, 2), 0))</f>
        <v>9.1666666667151731E-2</v>
      </c>
    </row>
    <row r="739" spans="1:6">
      <c r="A739" s="37" t="s">
        <v>230</v>
      </c>
      <c r="B739" s="93">
        <v>45857</v>
      </c>
      <c r="C739" s="37" t="s">
        <v>600</v>
      </c>
      <c r="D739" s="93">
        <v>45857</v>
      </c>
      <c r="E739" s="37" t="s">
        <v>248</v>
      </c>
      <c r="F739" s="100">
        <f t="shared" si="40"/>
        <v>4.8611111051286571E-3</v>
      </c>
    </row>
    <row r="740" spans="1:6">
      <c r="A740" s="37" t="s">
        <v>233</v>
      </c>
      <c r="B740" s="93">
        <v>45857</v>
      </c>
      <c r="C740" s="37" t="s">
        <v>602</v>
      </c>
      <c r="D740" s="93">
        <v>45857</v>
      </c>
      <c r="E740" s="37" t="s">
        <v>964</v>
      </c>
      <c r="F740" s="100">
        <f t="shared" si="40"/>
        <v>0.18680555555329192</v>
      </c>
    </row>
    <row r="741" spans="1:6">
      <c r="A741" s="37" t="s">
        <v>235</v>
      </c>
      <c r="B741" s="93">
        <v>45857</v>
      </c>
      <c r="C741" s="37" t="s">
        <v>880</v>
      </c>
      <c r="D741" s="93">
        <v>45857</v>
      </c>
      <c r="E741" s="37" t="s">
        <v>965</v>
      </c>
      <c r="F741" s="100">
        <f t="shared" si="40"/>
        <v>9.9305555551836733E-2</v>
      </c>
    </row>
    <row r="742" spans="1:6">
      <c r="A742" s="37" t="s">
        <v>240</v>
      </c>
      <c r="B742" s="93">
        <v>45857</v>
      </c>
      <c r="C742" s="37" t="s">
        <v>221</v>
      </c>
      <c r="D742" s="93">
        <v>45857</v>
      </c>
      <c r="E742" s="37" t="s">
        <v>307</v>
      </c>
      <c r="F742" s="100">
        <f t="shared" si="40"/>
        <v>3.5416666672972497E-2</v>
      </c>
    </row>
    <row r="743" spans="1:6">
      <c r="A743" s="37" t="s">
        <v>243</v>
      </c>
      <c r="B743" s="93">
        <v>45857</v>
      </c>
      <c r="C743" s="37" t="s">
        <v>479</v>
      </c>
      <c r="D743" s="93">
        <v>45857</v>
      </c>
      <c r="E743" s="37" t="s">
        <v>966</v>
      </c>
      <c r="F743" s="100">
        <f t="shared" si="40"/>
        <v>4.2361111110949423E-2</v>
      </c>
    </row>
    <row r="744" spans="1:6">
      <c r="A744" s="37" t="s">
        <v>246</v>
      </c>
      <c r="B744" s="93">
        <v>45857</v>
      </c>
      <c r="C744" s="37" t="s">
        <v>883</v>
      </c>
      <c r="D744" s="93">
        <v>45857</v>
      </c>
      <c r="E744" s="37" t="s">
        <v>966</v>
      </c>
      <c r="F744" s="100">
        <f t="shared" si="40"/>
        <v>3.7500000005820766E-2</v>
      </c>
    </row>
    <row r="745" spans="1:6">
      <c r="A745" s="37" t="s">
        <v>227</v>
      </c>
      <c r="B745" s="93">
        <v>45857</v>
      </c>
      <c r="C745" s="37" t="s">
        <v>751</v>
      </c>
      <c r="D745" s="93">
        <v>45857</v>
      </c>
      <c r="E745" s="37" t="s">
        <v>966</v>
      </c>
      <c r="F745" s="100">
        <f t="shared" si="40"/>
        <v>3.125E-2</v>
      </c>
    </row>
    <row r="746" spans="1:6">
      <c r="A746" s="37" t="s">
        <v>230</v>
      </c>
      <c r="B746" s="93">
        <v>45857</v>
      </c>
      <c r="C746" s="37" t="s">
        <v>967</v>
      </c>
      <c r="D746" s="93">
        <v>45857</v>
      </c>
      <c r="E746" s="37" t="s">
        <v>966</v>
      </c>
      <c r="F746" s="100">
        <f t="shared" si="40"/>
        <v>2.4305555562023073E-2</v>
      </c>
    </row>
    <row r="747" spans="1:6">
      <c r="A747" s="37" t="s">
        <v>197</v>
      </c>
      <c r="B747" s="93">
        <v>45857</v>
      </c>
      <c r="C747" s="37" t="s">
        <v>483</v>
      </c>
      <c r="D747" s="93">
        <v>45858</v>
      </c>
      <c r="E747" s="37" t="s">
        <v>968</v>
      </c>
      <c r="F747" s="100">
        <f t="shared" si="40"/>
        <v>1.5715277777781012</v>
      </c>
    </row>
    <row r="748" spans="1:6">
      <c r="A748" s="37" t="s">
        <v>222</v>
      </c>
      <c r="B748" s="93">
        <v>45857</v>
      </c>
      <c r="C748" s="37" t="s">
        <v>484</v>
      </c>
      <c r="D748" s="93">
        <v>45858</v>
      </c>
      <c r="E748" s="37" t="s">
        <v>215</v>
      </c>
      <c r="F748" s="100">
        <f t="shared" si="40"/>
        <v>0.84305555555329192</v>
      </c>
    </row>
    <row r="749" spans="1:6">
      <c r="A749" s="37" t="s">
        <v>216</v>
      </c>
      <c r="B749" s="93">
        <v>45857</v>
      </c>
      <c r="C749" s="37" t="s">
        <v>484</v>
      </c>
      <c r="D749" s="93">
        <v>45857</v>
      </c>
      <c r="E749" s="37" t="s">
        <v>919</v>
      </c>
      <c r="F749" s="100">
        <f t="shared" si="40"/>
        <v>0.30138888888905058</v>
      </c>
    </row>
    <row r="750" spans="1:6">
      <c r="A750" s="37" t="s">
        <v>235</v>
      </c>
      <c r="B750" s="93">
        <v>45857</v>
      </c>
      <c r="C750" s="37" t="s">
        <v>969</v>
      </c>
      <c r="D750" s="93">
        <v>45857</v>
      </c>
      <c r="E750" s="37" t="s">
        <v>697</v>
      </c>
      <c r="F750" s="100">
        <f t="shared" si="40"/>
        <v>9.7916666665696539E-2</v>
      </c>
    </row>
    <row r="751" spans="1:6">
      <c r="A751" s="37" t="s">
        <v>227</v>
      </c>
      <c r="B751" s="93">
        <v>45857</v>
      </c>
      <c r="C751" s="37" t="s">
        <v>263</v>
      </c>
      <c r="D751" s="93">
        <v>45857</v>
      </c>
      <c r="E751" s="37" t="s">
        <v>970</v>
      </c>
      <c r="F751" s="100">
        <f t="shared" si="40"/>
        <v>0.15277777777373558</v>
      </c>
    </row>
    <row r="752" spans="1:6">
      <c r="A752" s="37" t="s">
        <v>230</v>
      </c>
      <c r="B752" s="93">
        <v>45857</v>
      </c>
      <c r="C752" s="37" t="s">
        <v>971</v>
      </c>
      <c r="D752" s="93">
        <v>45857</v>
      </c>
      <c r="E752" s="37" t="s">
        <v>514</v>
      </c>
      <c r="F752" s="100">
        <f t="shared" si="40"/>
        <v>0.14861111110803904</v>
      </c>
    </row>
    <row r="753" spans="1:6">
      <c r="A753" s="37" t="s">
        <v>235</v>
      </c>
      <c r="B753" s="93">
        <v>45857</v>
      </c>
      <c r="C753" s="37" t="s">
        <v>972</v>
      </c>
      <c r="D753" s="93">
        <v>45857</v>
      </c>
      <c r="E753" s="37" t="s">
        <v>277</v>
      </c>
      <c r="F753" s="100">
        <f t="shared" si="40"/>
        <v>0.14861111110803904</v>
      </c>
    </row>
    <row r="754" spans="1:6">
      <c r="A754" s="37" t="s">
        <v>246</v>
      </c>
      <c r="B754" s="93">
        <v>45857</v>
      </c>
      <c r="C754" s="37" t="s">
        <v>590</v>
      </c>
      <c r="D754" s="93">
        <v>45857</v>
      </c>
      <c r="E754" s="37" t="s">
        <v>514</v>
      </c>
      <c r="F754" s="100">
        <f t="shared" si="40"/>
        <v>0.11527777777519077</v>
      </c>
    </row>
    <row r="755" spans="1:6">
      <c r="A755" s="37" t="s">
        <v>240</v>
      </c>
      <c r="B755" s="93">
        <v>45857</v>
      </c>
      <c r="C755" s="37" t="s">
        <v>201</v>
      </c>
      <c r="D755" s="93">
        <v>45857</v>
      </c>
      <c r="E755" s="37" t="s">
        <v>521</v>
      </c>
      <c r="F755" s="100">
        <f t="shared" si="40"/>
        <v>0.14722222222189885</v>
      </c>
    </row>
    <row r="756" spans="1:6">
      <c r="A756" s="37" t="s">
        <v>219</v>
      </c>
      <c r="B756" s="93">
        <v>45857</v>
      </c>
      <c r="C756" s="37" t="s">
        <v>669</v>
      </c>
      <c r="D756" s="93">
        <v>45858</v>
      </c>
      <c r="E756" s="37" t="s">
        <v>218</v>
      </c>
      <c r="F756" s="100">
        <f t="shared" si="40"/>
        <v>0.29236111111094942</v>
      </c>
    </row>
    <row r="757" spans="1:6">
      <c r="A757" s="37" t="s">
        <v>206</v>
      </c>
      <c r="B757" s="93">
        <v>45857</v>
      </c>
      <c r="C757" s="37" t="s">
        <v>973</v>
      </c>
      <c r="D757" s="93">
        <v>45858</v>
      </c>
      <c r="E757" s="37" t="s">
        <v>974</v>
      </c>
      <c r="F757" s="100">
        <f t="shared" si="40"/>
        <v>0.29097222222480923</v>
      </c>
    </row>
    <row r="758" spans="1:6">
      <c r="A758" s="37" t="s">
        <v>227</v>
      </c>
      <c r="B758" s="93">
        <v>45857</v>
      </c>
      <c r="C758" s="37" t="s">
        <v>519</v>
      </c>
      <c r="D758" s="93">
        <v>45857</v>
      </c>
      <c r="E758" s="37" t="s">
        <v>894</v>
      </c>
      <c r="F758" s="100">
        <f t="shared" si="40"/>
        <v>3.6805555551836733E-2</v>
      </c>
    </row>
    <row r="759" spans="1:6">
      <c r="A759" s="37" t="s">
        <v>230</v>
      </c>
      <c r="B759" s="93">
        <v>45857</v>
      </c>
      <c r="C759" s="37" t="s">
        <v>519</v>
      </c>
      <c r="D759" s="93">
        <v>45857</v>
      </c>
      <c r="E759" s="37" t="s">
        <v>975</v>
      </c>
      <c r="F759" s="100">
        <f t="shared" si="40"/>
        <v>5.5555555554747116E-2</v>
      </c>
    </row>
    <row r="760" spans="1:6">
      <c r="A760" s="37" t="s">
        <v>246</v>
      </c>
      <c r="B760" s="93">
        <v>45857</v>
      </c>
      <c r="C760" s="37" t="s">
        <v>519</v>
      </c>
      <c r="D760" s="93">
        <v>45857</v>
      </c>
      <c r="E760" s="37" t="s">
        <v>976</v>
      </c>
      <c r="F760" s="100">
        <f t="shared" si="40"/>
        <v>6.25E-2</v>
      </c>
    </row>
    <row r="761" spans="1:6">
      <c r="A761" s="37" t="s">
        <v>243</v>
      </c>
      <c r="B761" s="93">
        <v>45857</v>
      </c>
      <c r="C761" s="37" t="s">
        <v>548</v>
      </c>
      <c r="D761" s="93">
        <v>45857</v>
      </c>
      <c r="E761" s="37" t="s">
        <v>542</v>
      </c>
      <c r="F761" s="100">
        <f t="shared" si="40"/>
        <v>4.7222222223354038E-2</v>
      </c>
    </row>
    <row r="762" spans="1:6">
      <c r="A762" s="37" t="s">
        <v>297</v>
      </c>
      <c r="B762" s="93">
        <v>45857</v>
      </c>
      <c r="C762" s="37" t="s">
        <v>513</v>
      </c>
      <c r="D762" s="93">
        <v>45857</v>
      </c>
      <c r="E762" s="37" t="s">
        <v>977</v>
      </c>
      <c r="F762" s="100">
        <f t="shared" si="40"/>
        <v>1.3888888861401938E-3</v>
      </c>
    </row>
    <row r="763" spans="1:6">
      <c r="A763" s="37" t="s">
        <v>213</v>
      </c>
      <c r="B763" s="93">
        <v>45857</v>
      </c>
      <c r="C763" s="37" t="s">
        <v>220</v>
      </c>
      <c r="D763" s="93">
        <v>45858</v>
      </c>
      <c r="E763" s="37" t="s">
        <v>215</v>
      </c>
      <c r="F763" s="100">
        <f t="shared" si="40"/>
        <v>0.50069444443943212</v>
      </c>
    </row>
    <row r="764" spans="1:6">
      <c r="A764" s="37" t="s">
        <v>312</v>
      </c>
      <c r="B764" s="93">
        <v>45857</v>
      </c>
      <c r="C764" s="37" t="s">
        <v>978</v>
      </c>
      <c r="D764" s="93">
        <v>45857</v>
      </c>
      <c r="E764" s="37" t="s">
        <v>979</v>
      </c>
      <c r="F764" s="100">
        <f t="shared" si="40"/>
        <v>5.9027777781011537E-2</v>
      </c>
    </row>
    <row r="765" spans="1:6">
      <c r="A765" s="37" t="s">
        <v>297</v>
      </c>
      <c r="B765" s="93">
        <v>45857</v>
      </c>
      <c r="C765" s="37" t="s">
        <v>594</v>
      </c>
      <c r="D765" s="93">
        <v>45857</v>
      </c>
      <c r="E765" s="37" t="s">
        <v>894</v>
      </c>
      <c r="F765" s="100">
        <f t="shared" si="40"/>
        <v>1.7361111109494232E-2</v>
      </c>
    </row>
    <row r="766" spans="1:6">
      <c r="A766" s="37" t="s">
        <v>209</v>
      </c>
      <c r="B766" s="93">
        <v>45857</v>
      </c>
      <c r="C766" s="37" t="s">
        <v>796</v>
      </c>
      <c r="D766" s="93">
        <v>45857</v>
      </c>
      <c r="E766" s="37" t="s">
        <v>980</v>
      </c>
      <c r="F766" s="100">
        <f t="shared" si="40"/>
        <v>3.125E-2</v>
      </c>
    </row>
    <row r="767" spans="1:6">
      <c r="A767" s="37" t="s">
        <v>251</v>
      </c>
      <c r="B767" s="93">
        <v>45857</v>
      </c>
      <c r="C767" s="37" t="s">
        <v>545</v>
      </c>
      <c r="D767" s="93">
        <v>45858</v>
      </c>
      <c r="E767" s="37" t="s">
        <v>981</v>
      </c>
      <c r="F767" s="100">
        <f t="shared" si="40"/>
        <v>1.1319444444452529</v>
      </c>
    </row>
    <row r="768" spans="1:6">
      <c r="A768" s="37" t="s">
        <v>240</v>
      </c>
      <c r="B768" s="93">
        <v>45857</v>
      </c>
      <c r="C768" s="37" t="s">
        <v>812</v>
      </c>
      <c r="D768" s="93">
        <v>45857</v>
      </c>
      <c r="E768" s="37" t="s">
        <v>795</v>
      </c>
      <c r="F768" s="100">
        <f t="shared" si="40"/>
        <v>9.7222222248092294E-3</v>
      </c>
    </row>
    <row r="769" spans="1:7">
      <c r="A769" s="37" t="s">
        <v>243</v>
      </c>
      <c r="B769" s="93">
        <v>45857</v>
      </c>
      <c r="C769" s="37" t="s">
        <v>812</v>
      </c>
      <c r="D769" s="93">
        <v>45857</v>
      </c>
      <c r="E769" s="37" t="s">
        <v>795</v>
      </c>
      <c r="F769" s="100">
        <f t="shared" si="40"/>
        <v>9.7222222248092294E-3</v>
      </c>
    </row>
    <row r="770" spans="1:7">
      <c r="A770" s="37" t="s">
        <v>246</v>
      </c>
      <c r="B770" s="93">
        <v>45857</v>
      </c>
      <c r="C770" s="37" t="s">
        <v>812</v>
      </c>
      <c r="D770" s="93">
        <v>45857</v>
      </c>
      <c r="E770" s="37" t="s">
        <v>731</v>
      </c>
      <c r="F770" s="100">
        <f t="shared" si="40"/>
        <v>1.0416666671517305E-2</v>
      </c>
    </row>
    <row r="771" spans="1:7">
      <c r="A771" s="37" t="s">
        <v>209</v>
      </c>
      <c r="B771" s="93">
        <v>45857</v>
      </c>
      <c r="C771" s="37" t="s">
        <v>980</v>
      </c>
      <c r="D771" s="93">
        <v>45858</v>
      </c>
      <c r="E771" s="37" t="s">
        <v>982</v>
      </c>
      <c r="F771" s="100">
        <f t="shared" si="40"/>
        <v>0.89791666666860692</v>
      </c>
      <c r="G771" s="37" t="s">
        <v>9</v>
      </c>
    </row>
    <row r="772" spans="1:7">
      <c r="A772" s="37" t="s">
        <v>240</v>
      </c>
      <c r="B772" s="93">
        <v>45857</v>
      </c>
      <c r="C772" s="37" t="s">
        <v>983</v>
      </c>
      <c r="D772" s="93">
        <v>45857</v>
      </c>
      <c r="E772" s="37" t="s">
        <v>803</v>
      </c>
      <c r="F772" s="100">
        <f t="shared" si="40"/>
        <v>5.6250000001455192E-2</v>
      </c>
    </row>
    <row r="773" spans="1:7">
      <c r="A773" s="37" t="s">
        <v>227</v>
      </c>
      <c r="B773" s="93">
        <v>45857</v>
      </c>
      <c r="C773" s="37" t="s">
        <v>983</v>
      </c>
      <c r="D773" s="93">
        <v>45857</v>
      </c>
      <c r="E773" s="37" t="s">
        <v>770</v>
      </c>
      <c r="F773" s="100">
        <f t="shared" si="40"/>
        <v>2.4305555562023073E-2</v>
      </c>
    </row>
    <row r="774" spans="1:7">
      <c r="A774" s="37" t="s">
        <v>243</v>
      </c>
      <c r="B774" s="93">
        <v>45857</v>
      </c>
      <c r="C774" s="37" t="s">
        <v>983</v>
      </c>
      <c r="D774" s="93">
        <v>45857</v>
      </c>
      <c r="E774" s="37" t="s">
        <v>454</v>
      </c>
      <c r="F774" s="100">
        <f t="shared" si="40"/>
        <v>5.1388888889050577E-2</v>
      </c>
    </row>
    <row r="775" spans="1:7">
      <c r="A775" s="37" t="s">
        <v>230</v>
      </c>
      <c r="B775" s="93">
        <v>45857</v>
      </c>
      <c r="C775" s="37" t="s">
        <v>983</v>
      </c>
      <c r="D775" s="93">
        <v>45857</v>
      </c>
      <c r="E775" s="37" t="s">
        <v>984</v>
      </c>
      <c r="F775" s="100">
        <f t="shared" si="40"/>
        <v>4.3055555557657499E-2</v>
      </c>
    </row>
    <row r="776" spans="1:7">
      <c r="A776" s="37" t="s">
        <v>246</v>
      </c>
      <c r="B776" s="93">
        <v>45857</v>
      </c>
      <c r="C776" s="37" t="s">
        <v>983</v>
      </c>
      <c r="D776" s="93">
        <v>45857</v>
      </c>
      <c r="E776" s="37" t="s">
        <v>985</v>
      </c>
      <c r="F776" s="100">
        <f t="shared" si="40"/>
        <v>6.9444444445252884E-2</v>
      </c>
    </row>
    <row r="777" spans="1:7">
      <c r="A777" s="37" t="s">
        <v>297</v>
      </c>
      <c r="B777" s="93">
        <v>45857</v>
      </c>
      <c r="C777" s="37" t="s">
        <v>485</v>
      </c>
      <c r="D777" s="93">
        <v>45857</v>
      </c>
      <c r="E777" s="37" t="s">
        <v>986</v>
      </c>
      <c r="F777" s="100">
        <f t="shared" si="40"/>
        <v>2.8472222220443655E-2</v>
      </c>
    </row>
    <row r="778" spans="1:7">
      <c r="A778" s="37" t="s">
        <v>203</v>
      </c>
      <c r="B778" s="93">
        <v>45857</v>
      </c>
      <c r="C778" s="37" t="s">
        <v>959</v>
      </c>
      <c r="D778" s="93">
        <v>45858</v>
      </c>
      <c r="E778" s="37" t="s">
        <v>987</v>
      </c>
      <c r="F778" s="100">
        <f t="shared" si="40"/>
        <v>0.38124999999854481</v>
      </c>
      <c r="G778" s="37" t="s">
        <v>9</v>
      </c>
    </row>
    <row r="779" spans="1:7">
      <c r="A779" s="37" t="s">
        <v>216</v>
      </c>
      <c r="B779" s="93">
        <v>45858</v>
      </c>
      <c r="C779" s="37" t="s">
        <v>223</v>
      </c>
      <c r="D779" s="93">
        <v>45858</v>
      </c>
      <c r="E779" s="37" t="s">
        <v>367</v>
      </c>
      <c r="F779" s="100">
        <f t="shared" si="40"/>
        <v>0.50069444443943212</v>
      </c>
    </row>
    <row r="780" spans="1:7">
      <c r="A780" s="37" t="s">
        <v>235</v>
      </c>
      <c r="B780" s="93">
        <v>45858</v>
      </c>
      <c r="C780" s="37" t="s">
        <v>236</v>
      </c>
      <c r="D780" s="93">
        <v>45858</v>
      </c>
      <c r="E780" s="37" t="s">
        <v>988</v>
      </c>
      <c r="F780" s="100">
        <f t="shared" si="40"/>
        <v>0.21597222222044365</v>
      </c>
    </row>
    <row r="781" spans="1:7">
      <c r="A781" s="37" t="s">
        <v>219</v>
      </c>
      <c r="B781" s="93">
        <v>45858</v>
      </c>
      <c r="C781" s="37" t="s">
        <v>236</v>
      </c>
      <c r="D781" s="93">
        <v>45858</v>
      </c>
      <c r="E781" s="37" t="s">
        <v>277</v>
      </c>
      <c r="F781" s="100">
        <f t="shared" si="40"/>
        <v>0.50069444443943212</v>
      </c>
    </row>
    <row r="782" spans="1:7">
      <c r="A782" s="37" t="s">
        <v>203</v>
      </c>
      <c r="B782" s="93">
        <v>45858</v>
      </c>
      <c r="C782" s="37" t="s">
        <v>987</v>
      </c>
      <c r="D782" s="93">
        <v>45862</v>
      </c>
      <c r="E782" s="37" t="s">
        <v>989</v>
      </c>
      <c r="F782" s="100">
        <f>(D782 + TIME(LEFT(E782, 2), MID(E782, 3, 2), 0)) - (B782 + TIME(LEFT(C782, 2), MID(C782, 3, 2), 0))</f>
        <v>3.9375</v>
      </c>
    </row>
    <row r="783" spans="1:7">
      <c r="A783" s="37" t="s">
        <v>200</v>
      </c>
      <c r="B783" s="93">
        <v>45858</v>
      </c>
      <c r="C783" s="37" t="s">
        <v>943</v>
      </c>
      <c r="D783" s="93">
        <v>45858</v>
      </c>
      <c r="E783" s="37" t="s">
        <v>918</v>
      </c>
      <c r="F783" s="100">
        <f t="shared" ref="F783:F823" si="41">(D783 + TIME(LEFT(E783, 2), MID(E783, 3, 2), 0)) - (B783 + TIME(LEFT(C783, 2), MID(C783, 3, 2), 0))</f>
        <v>2.4305555554747116E-2</v>
      </c>
      <c r="G783" s="37" t="s">
        <v>9</v>
      </c>
    </row>
    <row r="784" spans="1:7">
      <c r="A784" s="37" t="s">
        <v>233</v>
      </c>
      <c r="B784" s="93">
        <v>45858</v>
      </c>
      <c r="C784" s="37" t="s">
        <v>290</v>
      </c>
      <c r="D784" s="93">
        <v>45858</v>
      </c>
      <c r="E784" s="37" t="s">
        <v>990</v>
      </c>
      <c r="F784" s="100">
        <f t="shared" si="41"/>
        <v>0.28749999999854481</v>
      </c>
    </row>
    <row r="785" spans="1:6">
      <c r="A785" s="37" t="s">
        <v>227</v>
      </c>
      <c r="B785" s="93">
        <v>45858</v>
      </c>
      <c r="C785" s="37" t="s">
        <v>571</v>
      </c>
      <c r="D785" s="93">
        <v>45858</v>
      </c>
      <c r="E785" s="37" t="s">
        <v>967</v>
      </c>
      <c r="F785" s="100">
        <f t="shared" si="41"/>
        <v>4.3055555550381541E-2</v>
      </c>
    </row>
    <row r="786" spans="1:6">
      <c r="A786" s="37" t="s">
        <v>230</v>
      </c>
      <c r="B786" s="93">
        <v>45858</v>
      </c>
      <c r="C786" s="37" t="s">
        <v>373</v>
      </c>
      <c r="D786" s="93">
        <v>45858</v>
      </c>
      <c r="E786" s="37" t="s">
        <v>313</v>
      </c>
      <c r="F786" s="100">
        <f t="shared" si="41"/>
        <v>4.3055555557657499E-2</v>
      </c>
    </row>
    <row r="787" spans="1:6">
      <c r="A787" s="37" t="s">
        <v>240</v>
      </c>
      <c r="B787" s="93">
        <v>45858</v>
      </c>
      <c r="C787" s="37" t="s">
        <v>650</v>
      </c>
      <c r="D787" s="93">
        <v>45858</v>
      </c>
      <c r="E787" s="37" t="s">
        <v>484</v>
      </c>
      <c r="F787" s="100">
        <f t="shared" si="41"/>
        <v>4.7222222223354038E-2</v>
      </c>
    </row>
    <row r="788" spans="1:6">
      <c r="A788" s="37" t="s">
        <v>200</v>
      </c>
      <c r="B788" s="93">
        <v>45858</v>
      </c>
      <c r="C788" s="37" t="s">
        <v>377</v>
      </c>
      <c r="D788" s="93">
        <v>45859</v>
      </c>
      <c r="E788" s="37" t="s">
        <v>991</v>
      </c>
      <c r="F788" s="100">
        <f t="shared" si="41"/>
        <v>0.88194444444525288</v>
      </c>
    </row>
    <row r="789" spans="1:6">
      <c r="A789" s="37" t="s">
        <v>243</v>
      </c>
      <c r="B789" s="93">
        <v>45858</v>
      </c>
      <c r="C789" s="37" t="s">
        <v>366</v>
      </c>
      <c r="D789" s="93">
        <v>45858</v>
      </c>
      <c r="E789" s="37" t="s">
        <v>487</v>
      </c>
      <c r="F789" s="100">
        <f t="shared" si="41"/>
        <v>3.6805555551836733E-2</v>
      </c>
    </row>
    <row r="790" spans="1:6">
      <c r="A790" s="37" t="s">
        <v>246</v>
      </c>
      <c r="B790" s="93">
        <v>45858</v>
      </c>
      <c r="C790" s="37" t="s">
        <v>413</v>
      </c>
      <c r="D790" s="93">
        <v>45858</v>
      </c>
      <c r="E790" s="37" t="s">
        <v>992</v>
      </c>
      <c r="F790" s="100">
        <f t="shared" si="41"/>
        <v>3.2638888886140194E-2</v>
      </c>
    </row>
    <row r="791" spans="1:6">
      <c r="A791" s="37" t="s">
        <v>297</v>
      </c>
      <c r="B791" s="93">
        <v>45858</v>
      </c>
      <c r="C791" s="37" t="s">
        <v>488</v>
      </c>
      <c r="D791" s="93">
        <v>45858</v>
      </c>
      <c r="E791" s="37" t="s">
        <v>993</v>
      </c>
      <c r="F791" s="100">
        <f t="shared" si="41"/>
        <v>9.7222222175332718E-3</v>
      </c>
    </row>
    <row r="792" spans="1:6">
      <c r="A792" s="37" t="s">
        <v>246</v>
      </c>
      <c r="B792" s="93">
        <v>45858</v>
      </c>
      <c r="C792" s="37" t="s">
        <v>489</v>
      </c>
      <c r="D792" s="93">
        <v>45858</v>
      </c>
      <c r="E792" s="37" t="s">
        <v>994</v>
      </c>
      <c r="F792" s="100">
        <f t="shared" si="41"/>
        <v>7.6388888846850023E-3</v>
      </c>
    </row>
    <row r="793" spans="1:6">
      <c r="A793" s="37" t="s">
        <v>251</v>
      </c>
      <c r="B793" s="93">
        <v>45858</v>
      </c>
      <c r="C793" s="37" t="s">
        <v>688</v>
      </c>
      <c r="D793" s="93">
        <v>45858</v>
      </c>
      <c r="E793" s="37" t="s">
        <v>741</v>
      </c>
      <c r="F793" s="100">
        <f t="shared" si="41"/>
        <v>0.37777777777955635</v>
      </c>
    </row>
    <row r="794" spans="1:6">
      <c r="A794" s="37" t="s">
        <v>227</v>
      </c>
      <c r="B794" s="93">
        <v>45858</v>
      </c>
      <c r="C794" s="37" t="s">
        <v>616</v>
      </c>
      <c r="D794" s="93">
        <v>45858</v>
      </c>
      <c r="E794" s="37" t="s">
        <v>661</v>
      </c>
      <c r="F794" s="100">
        <f t="shared" si="41"/>
        <v>1.597222221607808E-2</v>
      </c>
    </row>
    <row r="795" spans="1:6">
      <c r="A795" s="37" t="s">
        <v>230</v>
      </c>
      <c r="B795" s="93">
        <v>45858</v>
      </c>
      <c r="C795" s="37" t="s">
        <v>659</v>
      </c>
      <c r="D795" s="93">
        <v>45858</v>
      </c>
      <c r="E795" s="37" t="s">
        <v>525</v>
      </c>
      <c r="F795" s="100">
        <f t="shared" si="41"/>
        <v>1.527777778392192E-2</v>
      </c>
    </row>
    <row r="796" spans="1:6">
      <c r="A796" s="37" t="s">
        <v>235</v>
      </c>
      <c r="B796" s="93">
        <v>45858</v>
      </c>
      <c r="C796" s="37" t="s">
        <v>525</v>
      </c>
      <c r="D796" s="93">
        <v>45858</v>
      </c>
      <c r="E796" s="37" t="s">
        <v>995</v>
      </c>
      <c r="F796" s="100">
        <f t="shared" si="41"/>
        <v>0.10347222221753327</v>
      </c>
    </row>
    <row r="797" spans="1:6">
      <c r="A797" s="37" t="s">
        <v>222</v>
      </c>
      <c r="B797" s="93">
        <v>45858</v>
      </c>
      <c r="C797" s="37" t="s">
        <v>217</v>
      </c>
      <c r="D797" s="93">
        <v>45859</v>
      </c>
      <c r="E797" s="37" t="s">
        <v>218</v>
      </c>
      <c r="F797" s="100">
        <f t="shared" si="41"/>
        <v>0.50069444443943212</v>
      </c>
    </row>
    <row r="798" spans="1:6">
      <c r="A798" s="37" t="s">
        <v>240</v>
      </c>
      <c r="B798" s="93">
        <v>45858</v>
      </c>
      <c r="C798" s="37" t="s">
        <v>432</v>
      </c>
      <c r="D798" s="93">
        <v>45858</v>
      </c>
      <c r="E798" s="37" t="s">
        <v>534</v>
      </c>
      <c r="F798" s="100">
        <f t="shared" si="41"/>
        <v>2.0138888889050577E-2</v>
      </c>
    </row>
    <row r="799" spans="1:6">
      <c r="A799" s="37" t="s">
        <v>243</v>
      </c>
      <c r="B799" s="93">
        <v>45858</v>
      </c>
      <c r="C799" s="37" t="s">
        <v>996</v>
      </c>
      <c r="D799" s="93">
        <v>45858</v>
      </c>
      <c r="E799" s="37" t="s">
        <v>492</v>
      </c>
      <c r="F799" s="100">
        <f t="shared" si="41"/>
        <v>5.2083333328482695E-2</v>
      </c>
    </row>
    <row r="800" spans="1:6">
      <c r="A800" s="37" t="s">
        <v>246</v>
      </c>
      <c r="B800" s="93">
        <v>45858</v>
      </c>
      <c r="C800" s="37" t="s">
        <v>260</v>
      </c>
      <c r="D800" s="93">
        <v>45858</v>
      </c>
      <c r="E800" s="37" t="s">
        <v>328</v>
      </c>
      <c r="F800" s="100">
        <f t="shared" si="41"/>
        <v>3.888888889196096E-2</v>
      </c>
    </row>
    <row r="801" spans="1:8">
      <c r="A801" s="37" t="s">
        <v>227</v>
      </c>
      <c r="B801" s="93">
        <v>45858</v>
      </c>
      <c r="C801" s="37" t="s">
        <v>536</v>
      </c>
      <c r="D801" s="93">
        <v>45858</v>
      </c>
      <c r="E801" s="37" t="s">
        <v>997</v>
      </c>
      <c r="F801" s="100">
        <f t="shared" si="41"/>
        <v>2.7083333327027503E-2</v>
      </c>
    </row>
    <row r="802" spans="1:8">
      <c r="A802" s="37" t="s">
        <v>206</v>
      </c>
      <c r="B802" s="93">
        <v>45858</v>
      </c>
      <c r="C802" s="37" t="s">
        <v>431</v>
      </c>
      <c r="D802" s="93">
        <v>45859</v>
      </c>
      <c r="E802" s="37" t="s">
        <v>266</v>
      </c>
      <c r="F802" s="100">
        <f t="shared" si="41"/>
        <v>0.45416666667006211</v>
      </c>
    </row>
    <row r="803" spans="1:8">
      <c r="A803" s="37" t="s">
        <v>235</v>
      </c>
      <c r="B803" s="93">
        <v>45858</v>
      </c>
      <c r="C803" s="37" t="s">
        <v>998</v>
      </c>
      <c r="D803" s="93">
        <v>45858</v>
      </c>
      <c r="E803" s="37" t="s">
        <v>999</v>
      </c>
      <c r="F803" s="100">
        <f t="shared" si="41"/>
        <v>2.1527777775190771E-2</v>
      </c>
    </row>
    <row r="804" spans="1:8">
      <c r="A804" s="37" t="s">
        <v>235</v>
      </c>
      <c r="B804" s="93">
        <v>45858</v>
      </c>
      <c r="C804" s="37" t="s">
        <v>624</v>
      </c>
      <c r="D804" s="93">
        <v>45858</v>
      </c>
      <c r="E804" s="37" t="s">
        <v>832</v>
      </c>
      <c r="F804" s="100">
        <f t="shared" si="41"/>
        <v>4.5833333329937886E-2</v>
      </c>
    </row>
    <row r="805" spans="1:8">
      <c r="A805" s="37" t="s">
        <v>230</v>
      </c>
      <c r="B805" s="93">
        <v>45858</v>
      </c>
      <c r="C805" s="37" t="s">
        <v>330</v>
      </c>
      <c r="D805" s="93">
        <v>45858</v>
      </c>
      <c r="E805" s="37" t="s">
        <v>670</v>
      </c>
      <c r="F805" s="100">
        <f t="shared" si="41"/>
        <v>4.5833333329937886E-2</v>
      </c>
    </row>
    <row r="806" spans="1:8" ht="27.6">
      <c r="A806" s="37" t="s">
        <v>209</v>
      </c>
      <c r="B806" s="93">
        <v>45858</v>
      </c>
      <c r="C806" s="37" t="s">
        <v>982</v>
      </c>
      <c r="D806" s="93">
        <v>45858</v>
      </c>
      <c r="E806" s="37" t="s">
        <v>799</v>
      </c>
      <c r="F806" s="100">
        <f t="shared" si="41"/>
        <v>3.680555555911269E-2</v>
      </c>
      <c r="H806" s="94" t="s">
        <v>1000</v>
      </c>
    </row>
    <row r="807" spans="1:8">
      <c r="A807" s="37" t="s">
        <v>213</v>
      </c>
      <c r="B807" s="93">
        <v>45858</v>
      </c>
      <c r="C807" s="37" t="s">
        <v>277</v>
      </c>
      <c r="D807" s="93">
        <v>45859</v>
      </c>
      <c r="E807" s="37" t="s">
        <v>1001</v>
      </c>
      <c r="F807" s="100">
        <f t="shared" si="41"/>
        <v>0.54166666667151731</v>
      </c>
    </row>
    <row r="808" spans="1:8">
      <c r="A808" s="37" t="s">
        <v>216</v>
      </c>
      <c r="B808" s="93">
        <v>45858</v>
      </c>
      <c r="C808" s="37" t="s">
        <v>220</v>
      </c>
      <c r="D808" s="93">
        <v>45859</v>
      </c>
      <c r="E808" s="37" t="s">
        <v>1002</v>
      </c>
      <c r="F808" s="100">
        <f t="shared" si="41"/>
        <v>0.39236111110949423</v>
      </c>
    </row>
    <row r="809" spans="1:8">
      <c r="A809" s="37" t="s">
        <v>240</v>
      </c>
      <c r="B809" s="93">
        <v>45858</v>
      </c>
      <c r="C809" s="37" t="s">
        <v>543</v>
      </c>
      <c r="D809" s="93">
        <v>45858</v>
      </c>
      <c r="E809" s="37" t="s">
        <v>1003</v>
      </c>
      <c r="F809" s="100">
        <f t="shared" si="41"/>
        <v>1.0416666671517305E-2</v>
      </c>
    </row>
    <row r="810" spans="1:8">
      <c r="A810" s="37" t="s">
        <v>243</v>
      </c>
      <c r="B810" s="93">
        <v>45858</v>
      </c>
      <c r="C810" s="37" t="s">
        <v>285</v>
      </c>
      <c r="D810" s="93">
        <v>45858</v>
      </c>
      <c r="E810" s="37" t="s">
        <v>952</v>
      </c>
      <c r="F810" s="100">
        <f t="shared" si="41"/>
        <v>3.2638888893416151E-2</v>
      </c>
    </row>
    <row r="811" spans="1:8">
      <c r="A811" s="37" t="s">
        <v>254</v>
      </c>
      <c r="B811" s="93">
        <v>45858</v>
      </c>
      <c r="C811" s="37" t="s">
        <v>1004</v>
      </c>
      <c r="D811" s="93">
        <v>45858</v>
      </c>
      <c r="E811" s="37" t="s">
        <v>735</v>
      </c>
      <c r="F811" s="100">
        <f t="shared" si="41"/>
        <v>0.14791666666860692</v>
      </c>
    </row>
    <row r="812" spans="1:8">
      <c r="A812" s="37" t="s">
        <v>209</v>
      </c>
      <c r="B812" s="93">
        <v>45858</v>
      </c>
      <c r="C812" s="37" t="s">
        <v>799</v>
      </c>
      <c r="D812" s="93">
        <v>45858</v>
      </c>
      <c r="E812" s="37" t="s">
        <v>1005</v>
      </c>
      <c r="F812" s="100">
        <f t="shared" si="41"/>
        <v>6.8055555551836733E-2</v>
      </c>
    </row>
    <row r="813" spans="1:8">
      <c r="A813" s="37" t="s">
        <v>219</v>
      </c>
      <c r="B813" s="93">
        <v>45859</v>
      </c>
      <c r="C813" s="37" t="s">
        <v>223</v>
      </c>
      <c r="D813" s="93">
        <v>45859</v>
      </c>
      <c r="E813" s="37" t="s">
        <v>1002</v>
      </c>
      <c r="F813" s="100">
        <f t="shared" si="41"/>
        <v>0.14236111110949423</v>
      </c>
    </row>
    <row r="814" spans="1:8">
      <c r="A814" s="37" t="s">
        <v>219</v>
      </c>
      <c r="B814" s="93">
        <v>45859</v>
      </c>
      <c r="C814" s="37" t="s">
        <v>1006</v>
      </c>
      <c r="D814" s="93">
        <v>45859</v>
      </c>
      <c r="E814" s="37" t="s">
        <v>1007</v>
      </c>
      <c r="F814" s="100">
        <f t="shared" si="41"/>
        <v>0.37986111111240461</v>
      </c>
    </row>
    <row r="815" spans="1:8">
      <c r="A815" s="37" t="s">
        <v>216</v>
      </c>
      <c r="B815" s="93">
        <v>45859</v>
      </c>
      <c r="C815" s="37" t="s">
        <v>1006</v>
      </c>
      <c r="D815" s="93">
        <v>45859</v>
      </c>
      <c r="E815" s="37" t="s">
        <v>215</v>
      </c>
      <c r="F815" s="100">
        <f t="shared" si="41"/>
        <v>8.1944444442342501E-2</v>
      </c>
    </row>
    <row r="816" spans="1:8">
      <c r="A816" s="37" t="s">
        <v>227</v>
      </c>
      <c r="B816" s="93">
        <v>45859</v>
      </c>
      <c r="C816" s="37" t="s">
        <v>408</v>
      </c>
      <c r="D816" s="93">
        <v>45859</v>
      </c>
      <c r="E816" s="37" t="s">
        <v>875</v>
      </c>
      <c r="F816" s="100">
        <f t="shared" si="41"/>
        <v>1.8749999995634425E-2</v>
      </c>
    </row>
    <row r="817" spans="1:8">
      <c r="A817" s="37" t="s">
        <v>230</v>
      </c>
      <c r="B817" s="93">
        <v>45859</v>
      </c>
      <c r="C817" s="37" t="s">
        <v>408</v>
      </c>
      <c r="D817" s="93">
        <v>45859</v>
      </c>
      <c r="E817" s="37" t="s">
        <v>875</v>
      </c>
      <c r="F817" s="100">
        <f t="shared" si="41"/>
        <v>1.8749999995634425E-2</v>
      </c>
    </row>
    <row r="818" spans="1:8">
      <c r="A818" s="37" t="s">
        <v>246</v>
      </c>
      <c r="B818" s="93">
        <v>45859</v>
      </c>
      <c r="C818" s="37" t="s">
        <v>408</v>
      </c>
      <c r="D818" s="93">
        <v>45859</v>
      </c>
      <c r="E818" s="37" t="s">
        <v>1008</v>
      </c>
      <c r="F818" s="100">
        <f t="shared" si="41"/>
        <v>8.333333331393078E-3</v>
      </c>
    </row>
    <row r="819" spans="1:8">
      <c r="A819" s="37" t="s">
        <v>233</v>
      </c>
      <c r="B819" s="93">
        <v>45859</v>
      </c>
      <c r="C819" s="37" t="s">
        <v>354</v>
      </c>
      <c r="D819" s="93">
        <v>45859</v>
      </c>
      <c r="E819" s="37" t="s">
        <v>1009</v>
      </c>
      <c r="F819" s="100">
        <f t="shared" si="41"/>
        <v>0.30625000000145519</v>
      </c>
    </row>
    <row r="820" spans="1:8">
      <c r="A820" s="37" t="s">
        <v>197</v>
      </c>
      <c r="B820" s="93">
        <v>45859</v>
      </c>
      <c r="C820" s="37" t="s">
        <v>560</v>
      </c>
      <c r="D820" s="93">
        <v>45860</v>
      </c>
      <c r="E820" s="37" t="s">
        <v>910</v>
      </c>
      <c r="F820" s="100">
        <f t="shared" si="41"/>
        <v>0.89583333333575865</v>
      </c>
    </row>
    <row r="821" spans="1:8">
      <c r="A821" s="37" t="s">
        <v>240</v>
      </c>
      <c r="B821" s="93">
        <v>45859</v>
      </c>
      <c r="C821" s="37" t="s">
        <v>716</v>
      </c>
      <c r="D821" s="93">
        <v>45859</v>
      </c>
      <c r="E821" s="37" t="s">
        <v>1010</v>
      </c>
      <c r="F821" s="100">
        <f t="shared" si="41"/>
        <v>4.3749999997089617E-2</v>
      </c>
    </row>
    <row r="822" spans="1:8">
      <c r="A822" s="37" t="s">
        <v>222</v>
      </c>
      <c r="B822" s="93">
        <v>45859</v>
      </c>
      <c r="C822" s="37" t="s">
        <v>236</v>
      </c>
      <c r="D822" s="93">
        <v>45859</v>
      </c>
      <c r="E822" s="37" t="s">
        <v>277</v>
      </c>
      <c r="F822" s="100">
        <f t="shared" si="41"/>
        <v>0.50069444443943212</v>
      </c>
    </row>
    <row r="823" spans="1:8">
      <c r="A823" s="37" t="s">
        <v>235</v>
      </c>
      <c r="B823" s="93">
        <v>45859</v>
      </c>
      <c r="C823" s="37" t="s">
        <v>963</v>
      </c>
      <c r="D823" s="93">
        <v>45859</v>
      </c>
      <c r="E823" s="37" t="s">
        <v>277</v>
      </c>
      <c r="F823" s="100">
        <f t="shared" si="41"/>
        <v>0.45902777777519077</v>
      </c>
    </row>
    <row r="824" spans="1:8">
      <c r="A824" s="37" t="s">
        <v>209</v>
      </c>
      <c r="B824" s="93">
        <v>45859</v>
      </c>
      <c r="C824" s="37" t="s">
        <v>1011</v>
      </c>
      <c r="G824" s="37" t="s">
        <v>9</v>
      </c>
      <c r="H824" s="94" t="s">
        <v>1012</v>
      </c>
    </row>
    <row r="825" spans="1:8">
      <c r="A825" s="37" t="s">
        <v>243</v>
      </c>
      <c r="B825" s="93">
        <v>45859</v>
      </c>
      <c r="C825" s="37" t="s">
        <v>819</v>
      </c>
      <c r="D825" s="93">
        <v>45859</v>
      </c>
      <c r="E825" s="37" t="s">
        <v>1013</v>
      </c>
      <c r="F825" s="100">
        <f t="shared" ref="F825:F856" si="42">(D825 + TIME(LEFT(E825, 2), MID(E825, 3, 2), 0)) - (B825 + TIME(LEFT(C825, 2), MID(C825, 3, 2), 0))</f>
        <v>7.6388888846850023E-3</v>
      </c>
    </row>
    <row r="826" spans="1:8">
      <c r="A826" s="37" t="s">
        <v>200</v>
      </c>
      <c r="B826" s="93">
        <v>45859</v>
      </c>
      <c r="C826" s="37" t="s">
        <v>909</v>
      </c>
      <c r="D826" s="93">
        <v>45859</v>
      </c>
      <c r="E826" s="37" t="s">
        <v>1014</v>
      </c>
      <c r="F826" s="100">
        <f t="shared" si="42"/>
        <v>0.58472222222189885</v>
      </c>
    </row>
    <row r="827" spans="1:8">
      <c r="A827" s="37" t="s">
        <v>251</v>
      </c>
      <c r="B827" s="93">
        <v>45859</v>
      </c>
      <c r="C827" s="37" t="s">
        <v>482</v>
      </c>
      <c r="D827" s="93">
        <v>45859</v>
      </c>
      <c r="E827" s="37" t="s">
        <v>558</v>
      </c>
      <c r="F827" s="100">
        <f t="shared" si="42"/>
        <v>9.8611111105128657E-2</v>
      </c>
    </row>
    <row r="828" spans="1:8">
      <c r="A828" s="37" t="s">
        <v>246</v>
      </c>
      <c r="B828" s="93">
        <v>45859</v>
      </c>
      <c r="C828" s="37" t="s">
        <v>721</v>
      </c>
      <c r="D828" s="93">
        <v>45859</v>
      </c>
      <c r="E828" s="37" t="s">
        <v>497</v>
      </c>
      <c r="F828" s="100">
        <f t="shared" si="42"/>
        <v>6.4583333332848269E-2</v>
      </c>
    </row>
    <row r="829" spans="1:8">
      <c r="A829" s="37" t="s">
        <v>230</v>
      </c>
      <c r="B829" s="93">
        <v>45859</v>
      </c>
      <c r="C829" s="37" t="s">
        <v>366</v>
      </c>
      <c r="D829" s="93">
        <v>45859</v>
      </c>
      <c r="E829" s="37" t="s">
        <v>1015</v>
      </c>
      <c r="F829" s="100">
        <f t="shared" si="42"/>
        <v>8.819444444088731E-2</v>
      </c>
    </row>
    <row r="830" spans="1:8">
      <c r="A830" s="37" t="s">
        <v>240</v>
      </c>
      <c r="B830" s="93">
        <v>45859</v>
      </c>
      <c r="C830" s="37" t="s">
        <v>221</v>
      </c>
      <c r="D830" s="93">
        <v>45859</v>
      </c>
      <c r="E830" s="37" t="s">
        <v>1016</v>
      </c>
      <c r="F830" s="100">
        <f t="shared" si="42"/>
        <v>8.7500000001455192E-2</v>
      </c>
    </row>
    <row r="831" spans="1:8">
      <c r="A831" s="37" t="s">
        <v>254</v>
      </c>
      <c r="B831" s="93">
        <v>45859</v>
      </c>
      <c r="C831" s="37" t="s">
        <v>564</v>
      </c>
      <c r="D831" s="93">
        <v>45859</v>
      </c>
      <c r="E831" s="37" t="s">
        <v>1017</v>
      </c>
      <c r="F831" s="100">
        <f t="shared" si="42"/>
        <v>0.47777777777810115</v>
      </c>
    </row>
    <row r="832" spans="1:8">
      <c r="A832" s="37" t="s">
        <v>243</v>
      </c>
      <c r="B832" s="93">
        <v>45859</v>
      </c>
      <c r="C832" s="37" t="s">
        <v>912</v>
      </c>
      <c r="D832" s="93">
        <v>45859</v>
      </c>
      <c r="E832" s="37" t="s">
        <v>988</v>
      </c>
      <c r="F832" s="100">
        <f t="shared" si="42"/>
        <v>3.1944444446708076E-2</v>
      </c>
    </row>
    <row r="833" spans="1:6">
      <c r="A833" s="37" t="s">
        <v>246</v>
      </c>
      <c r="B833" s="93">
        <v>45859</v>
      </c>
      <c r="C833" s="37" t="s">
        <v>1018</v>
      </c>
      <c r="D833" s="93">
        <v>45859</v>
      </c>
      <c r="E833" s="37" t="s">
        <v>1019</v>
      </c>
      <c r="F833" s="100">
        <f t="shared" si="42"/>
        <v>1.0416666671517305E-2</v>
      </c>
    </row>
    <row r="834" spans="1:6">
      <c r="A834" s="37" t="s">
        <v>227</v>
      </c>
      <c r="B834" s="93">
        <v>45859</v>
      </c>
      <c r="C834" s="37" t="s">
        <v>494</v>
      </c>
      <c r="D834" s="93">
        <v>45859</v>
      </c>
      <c r="E834" s="37" t="s">
        <v>1015</v>
      </c>
      <c r="F834" s="100">
        <f t="shared" si="42"/>
        <v>4.166666665696539E-3</v>
      </c>
    </row>
    <row r="835" spans="1:6">
      <c r="A835" s="37" t="s">
        <v>251</v>
      </c>
      <c r="B835" s="93">
        <v>45859</v>
      </c>
      <c r="C835" s="37" t="s">
        <v>988</v>
      </c>
      <c r="D835" s="93">
        <v>45859</v>
      </c>
      <c r="E835" s="37" t="s">
        <v>1020</v>
      </c>
      <c r="F835" s="100">
        <f t="shared" si="42"/>
        <v>0.35902777777664596</v>
      </c>
    </row>
    <row r="836" spans="1:6">
      <c r="A836" s="37" t="s">
        <v>230</v>
      </c>
      <c r="B836" s="93">
        <v>45859</v>
      </c>
      <c r="C836" s="37" t="s">
        <v>1021</v>
      </c>
      <c r="D836" s="93">
        <v>45859</v>
      </c>
      <c r="E836" s="37" t="s">
        <v>589</v>
      </c>
      <c r="F836" s="100">
        <f t="shared" si="42"/>
        <v>3.4722222218988463E-2</v>
      </c>
    </row>
    <row r="837" spans="1:6">
      <c r="A837" s="37" t="s">
        <v>240</v>
      </c>
      <c r="B837" s="93">
        <v>45859</v>
      </c>
      <c r="C837" s="37" t="s">
        <v>1022</v>
      </c>
      <c r="D837" s="93">
        <v>45859</v>
      </c>
      <c r="E837" s="37" t="s">
        <v>1023</v>
      </c>
      <c r="F837" s="100">
        <f t="shared" si="42"/>
        <v>3.5416666665696539E-2</v>
      </c>
    </row>
    <row r="838" spans="1:6">
      <c r="A838" s="37" t="s">
        <v>243</v>
      </c>
      <c r="B838" s="93">
        <v>45859</v>
      </c>
      <c r="C838" s="37" t="s">
        <v>1024</v>
      </c>
      <c r="D838" s="93">
        <v>45859</v>
      </c>
      <c r="E838" s="37" t="s">
        <v>1025</v>
      </c>
      <c r="F838" s="100">
        <f t="shared" si="42"/>
        <v>0.11250000000291038</v>
      </c>
    </row>
    <row r="839" spans="1:6">
      <c r="A839" s="37" t="s">
        <v>246</v>
      </c>
      <c r="B839" s="93">
        <v>45859</v>
      </c>
      <c r="C839" s="37" t="s">
        <v>686</v>
      </c>
      <c r="D839" s="93">
        <v>45859</v>
      </c>
      <c r="E839" s="37" t="s">
        <v>1026</v>
      </c>
      <c r="F839" s="100">
        <f t="shared" si="42"/>
        <v>0.1131944444423425</v>
      </c>
    </row>
    <row r="840" spans="1:6">
      <c r="A840" s="37" t="s">
        <v>227</v>
      </c>
      <c r="B840" s="93">
        <v>45859</v>
      </c>
      <c r="C840" s="37" t="s">
        <v>367</v>
      </c>
      <c r="D840" s="93">
        <v>45859</v>
      </c>
      <c r="E840" s="37" t="s">
        <v>585</v>
      </c>
      <c r="F840" s="100">
        <f t="shared" si="42"/>
        <v>1.6666666670062114E-2</v>
      </c>
    </row>
    <row r="841" spans="1:6">
      <c r="A841" s="37" t="s">
        <v>297</v>
      </c>
      <c r="B841" s="93">
        <v>45859</v>
      </c>
      <c r="C841" s="37" t="s">
        <v>573</v>
      </c>
      <c r="D841" s="93">
        <v>45859</v>
      </c>
      <c r="E841" s="37" t="s">
        <v>689</v>
      </c>
      <c r="F841" s="100">
        <f t="shared" si="42"/>
        <v>8.3333333386690356E-3</v>
      </c>
    </row>
    <row r="842" spans="1:6">
      <c r="A842" s="37" t="s">
        <v>216</v>
      </c>
      <c r="B842" s="93">
        <v>45859</v>
      </c>
      <c r="C842" s="37" t="s">
        <v>217</v>
      </c>
      <c r="D842" s="93">
        <v>45860</v>
      </c>
      <c r="E842" s="37" t="s">
        <v>218</v>
      </c>
      <c r="F842" s="100">
        <f t="shared" si="42"/>
        <v>0.50069444443943212</v>
      </c>
    </row>
    <row r="843" spans="1:6">
      <c r="A843" s="37" t="s">
        <v>312</v>
      </c>
      <c r="B843" s="93">
        <v>45859</v>
      </c>
      <c r="C843" s="37" t="s">
        <v>886</v>
      </c>
      <c r="D843" s="93">
        <v>45859</v>
      </c>
      <c r="E843" s="37" t="s">
        <v>1027</v>
      </c>
      <c r="F843" s="100">
        <f t="shared" si="42"/>
        <v>0.24097222222189885</v>
      </c>
    </row>
    <row r="844" spans="1:6">
      <c r="A844" s="37" t="s">
        <v>206</v>
      </c>
      <c r="B844" s="93">
        <v>45859</v>
      </c>
      <c r="C844" s="37" t="s">
        <v>1028</v>
      </c>
      <c r="D844" s="93">
        <v>45860</v>
      </c>
      <c r="E844" s="37" t="s">
        <v>570</v>
      </c>
      <c r="F844" s="100">
        <f t="shared" si="42"/>
        <v>0.48402777777664596</v>
      </c>
    </row>
    <row r="845" spans="1:6">
      <c r="A845" s="37" t="s">
        <v>230</v>
      </c>
      <c r="B845" s="93">
        <v>45859</v>
      </c>
      <c r="C845" s="37" t="s">
        <v>1007</v>
      </c>
      <c r="D845" s="93">
        <v>45859</v>
      </c>
      <c r="E845" s="37" t="s">
        <v>1029</v>
      </c>
      <c r="F845" s="100">
        <f t="shared" si="42"/>
        <v>5.8333333334303461E-2</v>
      </c>
    </row>
    <row r="846" spans="1:6">
      <c r="A846" s="37" t="s">
        <v>240</v>
      </c>
      <c r="B846" s="93">
        <v>45859</v>
      </c>
      <c r="C846" s="37" t="s">
        <v>888</v>
      </c>
      <c r="D846" s="93">
        <v>45859</v>
      </c>
      <c r="E846" s="37" t="s">
        <v>1025</v>
      </c>
      <c r="F846" s="100">
        <f t="shared" si="42"/>
        <v>5.4166666668606922E-2</v>
      </c>
    </row>
    <row r="847" spans="1:6">
      <c r="A847" s="37" t="s">
        <v>227</v>
      </c>
      <c r="B847" s="93">
        <v>45859</v>
      </c>
      <c r="C847" s="37" t="s">
        <v>889</v>
      </c>
      <c r="D847" s="93">
        <v>45859</v>
      </c>
      <c r="E847" s="37" t="s">
        <v>1029</v>
      </c>
      <c r="F847" s="100">
        <f t="shared" si="42"/>
        <v>3.7499999998544808E-2</v>
      </c>
    </row>
    <row r="848" spans="1:6">
      <c r="A848" s="37" t="s">
        <v>297</v>
      </c>
      <c r="B848" s="93">
        <v>45859</v>
      </c>
      <c r="C848" s="37" t="s">
        <v>971</v>
      </c>
      <c r="D848" s="93">
        <v>45859</v>
      </c>
      <c r="E848" s="37" t="s">
        <v>938</v>
      </c>
      <c r="F848" s="100">
        <f t="shared" si="42"/>
        <v>2.1527777775190771E-2</v>
      </c>
    </row>
    <row r="849" spans="1:6">
      <c r="A849" s="37" t="s">
        <v>230</v>
      </c>
      <c r="B849" s="93">
        <v>45859</v>
      </c>
      <c r="C849" s="37" t="s">
        <v>1030</v>
      </c>
      <c r="D849" s="93">
        <v>45859</v>
      </c>
      <c r="E849" s="37" t="s">
        <v>1031</v>
      </c>
      <c r="F849" s="100">
        <f t="shared" si="42"/>
        <v>4.5138888890505768E-2</v>
      </c>
    </row>
    <row r="850" spans="1:6">
      <c r="A850" s="37" t="s">
        <v>240</v>
      </c>
      <c r="B850" s="93">
        <v>45859</v>
      </c>
      <c r="C850" s="37" t="s">
        <v>1032</v>
      </c>
      <c r="D850" s="93">
        <v>45859</v>
      </c>
      <c r="E850" s="37" t="s">
        <v>1033</v>
      </c>
      <c r="F850" s="100">
        <f t="shared" si="42"/>
        <v>3.125E-2</v>
      </c>
    </row>
    <row r="851" spans="1:6">
      <c r="A851" s="37" t="s">
        <v>243</v>
      </c>
      <c r="B851" s="93">
        <v>45859</v>
      </c>
      <c r="C851" s="37" t="s">
        <v>1034</v>
      </c>
      <c r="D851" s="93">
        <v>45859</v>
      </c>
      <c r="E851" s="37" t="s">
        <v>970</v>
      </c>
      <c r="F851" s="100">
        <f t="shared" si="42"/>
        <v>2.0138888889050577E-2</v>
      </c>
    </row>
    <row r="852" spans="1:6">
      <c r="A852" s="37" t="s">
        <v>219</v>
      </c>
      <c r="B852" s="93">
        <v>45859</v>
      </c>
      <c r="C852" s="37" t="s">
        <v>220</v>
      </c>
      <c r="D852" s="93">
        <v>45860</v>
      </c>
      <c r="E852" s="37" t="s">
        <v>218</v>
      </c>
      <c r="F852" s="100">
        <f t="shared" si="42"/>
        <v>0.25069444443943212</v>
      </c>
    </row>
    <row r="853" spans="1:6">
      <c r="A853" s="37" t="s">
        <v>213</v>
      </c>
      <c r="B853" s="93">
        <v>45859</v>
      </c>
      <c r="C853" s="37" t="s">
        <v>220</v>
      </c>
      <c r="D853" s="93">
        <v>45860</v>
      </c>
      <c r="E853" s="37" t="s">
        <v>215</v>
      </c>
      <c r="F853" s="100">
        <f t="shared" si="42"/>
        <v>0.50069444443943212</v>
      </c>
    </row>
    <row r="854" spans="1:6">
      <c r="A854" s="37" t="s">
        <v>243</v>
      </c>
      <c r="B854" s="93">
        <v>45859</v>
      </c>
      <c r="C854" s="37" t="s">
        <v>704</v>
      </c>
      <c r="D854" s="93">
        <v>45859</v>
      </c>
      <c r="E854" s="37" t="s">
        <v>454</v>
      </c>
      <c r="F854" s="100">
        <f t="shared" si="42"/>
        <v>9.7222222175332718E-3</v>
      </c>
    </row>
    <row r="855" spans="1:6">
      <c r="A855" s="37" t="s">
        <v>230</v>
      </c>
      <c r="B855" s="93">
        <v>45859</v>
      </c>
      <c r="C855" s="37" t="s">
        <v>704</v>
      </c>
      <c r="D855" s="93">
        <v>45859</v>
      </c>
      <c r="E855" s="37" t="s">
        <v>1035</v>
      </c>
      <c r="F855" s="100">
        <f t="shared" si="42"/>
        <v>3.7499999998544808E-2</v>
      </c>
    </row>
    <row r="856" spans="1:6">
      <c r="A856" s="37" t="s">
        <v>246</v>
      </c>
      <c r="B856" s="93">
        <v>45859</v>
      </c>
      <c r="C856" s="37" t="s">
        <v>704</v>
      </c>
      <c r="D856" s="93">
        <v>45859</v>
      </c>
      <c r="E856" s="37" t="s">
        <v>1036</v>
      </c>
      <c r="F856" s="100">
        <f t="shared" si="42"/>
        <v>1.7361111109494232E-2</v>
      </c>
    </row>
    <row r="857" spans="1:6">
      <c r="A857" s="37" t="s">
        <v>200</v>
      </c>
      <c r="B857" s="93">
        <v>45860</v>
      </c>
      <c r="C857" s="37" t="s">
        <v>831</v>
      </c>
      <c r="D857" s="93">
        <v>45861</v>
      </c>
      <c r="E857" s="37" t="s">
        <v>334</v>
      </c>
      <c r="F857" s="100">
        <f t="shared" ref="F857:F900" si="43">(D857 + TIME(LEFT(E857, 2), MID(E857, 3, 2), 0)) - (B857 + TIME(LEFT(C857, 2), MID(C857, 3, 2), 0))</f>
        <v>1.0013888888934162</v>
      </c>
    </row>
    <row r="858" spans="1:6">
      <c r="A858" s="37" t="s">
        <v>240</v>
      </c>
      <c r="B858" s="93">
        <v>45860</v>
      </c>
      <c r="C858" s="37" t="s">
        <v>1037</v>
      </c>
      <c r="D858" s="93">
        <v>45860</v>
      </c>
      <c r="E858" s="37" t="s">
        <v>1038</v>
      </c>
      <c r="F858" s="100">
        <f t="shared" si="43"/>
        <v>1.3888888890505768E-2</v>
      </c>
    </row>
    <row r="859" spans="1:6">
      <c r="A859" s="37" t="s">
        <v>233</v>
      </c>
      <c r="B859" s="93">
        <v>45860</v>
      </c>
      <c r="C859" s="37" t="s">
        <v>1039</v>
      </c>
      <c r="D859" s="93">
        <v>45860</v>
      </c>
      <c r="E859" s="37" t="s">
        <v>886</v>
      </c>
      <c r="F859" s="100">
        <f t="shared" si="43"/>
        <v>0.28333333333284827</v>
      </c>
    </row>
    <row r="860" spans="1:6">
      <c r="A860" s="37" t="s">
        <v>243</v>
      </c>
      <c r="B860" s="93">
        <v>45860</v>
      </c>
      <c r="C860" s="37" t="s">
        <v>674</v>
      </c>
      <c r="D860" s="93">
        <v>45860</v>
      </c>
      <c r="E860" s="37" t="s">
        <v>815</v>
      </c>
      <c r="F860" s="100">
        <f t="shared" si="43"/>
        <v>2.7777777781011537E-2</v>
      </c>
    </row>
    <row r="861" spans="1:6">
      <c r="A861" s="37" t="s">
        <v>235</v>
      </c>
      <c r="B861" s="93">
        <v>45860</v>
      </c>
      <c r="C861" s="37" t="s">
        <v>236</v>
      </c>
      <c r="D861" s="93">
        <v>45860</v>
      </c>
      <c r="E861" s="37" t="s">
        <v>277</v>
      </c>
      <c r="F861" s="100">
        <f t="shared" si="43"/>
        <v>0.50069444443943212</v>
      </c>
    </row>
    <row r="862" spans="1:6">
      <c r="A862" s="37" t="s">
        <v>222</v>
      </c>
      <c r="B862" s="93">
        <v>45860</v>
      </c>
      <c r="C862" s="37" t="s">
        <v>223</v>
      </c>
      <c r="D862" s="93">
        <v>45860</v>
      </c>
      <c r="E862" s="37" t="s">
        <v>367</v>
      </c>
      <c r="F862" s="100">
        <f t="shared" si="43"/>
        <v>0.50069444443943212</v>
      </c>
    </row>
    <row r="863" spans="1:6">
      <c r="A863" s="37" t="s">
        <v>216</v>
      </c>
      <c r="B863" s="93">
        <v>45860</v>
      </c>
      <c r="C863" s="37" t="s">
        <v>236</v>
      </c>
      <c r="D863" s="93">
        <v>45860</v>
      </c>
      <c r="E863" s="37" t="s">
        <v>448</v>
      </c>
      <c r="F863" s="100">
        <f t="shared" si="43"/>
        <v>0.54236111111094942</v>
      </c>
    </row>
    <row r="864" spans="1:6">
      <c r="A864" s="37" t="s">
        <v>246</v>
      </c>
      <c r="B864" s="93">
        <v>45860</v>
      </c>
      <c r="C864" s="37" t="s">
        <v>353</v>
      </c>
      <c r="D864" s="93">
        <v>45860</v>
      </c>
      <c r="E864" s="37" t="s">
        <v>1040</v>
      </c>
      <c r="F864" s="100">
        <f t="shared" si="43"/>
        <v>2.2916666668606922E-2</v>
      </c>
    </row>
    <row r="865" spans="1:6">
      <c r="A865" s="37" t="s">
        <v>230</v>
      </c>
      <c r="B865" s="93">
        <v>45860</v>
      </c>
      <c r="C865" s="37" t="s">
        <v>819</v>
      </c>
      <c r="D865" s="93">
        <v>45860</v>
      </c>
      <c r="E865" s="37" t="s">
        <v>482</v>
      </c>
      <c r="F865" s="100">
        <f t="shared" si="43"/>
        <v>3.6111111112404615E-2</v>
      </c>
    </row>
    <row r="866" spans="1:6">
      <c r="A866" s="37" t="s">
        <v>240</v>
      </c>
      <c r="B866" s="93">
        <v>45860</v>
      </c>
      <c r="C866" s="37" t="s">
        <v>601</v>
      </c>
      <c r="D866" s="93">
        <v>45860</v>
      </c>
      <c r="E866" s="37" t="s">
        <v>574</v>
      </c>
      <c r="F866" s="100">
        <f t="shared" si="43"/>
        <v>3.4722222226264421E-2</v>
      </c>
    </row>
    <row r="867" spans="1:6">
      <c r="A867" s="37" t="s">
        <v>243</v>
      </c>
      <c r="B867" s="93">
        <v>45860</v>
      </c>
      <c r="C867" s="37" t="s">
        <v>719</v>
      </c>
      <c r="D867" s="93">
        <v>45860</v>
      </c>
      <c r="E867" s="37" t="s">
        <v>563</v>
      </c>
      <c r="F867" s="100">
        <f t="shared" si="43"/>
        <v>3.6111111112404615E-2</v>
      </c>
    </row>
    <row r="868" spans="1:6">
      <c r="A868" s="37" t="s">
        <v>197</v>
      </c>
      <c r="B868" s="93">
        <v>45860</v>
      </c>
      <c r="C868" s="37" t="s">
        <v>365</v>
      </c>
      <c r="D868" s="93">
        <v>45861</v>
      </c>
      <c r="E868" s="37" t="s">
        <v>1041</v>
      </c>
      <c r="F868" s="100">
        <f t="shared" si="43"/>
        <v>0.69166666666569654</v>
      </c>
    </row>
    <row r="869" spans="1:6">
      <c r="A869" s="37" t="s">
        <v>246</v>
      </c>
      <c r="B869" s="93">
        <v>45860</v>
      </c>
      <c r="C869" s="37" t="s">
        <v>244</v>
      </c>
      <c r="D869" s="93">
        <v>45860</v>
      </c>
      <c r="E869" s="37" t="s">
        <v>375</v>
      </c>
      <c r="F869" s="100">
        <f t="shared" si="43"/>
        <v>2.8472222220443655E-2</v>
      </c>
    </row>
    <row r="870" spans="1:6">
      <c r="A870" s="37" t="s">
        <v>227</v>
      </c>
      <c r="B870" s="93">
        <v>45860</v>
      </c>
      <c r="C870" s="37" t="s">
        <v>822</v>
      </c>
      <c r="D870" s="93">
        <v>45860</v>
      </c>
      <c r="E870" s="37" t="s">
        <v>296</v>
      </c>
      <c r="F870" s="100">
        <f t="shared" si="43"/>
        <v>2.1527777775190771E-2</v>
      </c>
    </row>
    <row r="871" spans="1:6">
      <c r="A871" s="37" t="s">
        <v>251</v>
      </c>
      <c r="B871" s="93">
        <v>45860</v>
      </c>
      <c r="C871" s="37" t="s">
        <v>1042</v>
      </c>
      <c r="D871" s="93">
        <v>45860</v>
      </c>
      <c r="E871" s="37" t="s">
        <v>1043</v>
      </c>
      <c r="F871" s="100">
        <f t="shared" si="43"/>
        <v>0.58541666666860692</v>
      </c>
    </row>
    <row r="872" spans="1:6">
      <c r="A872" s="37" t="s">
        <v>254</v>
      </c>
      <c r="B872" s="93">
        <v>45860</v>
      </c>
      <c r="C872" s="37" t="s">
        <v>563</v>
      </c>
      <c r="D872" s="93">
        <v>45860</v>
      </c>
      <c r="E872" s="37" t="s">
        <v>685</v>
      </c>
      <c r="F872" s="100">
        <f t="shared" si="43"/>
        <v>0.53819444444525288</v>
      </c>
    </row>
    <row r="873" spans="1:6">
      <c r="A873" s="37" t="s">
        <v>230</v>
      </c>
      <c r="B873" s="93">
        <v>45860</v>
      </c>
      <c r="C873" s="37" t="s">
        <v>1044</v>
      </c>
      <c r="D873" s="93">
        <v>45860</v>
      </c>
      <c r="E873" s="37" t="s">
        <v>311</v>
      </c>
      <c r="F873" s="100">
        <f t="shared" si="43"/>
        <v>6.4583333332848269E-2</v>
      </c>
    </row>
    <row r="874" spans="1:6">
      <c r="A874" s="37" t="s">
        <v>240</v>
      </c>
      <c r="B874" s="93">
        <v>45860</v>
      </c>
      <c r="C874" s="37" t="s">
        <v>751</v>
      </c>
      <c r="D874" s="93">
        <v>45860</v>
      </c>
      <c r="E874" s="37" t="s">
        <v>1045</v>
      </c>
      <c r="F874" s="100">
        <f t="shared" si="43"/>
        <v>0.37638888888614019</v>
      </c>
    </row>
    <row r="875" spans="1:6">
      <c r="A875" s="37" t="s">
        <v>243</v>
      </c>
      <c r="B875" s="93">
        <v>45860</v>
      </c>
      <c r="C875" s="37" t="s">
        <v>490</v>
      </c>
      <c r="D875" s="93">
        <v>45860</v>
      </c>
      <c r="E875" s="37" t="s">
        <v>544</v>
      </c>
      <c r="F875" s="100">
        <f t="shared" si="43"/>
        <v>0.42847222222189885</v>
      </c>
    </row>
    <row r="876" spans="1:6">
      <c r="A876" s="37" t="s">
        <v>246</v>
      </c>
      <c r="B876" s="93">
        <v>45860</v>
      </c>
      <c r="C876" s="37" t="s">
        <v>825</v>
      </c>
      <c r="D876" s="93">
        <v>45860</v>
      </c>
      <c r="E876" s="37" t="s">
        <v>1046</v>
      </c>
      <c r="F876" s="100">
        <f t="shared" si="43"/>
        <v>0.43611111111385981</v>
      </c>
    </row>
    <row r="877" spans="1:6">
      <c r="A877" s="37" t="s">
        <v>227</v>
      </c>
      <c r="B877" s="93">
        <v>45860</v>
      </c>
      <c r="C877" s="37" t="s">
        <v>429</v>
      </c>
      <c r="D877" s="93">
        <v>45860</v>
      </c>
      <c r="E877" s="37" t="s">
        <v>726</v>
      </c>
      <c r="F877" s="100">
        <f t="shared" si="43"/>
        <v>2.4999999994179234E-2</v>
      </c>
    </row>
    <row r="878" spans="1:6">
      <c r="A878" s="37" t="s">
        <v>297</v>
      </c>
      <c r="B878" s="93">
        <v>45860</v>
      </c>
      <c r="C878" s="37" t="s">
        <v>688</v>
      </c>
      <c r="D878" s="93">
        <v>45860</v>
      </c>
      <c r="E878" s="37" t="s">
        <v>760</v>
      </c>
      <c r="F878" s="100">
        <f t="shared" si="43"/>
        <v>1.5972222223354038E-2</v>
      </c>
    </row>
    <row r="879" spans="1:6">
      <c r="A879" s="37" t="s">
        <v>312</v>
      </c>
      <c r="B879" s="93">
        <v>45860</v>
      </c>
      <c r="C879" s="37" t="s">
        <v>966</v>
      </c>
      <c r="D879" s="93">
        <v>45860</v>
      </c>
      <c r="E879" s="37" t="s">
        <v>700</v>
      </c>
      <c r="F879" s="100">
        <f t="shared" si="43"/>
        <v>0.29374999999708962</v>
      </c>
    </row>
    <row r="880" spans="1:6">
      <c r="A880" s="37" t="s">
        <v>230</v>
      </c>
      <c r="B880" s="93">
        <v>45860</v>
      </c>
      <c r="C880" s="37" t="s">
        <v>733</v>
      </c>
      <c r="D880" s="93">
        <v>45860</v>
      </c>
      <c r="E880" s="37" t="s">
        <v>1033</v>
      </c>
      <c r="F880" s="100">
        <f t="shared" si="43"/>
        <v>0.22569444444525288</v>
      </c>
    </row>
    <row r="881" spans="1:8">
      <c r="A881" s="37" t="s">
        <v>206</v>
      </c>
      <c r="B881" s="93">
        <v>45860</v>
      </c>
      <c r="C881" s="37" t="s">
        <v>322</v>
      </c>
      <c r="D881" s="93">
        <v>45861</v>
      </c>
      <c r="E881" s="37" t="s">
        <v>1047</v>
      </c>
      <c r="F881" s="100">
        <f t="shared" si="43"/>
        <v>0.78055555555329192</v>
      </c>
    </row>
    <row r="882" spans="1:8">
      <c r="A882" s="37" t="s">
        <v>219</v>
      </c>
      <c r="B882" s="93">
        <v>45860</v>
      </c>
      <c r="C882" s="37" t="s">
        <v>217</v>
      </c>
      <c r="D882" s="93">
        <v>45861</v>
      </c>
      <c r="E882" s="37" t="s">
        <v>1048</v>
      </c>
      <c r="F882" s="100">
        <f t="shared" si="43"/>
        <v>0.54583333332993789</v>
      </c>
    </row>
    <row r="883" spans="1:8">
      <c r="A883" s="37" t="s">
        <v>227</v>
      </c>
      <c r="B883" s="93">
        <v>45860</v>
      </c>
      <c r="C883" s="37" t="s">
        <v>1049</v>
      </c>
      <c r="D883" s="93">
        <v>45860</v>
      </c>
      <c r="E883" s="37" t="s">
        <v>947</v>
      </c>
      <c r="F883" s="100">
        <f t="shared" si="43"/>
        <v>0.14722222222189885</v>
      </c>
    </row>
    <row r="884" spans="1:8">
      <c r="A884" s="37" t="s">
        <v>297</v>
      </c>
      <c r="B884" s="93">
        <v>45860</v>
      </c>
      <c r="C884" s="37" t="s">
        <v>934</v>
      </c>
      <c r="D884" s="93">
        <v>45860</v>
      </c>
      <c r="E884" s="37" t="s">
        <v>1050</v>
      </c>
      <c r="F884" s="100">
        <f t="shared" si="43"/>
        <v>0.12708333333284827</v>
      </c>
    </row>
    <row r="885" spans="1:8">
      <c r="A885" s="37" t="s">
        <v>230</v>
      </c>
      <c r="B885" s="93">
        <v>45860</v>
      </c>
      <c r="C885" s="37" t="s">
        <v>863</v>
      </c>
      <c r="D885" s="93">
        <v>45860</v>
      </c>
      <c r="E885" s="37" t="s">
        <v>440</v>
      </c>
      <c r="F885" s="100">
        <f t="shared" si="43"/>
        <v>4.2361111110949423E-2</v>
      </c>
    </row>
    <row r="886" spans="1:8">
      <c r="A886" s="37" t="s">
        <v>227</v>
      </c>
      <c r="B886" s="93">
        <v>45860</v>
      </c>
      <c r="C886" s="37" t="s">
        <v>1051</v>
      </c>
      <c r="D886" s="93">
        <v>45860</v>
      </c>
      <c r="E886" s="37" t="s">
        <v>1004</v>
      </c>
      <c r="F886" s="100">
        <f t="shared" si="43"/>
        <v>2.0833333335758653E-2</v>
      </c>
    </row>
    <row r="887" spans="1:8">
      <c r="A887" s="37" t="s">
        <v>213</v>
      </c>
      <c r="B887" s="93">
        <v>45860</v>
      </c>
      <c r="C887" s="37" t="s">
        <v>220</v>
      </c>
      <c r="D887" s="93">
        <v>45861</v>
      </c>
      <c r="E887" s="37" t="s">
        <v>299</v>
      </c>
      <c r="F887" s="100">
        <f t="shared" si="43"/>
        <v>0.59027777777373558</v>
      </c>
    </row>
    <row r="888" spans="1:8">
      <c r="A888" s="37" t="s">
        <v>312</v>
      </c>
      <c r="B888" s="93">
        <v>45860</v>
      </c>
      <c r="C888" s="37" t="s">
        <v>1052</v>
      </c>
      <c r="D888" s="93">
        <v>45860</v>
      </c>
      <c r="E888" s="37" t="s">
        <v>1053</v>
      </c>
      <c r="F888" s="100">
        <f t="shared" si="43"/>
        <v>9.1666666667151731E-2</v>
      </c>
    </row>
    <row r="889" spans="1:8">
      <c r="A889" s="37" t="s">
        <v>222</v>
      </c>
      <c r="B889" s="93">
        <v>45860</v>
      </c>
      <c r="C889" s="37" t="s">
        <v>552</v>
      </c>
      <c r="D889" s="93">
        <v>45861</v>
      </c>
      <c r="E889" s="37" t="s">
        <v>987</v>
      </c>
      <c r="F889" s="100">
        <f t="shared" si="43"/>
        <v>0.45972222222189885</v>
      </c>
    </row>
    <row r="890" spans="1:8">
      <c r="A890" s="37" t="s">
        <v>240</v>
      </c>
      <c r="B890" s="93">
        <v>45860</v>
      </c>
      <c r="C890" s="37" t="s">
        <v>1053</v>
      </c>
      <c r="D890" s="93">
        <v>45860</v>
      </c>
      <c r="E890" s="37" t="s">
        <v>731</v>
      </c>
      <c r="F890" s="100">
        <f t="shared" si="43"/>
        <v>3.4722222262644209E-3</v>
      </c>
    </row>
    <row r="891" spans="1:8">
      <c r="A891" s="37" t="s">
        <v>243</v>
      </c>
      <c r="B891" s="93">
        <v>45860</v>
      </c>
      <c r="C891" s="37" t="s">
        <v>1053</v>
      </c>
      <c r="D891" s="93">
        <v>45860</v>
      </c>
      <c r="E891" s="37" t="s">
        <v>1054</v>
      </c>
      <c r="F891" s="100">
        <f t="shared" si="43"/>
        <v>1.4583333337213844E-2</v>
      </c>
    </row>
    <row r="892" spans="1:8">
      <c r="A892" s="37" t="s">
        <v>246</v>
      </c>
      <c r="B892" s="93">
        <v>45860</v>
      </c>
      <c r="C892" s="37" t="s">
        <v>1053</v>
      </c>
      <c r="D892" s="93">
        <v>45860</v>
      </c>
      <c r="E892" s="37" t="s">
        <v>1055</v>
      </c>
      <c r="F892" s="100">
        <f t="shared" si="43"/>
        <v>1.9444444449618459E-2</v>
      </c>
    </row>
    <row r="893" spans="1:8">
      <c r="A893" s="37" t="s">
        <v>227</v>
      </c>
      <c r="B893" s="93">
        <v>45860</v>
      </c>
      <c r="C893" s="37" t="s">
        <v>1036</v>
      </c>
      <c r="D893" s="93">
        <v>45860</v>
      </c>
      <c r="E893" s="37" t="s">
        <v>985</v>
      </c>
      <c r="F893" s="100">
        <f t="shared" si="43"/>
        <v>1.0416666664241347E-2</v>
      </c>
    </row>
    <row r="894" spans="1:8">
      <c r="A894" s="37" t="s">
        <v>197</v>
      </c>
      <c r="B894" s="93">
        <v>45861</v>
      </c>
      <c r="C894" s="37" t="s">
        <v>1056</v>
      </c>
      <c r="D894" s="93">
        <v>45862</v>
      </c>
      <c r="E894" s="37" t="s">
        <v>1057</v>
      </c>
      <c r="F894" s="100">
        <f t="shared" si="43"/>
        <v>0.94444444444525288</v>
      </c>
    </row>
    <row r="895" spans="1:8">
      <c r="A895" s="37" t="s">
        <v>200</v>
      </c>
      <c r="B895" s="93">
        <v>45861</v>
      </c>
      <c r="C895" s="37" t="s">
        <v>334</v>
      </c>
      <c r="D895" s="93">
        <v>45861</v>
      </c>
      <c r="E895" s="37" t="s">
        <v>603</v>
      </c>
      <c r="F895" s="100">
        <f t="shared" si="43"/>
        <v>0.15763888888614019</v>
      </c>
      <c r="G895" s="37" t="s">
        <v>9</v>
      </c>
      <c r="H895" s="94" t="s">
        <v>1058</v>
      </c>
    </row>
    <row r="896" spans="1:8">
      <c r="A896" s="37" t="s">
        <v>233</v>
      </c>
      <c r="B896" s="93">
        <v>45861</v>
      </c>
      <c r="C896" s="37" t="s">
        <v>283</v>
      </c>
      <c r="D896" s="93">
        <v>45861</v>
      </c>
      <c r="E896" s="37" t="s">
        <v>995</v>
      </c>
      <c r="F896" s="100">
        <f t="shared" si="43"/>
        <v>0.33333333332848269</v>
      </c>
    </row>
    <row r="897" spans="1:7">
      <c r="A897" s="37" t="s">
        <v>227</v>
      </c>
      <c r="B897" s="93">
        <v>45861</v>
      </c>
      <c r="C897" s="37" t="s">
        <v>1059</v>
      </c>
      <c r="D897" s="93">
        <v>45861</v>
      </c>
      <c r="E897" s="37" t="s">
        <v>602</v>
      </c>
      <c r="F897" s="100">
        <f t="shared" si="43"/>
        <v>4.3055555557657499E-2</v>
      </c>
    </row>
    <row r="898" spans="1:7">
      <c r="A898" s="37" t="s">
        <v>230</v>
      </c>
      <c r="B898" s="93">
        <v>45861</v>
      </c>
      <c r="C898" s="37" t="s">
        <v>1060</v>
      </c>
      <c r="D898" s="93">
        <v>45861</v>
      </c>
      <c r="E898" s="37" t="s">
        <v>478</v>
      </c>
      <c r="F898" s="100">
        <f t="shared" si="43"/>
        <v>3.7499999998544808E-2</v>
      </c>
    </row>
    <row r="899" spans="1:7">
      <c r="A899" s="37" t="s">
        <v>243</v>
      </c>
      <c r="B899" s="93">
        <v>45861</v>
      </c>
      <c r="C899" s="37" t="s">
        <v>847</v>
      </c>
      <c r="D899" s="93">
        <v>45861</v>
      </c>
      <c r="E899" s="37" t="s">
        <v>724</v>
      </c>
      <c r="F899" s="100">
        <f t="shared" si="43"/>
        <v>3.125E-2</v>
      </c>
    </row>
    <row r="900" spans="1:7">
      <c r="A900" s="37" t="s">
        <v>246</v>
      </c>
      <c r="B900" s="93">
        <v>45861</v>
      </c>
      <c r="C900" s="37" t="s">
        <v>1061</v>
      </c>
      <c r="D900" s="93">
        <v>45861</v>
      </c>
      <c r="E900" s="37" t="s">
        <v>600</v>
      </c>
      <c r="F900" s="100">
        <f t="shared" si="43"/>
        <v>3.0555555560567882E-2</v>
      </c>
    </row>
    <row r="901" spans="1:7">
      <c r="A901" s="37" t="s">
        <v>200</v>
      </c>
      <c r="B901" s="93">
        <v>45861</v>
      </c>
      <c r="C901" s="37" t="s">
        <v>601</v>
      </c>
      <c r="D901" s="93">
        <v>45863</v>
      </c>
      <c r="E901" s="37" t="s">
        <v>516</v>
      </c>
      <c r="F901" s="100">
        <f>(D901 + TIME(LEFT(E901, 2), MID(E901, 3, 2), 0)) - (B901 + TIME(LEFT(C901, 2), MID(C901, 3, 2), 0))</f>
        <v>2.6298611111124046</v>
      </c>
    </row>
    <row r="902" spans="1:7">
      <c r="A902" s="37" t="s">
        <v>297</v>
      </c>
      <c r="B902" s="93">
        <v>45861</v>
      </c>
      <c r="C902" s="37" t="s">
        <v>1062</v>
      </c>
      <c r="D902" s="93">
        <v>45861</v>
      </c>
      <c r="E902" s="37" t="s">
        <v>289</v>
      </c>
      <c r="F902" s="100">
        <f t="shared" ref="F902:F928" si="44">(D902 + TIME(LEFT(E902, 2), MID(E902, 3, 2), 0)) - (B902 + TIME(LEFT(C902, 2), MID(C902, 3, 2), 0))</f>
        <v>1.2500000004365575E-2</v>
      </c>
    </row>
    <row r="903" spans="1:7">
      <c r="A903" s="37" t="s">
        <v>240</v>
      </c>
      <c r="B903" s="93">
        <v>45861</v>
      </c>
      <c r="C903" s="37" t="s">
        <v>418</v>
      </c>
      <c r="D903" s="93">
        <v>45861</v>
      </c>
      <c r="E903" s="37" t="s">
        <v>1063</v>
      </c>
      <c r="F903" s="100">
        <f t="shared" si="44"/>
        <v>0.41597222221753327</v>
      </c>
      <c r="G903" s="37" t="s">
        <v>9</v>
      </c>
    </row>
    <row r="904" spans="1:7">
      <c r="A904" s="37" t="s">
        <v>251</v>
      </c>
      <c r="B904" s="93">
        <v>45861</v>
      </c>
      <c r="C904" s="37" t="s">
        <v>242</v>
      </c>
      <c r="D904" s="93">
        <v>45861</v>
      </c>
      <c r="E904" s="37" t="s">
        <v>1054</v>
      </c>
      <c r="F904" s="100">
        <f t="shared" si="44"/>
        <v>0.52638888888759539</v>
      </c>
    </row>
    <row r="905" spans="1:7">
      <c r="A905" s="37" t="s">
        <v>216</v>
      </c>
      <c r="B905" s="93">
        <v>45861</v>
      </c>
      <c r="C905" s="37" t="s">
        <v>1064</v>
      </c>
      <c r="D905" s="93">
        <v>45861</v>
      </c>
      <c r="E905" s="37" t="s">
        <v>367</v>
      </c>
      <c r="F905" s="100">
        <f t="shared" si="44"/>
        <v>0.45555555555620231</v>
      </c>
    </row>
    <row r="906" spans="1:7">
      <c r="A906" s="37" t="s">
        <v>219</v>
      </c>
      <c r="B906" s="93">
        <v>45861</v>
      </c>
      <c r="C906" s="37" t="s">
        <v>236</v>
      </c>
      <c r="D906" s="93">
        <v>45861</v>
      </c>
      <c r="E906" s="37" t="s">
        <v>277</v>
      </c>
      <c r="F906" s="100">
        <f t="shared" si="44"/>
        <v>0.50069444443943212</v>
      </c>
    </row>
    <row r="907" spans="1:7">
      <c r="A907" s="37" t="s">
        <v>235</v>
      </c>
      <c r="B907" s="93">
        <v>45861</v>
      </c>
      <c r="C907" s="37" t="s">
        <v>418</v>
      </c>
      <c r="D907" s="93">
        <v>45861</v>
      </c>
      <c r="E907" s="37" t="s">
        <v>277</v>
      </c>
      <c r="F907" s="100">
        <f t="shared" si="44"/>
        <v>0.41111111110512866</v>
      </c>
    </row>
    <row r="908" spans="1:7">
      <c r="A908" s="37" t="s">
        <v>254</v>
      </c>
      <c r="B908" s="93">
        <v>45861</v>
      </c>
      <c r="C908" s="37" t="s">
        <v>753</v>
      </c>
      <c r="D908" s="93">
        <v>45861</v>
      </c>
      <c r="E908" s="37" t="s">
        <v>256</v>
      </c>
      <c r="F908" s="100">
        <f t="shared" si="44"/>
        <v>0.53194444444670808</v>
      </c>
    </row>
    <row r="909" spans="1:7">
      <c r="A909" s="37" t="s">
        <v>227</v>
      </c>
      <c r="B909" s="93">
        <v>45861</v>
      </c>
      <c r="C909" s="37" t="s">
        <v>655</v>
      </c>
      <c r="D909" s="93">
        <v>45861</v>
      </c>
      <c r="E909" s="37" t="s">
        <v>849</v>
      </c>
      <c r="F909" s="100">
        <f t="shared" si="44"/>
        <v>0.11805555555474712</v>
      </c>
    </row>
    <row r="910" spans="1:7">
      <c r="A910" s="37" t="s">
        <v>230</v>
      </c>
      <c r="B910" s="93">
        <v>45861</v>
      </c>
      <c r="C910" s="37" t="s">
        <v>825</v>
      </c>
      <c r="D910" s="93">
        <v>45861</v>
      </c>
      <c r="E910" s="37" t="s">
        <v>1065</v>
      </c>
      <c r="F910" s="100">
        <f t="shared" si="44"/>
        <v>0.11458333333575865</v>
      </c>
    </row>
    <row r="911" spans="1:7">
      <c r="A911" s="37" t="s">
        <v>246</v>
      </c>
      <c r="B911" s="93">
        <v>45861</v>
      </c>
      <c r="C911" s="37" t="s">
        <v>651</v>
      </c>
      <c r="D911" s="93">
        <v>45861</v>
      </c>
      <c r="E911" s="37" t="s">
        <v>1066</v>
      </c>
      <c r="F911" s="100">
        <f t="shared" si="44"/>
        <v>0.17361111110949423</v>
      </c>
    </row>
    <row r="912" spans="1:7">
      <c r="A912" s="37" t="s">
        <v>243</v>
      </c>
      <c r="B912" s="93">
        <v>45861</v>
      </c>
      <c r="C912" s="37" t="s">
        <v>687</v>
      </c>
      <c r="D912" s="93">
        <v>45861</v>
      </c>
      <c r="E912" s="37" t="s">
        <v>1067</v>
      </c>
      <c r="F912" s="100">
        <f t="shared" si="44"/>
        <v>7.2916666671517305E-2</v>
      </c>
    </row>
    <row r="913" spans="1:7">
      <c r="A913" s="37" t="s">
        <v>222</v>
      </c>
      <c r="B913" s="93">
        <v>45861</v>
      </c>
      <c r="C913" s="37" t="s">
        <v>217</v>
      </c>
      <c r="D913" s="93">
        <v>45862</v>
      </c>
      <c r="E913" s="37" t="s">
        <v>218</v>
      </c>
      <c r="F913" s="100">
        <f t="shared" si="44"/>
        <v>0.50069444443943212</v>
      </c>
    </row>
    <row r="914" spans="1:7">
      <c r="A914" s="37" t="s">
        <v>227</v>
      </c>
      <c r="B914" s="93">
        <v>45861</v>
      </c>
      <c r="C914" s="37" t="s">
        <v>186</v>
      </c>
      <c r="D914" s="93">
        <v>45861</v>
      </c>
      <c r="E914" s="37" t="s">
        <v>1068</v>
      </c>
      <c r="F914" s="100">
        <f t="shared" si="44"/>
        <v>4.4444444443797693E-2</v>
      </c>
    </row>
    <row r="915" spans="1:7">
      <c r="A915" s="37" t="s">
        <v>230</v>
      </c>
      <c r="B915" s="93">
        <v>45861</v>
      </c>
      <c r="C915" s="37" t="s">
        <v>665</v>
      </c>
      <c r="D915" s="93">
        <v>45861</v>
      </c>
      <c r="E915" s="37" t="s">
        <v>1069</v>
      </c>
      <c r="F915" s="100">
        <f t="shared" si="44"/>
        <v>0.117361111115315</v>
      </c>
    </row>
    <row r="916" spans="1:7">
      <c r="A916" s="37" t="s">
        <v>206</v>
      </c>
      <c r="B916" s="93">
        <v>45861</v>
      </c>
      <c r="C916" s="37" t="s">
        <v>267</v>
      </c>
      <c r="D916" s="93">
        <v>45862</v>
      </c>
      <c r="E916" s="37" t="s">
        <v>1070</v>
      </c>
      <c r="F916" s="100">
        <f t="shared" si="44"/>
        <v>0.69791666666424135</v>
      </c>
    </row>
    <row r="917" spans="1:7">
      <c r="A917" s="37" t="s">
        <v>243</v>
      </c>
      <c r="B917" s="93">
        <v>45861</v>
      </c>
      <c r="C917" s="37" t="s">
        <v>181</v>
      </c>
      <c r="D917" s="93">
        <v>45861</v>
      </c>
      <c r="E917" s="37" t="s">
        <v>433</v>
      </c>
      <c r="F917" s="100">
        <f t="shared" si="44"/>
        <v>0.10972222222335404</v>
      </c>
    </row>
    <row r="918" spans="1:7">
      <c r="A918" s="37" t="s">
        <v>216</v>
      </c>
      <c r="B918" s="93">
        <v>45861</v>
      </c>
      <c r="C918" s="37" t="s">
        <v>220</v>
      </c>
      <c r="D918" s="93">
        <v>45862</v>
      </c>
      <c r="E918" s="37" t="s">
        <v>215</v>
      </c>
      <c r="F918" s="100">
        <f t="shared" si="44"/>
        <v>0.50069444443943212</v>
      </c>
    </row>
    <row r="919" spans="1:7">
      <c r="A919" s="37" t="s">
        <v>213</v>
      </c>
      <c r="B919" s="93">
        <v>45861</v>
      </c>
      <c r="C919" s="37" t="s">
        <v>220</v>
      </c>
      <c r="D919" s="93">
        <v>45862</v>
      </c>
      <c r="E919" s="37" t="s">
        <v>1071</v>
      </c>
      <c r="F919" s="100">
        <f t="shared" si="44"/>
        <v>0.54444444444379769</v>
      </c>
    </row>
    <row r="920" spans="1:7">
      <c r="A920" s="37" t="s">
        <v>240</v>
      </c>
      <c r="B920" s="93">
        <v>45861</v>
      </c>
      <c r="C920" s="37" t="s">
        <v>1063</v>
      </c>
      <c r="D920" s="93">
        <v>45861</v>
      </c>
      <c r="E920" s="37" t="s">
        <v>956</v>
      </c>
      <c r="F920" s="100">
        <f t="shared" si="44"/>
        <v>4.7222222223354038E-2</v>
      </c>
    </row>
    <row r="921" spans="1:7">
      <c r="A921" s="37" t="s">
        <v>243</v>
      </c>
      <c r="B921" s="93">
        <v>45861</v>
      </c>
      <c r="C921" s="37" t="s">
        <v>1045</v>
      </c>
      <c r="D921" s="93">
        <v>45861</v>
      </c>
      <c r="E921" s="37" t="s">
        <v>443</v>
      </c>
      <c r="F921" s="100">
        <f t="shared" si="44"/>
        <v>4.4444444443797693E-2</v>
      </c>
    </row>
    <row r="922" spans="1:7">
      <c r="A922" s="37" t="s">
        <v>246</v>
      </c>
      <c r="B922" s="93">
        <v>45861</v>
      </c>
      <c r="C922" s="37" t="s">
        <v>799</v>
      </c>
      <c r="D922" s="93">
        <v>45861</v>
      </c>
      <c r="E922" s="37" t="s">
        <v>951</v>
      </c>
      <c r="F922" s="100">
        <f t="shared" si="44"/>
        <v>4.5138888883229811E-2</v>
      </c>
    </row>
    <row r="923" spans="1:7">
      <c r="A923" s="37" t="s">
        <v>227</v>
      </c>
      <c r="B923" s="93">
        <v>45861</v>
      </c>
      <c r="C923" s="37" t="s">
        <v>1072</v>
      </c>
      <c r="D923" s="93">
        <v>45861</v>
      </c>
      <c r="E923" s="37" t="s">
        <v>1073</v>
      </c>
      <c r="F923" s="100">
        <f t="shared" si="44"/>
        <v>4.5138888883229811E-2</v>
      </c>
    </row>
    <row r="924" spans="1:7">
      <c r="A924" s="37" t="s">
        <v>312</v>
      </c>
      <c r="B924" s="93">
        <v>45861</v>
      </c>
      <c r="C924" s="37" t="s">
        <v>1074</v>
      </c>
      <c r="D924" s="93">
        <v>45861</v>
      </c>
      <c r="E924" s="37" t="s">
        <v>529</v>
      </c>
      <c r="F924" s="100">
        <f t="shared" si="44"/>
        <v>8.6805555554747116E-2</v>
      </c>
      <c r="G924" s="37" t="s">
        <v>9</v>
      </c>
    </row>
    <row r="925" spans="1:7">
      <c r="A925" s="37" t="s">
        <v>230</v>
      </c>
      <c r="B925" s="93">
        <v>45861</v>
      </c>
      <c r="C925" s="37" t="s">
        <v>959</v>
      </c>
      <c r="D925" s="93">
        <v>45861</v>
      </c>
      <c r="E925" s="37" t="s">
        <v>450</v>
      </c>
      <c r="F925" s="100">
        <f t="shared" si="44"/>
        <v>4.8611111124046147E-3</v>
      </c>
    </row>
    <row r="926" spans="1:7">
      <c r="A926" s="37" t="s">
        <v>240</v>
      </c>
      <c r="B926" s="93">
        <v>45861</v>
      </c>
      <c r="C926" s="37" t="s">
        <v>1075</v>
      </c>
      <c r="D926" s="93">
        <v>45861</v>
      </c>
      <c r="E926" s="37" t="s">
        <v>854</v>
      </c>
      <c r="F926" s="100">
        <f t="shared" si="44"/>
        <v>1.1111111110949423E-2</v>
      </c>
    </row>
    <row r="927" spans="1:7">
      <c r="A927" s="37" t="s">
        <v>243</v>
      </c>
      <c r="B927" s="93">
        <v>45861</v>
      </c>
      <c r="C927" s="37" t="s">
        <v>1075</v>
      </c>
      <c r="D927" s="93">
        <v>45861</v>
      </c>
      <c r="E927" s="37" t="s">
        <v>1076</v>
      </c>
      <c r="F927" s="100">
        <f t="shared" si="44"/>
        <v>1.5972222223354038E-2</v>
      </c>
    </row>
    <row r="928" spans="1:7">
      <c r="A928" s="37" t="s">
        <v>219</v>
      </c>
      <c r="B928" s="93">
        <v>45862</v>
      </c>
      <c r="C928" s="37" t="s">
        <v>223</v>
      </c>
      <c r="D928" s="93">
        <v>45862</v>
      </c>
      <c r="E928" s="37" t="s">
        <v>367</v>
      </c>
      <c r="F928" s="100">
        <f t="shared" si="44"/>
        <v>0.50069444443943212</v>
      </c>
    </row>
    <row r="929" spans="1:6">
      <c r="A929" s="37" t="s">
        <v>197</v>
      </c>
      <c r="B929" s="93">
        <v>45862</v>
      </c>
      <c r="C929" s="37" t="s">
        <v>1077</v>
      </c>
      <c r="D929" s="93">
        <v>45864</v>
      </c>
      <c r="E929" s="37" t="s">
        <v>1078</v>
      </c>
      <c r="F929" s="100">
        <f t="shared" ref="F929:F973" si="45">(D929 + TIME(LEFT(E929, 2), MID(E929, 3, 2), 0)) - (B929 + TIME(LEFT(C929, 2), MID(C929, 3, 2), 0))</f>
        <v>1.9291666666686069</v>
      </c>
    </row>
    <row r="930" spans="1:6">
      <c r="A930" s="37" t="s">
        <v>222</v>
      </c>
      <c r="B930" s="93">
        <v>45862</v>
      </c>
      <c r="C930" s="37" t="s">
        <v>236</v>
      </c>
      <c r="D930" s="93">
        <v>45862</v>
      </c>
      <c r="E930" s="37" t="s">
        <v>277</v>
      </c>
      <c r="F930" s="100">
        <f t="shared" si="45"/>
        <v>0.50069444443943212</v>
      </c>
    </row>
    <row r="931" spans="1:6">
      <c r="A931" s="37" t="s">
        <v>233</v>
      </c>
      <c r="B931" s="93">
        <v>45862</v>
      </c>
      <c r="C931" s="37" t="s">
        <v>816</v>
      </c>
      <c r="D931" s="93">
        <v>45862</v>
      </c>
      <c r="E931" s="37" t="s">
        <v>1079</v>
      </c>
      <c r="F931" s="100">
        <f t="shared" si="45"/>
        <v>0.29583333333721384</v>
      </c>
    </row>
    <row r="932" spans="1:6">
      <c r="A932" s="37" t="s">
        <v>235</v>
      </c>
      <c r="B932" s="93">
        <v>45862</v>
      </c>
      <c r="C932" s="37" t="s">
        <v>1080</v>
      </c>
      <c r="D932" s="93">
        <v>45862</v>
      </c>
      <c r="E932" s="37" t="s">
        <v>277</v>
      </c>
      <c r="F932" s="100">
        <f t="shared" si="45"/>
        <v>0.4569444444423425</v>
      </c>
    </row>
    <row r="933" spans="1:6">
      <c r="A933" s="37" t="s">
        <v>203</v>
      </c>
      <c r="B933" s="93">
        <v>45862</v>
      </c>
      <c r="C933" s="37" t="s">
        <v>1081</v>
      </c>
      <c r="D933" s="93">
        <v>45862</v>
      </c>
      <c r="E933" s="37" t="s">
        <v>939</v>
      </c>
      <c r="F933" s="100">
        <f t="shared" si="45"/>
        <v>0.56319444443943212</v>
      </c>
    </row>
    <row r="934" spans="1:6">
      <c r="A934" s="37" t="s">
        <v>243</v>
      </c>
      <c r="B934" s="93">
        <v>45862</v>
      </c>
      <c r="C934" s="37" t="s">
        <v>293</v>
      </c>
      <c r="D934" s="93">
        <v>45862</v>
      </c>
      <c r="E934" s="37" t="s">
        <v>1013</v>
      </c>
      <c r="F934" s="100">
        <f t="shared" si="45"/>
        <v>2.0833333328482695E-3</v>
      </c>
    </row>
    <row r="935" spans="1:6">
      <c r="A935" s="37" t="s">
        <v>246</v>
      </c>
      <c r="B935" s="93">
        <v>45862</v>
      </c>
      <c r="C935" s="37" t="s">
        <v>293</v>
      </c>
      <c r="D935" s="93">
        <v>45862</v>
      </c>
      <c r="E935" s="37" t="s">
        <v>412</v>
      </c>
      <c r="F935" s="100">
        <f t="shared" si="45"/>
        <v>2.7777777795563452E-3</v>
      </c>
    </row>
    <row r="936" spans="1:6">
      <c r="A936" s="37" t="s">
        <v>227</v>
      </c>
      <c r="B936" s="93">
        <v>45862</v>
      </c>
      <c r="C936" s="37" t="s">
        <v>296</v>
      </c>
      <c r="D936" s="93">
        <v>45862</v>
      </c>
      <c r="E936" s="37" t="s">
        <v>457</v>
      </c>
      <c r="F936" s="100">
        <f t="shared" si="45"/>
        <v>9.7222222248092294E-3</v>
      </c>
    </row>
    <row r="937" spans="1:6">
      <c r="A937" s="37" t="s">
        <v>230</v>
      </c>
      <c r="B937" s="93">
        <v>45862</v>
      </c>
      <c r="C937" s="37" t="s">
        <v>482</v>
      </c>
      <c r="D937" s="93">
        <v>45862</v>
      </c>
      <c r="E937" s="37" t="s">
        <v>406</v>
      </c>
      <c r="F937" s="100">
        <f t="shared" si="45"/>
        <v>1.3888888883229811E-2</v>
      </c>
    </row>
    <row r="938" spans="1:6">
      <c r="A938" s="37" t="s">
        <v>240</v>
      </c>
      <c r="B938" s="93">
        <v>45862</v>
      </c>
      <c r="C938" s="37" t="s">
        <v>273</v>
      </c>
      <c r="D938" s="93">
        <v>45862</v>
      </c>
      <c r="E938" s="37" t="s">
        <v>189</v>
      </c>
      <c r="F938" s="100">
        <f t="shared" si="45"/>
        <v>2.9166666667151731E-2</v>
      </c>
    </row>
    <row r="939" spans="1:6">
      <c r="A939" s="37" t="s">
        <v>251</v>
      </c>
      <c r="B939" s="93">
        <v>45862</v>
      </c>
      <c r="C939" s="37" t="s">
        <v>294</v>
      </c>
      <c r="D939" s="93">
        <v>45862</v>
      </c>
      <c r="E939" s="37" t="s">
        <v>1082</v>
      </c>
      <c r="F939" s="100">
        <f t="shared" si="45"/>
        <v>0.57777777777664596</v>
      </c>
    </row>
    <row r="940" spans="1:6">
      <c r="A940" s="37" t="s">
        <v>243</v>
      </c>
      <c r="B940" s="93">
        <v>45862</v>
      </c>
      <c r="C940" s="37" t="s">
        <v>480</v>
      </c>
      <c r="D940" s="93">
        <v>45862</v>
      </c>
      <c r="E940" s="37" t="s">
        <v>655</v>
      </c>
      <c r="F940" s="100">
        <f t="shared" si="45"/>
        <v>9.7222222175332718E-3</v>
      </c>
    </row>
    <row r="941" spans="1:6">
      <c r="A941" s="37" t="s">
        <v>246</v>
      </c>
      <c r="B941" s="93">
        <v>45862</v>
      </c>
      <c r="C941" s="37" t="s">
        <v>486</v>
      </c>
      <c r="D941" s="93">
        <v>45862</v>
      </c>
      <c r="E941" s="37" t="s">
        <v>690</v>
      </c>
      <c r="F941" s="100">
        <f t="shared" si="45"/>
        <v>0.10416666666424135</v>
      </c>
    </row>
    <row r="942" spans="1:6">
      <c r="A942" s="37" t="s">
        <v>227</v>
      </c>
      <c r="B942" s="93">
        <v>45862</v>
      </c>
      <c r="C942" s="37" t="s">
        <v>653</v>
      </c>
      <c r="D942" s="93">
        <v>45862</v>
      </c>
      <c r="E942" s="37" t="s">
        <v>553</v>
      </c>
      <c r="F942" s="100">
        <f t="shared" si="45"/>
        <v>0.11250000000291038</v>
      </c>
    </row>
    <row r="943" spans="1:6">
      <c r="A943" s="37" t="s">
        <v>254</v>
      </c>
      <c r="B943" s="93">
        <v>45862</v>
      </c>
      <c r="C943" s="37" t="s">
        <v>653</v>
      </c>
      <c r="D943" s="93">
        <v>45862</v>
      </c>
      <c r="E943" s="37" t="s">
        <v>1083</v>
      </c>
      <c r="F943" s="100">
        <f t="shared" si="45"/>
        <v>0.60347222222480923</v>
      </c>
    </row>
    <row r="944" spans="1:6">
      <c r="A944" s="37" t="s">
        <v>230</v>
      </c>
      <c r="B944" s="93">
        <v>45862</v>
      </c>
      <c r="C944" s="37" t="s">
        <v>884</v>
      </c>
      <c r="D944" s="93">
        <v>45862</v>
      </c>
      <c r="E944" s="37" t="s">
        <v>362</v>
      </c>
      <c r="F944" s="100">
        <f t="shared" si="45"/>
        <v>0.13611111111094942</v>
      </c>
    </row>
    <row r="945" spans="1:6">
      <c r="A945" s="37" t="s">
        <v>240</v>
      </c>
      <c r="B945" s="93">
        <v>45862</v>
      </c>
      <c r="C945" s="37" t="s">
        <v>779</v>
      </c>
      <c r="D945" s="93">
        <v>45862</v>
      </c>
      <c r="E945" s="37" t="s">
        <v>1084</v>
      </c>
      <c r="F945" s="100">
        <f t="shared" si="45"/>
        <v>0.23333333332993789</v>
      </c>
    </row>
    <row r="946" spans="1:6">
      <c r="A946" s="37" t="s">
        <v>243</v>
      </c>
      <c r="B946" s="93">
        <v>45862</v>
      </c>
      <c r="C946" s="37" t="s">
        <v>287</v>
      </c>
      <c r="D946" s="93">
        <v>45862</v>
      </c>
      <c r="E946" s="37" t="s">
        <v>1085</v>
      </c>
      <c r="F946" s="100">
        <f t="shared" si="45"/>
        <v>0.17777777777519077</v>
      </c>
    </row>
    <row r="947" spans="1:6">
      <c r="A947" s="37" t="s">
        <v>216</v>
      </c>
      <c r="B947" s="93">
        <v>45862</v>
      </c>
      <c r="C947" s="37" t="s">
        <v>217</v>
      </c>
      <c r="D947" s="93">
        <v>45863</v>
      </c>
      <c r="E947" s="37" t="s">
        <v>218</v>
      </c>
      <c r="F947" s="100">
        <f t="shared" si="45"/>
        <v>0.50069444443943212</v>
      </c>
    </row>
    <row r="948" spans="1:6">
      <c r="A948" s="37" t="s">
        <v>246</v>
      </c>
      <c r="B948" s="93">
        <v>45862</v>
      </c>
      <c r="C948" s="37" t="s">
        <v>259</v>
      </c>
      <c r="D948" s="93">
        <v>45862</v>
      </c>
      <c r="E948" s="37" t="s">
        <v>917</v>
      </c>
      <c r="F948" s="100">
        <f t="shared" si="45"/>
        <v>0.125</v>
      </c>
    </row>
    <row r="949" spans="1:6">
      <c r="A949" s="37" t="s">
        <v>206</v>
      </c>
      <c r="B949" s="93">
        <v>45862</v>
      </c>
      <c r="C949" s="37" t="s">
        <v>1086</v>
      </c>
      <c r="D949" s="93">
        <v>45863</v>
      </c>
      <c r="E949" s="37" t="s">
        <v>1087</v>
      </c>
      <c r="F949" s="100">
        <f t="shared" si="45"/>
        <v>0.50902777777810115</v>
      </c>
    </row>
    <row r="950" spans="1:6">
      <c r="A950" s="37" t="s">
        <v>227</v>
      </c>
      <c r="B950" s="93">
        <v>45862</v>
      </c>
      <c r="C950" s="37" t="s">
        <v>972</v>
      </c>
      <c r="D950" s="93">
        <v>45862</v>
      </c>
      <c r="E950" s="37" t="s">
        <v>1088</v>
      </c>
      <c r="F950" s="100">
        <f t="shared" si="45"/>
        <v>0.11180555555620231</v>
      </c>
    </row>
    <row r="951" spans="1:6">
      <c r="A951" s="37" t="s">
        <v>230</v>
      </c>
      <c r="B951" s="93">
        <v>45862</v>
      </c>
      <c r="C951" s="37" t="s">
        <v>1089</v>
      </c>
      <c r="D951" s="93">
        <v>45862</v>
      </c>
      <c r="E951" s="37" t="s">
        <v>1090</v>
      </c>
      <c r="F951" s="100">
        <f t="shared" si="45"/>
        <v>2.9166666667151731E-2</v>
      </c>
    </row>
    <row r="952" spans="1:6">
      <c r="A952" s="37" t="s">
        <v>240</v>
      </c>
      <c r="B952" s="93">
        <v>45862</v>
      </c>
      <c r="C952" s="37" t="s">
        <v>982</v>
      </c>
      <c r="D952" s="93">
        <v>45862</v>
      </c>
      <c r="E952" s="37" t="s">
        <v>1091</v>
      </c>
      <c r="F952" s="100">
        <f t="shared" si="45"/>
        <v>5.2777777775190771E-2</v>
      </c>
    </row>
    <row r="953" spans="1:6">
      <c r="A953" s="37" t="s">
        <v>213</v>
      </c>
      <c r="B953" s="93">
        <v>45862</v>
      </c>
      <c r="C953" s="37" t="s">
        <v>220</v>
      </c>
      <c r="D953" s="93">
        <v>45863</v>
      </c>
      <c r="E953" s="37" t="s">
        <v>215</v>
      </c>
      <c r="F953" s="100">
        <f t="shared" si="45"/>
        <v>0.50069444443943212</v>
      </c>
    </row>
    <row r="954" spans="1:6">
      <c r="A954" s="37" t="s">
        <v>243</v>
      </c>
      <c r="B954" s="93">
        <v>45862</v>
      </c>
      <c r="C954" s="37" t="s">
        <v>920</v>
      </c>
      <c r="D954" s="93">
        <v>45862</v>
      </c>
      <c r="E954" s="37" t="s">
        <v>956</v>
      </c>
      <c r="F954" s="100">
        <f t="shared" si="45"/>
        <v>4.6527777776645962E-2</v>
      </c>
    </row>
    <row r="955" spans="1:6">
      <c r="A955" s="37" t="s">
        <v>219</v>
      </c>
      <c r="B955" s="93">
        <v>45862</v>
      </c>
      <c r="C955" s="37" t="s">
        <v>220</v>
      </c>
      <c r="D955" s="93">
        <v>45863</v>
      </c>
      <c r="E955" s="37" t="s">
        <v>215</v>
      </c>
      <c r="F955" s="100">
        <f t="shared" si="45"/>
        <v>0.50069444443943212</v>
      </c>
    </row>
    <row r="956" spans="1:6">
      <c r="A956" s="37" t="s">
        <v>227</v>
      </c>
      <c r="B956" s="93">
        <v>45862</v>
      </c>
      <c r="C956" s="37" t="s">
        <v>1092</v>
      </c>
      <c r="D956" s="93">
        <v>45862</v>
      </c>
      <c r="E956" s="37" t="s">
        <v>1093</v>
      </c>
      <c r="F956" s="100">
        <f t="shared" si="45"/>
        <v>3.888888889196096E-2</v>
      </c>
    </row>
    <row r="957" spans="1:6">
      <c r="A957" s="37" t="s">
        <v>297</v>
      </c>
      <c r="B957" s="93">
        <v>45862</v>
      </c>
      <c r="C957" s="37" t="s">
        <v>550</v>
      </c>
      <c r="D957" s="93">
        <v>45862</v>
      </c>
      <c r="E957" s="37" t="s">
        <v>448</v>
      </c>
      <c r="F957" s="100">
        <f t="shared" si="45"/>
        <v>1.5972222223354038E-2</v>
      </c>
    </row>
    <row r="958" spans="1:6">
      <c r="A958" s="37" t="s">
        <v>230</v>
      </c>
      <c r="B958" s="93">
        <v>45862</v>
      </c>
      <c r="C958" s="37" t="s">
        <v>552</v>
      </c>
      <c r="D958" s="93">
        <v>45862</v>
      </c>
      <c r="E958" s="37" t="s">
        <v>443</v>
      </c>
      <c r="F958" s="100">
        <f t="shared" si="45"/>
        <v>2.2222222221898846E-2</v>
      </c>
    </row>
    <row r="959" spans="1:6">
      <c r="A959" s="37" t="s">
        <v>246</v>
      </c>
      <c r="B959" s="93">
        <v>45862</v>
      </c>
      <c r="C959" s="37" t="s">
        <v>519</v>
      </c>
      <c r="D959" s="93">
        <v>45862</v>
      </c>
      <c r="E959" s="37" t="s">
        <v>1094</v>
      </c>
      <c r="F959" s="100">
        <f t="shared" si="45"/>
        <v>4.5138888883229811E-2</v>
      </c>
    </row>
    <row r="960" spans="1:6">
      <c r="A960" s="37" t="s">
        <v>240</v>
      </c>
      <c r="B960" s="93">
        <v>45862</v>
      </c>
      <c r="C960" s="37" t="s">
        <v>959</v>
      </c>
      <c r="D960" s="93">
        <v>45862</v>
      </c>
      <c r="E960" s="37" t="s">
        <v>1095</v>
      </c>
      <c r="F960" s="100">
        <f t="shared" si="45"/>
        <v>1.7361111109494232E-2</v>
      </c>
    </row>
    <row r="961" spans="1:8">
      <c r="A961" s="37" t="s">
        <v>227</v>
      </c>
      <c r="B961" s="93">
        <v>45862</v>
      </c>
      <c r="C961" s="37" t="s">
        <v>959</v>
      </c>
      <c r="D961" s="93">
        <v>45862</v>
      </c>
      <c r="E961" s="37" t="s">
        <v>453</v>
      </c>
      <c r="F961" s="100">
        <f t="shared" si="45"/>
        <v>3.6111111112404615E-2</v>
      </c>
    </row>
    <row r="962" spans="1:8">
      <c r="A962" s="37" t="s">
        <v>243</v>
      </c>
      <c r="B962" s="93">
        <v>45862</v>
      </c>
      <c r="C962" s="37" t="s">
        <v>959</v>
      </c>
      <c r="D962" s="93">
        <v>45862</v>
      </c>
      <c r="E962" s="37" t="s">
        <v>578</v>
      </c>
      <c r="F962" s="100">
        <f t="shared" si="45"/>
        <v>2.1527777775190771E-2</v>
      </c>
    </row>
    <row r="963" spans="1:8">
      <c r="A963" s="37" t="s">
        <v>230</v>
      </c>
      <c r="B963" s="93">
        <v>45862</v>
      </c>
      <c r="C963" s="37" t="s">
        <v>959</v>
      </c>
      <c r="D963" s="93">
        <v>45862</v>
      </c>
      <c r="E963" s="37" t="s">
        <v>1096</v>
      </c>
      <c r="F963" s="100">
        <f t="shared" si="45"/>
        <v>4.0972222224809229E-2</v>
      </c>
    </row>
    <row r="964" spans="1:8">
      <c r="A964" s="37" t="s">
        <v>246</v>
      </c>
      <c r="B964" s="93">
        <v>45862</v>
      </c>
      <c r="C964" s="37" t="s">
        <v>959</v>
      </c>
      <c r="D964" s="93">
        <v>45862</v>
      </c>
      <c r="E964" s="37" t="s">
        <v>922</v>
      </c>
      <c r="F964" s="100">
        <f t="shared" si="45"/>
        <v>2.7083333334303461E-2</v>
      </c>
    </row>
    <row r="965" spans="1:8">
      <c r="A965" s="37" t="s">
        <v>297</v>
      </c>
      <c r="B965" s="93">
        <v>45862</v>
      </c>
      <c r="C965" s="37" t="s">
        <v>1097</v>
      </c>
      <c r="D965" s="93">
        <v>45862</v>
      </c>
      <c r="E965" s="37" t="s">
        <v>549</v>
      </c>
      <c r="F965" s="100">
        <f t="shared" si="45"/>
        <v>9.0277777781011537E-3</v>
      </c>
    </row>
    <row r="966" spans="1:8">
      <c r="A966" s="37" t="s">
        <v>203</v>
      </c>
      <c r="B966" s="93">
        <v>45862</v>
      </c>
      <c r="C966" s="37" t="s">
        <v>939</v>
      </c>
      <c r="D966" s="93">
        <v>45863</v>
      </c>
      <c r="E966" s="37" t="s">
        <v>1059</v>
      </c>
      <c r="F966" s="100">
        <f t="shared" si="45"/>
        <v>0.4375</v>
      </c>
      <c r="G966" s="37" t="s">
        <v>9</v>
      </c>
    </row>
    <row r="967" spans="1:8">
      <c r="A967" s="37" t="s">
        <v>240</v>
      </c>
      <c r="B967" s="93">
        <v>45862</v>
      </c>
      <c r="C967" s="37" t="s">
        <v>1082</v>
      </c>
      <c r="D967" s="93">
        <v>45862</v>
      </c>
      <c r="E967" s="37" t="s">
        <v>1098</v>
      </c>
      <c r="F967" s="100">
        <f t="shared" si="45"/>
        <v>5.5555555591126904E-3</v>
      </c>
    </row>
    <row r="968" spans="1:8">
      <c r="A968" s="37" t="s">
        <v>243</v>
      </c>
      <c r="B968" s="93">
        <v>45862</v>
      </c>
      <c r="C968" s="37" t="s">
        <v>1082</v>
      </c>
      <c r="D968" s="93">
        <v>45862</v>
      </c>
      <c r="E968" s="37" t="s">
        <v>800</v>
      </c>
      <c r="F968" s="100">
        <f t="shared" si="45"/>
        <v>1.2500000004365575E-2</v>
      </c>
    </row>
    <row r="969" spans="1:8">
      <c r="A969" s="37" t="s">
        <v>222</v>
      </c>
      <c r="B969" s="93">
        <v>45863</v>
      </c>
      <c r="C969" s="37" t="s">
        <v>223</v>
      </c>
      <c r="D969" s="93">
        <v>45863</v>
      </c>
      <c r="E969" s="37" t="s">
        <v>367</v>
      </c>
      <c r="F969" s="100">
        <f t="shared" si="45"/>
        <v>0.50069444443943212</v>
      </c>
    </row>
    <row r="970" spans="1:8">
      <c r="A970" s="37" t="s">
        <v>246</v>
      </c>
      <c r="B970" s="93">
        <v>45863</v>
      </c>
      <c r="C970" s="37" t="s">
        <v>232</v>
      </c>
      <c r="D970" s="93">
        <v>45863</v>
      </c>
      <c r="E970" s="37" t="s">
        <v>1099</v>
      </c>
      <c r="F970" s="100">
        <f t="shared" si="45"/>
        <v>1.3194444443797693E-2</v>
      </c>
    </row>
    <row r="971" spans="1:8">
      <c r="A971" s="37" t="s">
        <v>243</v>
      </c>
      <c r="B971" s="93">
        <v>45863</v>
      </c>
      <c r="C971" s="37" t="s">
        <v>1100</v>
      </c>
      <c r="D971" s="93">
        <v>45863</v>
      </c>
      <c r="E971" s="37" t="s">
        <v>1101</v>
      </c>
      <c r="F971" s="100">
        <f t="shared" si="45"/>
        <v>1.1111111110949423E-2</v>
      </c>
    </row>
    <row r="972" spans="1:8">
      <c r="A972" s="37" t="s">
        <v>251</v>
      </c>
      <c r="B972" s="93">
        <v>45863</v>
      </c>
      <c r="C972" s="37" t="s">
        <v>286</v>
      </c>
      <c r="D972" s="93">
        <v>45863</v>
      </c>
      <c r="E972" s="37" t="s">
        <v>195</v>
      </c>
      <c r="F972" s="100">
        <f t="shared" si="45"/>
        <v>0.36180555555620231</v>
      </c>
      <c r="G972" s="37" t="s">
        <v>9</v>
      </c>
      <c r="H972" s="23" t="s">
        <v>1102</v>
      </c>
    </row>
    <row r="973" spans="1:8">
      <c r="A973" s="37" t="s">
        <v>233</v>
      </c>
      <c r="B973" s="93">
        <v>45863</v>
      </c>
      <c r="C973" s="37" t="s">
        <v>353</v>
      </c>
      <c r="D973" s="93">
        <v>45863</v>
      </c>
      <c r="E973" s="37" t="s">
        <v>1009</v>
      </c>
      <c r="F973" s="100">
        <f t="shared" si="45"/>
        <v>0.28680555555911269</v>
      </c>
    </row>
    <row r="974" spans="1:8">
      <c r="A974" s="37" t="s">
        <v>203</v>
      </c>
      <c r="B974" s="93">
        <v>45863</v>
      </c>
      <c r="C974" s="37" t="s">
        <v>1059</v>
      </c>
      <c r="D974" s="93">
        <v>45864</v>
      </c>
      <c r="E974" s="37" t="s">
        <v>907</v>
      </c>
      <c r="F974" s="100">
        <f>(D974 + TIME(LEFT(E974, 2), MID(E974, 3, 2), 0)) - (B974 + TIME(LEFT(C974, 2), MID(C974, 3, 2), 0))</f>
        <v>1.4180555555576575</v>
      </c>
    </row>
    <row r="975" spans="1:8">
      <c r="A975" s="37" t="s">
        <v>246</v>
      </c>
      <c r="B975" s="93">
        <v>45863</v>
      </c>
      <c r="C975" s="37" t="s">
        <v>847</v>
      </c>
      <c r="D975" s="93">
        <v>45863</v>
      </c>
      <c r="E975" s="37" t="s">
        <v>822</v>
      </c>
      <c r="F975" s="100">
        <f t="shared" ref="F975:F1000" si="46">(D975 + TIME(LEFT(E975, 2), MID(E975, 3, 2), 0)) - (B975 + TIME(LEFT(C975, 2), MID(C975, 3, 2), 0))</f>
        <v>1.5972222223354038E-2</v>
      </c>
    </row>
    <row r="976" spans="1:8">
      <c r="A976" s="37" t="s">
        <v>230</v>
      </c>
      <c r="B976" s="93">
        <v>45863</v>
      </c>
      <c r="C976" s="37" t="s">
        <v>719</v>
      </c>
      <c r="D976" s="93">
        <v>45863</v>
      </c>
      <c r="E976" s="37" t="s">
        <v>420</v>
      </c>
      <c r="F976" s="100">
        <f t="shared" si="46"/>
        <v>2.0833333335758653E-2</v>
      </c>
    </row>
    <row r="977" spans="1:6">
      <c r="A977" s="37" t="s">
        <v>227</v>
      </c>
      <c r="B977" s="93">
        <v>45863</v>
      </c>
      <c r="C977" s="37" t="s">
        <v>820</v>
      </c>
      <c r="D977" s="93">
        <v>45863</v>
      </c>
      <c r="E977" s="37" t="s">
        <v>242</v>
      </c>
      <c r="F977" s="100">
        <f t="shared" si="46"/>
        <v>1.1805555557657499E-2</v>
      </c>
    </row>
    <row r="978" spans="1:6">
      <c r="A978" s="37" t="s">
        <v>240</v>
      </c>
      <c r="B978" s="93">
        <v>45863</v>
      </c>
      <c r="C978" s="37" t="s">
        <v>1013</v>
      </c>
      <c r="D978" s="93">
        <v>45863</v>
      </c>
      <c r="E978" s="37" t="s">
        <v>289</v>
      </c>
      <c r="F978" s="100">
        <f t="shared" si="46"/>
        <v>1.9444444449618459E-2</v>
      </c>
    </row>
    <row r="979" spans="1:6">
      <c r="A979" s="37" t="s">
        <v>243</v>
      </c>
      <c r="B979" s="93">
        <v>45863</v>
      </c>
      <c r="C979" s="37" t="s">
        <v>295</v>
      </c>
      <c r="D979" s="93">
        <v>45863</v>
      </c>
      <c r="E979" s="37" t="s">
        <v>289</v>
      </c>
      <c r="F979" s="100">
        <f t="shared" si="46"/>
        <v>1.7361111116770189E-2</v>
      </c>
    </row>
    <row r="980" spans="1:6">
      <c r="A980" s="37" t="s">
        <v>254</v>
      </c>
      <c r="B980" s="93">
        <v>45863</v>
      </c>
      <c r="C980" s="37" t="s">
        <v>605</v>
      </c>
      <c r="D980" s="93">
        <v>45863</v>
      </c>
      <c r="E980" s="37" t="s">
        <v>1103</v>
      </c>
      <c r="F980" s="100">
        <f t="shared" si="46"/>
        <v>0.49861111111385981</v>
      </c>
    </row>
    <row r="981" spans="1:6">
      <c r="A981" s="37" t="s">
        <v>246</v>
      </c>
      <c r="B981" s="93">
        <v>45863</v>
      </c>
      <c r="C981" s="37" t="s">
        <v>608</v>
      </c>
      <c r="D981" s="93">
        <v>45863</v>
      </c>
      <c r="E981" s="37" t="s">
        <v>1104</v>
      </c>
      <c r="F981" s="100">
        <f t="shared" si="46"/>
        <v>2.0833333335758653E-2</v>
      </c>
    </row>
    <row r="982" spans="1:6">
      <c r="A982" s="37" t="s">
        <v>243</v>
      </c>
      <c r="B982" s="93">
        <v>45863</v>
      </c>
      <c r="C982" s="37" t="s">
        <v>189</v>
      </c>
      <c r="D982" s="93">
        <v>45863</v>
      </c>
      <c r="E982" s="37" t="s">
        <v>779</v>
      </c>
      <c r="F982" s="100">
        <f t="shared" si="46"/>
        <v>1.8055555556202307E-2</v>
      </c>
    </row>
    <row r="983" spans="1:6">
      <c r="A983" s="37" t="s">
        <v>227</v>
      </c>
      <c r="B983" s="93">
        <v>45863</v>
      </c>
      <c r="C983" s="37" t="s">
        <v>1105</v>
      </c>
      <c r="D983" s="93">
        <v>45863</v>
      </c>
      <c r="E983" s="37" t="s">
        <v>489</v>
      </c>
      <c r="F983" s="100">
        <f t="shared" si="46"/>
        <v>2.0833333335758653E-2</v>
      </c>
    </row>
    <row r="984" spans="1:6">
      <c r="A984" s="37" t="s">
        <v>230</v>
      </c>
      <c r="B984" s="93">
        <v>45863</v>
      </c>
      <c r="C984" s="37" t="s">
        <v>313</v>
      </c>
      <c r="D984" s="93">
        <v>45863</v>
      </c>
      <c r="E984" s="37" t="s">
        <v>1106</v>
      </c>
      <c r="F984" s="100">
        <f t="shared" si="46"/>
        <v>6.0416666659875773E-2</v>
      </c>
    </row>
    <row r="985" spans="1:6">
      <c r="A985" s="37" t="s">
        <v>312</v>
      </c>
      <c r="B985" s="93">
        <v>45863</v>
      </c>
      <c r="C985" s="37" t="s">
        <v>425</v>
      </c>
      <c r="D985" s="93">
        <v>45863</v>
      </c>
      <c r="E985" s="37" t="s">
        <v>734</v>
      </c>
      <c r="F985" s="100">
        <f t="shared" si="46"/>
        <v>0.12708333333284827</v>
      </c>
    </row>
    <row r="986" spans="1:6">
      <c r="A986" s="37" t="s">
        <v>235</v>
      </c>
      <c r="B986" s="93">
        <v>45863</v>
      </c>
      <c r="C986" s="37" t="s">
        <v>236</v>
      </c>
      <c r="D986" s="93">
        <v>45863</v>
      </c>
      <c r="E986" s="37" t="s">
        <v>277</v>
      </c>
      <c r="F986" s="100">
        <f t="shared" si="46"/>
        <v>0.50069444443943212</v>
      </c>
    </row>
    <row r="987" spans="1:6">
      <c r="A987" s="37" t="s">
        <v>216</v>
      </c>
      <c r="B987" s="93">
        <v>45863</v>
      </c>
      <c r="C987" s="37" t="s">
        <v>236</v>
      </c>
      <c r="D987" s="93">
        <v>45863</v>
      </c>
      <c r="E987" s="37" t="s">
        <v>1107</v>
      </c>
      <c r="F987" s="100">
        <f t="shared" si="46"/>
        <v>0.50347222221898846</v>
      </c>
    </row>
    <row r="988" spans="1:6">
      <c r="A988" s="37" t="s">
        <v>240</v>
      </c>
      <c r="B988" s="93">
        <v>45863</v>
      </c>
      <c r="C988" s="37" t="s">
        <v>1108</v>
      </c>
      <c r="D988" s="93">
        <v>45863</v>
      </c>
      <c r="E988" s="37" t="s">
        <v>419</v>
      </c>
      <c r="F988" s="100">
        <f t="shared" si="46"/>
        <v>1.7361111109494232E-2</v>
      </c>
    </row>
    <row r="989" spans="1:6">
      <c r="A989" s="37" t="s">
        <v>219</v>
      </c>
      <c r="B989" s="93">
        <v>45863</v>
      </c>
      <c r="C989" s="37" t="s">
        <v>217</v>
      </c>
      <c r="D989" s="93">
        <v>45864</v>
      </c>
      <c r="E989" s="37" t="s">
        <v>613</v>
      </c>
      <c r="F989" s="100">
        <f t="shared" si="46"/>
        <v>0.54236111111094942</v>
      </c>
    </row>
    <row r="990" spans="1:6">
      <c r="A990" s="37" t="s">
        <v>243</v>
      </c>
      <c r="B990" s="93">
        <v>45863</v>
      </c>
      <c r="C990" s="37" t="s">
        <v>591</v>
      </c>
      <c r="D990" s="93">
        <v>45863</v>
      </c>
      <c r="E990" s="37" t="s">
        <v>183</v>
      </c>
      <c r="F990" s="100">
        <f t="shared" si="46"/>
        <v>4.2361111110949423E-2</v>
      </c>
    </row>
    <row r="991" spans="1:6">
      <c r="A991" s="37" t="s">
        <v>246</v>
      </c>
      <c r="B991" s="93">
        <v>45863</v>
      </c>
      <c r="C991" s="37" t="s">
        <v>1028</v>
      </c>
      <c r="D991" s="93">
        <v>45863</v>
      </c>
      <c r="E991" s="37" t="s">
        <v>581</v>
      </c>
      <c r="F991" s="100">
        <f t="shared" si="46"/>
        <v>6.4583333332848269E-2</v>
      </c>
    </row>
    <row r="992" spans="1:6">
      <c r="A992" s="37" t="s">
        <v>206</v>
      </c>
      <c r="B992" s="93">
        <v>45863</v>
      </c>
      <c r="C992" s="37" t="s">
        <v>1109</v>
      </c>
      <c r="D992" s="93">
        <v>45863</v>
      </c>
      <c r="E992" s="37" t="s">
        <v>399</v>
      </c>
      <c r="F992" s="100">
        <f t="shared" si="46"/>
        <v>0.46527777778101154</v>
      </c>
    </row>
    <row r="993" spans="1:8">
      <c r="A993" s="37" t="s">
        <v>227</v>
      </c>
      <c r="B993" s="93">
        <v>45863</v>
      </c>
      <c r="C993" s="37" t="s">
        <v>583</v>
      </c>
      <c r="D993" s="93">
        <v>45863</v>
      </c>
      <c r="E993" s="37" t="s">
        <v>328</v>
      </c>
      <c r="F993" s="100">
        <f t="shared" si="46"/>
        <v>7.6388888890505768E-2</v>
      </c>
    </row>
    <row r="994" spans="1:8">
      <c r="A994" s="37" t="s">
        <v>230</v>
      </c>
      <c r="B994" s="93">
        <v>45863</v>
      </c>
      <c r="C994" s="37" t="s">
        <v>1110</v>
      </c>
      <c r="D994" s="93">
        <v>45863</v>
      </c>
      <c r="E994" s="37" t="s">
        <v>940</v>
      </c>
      <c r="F994" s="100">
        <f t="shared" si="46"/>
        <v>7.4305555550381541E-2</v>
      </c>
    </row>
    <row r="995" spans="1:8">
      <c r="A995" s="37" t="s">
        <v>326</v>
      </c>
      <c r="B995" s="93">
        <v>45863</v>
      </c>
      <c r="C995" s="37" t="s">
        <v>325</v>
      </c>
      <c r="D995" s="93">
        <v>45863</v>
      </c>
      <c r="E995" s="37" t="s">
        <v>1111</v>
      </c>
      <c r="F995" s="100">
        <f t="shared" si="46"/>
        <v>2.8472222227719612E-2</v>
      </c>
      <c r="H995" s="94" t="s">
        <v>407</v>
      </c>
    </row>
    <row r="996" spans="1:8">
      <c r="A996" s="37" t="s">
        <v>251</v>
      </c>
      <c r="B996" s="93">
        <v>45863</v>
      </c>
      <c r="C996" s="37" t="s">
        <v>195</v>
      </c>
      <c r="D996" s="93">
        <v>45863</v>
      </c>
      <c r="E996" s="37" t="s">
        <v>1112</v>
      </c>
      <c r="F996" s="100">
        <f t="shared" si="46"/>
        <v>9.7222222248092294E-3</v>
      </c>
      <c r="H996" s="94" t="s">
        <v>1113</v>
      </c>
    </row>
    <row r="997" spans="1:8">
      <c r="A997" s="37" t="s">
        <v>326</v>
      </c>
      <c r="B997" s="93">
        <v>45863</v>
      </c>
      <c r="C997" s="37" t="s">
        <v>1111</v>
      </c>
      <c r="D997" s="93">
        <v>45863</v>
      </c>
      <c r="E997" s="37" t="s">
        <v>786</v>
      </c>
      <c r="F997" s="100">
        <f t="shared" si="46"/>
        <v>8.1944444442342501E-2</v>
      </c>
      <c r="G997" s="37" t="s">
        <v>9</v>
      </c>
    </row>
    <row r="998" spans="1:8">
      <c r="A998" s="37" t="s">
        <v>326</v>
      </c>
      <c r="B998" s="93">
        <v>45863</v>
      </c>
      <c r="C998" s="37" t="s">
        <v>786</v>
      </c>
      <c r="D998" s="93">
        <v>45863</v>
      </c>
      <c r="E998" s="37" t="s">
        <v>725</v>
      </c>
      <c r="F998" s="100">
        <f t="shared" si="46"/>
        <v>0.13819444444379769</v>
      </c>
    </row>
    <row r="999" spans="1:8">
      <c r="A999" s="37" t="s">
        <v>213</v>
      </c>
      <c r="B999" s="93">
        <v>45863</v>
      </c>
      <c r="C999" s="37" t="s">
        <v>220</v>
      </c>
      <c r="D999" s="93">
        <v>45864</v>
      </c>
      <c r="E999" s="37" t="s">
        <v>1114</v>
      </c>
      <c r="F999" s="100">
        <f t="shared" si="46"/>
        <v>0.42222222222335404</v>
      </c>
    </row>
    <row r="1000" spans="1:8">
      <c r="A1000" s="37" t="s">
        <v>222</v>
      </c>
      <c r="B1000" s="93">
        <v>45863</v>
      </c>
      <c r="C1000" s="37" t="s">
        <v>881</v>
      </c>
      <c r="D1000" s="93">
        <v>45864</v>
      </c>
      <c r="E1000" s="37" t="s">
        <v>215</v>
      </c>
      <c r="F1000" s="100">
        <f t="shared" si="46"/>
        <v>0.49791666666715173</v>
      </c>
    </row>
    <row r="1001" spans="1:8">
      <c r="A1001" s="37" t="s">
        <v>326</v>
      </c>
      <c r="B1001" s="93">
        <v>45863</v>
      </c>
      <c r="C1001" s="37" t="s">
        <v>725</v>
      </c>
      <c r="D1001" s="93">
        <v>45865</v>
      </c>
      <c r="E1001" s="37" t="s">
        <v>1044</v>
      </c>
      <c r="F1001" s="100">
        <f>(D1001 + TIME(LEFT(E1001, 2), MID(E1001, 3, 2), 0)) - (B1001 + TIME(LEFT(C1001, 2), MID(C1001, 3, 2), 0))</f>
        <v>1.5576388888875954</v>
      </c>
      <c r="G1001" s="37" t="s">
        <v>9</v>
      </c>
      <c r="H1001" s="23" t="s">
        <v>1115</v>
      </c>
    </row>
    <row r="1002" spans="1:8">
      <c r="A1002" s="37" t="s">
        <v>216</v>
      </c>
      <c r="B1002" s="93">
        <v>45864</v>
      </c>
      <c r="C1002" s="37" t="s">
        <v>638</v>
      </c>
      <c r="D1002" s="93">
        <v>45864</v>
      </c>
      <c r="E1002" s="37" t="s">
        <v>367</v>
      </c>
      <c r="F1002" s="100">
        <f>(D1002 + TIME(LEFT(E1002, 2), MID(E1002, 3, 2), 0)) - (B1002 + TIME(LEFT(C1002, 2), MID(C1002, 3, 2), 0))</f>
        <v>0.45902777777519077</v>
      </c>
    </row>
    <row r="1003" spans="1:8">
      <c r="A1003" s="37" t="s">
        <v>200</v>
      </c>
      <c r="B1003" s="93">
        <v>45864</v>
      </c>
      <c r="C1003" s="37" t="s">
        <v>1116</v>
      </c>
      <c r="D1003" s="93">
        <v>45866</v>
      </c>
      <c r="E1003" s="37" t="s">
        <v>1117</v>
      </c>
      <c r="F1003" s="100">
        <f>(D1003 + TIME(LEFT(E1003, 2), MID(E1003, 3, 2), 0)) - (B1003 + TIME(LEFT(C1003, 2), MID(C1003, 3, 2), 0))</f>
        <v>2.8930555555562023</v>
      </c>
    </row>
    <row r="1004" spans="1:8">
      <c r="A1004" s="37" t="s">
        <v>197</v>
      </c>
      <c r="B1004" s="93">
        <v>45864</v>
      </c>
      <c r="C1004" s="37" t="s">
        <v>597</v>
      </c>
      <c r="D1004" s="93">
        <v>45864</v>
      </c>
      <c r="E1004" s="37" t="s">
        <v>640</v>
      </c>
      <c r="F1004" s="100">
        <f t="shared" ref="F1004:F1040" si="47">(D1004 + TIME(LEFT(E1004, 2), MID(E1004, 3, 2), 0)) - (B1004 + TIME(LEFT(C1004, 2), MID(C1004, 3, 2), 0))</f>
        <v>2.4999999994179234E-2</v>
      </c>
      <c r="H1004" s="94" t="s">
        <v>427</v>
      </c>
    </row>
    <row r="1005" spans="1:8">
      <c r="A1005" s="37" t="s">
        <v>235</v>
      </c>
      <c r="B1005" s="93">
        <v>45864</v>
      </c>
      <c r="C1005" s="37" t="s">
        <v>559</v>
      </c>
      <c r="D1005" s="93">
        <v>45864</v>
      </c>
      <c r="E1005" s="37" t="s">
        <v>277</v>
      </c>
      <c r="F1005" s="100">
        <f t="shared" si="47"/>
        <v>0.52430555555474712</v>
      </c>
    </row>
    <row r="1006" spans="1:8">
      <c r="A1006" s="37" t="s">
        <v>219</v>
      </c>
      <c r="B1006" s="93">
        <v>45864</v>
      </c>
      <c r="C1006" s="37" t="s">
        <v>236</v>
      </c>
      <c r="D1006" s="93">
        <v>45864</v>
      </c>
      <c r="E1006" s="37" t="s">
        <v>277</v>
      </c>
      <c r="F1006" s="100">
        <f t="shared" si="47"/>
        <v>0.50069444443943212</v>
      </c>
    </row>
    <row r="1007" spans="1:8">
      <c r="A1007" s="37" t="s">
        <v>233</v>
      </c>
      <c r="B1007" s="93">
        <v>45864</v>
      </c>
      <c r="C1007" s="37" t="s">
        <v>719</v>
      </c>
      <c r="D1007" s="93">
        <v>45864</v>
      </c>
      <c r="E1007" s="37" t="s">
        <v>1118</v>
      </c>
      <c r="F1007" s="100">
        <f t="shared" si="47"/>
        <v>0.26249999999708962</v>
      </c>
    </row>
    <row r="1008" spans="1:8">
      <c r="A1008" s="37" t="s">
        <v>197</v>
      </c>
      <c r="B1008" s="93">
        <v>45864</v>
      </c>
      <c r="C1008" s="37" t="s">
        <v>724</v>
      </c>
      <c r="D1008" s="93">
        <v>45864</v>
      </c>
      <c r="E1008" s="37" t="s">
        <v>710</v>
      </c>
      <c r="F1008" s="100">
        <f t="shared" si="47"/>
        <v>0.61527777777519077</v>
      </c>
    </row>
    <row r="1009" spans="1:6">
      <c r="A1009" s="37" t="s">
        <v>240</v>
      </c>
      <c r="B1009" s="93">
        <v>45864</v>
      </c>
      <c r="C1009" s="37" t="s">
        <v>482</v>
      </c>
      <c r="D1009" s="93">
        <v>45864</v>
      </c>
      <c r="E1009" s="37" t="s">
        <v>480</v>
      </c>
      <c r="F1009" s="100">
        <f t="shared" si="47"/>
        <v>2.4305555554747116E-2</v>
      </c>
    </row>
    <row r="1010" spans="1:6">
      <c r="A1010" s="37" t="s">
        <v>243</v>
      </c>
      <c r="B1010" s="93">
        <v>45864</v>
      </c>
      <c r="C1010" s="37" t="s">
        <v>375</v>
      </c>
      <c r="D1010" s="93">
        <v>45864</v>
      </c>
      <c r="E1010" s="37" t="s">
        <v>486</v>
      </c>
      <c r="F1010" s="100">
        <f t="shared" si="47"/>
        <v>2.1527777782466728E-2</v>
      </c>
    </row>
    <row r="1011" spans="1:6">
      <c r="A1011" s="37" t="s">
        <v>246</v>
      </c>
      <c r="B1011" s="93">
        <v>45864</v>
      </c>
      <c r="C1011" s="37" t="s">
        <v>966</v>
      </c>
      <c r="D1011" s="93">
        <v>45864</v>
      </c>
      <c r="E1011" s="37" t="s">
        <v>1119</v>
      </c>
      <c r="F1011" s="100">
        <f t="shared" si="47"/>
        <v>2.0138888889050577E-2</v>
      </c>
    </row>
    <row r="1012" spans="1:6">
      <c r="A1012" s="37" t="s">
        <v>251</v>
      </c>
      <c r="B1012" s="93">
        <v>45864</v>
      </c>
      <c r="C1012" s="37" t="s">
        <v>317</v>
      </c>
      <c r="D1012" s="93">
        <v>45864</v>
      </c>
      <c r="E1012" s="37" t="s">
        <v>1120</v>
      </c>
      <c r="F1012" s="100">
        <f t="shared" si="47"/>
        <v>0.30416666666860692</v>
      </c>
    </row>
    <row r="1013" spans="1:6">
      <c r="A1013" s="37" t="s">
        <v>227</v>
      </c>
      <c r="B1013" s="93">
        <v>45864</v>
      </c>
      <c r="C1013" s="37" t="s">
        <v>322</v>
      </c>
      <c r="D1013" s="93">
        <v>45864</v>
      </c>
      <c r="E1013" s="37" t="s">
        <v>734</v>
      </c>
      <c r="F1013" s="100">
        <f t="shared" si="47"/>
        <v>3.8194444445252884E-2</v>
      </c>
    </row>
    <row r="1014" spans="1:6">
      <c r="A1014" s="37" t="s">
        <v>230</v>
      </c>
      <c r="B1014" s="93">
        <v>45864</v>
      </c>
      <c r="C1014" s="37" t="s">
        <v>1023</v>
      </c>
      <c r="D1014" s="93">
        <v>45864</v>
      </c>
      <c r="E1014" s="37" t="s">
        <v>1109</v>
      </c>
      <c r="F1014" s="100">
        <f t="shared" si="47"/>
        <v>9.7222222175332718E-3</v>
      </c>
    </row>
    <row r="1015" spans="1:6">
      <c r="A1015" s="37" t="s">
        <v>240</v>
      </c>
      <c r="B1015" s="93">
        <v>45864</v>
      </c>
      <c r="C1015" s="37" t="s">
        <v>591</v>
      </c>
      <c r="D1015" s="93">
        <v>45864</v>
      </c>
      <c r="E1015" s="37" t="s">
        <v>577</v>
      </c>
      <c r="F1015" s="100">
        <f t="shared" si="47"/>
        <v>9.7222222248092294E-3</v>
      </c>
    </row>
    <row r="1016" spans="1:6">
      <c r="A1016" s="37" t="s">
        <v>243</v>
      </c>
      <c r="B1016" s="93">
        <v>45864</v>
      </c>
      <c r="C1016" s="37" t="s">
        <v>591</v>
      </c>
      <c r="D1016" s="93">
        <v>45864</v>
      </c>
      <c r="E1016" s="37" t="s">
        <v>697</v>
      </c>
      <c r="F1016" s="100">
        <f t="shared" si="47"/>
        <v>5.2083333335758653E-2</v>
      </c>
    </row>
    <row r="1017" spans="1:6">
      <c r="A1017" s="37" t="s">
        <v>222</v>
      </c>
      <c r="B1017" s="93">
        <v>45864</v>
      </c>
      <c r="C1017" s="37" t="s">
        <v>217</v>
      </c>
      <c r="D1017" s="93">
        <v>45865</v>
      </c>
      <c r="E1017" s="37" t="s">
        <v>218</v>
      </c>
      <c r="F1017" s="100">
        <f t="shared" si="47"/>
        <v>0.50069444443943212</v>
      </c>
    </row>
    <row r="1018" spans="1:6">
      <c r="A1018" s="37" t="s">
        <v>240</v>
      </c>
      <c r="B1018" s="93">
        <v>45864</v>
      </c>
      <c r="C1018" s="37" t="s">
        <v>718</v>
      </c>
      <c r="D1018" s="93">
        <v>45864</v>
      </c>
      <c r="E1018" s="37" t="s">
        <v>887</v>
      </c>
      <c r="F1018" s="100">
        <f t="shared" si="47"/>
        <v>1.5277777776645962E-2</v>
      </c>
    </row>
    <row r="1019" spans="1:6">
      <c r="A1019" s="37" t="s">
        <v>246</v>
      </c>
      <c r="B1019" s="93">
        <v>45864</v>
      </c>
      <c r="C1019" s="37" t="s">
        <v>1110</v>
      </c>
      <c r="D1019" s="93">
        <v>45864</v>
      </c>
      <c r="E1019" s="37" t="s">
        <v>696</v>
      </c>
      <c r="F1019" s="100">
        <f t="shared" si="47"/>
        <v>4.2361111110949423E-2</v>
      </c>
    </row>
    <row r="1020" spans="1:6">
      <c r="A1020" s="37" t="s">
        <v>227</v>
      </c>
      <c r="B1020" s="93">
        <v>45864</v>
      </c>
      <c r="C1020" s="37" t="s">
        <v>184</v>
      </c>
      <c r="D1020" s="93">
        <v>45864</v>
      </c>
      <c r="E1020" s="37" t="s">
        <v>736</v>
      </c>
      <c r="F1020" s="100">
        <f t="shared" si="47"/>
        <v>5.9722222220443655E-2</v>
      </c>
    </row>
    <row r="1021" spans="1:6">
      <c r="A1021" s="37" t="s">
        <v>206</v>
      </c>
      <c r="B1021" s="93">
        <v>45864</v>
      </c>
      <c r="C1021" s="37" t="s">
        <v>971</v>
      </c>
      <c r="D1021" s="93">
        <v>45865</v>
      </c>
      <c r="E1021" s="37" t="s">
        <v>1121</v>
      </c>
      <c r="F1021" s="100">
        <f t="shared" si="47"/>
        <v>0.45624999999563443</v>
      </c>
    </row>
    <row r="1022" spans="1:6">
      <c r="A1022" s="37" t="s">
        <v>230</v>
      </c>
      <c r="B1022" s="93">
        <v>45864</v>
      </c>
      <c r="C1022" s="37" t="s">
        <v>1122</v>
      </c>
      <c r="D1022" s="93">
        <v>45864</v>
      </c>
      <c r="E1022" s="37" t="s">
        <v>757</v>
      </c>
      <c r="F1022" s="100">
        <f t="shared" si="47"/>
        <v>3.7499999998544808E-2</v>
      </c>
    </row>
    <row r="1023" spans="1:6">
      <c r="A1023" s="37" t="s">
        <v>240</v>
      </c>
      <c r="B1023" s="93">
        <v>45864</v>
      </c>
      <c r="C1023" s="37" t="s">
        <v>995</v>
      </c>
      <c r="D1023" s="93">
        <v>45864</v>
      </c>
      <c r="E1023" s="37" t="s">
        <v>390</v>
      </c>
      <c r="F1023" s="100">
        <f t="shared" si="47"/>
        <v>2.7777777781011537E-2</v>
      </c>
    </row>
    <row r="1024" spans="1:6">
      <c r="A1024" s="37" t="s">
        <v>243</v>
      </c>
      <c r="B1024" s="93">
        <v>45864</v>
      </c>
      <c r="C1024" s="37" t="s">
        <v>997</v>
      </c>
      <c r="D1024" s="93">
        <v>45864</v>
      </c>
      <c r="E1024" s="37" t="s">
        <v>269</v>
      </c>
      <c r="F1024" s="100">
        <f t="shared" si="47"/>
        <v>5.0000000002910383E-2</v>
      </c>
    </row>
    <row r="1025" spans="1:7">
      <c r="A1025" s="37" t="s">
        <v>240</v>
      </c>
      <c r="B1025" s="93">
        <v>45864</v>
      </c>
      <c r="C1025" s="37" t="s">
        <v>973</v>
      </c>
      <c r="D1025" s="93">
        <v>45864</v>
      </c>
      <c r="E1025" s="37" t="s">
        <v>586</v>
      </c>
      <c r="F1025" s="100">
        <f t="shared" si="47"/>
        <v>6.1111111113859806E-2</v>
      </c>
    </row>
    <row r="1026" spans="1:7">
      <c r="A1026" s="37" t="s">
        <v>227</v>
      </c>
      <c r="B1026" s="93">
        <v>45864</v>
      </c>
      <c r="C1026" s="37" t="s">
        <v>973</v>
      </c>
      <c r="D1026" s="93">
        <v>45864</v>
      </c>
      <c r="E1026" s="37" t="s">
        <v>1123</v>
      </c>
      <c r="F1026" s="100">
        <f t="shared" si="47"/>
        <v>7.4999999997089617E-2</v>
      </c>
    </row>
    <row r="1027" spans="1:7">
      <c r="A1027" s="37" t="s">
        <v>243</v>
      </c>
      <c r="B1027" s="93">
        <v>45864</v>
      </c>
      <c r="C1027" s="37" t="s">
        <v>973</v>
      </c>
      <c r="D1027" s="93">
        <v>45864</v>
      </c>
      <c r="E1027" s="37" t="s">
        <v>515</v>
      </c>
      <c r="F1027" s="100">
        <f t="shared" si="47"/>
        <v>6.25E-2</v>
      </c>
    </row>
    <row r="1028" spans="1:7">
      <c r="A1028" s="37" t="s">
        <v>230</v>
      </c>
      <c r="B1028" s="93">
        <v>45864</v>
      </c>
      <c r="C1028" s="37" t="s">
        <v>973</v>
      </c>
      <c r="D1028" s="93">
        <v>45864</v>
      </c>
      <c r="E1028" s="37" t="s">
        <v>521</v>
      </c>
      <c r="F1028" s="100">
        <f t="shared" si="47"/>
        <v>9.3055555553291924E-2</v>
      </c>
    </row>
    <row r="1029" spans="1:7">
      <c r="A1029" s="37" t="s">
        <v>246</v>
      </c>
      <c r="B1029" s="93">
        <v>45864</v>
      </c>
      <c r="C1029" s="37" t="s">
        <v>973</v>
      </c>
      <c r="D1029" s="93">
        <v>45864</v>
      </c>
      <c r="E1029" s="37" t="s">
        <v>1124</v>
      </c>
      <c r="F1029" s="100">
        <f t="shared" si="47"/>
        <v>5.694444444088731E-2</v>
      </c>
    </row>
    <row r="1030" spans="1:7">
      <c r="A1030" s="37" t="s">
        <v>297</v>
      </c>
      <c r="B1030" s="93">
        <v>45864</v>
      </c>
      <c r="C1030" s="37" t="s">
        <v>1090</v>
      </c>
      <c r="D1030" s="93">
        <v>45864</v>
      </c>
      <c r="E1030" s="37" t="s">
        <v>975</v>
      </c>
      <c r="F1030" s="100">
        <f t="shared" si="47"/>
        <v>8.6805555554747116E-2</v>
      </c>
    </row>
    <row r="1031" spans="1:7">
      <c r="A1031" s="37" t="s">
        <v>203</v>
      </c>
      <c r="B1031" s="93">
        <v>45864</v>
      </c>
      <c r="C1031" s="37" t="s">
        <v>907</v>
      </c>
      <c r="D1031" s="93">
        <v>45864</v>
      </c>
      <c r="E1031" s="37" t="s">
        <v>797</v>
      </c>
      <c r="F1031" s="100">
        <f t="shared" si="47"/>
        <v>4.4444444443797693E-2</v>
      </c>
      <c r="G1031" s="37" t="s">
        <v>9</v>
      </c>
    </row>
    <row r="1032" spans="1:7">
      <c r="A1032" s="37" t="s">
        <v>254</v>
      </c>
      <c r="B1032" s="93">
        <v>45864</v>
      </c>
      <c r="C1032" s="37" t="s">
        <v>1125</v>
      </c>
      <c r="D1032" s="93">
        <v>45864</v>
      </c>
      <c r="E1032" s="37" t="s">
        <v>735</v>
      </c>
      <c r="F1032" s="100">
        <f t="shared" si="47"/>
        <v>0.17777777777519077</v>
      </c>
    </row>
    <row r="1033" spans="1:7">
      <c r="A1033" s="37" t="s">
        <v>251</v>
      </c>
      <c r="B1033" s="93">
        <v>45864</v>
      </c>
      <c r="C1033" s="37" t="s">
        <v>1120</v>
      </c>
      <c r="D1033" s="93">
        <v>45864</v>
      </c>
      <c r="E1033" s="37" t="s">
        <v>962</v>
      </c>
      <c r="F1033" s="100">
        <f t="shared" si="47"/>
        <v>0.22986111111094942</v>
      </c>
      <c r="G1033" s="37" t="s">
        <v>9</v>
      </c>
    </row>
    <row r="1034" spans="1:7">
      <c r="A1034" s="37" t="s">
        <v>312</v>
      </c>
      <c r="B1034" s="93">
        <v>45864</v>
      </c>
      <c r="C1034" s="37" t="s">
        <v>1107</v>
      </c>
      <c r="D1034" s="93">
        <v>45864</v>
      </c>
      <c r="E1034" s="37" t="s">
        <v>1126</v>
      </c>
      <c r="F1034" s="100">
        <f t="shared" si="47"/>
        <v>0.11111111110949423</v>
      </c>
    </row>
    <row r="1035" spans="1:7">
      <c r="A1035" s="37" t="s">
        <v>203</v>
      </c>
      <c r="B1035" s="93">
        <v>45864</v>
      </c>
      <c r="C1035" s="37" t="s">
        <v>797</v>
      </c>
      <c r="D1035" s="93">
        <v>45866</v>
      </c>
      <c r="E1035" s="37" t="s">
        <v>476</v>
      </c>
      <c r="F1035" s="100">
        <f t="shared" si="47"/>
        <v>1.5215277777751908</v>
      </c>
    </row>
    <row r="1036" spans="1:7">
      <c r="A1036" s="37" t="s">
        <v>213</v>
      </c>
      <c r="B1036" s="93">
        <v>45864</v>
      </c>
      <c r="C1036" s="37" t="s">
        <v>220</v>
      </c>
      <c r="D1036" s="93">
        <v>45865</v>
      </c>
      <c r="E1036" s="37" t="s">
        <v>353</v>
      </c>
      <c r="F1036" s="100">
        <f t="shared" si="47"/>
        <v>0.50277777777228039</v>
      </c>
    </row>
    <row r="1037" spans="1:7">
      <c r="A1037" s="37" t="s">
        <v>216</v>
      </c>
      <c r="B1037" s="93">
        <v>45864</v>
      </c>
      <c r="C1037" s="37" t="s">
        <v>220</v>
      </c>
      <c r="D1037" s="93">
        <v>45865</v>
      </c>
      <c r="E1037" s="37" t="s">
        <v>742</v>
      </c>
      <c r="F1037" s="100">
        <f t="shared" si="47"/>
        <v>0.45902777777519077</v>
      </c>
    </row>
    <row r="1038" spans="1:7">
      <c r="A1038" s="37" t="s">
        <v>240</v>
      </c>
      <c r="B1038" s="93">
        <v>45864</v>
      </c>
      <c r="C1038" s="37" t="s">
        <v>1127</v>
      </c>
      <c r="D1038" s="93">
        <v>45864</v>
      </c>
      <c r="E1038" s="37" t="s">
        <v>1128</v>
      </c>
      <c r="F1038" s="100">
        <f t="shared" si="47"/>
        <v>6.2499999985448085E-3</v>
      </c>
    </row>
    <row r="1039" spans="1:7">
      <c r="A1039" s="37" t="s">
        <v>243</v>
      </c>
      <c r="B1039" s="93">
        <v>45864</v>
      </c>
      <c r="C1039" s="37" t="s">
        <v>1127</v>
      </c>
      <c r="D1039" s="93">
        <v>45864</v>
      </c>
      <c r="E1039" s="37" t="s">
        <v>1129</v>
      </c>
      <c r="F1039" s="100">
        <f t="shared" si="47"/>
        <v>1.1805555550381541E-2</v>
      </c>
    </row>
    <row r="1040" spans="1:7">
      <c r="A1040" s="37" t="s">
        <v>251</v>
      </c>
      <c r="B1040" s="93">
        <v>45864</v>
      </c>
      <c r="C1040" s="37" t="s">
        <v>962</v>
      </c>
      <c r="D1040" s="93">
        <v>45864</v>
      </c>
      <c r="E1040" s="37" t="s">
        <v>962</v>
      </c>
      <c r="F1040" s="100">
        <f t="shared" si="47"/>
        <v>0</v>
      </c>
    </row>
    <row r="1041" spans="1:8">
      <c r="A1041" s="37" t="s">
        <v>251</v>
      </c>
      <c r="B1041" s="93">
        <v>45864</v>
      </c>
      <c r="C1041" s="37" t="s">
        <v>962</v>
      </c>
      <c r="D1041" s="93">
        <v>45868</v>
      </c>
      <c r="E1041" s="37" t="s">
        <v>780</v>
      </c>
      <c r="F1041" s="100">
        <f>(D1041 + TIME(LEFT(E1041, 2), MID(E1041, 3, 2), 0)) - (B1041 + TIME(LEFT(C1041, 2), MID(C1041, 3, 2), 0))</f>
        <v>3.6201388888875954</v>
      </c>
      <c r="G1041" s="37" t="s">
        <v>9</v>
      </c>
    </row>
    <row r="1042" spans="1:8">
      <c r="A1042" s="37" t="s">
        <v>219</v>
      </c>
      <c r="B1042" s="93">
        <v>45865</v>
      </c>
      <c r="C1042" s="37" t="s">
        <v>223</v>
      </c>
      <c r="D1042" s="93">
        <v>45865</v>
      </c>
      <c r="E1042" s="37" t="s">
        <v>367</v>
      </c>
      <c r="F1042" s="100">
        <f t="shared" ref="F1042:F1056" si="48">(D1042 + TIME(LEFT(E1042, 2), MID(E1042, 3, 2), 0)) - (B1042 + TIME(LEFT(C1042, 2), MID(C1042, 3, 2), 0))</f>
        <v>0.50069444443943212</v>
      </c>
    </row>
    <row r="1043" spans="1:8">
      <c r="A1043" s="37" t="s">
        <v>222</v>
      </c>
      <c r="B1043" s="93">
        <v>45865</v>
      </c>
      <c r="C1043" s="37" t="s">
        <v>746</v>
      </c>
      <c r="D1043" s="93">
        <v>45865</v>
      </c>
      <c r="E1043" s="37" t="s">
        <v>920</v>
      </c>
      <c r="F1043" s="100">
        <f t="shared" si="48"/>
        <v>0.54791666667006211</v>
      </c>
    </row>
    <row r="1044" spans="1:8">
      <c r="A1044" s="37" t="s">
        <v>235</v>
      </c>
      <c r="B1044" s="93">
        <v>45865</v>
      </c>
      <c r="C1044" s="37" t="s">
        <v>340</v>
      </c>
      <c r="D1044" s="93">
        <v>45865</v>
      </c>
      <c r="E1044" s="37" t="s">
        <v>277</v>
      </c>
      <c r="F1044" s="100">
        <f t="shared" si="48"/>
        <v>0.49861111110658385</v>
      </c>
    </row>
    <row r="1045" spans="1:8">
      <c r="A1045" s="37" t="s">
        <v>197</v>
      </c>
      <c r="B1045" s="93">
        <v>45865</v>
      </c>
      <c r="C1045" s="37" t="s">
        <v>286</v>
      </c>
      <c r="D1045" s="93">
        <v>45865</v>
      </c>
      <c r="E1045" s="37" t="s">
        <v>932</v>
      </c>
      <c r="F1045" s="100">
        <f t="shared" si="48"/>
        <v>0.18402777778101154</v>
      </c>
      <c r="G1045" s="37" t="s">
        <v>9</v>
      </c>
      <c r="H1045" s="94" t="s">
        <v>1130</v>
      </c>
    </row>
    <row r="1046" spans="1:8">
      <c r="A1046" s="37" t="s">
        <v>243</v>
      </c>
      <c r="B1046" s="93">
        <v>45865</v>
      </c>
      <c r="C1046" s="37" t="s">
        <v>749</v>
      </c>
      <c r="D1046" s="93">
        <v>45865</v>
      </c>
      <c r="E1046" s="37" t="s">
        <v>571</v>
      </c>
      <c r="F1046" s="100">
        <f t="shared" si="48"/>
        <v>2.1527777782466728E-2</v>
      </c>
    </row>
    <row r="1047" spans="1:8">
      <c r="A1047" s="37" t="s">
        <v>240</v>
      </c>
      <c r="B1047" s="93">
        <v>45865</v>
      </c>
      <c r="C1047" s="37" t="s">
        <v>749</v>
      </c>
      <c r="D1047" s="93">
        <v>45865</v>
      </c>
      <c r="E1047" s="37" t="s">
        <v>926</v>
      </c>
      <c r="F1047" s="100">
        <f t="shared" si="48"/>
        <v>1.0416666671517305E-2</v>
      </c>
    </row>
    <row r="1048" spans="1:8">
      <c r="A1048" s="37" t="s">
        <v>246</v>
      </c>
      <c r="B1048" s="93">
        <v>45865</v>
      </c>
      <c r="C1048" s="37" t="s">
        <v>822</v>
      </c>
      <c r="D1048" s="93">
        <v>45865</v>
      </c>
      <c r="E1048" s="37" t="s">
        <v>1131</v>
      </c>
      <c r="F1048" s="100">
        <f t="shared" si="48"/>
        <v>2.569444444088731E-2</v>
      </c>
    </row>
    <row r="1049" spans="1:8">
      <c r="A1049" s="37" t="s">
        <v>233</v>
      </c>
      <c r="B1049" s="93">
        <v>45865</v>
      </c>
      <c r="C1049" s="37" t="s">
        <v>369</v>
      </c>
      <c r="D1049" s="93">
        <v>45865</v>
      </c>
      <c r="E1049" s="37" t="s">
        <v>1132</v>
      </c>
      <c r="F1049" s="100">
        <f t="shared" si="48"/>
        <v>0.25486111111240461</v>
      </c>
    </row>
    <row r="1050" spans="1:8">
      <c r="A1050" s="37" t="s">
        <v>254</v>
      </c>
      <c r="B1050" s="93">
        <v>45865</v>
      </c>
      <c r="C1050" s="37" t="s">
        <v>482</v>
      </c>
      <c r="D1050" s="93">
        <v>45865</v>
      </c>
      <c r="E1050" s="37" t="s">
        <v>256</v>
      </c>
      <c r="F1050" s="100">
        <f t="shared" si="48"/>
        <v>0.538888888884685</v>
      </c>
    </row>
    <row r="1051" spans="1:8">
      <c r="A1051" s="37" t="s">
        <v>227</v>
      </c>
      <c r="B1051" s="93">
        <v>45865</v>
      </c>
      <c r="C1051" s="37" t="s">
        <v>1133</v>
      </c>
      <c r="D1051" s="93">
        <v>45865</v>
      </c>
      <c r="E1051" s="37" t="s">
        <v>827</v>
      </c>
      <c r="F1051" s="100">
        <f t="shared" si="48"/>
        <v>7.5000000004365575E-2</v>
      </c>
    </row>
    <row r="1052" spans="1:8">
      <c r="A1052" s="37" t="s">
        <v>230</v>
      </c>
      <c r="B1052" s="93">
        <v>45865</v>
      </c>
      <c r="C1052" s="37" t="s">
        <v>306</v>
      </c>
      <c r="D1052" s="93">
        <v>45865</v>
      </c>
      <c r="E1052" s="37" t="s">
        <v>494</v>
      </c>
      <c r="F1052" s="100">
        <f t="shared" si="48"/>
        <v>7.7083333329937886E-2</v>
      </c>
    </row>
    <row r="1053" spans="1:8">
      <c r="A1053" s="37" t="s">
        <v>326</v>
      </c>
      <c r="B1053" s="93">
        <v>45865</v>
      </c>
      <c r="C1053" s="37" t="s">
        <v>1044</v>
      </c>
      <c r="D1053" s="93">
        <v>45865</v>
      </c>
      <c r="E1053" s="37" t="s">
        <v>663</v>
      </c>
      <c r="F1053" s="100">
        <f t="shared" si="48"/>
        <v>8.5416666668606922E-2</v>
      </c>
      <c r="H1053" s="94" t="s">
        <v>407</v>
      </c>
    </row>
    <row r="1054" spans="1:8">
      <c r="A1054" s="37" t="s">
        <v>197</v>
      </c>
      <c r="B1054" s="93">
        <v>45865</v>
      </c>
      <c r="C1054" s="37" t="s">
        <v>932</v>
      </c>
      <c r="D1054" s="93">
        <v>45865</v>
      </c>
      <c r="E1054" s="37" t="s">
        <v>1106</v>
      </c>
      <c r="F1054" s="100">
        <f t="shared" si="48"/>
        <v>2.9166666659875773E-2</v>
      </c>
      <c r="H1054" s="94" t="s">
        <v>407</v>
      </c>
    </row>
    <row r="1055" spans="1:8">
      <c r="A1055" s="37" t="s">
        <v>197</v>
      </c>
      <c r="B1055" s="93">
        <v>45865</v>
      </c>
      <c r="C1055" s="37" t="s">
        <v>1106</v>
      </c>
      <c r="D1055" s="93">
        <v>45866</v>
      </c>
      <c r="E1055" s="37" t="s">
        <v>1134</v>
      </c>
      <c r="F1055" s="100">
        <f t="shared" si="48"/>
        <v>0.57013888889196096</v>
      </c>
      <c r="H1055" s="94" t="s">
        <v>337</v>
      </c>
    </row>
    <row r="1056" spans="1:8">
      <c r="A1056" s="37" t="s">
        <v>326</v>
      </c>
      <c r="B1056" s="93">
        <v>45865</v>
      </c>
      <c r="C1056" s="37" t="s">
        <v>663</v>
      </c>
      <c r="D1056" s="93">
        <v>45865</v>
      </c>
      <c r="E1056" s="37" t="s">
        <v>690</v>
      </c>
      <c r="F1056" s="100">
        <f t="shared" si="48"/>
        <v>1.5277777776645962E-2</v>
      </c>
      <c r="G1056" s="37" t="s">
        <v>9</v>
      </c>
    </row>
    <row r="1057" spans="1:8">
      <c r="A1057" s="37" t="s">
        <v>216</v>
      </c>
      <c r="B1057" s="93">
        <v>45865</v>
      </c>
      <c r="C1057" s="37" t="s">
        <v>217</v>
      </c>
      <c r="D1057" s="93">
        <v>45866</v>
      </c>
      <c r="E1057" s="37" t="s">
        <v>1135</v>
      </c>
      <c r="F1057" s="100">
        <f>(D1057 + TIME(LEFT(E1057, 2), MID(E1057, 3, 2), 0)) - (B1057 + TIME(LEFT(C1057, 2), MID(C1057, 3, 2), 0))</f>
        <v>0.59097222222044365</v>
      </c>
    </row>
    <row r="1058" spans="1:8">
      <c r="A1058" s="37" t="s">
        <v>206</v>
      </c>
      <c r="B1058" s="93">
        <v>45865</v>
      </c>
      <c r="C1058" s="37" t="s">
        <v>537</v>
      </c>
      <c r="D1058" s="93">
        <v>45867</v>
      </c>
      <c r="E1058" s="37" t="s">
        <v>459</v>
      </c>
      <c r="F1058" s="100">
        <f>(D1058 + TIME(LEFT(E1058, 2), MID(E1058, 3, 2), 0)) - (B1058 + TIME(LEFT(C1058, 2), MID(C1058, 3, 2), 0))</f>
        <v>1.539583333338669</v>
      </c>
    </row>
    <row r="1059" spans="1:8">
      <c r="A1059" s="37" t="s">
        <v>213</v>
      </c>
      <c r="B1059" s="93">
        <v>45865</v>
      </c>
      <c r="C1059" s="37" t="s">
        <v>920</v>
      </c>
      <c r="D1059" s="93">
        <v>45866</v>
      </c>
      <c r="E1059" s="37" t="s">
        <v>420</v>
      </c>
      <c r="F1059" s="100">
        <f>(D1059 + TIME(LEFT(E1059, 2), MID(E1059, 3, 2), 0)) - (B1059 + TIME(LEFT(C1059, 2), MID(C1059, 3, 2), 0))</f>
        <v>0.59236111111385981</v>
      </c>
    </row>
    <row r="1060" spans="1:8">
      <c r="A1060" s="37" t="s">
        <v>219</v>
      </c>
      <c r="B1060" s="93">
        <v>45865</v>
      </c>
      <c r="C1060" s="37" t="s">
        <v>1063</v>
      </c>
      <c r="D1060" s="93">
        <v>45866</v>
      </c>
      <c r="E1060" s="37" t="s">
        <v>270</v>
      </c>
      <c r="F1060" s="100">
        <f>(D1060 + TIME(LEFT(E1060, 2), MID(E1060, 3, 2), 0)) - (B1060 + TIME(LEFT(C1060, 2), MID(C1060, 3, 2), 0))</f>
        <v>0.66180555555911269</v>
      </c>
    </row>
    <row r="1061" spans="1:8">
      <c r="A1061" s="37" t="s">
        <v>240</v>
      </c>
      <c r="B1061" s="93">
        <v>45865</v>
      </c>
      <c r="C1061" s="37" t="s">
        <v>1052</v>
      </c>
      <c r="D1061" s="93">
        <v>45865</v>
      </c>
      <c r="E1061" s="37" t="s">
        <v>1136</v>
      </c>
      <c r="F1061" s="100">
        <f t="shared" ref="F1061:F1075" si="49">(D1061 + TIME(LEFT(E1061, 2), MID(E1061, 3, 2), 0)) - (B1061 + TIME(LEFT(C1061, 2), MID(C1061, 3, 2), 0))</f>
        <v>1.8750000002910383E-2</v>
      </c>
    </row>
    <row r="1062" spans="1:8">
      <c r="A1062" s="37" t="s">
        <v>243</v>
      </c>
      <c r="B1062" s="93">
        <v>45865</v>
      </c>
      <c r="C1062" s="37" t="s">
        <v>1137</v>
      </c>
      <c r="D1062" s="93">
        <v>45865</v>
      </c>
      <c r="E1062" s="37" t="s">
        <v>449</v>
      </c>
      <c r="F1062" s="100">
        <f t="shared" si="49"/>
        <v>4.9305555556202307E-2</v>
      </c>
    </row>
    <row r="1063" spans="1:8">
      <c r="A1063" s="37" t="s">
        <v>246</v>
      </c>
      <c r="B1063" s="93">
        <v>45865</v>
      </c>
      <c r="C1063" s="37" t="s">
        <v>1092</v>
      </c>
      <c r="D1063" s="93">
        <v>45865</v>
      </c>
      <c r="E1063" s="37" t="s">
        <v>975</v>
      </c>
      <c r="F1063" s="100">
        <f t="shared" si="49"/>
        <v>4.7916666670062114E-2</v>
      </c>
    </row>
    <row r="1064" spans="1:8">
      <c r="A1064" s="37" t="s">
        <v>326</v>
      </c>
      <c r="B1064" s="93">
        <v>45865</v>
      </c>
      <c r="C1064" s="37" t="s">
        <v>1003</v>
      </c>
      <c r="D1064" s="93">
        <v>45865</v>
      </c>
      <c r="E1064" s="37" t="s">
        <v>477</v>
      </c>
      <c r="F1064" s="100">
        <f t="shared" si="49"/>
        <v>0.16319444444525288</v>
      </c>
    </row>
    <row r="1065" spans="1:8">
      <c r="A1065" s="37" t="s">
        <v>227</v>
      </c>
      <c r="B1065" s="93">
        <v>45865</v>
      </c>
      <c r="C1065" s="37" t="s">
        <v>552</v>
      </c>
      <c r="D1065" s="93">
        <v>45865</v>
      </c>
      <c r="E1065" s="37" t="s">
        <v>1073</v>
      </c>
      <c r="F1065" s="100">
        <f t="shared" si="49"/>
        <v>3.9583333331393078E-2</v>
      </c>
    </row>
    <row r="1066" spans="1:8">
      <c r="A1066" s="37" t="s">
        <v>222</v>
      </c>
      <c r="B1066" s="93">
        <v>45865</v>
      </c>
      <c r="C1066" s="37" t="s">
        <v>518</v>
      </c>
      <c r="D1066" s="93">
        <v>45865</v>
      </c>
      <c r="E1066" s="37" t="s">
        <v>1138</v>
      </c>
      <c r="F1066" s="100">
        <f t="shared" si="49"/>
        <v>0.11527777777519077</v>
      </c>
    </row>
    <row r="1067" spans="1:8">
      <c r="A1067" s="37" t="s">
        <v>233</v>
      </c>
      <c r="B1067" s="93">
        <v>45865</v>
      </c>
      <c r="C1067" s="37" t="s">
        <v>345</v>
      </c>
      <c r="D1067" s="93">
        <v>45866</v>
      </c>
      <c r="E1067" s="37" t="s">
        <v>476</v>
      </c>
      <c r="F1067" s="100">
        <f t="shared" si="49"/>
        <v>0.32708333332993789</v>
      </c>
    </row>
    <row r="1068" spans="1:8">
      <c r="A1068" s="37" t="s">
        <v>194</v>
      </c>
      <c r="B1068" s="93">
        <v>45865</v>
      </c>
      <c r="C1068" s="37" t="s">
        <v>962</v>
      </c>
      <c r="D1068" s="93">
        <v>45866</v>
      </c>
      <c r="E1068" s="37" t="s">
        <v>1038</v>
      </c>
      <c r="F1068" s="100">
        <f t="shared" si="49"/>
        <v>0.25694444444525288</v>
      </c>
      <c r="G1068" s="37" t="s">
        <v>9</v>
      </c>
      <c r="H1068" s="94" t="s">
        <v>1139</v>
      </c>
    </row>
    <row r="1069" spans="1:8">
      <c r="A1069" s="37" t="s">
        <v>197</v>
      </c>
      <c r="B1069" s="93">
        <v>45866</v>
      </c>
      <c r="C1069" s="37" t="s">
        <v>1140</v>
      </c>
      <c r="D1069" s="93">
        <v>45866</v>
      </c>
      <c r="E1069" s="37" t="s">
        <v>1077</v>
      </c>
      <c r="F1069" s="100">
        <f t="shared" si="49"/>
        <v>2.361111110803904E-2</v>
      </c>
    </row>
    <row r="1070" spans="1:8">
      <c r="A1070" s="37" t="s">
        <v>197</v>
      </c>
      <c r="B1070" s="93">
        <v>45866</v>
      </c>
      <c r="C1070" s="37" t="s">
        <v>1077</v>
      </c>
      <c r="D1070" s="93">
        <v>45866</v>
      </c>
      <c r="E1070" s="37" t="s">
        <v>408</v>
      </c>
      <c r="F1070" s="100">
        <f t="shared" si="49"/>
        <v>4.5138888890505768E-2</v>
      </c>
      <c r="G1070" s="37" t="s">
        <v>9</v>
      </c>
    </row>
    <row r="1071" spans="1:8">
      <c r="A1071" s="37" t="s">
        <v>230</v>
      </c>
      <c r="B1071" s="93">
        <v>45866</v>
      </c>
      <c r="C1071" s="37" t="s">
        <v>1141</v>
      </c>
      <c r="D1071" s="93">
        <v>45866</v>
      </c>
      <c r="E1071" s="37" t="s">
        <v>283</v>
      </c>
      <c r="F1071" s="100">
        <f t="shared" si="49"/>
        <v>5.0000000002910383E-2</v>
      </c>
    </row>
    <row r="1072" spans="1:8">
      <c r="A1072" s="37" t="s">
        <v>197</v>
      </c>
      <c r="B1072" s="93">
        <v>45866</v>
      </c>
      <c r="C1072" s="37" t="s">
        <v>408</v>
      </c>
      <c r="D1072" s="93">
        <v>45866</v>
      </c>
      <c r="E1072" s="37" t="s">
        <v>510</v>
      </c>
      <c r="F1072" s="100">
        <f t="shared" si="49"/>
        <v>2.7777777773735579E-2</v>
      </c>
      <c r="H1072" s="94" t="s">
        <v>427</v>
      </c>
    </row>
    <row r="1073" spans="1:8">
      <c r="A1073" s="37" t="s">
        <v>240</v>
      </c>
      <c r="B1073" s="93">
        <v>45866</v>
      </c>
      <c r="C1073" s="37" t="s">
        <v>1142</v>
      </c>
      <c r="D1073" s="93">
        <v>45866</v>
      </c>
      <c r="E1073" s="37" t="s">
        <v>598</v>
      </c>
      <c r="F1073" s="100">
        <f t="shared" si="49"/>
        <v>5.0694444449618459E-2</v>
      </c>
    </row>
    <row r="1074" spans="1:8">
      <c r="A1074" s="37" t="s">
        <v>194</v>
      </c>
      <c r="B1074" s="93">
        <v>45866</v>
      </c>
      <c r="C1074" s="37" t="s">
        <v>1038</v>
      </c>
      <c r="D1074" s="93">
        <v>45866</v>
      </c>
      <c r="E1074" s="37" t="s">
        <v>1143</v>
      </c>
      <c r="F1074" s="100">
        <f t="shared" si="49"/>
        <v>3.4722222218988463E-2</v>
      </c>
    </row>
    <row r="1075" spans="1:8">
      <c r="A1075" s="37" t="s">
        <v>243</v>
      </c>
      <c r="B1075" s="93">
        <v>45866</v>
      </c>
      <c r="C1075" s="37" t="s">
        <v>991</v>
      </c>
      <c r="D1075" s="93">
        <v>45866</v>
      </c>
      <c r="E1075" s="37" t="s">
        <v>1040</v>
      </c>
      <c r="F1075" s="100">
        <f t="shared" si="49"/>
        <v>2.7777777773735579E-2</v>
      </c>
    </row>
    <row r="1076" spans="1:8">
      <c r="A1076" s="37" t="s">
        <v>326</v>
      </c>
      <c r="B1076" s="93">
        <v>45866</v>
      </c>
      <c r="C1076" s="37" t="s">
        <v>286</v>
      </c>
      <c r="D1076" s="93">
        <v>45866</v>
      </c>
      <c r="E1076" s="37" t="s">
        <v>324</v>
      </c>
      <c r="F1076" s="100">
        <f t="shared" ref="F1076:F1083" si="50">(D1076 + TIME(LEFT(E1076, 2), MID(E1076, 3, 2), 0)) - (B1076 + TIME(LEFT(C1076, 2), MID(C1076, 3, 2), 0))</f>
        <v>0.29861111110949423</v>
      </c>
      <c r="G1076" s="37" t="s">
        <v>9</v>
      </c>
    </row>
    <row r="1077" spans="1:8">
      <c r="A1077" s="37" t="s">
        <v>246</v>
      </c>
      <c r="B1077" s="93">
        <v>45866</v>
      </c>
      <c r="C1077" s="37" t="s">
        <v>215</v>
      </c>
      <c r="D1077" s="93">
        <v>45866</v>
      </c>
      <c r="E1077" s="37" t="s">
        <v>603</v>
      </c>
      <c r="F1077" s="100">
        <f t="shared" si="50"/>
        <v>2.7083333334303461E-2</v>
      </c>
    </row>
    <row r="1078" spans="1:8">
      <c r="A1078" s="37" t="s">
        <v>227</v>
      </c>
      <c r="B1078" s="93">
        <v>45866</v>
      </c>
      <c r="C1078" s="37" t="s">
        <v>1144</v>
      </c>
      <c r="D1078" s="93">
        <v>45866</v>
      </c>
      <c r="E1078" s="37" t="s">
        <v>960</v>
      </c>
      <c r="F1078" s="100">
        <f t="shared" si="50"/>
        <v>2.4305555554747116E-2</v>
      </c>
    </row>
    <row r="1079" spans="1:8">
      <c r="A1079" s="37" t="s">
        <v>194</v>
      </c>
      <c r="B1079" s="93">
        <v>45866</v>
      </c>
      <c r="C1079" s="37" t="s">
        <v>1143</v>
      </c>
      <c r="D1079" s="93">
        <v>45866</v>
      </c>
      <c r="E1079" s="37" t="s">
        <v>1047</v>
      </c>
      <c r="F1079" s="100">
        <f t="shared" si="50"/>
        <v>1.0416666664241347E-2</v>
      </c>
      <c r="G1079" s="37" t="s">
        <v>9</v>
      </c>
    </row>
    <row r="1080" spans="1:8">
      <c r="A1080" s="37" t="s">
        <v>254</v>
      </c>
      <c r="B1080" s="93">
        <v>45866</v>
      </c>
      <c r="C1080" s="37" t="s">
        <v>1047</v>
      </c>
      <c r="D1080" s="93">
        <v>45866</v>
      </c>
      <c r="E1080" s="37" t="s">
        <v>1014</v>
      </c>
      <c r="F1080" s="100">
        <f t="shared" si="50"/>
        <v>0.63611111111094942</v>
      </c>
    </row>
    <row r="1081" spans="1:8">
      <c r="A1081" s="37" t="s">
        <v>194</v>
      </c>
      <c r="B1081" s="93">
        <v>45866</v>
      </c>
      <c r="C1081" s="37" t="s">
        <v>1047</v>
      </c>
      <c r="D1081" s="93">
        <v>45866</v>
      </c>
      <c r="E1081" s="37" t="s">
        <v>410</v>
      </c>
      <c r="F1081" s="100">
        <f t="shared" si="50"/>
        <v>2.0138888889050577E-2</v>
      </c>
      <c r="H1081" s="94" t="s">
        <v>427</v>
      </c>
    </row>
    <row r="1082" spans="1:8">
      <c r="A1082" s="37" t="s">
        <v>197</v>
      </c>
      <c r="B1082" s="93">
        <v>45866</v>
      </c>
      <c r="C1082" s="37" t="s">
        <v>510</v>
      </c>
      <c r="D1082" s="93">
        <v>45866</v>
      </c>
      <c r="E1082" s="37" t="s">
        <v>371</v>
      </c>
      <c r="F1082" s="100">
        <f t="shared" si="50"/>
        <v>3.1944444446708076E-2</v>
      </c>
      <c r="G1082" s="37" t="s">
        <v>9</v>
      </c>
    </row>
    <row r="1083" spans="1:8">
      <c r="A1083" s="37" t="s">
        <v>197</v>
      </c>
      <c r="B1083" s="84">
        <v>45866</v>
      </c>
      <c r="C1083" s="23" t="s">
        <v>371</v>
      </c>
      <c r="D1083" s="93">
        <v>45866</v>
      </c>
      <c r="E1083" s="37" t="s">
        <v>476</v>
      </c>
      <c r="F1083" s="100">
        <f t="shared" si="50"/>
        <v>1.4583333329937886E-2</v>
      </c>
      <c r="H1083" s="94" t="s">
        <v>427</v>
      </c>
    </row>
    <row r="1084" spans="1:8">
      <c r="A1084" s="37" t="s">
        <v>194</v>
      </c>
      <c r="B1084" s="93">
        <v>45866</v>
      </c>
      <c r="C1084" s="37" t="s">
        <v>410</v>
      </c>
    </row>
    <row r="1085" spans="1:8">
      <c r="A1085" s="37" t="s">
        <v>197</v>
      </c>
      <c r="B1085" s="93">
        <v>45866</v>
      </c>
      <c r="C1085" s="37" t="s">
        <v>476</v>
      </c>
      <c r="D1085" s="93">
        <v>45867</v>
      </c>
      <c r="E1085" s="37" t="s">
        <v>812</v>
      </c>
      <c r="F1085" s="100">
        <f>(D1085 + TIME(LEFT(E1085, 2), MID(E1085, 3, 2), 0)) - (B1085 + TIME(LEFT(C1085, 2), MID(C1085, 3, 2), 0))</f>
        <v>1.5513888888890506</v>
      </c>
    </row>
    <row r="1086" spans="1:8">
      <c r="A1086" s="37" t="s">
        <v>240</v>
      </c>
      <c r="B1086" s="93">
        <v>45866</v>
      </c>
      <c r="C1086" s="37" t="s">
        <v>418</v>
      </c>
      <c r="D1086" s="93">
        <v>45866</v>
      </c>
      <c r="E1086" s="37" t="s">
        <v>851</v>
      </c>
      <c r="F1086" s="100">
        <f t="shared" ref="F1086:F1107" si="51">(D1086 + TIME(LEFT(E1086, 2), MID(E1086, 3, 2), 0)) - (B1086 + TIME(LEFT(C1086, 2), MID(C1086, 3, 2), 0))</f>
        <v>3.1944444439432118E-2</v>
      </c>
    </row>
    <row r="1087" spans="1:8">
      <c r="A1087" s="37" t="s">
        <v>230</v>
      </c>
      <c r="B1087" s="93">
        <v>45866</v>
      </c>
      <c r="C1087" s="37" t="s">
        <v>418</v>
      </c>
      <c r="D1087" s="93">
        <v>45866</v>
      </c>
      <c r="E1087" s="37" t="s">
        <v>851</v>
      </c>
      <c r="F1087" s="100">
        <f t="shared" si="51"/>
        <v>3.1944444439432118E-2</v>
      </c>
    </row>
    <row r="1088" spans="1:8">
      <c r="A1088" s="37" t="s">
        <v>243</v>
      </c>
      <c r="B1088" s="93">
        <v>45866</v>
      </c>
      <c r="C1088" s="37" t="s">
        <v>722</v>
      </c>
      <c r="D1088" s="93">
        <v>45866</v>
      </c>
      <c r="E1088" s="37" t="s">
        <v>480</v>
      </c>
      <c r="F1088" s="100">
        <f t="shared" si="51"/>
        <v>4.1666666671517305E-2</v>
      </c>
    </row>
    <row r="1089" spans="1:6">
      <c r="A1089" s="37" t="s">
        <v>203</v>
      </c>
      <c r="B1089" s="93">
        <v>45866</v>
      </c>
      <c r="C1089" s="37" t="s">
        <v>369</v>
      </c>
      <c r="D1089" s="93">
        <v>45867</v>
      </c>
      <c r="E1089" s="37" t="s">
        <v>1145</v>
      </c>
      <c r="F1089" s="100">
        <f t="shared" si="51"/>
        <v>0.78888888889196096</v>
      </c>
    </row>
    <row r="1090" spans="1:6">
      <c r="A1090" s="37" t="s">
        <v>246</v>
      </c>
      <c r="B1090" s="93">
        <v>45866</v>
      </c>
      <c r="C1090" s="37" t="s">
        <v>880</v>
      </c>
      <c r="D1090" s="93">
        <v>45866</v>
      </c>
      <c r="E1090" s="37" t="s">
        <v>486</v>
      </c>
      <c r="F1090" s="100">
        <f t="shared" si="51"/>
        <v>4.2361111110949423E-2</v>
      </c>
    </row>
    <row r="1091" spans="1:6">
      <c r="A1091" s="37" t="s">
        <v>235</v>
      </c>
      <c r="B1091" s="93">
        <v>45866</v>
      </c>
      <c r="C1091" s="37" t="s">
        <v>298</v>
      </c>
      <c r="D1091" s="93">
        <v>45866</v>
      </c>
      <c r="E1091" s="37" t="s">
        <v>277</v>
      </c>
      <c r="F1091" s="100">
        <f t="shared" si="51"/>
        <v>0.40347222222044365</v>
      </c>
    </row>
    <row r="1092" spans="1:6">
      <c r="A1092" s="37" t="s">
        <v>227</v>
      </c>
      <c r="B1092" s="93">
        <v>45866</v>
      </c>
      <c r="C1092" s="37" t="s">
        <v>478</v>
      </c>
      <c r="D1092" s="93">
        <v>45866</v>
      </c>
      <c r="E1092" s="37" t="s">
        <v>624</v>
      </c>
      <c r="F1092" s="100">
        <f t="shared" si="51"/>
        <v>0.35000000000582077</v>
      </c>
    </row>
    <row r="1093" spans="1:6">
      <c r="A1093" s="37" t="s">
        <v>297</v>
      </c>
      <c r="B1093" s="93">
        <v>45866</v>
      </c>
      <c r="C1093" s="37" t="s">
        <v>574</v>
      </c>
      <c r="D1093" s="93">
        <v>45866</v>
      </c>
      <c r="E1093" s="37" t="s">
        <v>338</v>
      </c>
      <c r="F1093" s="100">
        <f t="shared" si="51"/>
        <v>7.6388888846850023E-3</v>
      </c>
    </row>
    <row r="1094" spans="1:6">
      <c r="A1094" s="37" t="s">
        <v>230</v>
      </c>
      <c r="B1094" s="93">
        <v>45866</v>
      </c>
      <c r="C1094" s="37" t="s">
        <v>304</v>
      </c>
      <c r="D1094" s="93">
        <v>45866</v>
      </c>
      <c r="E1094" s="37" t="s">
        <v>970</v>
      </c>
      <c r="F1094" s="100">
        <f t="shared" si="51"/>
        <v>0.33402777777519077</v>
      </c>
    </row>
    <row r="1095" spans="1:6">
      <c r="A1095" s="37" t="s">
        <v>240</v>
      </c>
      <c r="B1095" s="93">
        <v>45866</v>
      </c>
      <c r="C1095" s="37" t="s">
        <v>413</v>
      </c>
      <c r="D1095" s="93">
        <v>45866</v>
      </c>
      <c r="E1095" s="37" t="s">
        <v>1088</v>
      </c>
      <c r="F1095" s="100">
        <f t="shared" si="51"/>
        <v>0.33472222222189885</v>
      </c>
    </row>
    <row r="1096" spans="1:6">
      <c r="A1096" s="37" t="s">
        <v>222</v>
      </c>
      <c r="B1096" s="93">
        <v>45866</v>
      </c>
      <c r="C1096" s="37" t="s">
        <v>1146</v>
      </c>
      <c r="D1096" s="93">
        <v>45866</v>
      </c>
      <c r="E1096" s="37" t="s">
        <v>1138</v>
      </c>
      <c r="F1096" s="100">
        <f t="shared" si="51"/>
        <v>0.82638888889050577</v>
      </c>
    </row>
    <row r="1097" spans="1:6">
      <c r="A1097" s="37" t="s">
        <v>312</v>
      </c>
      <c r="B1097" s="93">
        <v>45866</v>
      </c>
      <c r="C1097" s="37" t="s">
        <v>1147</v>
      </c>
      <c r="D1097" s="93">
        <v>45866</v>
      </c>
      <c r="E1097" s="37" t="s">
        <v>331</v>
      </c>
      <c r="F1097" s="100">
        <f t="shared" si="51"/>
        <v>0.51388888889050577</v>
      </c>
    </row>
    <row r="1098" spans="1:6">
      <c r="A1098" s="37" t="s">
        <v>243</v>
      </c>
      <c r="B1098" s="93">
        <v>45866</v>
      </c>
      <c r="C1098" s="37" t="s">
        <v>1148</v>
      </c>
      <c r="D1098" s="93">
        <v>45866</v>
      </c>
      <c r="E1098" s="37" t="s">
        <v>1149</v>
      </c>
      <c r="F1098" s="100">
        <f t="shared" si="51"/>
        <v>0.30347222222189885</v>
      </c>
    </row>
    <row r="1099" spans="1:6">
      <c r="A1099" s="37" t="s">
        <v>216</v>
      </c>
      <c r="B1099" s="93">
        <v>45866</v>
      </c>
      <c r="C1099" s="37" t="s">
        <v>315</v>
      </c>
      <c r="D1099" s="93">
        <v>45867</v>
      </c>
      <c r="E1099" s="37" t="s">
        <v>388</v>
      </c>
      <c r="F1099" s="100">
        <f t="shared" si="51"/>
        <v>0.75069444444670808</v>
      </c>
    </row>
    <row r="1100" spans="1:6">
      <c r="A1100" s="37" t="s">
        <v>246</v>
      </c>
      <c r="B1100" s="93">
        <v>45866</v>
      </c>
      <c r="C1100" s="37" t="s">
        <v>1108</v>
      </c>
      <c r="D1100" s="93">
        <v>45866</v>
      </c>
      <c r="E1100" s="37" t="s">
        <v>1150</v>
      </c>
      <c r="F1100" s="100">
        <f t="shared" si="51"/>
        <v>0.27361111110803904</v>
      </c>
    </row>
    <row r="1101" spans="1:6">
      <c r="A1101" s="37" t="s">
        <v>297</v>
      </c>
      <c r="B1101" s="93">
        <v>45866</v>
      </c>
      <c r="C1101" s="37" t="s">
        <v>556</v>
      </c>
      <c r="D1101" s="93">
        <v>45866</v>
      </c>
      <c r="E1101" s="37" t="s">
        <v>1151</v>
      </c>
      <c r="F1101" s="100">
        <f t="shared" si="51"/>
        <v>0.23750000000291038</v>
      </c>
    </row>
    <row r="1102" spans="1:6">
      <c r="A1102" s="37" t="s">
        <v>219</v>
      </c>
      <c r="B1102" s="93">
        <v>45866</v>
      </c>
      <c r="C1102" s="37" t="s">
        <v>930</v>
      </c>
      <c r="D1102" s="93">
        <v>45866</v>
      </c>
      <c r="E1102" s="37" t="s">
        <v>626</v>
      </c>
      <c r="F1102" s="100">
        <f t="shared" si="51"/>
        <v>0.22013888888614019</v>
      </c>
    </row>
    <row r="1103" spans="1:6">
      <c r="A1103" s="37" t="s">
        <v>326</v>
      </c>
      <c r="B1103" s="93">
        <v>45866</v>
      </c>
      <c r="C1103" s="37" t="s">
        <v>324</v>
      </c>
      <c r="D1103" s="93">
        <v>45866</v>
      </c>
      <c r="E1103" s="37" t="s">
        <v>516</v>
      </c>
      <c r="F1103" s="100">
        <f t="shared" si="51"/>
        <v>0.40833333333284827</v>
      </c>
    </row>
    <row r="1104" spans="1:6">
      <c r="A1104" s="37" t="s">
        <v>213</v>
      </c>
      <c r="B1104" s="93">
        <v>45866</v>
      </c>
      <c r="C1104" s="37" t="s">
        <v>220</v>
      </c>
      <c r="D1104" s="93">
        <v>45867</v>
      </c>
      <c r="E1104" s="37" t="s">
        <v>215</v>
      </c>
      <c r="F1104" s="100">
        <f t="shared" si="51"/>
        <v>0.50069444443943212</v>
      </c>
    </row>
    <row r="1105" spans="1:6">
      <c r="A1105" s="37" t="s">
        <v>230</v>
      </c>
      <c r="B1105" s="93">
        <v>45866</v>
      </c>
      <c r="C1105" s="37" t="s">
        <v>1004</v>
      </c>
      <c r="D1105" s="93">
        <v>45866</v>
      </c>
      <c r="E1105" s="37" t="s">
        <v>956</v>
      </c>
      <c r="F1105" s="100">
        <f t="shared" si="51"/>
        <v>3.8194444445252884E-2</v>
      </c>
    </row>
    <row r="1106" spans="1:6">
      <c r="A1106" s="37" t="s">
        <v>227</v>
      </c>
      <c r="B1106" s="93">
        <v>45866</v>
      </c>
      <c r="C1106" s="37" t="s">
        <v>1092</v>
      </c>
      <c r="D1106" s="93">
        <v>45866</v>
      </c>
      <c r="E1106" s="37" t="s">
        <v>836</v>
      </c>
      <c r="F1106" s="100">
        <f t="shared" si="51"/>
        <v>2.7083333334303461E-2</v>
      </c>
    </row>
    <row r="1107" spans="1:6">
      <c r="A1107" s="37" t="s">
        <v>240</v>
      </c>
      <c r="B1107" s="93">
        <v>45866</v>
      </c>
      <c r="C1107" s="37" t="s">
        <v>442</v>
      </c>
      <c r="D1107" s="93">
        <v>45866</v>
      </c>
      <c r="E1107" s="37" t="s">
        <v>1093</v>
      </c>
      <c r="F1107" s="100">
        <f t="shared" si="51"/>
        <v>3.4027777779556345E-2</v>
      </c>
    </row>
    <row r="1108" spans="1:6">
      <c r="A1108" s="37" t="s">
        <v>219</v>
      </c>
      <c r="B1108" s="93">
        <v>45866</v>
      </c>
      <c r="C1108" s="37" t="s">
        <v>1152</v>
      </c>
      <c r="D1108" s="93">
        <v>45867</v>
      </c>
      <c r="E1108" s="37" t="s">
        <v>224</v>
      </c>
      <c r="F1108" s="100">
        <f>(D1108 + TIME(LEFT(E1108, 2), MID(E1108, 3, 2), 0)) - (B1108 + TIME(LEFT(C1108, 2), MID(C1108, 3, 2), 0))</f>
        <v>0.89513888888905058</v>
      </c>
    </row>
    <row r="1109" spans="1:6">
      <c r="A1109" s="37" t="s">
        <v>243</v>
      </c>
      <c r="B1109" s="93">
        <v>45866</v>
      </c>
      <c r="C1109" s="37" t="s">
        <v>1153</v>
      </c>
      <c r="D1109" s="93">
        <v>45866</v>
      </c>
      <c r="E1109" s="37" t="s">
        <v>1154</v>
      </c>
      <c r="F1109" s="100">
        <f t="shared" ref="F1109:F1114" si="52">(D1109 + TIME(LEFT(E1109, 2), MID(E1109, 3, 2), 0)) - (B1109 + TIME(LEFT(C1109, 2), MID(C1109, 3, 2), 0))</f>
        <v>1.6666666670062114E-2</v>
      </c>
    </row>
    <row r="1110" spans="1:6">
      <c r="A1110" s="37" t="s">
        <v>243</v>
      </c>
      <c r="B1110" s="93">
        <v>45866</v>
      </c>
      <c r="C1110" s="37" t="s">
        <v>1129</v>
      </c>
      <c r="D1110" s="93">
        <v>45867</v>
      </c>
      <c r="E1110" s="37" t="s">
        <v>1155</v>
      </c>
      <c r="F1110" s="100">
        <f t="shared" si="52"/>
        <v>3.125E-2</v>
      </c>
    </row>
    <row r="1111" spans="1:6">
      <c r="A1111" s="37" t="s">
        <v>246</v>
      </c>
      <c r="B1111" s="93">
        <v>45866</v>
      </c>
      <c r="C1111" s="37" t="s">
        <v>1129</v>
      </c>
      <c r="D1111" s="93">
        <v>45867</v>
      </c>
      <c r="E1111" s="37" t="s">
        <v>1156</v>
      </c>
      <c r="F1111" s="100">
        <f t="shared" si="52"/>
        <v>4.1666666671517305E-2</v>
      </c>
    </row>
    <row r="1112" spans="1:6">
      <c r="A1112" s="37" t="s">
        <v>227</v>
      </c>
      <c r="B1112" s="93">
        <v>45866</v>
      </c>
      <c r="C1112" s="37" t="s">
        <v>1129</v>
      </c>
      <c r="D1112" s="93">
        <v>45866</v>
      </c>
      <c r="E1112" s="37" t="s">
        <v>1157</v>
      </c>
      <c r="F1112" s="100">
        <f t="shared" si="52"/>
        <v>1.4583333337213844E-2</v>
      </c>
    </row>
    <row r="1113" spans="1:6">
      <c r="A1113" s="37" t="s">
        <v>230</v>
      </c>
      <c r="B1113" s="93">
        <v>45866</v>
      </c>
      <c r="C1113" s="37" t="s">
        <v>1129</v>
      </c>
      <c r="D1113" s="93">
        <v>45866</v>
      </c>
      <c r="E1113" s="37" t="s">
        <v>379</v>
      </c>
      <c r="F1113" s="100">
        <f t="shared" si="52"/>
        <v>1.9444444449618459E-2</v>
      </c>
    </row>
    <row r="1114" spans="1:6">
      <c r="A1114" s="37" t="s">
        <v>240</v>
      </c>
      <c r="B1114" s="93">
        <v>45866</v>
      </c>
      <c r="C1114" s="37" t="s">
        <v>1158</v>
      </c>
      <c r="D1114" s="93">
        <v>45866</v>
      </c>
      <c r="E1114" s="37" t="s">
        <v>1159</v>
      </c>
      <c r="F1114" s="100">
        <f t="shared" si="52"/>
        <v>3.4722222262644209E-3</v>
      </c>
    </row>
    <row r="1115" spans="1:6">
      <c r="A1115" s="37" t="s">
        <v>200</v>
      </c>
      <c r="B1115" s="93">
        <v>45867</v>
      </c>
      <c r="C1115" s="37" t="s">
        <v>1160</v>
      </c>
      <c r="D1115" s="93">
        <v>45869</v>
      </c>
      <c r="E1115" s="37" t="s">
        <v>1161</v>
      </c>
      <c r="F1115" s="100">
        <f t="shared" ref="F1115:F1121" si="53">(D1115 + TIME(LEFT(E1115, 2), MID(E1115, 3, 2), 0)) - (B1115 + TIME(LEFT(C1115, 2), MID(C1115, 3, 2), 0))</f>
        <v>1.9069444444467081</v>
      </c>
    </row>
    <row r="1116" spans="1:6">
      <c r="A1116" s="37" t="s">
        <v>222</v>
      </c>
      <c r="B1116" s="93">
        <v>45867</v>
      </c>
      <c r="C1116" s="37" t="s">
        <v>403</v>
      </c>
      <c r="D1116" s="93">
        <v>45868</v>
      </c>
      <c r="E1116" s="37" t="s">
        <v>1162</v>
      </c>
      <c r="F1116" s="100">
        <f t="shared" si="53"/>
        <v>0.91736111111094942</v>
      </c>
    </row>
    <row r="1117" spans="1:6">
      <c r="A1117" s="37" t="s">
        <v>240</v>
      </c>
      <c r="B1117" s="93">
        <v>45867</v>
      </c>
      <c r="C1117" s="37" t="s">
        <v>1163</v>
      </c>
      <c r="D1117" s="93">
        <v>45867</v>
      </c>
      <c r="E1117" s="37" t="s">
        <v>231</v>
      </c>
      <c r="F1117" s="100">
        <f t="shared" si="53"/>
        <v>1.1111111110949423E-2</v>
      </c>
    </row>
    <row r="1118" spans="1:6">
      <c r="A1118" s="37" t="s">
        <v>233</v>
      </c>
      <c r="B1118" s="93">
        <v>45867</v>
      </c>
      <c r="C1118" s="37" t="s">
        <v>1164</v>
      </c>
      <c r="D1118" s="93">
        <v>45867</v>
      </c>
      <c r="E1118" s="37" t="s">
        <v>1165</v>
      </c>
      <c r="F1118" s="100">
        <f t="shared" si="53"/>
        <v>0.26458333333721384</v>
      </c>
    </row>
    <row r="1119" spans="1:6">
      <c r="A1119" s="37" t="s">
        <v>243</v>
      </c>
      <c r="B1119" s="93">
        <v>45867</v>
      </c>
      <c r="C1119" s="37" t="s">
        <v>1166</v>
      </c>
      <c r="D1119" s="93">
        <v>45867</v>
      </c>
      <c r="E1119" s="37" t="s">
        <v>845</v>
      </c>
      <c r="F1119" s="100">
        <f t="shared" si="53"/>
        <v>1.5277777776645962E-2</v>
      </c>
    </row>
    <row r="1120" spans="1:6">
      <c r="A1120" s="37" t="s">
        <v>227</v>
      </c>
      <c r="B1120" s="93">
        <v>45867</v>
      </c>
      <c r="C1120" s="37" t="s">
        <v>717</v>
      </c>
      <c r="D1120" s="93">
        <v>45867</v>
      </c>
      <c r="E1120" s="37" t="s">
        <v>1167</v>
      </c>
      <c r="F1120" s="100">
        <f t="shared" si="53"/>
        <v>1.3194444443797693E-2</v>
      </c>
    </row>
    <row r="1121" spans="1:6">
      <c r="A1121" s="37" t="s">
        <v>235</v>
      </c>
      <c r="B1121" s="93">
        <v>45867</v>
      </c>
      <c r="C1121" s="37" t="s">
        <v>236</v>
      </c>
      <c r="D1121" s="93">
        <v>45867</v>
      </c>
      <c r="E1121" s="37" t="s">
        <v>277</v>
      </c>
      <c r="F1121" s="100">
        <f t="shared" si="53"/>
        <v>0.50069444443943212</v>
      </c>
    </row>
    <row r="1122" spans="1:6">
      <c r="A1122" s="37" t="s">
        <v>230</v>
      </c>
      <c r="B1122" s="93">
        <v>45867</v>
      </c>
      <c r="C1122" s="37" t="s">
        <v>1101</v>
      </c>
      <c r="D1122" s="93">
        <v>45867</v>
      </c>
      <c r="E1122" s="37" t="s">
        <v>1010</v>
      </c>
      <c r="F1122" s="100">
        <f t="shared" ref="F1122:F1127" si="54">(D1122 + TIME(LEFT(E1122, 2), MID(E1122, 3, 2), 0)) - (B1122 + TIME(LEFT(C1122, 2), MID(C1122, 3, 2), 0))</f>
        <v>1.0416666664241347E-2</v>
      </c>
    </row>
    <row r="1123" spans="1:6">
      <c r="A1123" s="37" t="s">
        <v>203</v>
      </c>
      <c r="B1123" s="93">
        <v>45867</v>
      </c>
      <c r="C1123" s="37" t="s">
        <v>410</v>
      </c>
      <c r="D1123" s="93">
        <v>45867</v>
      </c>
      <c r="E1123" s="37" t="s">
        <v>864</v>
      </c>
      <c r="F1123" s="100">
        <f t="shared" si="54"/>
        <v>1.2500000004365575E-2</v>
      </c>
    </row>
    <row r="1124" spans="1:6">
      <c r="A1124" s="37" t="s">
        <v>243</v>
      </c>
      <c r="B1124" s="93">
        <v>45867</v>
      </c>
      <c r="C1124" s="37" t="s">
        <v>847</v>
      </c>
      <c r="D1124" s="93">
        <v>45867</v>
      </c>
      <c r="E1124" s="37" t="s">
        <v>1042</v>
      </c>
      <c r="F1124" s="100">
        <f t="shared" si="54"/>
        <v>2.0138888889050577E-2</v>
      </c>
    </row>
    <row r="1125" spans="1:6">
      <c r="A1125" s="37" t="s">
        <v>246</v>
      </c>
      <c r="B1125" s="93">
        <v>45867</v>
      </c>
      <c r="C1125" s="37" t="s">
        <v>292</v>
      </c>
      <c r="D1125" s="93">
        <v>45867</v>
      </c>
      <c r="E1125" s="37" t="s">
        <v>369</v>
      </c>
      <c r="F1125" s="100">
        <f t="shared" si="54"/>
        <v>1.7361111109494232E-2</v>
      </c>
    </row>
    <row r="1126" spans="1:6">
      <c r="A1126" s="37" t="s">
        <v>227</v>
      </c>
      <c r="B1126" s="93">
        <v>45867</v>
      </c>
      <c r="C1126" s="37" t="s">
        <v>241</v>
      </c>
      <c r="D1126" s="93">
        <v>45867</v>
      </c>
      <c r="E1126" s="37" t="s">
        <v>926</v>
      </c>
      <c r="F1126" s="100">
        <f t="shared" si="54"/>
        <v>1.8750000002910383E-2</v>
      </c>
    </row>
    <row r="1127" spans="1:6">
      <c r="A1127" s="37" t="s">
        <v>230</v>
      </c>
      <c r="B1127" s="93">
        <v>45867</v>
      </c>
      <c r="C1127" s="37" t="s">
        <v>719</v>
      </c>
      <c r="D1127" s="93">
        <v>45867</v>
      </c>
      <c r="E1127" s="37" t="s">
        <v>1168</v>
      </c>
      <c r="F1127" s="100">
        <f t="shared" si="54"/>
        <v>2.8472222220443655E-2</v>
      </c>
    </row>
    <row r="1128" spans="1:6">
      <c r="A1128" s="37" t="s">
        <v>203</v>
      </c>
      <c r="B1128" s="93">
        <v>45867</v>
      </c>
      <c r="C1128" s="37" t="s">
        <v>820</v>
      </c>
      <c r="D1128" s="93">
        <v>45868</v>
      </c>
      <c r="E1128" s="37" t="s">
        <v>184</v>
      </c>
      <c r="F1128" s="100">
        <f t="shared" ref="F1128:F1164" si="55">(D1128 + TIME(LEFT(E1128, 2), MID(E1128, 3, 2), 0)) - (B1128 + TIME(LEFT(C1128, 2), MID(C1128, 3, 2), 0))</f>
        <v>1.2416666666686069</v>
      </c>
    </row>
    <row r="1129" spans="1:6">
      <c r="A1129" s="37" t="s">
        <v>326</v>
      </c>
      <c r="B1129" s="93">
        <v>45867</v>
      </c>
      <c r="C1129" s="37" t="s">
        <v>245</v>
      </c>
      <c r="D1129" s="93">
        <v>45868</v>
      </c>
      <c r="E1129" s="37" t="s">
        <v>249</v>
      </c>
      <c r="F1129" s="100">
        <f t="shared" si="55"/>
        <v>0.67638888888905058</v>
      </c>
    </row>
    <row r="1130" spans="1:6">
      <c r="A1130" s="37" t="s">
        <v>243</v>
      </c>
      <c r="B1130" s="93">
        <v>45867</v>
      </c>
      <c r="C1130" s="37" t="s">
        <v>574</v>
      </c>
      <c r="D1130" s="93">
        <v>45867</v>
      </c>
      <c r="E1130" s="37" t="s">
        <v>1169</v>
      </c>
      <c r="F1130" s="100">
        <f t="shared" si="55"/>
        <v>9.0277777781011537E-3</v>
      </c>
    </row>
    <row r="1131" spans="1:6">
      <c r="A1131" s="37" t="s">
        <v>254</v>
      </c>
      <c r="B1131" s="93">
        <v>45867</v>
      </c>
      <c r="C1131" s="37" t="s">
        <v>377</v>
      </c>
      <c r="D1131" s="93">
        <v>45867</v>
      </c>
      <c r="E1131" s="37" t="s">
        <v>1170</v>
      </c>
      <c r="F1131" s="100">
        <f t="shared" si="55"/>
        <v>0.61111111110949423</v>
      </c>
    </row>
    <row r="1132" spans="1:6">
      <c r="A1132" s="37" t="s">
        <v>246</v>
      </c>
      <c r="B1132" s="93">
        <v>45867</v>
      </c>
      <c r="C1132" s="37" t="s">
        <v>221</v>
      </c>
      <c r="D1132" s="93">
        <v>45867</v>
      </c>
      <c r="E1132" s="37" t="s">
        <v>313</v>
      </c>
      <c r="F1132" s="100">
        <f t="shared" si="55"/>
        <v>2.6388888894871343E-2</v>
      </c>
    </row>
    <row r="1133" spans="1:6">
      <c r="A1133" s="37" t="s">
        <v>227</v>
      </c>
      <c r="B1133" s="93">
        <v>45867</v>
      </c>
      <c r="C1133" s="37" t="s">
        <v>776</v>
      </c>
      <c r="D1133" s="93">
        <v>45867</v>
      </c>
      <c r="E1133" s="37" t="s">
        <v>483</v>
      </c>
      <c r="F1133" s="100">
        <f t="shared" si="55"/>
        <v>2.7777777781011537E-2</v>
      </c>
    </row>
    <row r="1134" spans="1:6">
      <c r="A1134" s="37" t="s">
        <v>230</v>
      </c>
      <c r="B1134" s="93">
        <v>45867</v>
      </c>
      <c r="C1134" s="37" t="s">
        <v>480</v>
      </c>
      <c r="D1134" s="93">
        <v>45867</v>
      </c>
      <c r="E1134" s="37" t="s">
        <v>916</v>
      </c>
      <c r="F1134" s="100">
        <f t="shared" si="55"/>
        <v>0.28819444444525288</v>
      </c>
    </row>
    <row r="1135" spans="1:6">
      <c r="A1135" s="37" t="s">
        <v>243</v>
      </c>
      <c r="B1135" s="93">
        <v>45867</v>
      </c>
      <c r="C1135" s="37" t="s">
        <v>308</v>
      </c>
      <c r="D1135" s="93">
        <v>45867</v>
      </c>
      <c r="E1135" s="37" t="s">
        <v>622</v>
      </c>
      <c r="F1135" s="100">
        <f t="shared" si="55"/>
        <v>0.31666666666569654</v>
      </c>
    </row>
    <row r="1136" spans="1:6">
      <c r="A1136" s="37" t="s">
        <v>240</v>
      </c>
      <c r="B1136" s="93">
        <v>45867</v>
      </c>
      <c r="C1136" s="37" t="s">
        <v>346</v>
      </c>
      <c r="D1136" s="93">
        <v>45867</v>
      </c>
      <c r="E1136" s="37" t="s">
        <v>395</v>
      </c>
      <c r="F1136" s="100">
        <f t="shared" si="55"/>
        <v>0.28680555555183673</v>
      </c>
    </row>
    <row r="1137" spans="1:7">
      <c r="A1137" s="37" t="s">
        <v>312</v>
      </c>
      <c r="B1137" s="93">
        <v>45867</v>
      </c>
      <c r="C1137" s="37" t="s">
        <v>490</v>
      </c>
      <c r="D1137" s="93">
        <v>45867</v>
      </c>
      <c r="E1137" s="37" t="s">
        <v>754</v>
      </c>
      <c r="F1137" s="100">
        <f t="shared" si="55"/>
        <v>0.54305555555038154</v>
      </c>
    </row>
    <row r="1138" spans="1:7">
      <c r="A1138" s="37" t="s">
        <v>216</v>
      </c>
      <c r="B1138" s="93">
        <v>45867</v>
      </c>
      <c r="C1138" s="37" t="s">
        <v>558</v>
      </c>
      <c r="D1138" s="93">
        <v>45868</v>
      </c>
      <c r="E1138" s="37" t="s">
        <v>414</v>
      </c>
      <c r="F1138" s="100">
        <f t="shared" si="55"/>
        <v>0.87569444444670808</v>
      </c>
    </row>
    <row r="1139" spans="1:7">
      <c r="A1139" s="37" t="s">
        <v>206</v>
      </c>
      <c r="B1139" s="93">
        <v>45867</v>
      </c>
      <c r="C1139" s="37" t="s">
        <v>663</v>
      </c>
      <c r="D1139" s="93">
        <v>45868</v>
      </c>
      <c r="E1139" s="37" t="s">
        <v>1145</v>
      </c>
      <c r="F1139" s="100">
        <f t="shared" si="55"/>
        <v>0.65694444444670808</v>
      </c>
    </row>
    <row r="1140" spans="1:7">
      <c r="A1140" s="37" t="s">
        <v>246</v>
      </c>
      <c r="B1140" s="93">
        <v>45867</v>
      </c>
      <c r="C1140" s="37" t="s">
        <v>1171</v>
      </c>
      <c r="D1140" s="93">
        <v>45867</v>
      </c>
      <c r="E1140" s="37" t="s">
        <v>919</v>
      </c>
      <c r="F1140" s="100">
        <f t="shared" si="55"/>
        <v>0.16597222222480923</v>
      </c>
    </row>
    <row r="1141" spans="1:7">
      <c r="A1141" s="37" t="s">
        <v>227</v>
      </c>
      <c r="B1141" s="93">
        <v>45867</v>
      </c>
      <c r="C1141" s="37" t="s">
        <v>889</v>
      </c>
      <c r="D1141" s="93">
        <v>45867</v>
      </c>
      <c r="E1141" s="37" t="s">
        <v>628</v>
      </c>
      <c r="F1141" s="100">
        <f t="shared" si="55"/>
        <v>0.14236111110949423</v>
      </c>
    </row>
    <row r="1142" spans="1:7">
      <c r="A1142" s="37" t="s">
        <v>297</v>
      </c>
      <c r="B1142" s="93">
        <v>45867</v>
      </c>
      <c r="C1142" s="37" t="s">
        <v>1172</v>
      </c>
      <c r="D1142" s="93">
        <v>45867</v>
      </c>
      <c r="E1142" s="37" t="s">
        <v>917</v>
      </c>
      <c r="F1142" s="100">
        <f t="shared" si="55"/>
        <v>7.2222222217533272E-2</v>
      </c>
    </row>
    <row r="1143" spans="1:7">
      <c r="A1143" s="37" t="s">
        <v>213</v>
      </c>
      <c r="B1143" s="93">
        <v>45867</v>
      </c>
      <c r="C1143" s="37" t="s">
        <v>220</v>
      </c>
      <c r="D1143" s="93">
        <v>45868</v>
      </c>
      <c r="E1143" s="37" t="s">
        <v>414</v>
      </c>
      <c r="F1143" s="100">
        <f t="shared" si="55"/>
        <v>0.58402777777519077</v>
      </c>
    </row>
    <row r="1144" spans="1:7">
      <c r="A1144" s="37" t="s">
        <v>219</v>
      </c>
      <c r="B1144" s="93">
        <v>45867</v>
      </c>
      <c r="C1144" s="37" t="s">
        <v>764</v>
      </c>
      <c r="D1144" s="93">
        <v>45867</v>
      </c>
      <c r="E1144" s="37" t="s">
        <v>450</v>
      </c>
      <c r="F1144" s="100">
        <f t="shared" si="55"/>
        <v>0.10694444444379769</v>
      </c>
    </row>
    <row r="1145" spans="1:7">
      <c r="A1145" s="37" t="s">
        <v>197</v>
      </c>
      <c r="B1145" s="93">
        <v>45867</v>
      </c>
      <c r="C1145" s="37" t="s">
        <v>812</v>
      </c>
      <c r="D1145" s="93">
        <v>45868</v>
      </c>
      <c r="E1145" s="37" t="s">
        <v>320</v>
      </c>
      <c r="F1145" s="100">
        <f t="shared" si="55"/>
        <v>0.68819444444670808</v>
      </c>
      <c r="G1145" s="37" t="s">
        <v>9</v>
      </c>
    </row>
    <row r="1146" spans="1:7">
      <c r="A1146" s="37" t="s">
        <v>240</v>
      </c>
      <c r="B1146" s="93">
        <v>45867</v>
      </c>
      <c r="C1146" s="37" t="s">
        <v>979</v>
      </c>
      <c r="D1146" s="93">
        <v>45867</v>
      </c>
      <c r="E1146" s="37" t="s">
        <v>983</v>
      </c>
      <c r="F1146" s="100">
        <f t="shared" si="55"/>
        <v>2.0833333328482695E-2</v>
      </c>
    </row>
    <row r="1147" spans="1:7">
      <c r="A1147" s="37" t="s">
        <v>227</v>
      </c>
      <c r="B1147" s="93">
        <v>45867</v>
      </c>
      <c r="C1147" s="37" t="s">
        <v>979</v>
      </c>
      <c r="D1147" s="93">
        <v>45867</v>
      </c>
      <c r="E1147" s="37" t="s">
        <v>1173</v>
      </c>
      <c r="F1147" s="100">
        <f t="shared" si="55"/>
        <v>9.0277777781011537E-3</v>
      </c>
    </row>
    <row r="1148" spans="1:7">
      <c r="A1148" s="37" t="s">
        <v>230</v>
      </c>
      <c r="B1148" s="93">
        <v>45867</v>
      </c>
      <c r="C1148" s="37" t="s">
        <v>979</v>
      </c>
      <c r="D1148" s="93">
        <v>45867</v>
      </c>
      <c r="E1148" s="37" t="s">
        <v>1126</v>
      </c>
      <c r="F1148" s="100">
        <f t="shared" si="55"/>
        <v>1.8749999995634425E-2</v>
      </c>
    </row>
    <row r="1149" spans="1:7">
      <c r="A1149" s="37" t="s">
        <v>219</v>
      </c>
      <c r="B1149" s="93">
        <v>45868</v>
      </c>
      <c r="C1149" s="37" t="s">
        <v>1174</v>
      </c>
      <c r="D1149" s="93">
        <v>45868</v>
      </c>
      <c r="E1149" s="37" t="s">
        <v>547</v>
      </c>
      <c r="F1149" s="100">
        <f t="shared" si="55"/>
        <v>0.7930555555576575</v>
      </c>
    </row>
    <row r="1150" spans="1:7">
      <c r="A1150" s="37" t="s">
        <v>246</v>
      </c>
      <c r="B1150" s="93">
        <v>45868</v>
      </c>
      <c r="C1150" s="37" t="s">
        <v>843</v>
      </c>
      <c r="D1150" s="93">
        <v>45868</v>
      </c>
      <c r="E1150" s="37" t="s">
        <v>467</v>
      </c>
      <c r="F1150" s="100">
        <f t="shared" si="55"/>
        <v>2.0138888889050577E-2</v>
      </c>
    </row>
    <row r="1151" spans="1:7">
      <c r="A1151" s="37" t="s">
        <v>243</v>
      </c>
      <c r="B1151" s="93">
        <v>45868</v>
      </c>
      <c r="C1151" s="37" t="s">
        <v>1008</v>
      </c>
      <c r="D1151" s="93">
        <v>45868</v>
      </c>
      <c r="E1151" s="37" t="s">
        <v>471</v>
      </c>
      <c r="F1151" s="100">
        <f t="shared" si="55"/>
        <v>5.5555555591126904E-3</v>
      </c>
    </row>
    <row r="1152" spans="1:7">
      <c r="A1152" s="37" t="s">
        <v>246</v>
      </c>
      <c r="B1152" s="93">
        <v>45868</v>
      </c>
      <c r="C1152" s="37" t="s">
        <v>354</v>
      </c>
      <c r="D1152" s="93">
        <v>45868</v>
      </c>
      <c r="E1152" s="37" t="s">
        <v>350</v>
      </c>
      <c r="F1152" s="100">
        <f t="shared" si="55"/>
        <v>4.1666666664241347E-2</v>
      </c>
    </row>
    <row r="1153" spans="1:8">
      <c r="A1153" s="37" t="s">
        <v>243</v>
      </c>
      <c r="B1153" s="93">
        <v>45868</v>
      </c>
      <c r="C1153" s="37" t="s">
        <v>560</v>
      </c>
      <c r="D1153" s="93">
        <v>45868</v>
      </c>
      <c r="E1153" s="37" t="s">
        <v>815</v>
      </c>
      <c r="F1153" s="100">
        <f t="shared" si="55"/>
        <v>3.4722222226264421E-2</v>
      </c>
    </row>
    <row r="1154" spans="1:8">
      <c r="A1154" s="37" t="s">
        <v>227</v>
      </c>
      <c r="B1154" s="93">
        <v>45868</v>
      </c>
      <c r="C1154" s="37" t="s">
        <v>874</v>
      </c>
      <c r="D1154" s="93">
        <v>45868</v>
      </c>
      <c r="E1154" s="37" t="s">
        <v>371</v>
      </c>
      <c r="F1154" s="100">
        <f t="shared" si="55"/>
        <v>4.3749999997089617E-2</v>
      </c>
    </row>
    <row r="1155" spans="1:8">
      <c r="A1155" s="37" t="s">
        <v>233</v>
      </c>
      <c r="B1155" s="93">
        <v>45868</v>
      </c>
      <c r="C1155" s="37" t="s">
        <v>809</v>
      </c>
      <c r="D1155" s="93">
        <v>45868</v>
      </c>
      <c r="E1155" s="37" t="s">
        <v>669</v>
      </c>
      <c r="F1155" s="100">
        <f t="shared" si="55"/>
        <v>0.49791666666715173</v>
      </c>
    </row>
    <row r="1156" spans="1:8">
      <c r="A1156" s="37" t="s">
        <v>230</v>
      </c>
      <c r="B1156" s="93">
        <v>45868</v>
      </c>
      <c r="C1156" s="37" t="s">
        <v>1080</v>
      </c>
      <c r="D1156" s="93">
        <v>45868</v>
      </c>
      <c r="E1156" s="37" t="s">
        <v>1175</v>
      </c>
      <c r="F1156" s="100">
        <f t="shared" si="55"/>
        <v>6.9444444452528842E-3</v>
      </c>
    </row>
    <row r="1157" spans="1:8">
      <c r="A1157" s="37" t="s">
        <v>326</v>
      </c>
      <c r="B1157" s="93">
        <v>45868</v>
      </c>
      <c r="C1157" s="37" t="s">
        <v>361</v>
      </c>
      <c r="D1157" s="93">
        <v>45868</v>
      </c>
      <c r="E1157" s="37" t="s">
        <v>1176</v>
      </c>
      <c r="F1157" s="100">
        <f t="shared" si="55"/>
        <v>0.65347222222044365</v>
      </c>
    </row>
    <row r="1158" spans="1:8">
      <c r="A1158" s="37" t="s">
        <v>254</v>
      </c>
      <c r="B1158" s="93">
        <v>45868</v>
      </c>
      <c r="C1158" s="37" t="s">
        <v>565</v>
      </c>
      <c r="D1158" s="93">
        <v>45868</v>
      </c>
      <c r="E1158" s="37" t="s">
        <v>759</v>
      </c>
      <c r="F1158" s="100">
        <f t="shared" si="55"/>
        <v>0.56944444444525288</v>
      </c>
    </row>
    <row r="1159" spans="1:8">
      <c r="A1159" s="37" t="s">
        <v>243</v>
      </c>
      <c r="B1159" s="93">
        <v>45868</v>
      </c>
      <c r="C1159" s="37" t="s">
        <v>244</v>
      </c>
      <c r="D1159" s="93">
        <v>45868</v>
      </c>
      <c r="E1159" s="37" t="s">
        <v>1177</v>
      </c>
      <c r="F1159" s="100">
        <f t="shared" si="55"/>
        <v>0.37916666666569654</v>
      </c>
    </row>
    <row r="1160" spans="1:8">
      <c r="A1160" s="37" t="s">
        <v>246</v>
      </c>
      <c r="B1160" s="93">
        <v>45868</v>
      </c>
      <c r="C1160" s="37" t="s">
        <v>416</v>
      </c>
      <c r="D1160" s="93">
        <v>45868</v>
      </c>
      <c r="E1160" s="37" t="s">
        <v>1178</v>
      </c>
      <c r="F1160" s="100">
        <f t="shared" si="55"/>
        <v>0.37708333333284827</v>
      </c>
    </row>
    <row r="1161" spans="1:8">
      <c r="A1161" s="37" t="s">
        <v>227</v>
      </c>
      <c r="B1161" s="93">
        <v>45868</v>
      </c>
      <c r="C1161" s="37" t="s">
        <v>416</v>
      </c>
      <c r="D1161" s="93">
        <v>45868</v>
      </c>
      <c r="E1161" s="37" t="s">
        <v>1179</v>
      </c>
      <c r="F1161" s="100">
        <f t="shared" si="55"/>
        <v>0.37986111111240461</v>
      </c>
    </row>
    <row r="1162" spans="1:8">
      <c r="A1162" s="37" t="s">
        <v>312</v>
      </c>
      <c r="B1162" s="93">
        <v>45868</v>
      </c>
      <c r="C1162" s="37" t="s">
        <v>1042</v>
      </c>
      <c r="D1162" s="93">
        <v>45868</v>
      </c>
      <c r="E1162" s="37" t="s">
        <v>1180</v>
      </c>
      <c r="F1162" s="100">
        <f t="shared" si="55"/>
        <v>0.53819444444525288</v>
      </c>
    </row>
    <row r="1163" spans="1:8">
      <c r="A1163" s="37" t="s">
        <v>240</v>
      </c>
      <c r="B1163" s="93">
        <v>45868</v>
      </c>
      <c r="C1163" s="37" t="s">
        <v>564</v>
      </c>
      <c r="D1163" s="93">
        <v>45868</v>
      </c>
      <c r="E1163" s="37" t="s">
        <v>1088</v>
      </c>
      <c r="F1163" s="100">
        <f t="shared" si="55"/>
        <v>0.33125000000291038</v>
      </c>
      <c r="G1163" s="37" t="s">
        <v>9</v>
      </c>
      <c r="H1163" s="94" t="s">
        <v>1181</v>
      </c>
    </row>
    <row r="1164" spans="1:8">
      <c r="A1164" s="37" t="s">
        <v>297</v>
      </c>
      <c r="B1164" s="93">
        <v>45868</v>
      </c>
      <c r="C1164" s="37" t="s">
        <v>564</v>
      </c>
      <c r="D1164" s="93">
        <v>45868</v>
      </c>
      <c r="E1164" s="37" t="s">
        <v>970</v>
      </c>
      <c r="F1164" s="100">
        <f t="shared" si="55"/>
        <v>0.32847222222335404</v>
      </c>
    </row>
    <row r="1165" spans="1:8">
      <c r="A1165" s="37" t="s">
        <v>206</v>
      </c>
      <c r="B1165" s="93">
        <v>45868</v>
      </c>
      <c r="C1165" s="37" t="s">
        <v>656</v>
      </c>
      <c r="D1165" s="93">
        <v>45869</v>
      </c>
      <c r="E1165" s="37" t="s">
        <v>943</v>
      </c>
      <c r="F1165" s="100">
        <f>(D1165 + TIME(LEFT(E1165, 2), MID(E1165, 3, 2), 0)) - (B1165 + TIME(LEFT(C1165, 2), MID(C1165, 3, 2), 0))</f>
        <v>0.87916666666569654</v>
      </c>
    </row>
    <row r="1166" spans="1:8">
      <c r="A1166" s="37" t="s">
        <v>230</v>
      </c>
      <c r="B1166" s="93">
        <v>45868</v>
      </c>
      <c r="C1166" s="37" t="s">
        <v>776</v>
      </c>
      <c r="D1166" s="93">
        <v>45868</v>
      </c>
      <c r="E1166" s="37" t="s">
        <v>1182</v>
      </c>
      <c r="F1166" s="100">
        <f>(D1166 + TIME(LEFT(E1166, 2), MID(E1166, 3, 2), 0)) - (B1166 + TIME(LEFT(C1166, 2), MID(C1166, 3, 2), 0))</f>
        <v>0.34305555555329192</v>
      </c>
    </row>
    <row r="1167" spans="1:8">
      <c r="A1167" s="37" t="s">
        <v>222</v>
      </c>
      <c r="B1167" s="93">
        <v>45868</v>
      </c>
      <c r="C1167" s="37" t="s">
        <v>295</v>
      </c>
      <c r="D1167" s="93">
        <v>45869</v>
      </c>
      <c r="E1167" s="37" t="s">
        <v>388</v>
      </c>
      <c r="F1167" s="100">
        <f>(D1167 + TIME(LEFT(E1167, 2), MID(E1167, 3, 2), 0)) - (B1167 + TIME(LEFT(C1167, 2), MID(C1167, 3, 2), 0))</f>
        <v>0.83402777778246673</v>
      </c>
    </row>
    <row r="1168" spans="1:8">
      <c r="A1168" s="37" t="s">
        <v>216</v>
      </c>
      <c r="B1168" s="93">
        <v>45868</v>
      </c>
      <c r="C1168" s="37" t="s">
        <v>730</v>
      </c>
      <c r="D1168" s="93">
        <v>45868</v>
      </c>
      <c r="E1168" s="37" t="s">
        <v>1183</v>
      </c>
      <c r="F1168" s="100">
        <f>(D1168 + TIME(LEFT(E1168, 2), MID(E1168, 3, 2), 0)) - (B1168 + TIME(LEFT(C1168, 2), MID(C1168, 3, 2), 0))</f>
        <v>0.24861111111385981</v>
      </c>
    </row>
    <row r="1169" spans="1:8">
      <c r="A1169" s="37" t="s">
        <v>828</v>
      </c>
      <c r="B1169" s="93">
        <v>45868</v>
      </c>
      <c r="C1169" s="37" t="s">
        <v>607</v>
      </c>
      <c r="D1169" s="93">
        <v>45868</v>
      </c>
      <c r="E1169" s="37" t="s">
        <v>666</v>
      </c>
      <c r="F1169" s="100">
        <f>(D1169 + TIME(LEFT(E1169, 2), MID(E1169, 3, 2), 0)) - (B1169 + TIME(LEFT(C1169, 2), MID(C1169, 3, 2), 0))</f>
        <v>8.7500000001455192E-2</v>
      </c>
    </row>
    <row r="1170" spans="1:8">
      <c r="A1170" s="37" t="s">
        <v>197</v>
      </c>
      <c r="B1170" s="93">
        <v>45868</v>
      </c>
      <c r="C1170" s="37" t="s">
        <v>320</v>
      </c>
    </row>
    <row r="1171" spans="1:8">
      <c r="A1171" s="37" t="s">
        <v>828</v>
      </c>
      <c r="B1171" s="93">
        <v>45868</v>
      </c>
      <c r="C1171" s="37" t="s">
        <v>666</v>
      </c>
      <c r="G1171" s="37" t="s">
        <v>9</v>
      </c>
      <c r="H1171" s="94" t="s">
        <v>1184</v>
      </c>
    </row>
    <row r="1172" spans="1:8">
      <c r="A1172" s="37" t="s">
        <v>203</v>
      </c>
      <c r="B1172" s="93">
        <v>45868</v>
      </c>
      <c r="C1172" s="37" t="s">
        <v>184</v>
      </c>
      <c r="D1172" s="93">
        <v>45868</v>
      </c>
      <c r="E1172" s="37" t="s">
        <v>1111</v>
      </c>
      <c r="F1172" s="100">
        <f t="shared" ref="F1172:F1178" si="56">(D1172 + TIME(LEFT(E1172, 2), MID(E1172, 3, 2), 0)) - (B1172 + TIME(LEFT(C1172, 2), MID(C1172, 3, 2), 0))</f>
        <v>4.0277777778101154E-2</v>
      </c>
      <c r="G1172" s="37" t="s">
        <v>9</v>
      </c>
      <c r="H1172" s="94" t="s">
        <v>1185</v>
      </c>
    </row>
    <row r="1173" spans="1:8">
      <c r="A1173" s="37" t="s">
        <v>251</v>
      </c>
      <c r="B1173" s="93">
        <v>45868</v>
      </c>
      <c r="C1173" s="37" t="s">
        <v>780</v>
      </c>
      <c r="D1173" s="93">
        <v>45868</v>
      </c>
      <c r="E1173" s="37" t="s">
        <v>997</v>
      </c>
      <c r="F1173" s="100">
        <f t="shared" si="56"/>
        <v>2.569444444088731E-2</v>
      </c>
    </row>
    <row r="1174" spans="1:8">
      <c r="A1174" s="37" t="s">
        <v>203</v>
      </c>
      <c r="B1174" s="93">
        <v>45868</v>
      </c>
      <c r="C1174" s="37" t="s">
        <v>1111</v>
      </c>
      <c r="D1174" s="93">
        <v>45868</v>
      </c>
      <c r="E1174" s="37" t="s">
        <v>1186</v>
      </c>
      <c r="F1174" s="100">
        <f t="shared" si="56"/>
        <v>7.6388888846850023E-3</v>
      </c>
    </row>
    <row r="1175" spans="1:8">
      <c r="A1175" s="37" t="s">
        <v>251</v>
      </c>
      <c r="B1175" s="93">
        <v>45868</v>
      </c>
      <c r="C1175" s="37" t="s">
        <v>997</v>
      </c>
      <c r="D1175" s="93">
        <v>45868</v>
      </c>
      <c r="E1175" s="37" t="s">
        <v>1187</v>
      </c>
      <c r="F1175" s="100">
        <f t="shared" si="56"/>
        <v>3.3333333332848269E-2</v>
      </c>
      <c r="G1175" s="37" t="s">
        <v>9</v>
      </c>
    </row>
    <row r="1176" spans="1:8">
      <c r="A1176" s="37" t="s">
        <v>203</v>
      </c>
      <c r="B1176" s="93">
        <v>45868</v>
      </c>
      <c r="C1176" s="37" t="s">
        <v>1186</v>
      </c>
      <c r="D1176" s="93">
        <v>45868</v>
      </c>
      <c r="E1176" s="37" t="s">
        <v>1188</v>
      </c>
      <c r="F1176" s="100">
        <f t="shared" si="56"/>
        <v>6.7361111112404615E-2</v>
      </c>
      <c r="G1176" s="37" t="s">
        <v>9</v>
      </c>
    </row>
    <row r="1177" spans="1:8">
      <c r="A1177" s="37" t="s">
        <v>251</v>
      </c>
      <c r="B1177" s="93">
        <v>45868</v>
      </c>
      <c r="C1177" s="37" t="s">
        <v>1187</v>
      </c>
      <c r="D1177" s="93">
        <v>45868</v>
      </c>
      <c r="E1177" s="37" t="s">
        <v>596</v>
      </c>
      <c r="F1177" s="100">
        <f t="shared" si="56"/>
        <v>0.27847222222771961</v>
      </c>
    </row>
    <row r="1178" spans="1:8">
      <c r="A1178" s="37" t="s">
        <v>203</v>
      </c>
      <c r="B1178" s="93">
        <v>45868</v>
      </c>
      <c r="C1178" s="37" t="s">
        <v>1188</v>
      </c>
      <c r="D1178" s="93">
        <v>45869</v>
      </c>
      <c r="E1178" s="37" t="s">
        <v>225</v>
      </c>
      <c r="F1178" s="100">
        <f t="shared" si="56"/>
        <v>0.43472222222044365</v>
      </c>
    </row>
    <row r="1179" spans="1:8">
      <c r="A1179" s="37" t="s">
        <v>235</v>
      </c>
      <c r="B1179" s="93">
        <v>45868</v>
      </c>
      <c r="C1179" s="37" t="s">
        <v>295</v>
      </c>
      <c r="D1179" s="93">
        <v>45868</v>
      </c>
      <c r="E1179" s="37" t="s">
        <v>277</v>
      </c>
      <c r="F1179" s="100">
        <f t="shared" ref="F1179:F1184" si="57">(D1179 + TIME(LEFT(E1179, 2), MID(E1179, 3, 2), 0)) - (B1179 + TIME(LEFT(C1179, 2), MID(C1179, 3, 2), 0))</f>
        <v>0.41736111111094942</v>
      </c>
    </row>
    <row r="1180" spans="1:8">
      <c r="A1180" s="37" t="s">
        <v>213</v>
      </c>
      <c r="B1180" s="93">
        <v>45868</v>
      </c>
      <c r="C1180" s="37" t="s">
        <v>220</v>
      </c>
      <c r="D1180" s="93">
        <v>45869</v>
      </c>
      <c r="E1180" s="37" t="s">
        <v>742</v>
      </c>
      <c r="F1180" s="100">
        <f t="shared" si="57"/>
        <v>0.45902777777519077</v>
      </c>
    </row>
    <row r="1181" spans="1:8">
      <c r="A1181" s="37" t="s">
        <v>216</v>
      </c>
      <c r="B1181" s="93">
        <v>45868</v>
      </c>
      <c r="C1181" s="37" t="s">
        <v>552</v>
      </c>
      <c r="D1181" s="93">
        <v>45869</v>
      </c>
      <c r="E1181" s="37" t="s">
        <v>890</v>
      </c>
      <c r="F1181" s="100">
        <f t="shared" si="57"/>
        <v>0.88819444444379769</v>
      </c>
    </row>
    <row r="1182" spans="1:8">
      <c r="A1182" s="37" t="s">
        <v>240</v>
      </c>
      <c r="B1182" s="93">
        <v>45868</v>
      </c>
      <c r="C1182" s="37" t="s">
        <v>1189</v>
      </c>
      <c r="D1182" s="93">
        <v>45868</v>
      </c>
      <c r="E1182" s="37" t="s">
        <v>683</v>
      </c>
      <c r="F1182" s="100">
        <f t="shared" si="57"/>
        <v>7.6388888919609599E-3</v>
      </c>
    </row>
    <row r="1183" spans="1:8">
      <c r="A1183" s="37" t="s">
        <v>243</v>
      </c>
      <c r="B1183" s="93">
        <v>45869</v>
      </c>
      <c r="C1183" s="37" t="s">
        <v>1190</v>
      </c>
      <c r="D1183" s="93">
        <v>45869</v>
      </c>
      <c r="E1183" s="37" t="s">
        <v>1191</v>
      </c>
      <c r="F1183" s="100">
        <f t="shared" si="57"/>
        <v>1.7361111109494232E-2</v>
      </c>
    </row>
    <row r="1184" spans="1:8">
      <c r="A1184" s="37" t="s">
        <v>246</v>
      </c>
      <c r="B1184" s="93">
        <v>45869</v>
      </c>
      <c r="C1184" s="37" t="s">
        <v>1190</v>
      </c>
      <c r="D1184" s="93">
        <v>45869</v>
      </c>
      <c r="E1184" s="37" t="s">
        <v>649</v>
      </c>
      <c r="F1184" s="100">
        <f t="shared" si="57"/>
        <v>2.8472222220443655E-2</v>
      </c>
    </row>
    <row r="1185" spans="1:6">
      <c r="A1185" s="37" t="s">
        <v>200</v>
      </c>
      <c r="B1185" s="93">
        <v>45869</v>
      </c>
      <c r="C1185" s="37" t="s">
        <v>1192</v>
      </c>
    </row>
    <row r="1186" spans="1:6">
      <c r="A1186" s="37" t="s">
        <v>219</v>
      </c>
      <c r="B1186" s="93">
        <v>45869</v>
      </c>
      <c r="C1186" s="37" t="s">
        <v>403</v>
      </c>
    </row>
    <row r="1187" spans="1:6">
      <c r="A1187" s="37" t="s">
        <v>235</v>
      </c>
      <c r="B1187" s="93">
        <v>45869</v>
      </c>
      <c r="C1187" s="37" t="s">
        <v>746</v>
      </c>
      <c r="D1187" s="93">
        <v>45869</v>
      </c>
      <c r="E1187" s="37" t="s">
        <v>277</v>
      </c>
      <c r="F1187" s="100">
        <f>(D1187 + TIME(LEFT(E1187, 2), MID(E1187, 3, 2), 0)) - (B1187 + TIME(LEFT(C1187, 2), MID(C1187, 3, 2), 0))</f>
        <v>0.54236111111094942</v>
      </c>
    </row>
    <row r="1188" spans="1:6">
      <c r="A1188" s="37" t="s">
        <v>230</v>
      </c>
      <c r="B1188" s="93">
        <v>45869</v>
      </c>
      <c r="C1188" s="37" t="s">
        <v>810</v>
      </c>
      <c r="D1188" s="93">
        <v>45869</v>
      </c>
      <c r="E1188" s="37" t="s">
        <v>470</v>
      </c>
      <c r="F1188" s="100">
        <f t="shared" ref="F1188:F1193" si="58">(D1188 + TIME(LEFT(E1188, 2), MID(E1188, 3, 2), 0)) - (B1188 + TIME(LEFT(C1188, 2), MID(C1188, 3, 2), 0))</f>
        <v>6.4583333332848269E-2</v>
      </c>
    </row>
    <row r="1189" spans="1:6">
      <c r="A1189" s="37" t="s">
        <v>227</v>
      </c>
      <c r="B1189" s="93">
        <v>45869</v>
      </c>
      <c r="C1189" s="37" t="s">
        <v>1038</v>
      </c>
      <c r="D1189" s="93">
        <v>45869</v>
      </c>
      <c r="E1189" s="37" t="s">
        <v>814</v>
      </c>
      <c r="F1189" s="100">
        <f t="shared" si="58"/>
        <v>4.6527777776645962E-2</v>
      </c>
    </row>
    <row r="1190" spans="1:6">
      <c r="A1190" s="37" t="s">
        <v>246</v>
      </c>
      <c r="B1190" s="93">
        <v>45869</v>
      </c>
      <c r="C1190" s="37" t="s">
        <v>437</v>
      </c>
      <c r="D1190" s="93">
        <v>45869</v>
      </c>
      <c r="E1190" s="37" t="s">
        <v>815</v>
      </c>
      <c r="F1190" s="100">
        <f t="shared" si="58"/>
        <v>3.6111111112404615E-2</v>
      </c>
    </row>
    <row r="1191" spans="1:6">
      <c r="A1191" s="37" t="s">
        <v>243</v>
      </c>
      <c r="B1191" s="93">
        <v>45869</v>
      </c>
      <c r="C1191" s="37" t="s">
        <v>499</v>
      </c>
      <c r="D1191" s="93">
        <v>45869</v>
      </c>
      <c r="E1191" s="37" t="s">
        <v>1193</v>
      </c>
      <c r="F1191" s="100">
        <f t="shared" si="58"/>
        <v>2.0138888889050577E-2</v>
      </c>
    </row>
    <row r="1192" spans="1:6">
      <c r="A1192" s="37" t="s">
        <v>240</v>
      </c>
      <c r="B1192" s="93">
        <v>45869</v>
      </c>
      <c r="C1192" s="37" t="s">
        <v>510</v>
      </c>
      <c r="D1192" s="93">
        <v>45869</v>
      </c>
      <c r="E1192" s="37" t="s">
        <v>1194</v>
      </c>
      <c r="F1192" s="100">
        <f t="shared" si="58"/>
        <v>8.3333333386690356E-3</v>
      </c>
    </row>
    <row r="1193" spans="1:6">
      <c r="A1193" s="37" t="s">
        <v>233</v>
      </c>
      <c r="B1193" s="93">
        <v>45869</v>
      </c>
      <c r="C1193" s="37" t="s">
        <v>619</v>
      </c>
      <c r="D1193" s="93">
        <v>45869</v>
      </c>
      <c r="E1193" s="37" t="s">
        <v>682</v>
      </c>
      <c r="F1193" s="100">
        <f t="shared" si="58"/>
        <v>0.32291666666424135</v>
      </c>
    </row>
    <row r="1194" spans="1:6">
      <c r="A1194" s="37" t="s">
        <v>203</v>
      </c>
      <c r="B1194" s="93">
        <v>45869</v>
      </c>
      <c r="C1194" s="37" t="s">
        <v>1175</v>
      </c>
    </row>
    <row r="1195" spans="1:6">
      <c r="A1195" s="37" t="s">
        <v>243</v>
      </c>
      <c r="B1195" s="93">
        <v>45869</v>
      </c>
      <c r="C1195" s="37" t="s">
        <v>562</v>
      </c>
      <c r="D1195" s="93">
        <v>45869</v>
      </c>
      <c r="E1195" s="37" t="s">
        <v>1011</v>
      </c>
      <c r="F1195" s="100">
        <f t="shared" ref="F1195:F1201" si="59">(D1195 + TIME(LEFT(E1195, 2), MID(E1195, 3, 2), 0)) - (B1195 + TIME(LEFT(C1195, 2), MID(C1195, 3, 2), 0))</f>
        <v>9.7222222248092294E-3</v>
      </c>
    </row>
    <row r="1196" spans="1:6">
      <c r="A1196" s="37" t="s">
        <v>246</v>
      </c>
      <c r="B1196" s="93">
        <v>45869</v>
      </c>
      <c r="C1196" s="37" t="s">
        <v>818</v>
      </c>
      <c r="D1196" s="93">
        <v>45869</v>
      </c>
      <c r="E1196" s="37" t="s">
        <v>820</v>
      </c>
      <c r="F1196" s="100">
        <f t="shared" si="59"/>
        <v>1.0416666664241347E-2</v>
      </c>
    </row>
    <row r="1197" spans="1:6">
      <c r="A1197" s="37" t="s">
        <v>227</v>
      </c>
      <c r="B1197" s="93">
        <v>45869</v>
      </c>
      <c r="C1197" s="37" t="s">
        <v>418</v>
      </c>
      <c r="D1197" s="93">
        <v>45869</v>
      </c>
      <c r="E1197" s="37" t="s">
        <v>364</v>
      </c>
      <c r="F1197" s="100">
        <f t="shared" si="59"/>
        <v>1.3888888883229811E-2</v>
      </c>
    </row>
    <row r="1198" spans="1:6">
      <c r="A1198" s="37" t="s">
        <v>230</v>
      </c>
      <c r="B1198" s="93">
        <v>45869</v>
      </c>
      <c r="C1198" s="37" t="s">
        <v>369</v>
      </c>
      <c r="D1198" s="93">
        <v>45869</v>
      </c>
      <c r="E1198" s="37" t="s">
        <v>482</v>
      </c>
      <c r="F1198" s="100">
        <f t="shared" si="59"/>
        <v>1.6666666670062114E-2</v>
      </c>
    </row>
    <row r="1199" spans="1:6">
      <c r="A1199" s="37" t="s">
        <v>243</v>
      </c>
      <c r="B1199" s="93">
        <v>45869</v>
      </c>
      <c r="C1199" s="37" t="s">
        <v>722</v>
      </c>
      <c r="D1199" s="93">
        <v>45869</v>
      </c>
      <c r="E1199" s="37" t="s">
        <v>490</v>
      </c>
      <c r="F1199" s="100">
        <f t="shared" si="59"/>
        <v>5.4861111115314998E-2</v>
      </c>
    </row>
    <row r="1200" spans="1:6">
      <c r="A1200" s="37" t="s">
        <v>246</v>
      </c>
      <c r="B1200" s="93">
        <v>45869</v>
      </c>
      <c r="C1200" s="37" t="s">
        <v>369</v>
      </c>
      <c r="D1200" s="93">
        <v>45869</v>
      </c>
      <c r="E1200" s="37" t="s">
        <v>825</v>
      </c>
      <c r="F1200" s="100">
        <f t="shared" si="59"/>
        <v>5.5555555554747116E-2</v>
      </c>
    </row>
    <row r="1201" spans="1:8">
      <c r="A1201" s="37" t="s">
        <v>240</v>
      </c>
      <c r="B1201" s="93">
        <v>45869</v>
      </c>
      <c r="C1201" s="37" t="s">
        <v>926</v>
      </c>
      <c r="D1201" s="93">
        <v>45869</v>
      </c>
      <c r="E1201" s="37" t="s">
        <v>310</v>
      </c>
      <c r="F1201" s="100">
        <f t="shared" si="59"/>
        <v>5.0694444442342501E-2</v>
      </c>
    </row>
    <row r="1202" spans="1:8">
      <c r="A1202" s="37" t="s">
        <v>251</v>
      </c>
      <c r="B1202" s="93">
        <v>45869</v>
      </c>
      <c r="C1202" s="37" t="s">
        <v>245</v>
      </c>
      <c r="D1202" s="93">
        <v>45869</v>
      </c>
      <c r="E1202" s="37" t="s">
        <v>1195</v>
      </c>
      <c r="F1202" s="100">
        <f>(D1202 + TIME(LEFT(E1202, 2), MID(E1202, 3, 2), 0)) - (B1202 + TIME(LEFT(C1202, 2), MID(C1202, 3, 2), 0))</f>
        <v>0.57708333333721384</v>
      </c>
    </row>
    <row r="1203" spans="1:8">
      <c r="A1203" s="37" t="s">
        <v>326</v>
      </c>
      <c r="B1203" s="93">
        <v>45869</v>
      </c>
      <c r="C1203" s="37" t="s">
        <v>724</v>
      </c>
    </row>
    <row r="1204" spans="1:8">
      <c r="A1204" s="37" t="s">
        <v>254</v>
      </c>
      <c r="B1204" s="93">
        <v>45869</v>
      </c>
      <c r="C1204" s="37" t="s">
        <v>851</v>
      </c>
      <c r="D1204" s="93">
        <v>45869</v>
      </c>
      <c r="E1204" s="37" t="s">
        <v>453</v>
      </c>
      <c r="F1204" s="100">
        <f t="shared" ref="F1204:F1216" si="60">(D1204 + TIME(LEFT(E1204, 2), MID(E1204, 3, 2), 0)) - (B1204 + TIME(LEFT(C1204, 2), MID(C1204, 3, 2), 0))</f>
        <v>0.53472222222626442</v>
      </c>
      <c r="G1204" s="37" t="s">
        <v>9</v>
      </c>
      <c r="H1204" s="94" t="s">
        <v>1196</v>
      </c>
    </row>
    <row r="1205" spans="1:8">
      <c r="A1205" s="37" t="s">
        <v>227</v>
      </c>
      <c r="B1205" s="93">
        <v>45869</v>
      </c>
      <c r="C1205" s="37" t="s">
        <v>250</v>
      </c>
      <c r="D1205" s="93">
        <v>45869</v>
      </c>
      <c r="E1205" s="37" t="s">
        <v>315</v>
      </c>
      <c r="F1205" s="100">
        <f t="shared" si="60"/>
        <v>4.1666666664241347E-2</v>
      </c>
    </row>
    <row r="1206" spans="1:8">
      <c r="A1206" s="37" t="s">
        <v>230</v>
      </c>
      <c r="B1206" s="93">
        <v>45869</v>
      </c>
      <c r="C1206" s="37" t="s">
        <v>304</v>
      </c>
      <c r="D1206" s="93">
        <v>45869</v>
      </c>
      <c r="E1206" s="37" t="s">
        <v>1197</v>
      </c>
      <c r="F1206" s="100">
        <f t="shared" si="60"/>
        <v>0.12222222222044365</v>
      </c>
    </row>
    <row r="1207" spans="1:8">
      <c r="A1207" s="37" t="s">
        <v>297</v>
      </c>
      <c r="B1207" s="93">
        <v>45869</v>
      </c>
      <c r="C1207" s="37" t="s">
        <v>378</v>
      </c>
      <c r="D1207" s="93">
        <v>45869</v>
      </c>
      <c r="E1207" s="37" t="s">
        <v>608</v>
      </c>
      <c r="F1207" s="100">
        <f t="shared" si="60"/>
        <v>1.1111111110949423E-2</v>
      </c>
    </row>
    <row r="1208" spans="1:8">
      <c r="A1208" s="37" t="s">
        <v>312</v>
      </c>
      <c r="B1208" s="93">
        <v>45869</v>
      </c>
      <c r="C1208" s="37" t="s">
        <v>488</v>
      </c>
      <c r="D1208" s="93">
        <v>45869</v>
      </c>
      <c r="E1208" s="37" t="s">
        <v>1198</v>
      </c>
      <c r="F1208" s="100">
        <f t="shared" si="60"/>
        <v>0.50486111111240461</v>
      </c>
    </row>
    <row r="1209" spans="1:8">
      <c r="A1209" s="37" t="s">
        <v>240</v>
      </c>
      <c r="B1209" s="93">
        <v>45869</v>
      </c>
      <c r="C1209" s="37" t="s">
        <v>207</v>
      </c>
      <c r="D1209" s="93">
        <v>45869</v>
      </c>
      <c r="E1209" s="37" t="s">
        <v>1199</v>
      </c>
      <c r="F1209" s="100">
        <f t="shared" si="60"/>
        <v>0.27708333333430346</v>
      </c>
    </row>
    <row r="1210" spans="1:8">
      <c r="A1210" s="37" t="s">
        <v>243</v>
      </c>
      <c r="B1210" s="93">
        <v>45869</v>
      </c>
      <c r="C1210" s="37" t="s">
        <v>1200</v>
      </c>
      <c r="D1210" s="93">
        <v>45869</v>
      </c>
      <c r="E1210" s="37" t="s">
        <v>1201</v>
      </c>
      <c r="F1210" s="100">
        <f t="shared" si="60"/>
        <v>0.28055555555329192</v>
      </c>
    </row>
    <row r="1211" spans="1:8">
      <c r="A1211" s="37" t="s">
        <v>222</v>
      </c>
      <c r="B1211" s="93">
        <v>45869</v>
      </c>
      <c r="C1211" s="37" t="s">
        <v>730</v>
      </c>
    </row>
    <row r="1212" spans="1:8">
      <c r="A1212" s="37" t="s">
        <v>246</v>
      </c>
      <c r="B1212" s="93">
        <v>45869</v>
      </c>
      <c r="C1212" s="37" t="s">
        <v>503</v>
      </c>
      <c r="D1212" s="93">
        <v>45869</v>
      </c>
      <c r="E1212" s="37" t="s">
        <v>1202</v>
      </c>
      <c r="F1212" s="100">
        <f t="shared" si="60"/>
        <v>0.257638888884685</v>
      </c>
    </row>
    <row r="1213" spans="1:8">
      <c r="A1213" s="37" t="s">
        <v>227</v>
      </c>
      <c r="B1213" s="93">
        <v>45869</v>
      </c>
      <c r="C1213" s="37" t="s">
        <v>1203</v>
      </c>
      <c r="D1213" s="93">
        <v>45869</v>
      </c>
      <c r="E1213" s="37" t="s">
        <v>553</v>
      </c>
      <c r="F1213" s="100">
        <f t="shared" si="60"/>
        <v>3.3333333332848269E-2</v>
      </c>
    </row>
    <row r="1214" spans="1:8">
      <c r="A1214" s="37" t="s">
        <v>227</v>
      </c>
      <c r="B1214" s="93">
        <v>45869</v>
      </c>
      <c r="C1214" s="37" t="s">
        <v>321</v>
      </c>
      <c r="D1214" s="93">
        <v>45869</v>
      </c>
      <c r="E1214" s="37" t="s">
        <v>434</v>
      </c>
      <c r="F1214" s="100">
        <f t="shared" si="60"/>
        <v>0.20069444445107365</v>
      </c>
    </row>
    <row r="1215" spans="1:8">
      <c r="A1215" s="37" t="s">
        <v>230</v>
      </c>
      <c r="B1215" s="93">
        <v>45869</v>
      </c>
      <c r="C1215" s="37" t="s">
        <v>577</v>
      </c>
      <c r="D1215" s="93">
        <v>45869</v>
      </c>
      <c r="E1215" s="37" t="s">
        <v>1178</v>
      </c>
      <c r="F1215" s="100">
        <f t="shared" si="60"/>
        <v>0.17847222222189885</v>
      </c>
    </row>
    <row r="1216" spans="1:8">
      <c r="A1216" s="37" t="s">
        <v>297</v>
      </c>
      <c r="B1216" s="93">
        <v>45869</v>
      </c>
      <c r="C1216" s="37" t="s">
        <v>186</v>
      </c>
      <c r="D1216" s="93">
        <v>45869</v>
      </c>
      <c r="E1216" s="37" t="s">
        <v>1204</v>
      </c>
      <c r="F1216" s="100">
        <f t="shared" si="60"/>
        <v>0.15555555555329192</v>
      </c>
    </row>
    <row r="1217" spans="1:6">
      <c r="A1217" s="37" t="s">
        <v>206</v>
      </c>
      <c r="B1217" s="93">
        <v>45869</v>
      </c>
      <c r="C1217" s="37" t="s">
        <v>620</v>
      </c>
    </row>
    <row r="1218" spans="1:6">
      <c r="A1218" s="37" t="s">
        <v>213</v>
      </c>
      <c r="B1218" s="93">
        <v>45869</v>
      </c>
      <c r="C1218" s="37" t="s">
        <v>220</v>
      </c>
    </row>
    <row r="1219" spans="1:6">
      <c r="A1219" s="37" t="s">
        <v>235</v>
      </c>
      <c r="B1219" s="93">
        <v>45869</v>
      </c>
      <c r="C1219" s="37" t="s">
        <v>448</v>
      </c>
      <c r="D1219" s="93">
        <v>45869</v>
      </c>
      <c r="E1219" s="37" t="s">
        <v>1094</v>
      </c>
      <c r="F1219" s="100">
        <f>(D1219 + TIME(LEFT(E1219, 2), MID(E1219, 3, 2), 0)) - (B1219 + TIME(LEFT(C1219, 2), MID(C1219, 3, 2), 0))</f>
        <v>1.1805555550381541E-2</v>
      </c>
    </row>
    <row r="1220" spans="1:6">
      <c r="A1220" s="37" t="s">
        <v>216</v>
      </c>
      <c r="B1220" s="93">
        <v>45869</v>
      </c>
      <c r="C1220" s="37" t="s">
        <v>552</v>
      </c>
      <c r="D1220" s="93">
        <v>45869</v>
      </c>
      <c r="E1220" s="37" t="s">
        <v>1205</v>
      </c>
      <c r="F1220" s="100">
        <f>(D1220 + TIME(LEFT(E1220, 2), MID(E1220, 3, 2), 0)) - (B1220 + TIME(LEFT(C1220, 2), MID(C1220, 3, 2), 0))</f>
        <v>9.4444444446708076E-2</v>
      </c>
    </row>
    <row r="1221" spans="1:6">
      <c r="A1221" s="37" t="s">
        <v>240</v>
      </c>
      <c r="B1221" s="93">
        <v>45869</v>
      </c>
      <c r="C1221" s="37" t="s">
        <v>839</v>
      </c>
      <c r="D1221" s="93">
        <v>45869</v>
      </c>
      <c r="E1221" s="37" t="s">
        <v>826</v>
      </c>
      <c r="F1221" s="100">
        <f>(D1221 + TIME(LEFT(E1221, 2), MID(E1221, 3, 2), 0)) - (B1221 + TIME(LEFT(C1221, 2), MID(C1221, 3, 2), 0))</f>
        <v>5.5555555591126904E-3</v>
      </c>
    </row>
  </sheetData>
  <autoFilter ref="A1:L1221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Q2353"/>
  <sheetViews>
    <sheetView zoomScale="85" zoomScaleNormal="85" workbookViewId="0">
      <pane ySplit="1" topLeftCell="A2323" activePane="bottomLeft" state="frozen"/>
      <selection pane="bottomLeft" activeCell="I2351" sqref="I2351"/>
    </sheetView>
  </sheetViews>
  <sheetFormatPr defaultColWidth="8.85546875" defaultRowHeight="14.4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7.5703125" style="23" bestFit="1" customWidth="1"/>
    <col min="9" max="9" width="14" style="217" bestFit="1" customWidth="1"/>
    <col min="10" max="16384" width="8.85546875" style="22"/>
  </cols>
  <sheetData>
    <row r="1" spans="1:9" ht="15" thickBot="1">
      <c r="A1" s="85" t="s">
        <v>1206</v>
      </c>
      <c r="B1" s="96" t="s">
        <v>1207</v>
      </c>
      <c r="C1" s="97" t="s">
        <v>1208</v>
      </c>
      <c r="D1" s="86" t="s">
        <v>172</v>
      </c>
      <c r="E1" s="87" t="s">
        <v>1209</v>
      </c>
      <c r="F1" s="88" t="s">
        <v>1210</v>
      </c>
      <c r="G1" s="89" t="s">
        <v>1211</v>
      </c>
      <c r="H1" s="81" t="s">
        <v>179</v>
      </c>
      <c r="I1" s="217" t="s">
        <v>1212</v>
      </c>
    </row>
    <row r="2" spans="1:9">
      <c r="A2" s="23">
        <v>1</v>
      </c>
      <c r="B2" s="93">
        <v>45633</v>
      </c>
      <c r="C2" s="37" t="s">
        <v>181</v>
      </c>
      <c r="D2" s="37" t="s">
        <v>180</v>
      </c>
      <c r="G2" s="37" t="s">
        <v>9</v>
      </c>
    </row>
    <row r="3" spans="1:9">
      <c r="A3" s="23">
        <v>2</v>
      </c>
      <c r="B3" s="93">
        <v>45791</v>
      </c>
      <c r="C3" s="37" t="s">
        <v>183</v>
      </c>
      <c r="D3" s="37" t="s">
        <v>182</v>
      </c>
      <c r="G3" s="37" t="s">
        <v>9</v>
      </c>
    </row>
    <row r="4" spans="1:9">
      <c r="A4" s="23">
        <v>3</v>
      </c>
      <c r="B4" s="93">
        <v>45693</v>
      </c>
      <c r="C4" s="37" t="s">
        <v>186</v>
      </c>
      <c r="D4" s="37" t="s">
        <v>185</v>
      </c>
      <c r="G4" s="37" t="s">
        <v>9</v>
      </c>
    </row>
    <row r="5" spans="1:9">
      <c r="A5" s="23">
        <v>4</v>
      </c>
      <c r="B5" s="93">
        <v>45795</v>
      </c>
      <c r="C5" s="37" t="s">
        <v>189</v>
      </c>
      <c r="D5" s="37" t="s">
        <v>188</v>
      </c>
      <c r="G5" s="37" t="s">
        <v>9</v>
      </c>
    </row>
    <row r="6" spans="1:9">
      <c r="A6" s="23">
        <v>5</v>
      </c>
      <c r="B6" s="93">
        <v>45821</v>
      </c>
      <c r="C6" s="37" t="s">
        <v>192</v>
      </c>
      <c r="D6" s="37" t="s">
        <v>191</v>
      </c>
      <c r="G6" s="37">
        <v>0.5</v>
      </c>
    </row>
    <row r="7" spans="1:9">
      <c r="A7" s="23">
        <v>6</v>
      </c>
      <c r="B7" s="93">
        <v>45837</v>
      </c>
      <c r="C7" s="37" t="s">
        <v>195</v>
      </c>
      <c r="D7" s="37" t="s">
        <v>194</v>
      </c>
      <c r="G7" s="37">
        <v>0.5</v>
      </c>
    </row>
    <row r="8" spans="1:9">
      <c r="A8" s="23">
        <v>7</v>
      </c>
      <c r="B8" s="93">
        <v>45837</v>
      </c>
      <c r="C8" s="37" t="s">
        <v>198</v>
      </c>
      <c r="D8" s="37" t="s">
        <v>197</v>
      </c>
      <c r="G8" s="37">
        <v>0.5</v>
      </c>
    </row>
    <row r="9" spans="1:9">
      <c r="A9" s="23">
        <v>8</v>
      </c>
      <c r="B9" s="93">
        <v>45837</v>
      </c>
      <c r="C9" s="37" t="s">
        <v>201</v>
      </c>
      <c r="D9" s="37" t="s">
        <v>200</v>
      </c>
      <c r="G9" s="37">
        <v>0.5</v>
      </c>
    </row>
    <row r="10" spans="1:9">
      <c r="A10" s="23">
        <v>9</v>
      </c>
      <c r="B10" s="93">
        <v>45838</v>
      </c>
      <c r="C10" s="37" t="s">
        <v>204</v>
      </c>
      <c r="D10" s="37" t="s">
        <v>203</v>
      </c>
      <c r="G10" s="37">
        <v>0.5</v>
      </c>
    </row>
    <row r="11" spans="1:9">
      <c r="A11" s="23">
        <v>10</v>
      </c>
      <c r="B11" s="93">
        <v>45838</v>
      </c>
      <c r="C11" s="37" t="s">
        <v>207</v>
      </c>
      <c r="D11" s="37" t="s">
        <v>206</v>
      </c>
      <c r="G11" s="37">
        <v>0.5</v>
      </c>
    </row>
    <row r="12" spans="1:9">
      <c r="A12" s="23">
        <v>11</v>
      </c>
      <c r="B12" s="93">
        <v>45838</v>
      </c>
      <c r="C12" s="37" t="s">
        <v>210</v>
      </c>
      <c r="D12" s="37" t="s">
        <v>209</v>
      </c>
      <c r="G12" s="37" t="s">
        <v>9</v>
      </c>
    </row>
    <row r="13" spans="1:9">
      <c r="A13" s="23">
        <v>12</v>
      </c>
      <c r="B13" s="93">
        <v>45838</v>
      </c>
      <c r="C13" s="37" t="s">
        <v>214</v>
      </c>
      <c r="D13" s="37" t="s">
        <v>213</v>
      </c>
      <c r="G13" s="37">
        <v>0.5</v>
      </c>
    </row>
    <row r="14" spans="1:9">
      <c r="A14" s="23">
        <v>13</v>
      </c>
      <c r="B14" s="93">
        <v>45838</v>
      </c>
      <c r="C14" s="37" t="s">
        <v>217</v>
      </c>
      <c r="D14" s="37" t="s">
        <v>216</v>
      </c>
      <c r="G14" s="37">
        <v>0.5</v>
      </c>
    </row>
    <row r="15" spans="1:9">
      <c r="A15" s="23">
        <v>14</v>
      </c>
      <c r="B15" s="93">
        <v>45838</v>
      </c>
      <c r="C15" s="37" t="s">
        <v>220</v>
      </c>
      <c r="D15" s="37" t="s">
        <v>219</v>
      </c>
      <c r="G15" s="37">
        <v>0.5</v>
      </c>
    </row>
    <row r="16" spans="1:9">
      <c r="A16" s="23">
        <v>16</v>
      </c>
      <c r="B16" s="93">
        <v>45838</v>
      </c>
      <c r="C16" s="23" t="s">
        <v>205</v>
      </c>
      <c r="D16" s="23" t="s">
        <v>203</v>
      </c>
      <c r="G16" s="23">
        <v>0</v>
      </c>
      <c r="I16" s="217" t="s">
        <v>1213</v>
      </c>
    </row>
    <row r="17" spans="1:9">
      <c r="A17" s="23">
        <v>17</v>
      </c>
      <c r="B17" s="84">
        <v>45839</v>
      </c>
      <c r="C17" s="23" t="s">
        <v>223</v>
      </c>
      <c r="D17" s="23" t="s">
        <v>222</v>
      </c>
      <c r="G17" s="23">
        <v>0.51</v>
      </c>
      <c r="I17" s="217" t="s">
        <v>1214</v>
      </c>
    </row>
    <row r="18" spans="1:9">
      <c r="A18" s="23">
        <v>18</v>
      </c>
      <c r="B18" s="84">
        <v>45839</v>
      </c>
      <c r="C18" s="23" t="s">
        <v>218</v>
      </c>
      <c r="D18" s="23" t="s">
        <v>216</v>
      </c>
      <c r="G18" s="23">
        <v>0</v>
      </c>
      <c r="I18" s="217" t="s">
        <v>1215</v>
      </c>
    </row>
    <row r="19" spans="1:9">
      <c r="A19" s="23">
        <v>19</v>
      </c>
      <c r="B19" s="84">
        <v>45839</v>
      </c>
      <c r="C19" s="23" t="s">
        <v>208</v>
      </c>
      <c r="D19" s="23" t="s">
        <v>206</v>
      </c>
      <c r="G19" s="23">
        <v>0</v>
      </c>
      <c r="I19" s="217" t="s">
        <v>1216</v>
      </c>
    </row>
    <row r="20" spans="1:9">
      <c r="A20" s="23">
        <v>20</v>
      </c>
      <c r="B20" s="84">
        <v>45839</v>
      </c>
      <c r="C20" s="23" t="s">
        <v>225</v>
      </c>
      <c r="D20" s="23" t="s">
        <v>203</v>
      </c>
      <c r="G20" s="23">
        <v>1.5</v>
      </c>
      <c r="I20" s="217" t="s">
        <v>1217</v>
      </c>
    </row>
    <row r="21" spans="1:9">
      <c r="A21" s="23">
        <v>21</v>
      </c>
      <c r="B21" s="84">
        <v>45839</v>
      </c>
      <c r="C21" s="23" t="s">
        <v>202</v>
      </c>
      <c r="D21" s="23" t="s">
        <v>200</v>
      </c>
      <c r="G21" s="23">
        <v>0</v>
      </c>
      <c r="I21" s="217" t="s">
        <v>1218</v>
      </c>
    </row>
    <row r="22" spans="1:9">
      <c r="A22" s="23">
        <v>22</v>
      </c>
      <c r="B22" s="84">
        <v>45839</v>
      </c>
      <c r="C22" s="23" t="s">
        <v>228</v>
      </c>
      <c r="D22" s="23" t="s">
        <v>227</v>
      </c>
      <c r="G22" s="23">
        <v>0.8</v>
      </c>
      <c r="I22" s="217" t="s">
        <v>1219</v>
      </c>
    </row>
    <row r="23" spans="1:9">
      <c r="A23" s="23">
        <v>23</v>
      </c>
      <c r="B23" s="84">
        <v>45839</v>
      </c>
      <c r="C23" s="23" t="s">
        <v>231</v>
      </c>
      <c r="D23" s="23" t="s">
        <v>230</v>
      </c>
      <c r="G23" s="23">
        <v>0.8</v>
      </c>
      <c r="I23" s="217" t="s">
        <v>1220</v>
      </c>
    </row>
    <row r="24" spans="1:9">
      <c r="A24" s="23">
        <v>24</v>
      </c>
      <c r="B24" s="84">
        <v>45839</v>
      </c>
      <c r="C24" s="23" t="s">
        <v>211</v>
      </c>
      <c r="D24" s="23" t="s">
        <v>209</v>
      </c>
      <c r="G24" s="23">
        <v>0</v>
      </c>
      <c r="I24" s="217" t="s">
        <v>1221</v>
      </c>
    </row>
    <row r="25" spans="1:9">
      <c r="A25" s="23">
        <v>25</v>
      </c>
      <c r="B25" s="84">
        <v>45839</v>
      </c>
      <c r="C25" s="23" t="s">
        <v>234</v>
      </c>
      <c r="D25" s="23" t="s">
        <v>233</v>
      </c>
      <c r="G25" s="23">
        <v>3.8</v>
      </c>
      <c r="I25" s="217" t="s">
        <v>1222</v>
      </c>
    </row>
    <row r="26" spans="1:9">
      <c r="A26" s="23">
        <v>26</v>
      </c>
      <c r="B26" s="84">
        <v>45839</v>
      </c>
      <c r="C26" s="23" t="s">
        <v>229</v>
      </c>
      <c r="D26" s="23" t="s">
        <v>227</v>
      </c>
      <c r="G26" s="23">
        <v>0</v>
      </c>
      <c r="I26" s="217" t="s">
        <v>1219</v>
      </c>
    </row>
    <row r="27" spans="1:9">
      <c r="A27" s="23">
        <v>27</v>
      </c>
      <c r="B27" s="84">
        <v>45839</v>
      </c>
      <c r="C27" s="23" t="s">
        <v>232</v>
      </c>
      <c r="D27" s="23" t="s">
        <v>230</v>
      </c>
      <c r="G27" s="23">
        <v>0</v>
      </c>
      <c r="I27" s="217" t="s">
        <v>1220</v>
      </c>
    </row>
    <row r="28" spans="1:9">
      <c r="A28" s="23">
        <v>28</v>
      </c>
      <c r="B28" s="84">
        <v>45839</v>
      </c>
      <c r="C28" s="23" t="s">
        <v>236</v>
      </c>
      <c r="D28" s="23" t="s">
        <v>235</v>
      </c>
      <c r="G28" s="23">
        <v>0.74</v>
      </c>
      <c r="I28" s="217" t="s">
        <v>1223</v>
      </c>
    </row>
    <row r="29" spans="1:9">
      <c r="A29" s="23">
        <v>29</v>
      </c>
      <c r="B29" s="84">
        <v>45839</v>
      </c>
      <c r="C29" s="23" t="s">
        <v>215</v>
      </c>
      <c r="D29" s="23" t="s">
        <v>213</v>
      </c>
      <c r="G29" s="23">
        <v>0</v>
      </c>
      <c r="I29" s="217" t="s">
        <v>1224</v>
      </c>
    </row>
    <row r="30" spans="1:9">
      <c r="A30" s="23">
        <v>30</v>
      </c>
      <c r="B30" s="84">
        <v>45839</v>
      </c>
      <c r="C30" s="23" t="s">
        <v>238</v>
      </c>
      <c r="D30" s="23" t="s">
        <v>200</v>
      </c>
      <c r="G30" s="23">
        <v>1.5</v>
      </c>
      <c r="I30" s="217" t="s">
        <v>1225</v>
      </c>
    </row>
    <row r="31" spans="1:9">
      <c r="A31" s="23">
        <v>31</v>
      </c>
      <c r="B31" s="84">
        <v>45839</v>
      </c>
      <c r="C31" s="23" t="s">
        <v>241</v>
      </c>
      <c r="D31" s="23" t="s">
        <v>240</v>
      </c>
      <c r="G31" s="23">
        <v>0.8</v>
      </c>
      <c r="I31" s="217" t="s">
        <v>1226</v>
      </c>
    </row>
    <row r="32" spans="1:9">
      <c r="A32" s="23">
        <v>32</v>
      </c>
      <c r="B32" s="84">
        <v>45839</v>
      </c>
      <c r="C32" s="23" t="s">
        <v>244</v>
      </c>
      <c r="D32" s="23" t="s">
        <v>243</v>
      </c>
      <c r="G32" s="23">
        <v>0.8</v>
      </c>
      <c r="I32" s="217" t="s">
        <v>1227</v>
      </c>
    </row>
    <row r="33" spans="1:9">
      <c r="A33" s="23">
        <v>33</v>
      </c>
      <c r="B33" s="84">
        <v>45839</v>
      </c>
      <c r="C33" s="23" t="s">
        <v>244</v>
      </c>
      <c r="D33" s="23" t="s">
        <v>246</v>
      </c>
      <c r="G33" s="23">
        <v>0.8</v>
      </c>
      <c r="I33" s="217" t="s">
        <v>1228</v>
      </c>
    </row>
    <row r="34" spans="1:9">
      <c r="A34" s="23">
        <v>34</v>
      </c>
      <c r="B34" s="84">
        <v>45839</v>
      </c>
      <c r="C34" s="23" t="s">
        <v>242</v>
      </c>
      <c r="D34" s="23" t="s">
        <v>240</v>
      </c>
      <c r="G34" s="23">
        <v>0</v>
      </c>
      <c r="I34" s="217" t="s">
        <v>1229</v>
      </c>
    </row>
    <row r="35" spans="1:9">
      <c r="A35" s="23">
        <v>35</v>
      </c>
      <c r="B35" s="84">
        <v>45839</v>
      </c>
      <c r="C35" s="23" t="s">
        <v>245</v>
      </c>
      <c r="D35" s="23" t="s">
        <v>243</v>
      </c>
      <c r="G35" s="23">
        <v>0</v>
      </c>
      <c r="I35" s="217" t="s">
        <v>1227</v>
      </c>
    </row>
    <row r="36" spans="1:9">
      <c r="A36" s="23">
        <v>36</v>
      </c>
      <c r="B36" s="84">
        <v>45839</v>
      </c>
      <c r="C36" s="23" t="s">
        <v>247</v>
      </c>
      <c r="D36" s="23" t="s">
        <v>246</v>
      </c>
      <c r="G36" s="23">
        <v>0</v>
      </c>
      <c r="I36" s="217" t="s">
        <v>1228</v>
      </c>
    </row>
    <row r="37" spans="1:9">
      <c r="A37" s="23">
        <v>37</v>
      </c>
      <c r="B37" s="84">
        <v>45839</v>
      </c>
      <c r="C37" s="23" t="s">
        <v>248</v>
      </c>
      <c r="D37" s="23" t="s">
        <v>209</v>
      </c>
      <c r="G37" s="23">
        <v>1</v>
      </c>
      <c r="I37" s="217" t="s">
        <v>1230</v>
      </c>
    </row>
    <row r="38" spans="1:9">
      <c r="A38" s="23">
        <v>38</v>
      </c>
      <c r="B38" s="84">
        <v>45839</v>
      </c>
      <c r="C38" s="23" t="s">
        <v>250</v>
      </c>
      <c r="D38" s="23" t="s">
        <v>216</v>
      </c>
      <c r="G38" s="23">
        <v>0.57999999999999996</v>
      </c>
      <c r="I38" s="217" t="s">
        <v>1231</v>
      </c>
    </row>
    <row r="39" spans="1:9">
      <c r="A39" s="23">
        <v>39</v>
      </c>
      <c r="B39" s="84">
        <v>45839</v>
      </c>
      <c r="C39" s="23" t="s">
        <v>221</v>
      </c>
      <c r="D39" s="23" t="s">
        <v>219</v>
      </c>
      <c r="G39" s="23">
        <v>0</v>
      </c>
      <c r="I39" s="217" t="s">
        <v>1232</v>
      </c>
    </row>
    <row r="40" spans="1:9">
      <c r="A40" s="23">
        <v>40</v>
      </c>
      <c r="B40" s="84">
        <v>45839</v>
      </c>
      <c r="C40" s="23" t="s">
        <v>252</v>
      </c>
      <c r="D40" s="23" t="s">
        <v>251</v>
      </c>
      <c r="G40" s="23">
        <v>1</v>
      </c>
      <c r="I40" s="217" t="s">
        <v>1233</v>
      </c>
    </row>
    <row r="41" spans="1:9">
      <c r="A41" s="23">
        <v>41</v>
      </c>
      <c r="B41" s="84">
        <v>45839</v>
      </c>
      <c r="C41" s="23" t="s">
        <v>255</v>
      </c>
      <c r="D41" s="23" t="s">
        <v>254</v>
      </c>
      <c r="G41" s="23">
        <v>1</v>
      </c>
      <c r="I41" s="217" t="s">
        <v>1234</v>
      </c>
    </row>
    <row r="42" spans="1:9">
      <c r="A42" s="23">
        <v>42</v>
      </c>
      <c r="B42" s="84">
        <v>45839</v>
      </c>
      <c r="C42" s="23" t="s">
        <v>237</v>
      </c>
      <c r="D42" s="23" t="s">
        <v>235</v>
      </c>
      <c r="G42" s="23">
        <v>0</v>
      </c>
      <c r="I42" s="217" t="s">
        <v>1235</v>
      </c>
    </row>
    <row r="43" spans="1:9">
      <c r="A43" s="23">
        <v>43</v>
      </c>
      <c r="B43" s="84">
        <v>45839</v>
      </c>
      <c r="C43" s="23" t="s">
        <v>257</v>
      </c>
      <c r="D43" s="23" t="s">
        <v>235</v>
      </c>
      <c r="G43" s="23">
        <v>0.83</v>
      </c>
      <c r="I43" s="217" t="s">
        <v>1236</v>
      </c>
    </row>
    <row r="44" spans="1:9">
      <c r="A44" s="23">
        <v>44</v>
      </c>
      <c r="B44" s="84">
        <v>45839</v>
      </c>
      <c r="C44" s="23" t="s">
        <v>257</v>
      </c>
      <c r="D44" s="23" t="s">
        <v>213</v>
      </c>
      <c r="G44" s="23">
        <v>0.83</v>
      </c>
      <c r="I44" s="217" t="s">
        <v>1237</v>
      </c>
    </row>
    <row r="45" spans="1:9">
      <c r="A45" s="23">
        <v>45</v>
      </c>
      <c r="B45" s="84">
        <v>45839</v>
      </c>
      <c r="C45" s="23" t="s">
        <v>258</v>
      </c>
      <c r="D45" s="23" t="s">
        <v>235</v>
      </c>
      <c r="G45" s="23">
        <v>0</v>
      </c>
      <c r="I45" s="217" t="s">
        <v>1235</v>
      </c>
    </row>
    <row r="46" spans="1:9">
      <c r="A46" s="23">
        <v>46</v>
      </c>
      <c r="B46" s="84">
        <v>45839</v>
      </c>
      <c r="C46" s="23" t="s">
        <v>259</v>
      </c>
      <c r="D46" s="23" t="s">
        <v>230</v>
      </c>
      <c r="G46" s="23">
        <v>0.8</v>
      </c>
      <c r="I46" s="217" t="s">
        <v>1238</v>
      </c>
    </row>
    <row r="47" spans="1:9">
      <c r="A47" s="23">
        <v>47</v>
      </c>
      <c r="B47" s="84">
        <v>45839</v>
      </c>
      <c r="C47" s="23" t="s">
        <v>261</v>
      </c>
      <c r="D47" s="23" t="s">
        <v>240</v>
      </c>
      <c r="G47" s="23">
        <v>0.7</v>
      </c>
      <c r="I47" s="217" t="s">
        <v>1239</v>
      </c>
    </row>
    <row r="48" spans="1:9">
      <c r="A48" s="23">
        <v>48</v>
      </c>
      <c r="B48" s="84">
        <v>45839</v>
      </c>
      <c r="C48" s="23" t="s">
        <v>263</v>
      </c>
      <c r="D48" s="23" t="s">
        <v>243</v>
      </c>
      <c r="G48" s="23">
        <v>0.8</v>
      </c>
      <c r="I48" s="217" t="s">
        <v>1240</v>
      </c>
    </row>
    <row r="49" spans="1:9">
      <c r="A49" s="23">
        <v>49</v>
      </c>
      <c r="B49" s="84">
        <v>45839</v>
      </c>
      <c r="C49" s="23" t="s">
        <v>265</v>
      </c>
      <c r="D49" s="23" t="s">
        <v>206</v>
      </c>
      <c r="G49" s="23">
        <v>3.8</v>
      </c>
      <c r="I49" s="217" t="s">
        <v>1241</v>
      </c>
    </row>
    <row r="50" spans="1:9">
      <c r="A50" s="23">
        <v>50</v>
      </c>
      <c r="B50" s="84">
        <v>45839</v>
      </c>
      <c r="C50" s="23" t="s">
        <v>193</v>
      </c>
      <c r="D50" s="23" t="s">
        <v>233</v>
      </c>
      <c r="G50" s="23">
        <v>0</v>
      </c>
      <c r="I50" s="217" t="s">
        <v>1242</v>
      </c>
    </row>
    <row r="51" spans="1:9">
      <c r="A51" s="23">
        <v>51</v>
      </c>
      <c r="B51" s="84">
        <v>45839</v>
      </c>
      <c r="C51" s="23" t="s">
        <v>260</v>
      </c>
      <c r="D51" s="23" t="s">
        <v>230</v>
      </c>
      <c r="G51" s="23">
        <v>0</v>
      </c>
      <c r="I51" s="217" t="s">
        <v>1238</v>
      </c>
    </row>
    <row r="52" spans="1:9">
      <c r="A52" s="23">
        <v>52</v>
      </c>
      <c r="B52" s="84">
        <v>45839</v>
      </c>
      <c r="C52" s="23" t="s">
        <v>267</v>
      </c>
      <c r="D52" s="23" t="s">
        <v>246</v>
      </c>
      <c r="G52" s="23">
        <v>0.8</v>
      </c>
      <c r="I52" s="217" t="s">
        <v>1243</v>
      </c>
    </row>
    <row r="53" spans="1:9">
      <c r="A53" s="23">
        <v>53</v>
      </c>
      <c r="B53" s="84">
        <v>45839</v>
      </c>
      <c r="C53" s="23" t="s">
        <v>262</v>
      </c>
      <c r="D53" s="23" t="s">
        <v>240</v>
      </c>
      <c r="G53" s="23">
        <v>0</v>
      </c>
      <c r="I53" s="217" t="s">
        <v>1244</v>
      </c>
    </row>
    <row r="54" spans="1:9">
      <c r="A54" s="23">
        <v>54</v>
      </c>
      <c r="B54" s="84">
        <v>45839</v>
      </c>
      <c r="C54" s="23" t="s">
        <v>264</v>
      </c>
      <c r="D54" s="23" t="s">
        <v>243</v>
      </c>
      <c r="G54" s="23">
        <v>0</v>
      </c>
      <c r="I54" s="217" t="s">
        <v>1245</v>
      </c>
    </row>
    <row r="55" spans="1:9">
      <c r="A55" s="23">
        <v>55</v>
      </c>
      <c r="B55" s="84">
        <v>45839</v>
      </c>
      <c r="C55" s="23" t="s">
        <v>268</v>
      </c>
      <c r="D55" s="23" t="s">
        <v>246</v>
      </c>
      <c r="G55" s="23">
        <v>0</v>
      </c>
      <c r="I55" s="217" t="s">
        <v>1246</v>
      </c>
    </row>
    <row r="56" spans="1:9">
      <c r="A56" s="23">
        <v>56</v>
      </c>
      <c r="B56" s="84">
        <v>45839</v>
      </c>
      <c r="C56" s="23" t="s">
        <v>269</v>
      </c>
      <c r="D56" s="23" t="s">
        <v>219</v>
      </c>
      <c r="G56" s="23">
        <v>0.67</v>
      </c>
      <c r="I56" s="217" t="s">
        <v>1247</v>
      </c>
    </row>
    <row r="57" spans="1:9">
      <c r="A57" s="23">
        <v>57</v>
      </c>
      <c r="B57" s="84">
        <v>45839</v>
      </c>
      <c r="C57" s="23" t="s">
        <v>224</v>
      </c>
      <c r="D57" s="23" t="s">
        <v>222</v>
      </c>
      <c r="G57" s="23">
        <v>0</v>
      </c>
      <c r="I57" s="217" t="s">
        <v>1248</v>
      </c>
    </row>
    <row r="58" spans="1:9">
      <c r="A58" s="23">
        <v>58</v>
      </c>
      <c r="B58" s="84">
        <v>45839</v>
      </c>
      <c r="C58" s="23" t="s">
        <v>226</v>
      </c>
      <c r="D58" s="23" t="s">
        <v>203</v>
      </c>
      <c r="G58" s="23" t="s">
        <v>9</v>
      </c>
      <c r="H58" s="94" t="s">
        <v>272</v>
      </c>
      <c r="I58" s="217" t="s">
        <v>1249</v>
      </c>
    </row>
    <row r="59" spans="1:9">
      <c r="A59" s="23">
        <v>59</v>
      </c>
      <c r="B59" s="84">
        <v>45839</v>
      </c>
      <c r="C59" s="23" t="s">
        <v>256</v>
      </c>
      <c r="D59" s="23" t="s">
        <v>254</v>
      </c>
      <c r="G59" s="23" t="s">
        <v>9</v>
      </c>
      <c r="H59" s="23" t="s">
        <v>274</v>
      </c>
      <c r="I59" s="217" t="s">
        <v>1250</v>
      </c>
    </row>
    <row r="60" spans="1:9">
      <c r="A60" s="23">
        <v>60</v>
      </c>
      <c r="B60" s="84">
        <v>45839</v>
      </c>
      <c r="C60" s="23" t="s">
        <v>256</v>
      </c>
      <c r="D60" s="23" t="s">
        <v>230</v>
      </c>
      <c r="G60" s="23">
        <v>0.8</v>
      </c>
      <c r="I60" s="217" t="s">
        <v>1251</v>
      </c>
    </row>
    <row r="61" spans="1:9">
      <c r="A61" s="23">
        <v>61</v>
      </c>
      <c r="B61" s="84">
        <v>45839</v>
      </c>
      <c r="C61" s="23" t="s">
        <v>275</v>
      </c>
      <c r="D61" s="23" t="s">
        <v>230</v>
      </c>
      <c r="G61" s="23">
        <v>0</v>
      </c>
      <c r="I61" s="217" t="s">
        <v>1251</v>
      </c>
    </row>
    <row r="62" spans="1:9">
      <c r="A62" s="23">
        <v>62</v>
      </c>
      <c r="B62" s="84">
        <v>45839</v>
      </c>
      <c r="C62" s="23" t="s">
        <v>253</v>
      </c>
      <c r="D62" s="23" t="s">
        <v>251</v>
      </c>
      <c r="G62" s="23">
        <v>0</v>
      </c>
      <c r="I62" s="217" t="s">
        <v>1252</v>
      </c>
    </row>
    <row r="63" spans="1:9">
      <c r="A63" s="23">
        <v>63</v>
      </c>
      <c r="B63" s="84">
        <v>45840</v>
      </c>
      <c r="C63" s="23" t="s">
        <v>271</v>
      </c>
      <c r="D63" s="23" t="s">
        <v>203</v>
      </c>
      <c r="G63" s="23">
        <v>0</v>
      </c>
      <c r="I63" s="217" t="s">
        <v>1253</v>
      </c>
    </row>
    <row r="64" spans="1:9">
      <c r="A64" s="23">
        <v>64</v>
      </c>
      <c r="B64" s="84">
        <v>45840</v>
      </c>
      <c r="C64" s="23" t="s">
        <v>271</v>
      </c>
      <c r="D64" s="23" t="s">
        <v>203</v>
      </c>
      <c r="G64" s="23">
        <v>1.5</v>
      </c>
      <c r="I64" s="217" t="s">
        <v>1236</v>
      </c>
    </row>
    <row r="65" spans="1:9">
      <c r="A65" s="23">
        <v>65</v>
      </c>
      <c r="B65" s="84">
        <v>45840</v>
      </c>
      <c r="C65" s="23" t="s">
        <v>249</v>
      </c>
      <c r="D65" s="23" t="s">
        <v>209</v>
      </c>
      <c r="G65" s="23">
        <v>0</v>
      </c>
      <c r="I65" s="217" t="s">
        <v>1254</v>
      </c>
    </row>
    <row r="66" spans="1:9">
      <c r="A66" s="23">
        <v>66</v>
      </c>
      <c r="B66" s="84">
        <v>45840</v>
      </c>
      <c r="C66" s="23" t="s">
        <v>199</v>
      </c>
      <c r="D66" s="23" t="s">
        <v>197</v>
      </c>
      <c r="G66" s="23" t="s">
        <v>9</v>
      </c>
      <c r="H66" s="23" t="s">
        <v>279</v>
      </c>
      <c r="I66" s="217" t="s">
        <v>1255</v>
      </c>
    </row>
    <row r="67" spans="1:9">
      <c r="A67" s="23">
        <v>67</v>
      </c>
      <c r="B67" s="84">
        <v>45840</v>
      </c>
      <c r="C67" s="23" t="s">
        <v>223</v>
      </c>
      <c r="D67" s="23" t="s">
        <v>222</v>
      </c>
      <c r="G67" s="23">
        <v>0.48</v>
      </c>
      <c r="I67" s="217" t="s">
        <v>1256</v>
      </c>
    </row>
    <row r="68" spans="1:9">
      <c r="A68" s="23">
        <v>68</v>
      </c>
      <c r="B68" s="84">
        <v>45840</v>
      </c>
      <c r="C68" s="23" t="s">
        <v>218</v>
      </c>
      <c r="D68" s="23" t="s">
        <v>216</v>
      </c>
      <c r="G68" s="23">
        <v>0</v>
      </c>
      <c r="I68" s="217" t="s">
        <v>1257</v>
      </c>
    </row>
    <row r="69" spans="1:9">
      <c r="A69" s="23">
        <v>69</v>
      </c>
      <c r="B69" s="84">
        <v>45840</v>
      </c>
      <c r="C69" s="23" t="s">
        <v>266</v>
      </c>
      <c r="D69" s="23" t="s">
        <v>206</v>
      </c>
      <c r="G69" s="23">
        <v>0</v>
      </c>
      <c r="I69" s="217" t="s">
        <v>1258</v>
      </c>
    </row>
    <row r="70" spans="1:9">
      <c r="A70" s="23">
        <v>70</v>
      </c>
      <c r="B70" s="84">
        <v>45840</v>
      </c>
      <c r="C70" s="23" t="s">
        <v>278</v>
      </c>
      <c r="D70" s="23" t="s">
        <v>197</v>
      </c>
      <c r="G70" s="23">
        <v>1.5</v>
      </c>
      <c r="I70" s="217" t="s">
        <v>1259</v>
      </c>
    </row>
    <row r="71" spans="1:9">
      <c r="A71" s="23">
        <v>71</v>
      </c>
      <c r="B71" s="84">
        <v>45840</v>
      </c>
      <c r="C71" s="23" t="s">
        <v>239</v>
      </c>
      <c r="D71" s="23" t="s">
        <v>200</v>
      </c>
      <c r="G71" s="23">
        <v>0</v>
      </c>
      <c r="I71" s="217" t="s">
        <v>1260</v>
      </c>
    </row>
    <row r="72" spans="1:9">
      <c r="A72" s="23">
        <v>72</v>
      </c>
      <c r="B72" s="84">
        <v>45840</v>
      </c>
      <c r="C72" s="23" t="s">
        <v>282</v>
      </c>
      <c r="D72" s="23" t="s">
        <v>200</v>
      </c>
      <c r="G72" s="23">
        <v>1.5</v>
      </c>
      <c r="H72" s="23" t="s">
        <v>284</v>
      </c>
      <c r="I72" s="217" t="s">
        <v>1261</v>
      </c>
    </row>
    <row r="73" spans="1:9">
      <c r="A73" s="23">
        <v>73</v>
      </c>
      <c r="B73" s="84">
        <v>45840</v>
      </c>
      <c r="C73" s="23" t="s">
        <v>228</v>
      </c>
      <c r="D73" s="23" t="s">
        <v>233</v>
      </c>
      <c r="G73" s="23">
        <v>1</v>
      </c>
      <c r="I73" s="217" t="s">
        <v>1262</v>
      </c>
    </row>
    <row r="74" spans="1:9">
      <c r="A74" s="23">
        <v>74</v>
      </c>
      <c r="B74" s="84">
        <v>45840</v>
      </c>
      <c r="C74" s="23" t="s">
        <v>286</v>
      </c>
      <c r="D74" s="23" t="s">
        <v>251</v>
      </c>
      <c r="G74" s="23" t="s">
        <v>9</v>
      </c>
      <c r="I74" s="217" t="s">
        <v>1263</v>
      </c>
    </row>
    <row r="75" spans="1:9">
      <c r="A75" s="23">
        <v>75</v>
      </c>
      <c r="B75" s="84">
        <v>45840</v>
      </c>
      <c r="C75" s="23" t="s">
        <v>283</v>
      </c>
      <c r="D75" s="23" t="s">
        <v>200</v>
      </c>
      <c r="G75" s="23">
        <v>0</v>
      </c>
      <c r="I75" s="217" t="s">
        <v>1264</v>
      </c>
    </row>
    <row r="76" spans="1:9">
      <c r="A76" s="23">
        <v>76</v>
      </c>
      <c r="B76" s="84">
        <v>45840</v>
      </c>
      <c r="C76" s="23" t="s">
        <v>236</v>
      </c>
      <c r="D76" s="23" t="s">
        <v>235</v>
      </c>
      <c r="G76" s="23">
        <v>0.72</v>
      </c>
      <c r="I76" s="217" t="s">
        <v>1265</v>
      </c>
    </row>
    <row r="77" spans="1:9">
      <c r="A77" s="23">
        <v>77</v>
      </c>
      <c r="B77" s="84">
        <v>45840</v>
      </c>
      <c r="C77" s="23" t="s">
        <v>215</v>
      </c>
      <c r="D77" s="23" t="s">
        <v>213</v>
      </c>
      <c r="G77" s="23">
        <v>0</v>
      </c>
      <c r="I77" s="217" t="s">
        <v>1266</v>
      </c>
    </row>
    <row r="78" spans="1:9">
      <c r="A78" s="23">
        <v>78</v>
      </c>
      <c r="B78" s="84">
        <v>45840</v>
      </c>
      <c r="C78" s="23" t="s">
        <v>288</v>
      </c>
      <c r="D78" s="23" t="s">
        <v>240</v>
      </c>
      <c r="G78" s="23">
        <v>0.8</v>
      </c>
      <c r="I78" s="217" t="s">
        <v>1267</v>
      </c>
    </row>
    <row r="79" spans="1:9">
      <c r="A79" s="23">
        <v>79</v>
      </c>
      <c r="B79" s="84">
        <v>45840</v>
      </c>
      <c r="C79" s="23" t="s">
        <v>290</v>
      </c>
      <c r="D79" s="23" t="s">
        <v>243</v>
      </c>
      <c r="G79" s="23">
        <v>0.8</v>
      </c>
      <c r="I79" s="217" t="s">
        <v>1268</v>
      </c>
    </row>
    <row r="80" spans="1:9">
      <c r="A80" s="23">
        <v>80</v>
      </c>
      <c r="B80" s="84">
        <v>45840</v>
      </c>
      <c r="C80" s="23" t="s">
        <v>292</v>
      </c>
      <c r="D80" s="23" t="s">
        <v>246</v>
      </c>
      <c r="G80" s="23">
        <v>0.8</v>
      </c>
      <c r="I80" s="217" t="s">
        <v>1269</v>
      </c>
    </row>
    <row r="81" spans="1:9">
      <c r="A81" s="23">
        <v>81</v>
      </c>
      <c r="B81" s="84">
        <v>45840</v>
      </c>
      <c r="C81" s="23" t="s">
        <v>293</v>
      </c>
      <c r="D81" s="23" t="s">
        <v>230</v>
      </c>
      <c r="G81" s="23">
        <v>0.8</v>
      </c>
      <c r="I81" s="217" t="s">
        <v>1270</v>
      </c>
    </row>
    <row r="82" spans="1:9">
      <c r="A82" s="23">
        <v>82</v>
      </c>
      <c r="B82" s="84">
        <v>45840</v>
      </c>
      <c r="C82" s="23" t="s">
        <v>295</v>
      </c>
      <c r="D82" s="23" t="s">
        <v>227</v>
      </c>
      <c r="G82" s="23">
        <v>0.8</v>
      </c>
      <c r="I82" s="217" t="s">
        <v>1271</v>
      </c>
    </row>
    <row r="83" spans="1:9">
      <c r="A83" s="23">
        <v>83</v>
      </c>
      <c r="B83" s="84">
        <v>45840</v>
      </c>
      <c r="C83" s="23" t="s">
        <v>244</v>
      </c>
      <c r="D83" s="23" t="s">
        <v>297</v>
      </c>
      <c r="G83" s="23">
        <v>0.8</v>
      </c>
      <c r="I83" s="217" t="s">
        <v>1272</v>
      </c>
    </row>
    <row r="84" spans="1:9">
      <c r="A84" s="23">
        <v>84</v>
      </c>
      <c r="B84" s="84">
        <v>45840</v>
      </c>
      <c r="C84" s="23" t="s">
        <v>299</v>
      </c>
      <c r="D84" s="23" t="s">
        <v>200</v>
      </c>
      <c r="G84" s="23">
        <v>1</v>
      </c>
      <c r="I84" s="217" t="s">
        <v>1273</v>
      </c>
    </row>
    <row r="85" spans="1:9">
      <c r="A85" s="23">
        <v>85</v>
      </c>
      <c r="B85" s="84">
        <v>45840</v>
      </c>
      <c r="C85" s="23" t="s">
        <v>245</v>
      </c>
      <c r="D85" s="23" t="s">
        <v>209</v>
      </c>
      <c r="G85" s="23">
        <v>1</v>
      </c>
      <c r="I85" s="217" t="s">
        <v>1274</v>
      </c>
    </row>
    <row r="86" spans="1:9">
      <c r="A86" s="23">
        <v>86</v>
      </c>
      <c r="B86" s="84">
        <v>45840</v>
      </c>
      <c r="C86" s="23" t="s">
        <v>298</v>
      </c>
      <c r="D86" s="23" t="s">
        <v>297</v>
      </c>
      <c r="G86" s="23">
        <v>0</v>
      </c>
      <c r="I86" s="217" t="s">
        <v>1272</v>
      </c>
    </row>
    <row r="87" spans="1:9">
      <c r="A87" s="23">
        <v>87</v>
      </c>
      <c r="B87" s="84">
        <v>45840</v>
      </c>
      <c r="C87" s="23" t="s">
        <v>289</v>
      </c>
      <c r="D87" s="23" t="s">
        <v>240</v>
      </c>
      <c r="G87" s="23">
        <v>0</v>
      </c>
      <c r="I87" s="217" t="s">
        <v>1275</v>
      </c>
    </row>
    <row r="88" spans="1:9">
      <c r="A88" s="23">
        <v>88</v>
      </c>
      <c r="B88" s="84">
        <v>45840</v>
      </c>
      <c r="C88" s="23" t="s">
        <v>291</v>
      </c>
      <c r="D88" s="23" t="s">
        <v>243</v>
      </c>
      <c r="G88" s="23">
        <v>0</v>
      </c>
      <c r="I88" s="217" t="s">
        <v>1276</v>
      </c>
    </row>
    <row r="89" spans="1:9">
      <c r="A89" s="23">
        <v>89</v>
      </c>
      <c r="B89" s="84">
        <v>45840</v>
      </c>
      <c r="C89" s="23" t="s">
        <v>291</v>
      </c>
      <c r="D89" s="23" t="s">
        <v>246</v>
      </c>
      <c r="G89" s="23">
        <v>0</v>
      </c>
      <c r="I89" s="217" t="s">
        <v>1277</v>
      </c>
    </row>
    <row r="90" spans="1:9">
      <c r="A90" s="23">
        <v>90</v>
      </c>
      <c r="B90" s="84">
        <v>45840</v>
      </c>
      <c r="C90" s="23" t="s">
        <v>296</v>
      </c>
      <c r="D90" s="23" t="s">
        <v>227</v>
      </c>
      <c r="G90" s="23">
        <v>0</v>
      </c>
      <c r="I90" s="217" t="s">
        <v>1271</v>
      </c>
    </row>
    <row r="91" spans="1:9">
      <c r="A91" s="23">
        <v>91</v>
      </c>
      <c r="B91" s="84">
        <v>45840</v>
      </c>
      <c r="C91" s="23" t="s">
        <v>294</v>
      </c>
      <c r="D91" s="23" t="s">
        <v>230</v>
      </c>
      <c r="G91" s="23">
        <v>0</v>
      </c>
      <c r="I91" s="217" t="s">
        <v>1278</v>
      </c>
    </row>
    <row r="92" spans="1:9">
      <c r="A92" s="23">
        <v>92</v>
      </c>
      <c r="B92" s="84">
        <v>45840</v>
      </c>
      <c r="C92" s="23" t="s">
        <v>273</v>
      </c>
      <c r="D92" s="23" t="s">
        <v>254</v>
      </c>
      <c r="G92" s="23">
        <v>0</v>
      </c>
      <c r="I92" s="217" t="s">
        <v>1279</v>
      </c>
    </row>
    <row r="93" spans="1:9">
      <c r="A93" s="23">
        <v>93</v>
      </c>
      <c r="B93" s="84">
        <v>45840</v>
      </c>
      <c r="C93" s="23" t="s">
        <v>273</v>
      </c>
      <c r="D93" s="23" t="s">
        <v>254</v>
      </c>
      <c r="G93" s="23">
        <v>0.5</v>
      </c>
      <c r="I93" s="217" t="s">
        <v>1236</v>
      </c>
    </row>
    <row r="94" spans="1:9">
      <c r="A94" s="23">
        <v>94</v>
      </c>
      <c r="B94" s="84">
        <v>45840</v>
      </c>
      <c r="C94" s="23" t="s">
        <v>250</v>
      </c>
      <c r="D94" s="23" t="s">
        <v>240</v>
      </c>
      <c r="G94" s="23">
        <v>0.8</v>
      </c>
      <c r="I94" s="217" t="s">
        <v>1280</v>
      </c>
    </row>
    <row r="95" spans="1:9">
      <c r="A95" s="23">
        <v>95</v>
      </c>
      <c r="B95" s="84">
        <v>45840</v>
      </c>
      <c r="C95" s="23" t="s">
        <v>304</v>
      </c>
      <c r="D95" s="23" t="s">
        <v>243</v>
      </c>
      <c r="G95" s="23">
        <v>0.8</v>
      </c>
      <c r="I95" s="217" t="s">
        <v>1281</v>
      </c>
    </row>
    <row r="96" spans="1:9">
      <c r="A96" s="23">
        <v>96</v>
      </c>
      <c r="B96" s="84">
        <v>45840</v>
      </c>
      <c r="C96" s="23" t="s">
        <v>306</v>
      </c>
      <c r="D96" s="23" t="s">
        <v>246</v>
      </c>
      <c r="G96" s="23">
        <v>0.8</v>
      </c>
      <c r="I96" s="217" t="s">
        <v>1282</v>
      </c>
    </row>
    <row r="97" spans="1:9">
      <c r="A97" s="23">
        <v>97</v>
      </c>
      <c r="B97" s="84">
        <v>45840</v>
      </c>
      <c r="C97" s="23" t="s">
        <v>308</v>
      </c>
      <c r="D97" s="23" t="s">
        <v>230</v>
      </c>
      <c r="G97" s="23">
        <v>0.8</v>
      </c>
      <c r="I97" s="217" t="s">
        <v>1283</v>
      </c>
    </row>
    <row r="98" spans="1:9">
      <c r="A98" s="23">
        <v>98</v>
      </c>
      <c r="B98" s="84">
        <v>45840</v>
      </c>
      <c r="C98" s="23" t="s">
        <v>310</v>
      </c>
      <c r="D98" s="23" t="s">
        <v>227</v>
      </c>
      <c r="G98" s="23">
        <v>0.8</v>
      </c>
      <c r="I98" s="217" t="s">
        <v>1284</v>
      </c>
    </row>
    <row r="99" spans="1:9">
      <c r="A99" s="23">
        <v>99</v>
      </c>
      <c r="B99" s="84">
        <v>45840</v>
      </c>
      <c r="C99" s="23" t="s">
        <v>313</v>
      </c>
      <c r="D99" s="23" t="s">
        <v>312</v>
      </c>
      <c r="G99" s="23">
        <v>1</v>
      </c>
      <c r="I99" s="217" t="s">
        <v>1285</v>
      </c>
    </row>
    <row r="100" spans="1:9">
      <c r="A100" s="23">
        <v>100</v>
      </c>
      <c r="B100" s="84">
        <v>45840</v>
      </c>
      <c r="C100" s="23" t="s">
        <v>303</v>
      </c>
      <c r="D100" s="23" t="s">
        <v>240</v>
      </c>
      <c r="G100" s="23">
        <v>0</v>
      </c>
      <c r="I100" s="217" t="s">
        <v>1280</v>
      </c>
    </row>
    <row r="101" spans="1:9">
      <c r="A101" s="23">
        <v>101</v>
      </c>
      <c r="B101" s="84">
        <v>45840</v>
      </c>
      <c r="C101" s="23" t="s">
        <v>305</v>
      </c>
      <c r="D101" s="23" t="s">
        <v>243</v>
      </c>
      <c r="G101" s="23">
        <v>0</v>
      </c>
      <c r="I101" s="217" t="s">
        <v>1281</v>
      </c>
    </row>
    <row r="102" spans="1:9">
      <c r="A102" s="23">
        <v>102</v>
      </c>
      <c r="B102" s="84">
        <v>45840</v>
      </c>
      <c r="C102" s="23" t="s">
        <v>307</v>
      </c>
      <c r="D102" s="23" t="s">
        <v>246</v>
      </c>
      <c r="G102" s="23">
        <v>0</v>
      </c>
      <c r="I102" s="217" t="s">
        <v>1282</v>
      </c>
    </row>
    <row r="103" spans="1:9">
      <c r="A103" s="23">
        <v>103</v>
      </c>
      <c r="B103" s="84">
        <v>45840</v>
      </c>
      <c r="C103" s="23" t="s">
        <v>315</v>
      </c>
      <c r="D103" s="23" t="s">
        <v>216</v>
      </c>
      <c r="G103" s="23">
        <v>0.69</v>
      </c>
      <c r="I103" s="217" t="s">
        <v>1286</v>
      </c>
    </row>
    <row r="104" spans="1:9">
      <c r="A104" s="23">
        <v>104</v>
      </c>
      <c r="B104" s="84">
        <v>45840</v>
      </c>
      <c r="C104" s="23" t="s">
        <v>270</v>
      </c>
      <c r="D104" s="23" t="s">
        <v>219</v>
      </c>
      <c r="G104" s="23">
        <v>0</v>
      </c>
      <c r="I104" s="217" t="s">
        <v>1287</v>
      </c>
    </row>
    <row r="105" spans="1:9">
      <c r="A105" s="23">
        <v>105</v>
      </c>
      <c r="B105" s="84">
        <v>45840</v>
      </c>
      <c r="C105" s="23" t="s">
        <v>316</v>
      </c>
      <c r="D105" s="23" t="s">
        <v>240</v>
      </c>
      <c r="G105" s="23">
        <v>0.8</v>
      </c>
      <c r="I105" s="217" t="s">
        <v>1288</v>
      </c>
    </row>
    <row r="106" spans="1:9">
      <c r="A106" s="23">
        <v>106</v>
      </c>
      <c r="B106" s="84">
        <v>45840</v>
      </c>
      <c r="C106" s="23" t="s">
        <v>317</v>
      </c>
      <c r="D106" s="23" t="s">
        <v>243</v>
      </c>
      <c r="G106" s="23">
        <v>0.8</v>
      </c>
      <c r="I106" s="217" t="s">
        <v>1289</v>
      </c>
    </row>
    <row r="107" spans="1:9">
      <c r="A107" s="23">
        <v>107</v>
      </c>
      <c r="B107" s="84">
        <v>45840</v>
      </c>
      <c r="C107" s="23" t="s">
        <v>319</v>
      </c>
      <c r="D107" s="23" t="s">
        <v>246</v>
      </c>
      <c r="G107" s="23">
        <v>0.8</v>
      </c>
      <c r="I107" s="217" t="s">
        <v>1290</v>
      </c>
    </row>
    <row r="108" spans="1:9">
      <c r="A108" s="23">
        <v>108</v>
      </c>
      <c r="B108" s="84">
        <v>45840</v>
      </c>
      <c r="C108" s="23" t="s">
        <v>311</v>
      </c>
      <c r="D108" s="23" t="s">
        <v>227</v>
      </c>
      <c r="G108" s="23">
        <v>0</v>
      </c>
      <c r="I108" s="217" t="s">
        <v>1291</v>
      </c>
    </row>
    <row r="109" spans="1:9">
      <c r="A109" s="23">
        <v>109</v>
      </c>
      <c r="B109" s="84">
        <v>45840</v>
      </c>
      <c r="C109" s="23" t="s">
        <v>287</v>
      </c>
      <c r="D109" s="23" t="s">
        <v>297</v>
      </c>
      <c r="G109" s="23">
        <v>0.8</v>
      </c>
      <c r="I109" s="217" t="s">
        <v>1292</v>
      </c>
    </row>
    <row r="110" spans="1:9">
      <c r="A110" s="23">
        <v>110</v>
      </c>
      <c r="B110" s="84">
        <v>45840</v>
      </c>
      <c r="C110" s="23" t="s">
        <v>322</v>
      </c>
      <c r="D110" s="23" t="s">
        <v>227</v>
      </c>
      <c r="G110" s="23" t="s">
        <v>9</v>
      </c>
      <c r="H110" s="94" t="s">
        <v>323</v>
      </c>
      <c r="I110" s="217" t="s">
        <v>1293</v>
      </c>
    </row>
    <row r="111" spans="1:9">
      <c r="A111" s="23">
        <v>111</v>
      </c>
      <c r="B111" s="84">
        <v>45840</v>
      </c>
      <c r="C111" s="23" t="s">
        <v>309</v>
      </c>
      <c r="D111" s="23" t="s">
        <v>230</v>
      </c>
      <c r="G111" s="23">
        <v>0</v>
      </c>
      <c r="I111" s="217" t="s">
        <v>1294</v>
      </c>
    </row>
    <row r="112" spans="1:9">
      <c r="A112" s="23">
        <v>112</v>
      </c>
      <c r="B112" s="84">
        <v>45840</v>
      </c>
      <c r="C112" s="23" t="s">
        <v>237</v>
      </c>
      <c r="D112" s="23" t="s">
        <v>240</v>
      </c>
      <c r="G112" s="23">
        <v>0</v>
      </c>
      <c r="I112" s="217" t="s">
        <v>1295</v>
      </c>
    </row>
    <row r="113" spans="1:9">
      <c r="A113" s="23">
        <v>113</v>
      </c>
      <c r="B113" s="84">
        <v>45840</v>
      </c>
      <c r="C113" s="23" t="s">
        <v>321</v>
      </c>
      <c r="D113" s="23" t="s">
        <v>297</v>
      </c>
      <c r="G113" s="23">
        <v>0</v>
      </c>
      <c r="I113" s="217" t="s">
        <v>1296</v>
      </c>
    </row>
    <row r="114" spans="1:9">
      <c r="A114" s="23">
        <v>114</v>
      </c>
      <c r="B114" s="84">
        <v>45840</v>
      </c>
      <c r="C114" s="23" t="s">
        <v>318</v>
      </c>
      <c r="D114" s="23" t="s">
        <v>243</v>
      </c>
      <c r="G114" s="23">
        <v>0</v>
      </c>
      <c r="I114" s="217" t="s">
        <v>1297</v>
      </c>
    </row>
    <row r="115" spans="1:9">
      <c r="A115" s="23">
        <v>115</v>
      </c>
      <c r="B115" s="84">
        <v>45840</v>
      </c>
      <c r="C115" s="23" t="s">
        <v>320</v>
      </c>
      <c r="D115" s="23" t="s">
        <v>246</v>
      </c>
      <c r="G115" s="23">
        <v>0</v>
      </c>
      <c r="I115" s="217" t="s">
        <v>1298</v>
      </c>
    </row>
    <row r="116" spans="1:9">
      <c r="A116" s="23">
        <v>116</v>
      </c>
      <c r="B116" s="84">
        <v>45840</v>
      </c>
      <c r="C116" s="23" t="s">
        <v>324</v>
      </c>
      <c r="D116" s="23" t="s">
        <v>230</v>
      </c>
      <c r="G116" s="23">
        <v>0.8</v>
      </c>
      <c r="I116" s="217" t="s">
        <v>1299</v>
      </c>
    </row>
    <row r="117" spans="1:9">
      <c r="A117" s="23">
        <v>117</v>
      </c>
      <c r="B117" s="84">
        <v>45840</v>
      </c>
      <c r="C117" s="23" t="s">
        <v>327</v>
      </c>
      <c r="D117" s="23" t="s">
        <v>326</v>
      </c>
      <c r="G117" s="23">
        <v>2</v>
      </c>
      <c r="I117" s="217" t="s">
        <v>1300</v>
      </c>
    </row>
    <row r="118" spans="1:9">
      <c r="A118" s="23">
        <v>118</v>
      </c>
      <c r="B118" s="84">
        <v>45840</v>
      </c>
      <c r="C118" s="23" t="s">
        <v>325</v>
      </c>
      <c r="D118" s="23" t="s">
        <v>230</v>
      </c>
      <c r="G118" s="23">
        <v>0</v>
      </c>
      <c r="I118" s="217" t="s">
        <v>1301</v>
      </c>
    </row>
    <row r="119" spans="1:9">
      <c r="A119" s="23">
        <v>119</v>
      </c>
      <c r="B119" s="84">
        <v>45840</v>
      </c>
      <c r="C119" s="23" t="s">
        <v>328</v>
      </c>
      <c r="D119" s="23" t="s">
        <v>326</v>
      </c>
      <c r="G119" s="23" t="s">
        <v>9</v>
      </c>
      <c r="H119" s="23" t="s">
        <v>329</v>
      </c>
      <c r="I119" s="217" t="s">
        <v>1302</v>
      </c>
    </row>
    <row r="120" spans="1:9">
      <c r="A120" s="23">
        <v>120</v>
      </c>
      <c r="B120" s="84">
        <v>45840</v>
      </c>
      <c r="C120" s="23" t="s">
        <v>314</v>
      </c>
      <c r="D120" s="23" t="s">
        <v>312</v>
      </c>
      <c r="G120" s="23">
        <v>0</v>
      </c>
      <c r="I120" s="217" t="s">
        <v>1303</v>
      </c>
    </row>
    <row r="121" spans="1:9">
      <c r="A121" s="23">
        <v>121</v>
      </c>
      <c r="B121" s="84">
        <v>45840</v>
      </c>
      <c r="C121" s="23" t="s">
        <v>330</v>
      </c>
      <c r="D121" s="23" t="s">
        <v>326</v>
      </c>
      <c r="G121" s="23">
        <v>1</v>
      </c>
      <c r="I121" s="217" t="s">
        <v>1304</v>
      </c>
    </row>
    <row r="122" spans="1:9">
      <c r="A122" s="23">
        <v>122</v>
      </c>
      <c r="B122" s="84">
        <v>45840</v>
      </c>
      <c r="C122" s="23" t="s">
        <v>220</v>
      </c>
      <c r="D122" s="23" t="s">
        <v>213</v>
      </c>
      <c r="G122" s="23">
        <v>0.87</v>
      </c>
      <c r="I122" s="217" t="s">
        <v>1305</v>
      </c>
    </row>
    <row r="123" spans="1:9">
      <c r="A123" s="23">
        <v>123</v>
      </c>
      <c r="B123" s="84">
        <v>45840</v>
      </c>
      <c r="C123" s="23" t="s">
        <v>277</v>
      </c>
      <c r="D123" s="23" t="s">
        <v>235</v>
      </c>
      <c r="G123" s="23">
        <v>0</v>
      </c>
      <c r="I123" s="217" t="s">
        <v>1306</v>
      </c>
    </row>
    <row r="124" spans="1:9">
      <c r="A124" s="23">
        <v>124</v>
      </c>
      <c r="B124" s="84">
        <v>45840</v>
      </c>
      <c r="C124" s="23" t="s">
        <v>220</v>
      </c>
      <c r="D124" s="23" t="s">
        <v>219</v>
      </c>
      <c r="G124" s="23">
        <v>1</v>
      </c>
      <c r="I124" s="217" t="s">
        <v>1307</v>
      </c>
    </row>
    <row r="125" spans="1:9">
      <c r="A125" s="23">
        <v>125</v>
      </c>
      <c r="B125" s="84">
        <v>45840</v>
      </c>
      <c r="C125" s="23" t="s">
        <v>277</v>
      </c>
      <c r="D125" s="23" t="s">
        <v>222</v>
      </c>
      <c r="G125" s="23">
        <v>0</v>
      </c>
      <c r="I125" s="217" t="s">
        <v>1308</v>
      </c>
    </row>
    <row r="126" spans="1:9">
      <c r="A126" s="23">
        <v>126</v>
      </c>
      <c r="B126" s="84">
        <v>45840</v>
      </c>
      <c r="C126" s="23" t="s">
        <v>332</v>
      </c>
      <c r="D126" s="23" t="s">
        <v>206</v>
      </c>
      <c r="G126" s="23">
        <v>1</v>
      </c>
      <c r="I126" s="217" t="s">
        <v>1309</v>
      </c>
    </row>
    <row r="127" spans="1:9">
      <c r="A127" s="23">
        <v>127</v>
      </c>
      <c r="B127" s="84">
        <v>45840</v>
      </c>
      <c r="C127" s="23" t="s">
        <v>285</v>
      </c>
      <c r="D127" s="23" t="s">
        <v>233</v>
      </c>
      <c r="G127" s="23">
        <v>0</v>
      </c>
      <c r="I127" s="217" t="s">
        <v>1310</v>
      </c>
    </row>
    <row r="128" spans="1:9">
      <c r="A128" s="23">
        <v>128</v>
      </c>
      <c r="B128" s="84">
        <v>45840</v>
      </c>
      <c r="C128" s="23" t="s">
        <v>302</v>
      </c>
      <c r="D128" s="23" t="s">
        <v>254</v>
      </c>
      <c r="G128" s="23">
        <v>0</v>
      </c>
      <c r="I128" s="217" t="s">
        <v>1311</v>
      </c>
    </row>
    <row r="129" spans="1:9">
      <c r="A129" s="23">
        <v>129</v>
      </c>
      <c r="B129" s="84">
        <v>45840</v>
      </c>
      <c r="C129" s="23" t="s">
        <v>280</v>
      </c>
      <c r="D129" s="23" t="s">
        <v>197</v>
      </c>
      <c r="G129" s="23">
        <v>0</v>
      </c>
      <c r="H129" s="23" t="s">
        <v>335</v>
      </c>
      <c r="I129" s="217" t="s">
        <v>1312</v>
      </c>
    </row>
    <row r="130" spans="1:9">
      <c r="A130" s="23">
        <v>130</v>
      </c>
      <c r="B130" s="84">
        <v>45840</v>
      </c>
      <c r="C130" s="23" t="s">
        <v>334</v>
      </c>
      <c r="D130" s="23" t="s">
        <v>197</v>
      </c>
      <c r="G130" s="23">
        <v>1.5</v>
      </c>
      <c r="H130" s="23" t="s">
        <v>335</v>
      </c>
      <c r="I130" s="217" t="s">
        <v>1236</v>
      </c>
    </row>
    <row r="131" spans="1:9">
      <c r="A131" s="23">
        <v>131</v>
      </c>
      <c r="B131" s="84">
        <v>45840</v>
      </c>
      <c r="C131" s="23" t="s">
        <v>239</v>
      </c>
      <c r="D131" s="23" t="s">
        <v>197</v>
      </c>
      <c r="G131" s="23">
        <v>0</v>
      </c>
      <c r="I131" s="217" t="s">
        <v>1312</v>
      </c>
    </row>
    <row r="132" spans="1:9">
      <c r="A132" s="23">
        <v>132</v>
      </c>
      <c r="B132" s="84">
        <v>45840</v>
      </c>
      <c r="C132" s="23" t="s">
        <v>239</v>
      </c>
      <c r="D132" s="23" t="s">
        <v>197</v>
      </c>
      <c r="G132" s="23">
        <v>1.5</v>
      </c>
      <c r="H132" s="23" t="s">
        <v>337</v>
      </c>
      <c r="I132" s="217" t="s">
        <v>1236</v>
      </c>
    </row>
    <row r="133" spans="1:9">
      <c r="A133" s="23">
        <v>133</v>
      </c>
      <c r="B133" s="84">
        <v>45840</v>
      </c>
      <c r="C133" s="23" t="s">
        <v>331</v>
      </c>
      <c r="D133" s="23" t="s">
        <v>326</v>
      </c>
      <c r="G133" s="23">
        <v>0</v>
      </c>
      <c r="I133" s="217" t="s">
        <v>1313</v>
      </c>
    </row>
    <row r="134" spans="1:9">
      <c r="A134" s="23">
        <v>134</v>
      </c>
      <c r="B134" s="84">
        <v>45840</v>
      </c>
      <c r="C134" s="23" t="s">
        <v>331</v>
      </c>
      <c r="D134" s="23" t="s">
        <v>326</v>
      </c>
      <c r="G134" s="23" t="s">
        <v>9</v>
      </c>
      <c r="I134" s="217" t="s">
        <v>1236</v>
      </c>
    </row>
    <row r="135" spans="1:9">
      <c r="A135" s="23">
        <v>135</v>
      </c>
      <c r="B135" s="84">
        <v>45840</v>
      </c>
      <c r="C135" s="23" t="s">
        <v>196</v>
      </c>
      <c r="D135" s="23" t="s">
        <v>194</v>
      </c>
      <c r="G135" s="23">
        <v>0</v>
      </c>
      <c r="I135" s="217" t="s">
        <v>1314</v>
      </c>
    </row>
    <row r="136" spans="1:9">
      <c r="A136" s="23">
        <v>136</v>
      </c>
      <c r="B136" s="84">
        <v>45840</v>
      </c>
      <c r="C136" s="23" t="s">
        <v>300</v>
      </c>
      <c r="D136" s="23" t="s">
        <v>200</v>
      </c>
      <c r="G136" s="23">
        <v>0</v>
      </c>
      <c r="I136" s="217" t="s">
        <v>1315</v>
      </c>
    </row>
    <row r="137" spans="1:9">
      <c r="A137" s="23">
        <v>137</v>
      </c>
      <c r="B137" s="84">
        <v>45840</v>
      </c>
      <c r="C137" s="23" t="s">
        <v>300</v>
      </c>
      <c r="D137" s="23" t="s">
        <v>200</v>
      </c>
      <c r="G137" s="23" t="s">
        <v>9</v>
      </c>
      <c r="H137" s="23" t="s">
        <v>341</v>
      </c>
      <c r="I137" s="217" t="s">
        <v>1236</v>
      </c>
    </row>
    <row r="138" spans="1:9">
      <c r="A138" s="23">
        <v>138</v>
      </c>
      <c r="B138" s="84">
        <v>45840</v>
      </c>
      <c r="C138" s="23" t="s">
        <v>196</v>
      </c>
      <c r="D138" s="23" t="s">
        <v>227</v>
      </c>
      <c r="G138" s="23">
        <v>0</v>
      </c>
      <c r="I138" s="217" t="s">
        <v>1316</v>
      </c>
    </row>
    <row r="139" spans="1:9">
      <c r="A139" s="23">
        <v>139</v>
      </c>
      <c r="B139" s="84">
        <v>45840</v>
      </c>
      <c r="C139" s="23" t="s">
        <v>196</v>
      </c>
      <c r="D139" s="23" t="s">
        <v>240</v>
      </c>
      <c r="G139" s="23">
        <v>0.8</v>
      </c>
      <c r="I139" s="217" t="s">
        <v>1317</v>
      </c>
    </row>
    <row r="140" spans="1:9">
      <c r="A140" s="23">
        <v>140</v>
      </c>
      <c r="B140" s="84">
        <v>45840</v>
      </c>
      <c r="C140" s="23" t="s">
        <v>196</v>
      </c>
      <c r="D140" s="23" t="s">
        <v>227</v>
      </c>
      <c r="G140" s="23">
        <v>0.8</v>
      </c>
      <c r="I140" s="217" t="s">
        <v>1236</v>
      </c>
    </row>
    <row r="141" spans="1:9">
      <c r="A141" s="23">
        <v>141</v>
      </c>
      <c r="B141" s="84">
        <v>45840</v>
      </c>
      <c r="C141" s="23" t="s">
        <v>196</v>
      </c>
      <c r="D141" s="23" t="s">
        <v>243</v>
      </c>
      <c r="G141" s="23">
        <v>0.8</v>
      </c>
      <c r="I141" s="217" t="s">
        <v>1318</v>
      </c>
    </row>
    <row r="142" spans="1:9">
      <c r="A142" s="23">
        <v>142</v>
      </c>
      <c r="B142" s="84">
        <v>45840</v>
      </c>
      <c r="C142" s="23" t="s">
        <v>196</v>
      </c>
      <c r="D142" s="23" t="s">
        <v>230</v>
      </c>
      <c r="G142" s="23">
        <v>0.8</v>
      </c>
      <c r="I142" s="217" t="s">
        <v>1319</v>
      </c>
    </row>
    <row r="143" spans="1:9">
      <c r="A143" s="23">
        <v>143</v>
      </c>
      <c r="B143" s="84">
        <v>45840</v>
      </c>
      <c r="C143" s="23" t="s">
        <v>196</v>
      </c>
      <c r="D143" s="23" t="s">
        <v>246</v>
      </c>
      <c r="G143" s="23">
        <v>0.8</v>
      </c>
      <c r="I143" s="217" t="s">
        <v>1320</v>
      </c>
    </row>
    <row r="144" spans="1:9">
      <c r="A144" s="23">
        <v>144</v>
      </c>
      <c r="B144" s="84">
        <v>45840</v>
      </c>
      <c r="C144" s="23" t="s">
        <v>345</v>
      </c>
      <c r="D144" s="23" t="s">
        <v>233</v>
      </c>
      <c r="G144" s="23">
        <v>1.5</v>
      </c>
      <c r="I144" s="217" t="s">
        <v>1321</v>
      </c>
    </row>
    <row r="145" spans="1:9">
      <c r="A145" s="23">
        <v>145</v>
      </c>
      <c r="B145" s="84">
        <v>45840</v>
      </c>
      <c r="C145" s="23" t="s">
        <v>196</v>
      </c>
      <c r="D145" s="23" t="s">
        <v>194</v>
      </c>
      <c r="G145" s="23" t="s">
        <v>9</v>
      </c>
      <c r="H145" s="94" t="s">
        <v>348</v>
      </c>
      <c r="I145" s="217" t="s">
        <v>1236</v>
      </c>
    </row>
    <row r="146" spans="1:9">
      <c r="A146" s="23">
        <v>146</v>
      </c>
      <c r="B146" s="84">
        <v>45840</v>
      </c>
      <c r="C146" s="23" t="s">
        <v>343</v>
      </c>
      <c r="D146" s="23" t="s">
        <v>243</v>
      </c>
      <c r="G146" s="23">
        <v>0</v>
      </c>
      <c r="I146" s="217" t="s">
        <v>1318</v>
      </c>
    </row>
    <row r="147" spans="1:9">
      <c r="A147" s="23">
        <v>147</v>
      </c>
      <c r="B147" s="84">
        <v>45840</v>
      </c>
      <c r="C147" s="23" t="s">
        <v>343</v>
      </c>
      <c r="D147" s="23" t="s">
        <v>227</v>
      </c>
      <c r="G147" s="23">
        <v>0</v>
      </c>
      <c r="I147" s="217" t="s">
        <v>1316</v>
      </c>
    </row>
    <row r="148" spans="1:9">
      <c r="A148" s="23">
        <v>148</v>
      </c>
      <c r="B148" s="84">
        <v>45840</v>
      </c>
      <c r="C148" s="23" t="s">
        <v>342</v>
      </c>
      <c r="D148" s="23" t="s">
        <v>240</v>
      </c>
      <c r="G148" s="23">
        <v>0</v>
      </c>
      <c r="I148" s="217" t="s">
        <v>1317</v>
      </c>
    </row>
    <row r="149" spans="1:9">
      <c r="A149" s="23">
        <v>149</v>
      </c>
      <c r="B149" s="84">
        <v>45840</v>
      </c>
      <c r="C149" s="23" t="s">
        <v>342</v>
      </c>
      <c r="D149" s="23" t="s">
        <v>230</v>
      </c>
      <c r="G149" s="23">
        <v>0</v>
      </c>
      <c r="I149" s="217" t="s">
        <v>1319</v>
      </c>
    </row>
    <row r="150" spans="1:9">
      <c r="A150" s="23">
        <v>150</v>
      </c>
      <c r="B150" s="84">
        <v>45840</v>
      </c>
      <c r="C150" s="23" t="s">
        <v>344</v>
      </c>
      <c r="D150" s="23" t="s">
        <v>246</v>
      </c>
      <c r="G150" s="23">
        <v>0</v>
      </c>
      <c r="I150" s="217" t="s">
        <v>1320</v>
      </c>
    </row>
    <row r="151" spans="1:9">
      <c r="A151" s="23">
        <v>151</v>
      </c>
      <c r="B151" s="84">
        <v>45841</v>
      </c>
      <c r="C151" s="23" t="s">
        <v>223</v>
      </c>
      <c r="D151" s="23" t="s">
        <v>222</v>
      </c>
      <c r="G151" s="23">
        <v>0.495</v>
      </c>
      <c r="I151" s="217" t="s">
        <v>1322</v>
      </c>
    </row>
    <row r="152" spans="1:9">
      <c r="A152" s="23">
        <v>152</v>
      </c>
      <c r="B152" s="84">
        <v>45841</v>
      </c>
      <c r="C152" s="23" t="s">
        <v>218</v>
      </c>
      <c r="D152" s="23" t="s">
        <v>216</v>
      </c>
      <c r="G152" s="23">
        <v>0</v>
      </c>
      <c r="I152" s="217" t="s">
        <v>1323</v>
      </c>
    </row>
    <row r="153" spans="1:9">
      <c r="A153" s="23">
        <v>153</v>
      </c>
      <c r="B153" s="84">
        <v>45841</v>
      </c>
      <c r="C153" s="23" t="s">
        <v>301</v>
      </c>
      <c r="D153" s="23" t="s">
        <v>209</v>
      </c>
      <c r="G153" s="23">
        <v>0</v>
      </c>
      <c r="I153" s="217" t="s">
        <v>1324</v>
      </c>
    </row>
    <row r="154" spans="1:9">
      <c r="A154" s="23">
        <v>154</v>
      </c>
      <c r="B154" s="84">
        <v>45841</v>
      </c>
      <c r="C154" s="23" t="s">
        <v>347</v>
      </c>
      <c r="D154" s="23" t="s">
        <v>194</v>
      </c>
      <c r="G154" s="23">
        <v>0</v>
      </c>
      <c r="I154" s="217" t="s">
        <v>1325</v>
      </c>
    </row>
    <row r="155" spans="1:9">
      <c r="A155" s="23">
        <v>155</v>
      </c>
      <c r="B155" s="84">
        <v>45841</v>
      </c>
      <c r="C155" s="23" t="s">
        <v>347</v>
      </c>
      <c r="D155" s="23" t="s">
        <v>194</v>
      </c>
      <c r="G155" s="23">
        <v>1.5</v>
      </c>
      <c r="I155" s="217" t="s">
        <v>1236</v>
      </c>
    </row>
    <row r="156" spans="1:9">
      <c r="A156" s="23">
        <v>156</v>
      </c>
      <c r="B156" s="84">
        <v>45841</v>
      </c>
      <c r="C156" s="23" t="s">
        <v>351</v>
      </c>
      <c r="D156" s="23" t="s">
        <v>227</v>
      </c>
      <c r="G156" s="23">
        <v>0.8</v>
      </c>
      <c r="I156" s="217" t="s">
        <v>1326</v>
      </c>
    </row>
    <row r="157" spans="1:9">
      <c r="A157" s="23">
        <v>157</v>
      </c>
      <c r="B157" s="84">
        <v>45841</v>
      </c>
      <c r="C157" s="23" t="s">
        <v>352</v>
      </c>
      <c r="D157" s="23" t="s">
        <v>230</v>
      </c>
      <c r="G157" s="23">
        <v>0.8</v>
      </c>
      <c r="I157" s="217" t="s">
        <v>1327</v>
      </c>
    </row>
    <row r="158" spans="1:9">
      <c r="A158" s="23">
        <v>158</v>
      </c>
      <c r="B158" s="84">
        <v>45841</v>
      </c>
      <c r="C158" s="23" t="s">
        <v>354</v>
      </c>
      <c r="D158" s="23" t="s">
        <v>240</v>
      </c>
      <c r="G158" s="23">
        <v>0.8</v>
      </c>
      <c r="I158" s="217" t="s">
        <v>1328</v>
      </c>
    </row>
    <row r="159" spans="1:9">
      <c r="A159" s="23">
        <v>159</v>
      </c>
      <c r="B159" s="84">
        <v>45841</v>
      </c>
      <c r="C159" s="23" t="s">
        <v>355</v>
      </c>
      <c r="D159" s="23" t="s">
        <v>209</v>
      </c>
      <c r="G159" s="23">
        <v>1</v>
      </c>
      <c r="I159" s="217" t="s">
        <v>1329</v>
      </c>
    </row>
    <row r="160" spans="1:9">
      <c r="A160" s="23">
        <v>160</v>
      </c>
      <c r="B160" s="84">
        <v>45841</v>
      </c>
      <c r="C160" s="23" t="s">
        <v>236</v>
      </c>
      <c r="D160" s="23" t="s">
        <v>227</v>
      </c>
      <c r="G160" s="23">
        <v>0</v>
      </c>
      <c r="I160" s="217" t="s">
        <v>1330</v>
      </c>
    </row>
    <row r="161" spans="1:9">
      <c r="A161" s="23">
        <v>161</v>
      </c>
      <c r="B161" s="84">
        <v>45841</v>
      </c>
      <c r="C161" s="23" t="s">
        <v>236</v>
      </c>
      <c r="D161" s="23" t="s">
        <v>216</v>
      </c>
      <c r="G161" s="23">
        <v>0.59</v>
      </c>
      <c r="I161" s="217" t="s">
        <v>1331</v>
      </c>
    </row>
    <row r="162" spans="1:9">
      <c r="A162" s="23">
        <v>162</v>
      </c>
      <c r="B162" s="84">
        <v>45841</v>
      </c>
      <c r="C162" s="23" t="s">
        <v>215</v>
      </c>
      <c r="D162" s="23" t="s">
        <v>219</v>
      </c>
      <c r="G162" s="23">
        <v>0</v>
      </c>
      <c r="I162" s="217" t="s">
        <v>1332</v>
      </c>
    </row>
    <row r="163" spans="1:9">
      <c r="A163" s="23">
        <v>163</v>
      </c>
      <c r="B163" s="84">
        <v>45841</v>
      </c>
      <c r="C163" s="23" t="s">
        <v>340</v>
      </c>
      <c r="D163" s="23" t="s">
        <v>200</v>
      </c>
      <c r="G163" s="23">
        <v>1</v>
      </c>
      <c r="I163" s="217" t="s">
        <v>1333</v>
      </c>
    </row>
    <row r="164" spans="1:9">
      <c r="A164" s="23">
        <v>164</v>
      </c>
      <c r="B164" s="84">
        <v>45841</v>
      </c>
      <c r="C164" s="23" t="s">
        <v>357</v>
      </c>
      <c r="D164" s="23" t="s">
        <v>200</v>
      </c>
      <c r="G164" s="23">
        <v>0</v>
      </c>
      <c r="I164" s="217" t="s">
        <v>1333</v>
      </c>
    </row>
    <row r="165" spans="1:9">
      <c r="A165" s="23">
        <v>165</v>
      </c>
      <c r="B165" s="84">
        <v>45841</v>
      </c>
      <c r="C165" s="23" t="s">
        <v>353</v>
      </c>
      <c r="D165" s="23" t="s">
        <v>240</v>
      </c>
      <c r="G165" s="23">
        <v>0</v>
      </c>
      <c r="I165" s="217" t="s">
        <v>1334</v>
      </c>
    </row>
    <row r="166" spans="1:9">
      <c r="A166" s="23">
        <v>166</v>
      </c>
      <c r="B166" s="84">
        <v>45841</v>
      </c>
      <c r="C166" s="23" t="s">
        <v>353</v>
      </c>
      <c r="D166" s="23" t="s">
        <v>230</v>
      </c>
      <c r="G166" s="23">
        <v>0</v>
      </c>
      <c r="I166" s="217" t="s">
        <v>1335</v>
      </c>
    </row>
    <row r="167" spans="1:9">
      <c r="A167" s="23">
        <v>167</v>
      </c>
      <c r="B167" s="84">
        <v>45841</v>
      </c>
      <c r="C167" s="23" t="s">
        <v>350</v>
      </c>
      <c r="D167" s="23" t="s">
        <v>194</v>
      </c>
      <c r="G167" s="23">
        <v>0</v>
      </c>
      <c r="I167" s="217" t="s">
        <v>1336</v>
      </c>
    </row>
    <row r="168" spans="1:9">
      <c r="A168" s="23">
        <v>168</v>
      </c>
      <c r="B168" s="84">
        <v>45841</v>
      </c>
      <c r="C168" s="23" t="s">
        <v>236</v>
      </c>
      <c r="D168" s="23" t="s">
        <v>213</v>
      </c>
      <c r="G168" s="23">
        <v>0</v>
      </c>
      <c r="I168" s="217" t="s">
        <v>1337</v>
      </c>
    </row>
    <row r="169" spans="1:9">
      <c r="A169" s="23">
        <v>169</v>
      </c>
      <c r="B169" s="84">
        <v>45841</v>
      </c>
      <c r="C169" s="23" t="s">
        <v>349</v>
      </c>
      <c r="D169" s="23" t="s">
        <v>222</v>
      </c>
      <c r="G169" s="23">
        <v>0</v>
      </c>
      <c r="I169" s="217" t="s">
        <v>1338</v>
      </c>
    </row>
    <row r="170" spans="1:9">
      <c r="A170" s="23">
        <v>170</v>
      </c>
      <c r="B170" s="84">
        <v>45841</v>
      </c>
      <c r="C170" s="23" t="s">
        <v>349</v>
      </c>
      <c r="D170" s="23" t="s">
        <v>216</v>
      </c>
      <c r="G170" s="23">
        <v>0</v>
      </c>
      <c r="I170" s="217" t="s">
        <v>1331</v>
      </c>
    </row>
    <row r="171" spans="1:9">
      <c r="A171" s="23">
        <v>171</v>
      </c>
      <c r="B171" s="84">
        <v>45841</v>
      </c>
      <c r="C171" s="23" t="s">
        <v>350</v>
      </c>
      <c r="D171" s="23" t="s">
        <v>194</v>
      </c>
      <c r="G171" s="23" t="s">
        <v>9</v>
      </c>
      <c r="I171" s="217" t="s">
        <v>1236</v>
      </c>
    </row>
    <row r="172" spans="1:9">
      <c r="A172" s="23">
        <v>172</v>
      </c>
      <c r="B172" s="84">
        <v>45841</v>
      </c>
      <c r="C172" s="23" t="s">
        <v>361</v>
      </c>
      <c r="D172" s="23" t="s">
        <v>235</v>
      </c>
      <c r="G172" s="23">
        <v>0.8</v>
      </c>
      <c r="I172" s="217" t="s">
        <v>1339</v>
      </c>
    </row>
    <row r="173" spans="1:9">
      <c r="A173" s="23">
        <v>173</v>
      </c>
      <c r="B173" s="84">
        <v>45841</v>
      </c>
      <c r="C173" s="23" t="s">
        <v>336</v>
      </c>
      <c r="D173" s="23" t="s">
        <v>197</v>
      </c>
      <c r="G173" s="23">
        <v>0</v>
      </c>
      <c r="I173" s="217" t="s">
        <v>1340</v>
      </c>
    </row>
    <row r="174" spans="1:9">
      <c r="A174" s="23">
        <v>174</v>
      </c>
      <c r="B174" s="84">
        <v>45841</v>
      </c>
      <c r="C174" s="23" t="s">
        <v>290</v>
      </c>
      <c r="D174" s="23" t="s">
        <v>243</v>
      </c>
      <c r="G174" s="23">
        <v>0.8</v>
      </c>
      <c r="I174" s="217" t="s">
        <v>1341</v>
      </c>
    </row>
    <row r="175" spans="1:9">
      <c r="A175" s="23">
        <v>175</v>
      </c>
      <c r="B175" s="84">
        <v>45841</v>
      </c>
      <c r="C175" s="23" t="s">
        <v>241</v>
      </c>
      <c r="D175" s="23" t="s">
        <v>246</v>
      </c>
      <c r="G175" s="23">
        <v>0.8</v>
      </c>
      <c r="I175" s="217" t="s">
        <v>1342</v>
      </c>
    </row>
    <row r="176" spans="1:9">
      <c r="A176" s="23">
        <v>176</v>
      </c>
      <c r="B176" s="84">
        <v>45841</v>
      </c>
      <c r="C176" s="23" t="s">
        <v>365</v>
      </c>
      <c r="D176" s="23" t="s">
        <v>227</v>
      </c>
      <c r="G176" s="23">
        <v>0.8</v>
      </c>
      <c r="I176" s="217" t="s">
        <v>1343</v>
      </c>
    </row>
    <row r="177" spans="1:9">
      <c r="A177" s="23">
        <v>177</v>
      </c>
      <c r="B177" s="84">
        <v>45841</v>
      </c>
      <c r="C177" s="23" t="s">
        <v>293</v>
      </c>
      <c r="D177" s="23" t="s">
        <v>222</v>
      </c>
      <c r="G177" s="23">
        <v>0.59</v>
      </c>
      <c r="I177" s="217" t="s">
        <v>1344</v>
      </c>
    </row>
    <row r="178" spans="1:9">
      <c r="A178" s="23">
        <v>178</v>
      </c>
      <c r="B178" s="84">
        <v>45841</v>
      </c>
      <c r="C178" s="23" t="s">
        <v>293</v>
      </c>
      <c r="D178" s="23" t="s">
        <v>216</v>
      </c>
      <c r="G178" s="23">
        <v>0.59</v>
      </c>
      <c r="I178" s="217" t="s">
        <v>1345</v>
      </c>
    </row>
    <row r="179" spans="1:9">
      <c r="A179" s="23">
        <v>179</v>
      </c>
      <c r="B179" s="84">
        <v>45841</v>
      </c>
      <c r="C179" s="23" t="s">
        <v>295</v>
      </c>
      <c r="D179" s="23" t="s">
        <v>254</v>
      </c>
      <c r="G179" s="23">
        <v>1</v>
      </c>
      <c r="I179" s="217" t="s">
        <v>1346</v>
      </c>
    </row>
    <row r="180" spans="1:9">
      <c r="A180" s="23">
        <v>180</v>
      </c>
      <c r="B180" s="84">
        <v>45841</v>
      </c>
      <c r="C180" s="23" t="s">
        <v>369</v>
      </c>
      <c r="D180" s="23" t="s">
        <v>240</v>
      </c>
      <c r="G180" s="23">
        <v>0.76</v>
      </c>
      <c r="I180" s="217" t="s">
        <v>1347</v>
      </c>
    </row>
    <row r="181" spans="1:9">
      <c r="A181" s="23">
        <v>181</v>
      </c>
      <c r="B181" s="84">
        <v>45841</v>
      </c>
      <c r="C181" s="23" t="s">
        <v>369</v>
      </c>
      <c r="D181" s="23" t="s">
        <v>230</v>
      </c>
      <c r="G181" s="23">
        <v>0.76666666666666661</v>
      </c>
      <c r="I181" s="217" t="s">
        <v>1348</v>
      </c>
    </row>
    <row r="182" spans="1:9">
      <c r="A182" s="23">
        <v>182</v>
      </c>
      <c r="B182" s="84">
        <v>45841</v>
      </c>
      <c r="C182" s="23" t="s">
        <v>371</v>
      </c>
      <c r="D182" s="23" t="s">
        <v>200</v>
      </c>
      <c r="G182" s="23">
        <v>2.2999999999999998</v>
      </c>
      <c r="I182" s="217" t="s">
        <v>1236</v>
      </c>
    </row>
    <row r="183" spans="1:9">
      <c r="A183" s="23">
        <v>183</v>
      </c>
      <c r="B183" s="84">
        <v>45841</v>
      </c>
      <c r="C183" s="23" t="s">
        <v>372</v>
      </c>
      <c r="D183" s="23" t="s">
        <v>200</v>
      </c>
      <c r="G183" s="23">
        <v>0</v>
      </c>
      <c r="H183" s="23" t="s">
        <v>427</v>
      </c>
      <c r="I183" s="217" t="s">
        <v>1333</v>
      </c>
    </row>
    <row r="184" spans="1:9">
      <c r="A184" s="23">
        <v>184</v>
      </c>
      <c r="B184" s="84">
        <v>45841</v>
      </c>
      <c r="C184" s="23" t="s">
        <v>372</v>
      </c>
      <c r="D184" s="23" t="s">
        <v>200</v>
      </c>
      <c r="G184" s="23">
        <v>2.2999999999999998</v>
      </c>
      <c r="H184" s="23" t="s">
        <v>337</v>
      </c>
      <c r="I184" s="217" t="s">
        <v>1236</v>
      </c>
    </row>
    <row r="185" spans="1:9">
      <c r="A185" s="23">
        <v>185</v>
      </c>
      <c r="B185" s="84">
        <v>45841</v>
      </c>
      <c r="C185" s="23" t="s">
        <v>298</v>
      </c>
      <c r="D185" s="23" t="s">
        <v>197</v>
      </c>
      <c r="G185" s="23">
        <v>1.5</v>
      </c>
      <c r="I185" s="217" t="s">
        <v>1349</v>
      </c>
    </row>
    <row r="186" spans="1:9">
      <c r="A186" s="23">
        <v>186</v>
      </c>
      <c r="B186" s="84">
        <v>45841</v>
      </c>
      <c r="C186" s="23" t="s">
        <v>363</v>
      </c>
      <c r="D186" s="23" t="s">
        <v>243</v>
      </c>
      <c r="G186" s="23">
        <v>0</v>
      </c>
      <c r="I186" s="217" t="s">
        <v>1350</v>
      </c>
    </row>
    <row r="187" spans="1:9">
      <c r="A187" s="23">
        <v>187</v>
      </c>
      <c r="B187" s="84">
        <v>45841</v>
      </c>
      <c r="C187" s="23" t="s">
        <v>364</v>
      </c>
      <c r="D187" s="23" t="s">
        <v>246</v>
      </c>
      <c r="G187" s="23">
        <v>0</v>
      </c>
      <c r="I187" s="217" t="s">
        <v>1351</v>
      </c>
    </row>
    <row r="188" spans="1:9">
      <c r="A188" s="23">
        <v>188</v>
      </c>
      <c r="B188" s="84">
        <v>45841</v>
      </c>
      <c r="C188" s="23" t="s">
        <v>373</v>
      </c>
      <c r="D188" s="23" t="s">
        <v>243</v>
      </c>
      <c r="G188" s="23">
        <v>0.76666666666666661</v>
      </c>
      <c r="I188" s="217" t="s">
        <v>1236</v>
      </c>
    </row>
    <row r="189" spans="1:9">
      <c r="A189" s="23">
        <v>189</v>
      </c>
      <c r="B189" s="84">
        <v>45841</v>
      </c>
      <c r="C189" s="23" t="s">
        <v>375</v>
      </c>
      <c r="D189" s="23" t="s">
        <v>246</v>
      </c>
      <c r="G189" s="23">
        <v>0.76666666666666661</v>
      </c>
      <c r="I189" s="217" t="s">
        <v>1236</v>
      </c>
    </row>
    <row r="190" spans="1:9">
      <c r="A190" s="23">
        <v>190</v>
      </c>
      <c r="B190" s="84">
        <v>45841</v>
      </c>
      <c r="C190" s="23" t="s">
        <v>377</v>
      </c>
      <c r="D190" s="23" t="s">
        <v>297</v>
      </c>
      <c r="G190" s="23">
        <v>0.76666666666666661</v>
      </c>
      <c r="I190" s="217" t="s">
        <v>1352</v>
      </c>
    </row>
    <row r="191" spans="1:9">
      <c r="A191" s="23">
        <v>191</v>
      </c>
      <c r="B191" s="84">
        <v>45841</v>
      </c>
      <c r="C191" s="23" t="s">
        <v>359</v>
      </c>
      <c r="D191" s="23" t="s">
        <v>194</v>
      </c>
      <c r="G191" s="23">
        <v>0</v>
      </c>
      <c r="H191" s="23" t="s">
        <v>9</v>
      </c>
      <c r="I191" s="217" t="s">
        <v>1353</v>
      </c>
    </row>
    <row r="192" spans="1:9">
      <c r="A192" s="23">
        <v>192</v>
      </c>
      <c r="B192" s="84">
        <v>45841</v>
      </c>
      <c r="C192" s="23" t="s">
        <v>359</v>
      </c>
      <c r="D192" s="23" t="s">
        <v>194</v>
      </c>
      <c r="G192" s="23">
        <v>1</v>
      </c>
      <c r="H192" s="23" t="s">
        <v>427</v>
      </c>
      <c r="I192" s="217" t="s">
        <v>1236</v>
      </c>
    </row>
    <row r="193" spans="1:9">
      <c r="A193" s="23">
        <v>193</v>
      </c>
      <c r="B193" s="84">
        <v>45841</v>
      </c>
      <c r="C193" s="23" t="s">
        <v>366</v>
      </c>
      <c r="D193" s="23" t="s">
        <v>297</v>
      </c>
      <c r="G193" s="23">
        <v>0</v>
      </c>
      <c r="I193" s="217" t="s">
        <v>1352</v>
      </c>
    </row>
    <row r="194" spans="1:9">
      <c r="A194" s="23">
        <v>194</v>
      </c>
      <c r="B194" s="84">
        <v>45841</v>
      </c>
      <c r="C194" s="23" t="s">
        <v>366</v>
      </c>
      <c r="D194" s="23" t="s">
        <v>227</v>
      </c>
      <c r="G194" s="23">
        <v>0</v>
      </c>
      <c r="I194" s="217" t="s">
        <v>1354</v>
      </c>
    </row>
    <row r="195" spans="1:9">
      <c r="A195" s="23">
        <v>195</v>
      </c>
      <c r="B195" s="84">
        <v>45841</v>
      </c>
      <c r="C195" s="23" t="s">
        <v>370</v>
      </c>
      <c r="D195" s="23" t="s">
        <v>240</v>
      </c>
      <c r="G195" s="23">
        <v>0</v>
      </c>
      <c r="I195" s="217" t="s">
        <v>1355</v>
      </c>
    </row>
    <row r="196" spans="1:9">
      <c r="A196" s="23">
        <v>196</v>
      </c>
      <c r="B196" s="84">
        <v>45841</v>
      </c>
      <c r="C196" s="23" t="s">
        <v>370</v>
      </c>
      <c r="D196" s="23" t="s">
        <v>230</v>
      </c>
      <c r="G196" s="23">
        <v>0</v>
      </c>
      <c r="I196" s="217" t="s">
        <v>1356</v>
      </c>
    </row>
    <row r="197" spans="1:9">
      <c r="A197" s="23">
        <v>197</v>
      </c>
      <c r="B197" s="84">
        <v>45841</v>
      </c>
      <c r="C197" s="23" t="s">
        <v>378</v>
      </c>
      <c r="D197" s="23" t="s">
        <v>194</v>
      </c>
      <c r="G197" s="23">
        <v>0</v>
      </c>
      <c r="H197" s="23" t="s">
        <v>427</v>
      </c>
      <c r="I197" s="217" t="s">
        <v>1357</v>
      </c>
    </row>
    <row r="198" spans="1:9">
      <c r="A198" s="23">
        <v>198</v>
      </c>
      <c r="B198" s="84">
        <v>45841</v>
      </c>
      <c r="C198" s="23" t="s">
        <v>378</v>
      </c>
      <c r="D198" s="23" t="s">
        <v>194</v>
      </c>
      <c r="G198" s="23">
        <v>1</v>
      </c>
      <c r="H198" s="23" t="s">
        <v>337</v>
      </c>
      <c r="I198" s="217" t="s">
        <v>1236</v>
      </c>
    </row>
    <row r="199" spans="1:9">
      <c r="A199" s="23">
        <v>199</v>
      </c>
      <c r="B199" s="84">
        <v>45841</v>
      </c>
      <c r="C199" s="23" t="s">
        <v>346</v>
      </c>
      <c r="D199" s="23" t="s">
        <v>233</v>
      </c>
      <c r="G199" s="23">
        <v>0</v>
      </c>
      <c r="I199" s="217" t="s">
        <v>1358</v>
      </c>
    </row>
    <row r="200" spans="1:9">
      <c r="A200" s="23">
        <v>200</v>
      </c>
      <c r="B200" s="84">
        <v>45841</v>
      </c>
      <c r="C200" s="23" t="s">
        <v>381</v>
      </c>
      <c r="D200" s="23" t="s">
        <v>227</v>
      </c>
      <c r="G200" s="23">
        <v>0.8</v>
      </c>
      <c r="I200" s="217" t="s">
        <v>1359</v>
      </c>
    </row>
    <row r="201" spans="1:9">
      <c r="A201" s="23">
        <v>201</v>
      </c>
      <c r="B201" s="84">
        <v>45841</v>
      </c>
      <c r="C201" s="23" t="s">
        <v>307</v>
      </c>
      <c r="D201" s="23" t="s">
        <v>230</v>
      </c>
      <c r="G201" s="23">
        <v>0.8</v>
      </c>
      <c r="I201" s="217" t="s">
        <v>1236</v>
      </c>
    </row>
    <row r="202" spans="1:9">
      <c r="A202" s="23">
        <v>202</v>
      </c>
      <c r="B202" s="84">
        <v>45841</v>
      </c>
      <c r="C202" s="23" t="s">
        <v>383</v>
      </c>
      <c r="D202" s="23" t="s">
        <v>240</v>
      </c>
      <c r="G202" s="23">
        <v>0.8</v>
      </c>
      <c r="I202" s="217" t="s">
        <v>1360</v>
      </c>
    </row>
    <row r="203" spans="1:9">
      <c r="A203" s="23">
        <v>203</v>
      </c>
      <c r="B203" s="84">
        <v>45841</v>
      </c>
      <c r="C203" s="23" t="s">
        <v>385</v>
      </c>
      <c r="D203" s="23" t="s">
        <v>312</v>
      </c>
      <c r="G203" s="23">
        <v>0.8</v>
      </c>
      <c r="I203" s="217" t="s">
        <v>1361</v>
      </c>
    </row>
    <row r="204" spans="1:9">
      <c r="A204" s="23">
        <v>204</v>
      </c>
      <c r="B204" s="84">
        <v>45841</v>
      </c>
      <c r="C204" s="23" t="s">
        <v>374</v>
      </c>
      <c r="D204" s="23" t="s">
        <v>243</v>
      </c>
      <c r="G204" s="23">
        <v>0</v>
      </c>
      <c r="I204" s="217" t="s">
        <v>1362</v>
      </c>
    </row>
    <row r="205" spans="1:9">
      <c r="A205" s="23">
        <v>205</v>
      </c>
      <c r="B205" s="84">
        <v>45841</v>
      </c>
      <c r="C205" s="23" t="s">
        <v>376</v>
      </c>
      <c r="D205" s="23" t="s">
        <v>246</v>
      </c>
      <c r="G205" s="23">
        <v>0</v>
      </c>
      <c r="I205" s="217" t="s">
        <v>1363</v>
      </c>
    </row>
    <row r="206" spans="1:9">
      <c r="A206" s="23">
        <v>206</v>
      </c>
      <c r="B206" s="84">
        <v>45841</v>
      </c>
      <c r="C206" s="23" t="s">
        <v>382</v>
      </c>
      <c r="D206" s="23" t="s">
        <v>227</v>
      </c>
      <c r="G206" s="23">
        <v>0</v>
      </c>
      <c r="I206" s="217" t="s">
        <v>1364</v>
      </c>
    </row>
    <row r="207" spans="1:9">
      <c r="A207" s="23">
        <v>207</v>
      </c>
      <c r="B207" s="84">
        <v>45841</v>
      </c>
      <c r="C207" s="23" t="s">
        <v>387</v>
      </c>
      <c r="D207" s="23" t="s">
        <v>230</v>
      </c>
      <c r="G207" s="23">
        <v>0</v>
      </c>
      <c r="I207" s="217" t="s">
        <v>1365</v>
      </c>
    </row>
    <row r="208" spans="1:9">
      <c r="A208" s="23">
        <v>208</v>
      </c>
      <c r="B208" s="84">
        <v>45841</v>
      </c>
      <c r="C208" s="23" t="s">
        <v>384</v>
      </c>
      <c r="D208" s="23" t="s">
        <v>240</v>
      </c>
      <c r="G208" s="23">
        <v>0</v>
      </c>
      <c r="I208" s="217" t="s">
        <v>1366</v>
      </c>
    </row>
    <row r="209" spans="1:9">
      <c r="A209" s="23">
        <v>209</v>
      </c>
      <c r="B209" s="84">
        <v>45841</v>
      </c>
      <c r="C209" s="23" t="s">
        <v>217</v>
      </c>
      <c r="D209" s="23" t="s">
        <v>219</v>
      </c>
      <c r="G209" s="23">
        <v>0.68</v>
      </c>
      <c r="I209" s="217" t="s">
        <v>1367</v>
      </c>
    </row>
    <row r="210" spans="1:9">
      <c r="A210" s="23">
        <v>210</v>
      </c>
      <c r="B210" s="84">
        <v>45841</v>
      </c>
      <c r="C210" s="23" t="s">
        <v>367</v>
      </c>
      <c r="D210" s="23" t="s">
        <v>222</v>
      </c>
      <c r="G210" s="23">
        <v>0</v>
      </c>
      <c r="I210" s="217" t="s">
        <v>1368</v>
      </c>
    </row>
    <row r="211" spans="1:9">
      <c r="A211" s="23">
        <v>211</v>
      </c>
      <c r="B211" s="84">
        <v>45841</v>
      </c>
      <c r="C211" s="23" t="s">
        <v>362</v>
      </c>
      <c r="D211" s="23" t="s">
        <v>235</v>
      </c>
      <c r="G211" s="23">
        <v>0</v>
      </c>
      <c r="I211" s="217" t="s">
        <v>1369</v>
      </c>
    </row>
    <row r="212" spans="1:9">
      <c r="A212" s="23">
        <v>212</v>
      </c>
      <c r="B212" s="84">
        <v>45841</v>
      </c>
      <c r="C212" s="23" t="s">
        <v>389</v>
      </c>
      <c r="D212" s="23" t="s">
        <v>243</v>
      </c>
      <c r="G212" s="23">
        <v>0.8</v>
      </c>
      <c r="I212" s="217" t="s">
        <v>1370</v>
      </c>
    </row>
    <row r="213" spans="1:9">
      <c r="A213" s="23">
        <v>213</v>
      </c>
      <c r="B213" s="84">
        <v>45841</v>
      </c>
      <c r="C213" s="23" t="s">
        <v>391</v>
      </c>
      <c r="D213" s="23" t="s">
        <v>246</v>
      </c>
      <c r="G213" s="23">
        <v>0.8</v>
      </c>
      <c r="I213" s="217" t="s">
        <v>1371</v>
      </c>
    </row>
    <row r="214" spans="1:9">
      <c r="A214" s="23">
        <v>214</v>
      </c>
      <c r="B214" s="84">
        <v>45841</v>
      </c>
      <c r="C214" s="23" t="s">
        <v>267</v>
      </c>
      <c r="D214" s="23" t="s">
        <v>227</v>
      </c>
      <c r="G214" s="23">
        <v>0.7</v>
      </c>
      <c r="I214" s="217" t="s">
        <v>1372</v>
      </c>
    </row>
    <row r="215" spans="1:9">
      <c r="A215" s="23">
        <v>215</v>
      </c>
      <c r="B215" s="84">
        <v>45841</v>
      </c>
      <c r="C215" s="23" t="s">
        <v>390</v>
      </c>
      <c r="D215" s="23" t="s">
        <v>243</v>
      </c>
      <c r="G215" s="23">
        <v>0</v>
      </c>
      <c r="I215" s="217" t="s">
        <v>1373</v>
      </c>
    </row>
    <row r="216" spans="1:9">
      <c r="A216" s="23">
        <v>216</v>
      </c>
      <c r="B216" s="84">
        <v>45841</v>
      </c>
      <c r="C216" s="23" t="s">
        <v>386</v>
      </c>
      <c r="D216" s="23" t="s">
        <v>312</v>
      </c>
      <c r="G216" s="23">
        <v>0</v>
      </c>
      <c r="I216" s="217" t="s">
        <v>1374</v>
      </c>
    </row>
    <row r="217" spans="1:9">
      <c r="A217" s="23">
        <v>217</v>
      </c>
      <c r="B217" s="84">
        <v>45841</v>
      </c>
      <c r="C217" s="23" t="s">
        <v>392</v>
      </c>
      <c r="D217" s="23" t="s">
        <v>246</v>
      </c>
      <c r="G217" s="23">
        <v>0</v>
      </c>
      <c r="I217" s="217" t="s">
        <v>1375</v>
      </c>
    </row>
    <row r="218" spans="1:9">
      <c r="A218" s="23">
        <v>218</v>
      </c>
      <c r="B218" s="84">
        <v>45841</v>
      </c>
      <c r="C218" s="23" t="s">
        <v>393</v>
      </c>
      <c r="D218" s="23" t="s">
        <v>227</v>
      </c>
      <c r="G218" s="23">
        <v>0</v>
      </c>
      <c r="I218" s="217" t="s">
        <v>1376</v>
      </c>
    </row>
    <row r="219" spans="1:9">
      <c r="A219" s="23">
        <v>219</v>
      </c>
      <c r="B219" s="84">
        <v>45841</v>
      </c>
      <c r="C219" s="23" t="s">
        <v>394</v>
      </c>
      <c r="D219" s="23" t="s">
        <v>235</v>
      </c>
      <c r="G219" s="23">
        <v>0.7</v>
      </c>
      <c r="I219" s="217" t="s">
        <v>1377</v>
      </c>
    </row>
    <row r="220" spans="1:9">
      <c r="A220" s="23">
        <v>220</v>
      </c>
      <c r="B220" s="84">
        <v>45841</v>
      </c>
      <c r="C220" s="23" t="s">
        <v>394</v>
      </c>
      <c r="D220" s="23" t="s">
        <v>213</v>
      </c>
      <c r="G220" s="23">
        <v>0.7</v>
      </c>
      <c r="I220" s="217" t="s">
        <v>1378</v>
      </c>
    </row>
    <row r="221" spans="1:9">
      <c r="A221" s="23">
        <v>221</v>
      </c>
      <c r="B221" s="84">
        <v>45841</v>
      </c>
      <c r="C221" s="23" t="s">
        <v>395</v>
      </c>
      <c r="D221" s="23" t="s">
        <v>213</v>
      </c>
      <c r="G221" s="23">
        <v>0</v>
      </c>
      <c r="I221" s="217" t="s">
        <v>1378</v>
      </c>
    </row>
    <row r="222" spans="1:9">
      <c r="A222" s="23">
        <v>222</v>
      </c>
      <c r="B222" s="84">
        <v>45841</v>
      </c>
      <c r="C222" s="23" t="s">
        <v>396</v>
      </c>
      <c r="D222" s="23" t="s">
        <v>222</v>
      </c>
      <c r="G222" s="23">
        <v>0.55000000000000004</v>
      </c>
      <c r="I222" s="217" t="s">
        <v>1379</v>
      </c>
    </row>
    <row r="223" spans="1:9">
      <c r="A223" s="23">
        <v>223</v>
      </c>
      <c r="B223" s="84">
        <v>45841</v>
      </c>
      <c r="C223" s="23" t="s">
        <v>358</v>
      </c>
      <c r="D223" s="23" t="s">
        <v>216</v>
      </c>
      <c r="G223" s="23">
        <v>0</v>
      </c>
      <c r="I223" s="217" t="s">
        <v>1380</v>
      </c>
    </row>
    <row r="224" spans="1:9">
      <c r="A224" s="23">
        <v>224</v>
      </c>
      <c r="B224" s="84">
        <v>45841</v>
      </c>
      <c r="C224" s="23" t="s">
        <v>368</v>
      </c>
      <c r="D224" s="23" t="s">
        <v>254</v>
      </c>
      <c r="G224" s="23">
        <v>0</v>
      </c>
      <c r="I224" s="217" t="s">
        <v>1381</v>
      </c>
    </row>
    <row r="225" spans="1:9">
      <c r="A225" s="23">
        <v>225</v>
      </c>
      <c r="B225" s="84">
        <v>45841</v>
      </c>
      <c r="C225" s="23" t="s">
        <v>356</v>
      </c>
      <c r="D225" s="23" t="s">
        <v>209</v>
      </c>
      <c r="G225" s="23">
        <v>0</v>
      </c>
      <c r="I225" s="217" t="s">
        <v>1382</v>
      </c>
    </row>
    <row r="226" spans="1:9">
      <c r="A226" s="23">
        <v>226</v>
      </c>
      <c r="B226" s="84">
        <v>45841</v>
      </c>
      <c r="C226" s="23" t="s">
        <v>345</v>
      </c>
      <c r="D226" s="23" t="s">
        <v>197</v>
      </c>
      <c r="G226" s="23">
        <v>0</v>
      </c>
      <c r="I226" s="217" t="s">
        <v>1383</v>
      </c>
    </row>
    <row r="227" spans="1:9">
      <c r="A227" s="23">
        <v>227</v>
      </c>
      <c r="B227" s="84">
        <v>45841</v>
      </c>
      <c r="C227" s="23" t="s">
        <v>397</v>
      </c>
      <c r="D227" s="23" t="s">
        <v>233</v>
      </c>
      <c r="G227" s="23">
        <v>1.5</v>
      </c>
      <c r="I227" s="217" t="s">
        <v>1384</v>
      </c>
    </row>
    <row r="228" spans="1:9">
      <c r="A228" s="23">
        <v>228</v>
      </c>
      <c r="B228" s="84">
        <v>45841</v>
      </c>
      <c r="C228" s="23" t="s">
        <v>379</v>
      </c>
      <c r="D228" s="23" t="s">
        <v>194</v>
      </c>
      <c r="G228" s="23">
        <v>0</v>
      </c>
      <c r="I228" s="217" t="s">
        <v>1385</v>
      </c>
    </row>
    <row r="229" spans="1:9">
      <c r="A229" s="23">
        <v>229</v>
      </c>
      <c r="B229" s="84">
        <v>45841</v>
      </c>
      <c r="C229" s="23" t="s">
        <v>399</v>
      </c>
      <c r="D229" s="23" t="s">
        <v>240</v>
      </c>
      <c r="G229" s="23">
        <v>0.8</v>
      </c>
      <c r="I229" s="217" t="s">
        <v>1386</v>
      </c>
    </row>
    <row r="230" spans="1:9">
      <c r="A230" s="23">
        <v>230</v>
      </c>
      <c r="B230" s="84">
        <v>45841</v>
      </c>
      <c r="C230" s="23" t="s">
        <v>379</v>
      </c>
      <c r="D230" s="23" t="s">
        <v>194</v>
      </c>
      <c r="G230" s="23" t="s">
        <v>9</v>
      </c>
      <c r="I230" s="217" t="s">
        <v>1236</v>
      </c>
    </row>
    <row r="231" spans="1:9">
      <c r="A231" s="23">
        <v>231</v>
      </c>
      <c r="B231" s="84">
        <v>45842</v>
      </c>
      <c r="C231" s="23" t="s">
        <v>400</v>
      </c>
      <c r="D231" s="23" t="s">
        <v>240</v>
      </c>
      <c r="G231" s="23">
        <v>0</v>
      </c>
      <c r="I231" s="217" t="s">
        <v>1387</v>
      </c>
    </row>
    <row r="232" spans="1:9">
      <c r="A232" s="23">
        <v>232</v>
      </c>
      <c r="B232" s="84">
        <v>45842</v>
      </c>
      <c r="C232" s="23" t="s">
        <v>401</v>
      </c>
      <c r="D232" s="23" t="s">
        <v>194</v>
      </c>
      <c r="G232" s="23">
        <v>0</v>
      </c>
      <c r="I232" s="217" t="s">
        <v>1388</v>
      </c>
    </row>
    <row r="233" spans="1:9">
      <c r="A233" s="23">
        <v>233</v>
      </c>
      <c r="B233" s="84">
        <v>45842</v>
      </c>
      <c r="C233" s="23" t="s">
        <v>401</v>
      </c>
      <c r="D233" s="23" t="s">
        <v>194</v>
      </c>
      <c r="G233" s="23">
        <v>1</v>
      </c>
      <c r="I233" s="217" t="s">
        <v>1236</v>
      </c>
    </row>
    <row r="234" spans="1:9">
      <c r="A234" s="23">
        <v>234</v>
      </c>
      <c r="B234" s="84">
        <v>45842</v>
      </c>
      <c r="C234" s="23" t="s">
        <v>398</v>
      </c>
      <c r="D234" s="23" t="s">
        <v>233</v>
      </c>
      <c r="G234" s="23">
        <v>0</v>
      </c>
      <c r="I234" s="217" t="s">
        <v>1389</v>
      </c>
    </row>
    <row r="235" spans="1:9">
      <c r="A235" s="23">
        <v>235</v>
      </c>
      <c r="B235" s="84">
        <v>45842</v>
      </c>
      <c r="C235" s="23" t="s">
        <v>333</v>
      </c>
      <c r="D235" s="23" t="s">
        <v>206</v>
      </c>
      <c r="G235" s="23">
        <v>0</v>
      </c>
      <c r="I235" s="217" t="s">
        <v>1390</v>
      </c>
    </row>
    <row r="236" spans="1:9">
      <c r="A236" s="23">
        <v>236</v>
      </c>
      <c r="B236" s="84">
        <v>45842</v>
      </c>
      <c r="C236" s="23" t="s">
        <v>403</v>
      </c>
      <c r="D236" s="23" t="s">
        <v>216</v>
      </c>
      <c r="G236" s="23">
        <v>0.38500000000000001</v>
      </c>
      <c r="I236" s="217" t="s">
        <v>1391</v>
      </c>
    </row>
    <row r="237" spans="1:9">
      <c r="A237" s="23">
        <v>237</v>
      </c>
      <c r="B237" s="84">
        <v>45842</v>
      </c>
      <c r="C237" s="23" t="s">
        <v>388</v>
      </c>
      <c r="D237" s="23" t="s">
        <v>219</v>
      </c>
      <c r="G237" s="23">
        <v>0</v>
      </c>
      <c r="I237" s="217" t="s">
        <v>1392</v>
      </c>
    </row>
    <row r="238" spans="1:9">
      <c r="A238" s="23">
        <v>238</v>
      </c>
      <c r="B238" s="84">
        <v>45842</v>
      </c>
      <c r="C238" s="23" t="s">
        <v>405</v>
      </c>
      <c r="D238" s="23" t="s">
        <v>197</v>
      </c>
      <c r="G238" s="23">
        <v>6.7</v>
      </c>
      <c r="H238" s="23" t="s">
        <v>407</v>
      </c>
      <c r="I238" s="217" t="s">
        <v>1393</v>
      </c>
    </row>
    <row r="239" spans="1:9">
      <c r="A239" s="23">
        <v>239</v>
      </c>
      <c r="B239" s="84">
        <v>45842</v>
      </c>
      <c r="C239" s="23" t="s">
        <v>408</v>
      </c>
      <c r="D239" s="23" t="s">
        <v>206</v>
      </c>
      <c r="G239" s="23">
        <v>1.2</v>
      </c>
      <c r="I239" s="217" t="s">
        <v>1394</v>
      </c>
    </row>
    <row r="240" spans="1:9">
      <c r="A240" s="23">
        <v>240</v>
      </c>
      <c r="B240" s="84">
        <v>45842</v>
      </c>
      <c r="C240" s="23" t="s">
        <v>352</v>
      </c>
      <c r="D240" s="23" t="s">
        <v>200</v>
      </c>
      <c r="G240" s="23">
        <v>0</v>
      </c>
      <c r="I240" s="217" t="s">
        <v>1395</v>
      </c>
    </row>
    <row r="241" spans="1:9">
      <c r="A241" s="23">
        <v>241</v>
      </c>
      <c r="B241" s="84">
        <v>45842</v>
      </c>
      <c r="C241" s="23" t="s">
        <v>236</v>
      </c>
      <c r="D241" s="23" t="s">
        <v>213</v>
      </c>
      <c r="G241" s="23">
        <v>0.93</v>
      </c>
      <c r="I241" s="217" t="s">
        <v>1396</v>
      </c>
    </row>
    <row r="242" spans="1:9">
      <c r="A242" s="23">
        <v>242</v>
      </c>
      <c r="B242" s="84">
        <v>45842</v>
      </c>
      <c r="C242" s="23" t="s">
        <v>236</v>
      </c>
      <c r="D242" s="23" t="s">
        <v>235</v>
      </c>
      <c r="G242" s="23">
        <v>0</v>
      </c>
      <c r="I242" s="217" t="s">
        <v>1397</v>
      </c>
    </row>
    <row r="243" spans="1:9">
      <c r="A243" s="23">
        <v>243</v>
      </c>
      <c r="B243" s="84">
        <v>45842</v>
      </c>
      <c r="C243" s="23" t="s">
        <v>236</v>
      </c>
      <c r="D243" s="23" t="s">
        <v>235</v>
      </c>
      <c r="G243" s="23">
        <v>0.88</v>
      </c>
      <c r="I243" s="217" t="s">
        <v>1398</v>
      </c>
    </row>
    <row r="244" spans="1:9">
      <c r="A244" s="23">
        <v>244</v>
      </c>
      <c r="B244" s="84">
        <v>45842</v>
      </c>
      <c r="C244" s="23" t="s">
        <v>215</v>
      </c>
      <c r="D244" s="23" t="s">
        <v>213</v>
      </c>
      <c r="G244" s="23">
        <v>0</v>
      </c>
      <c r="I244" s="217" t="s">
        <v>1399</v>
      </c>
    </row>
    <row r="245" spans="1:9">
      <c r="A245" s="23">
        <v>245</v>
      </c>
      <c r="B245" s="84">
        <v>45842</v>
      </c>
      <c r="C245" s="23" t="s">
        <v>410</v>
      </c>
      <c r="D245" s="23" t="s">
        <v>200</v>
      </c>
      <c r="G245" s="23">
        <v>3</v>
      </c>
      <c r="I245" s="217" t="s">
        <v>1400</v>
      </c>
    </row>
    <row r="246" spans="1:9">
      <c r="A246" s="23">
        <v>246</v>
      </c>
      <c r="B246" s="84">
        <v>45842</v>
      </c>
      <c r="C246" s="23" t="s">
        <v>411</v>
      </c>
      <c r="D246" s="23" t="s">
        <v>200</v>
      </c>
      <c r="G246" s="23">
        <v>0</v>
      </c>
      <c r="I246" s="217" t="s">
        <v>1400</v>
      </c>
    </row>
    <row r="247" spans="1:9">
      <c r="A247" s="23">
        <v>247</v>
      </c>
      <c r="B247" s="84">
        <v>45842</v>
      </c>
      <c r="C247" s="23" t="s">
        <v>412</v>
      </c>
      <c r="D247" s="23" t="s">
        <v>243</v>
      </c>
      <c r="G247" s="23">
        <v>0.8</v>
      </c>
      <c r="I247" s="217" t="s">
        <v>1401</v>
      </c>
    </row>
    <row r="248" spans="1:9">
      <c r="A248" s="23">
        <v>248</v>
      </c>
      <c r="B248" s="84">
        <v>45842</v>
      </c>
      <c r="C248" s="23" t="s">
        <v>414</v>
      </c>
      <c r="D248" s="23" t="s">
        <v>246</v>
      </c>
      <c r="G248" s="23">
        <v>0.8</v>
      </c>
      <c r="I248" s="217" t="s">
        <v>1402</v>
      </c>
    </row>
    <row r="249" spans="1:9">
      <c r="A249" s="23">
        <v>249</v>
      </c>
      <c r="B249" s="84">
        <v>45842</v>
      </c>
      <c r="C249" s="23" t="s">
        <v>415</v>
      </c>
      <c r="D249" s="23" t="s">
        <v>227</v>
      </c>
      <c r="G249" s="23">
        <v>0.8</v>
      </c>
      <c r="I249" s="217" t="s">
        <v>1403</v>
      </c>
    </row>
    <row r="250" spans="1:9">
      <c r="A250" s="23">
        <v>250</v>
      </c>
      <c r="B250" s="84">
        <v>45842</v>
      </c>
      <c r="C250" s="23" t="s">
        <v>416</v>
      </c>
      <c r="D250" s="23" t="s">
        <v>230</v>
      </c>
      <c r="G250" s="23">
        <v>0.8</v>
      </c>
      <c r="I250" s="217" t="s">
        <v>1404</v>
      </c>
    </row>
    <row r="251" spans="1:9">
      <c r="A251" s="23">
        <v>251</v>
      </c>
      <c r="B251" s="84">
        <v>45842</v>
      </c>
      <c r="C251" s="23" t="s">
        <v>418</v>
      </c>
      <c r="D251" s="23" t="s">
        <v>240</v>
      </c>
      <c r="G251" s="23">
        <v>0.8</v>
      </c>
      <c r="I251" s="217" t="s">
        <v>1405</v>
      </c>
    </row>
    <row r="252" spans="1:9">
      <c r="A252" s="23">
        <v>252</v>
      </c>
      <c r="B252" s="84">
        <v>45842</v>
      </c>
      <c r="C252" s="23" t="s">
        <v>420</v>
      </c>
      <c r="D252" s="23" t="s">
        <v>200</v>
      </c>
      <c r="G252" s="23">
        <v>7</v>
      </c>
      <c r="I252" s="217" t="s">
        <v>1406</v>
      </c>
    </row>
    <row r="253" spans="1:9">
      <c r="A253" s="23">
        <v>253</v>
      </c>
      <c r="B253" s="84">
        <v>45842</v>
      </c>
      <c r="C253" s="23" t="s">
        <v>369</v>
      </c>
      <c r="D253" s="23" t="s">
        <v>297</v>
      </c>
      <c r="G253" s="23">
        <v>0.8</v>
      </c>
      <c r="I253" s="217" t="s">
        <v>1407</v>
      </c>
    </row>
    <row r="254" spans="1:9">
      <c r="A254" s="23">
        <v>254</v>
      </c>
      <c r="B254" s="84">
        <v>45842</v>
      </c>
      <c r="C254" s="23" t="s">
        <v>369</v>
      </c>
      <c r="D254" s="23" t="s">
        <v>209</v>
      </c>
      <c r="G254" s="23">
        <v>3.8</v>
      </c>
      <c r="I254" s="217" t="s">
        <v>1408</v>
      </c>
    </row>
    <row r="255" spans="1:9">
      <c r="A255" s="23">
        <v>255</v>
      </c>
      <c r="B255" s="84">
        <v>45842</v>
      </c>
      <c r="C255" s="23" t="s">
        <v>359</v>
      </c>
      <c r="D255" s="23" t="s">
        <v>312</v>
      </c>
      <c r="G255" s="23">
        <v>4</v>
      </c>
      <c r="I255" s="217" t="s">
        <v>1409</v>
      </c>
    </row>
    <row r="256" spans="1:9">
      <c r="A256" s="23">
        <v>256</v>
      </c>
      <c r="B256" s="84">
        <v>45842</v>
      </c>
      <c r="C256" s="23" t="s">
        <v>406</v>
      </c>
      <c r="D256" s="23" t="s">
        <v>197</v>
      </c>
      <c r="G256" s="23" t="s">
        <v>9</v>
      </c>
      <c r="I256" s="217" t="s">
        <v>1410</v>
      </c>
    </row>
    <row r="257" spans="1:9">
      <c r="A257" s="23">
        <v>257</v>
      </c>
      <c r="B257" s="84">
        <v>45842</v>
      </c>
      <c r="C257" s="23" t="s">
        <v>250</v>
      </c>
      <c r="D257" s="23" t="s">
        <v>254</v>
      </c>
      <c r="G257" s="23">
        <v>3.8</v>
      </c>
      <c r="I257" s="217" t="s">
        <v>1411</v>
      </c>
    </row>
    <row r="258" spans="1:9">
      <c r="A258" s="23">
        <v>258</v>
      </c>
      <c r="B258" s="84">
        <v>45842</v>
      </c>
      <c r="C258" s="23" t="s">
        <v>413</v>
      </c>
      <c r="D258" s="23" t="s">
        <v>297</v>
      </c>
      <c r="G258" s="23">
        <v>0</v>
      </c>
      <c r="I258" s="217" t="s">
        <v>1412</v>
      </c>
    </row>
    <row r="259" spans="1:9">
      <c r="A259" s="23">
        <v>259</v>
      </c>
      <c r="B259" s="84">
        <v>45842</v>
      </c>
      <c r="C259" s="23" t="s">
        <v>413</v>
      </c>
      <c r="D259" s="23" t="s">
        <v>243</v>
      </c>
      <c r="G259" s="23">
        <v>0</v>
      </c>
      <c r="I259" s="217" t="s">
        <v>1413</v>
      </c>
    </row>
    <row r="260" spans="1:9">
      <c r="A260" s="23">
        <v>260</v>
      </c>
      <c r="B260" s="84">
        <v>45842</v>
      </c>
      <c r="C260" s="23" t="s">
        <v>313</v>
      </c>
      <c r="D260" s="23" t="s">
        <v>197</v>
      </c>
      <c r="G260" s="23">
        <v>1.5</v>
      </c>
      <c r="I260" s="217" t="s">
        <v>1414</v>
      </c>
    </row>
    <row r="261" spans="1:9">
      <c r="A261" s="23">
        <v>261</v>
      </c>
      <c r="B261" s="84">
        <v>45842</v>
      </c>
      <c r="C261" s="23" t="s">
        <v>425</v>
      </c>
      <c r="D261" s="23" t="s">
        <v>197</v>
      </c>
      <c r="G261" s="23" t="s">
        <v>9</v>
      </c>
      <c r="I261" s="217" t="s">
        <v>1414</v>
      </c>
    </row>
    <row r="262" spans="1:9">
      <c r="A262" s="23">
        <v>261</v>
      </c>
      <c r="B262" s="84">
        <v>45842</v>
      </c>
      <c r="C262" s="23" t="s">
        <v>1148</v>
      </c>
      <c r="D262" s="23" t="s">
        <v>197</v>
      </c>
      <c r="G262" s="23">
        <v>1.3</v>
      </c>
      <c r="H262" s="23" t="s">
        <v>284</v>
      </c>
      <c r="I262" s="217" t="s">
        <v>1414</v>
      </c>
    </row>
    <row r="263" spans="1:9">
      <c r="A263" s="23">
        <v>263</v>
      </c>
      <c r="B263" s="84">
        <v>45842</v>
      </c>
      <c r="C263" s="23" t="s">
        <v>426</v>
      </c>
      <c r="D263" s="23" t="s">
        <v>197</v>
      </c>
      <c r="G263" s="23">
        <v>0</v>
      </c>
      <c r="I263" s="217" t="s">
        <v>1414</v>
      </c>
    </row>
    <row r="264" spans="1:9">
      <c r="A264" s="23">
        <v>264</v>
      </c>
      <c r="B264" s="84">
        <v>45842</v>
      </c>
      <c r="C264" s="23" t="s">
        <v>426</v>
      </c>
      <c r="D264" s="23" t="s">
        <v>197</v>
      </c>
      <c r="G264" s="23">
        <v>1.3</v>
      </c>
      <c r="H264" s="23" t="s">
        <v>337</v>
      </c>
      <c r="I264" s="217" t="s">
        <v>1236</v>
      </c>
    </row>
    <row r="265" spans="1:9">
      <c r="A265" s="23">
        <v>265</v>
      </c>
      <c r="B265" s="84">
        <v>45842</v>
      </c>
      <c r="C265" s="23" t="s">
        <v>429</v>
      </c>
      <c r="D265" s="23" t="s">
        <v>243</v>
      </c>
      <c r="G265" s="23">
        <v>0.8</v>
      </c>
      <c r="I265" s="217" t="s">
        <v>1236</v>
      </c>
    </row>
    <row r="266" spans="1:9">
      <c r="A266" s="23">
        <v>266</v>
      </c>
      <c r="B266" s="84">
        <v>45842</v>
      </c>
      <c r="C266" s="23" t="s">
        <v>383</v>
      </c>
      <c r="D266" s="23" t="s">
        <v>243</v>
      </c>
      <c r="G266" s="23">
        <v>0</v>
      </c>
      <c r="I266" s="217" t="s">
        <v>1413</v>
      </c>
    </row>
    <row r="267" spans="1:9">
      <c r="A267" s="23">
        <v>267</v>
      </c>
      <c r="B267" s="84">
        <v>45842</v>
      </c>
      <c r="C267" s="23" t="s">
        <v>383</v>
      </c>
      <c r="D267" s="23" t="s">
        <v>246</v>
      </c>
      <c r="G267" s="23">
        <v>0</v>
      </c>
      <c r="I267" s="217" t="s">
        <v>1415</v>
      </c>
    </row>
    <row r="268" spans="1:9">
      <c r="A268" s="23">
        <v>268</v>
      </c>
      <c r="B268" s="84">
        <v>45842</v>
      </c>
      <c r="C268" s="23" t="s">
        <v>319</v>
      </c>
      <c r="D268" s="23" t="s">
        <v>227</v>
      </c>
      <c r="G268" s="23">
        <v>0</v>
      </c>
      <c r="I268" s="217" t="s">
        <v>1416</v>
      </c>
    </row>
    <row r="269" spans="1:9">
      <c r="A269" s="23">
        <v>269</v>
      </c>
      <c r="B269" s="84">
        <v>45842</v>
      </c>
      <c r="C269" s="23" t="s">
        <v>417</v>
      </c>
      <c r="D269" s="23" t="s">
        <v>230</v>
      </c>
      <c r="G269" s="23">
        <v>0</v>
      </c>
      <c r="I269" s="217" t="s">
        <v>1417</v>
      </c>
    </row>
    <row r="270" spans="1:9">
      <c r="A270" s="23">
        <v>270</v>
      </c>
      <c r="B270" s="84">
        <v>45842</v>
      </c>
      <c r="C270" s="23" t="s">
        <v>419</v>
      </c>
      <c r="D270" s="23" t="s">
        <v>240</v>
      </c>
      <c r="G270" s="23">
        <v>0</v>
      </c>
      <c r="I270" s="217" t="s">
        <v>1418</v>
      </c>
    </row>
    <row r="271" spans="1:9">
      <c r="A271" s="23">
        <v>271</v>
      </c>
      <c r="B271" s="84">
        <v>45842</v>
      </c>
      <c r="C271" s="23" t="s">
        <v>430</v>
      </c>
      <c r="D271" s="23" t="s">
        <v>243</v>
      </c>
      <c r="G271" s="23">
        <v>0.7</v>
      </c>
      <c r="I271" s="217" t="s">
        <v>1419</v>
      </c>
    </row>
    <row r="272" spans="1:9">
      <c r="A272" s="23">
        <v>272</v>
      </c>
      <c r="B272" s="84">
        <v>45842</v>
      </c>
      <c r="C272" s="23" t="s">
        <v>217</v>
      </c>
      <c r="D272" s="23" t="s">
        <v>219</v>
      </c>
      <c r="G272" s="23">
        <v>0.67500000000000004</v>
      </c>
      <c r="I272" s="217" t="s">
        <v>1420</v>
      </c>
    </row>
    <row r="273" spans="1:9">
      <c r="A273" s="23">
        <v>273</v>
      </c>
      <c r="B273" s="84">
        <v>45842</v>
      </c>
      <c r="C273" s="23" t="s">
        <v>367</v>
      </c>
      <c r="D273" s="23" t="s">
        <v>222</v>
      </c>
      <c r="G273" s="23">
        <v>0</v>
      </c>
      <c r="I273" s="217" t="s">
        <v>1421</v>
      </c>
    </row>
    <row r="274" spans="1:9">
      <c r="A274" s="23">
        <v>274</v>
      </c>
      <c r="B274" s="84">
        <v>45842</v>
      </c>
      <c r="C274" s="23" t="s">
        <v>432</v>
      </c>
      <c r="D274" s="23" t="s">
        <v>246</v>
      </c>
      <c r="G274" s="23">
        <v>0.8</v>
      </c>
      <c r="I274" s="217" t="s">
        <v>1422</v>
      </c>
    </row>
    <row r="275" spans="1:9">
      <c r="A275" s="23">
        <v>275</v>
      </c>
      <c r="B275" s="84">
        <v>45842</v>
      </c>
      <c r="C275" s="23" t="s">
        <v>260</v>
      </c>
      <c r="D275" s="23" t="s">
        <v>227</v>
      </c>
      <c r="G275" s="23">
        <v>0.8</v>
      </c>
      <c r="I275" s="217" t="s">
        <v>1423</v>
      </c>
    </row>
    <row r="276" spans="1:9">
      <c r="A276" s="23">
        <v>276</v>
      </c>
      <c r="B276" s="84">
        <v>45842</v>
      </c>
      <c r="C276" s="23" t="s">
        <v>431</v>
      </c>
      <c r="D276" s="23" t="s">
        <v>243</v>
      </c>
      <c r="G276" s="23">
        <v>0</v>
      </c>
      <c r="I276" s="217" t="s">
        <v>1424</v>
      </c>
    </row>
    <row r="277" spans="1:9">
      <c r="A277" s="23">
        <v>277</v>
      </c>
      <c r="B277" s="84">
        <v>45842</v>
      </c>
      <c r="C277" s="23" t="s">
        <v>433</v>
      </c>
      <c r="D277" s="23" t="s">
        <v>246</v>
      </c>
      <c r="G277" s="23">
        <v>0</v>
      </c>
      <c r="I277" s="217" t="s">
        <v>1425</v>
      </c>
    </row>
    <row r="278" spans="1:9">
      <c r="A278" s="23">
        <v>278</v>
      </c>
      <c r="B278" s="84">
        <v>45842</v>
      </c>
      <c r="C278" s="23" t="s">
        <v>434</v>
      </c>
      <c r="D278" s="23" t="s">
        <v>227</v>
      </c>
      <c r="G278" s="23">
        <v>0</v>
      </c>
      <c r="I278" s="217" t="s">
        <v>1426</v>
      </c>
    </row>
    <row r="279" spans="1:9">
      <c r="A279" s="23">
        <v>279</v>
      </c>
      <c r="B279" s="84">
        <v>45842</v>
      </c>
      <c r="C279" s="23" t="s">
        <v>435</v>
      </c>
      <c r="D279" s="23" t="s">
        <v>233</v>
      </c>
      <c r="G279" s="23">
        <v>3.3</v>
      </c>
      <c r="I279" s="217" t="s">
        <v>1427</v>
      </c>
    </row>
    <row r="280" spans="1:9">
      <c r="A280" s="23">
        <v>280</v>
      </c>
      <c r="B280" s="84">
        <v>45842</v>
      </c>
      <c r="C280" s="23" t="s">
        <v>409</v>
      </c>
      <c r="D280" s="23" t="s">
        <v>206</v>
      </c>
      <c r="G280" s="23">
        <v>0</v>
      </c>
      <c r="I280" s="217" t="s">
        <v>1428</v>
      </c>
    </row>
    <row r="281" spans="1:9">
      <c r="A281" s="23">
        <v>281</v>
      </c>
      <c r="B281" s="84">
        <v>45842</v>
      </c>
      <c r="C281" s="23" t="s">
        <v>423</v>
      </c>
      <c r="D281" s="23" t="s">
        <v>312</v>
      </c>
      <c r="G281" s="23">
        <v>0</v>
      </c>
      <c r="I281" s="217" t="s">
        <v>1429</v>
      </c>
    </row>
    <row r="282" spans="1:9">
      <c r="A282" s="23">
        <v>282</v>
      </c>
      <c r="B282" s="84">
        <v>45842</v>
      </c>
      <c r="C282" s="23" t="s">
        <v>220</v>
      </c>
      <c r="D282" s="23" t="s">
        <v>213</v>
      </c>
      <c r="G282" s="23">
        <v>0.86</v>
      </c>
      <c r="I282" s="217" t="s">
        <v>1430</v>
      </c>
    </row>
    <row r="283" spans="1:9">
      <c r="A283" s="23">
        <v>283</v>
      </c>
      <c r="B283" s="84">
        <v>45842</v>
      </c>
      <c r="C283" s="23" t="s">
        <v>277</v>
      </c>
      <c r="D283" s="23" t="s">
        <v>235</v>
      </c>
      <c r="G283" s="23">
        <v>0</v>
      </c>
      <c r="I283" s="217" t="s">
        <v>1431</v>
      </c>
    </row>
    <row r="284" spans="1:9">
      <c r="A284" s="23">
        <v>284</v>
      </c>
      <c r="B284" s="84">
        <v>45842</v>
      </c>
      <c r="C284" s="23" t="s">
        <v>438</v>
      </c>
      <c r="D284" s="23" t="s">
        <v>230</v>
      </c>
      <c r="G284" s="23">
        <v>0.7</v>
      </c>
      <c r="I284" s="217" t="s">
        <v>1432</v>
      </c>
    </row>
    <row r="285" spans="1:9">
      <c r="A285" s="23">
        <v>285</v>
      </c>
      <c r="B285" s="84">
        <v>45842</v>
      </c>
      <c r="C285" s="23" t="s">
        <v>440</v>
      </c>
      <c r="D285" s="23" t="s">
        <v>240</v>
      </c>
      <c r="G285" s="23">
        <v>0.7</v>
      </c>
      <c r="I285" s="217" t="s">
        <v>1433</v>
      </c>
    </row>
    <row r="286" spans="1:9">
      <c r="A286" s="23">
        <v>286</v>
      </c>
      <c r="B286" s="84">
        <v>45842</v>
      </c>
      <c r="C286" s="23" t="s">
        <v>442</v>
      </c>
      <c r="D286" s="23" t="s">
        <v>243</v>
      </c>
      <c r="G286" s="23">
        <v>0.7</v>
      </c>
      <c r="I286" s="217" t="s">
        <v>1434</v>
      </c>
    </row>
    <row r="287" spans="1:9">
      <c r="A287" s="23">
        <v>287</v>
      </c>
      <c r="B287" s="84">
        <v>45842</v>
      </c>
      <c r="C287" s="23" t="s">
        <v>444</v>
      </c>
      <c r="D287" s="23" t="s">
        <v>246</v>
      </c>
      <c r="G287" s="23">
        <v>0.7</v>
      </c>
      <c r="I287" s="217" t="s">
        <v>1435</v>
      </c>
    </row>
    <row r="288" spans="1:9">
      <c r="A288" s="23">
        <v>288</v>
      </c>
      <c r="B288" s="84">
        <v>45842</v>
      </c>
      <c r="C288" s="23" t="s">
        <v>446</v>
      </c>
      <c r="D288" s="23" t="s">
        <v>227</v>
      </c>
      <c r="G288" s="23">
        <v>0.8</v>
      </c>
      <c r="I288" s="217" t="s">
        <v>1436</v>
      </c>
    </row>
    <row r="289" spans="1:9">
      <c r="A289" s="23">
        <v>289</v>
      </c>
      <c r="B289" s="84">
        <v>45842</v>
      </c>
      <c r="C289" s="23" t="s">
        <v>439</v>
      </c>
      <c r="D289" s="23" t="s">
        <v>230</v>
      </c>
      <c r="G289" s="23">
        <v>0</v>
      </c>
      <c r="I289" s="217" t="s">
        <v>1437</v>
      </c>
    </row>
    <row r="290" spans="1:9">
      <c r="A290" s="23">
        <v>290</v>
      </c>
      <c r="B290" s="84">
        <v>45842</v>
      </c>
      <c r="C290" s="23" t="s">
        <v>448</v>
      </c>
      <c r="D290" s="23" t="s">
        <v>297</v>
      </c>
      <c r="G290" s="23">
        <v>0.8</v>
      </c>
      <c r="I290" s="217" t="s">
        <v>1438</v>
      </c>
    </row>
    <row r="291" spans="1:9">
      <c r="A291" s="23">
        <v>291</v>
      </c>
      <c r="B291" s="84">
        <v>45842</v>
      </c>
      <c r="C291" s="23" t="s">
        <v>449</v>
      </c>
      <c r="D291" s="23" t="s">
        <v>297</v>
      </c>
      <c r="G291" s="23">
        <v>0</v>
      </c>
      <c r="I291" s="217" t="s">
        <v>1438</v>
      </c>
    </row>
    <row r="292" spans="1:9">
      <c r="A292" s="23">
        <v>292</v>
      </c>
      <c r="B292" s="84">
        <v>45842</v>
      </c>
      <c r="C292" s="23" t="s">
        <v>443</v>
      </c>
      <c r="D292" s="23" t="s">
        <v>243</v>
      </c>
      <c r="G292" s="23">
        <v>0</v>
      </c>
      <c r="I292" s="217" t="s">
        <v>1439</v>
      </c>
    </row>
    <row r="293" spans="1:9">
      <c r="A293" s="23">
        <v>293</v>
      </c>
      <c r="B293" s="84">
        <v>45842</v>
      </c>
      <c r="C293" s="23" t="s">
        <v>441</v>
      </c>
      <c r="D293" s="23" t="s">
        <v>240</v>
      </c>
      <c r="G293" s="23">
        <v>0</v>
      </c>
      <c r="I293" s="217" t="s">
        <v>1440</v>
      </c>
    </row>
    <row r="294" spans="1:9">
      <c r="A294" s="23">
        <v>294</v>
      </c>
      <c r="B294" s="84">
        <v>45842</v>
      </c>
      <c r="C294" s="23" t="s">
        <v>445</v>
      </c>
      <c r="D294" s="23" t="s">
        <v>246</v>
      </c>
      <c r="G294" s="23">
        <v>0</v>
      </c>
      <c r="I294" s="217" t="s">
        <v>1441</v>
      </c>
    </row>
    <row r="295" spans="1:9">
      <c r="A295" s="23">
        <v>295</v>
      </c>
      <c r="B295" s="84">
        <v>45842</v>
      </c>
      <c r="C295" s="23" t="s">
        <v>447</v>
      </c>
      <c r="D295" s="23" t="s">
        <v>227</v>
      </c>
      <c r="G295" s="23">
        <v>0</v>
      </c>
      <c r="I295" s="217" t="s">
        <v>1442</v>
      </c>
    </row>
    <row r="296" spans="1:9">
      <c r="A296" s="23">
        <v>296</v>
      </c>
      <c r="B296" s="84">
        <v>45842</v>
      </c>
      <c r="C296" s="23" t="s">
        <v>450</v>
      </c>
      <c r="D296" s="23" t="s">
        <v>222</v>
      </c>
      <c r="G296" s="23">
        <v>0.68</v>
      </c>
      <c r="I296" s="217" t="s">
        <v>1443</v>
      </c>
    </row>
    <row r="297" spans="1:9">
      <c r="A297" s="23">
        <v>297</v>
      </c>
      <c r="B297" s="84">
        <v>45842</v>
      </c>
      <c r="C297" s="23" t="s">
        <v>404</v>
      </c>
      <c r="D297" s="23" t="s">
        <v>216</v>
      </c>
      <c r="G297" s="23">
        <v>0</v>
      </c>
      <c r="I297" s="217" t="s">
        <v>1444</v>
      </c>
    </row>
    <row r="298" spans="1:9">
      <c r="A298" s="23">
        <v>298</v>
      </c>
      <c r="B298" s="84">
        <v>45842</v>
      </c>
      <c r="C298" s="23" t="s">
        <v>452</v>
      </c>
      <c r="D298" s="23" t="s">
        <v>246</v>
      </c>
      <c r="G298" s="23">
        <v>0.7</v>
      </c>
      <c r="I298" s="217" t="s">
        <v>1445</v>
      </c>
    </row>
    <row r="299" spans="1:9">
      <c r="A299" s="23">
        <v>299</v>
      </c>
      <c r="B299" s="84">
        <v>45842</v>
      </c>
      <c r="C299" s="23" t="s">
        <v>452</v>
      </c>
      <c r="D299" s="23" t="s">
        <v>240</v>
      </c>
      <c r="G299" s="23">
        <v>0.7</v>
      </c>
      <c r="I299" s="217" t="s">
        <v>1446</v>
      </c>
    </row>
    <row r="300" spans="1:9">
      <c r="A300" s="23">
        <v>300</v>
      </c>
      <c r="B300" s="84">
        <v>45842</v>
      </c>
      <c r="C300" s="23" t="s">
        <v>452</v>
      </c>
      <c r="D300" s="23" t="s">
        <v>227</v>
      </c>
      <c r="G300" s="23">
        <v>0.7</v>
      </c>
      <c r="I300" s="217" t="s">
        <v>1447</v>
      </c>
    </row>
    <row r="301" spans="1:9">
      <c r="A301" s="23">
        <v>302</v>
      </c>
      <c r="B301" s="84">
        <v>45842</v>
      </c>
      <c r="C301" s="23" t="s">
        <v>452</v>
      </c>
      <c r="D301" s="23" t="s">
        <v>243</v>
      </c>
      <c r="G301" s="23">
        <v>0.7</v>
      </c>
      <c r="I301" s="217" t="s">
        <v>1448</v>
      </c>
    </row>
    <row r="302" spans="1:9">
      <c r="A302" s="23">
        <v>303</v>
      </c>
      <c r="B302" s="84">
        <v>45842</v>
      </c>
      <c r="C302" s="23" t="s">
        <v>452</v>
      </c>
      <c r="D302" s="23" t="s">
        <v>230</v>
      </c>
      <c r="G302" s="23">
        <v>0.7</v>
      </c>
      <c r="I302" s="217" t="s">
        <v>1449</v>
      </c>
    </row>
    <row r="303" spans="1:9">
      <c r="A303" s="23">
        <v>304</v>
      </c>
      <c r="B303" s="84">
        <v>45842</v>
      </c>
      <c r="C303" s="23" t="s">
        <v>276</v>
      </c>
      <c r="D303" s="23" t="s">
        <v>203</v>
      </c>
      <c r="G303" s="23" t="s">
        <v>9</v>
      </c>
      <c r="H303" s="23" t="s">
        <v>458</v>
      </c>
      <c r="I303" s="217" t="s">
        <v>1450</v>
      </c>
    </row>
    <row r="304" spans="1:9">
      <c r="A304" s="23">
        <v>305</v>
      </c>
      <c r="B304" s="84">
        <v>45842</v>
      </c>
      <c r="C304" s="23" t="s">
        <v>455</v>
      </c>
      <c r="D304" s="23" t="s">
        <v>243</v>
      </c>
      <c r="G304" s="23">
        <v>0</v>
      </c>
      <c r="I304" s="217" t="s">
        <v>1448</v>
      </c>
    </row>
    <row r="305" spans="1:9">
      <c r="A305" s="23">
        <v>306</v>
      </c>
      <c r="B305" s="84">
        <v>45842</v>
      </c>
      <c r="C305" s="23" t="s">
        <v>453</v>
      </c>
      <c r="D305" s="23" t="s">
        <v>240</v>
      </c>
      <c r="G305" s="23">
        <v>0</v>
      </c>
      <c r="I305" s="217" t="s">
        <v>1446</v>
      </c>
    </row>
    <row r="306" spans="1:9">
      <c r="A306" s="23">
        <v>307</v>
      </c>
      <c r="B306" s="84">
        <v>45842</v>
      </c>
      <c r="C306" s="23" t="s">
        <v>275</v>
      </c>
      <c r="D306" s="23" t="s">
        <v>246</v>
      </c>
      <c r="G306" s="23">
        <v>0</v>
      </c>
      <c r="I306" s="217" t="s">
        <v>1445</v>
      </c>
    </row>
    <row r="307" spans="1:9">
      <c r="A307" s="23">
        <v>308</v>
      </c>
      <c r="B307" s="84">
        <v>45842</v>
      </c>
      <c r="C307" s="23" t="s">
        <v>454</v>
      </c>
      <c r="D307" s="23" t="s">
        <v>227</v>
      </c>
      <c r="G307" s="23">
        <v>0</v>
      </c>
      <c r="I307" s="217" t="s">
        <v>1451</v>
      </c>
    </row>
    <row r="308" spans="1:9">
      <c r="A308" s="23">
        <v>309</v>
      </c>
      <c r="B308" s="84">
        <v>45842</v>
      </c>
      <c r="C308" s="23" t="s">
        <v>456</v>
      </c>
      <c r="D308" s="23" t="s">
        <v>230</v>
      </c>
      <c r="G308" s="23">
        <v>0</v>
      </c>
      <c r="I308" s="217" t="s">
        <v>1452</v>
      </c>
    </row>
    <row r="309" spans="1:9">
      <c r="A309" s="23">
        <v>309</v>
      </c>
      <c r="B309" s="84">
        <v>45842</v>
      </c>
      <c r="C309" s="23" t="s">
        <v>345</v>
      </c>
      <c r="D309" s="23" t="s">
        <v>254</v>
      </c>
      <c r="G309" s="23">
        <v>0</v>
      </c>
      <c r="I309" s="217" t="s">
        <v>1453</v>
      </c>
    </row>
    <row r="310" spans="1:9">
      <c r="A310" s="23">
        <v>310</v>
      </c>
      <c r="B310" s="84">
        <v>45843</v>
      </c>
      <c r="C310" s="23" t="s">
        <v>422</v>
      </c>
      <c r="D310" s="23" t="s">
        <v>209</v>
      </c>
      <c r="G310" s="23">
        <v>0</v>
      </c>
      <c r="I310" s="217" t="s">
        <v>1454</v>
      </c>
    </row>
    <row r="311" spans="1:9">
      <c r="A311" s="23">
        <v>311</v>
      </c>
      <c r="B311" s="84">
        <v>45843</v>
      </c>
      <c r="C311" s="23" t="s">
        <v>436</v>
      </c>
      <c r="D311" s="23" t="s">
        <v>233</v>
      </c>
      <c r="G311" s="23">
        <v>0</v>
      </c>
      <c r="I311" s="217" t="s">
        <v>1455</v>
      </c>
    </row>
    <row r="312" spans="1:9">
      <c r="A312" s="23">
        <v>312</v>
      </c>
      <c r="B312" s="84">
        <v>45843</v>
      </c>
      <c r="C312" s="23" t="s">
        <v>459</v>
      </c>
      <c r="D312" s="23" t="s">
        <v>240</v>
      </c>
      <c r="G312" s="23">
        <v>0.8</v>
      </c>
      <c r="I312" s="217" t="s">
        <v>1456</v>
      </c>
    </row>
    <row r="313" spans="1:9">
      <c r="A313" s="23">
        <v>313</v>
      </c>
      <c r="B313" s="84">
        <v>45843</v>
      </c>
      <c r="C313" s="23" t="s">
        <v>459</v>
      </c>
      <c r="D313" s="23" t="s">
        <v>227</v>
      </c>
      <c r="G313" s="23">
        <v>0.8</v>
      </c>
      <c r="I313" s="217" t="s">
        <v>1457</v>
      </c>
    </row>
    <row r="314" spans="1:9">
      <c r="A314" s="23">
        <v>314</v>
      </c>
      <c r="B314" s="84">
        <v>45843</v>
      </c>
      <c r="C314" s="23" t="s">
        <v>459</v>
      </c>
      <c r="D314" s="23" t="s">
        <v>243</v>
      </c>
      <c r="G314" s="23">
        <v>0.8</v>
      </c>
      <c r="I314" s="217" t="s">
        <v>1458</v>
      </c>
    </row>
    <row r="315" spans="1:9">
      <c r="A315" s="23">
        <v>315</v>
      </c>
      <c r="B315" s="84">
        <v>45843</v>
      </c>
      <c r="C315" s="23" t="s">
        <v>459</v>
      </c>
      <c r="D315" s="23" t="s">
        <v>230</v>
      </c>
      <c r="G315" s="23">
        <v>0.8</v>
      </c>
      <c r="I315" s="217" t="s">
        <v>1459</v>
      </c>
    </row>
    <row r="316" spans="1:9">
      <c r="A316" s="23">
        <v>316</v>
      </c>
      <c r="B316" s="84">
        <v>45843</v>
      </c>
      <c r="C316" s="23" t="s">
        <v>459</v>
      </c>
      <c r="D316" s="23" t="s">
        <v>246</v>
      </c>
      <c r="G316" s="23">
        <v>0.8</v>
      </c>
      <c r="I316" s="217" t="s">
        <v>1460</v>
      </c>
    </row>
    <row r="317" spans="1:9">
      <c r="A317" s="23">
        <v>317</v>
      </c>
      <c r="B317" s="84">
        <v>45843</v>
      </c>
      <c r="C317" s="23" t="s">
        <v>465</v>
      </c>
      <c r="D317" s="23" t="s">
        <v>206</v>
      </c>
      <c r="G317" s="23">
        <v>3.8</v>
      </c>
      <c r="I317" s="217" t="s">
        <v>1461</v>
      </c>
    </row>
    <row r="318" spans="1:9">
      <c r="A318" s="23">
        <v>318</v>
      </c>
      <c r="B318" s="84">
        <v>45843</v>
      </c>
      <c r="C318" s="23" t="s">
        <v>462</v>
      </c>
      <c r="D318" s="23" t="s">
        <v>243</v>
      </c>
      <c r="G318" s="23">
        <v>0</v>
      </c>
      <c r="I318" s="217" t="s">
        <v>1458</v>
      </c>
    </row>
    <row r="319" spans="1:9">
      <c r="A319" s="23">
        <v>319</v>
      </c>
      <c r="B319" s="84">
        <v>45843</v>
      </c>
      <c r="C319" s="23" t="s">
        <v>460</v>
      </c>
      <c r="D319" s="23" t="s">
        <v>240</v>
      </c>
      <c r="G319" s="23">
        <v>0</v>
      </c>
      <c r="I319" s="217" t="s">
        <v>1456</v>
      </c>
    </row>
    <row r="320" spans="1:9">
      <c r="A320" s="23">
        <v>320</v>
      </c>
      <c r="B320" s="84">
        <v>45843</v>
      </c>
      <c r="C320" s="23" t="s">
        <v>428</v>
      </c>
      <c r="D320" s="23" t="s">
        <v>197</v>
      </c>
      <c r="G320" s="23">
        <v>0</v>
      </c>
      <c r="I320" s="217" t="s">
        <v>1462</v>
      </c>
    </row>
    <row r="321" spans="1:9">
      <c r="A321" s="23">
        <v>321</v>
      </c>
      <c r="B321" s="84">
        <v>45843</v>
      </c>
      <c r="C321" s="23" t="s">
        <v>428</v>
      </c>
      <c r="D321" s="23" t="s">
        <v>197</v>
      </c>
      <c r="G321" s="23" t="s">
        <v>9</v>
      </c>
      <c r="H321" s="23" t="s">
        <v>1463</v>
      </c>
      <c r="I321" s="217" t="s">
        <v>1236</v>
      </c>
    </row>
    <row r="322" spans="1:9">
      <c r="A322" s="23">
        <v>322</v>
      </c>
      <c r="B322" s="84">
        <v>45843</v>
      </c>
      <c r="C322" s="23" t="s">
        <v>464</v>
      </c>
      <c r="D322" s="23" t="s">
        <v>246</v>
      </c>
      <c r="G322" s="23">
        <v>0</v>
      </c>
      <c r="I322" s="217" t="s">
        <v>1460</v>
      </c>
    </row>
    <row r="323" spans="1:9">
      <c r="A323" s="23">
        <v>323</v>
      </c>
      <c r="B323" s="84">
        <v>45843</v>
      </c>
      <c r="C323" s="23" t="s">
        <v>461</v>
      </c>
      <c r="D323" s="23" t="s">
        <v>227</v>
      </c>
      <c r="G323" s="23">
        <v>0</v>
      </c>
      <c r="I323" s="217" t="s">
        <v>1457</v>
      </c>
    </row>
    <row r="324" spans="1:9">
      <c r="A324" s="23">
        <v>324</v>
      </c>
      <c r="B324" s="84">
        <v>45843</v>
      </c>
      <c r="C324" s="23" t="s">
        <v>403</v>
      </c>
      <c r="D324" s="23" t="s">
        <v>216</v>
      </c>
      <c r="G324" s="23">
        <v>0.435</v>
      </c>
      <c r="I324" s="217" t="s">
        <v>1464</v>
      </c>
    </row>
    <row r="325" spans="1:9">
      <c r="A325" s="23">
        <v>325</v>
      </c>
      <c r="B325" s="84">
        <v>45843</v>
      </c>
      <c r="C325" s="23" t="s">
        <v>388</v>
      </c>
      <c r="D325" s="23" t="s">
        <v>219</v>
      </c>
      <c r="G325" s="23">
        <v>0</v>
      </c>
      <c r="I325" s="217" t="s">
        <v>1465</v>
      </c>
    </row>
    <row r="326" spans="1:9">
      <c r="A326" s="23">
        <v>326</v>
      </c>
      <c r="B326" s="84">
        <v>45843</v>
      </c>
      <c r="C326" s="23" t="s">
        <v>1466</v>
      </c>
      <c r="D326" s="23" t="s">
        <v>246</v>
      </c>
      <c r="G326" s="23">
        <v>0.8</v>
      </c>
      <c r="I326" s="217" t="s">
        <v>1467</v>
      </c>
    </row>
    <row r="327" spans="1:9">
      <c r="A327" s="23">
        <v>327</v>
      </c>
      <c r="B327" s="84">
        <v>45843</v>
      </c>
      <c r="C327" s="23" t="s">
        <v>467</v>
      </c>
      <c r="D327" s="23" t="s">
        <v>197</v>
      </c>
      <c r="G327" s="23">
        <v>0</v>
      </c>
      <c r="I327" s="217" t="s">
        <v>1468</v>
      </c>
    </row>
    <row r="328" spans="1:9">
      <c r="A328" s="23">
        <v>328</v>
      </c>
      <c r="B328" s="84">
        <v>45843</v>
      </c>
      <c r="C328" s="23" t="s">
        <v>467</v>
      </c>
      <c r="D328" s="23" t="s">
        <v>197</v>
      </c>
      <c r="G328" s="23">
        <v>0.7</v>
      </c>
      <c r="H328" s="23" t="s">
        <v>427</v>
      </c>
      <c r="I328" s="217" t="s">
        <v>1236</v>
      </c>
    </row>
    <row r="329" spans="1:9">
      <c r="A329" s="23">
        <v>329</v>
      </c>
      <c r="B329" s="84">
        <v>45843</v>
      </c>
      <c r="C329" s="23" t="s">
        <v>468</v>
      </c>
      <c r="D329" s="23" t="s">
        <v>240</v>
      </c>
      <c r="G329" s="23">
        <v>0.75</v>
      </c>
      <c r="I329" s="217" t="s">
        <v>1469</v>
      </c>
    </row>
    <row r="330" spans="1:9">
      <c r="A330" s="23">
        <v>330</v>
      </c>
      <c r="B330" s="84">
        <v>45843</v>
      </c>
      <c r="C330" s="23" t="s">
        <v>352</v>
      </c>
      <c r="D330" s="23" t="s">
        <v>197</v>
      </c>
      <c r="G330" s="23">
        <v>0</v>
      </c>
      <c r="I330" s="217" t="s">
        <v>1468</v>
      </c>
    </row>
    <row r="331" spans="1:9">
      <c r="A331" s="23">
        <v>331</v>
      </c>
      <c r="B331" s="84">
        <v>45843</v>
      </c>
      <c r="C331" s="23" t="s">
        <v>352</v>
      </c>
      <c r="D331" s="23" t="s">
        <v>197</v>
      </c>
      <c r="G331" s="23" t="s">
        <v>9</v>
      </c>
      <c r="I331" s="217" t="s">
        <v>1236</v>
      </c>
    </row>
    <row r="332" spans="1:9">
      <c r="A332" s="23">
        <v>332</v>
      </c>
      <c r="B332" s="84">
        <v>45843</v>
      </c>
      <c r="C332" s="23" t="s">
        <v>471</v>
      </c>
      <c r="D332" s="23" t="s">
        <v>243</v>
      </c>
      <c r="G332" s="23">
        <v>0.8</v>
      </c>
      <c r="I332" s="217" t="s">
        <v>1470</v>
      </c>
    </row>
    <row r="333" spans="1:9">
      <c r="A333" s="23">
        <v>333</v>
      </c>
      <c r="B333" s="84">
        <v>45843</v>
      </c>
      <c r="C333" s="23" t="s">
        <v>232</v>
      </c>
      <c r="D333" s="23" t="s">
        <v>227</v>
      </c>
      <c r="G333" s="23">
        <v>0.8</v>
      </c>
      <c r="I333" s="217" t="s">
        <v>1471</v>
      </c>
    </row>
    <row r="334" spans="1:9">
      <c r="A334" s="23">
        <v>334</v>
      </c>
      <c r="B334" s="84">
        <v>45843</v>
      </c>
      <c r="C334" s="23" t="s">
        <v>463</v>
      </c>
      <c r="D334" s="23" t="s">
        <v>230</v>
      </c>
      <c r="G334" s="23">
        <v>0</v>
      </c>
      <c r="I334" s="217" t="s">
        <v>1472</v>
      </c>
    </row>
    <row r="335" spans="1:9">
      <c r="A335" s="23">
        <v>335</v>
      </c>
      <c r="B335" s="84">
        <v>45843</v>
      </c>
      <c r="C335" s="23" t="s">
        <v>470</v>
      </c>
      <c r="D335" s="23" t="s">
        <v>197</v>
      </c>
      <c r="G335" s="23">
        <v>1.3</v>
      </c>
      <c r="H335" s="23" t="s">
        <v>475</v>
      </c>
      <c r="I335" s="217" t="s">
        <v>1473</v>
      </c>
    </row>
    <row r="336" spans="1:9">
      <c r="A336" s="23">
        <v>336</v>
      </c>
      <c r="B336" s="84">
        <v>45843</v>
      </c>
      <c r="C336" s="23" t="s">
        <v>469</v>
      </c>
      <c r="D336" s="23" t="s">
        <v>240</v>
      </c>
      <c r="G336" s="23">
        <v>0</v>
      </c>
      <c r="I336" s="217" t="s">
        <v>1474</v>
      </c>
    </row>
    <row r="337" spans="1:9">
      <c r="A337" s="23">
        <v>337</v>
      </c>
      <c r="B337" s="84">
        <v>45843</v>
      </c>
      <c r="C337" s="23" t="s">
        <v>476</v>
      </c>
      <c r="D337" s="23" t="s">
        <v>209</v>
      </c>
      <c r="G337" s="23">
        <v>2.5</v>
      </c>
      <c r="I337" s="217" t="s">
        <v>1475</v>
      </c>
    </row>
    <row r="338" spans="1:9">
      <c r="A338" s="23">
        <v>338</v>
      </c>
      <c r="B338" s="84">
        <v>45843</v>
      </c>
      <c r="C338" s="23" t="s">
        <v>472</v>
      </c>
      <c r="D338" s="23" t="s">
        <v>243</v>
      </c>
      <c r="G338" s="23">
        <v>0</v>
      </c>
      <c r="I338" s="217" t="s">
        <v>1476</v>
      </c>
    </row>
    <row r="339" spans="1:9">
      <c r="A339" s="23">
        <v>339</v>
      </c>
      <c r="B339" s="84">
        <v>45843</v>
      </c>
      <c r="C339" s="23" t="s">
        <v>355</v>
      </c>
      <c r="D339" s="23" t="s">
        <v>235</v>
      </c>
      <c r="G339" s="23">
        <v>0.75</v>
      </c>
      <c r="I339" s="217" t="s">
        <v>1477</v>
      </c>
    </row>
    <row r="340" spans="1:9">
      <c r="A340" s="23">
        <v>340</v>
      </c>
      <c r="B340" s="84">
        <v>45843</v>
      </c>
      <c r="C340" s="23" t="s">
        <v>437</v>
      </c>
      <c r="D340" s="23" t="s">
        <v>213</v>
      </c>
      <c r="G340" s="23">
        <v>0</v>
      </c>
      <c r="H340" s="23" t="s">
        <v>1478</v>
      </c>
      <c r="I340" s="217" t="s">
        <v>1479</v>
      </c>
    </row>
    <row r="341" spans="1:9">
      <c r="A341" s="23">
        <v>341</v>
      </c>
      <c r="B341" s="84">
        <v>45843</v>
      </c>
      <c r="C341" s="23" t="s">
        <v>472</v>
      </c>
      <c r="D341" s="23" t="s">
        <v>246</v>
      </c>
      <c r="G341" s="23">
        <v>0</v>
      </c>
      <c r="I341" s="217" t="s">
        <v>1480</v>
      </c>
    </row>
    <row r="342" spans="1:9">
      <c r="A342" s="23">
        <v>342</v>
      </c>
      <c r="B342" s="84">
        <v>45843</v>
      </c>
      <c r="C342" s="23" t="s">
        <v>473</v>
      </c>
      <c r="D342" s="23" t="s">
        <v>227</v>
      </c>
      <c r="G342" s="23">
        <v>0</v>
      </c>
      <c r="I342" s="217" t="s">
        <v>1481</v>
      </c>
    </row>
    <row r="343" spans="1:9">
      <c r="A343" s="23">
        <v>343</v>
      </c>
      <c r="B343" s="84">
        <v>45843</v>
      </c>
      <c r="C343" s="23" t="s">
        <v>474</v>
      </c>
      <c r="D343" s="23" t="s">
        <v>197</v>
      </c>
      <c r="G343" s="23">
        <v>0</v>
      </c>
      <c r="H343" s="23" t="s">
        <v>1482</v>
      </c>
      <c r="I343" s="217" t="s">
        <v>1483</v>
      </c>
    </row>
    <row r="344" spans="1:9">
      <c r="A344" s="23">
        <v>344</v>
      </c>
      <c r="B344" s="84">
        <v>45843</v>
      </c>
      <c r="C344" s="23" t="s">
        <v>474</v>
      </c>
      <c r="D344" s="23" t="s">
        <v>197</v>
      </c>
      <c r="G344" s="23">
        <v>0.5</v>
      </c>
      <c r="H344" s="23" t="s">
        <v>337</v>
      </c>
      <c r="I344" s="217" t="s">
        <v>1236</v>
      </c>
    </row>
    <row r="345" spans="1:9">
      <c r="A345" s="23">
        <v>345</v>
      </c>
      <c r="B345" s="84">
        <v>45843</v>
      </c>
      <c r="C345" s="23" t="s">
        <v>478</v>
      </c>
      <c r="D345" s="23" t="s">
        <v>230</v>
      </c>
      <c r="G345" s="23">
        <v>0.8</v>
      </c>
      <c r="I345" s="217" t="s">
        <v>1484</v>
      </c>
    </row>
    <row r="346" spans="1:9">
      <c r="A346" s="23">
        <v>346</v>
      </c>
      <c r="B346" s="84">
        <v>45843</v>
      </c>
      <c r="C346" s="23" t="s">
        <v>248</v>
      </c>
      <c r="D346" s="23" t="s">
        <v>240</v>
      </c>
      <c r="G346" s="23">
        <v>0.8</v>
      </c>
      <c r="I346" s="217" t="s">
        <v>1485</v>
      </c>
    </row>
    <row r="347" spans="1:9">
      <c r="A347" s="23">
        <v>347</v>
      </c>
      <c r="B347" s="84">
        <v>45843</v>
      </c>
      <c r="C347" s="23" t="s">
        <v>457</v>
      </c>
      <c r="D347" s="23" t="s">
        <v>203</v>
      </c>
      <c r="G347" s="23">
        <v>0.5</v>
      </c>
      <c r="H347" s="23" t="s">
        <v>475</v>
      </c>
      <c r="I347" s="217" t="s">
        <v>1486</v>
      </c>
    </row>
    <row r="348" spans="1:9">
      <c r="A348" s="23">
        <v>348</v>
      </c>
      <c r="B348" s="84">
        <v>45843</v>
      </c>
      <c r="C348" s="23" t="s">
        <v>338</v>
      </c>
      <c r="D348" s="23" t="s">
        <v>326</v>
      </c>
      <c r="G348" s="23">
        <v>0.5</v>
      </c>
      <c r="H348" s="23" t="s">
        <v>475</v>
      </c>
      <c r="I348" s="217" t="s">
        <v>1487</v>
      </c>
    </row>
    <row r="349" spans="1:9">
      <c r="A349" s="23">
        <v>349</v>
      </c>
      <c r="B349" s="84">
        <v>45843</v>
      </c>
      <c r="C349" s="23" t="s">
        <v>482</v>
      </c>
      <c r="D349" s="23" t="s">
        <v>243</v>
      </c>
      <c r="G349" s="23">
        <v>0.8</v>
      </c>
      <c r="I349" s="217" t="s">
        <v>1488</v>
      </c>
    </row>
    <row r="350" spans="1:9">
      <c r="A350" s="23">
        <v>350</v>
      </c>
      <c r="B350" s="84">
        <v>45843</v>
      </c>
      <c r="C350" s="23" t="s">
        <v>375</v>
      </c>
      <c r="D350" s="23" t="s">
        <v>246</v>
      </c>
      <c r="G350" s="23">
        <v>0.8</v>
      </c>
      <c r="I350" s="217" t="s">
        <v>1489</v>
      </c>
    </row>
    <row r="351" spans="1:9">
      <c r="A351" s="23">
        <v>351</v>
      </c>
      <c r="B351" s="84">
        <v>45843</v>
      </c>
      <c r="C351" s="23" t="s">
        <v>338</v>
      </c>
      <c r="D351" s="23" t="s">
        <v>254</v>
      </c>
      <c r="G351" s="23">
        <v>0.5</v>
      </c>
      <c r="I351" s="217" t="s">
        <v>1490</v>
      </c>
    </row>
    <row r="352" spans="1:9">
      <c r="A352" s="23">
        <v>352</v>
      </c>
      <c r="B352" s="84">
        <v>45843</v>
      </c>
      <c r="C352" s="23" t="s">
        <v>479</v>
      </c>
      <c r="D352" s="23" t="s">
        <v>230</v>
      </c>
      <c r="G352" s="23">
        <v>0</v>
      </c>
      <c r="I352" s="217" t="s">
        <v>1491</v>
      </c>
    </row>
    <row r="353" spans="1:9">
      <c r="A353" s="23">
        <v>353</v>
      </c>
      <c r="B353" s="84">
        <v>45843</v>
      </c>
      <c r="C353" s="23" t="s">
        <v>486</v>
      </c>
      <c r="D353" s="23" t="s">
        <v>227</v>
      </c>
      <c r="G353" s="23">
        <v>0.8</v>
      </c>
      <c r="I353" s="217" t="s">
        <v>1492</v>
      </c>
    </row>
    <row r="354" spans="1:9">
      <c r="A354" s="23">
        <v>354</v>
      </c>
      <c r="B354" s="84">
        <v>45843</v>
      </c>
      <c r="C354" s="23" t="s">
        <v>480</v>
      </c>
      <c r="D354" s="23" t="s">
        <v>240</v>
      </c>
      <c r="G354" s="23">
        <v>0</v>
      </c>
      <c r="I354" s="217" t="s">
        <v>1493</v>
      </c>
    </row>
    <row r="355" spans="1:9">
      <c r="A355" s="23">
        <v>356</v>
      </c>
      <c r="B355" s="84">
        <v>45843</v>
      </c>
      <c r="C355" s="23" t="s">
        <v>488</v>
      </c>
      <c r="D355" s="23" t="s">
        <v>230</v>
      </c>
      <c r="G355" s="23">
        <v>0.8</v>
      </c>
      <c r="I355" s="217" t="s">
        <v>1236</v>
      </c>
    </row>
    <row r="356" spans="1:9">
      <c r="A356" s="23">
        <v>356</v>
      </c>
      <c r="B356" s="84">
        <v>45843</v>
      </c>
      <c r="C356" s="23" t="s">
        <v>490</v>
      </c>
      <c r="D356" s="23" t="s">
        <v>326</v>
      </c>
      <c r="G356" s="23">
        <v>0.5</v>
      </c>
      <c r="H356" s="23" t="s">
        <v>475</v>
      </c>
      <c r="I356" s="217" t="s">
        <v>1494</v>
      </c>
    </row>
    <row r="357" spans="1:9">
      <c r="A357" s="23">
        <v>357</v>
      </c>
      <c r="B357" s="84">
        <v>45843</v>
      </c>
      <c r="C357" s="23" t="s">
        <v>493</v>
      </c>
      <c r="D357" s="23" t="s">
        <v>240</v>
      </c>
      <c r="G357" s="23">
        <v>0.8</v>
      </c>
      <c r="I357" s="217" t="s">
        <v>1236</v>
      </c>
    </row>
    <row r="358" spans="1:9">
      <c r="A358" s="23">
        <v>358</v>
      </c>
      <c r="B358" s="84">
        <v>45843</v>
      </c>
      <c r="C358" s="23" t="s">
        <v>495</v>
      </c>
      <c r="D358" s="23" t="s">
        <v>312</v>
      </c>
      <c r="G358" s="23">
        <v>0.7</v>
      </c>
      <c r="I358" s="217" t="s">
        <v>1495</v>
      </c>
    </row>
    <row r="359" spans="1:9">
      <c r="A359" s="23">
        <v>359</v>
      </c>
      <c r="B359" s="84">
        <v>45843</v>
      </c>
      <c r="C359" s="23" t="s">
        <v>483</v>
      </c>
      <c r="D359" s="23" t="s">
        <v>243</v>
      </c>
      <c r="G359" s="23">
        <v>0</v>
      </c>
      <c r="I359" s="217" t="s">
        <v>1496</v>
      </c>
    </row>
    <row r="360" spans="1:9">
      <c r="A360" s="23">
        <v>360</v>
      </c>
      <c r="B360" s="84">
        <v>45843</v>
      </c>
      <c r="C360" s="23" t="s">
        <v>484</v>
      </c>
      <c r="D360" s="23" t="s">
        <v>246</v>
      </c>
      <c r="G360" s="23">
        <v>0</v>
      </c>
      <c r="I360" s="217" t="s">
        <v>1497</v>
      </c>
    </row>
    <row r="361" spans="1:9">
      <c r="A361" s="23">
        <v>361</v>
      </c>
      <c r="B361" s="84">
        <v>45843</v>
      </c>
      <c r="C361" s="23" t="s">
        <v>487</v>
      </c>
      <c r="D361" s="23" t="s">
        <v>227</v>
      </c>
      <c r="G361" s="23">
        <v>0</v>
      </c>
      <c r="I361" s="217" t="s">
        <v>1492</v>
      </c>
    </row>
    <row r="362" spans="1:9">
      <c r="A362" s="23">
        <v>362</v>
      </c>
      <c r="B362" s="84">
        <v>45843</v>
      </c>
      <c r="C362" s="23" t="s">
        <v>489</v>
      </c>
      <c r="D362" s="23" t="s">
        <v>230</v>
      </c>
      <c r="G362" s="23">
        <v>0</v>
      </c>
      <c r="I362" s="217" t="s">
        <v>1491</v>
      </c>
    </row>
    <row r="363" spans="1:9">
      <c r="A363" s="23">
        <v>363</v>
      </c>
      <c r="B363" s="84">
        <v>45843</v>
      </c>
      <c r="C363" s="23" t="s">
        <v>497</v>
      </c>
      <c r="D363" s="23" t="s">
        <v>243</v>
      </c>
      <c r="G363" s="23">
        <v>0.8</v>
      </c>
      <c r="I363" s="217" t="s">
        <v>1498</v>
      </c>
    </row>
    <row r="364" spans="1:9">
      <c r="A364" s="23">
        <v>364</v>
      </c>
      <c r="B364" s="84">
        <v>45843</v>
      </c>
      <c r="C364" s="23" t="s">
        <v>421</v>
      </c>
      <c r="D364" s="23" t="s">
        <v>200</v>
      </c>
      <c r="G364" s="23">
        <v>0</v>
      </c>
      <c r="I364" s="217" t="s">
        <v>1499</v>
      </c>
    </row>
    <row r="365" spans="1:9">
      <c r="A365" s="23">
        <v>365</v>
      </c>
      <c r="B365" s="84">
        <v>45843</v>
      </c>
      <c r="C365" s="23" t="s">
        <v>481</v>
      </c>
      <c r="D365" s="23" t="s">
        <v>203</v>
      </c>
      <c r="G365" s="23">
        <v>0</v>
      </c>
      <c r="I365" s="217" t="s">
        <v>1500</v>
      </c>
    </row>
    <row r="366" spans="1:9">
      <c r="A366" s="23">
        <v>366</v>
      </c>
      <c r="B366" s="84">
        <v>45843</v>
      </c>
      <c r="C366" s="23" t="s">
        <v>481</v>
      </c>
      <c r="D366" s="23" t="s">
        <v>203</v>
      </c>
      <c r="G366" s="23">
        <v>6.7</v>
      </c>
      <c r="H366" s="23" t="s">
        <v>337</v>
      </c>
      <c r="I366" s="217" t="s">
        <v>1236</v>
      </c>
    </row>
    <row r="367" spans="1:9">
      <c r="A367" s="23">
        <v>367</v>
      </c>
      <c r="B367" s="84">
        <v>45843</v>
      </c>
      <c r="C367" s="23" t="s">
        <v>501</v>
      </c>
      <c r="D367" s="23" t="s">
        <v>246</v>
      </c>
      <c r="G367" s="23">
        <v>0.8</v>
      </c>
      <c r="I367" s="217" t="s">
        <v>1501</v>
      </c>
    </row>
    <row r="368" spans="1:9">
      <c r="A368" s="23">
        <v>368</v>
      </c>
      <c r="B368" s="84">
        <v>45843</v>
      </c>
      <c r="C368" s="23" t="s">
        <v>503</v>
      </c>
      <c r="D368" s="23" t="s">
        <v>227</v>
      </c>
      <c r="G368" s="23">
        <v>0.8</v>
      </c>
      <c r="I368" s="217" t="s">
        <v>1502</v>
      </c>
    </row>
    <row r="369" spans="1:9">
      <c r="A369" s="23">
        <v>369</v>
      </c>
      <c r="B369" s="84">
        <v>45843</v>
      </c>
      <c r="C369" s="23" t="s">
        <v>503</v>
      </c>
      <c r="D369" s="23" t="s">
        <v>230</v>
      </c>
      <c r="G369" s="23">
        <v>0.8</v>
      </c>
      <c r="I369" s="217" t="s">
        <v>1503</v>
      </c>
    </row>
    <row r="370" spans="1:9">
      <c r="A370" s="23">
        <v>370</v>
      </c>
      <c r="B370" s="84">
        <v>45843</v>
      </c>
      <c r="C370" s="23" t="s">
        <v>494</v>
      </c>
      <c r="D370" s="23" t="s">
        <v>240</v>
      </c>
      <c r="G370" s="23">
        <v>0</v>
      </c>
      <c r="I370" s="217" t="s">
        <v>1504</v>
      </c>
    </row>
    <row r="371" spans="1:9">
      <c r="A371" s="23">
        <v>371</v>
      </c>
      <c r="B371" s="84">
        <v>45843</v>
      </c>
      <c r="C371" s="23" t="s">
        <v>421</v>
      </c>
      <c r="D371" s="23" t="s">
        <v>200</v>
      </c>
      <c r="G371" s="23" t="s">
        <v>9</v>
      </c>
      <c r="I371" s="217" t="s">
        <v>1236</v>
      </c>
    </row>
    <row r="372" spans="1:9">
      <c r="A372" s="23">
        <v>372</v>
      </c>
      <c r="B372" s="84">
        <v>45843</v>
      </c>
      <c r="C372" s="23" t="s">
        <v>498</v>
      </c>
      <c r="D372" s="23" t="s">
        <v>243</v>
      </c>
      <c r="G372" s="23">
        <v>0</v>
      </c>
      <c r="I372" s="217" t="s">
        <v>1505</v>
      </c>
    </row>
    <row r="373" spans="1:9">
      <c r="A373" s="23">
        <v>373</v>
      </c>
      <c r="B373" s="84">
        <v>45843</v>
      </c>
      <c r="C373" s="23" t="s">
        <v>502</v>
      </c>
      <c r="D373" s="23" t="s">
        <v>246</v>
      </c>
      <c r="G373" s="23">
        <v>0</v>
      </c>
      <c r="I373" s="217" t="s">
        <v>1506</v>
      </c>
    </row>
    <row r="374" spans="1:9">
      <c r="A374" s="23">
        <v>374</v>
      </c>
      <c r="B374" s="84">
        <v>45843</v>
      </c>
      <c r="C374" s="23" t="s">
        <v>506</v>
      </c>
      <c r="D374" s="23" t="s">
        <v>240</v>
      </c>
      <c r="G374" s="23">
        <v>0.77500000000000002</v>
      </c>
      <c r="I374" s="217" t="s">
        <v>1507</v>
      </c>
    </row>
    <row r="375" spans="1:9">
      <c r="A375" s="23">
        <v>375</v>
      </c>
      <c r="B375" s="84">
        <v>45843</v>
      </c>
      <c r="C375" s="23" t="s">
        <v>506</v>
      </c>
      <c r="D375" s="23" t="s">
        <v>243</v>
      </c>
      <c r="G375" s="23">
        <v>0.77500000000000002</v>
      </c>
      <c r="I375" s="217" t="s">
        <v>1236</v>
      </c>
    </row>
    <row r="376" spans="1:9">
      <c r="A376" s="23">
        <v>376</v>
      </c>
      <c r="B376" s="84">
        <v>45843</v>
      </c>
      <c r="C376" s="23" t="s">
        <v>508</v>
      </c>
      <c r="D376" s="23" t="s">
        <v>246</v>
      </c>
      <c r="G376" s="23">
        <v>0.77500000000000002</v>
      </c>
      <c r="I376" s="217" t="s">
        <v>1236</v>
      </c>
    </row>
    <row r="377" spans="1:9">
      <c r="A377" s="23">
        <v>377</v>
      </c>
      <c r="B377" s="84">
        <v>45843</v>
      </c>
      <c r="C377" s="23" t="s">
        <v>496</v>
      </c>
      <c r="D377" s="23" t="s">
        <v>312</v>
      </c>
      <c r="G377" s="23">
        <v>0</v>
      </c>
      <c r="I377" s="217" t="s">
        <v>1508</v>
      </c>
    </row>
    <row r="378" spans="1:9">
      <c r="A378" s="23">
        <v>378</v>
      </c>
      <c r="B378" s="84">
        <v>45843</v>
      </c>
      <c r="C378" s="23" t="s">
        <v>505</v>
      </c>
      <c r="D378" s="23" t="s">
        <v>200</v>
      </c>
      <c r="G378" s="23">
        <v>0</v>
      </c>
      <c r="I378" s="217" t="s">
        <v>1509</v>
      </c>
    </row>
    <row r="379" spans="1:9">
      <c r="A379" s="23">
        <v>379</v>
      </c>
      <c r="B379" s="84">
        <v>45843</v>
      </c>
      <c r="C379" s="23" t="s">
        <v>509</v>
      </c>
      <c r="D379" s="23" t="s">
        <v>200</v>
      </c>
      <c r="G379" s="23">
        <v>1</v>
      </c>
      <c r="I379" s="217" t="s">
        <v>1236</v>
      </c>
    </row>
    <row r="380" spans="1:9">
      <c r="A380" s="23">
        <v>380</v>
      </c>
      <c r="B380" s="84">
        <v>45843</v>
      </c>
      <c r="C380" s="23" t="s">
        <v>504</v>
      </c>
      <c r="D380" s="23" t="s">
        <v>227</v>
      </c>
      <c r="G380" s="23">
        <v>0</v>
      </c>
      <c r="I380" s="217" t="s">
        <v>1510</v>
      </c>
    </row>
    <row r="381" spans="1:9">
      <c r="A381" s="23">
        <v>381</v>
      </c>
      <c r="B381" s="84">
        <v>45843</v>
      </c>
      <c r="C381" s="23" t="s">
        <v>504</v>
      </c>
      <c r="D381" s="23" t="s">
        <v>230</v>
      </c>
      <c r="G381" s="23">
        <v>0</v>
      </c>
      <c r="I381" s="217" t="s">
        <v>1511</v>
      </c>
    </row>
    <row r="382" spans="1:9">
      <c r="A382" s="23">
        <v>382</v>
      </c>
      <c r="B382" s="84">
        <v>45843</v>
      </c>
      <c r="C382" s="23" t="s">
        <v>507</v>
      </c>
      <c r="D382" s="23" t="s">
        <v>240</v>
      </c>
      <c r="G382" s="23">
        <v>0</v>
      </c>
      <c r="I382" s="217" t="s">
        <v>1512</v>
      </c>
    </row>
    <row r="383" spans="1:9">
      <c r="A383" s="23">
        <v>383</v>
      </c>
      <c r="B383" s="84">
        <v>45843</v>
      </c>
      <c r="C383" s="23" t="s">
        <v>507</v>
      </c>
      <c r="D383" s="23" t="s">
        <v>243</v>
      </c>
      <c r="G383" s="23">
        <v>0</v>
      </c>
      <c r="I383" s="217" t="s">
        <v>1513</v>
      </c>
    </row>
    <row r="384" spans="1:9">
      <c r="A384" s="23">
        <v>384</v>
      </c>
      <c r="B384" s="84">
        <v>45843</v>
      </c>
      <c r="C384" s="23" t="s">
        <v>237</v>
      </c>
      <c r="D384" s="23" t="s">
        <v>246</v>
      </c>
      <c r="G384" s="23">
        <v>0</v>
      </c>
      <c r="I384" s="217" t="s">
        <v>1514</v>
      </c>
    </row>
    <row r="385" spans="1:9">
      <c r="A385" s="23">
        <v>385</v>
      </c>
      <c r="B385" s="84">
        <v>45843</v>
      </c>
      <c r="C385" s="23" t="s">
        <v>389</v>
      </c>
      <c r="D385" s="23" t="s">
        <v>219</v>
      </c>
      <c r="G385" s="23">
        <v>0.60499999999999998</v>
      </c>
      <c r="I385" s="217" t="s">
        <v>1515</v>
      </c>
    </row>
    <row r="386" spans="1:9">
      <c r="A386" s="23">
        <v>386</v>
      </c>
      <c r="B386" s="84">
        <v>45843</v>
      </c>
      <c r="C386" s="23" t="s">
        <v>451</v>
      </c>
      <c r="D386" s="23" t="s">
        <v>222</v>
      </c>
      <c r="G386" s="23">
        <v>0</v>
      </c>
      <c r="I386" s="217" t="s">
        <v>1516</v>
      </c>
    </row>
    <row r="387" spans="1:9">
      <c r="A387" s="23">
        <v>387</v>
      </c>
      <c r="B387" s="84">
        <v>45843</v>
      </c>
      <c r="C387" s="23" t="s">
        <v>492</v>
      </c>
      <c r="D387" s="23" t="s">
        <v>326</v>
      </c>
      <c r="G387" s="23" t="s">
        <v>9</v>
      </c>
      <c r="I387" s="217" t="s">
        <v>1517</v>
      </c>
    </row>
    <row r="388" spans="1:9">
      <c r="A388" s="23">
        <v>388</v>
      </c>
      <c r="B388" s="84">
        <v>45843</v>
      </c>
      <c r="C388" s="23" t="s">
        <v>402</v>
      </c>
      <c r="D388" s="23" t="s">
        <v>194</v>
      </c>
      <c r="G388" s="23">
        <v>0</v>
      </c>
      <c r="I388" s="217" t="s">
        <v>1518</v>
      </c>
    </row>
    <row r="389" spans="1:9">
      <c r="A389" s="23">
        <v>389</v>
      </c>
      <c r="B389" s="84">
        <v>45843</v>
      </c>
      <c r="C389" s="23" t="s">
        <v>402</v>
      </c>
      <c r="D389" s="23" t="s">
        <v>194</v>
      </c>
      <c r="G389" s="23" t="s">
        <v>9</v>
      </c>
      <c r="H389" s="23" t="s">
        <v>1519</v>
      </c>
      <c r="I389" s="217" t="s">
        <v>1236</v>
      </c>
    </row>
    <row r="390" spans="1:9">
      <c r="A390" s="23">
        <v>390</v>
      </c>
      <c r="B390" s="84">
        <v>45843</v>
      </c>
      <c r="C390" s="23" t="s">
        <v>512</v>
      </c>
      <c r="D390" s="23" t="s">
        <v>227</v>
      </c>
      <c r="G390" s="23">
        <v>0.7</v>
      </c>
      <c r="I390" s="217" t="s">
        <v>1520</v>
      </c>
    </row>
    <row r="391" spans="1:9">
      <c r="A391" s="23">
        <v>391</v>
      </c>
      <c r="B391" s="84">
        <v>45843</v>
      </c>
      <c r="C391" s="23" t="s">
        <v>514</v>
      </c>
      <c r="D391" s="23" t="s">
        <v>230</v>
      </c>
      <c r="G391" s="23">
        <v>0.7</v>
      </c>
      <c r="I391" s="217" t="s">
        <v>1521</v>
      </c>
    </row>
    <row r="392" spans="1:9">
      <c r="A392" s="23">
        <v>392</v>
      </c>
      <c r="B392" s="84">
        <v>45843</v>
      </c>
      <c r="C392" s="23" t="s">
        <v>512</v>
      </c>
      <c r="D392" s="23" t="s">
        <v>194</v>
      </c>
      <c r="G392" s="23">
        <v>1</v>
      </c>
      <c r="H392" s="23" t="s">
        <v>427</v>
      </c>
      <c r="I392" s="217" t="s">
        <v>1236</v>
      </c>
    </row>
    <row r="393" spans="1:9">
      <c r="A393" s="23">
        <v>393</v>
      </c>
      <c r="B393" s="84">
        <v>45843</v>
      </c>
      <c r="C393" s="23" t="s">
        <v>517</v>
      </c>
      <c r="D393" s="23" t="s">
        <v>312</v>
      </c>
      <c r="G393" s="23">
        <v>3</v>
      </c>
      <c r="I393" s="217" t="s">
        <v>1522</v>
      </c>
    </row>
    <row r="394" spans="1:9">
      <c r="A394" s="23">
        <v>394</v>
      </c>
      <c r="B394" s="84">
        <v>45843</v>
      </c>
      <c r="C394" s="23" t="s">
        <v>220</v>
      </c>
      <c r="D394" s="23" t="s">
        <v>213</v>
      </c>
      <c r="G394" s="23">
        <v>0.89</v>
      </c>
      <c r="I394" s="217" t="s">
        <v>1523</v>
      </c>
    </row>
    <row r="395" spans="1:9">
      <c r="A395" s="23">
        <v>395</v>
      </c>
      <c r="B395" s="84">
        <v>45843</v>
      </c>
      <c r="C395" s="23" t="s">
        <v>277</v>
      </c>
      <c r="D395" s="23" t="s">
        <v>235</v>
      </c>
      <c r="G395" s="23">
        <v>0</v>
      </c>
      <c r="I395" s="217" t="s">
        <v>1524</v>
      </c>
    </row>
    <row r="396" spans="1:9">
      <c r="A396" s="23">
        <v>396</v>
      </c>
      <c r="B396" s="84">
        <v>45843</v>
      </c>
      <c r="C396" s="23" t="s">
        <v>519</v>
      </c>
      <c r="D396" s="23" t="s">
        <v>240</v>
      </c>
      <c r="G396" s="23">
        <v>0.7</v>
      </c>
      <c r="I396" s="217" t="s">
        <v>1525</v>
      </c>
    </row>
    <row r="397" spans="1:9">
      <c r="A397" s="23">
        <v>397</v>
      </c>
      <c r="B397" s="84">
        <v>45843</v>
      </c>
      <c r="C397" s="23" t="s">
        <v>519</v>
      </c>
      <c r="D397" s="23" t="s">
        <v>243</v>
      </c>
      <c r="G397" s="23">
        <v>0.7</v>
      </c>
      <c r="I397" s="217" t="s">
        <v>1526</v>
      </c>
    </row>
    <row r="398" spans="1:9">
      <c r="A398" s="23">
        <v>398</v>
      </c>
      <c r="B398" s="84">
        <v>45843</v>
      </c>
      <c r="C398" s="23" t="s">
        <v>332</v>
      </c>
      <c r="D398" s="23" t="s">
        <v>246</v>
      </c>
      <c r="G398" s="23">
        <v>0.7</v>
      </c>
      <c r="I398" s="217" t="s">
        <v>1527</v>
      </c>
    </row>
    <row r="399" spans="1:9">
      <c r="A399" s="23">
        <v>399</v>
      </c>
      <c r="B399" s="84">
        <v>45843</v>
      </c>
      <c r="C399" s="23" t="s">
        <v>522</v>
      </c>
      <c r="D399" s="23" t="s">
        <v>297</v>
      </c>
      <c r="G399" s="23">
        <v>0.7</v>
      </c>
      <c r="I399" s="217" t="s">
        <v>1528</v>
      </c>
    </row>
    <row r="400" spans="1:9">
      <c r="A400" s="23">
        <v>400</v>
      </c>
      <c r="B400" s="84">
        <v>45843</v>
      </c>
      <c r="C400" s="23" t="s">
        <v>513</v>
      </c>
      <c r="D400" s="23" t="s">
        <v>227</v>
      </c>
      <c r="G400" s="23">
        <v>0</v>
      </c>
      <c r="I400" s="217" t="s">
        <v>1529</v>
      </c>
    </row>
    <row r="401" spans="1:9">
      <c r="A401" s="23">
        <v>401</v>
      </c>
      <c r="B401" s="84">
        <v>45843</v>
      </c>
      <c r="C401" s="23" t="s">
        <v>523</v>
      </c>
      <c r="D401" s="23" t="s">
        <v>297</v>
      </c>
      <c r="G401" s="23">
        <v>0</v>
      </c>
      <c r="I401" s="217" t="s">
        <v>1528</v>
      </c>
    </row>
    <row r="402" spans="1:9">
      <c r="A402" s="23">
        <v>402</v>
      </c>
      <c r="B402" s="84">
        <v>45843</v>
      </c>
      <c r="C402" s="23" t="s">
        <v>515</v>
      </c>
      <c r="D402" s="23" t="s">
        <v>230</v>
      </c>
      <c r="G402" s="23">
        <v>0</v>
      </c>
      <c r="I402" s="217" t="s">
        <v>1530</v>
      </c>
    </row>
    <row r="403" spans="1:9">
      <c r="A403" s="23">
        <v>403</v>
      </c>
      <c r="B403" s="84">
        <v>45843</v>
      </c>
      <c r="C403" s="23" t="s">
        <v>520</v>
      </c>
      <c r="D403" s="23" t="s">
        <v>240</v>
      </c>
      <c r="G403" s="23">
        <v>0</v>
      </c>
      <c r="I403" s="217" t="s">
        <v>1525</v>
      </c>
    </row>
    <row r="404" spans="1:9">
      <c r="A404" s="23">
        <v>404</v>
      </c>
      <c r="B404" s="84">
        <v>45843</v>
      </c>
      <c r="C404" s="23" t="s">
        <v>518</v>
      </c>
      <c r="D404" s="23" t="s">
        <v>312</v>
      </c>
      <c r="G404" s="23">
        <v>0</v>
      </c>
      <c r="I404" s="217" t="s">
        <v>1531</v>
      </c>
    </row>
    <row r="405" spans="1:9">
      <c r="A405" s="23">
        <v>405</v>
      </c>
      <c r="B405" s="84">
        <v>45843</v>
      </c>
      <c r="C405" s="23" t="s">
        <v>449</v>
      </c>
      <c r="D405" s="23" t="s">
        <v>243</v>
      </c>
      <c r="G405" s="23">
        <v>0</v>
      </c>
      <c r="I405" s="217" t="s">
        <v>1532</v>
      </c>
    </row>
    <row r="406" spans="1:9">
      <c r="A406" s="23">
        <v>406</v>
      </c>
      <c r="B406" s="84">
        <v>45843</v>
      </c>
      <c r="C406" s="23" t="s">
        <v>521</v>
      </c>
      <c r="D406" s="23" t="s">
        <v>246</v>
      </c>
      <c r="G406" s="23">
        <v>0</v>
      </c>
      <c r="I406" s="217" t="s">
        <v>1533</v>
      </c>
    </row>
    <row r="407" spans="1:9">
      <c r="A407" s="23">
        <v>407</v>
      </c>
      <c r="B407" s="84">
        <v>45843</v>
      </c>
      <c r="C407" s="23" t="s">
        <v>396</v>
      </c>
      <c r="D407" s="23" t="s">
        <v>222</v>
      </c>
      <c r="G407" s="23">
        <v>0.66500000000000004</v>
      </c>
      <c r="I407" s="217" t="s">
        <v>1534</v>
      </c>
    </row>
    <row r="408" spans="1:9">
      <c r="A408" s="23">
        <v>408</v>
      </c>
      <c r="B408" s="84">
        <v>45843</v>
      </c>
      <c r="C408" s="23" t="s">
        <v>358</v>
      </c>
      <c r="D408" s="23" t="s">
        <v>216</v>
      </c>
      <c r="G408" s="23">
        <v>0</v>
      </c>
      <c r="I408" s="217" t="s">
        <v>1535</v>
      </c>
    </row>
    <row r="409" spans="1:9">
      <c r="A409" s="23">
        <v>409</v>
      </c>
      <c r="B409" s="84">
        <v>45843</v>
      </c>
      <c r="C409" s="23" t="s">
        <v>485</v>
      </c>
      <c r="D409" s="23" t="s">
        <v>254</v>
      </c>
      <c r="G409" s="23">
        <v>0</v>
      </c>
      <c r="I409" s="217" t="s">
        <v>1536</v>
      </c>
    </row>
    <row r="410" spans="1:9">
      <c r="A410" s="23">
        <v>410</v>
      </c>
      <c r="B410" s="84">
        <v>45843</v>
      </c>
      <c r="C410" s="23" t="s">
        <v>477</v>
      </c>
      <c r="D410" s="23" t="s">
        <v>209</v>
      </c>
      <c r="G410" s="23">
        <v>0</v>
      </c>
      <c r="I410" s="217" t="s">
        <v>1537</v>
      </c>
    </row>
    <row r="411" spans="1:9">
      <c r="A411" s="23">
        <v>411</v>
      </c>
      <c r="B411" s="84">
        <v>45844</v>
      </c>
      <c r="C411" s="23" t="s">
        <v>271</v>
      </c>
      <c r="D411" s="23" t="s">
        <v>197</v>
      </c>
      <c r="G411" s="23">
        <v>0</v>
      </c>
      <c r="I411" s="217" t="s">
        <v>1538</v>
      </c>
    </row>
    <row r="412" spans="1:9">
      <c r="A412" s="23">
        <v>412</v>
      </c>
      <c r="B412" s="84">
        <v>45844</v>
      </c>
      <c r="C412" s="23" t="s">
        <v>466</v>
      </c>
      <c r="D412" s="23" t="s">
        <v>206</v>
      </c>
      <c r="G412" s="23">
        <v>0</v>
      </c>
      <c r="I412" s="217" t="s">
        <v>1539</v>
      </c>
    </row>
    <row r="413" spans="1:9">
      <c r="A413" s="23">
        <v>413</v>
      </c>
      <c r="B413" s="84">
        <v>45844</v>
      </c>
      <c r="C413" s="23" t="s">
        <v>554</v>
      </c>
      <c r="D413" s="23" t="s">
        <v>216</v>
      </c>
      <c r="G413" s="23">
        <v>0.43</v>
      </c>
      <c r="I413" s="217" t="s">
        <v>1540</v>
      </c>
    </row>
    <row r="414" spans="1:9">
      <c r="A414" s="23">
        <v>414</v>
      </c>
      <c r="B414" s="84">
        <v>45844</v>
      </c>
      <c r="C414" s="23" t="s">
        <v>511</v>
      </c>
      <c r="D414" s="23" t="s">
        <v>219</v>
      </c>
      <c r="G414" s="23">
        <v>0</v>
      </c>
      <c r="I414" s="217" t="s">
        <v>1541</v>
      </c>
    </row>
    <row r="415" spans="1:9">
      <c r="A415" s="23">
        <v>415</v>
      </c>
      <c r="B415" s="84">
        <v>45844</v>
      </c>
      <c r="C415" s="23" t="s">
        <v>557</v>
      </c>
      <c r="D415" s="23" t="s">
        <v>197</v>
      </c>
      <c r="G415" s="23">
        <v>1.5</v>
      </c>
      <c r="I415" s="217" t="s">
        <v>1542</v>
      </c>
    </row>
    <row r="416" spans="1:9">
      <c r="A416" s="23">
        <v>416</v>
      </c>
      <c r="B416" s="84">
        <v>45844</v>
      </c>
      <c r="C416" s="23" t="s">
        <v>499</v>
      </c>
      <c r="D416" s="23" t="s">
        <v>203</v>
      </c>
      <c r="G416" s="23">
        <v>0</v>
      </c>
      <c r="I416" s="217" t="s">
        <v>1543</v>
      </c>
    </row>
    <row r="417" spans="1:9">
      <c r="A417" s="23">
        <v>417</v>
      </c>
      <c r="B417" s="84">
        <v>45844</v>
      </c>
      <c r="C417" s="23" t="s">
        <v>236</v>
      </c>
      <c r="D417" s="23" t="s">
        <v>235</v>
      </c>
      <c r="G417" s="23">
        <v>0.72</v>
      </c>
      <c r="I417" s="217" t="s">
        <v>1544</v>
      </c>
    </row>
    <row r="418" spans="1:9">
      <c r="A418" s="23">
        <v>418</v>
      </c>
      <c r="B418" s="84">
        <v>45844</v>
      </c>
      <c r="C418" s="23" t="s">
        <v>215</v>
      </c>
      <c r="D418" s="23" t="s">
        <v>213</v>
      </c>
      <c r="G418" s="23">
        <v>0</v>
      </c>
      <c r="I418" s="217" t="s">
        <v>1545</v>
      </c>
    </row>
    <row r="419" spans="1:9">
      <c r="A419" s="23">
        <v>419</v>
      </c>
      <c r="B419" s="84">
        <v>45844</v>
      </c>
      <c r="C419" s="23" t="s">
        <v>1546</v>
      </c>
      <c r="D419" s="23" t="s">
        <v>227</v>
      </c>
      <c r="G419" s="23">
        <v>0.8</v>
      </c>
      <c r="I419" s="217" t="s">
        <v>1547</v>
      </c>
    </row>
    <row r="420" spans="1:9">
      <c r="A420" s="23">
        <v>420</v>
      </c>
      <c r="B420" s="84">
        <v>45844</v>
      </c>
      <c r="C420" s="23" t="s">
        <v>943</v>
      </c>
      <c r="D420" s="23" t="s">
        <v>227</v>
      </c>
      <c r="G420" s="23">
        <v>0</v>
      </c>
      <c r="I420" s="217" t="s">
        <v>1547</v>
      </c>
    </row>
    <row r="421" spans="1:9">
      <c r="A421" s="23">
        <v>421</v>
      </c>
      <c r="B421" s="84">
        <v>45844</v>
      </c>
      <c r="C421" s="23" t="s">
        <v>877</v>
      </c>
      <c r="D421" s="23" t="s">
        <v>230</v>
      </c>
      <c r="G421" s="23">
        <v>0.7</v>
      </c>
      <c r="I421" s="217" t="s">
        <v>1548</v>
      </c>
    </row>
    <row r="422" spans="1:9">
      <c r="A422" s="23">
        <v>422</v>
      </c>
      <c r="B422" s="84">
        <v>45844</v>
      </c>
      <c r="C422" s="23" t="s">
        <v>1060</v>
      </c>
      <c r="D422" s="23" t="s">
        <v>240</v>
      </c>
      <c r="G422" s="23">
        <v>0.8</v>
      </c>
      <c r="I422" s="217" t="s">
        <v>1549</v>
      </c>
    </row>
    <row r="423" spans="1:9">
      <c r="A423" s="23">
        <v>423</v>
      </c>
      <c r="B423" s="84">
        <v>45844</v>
      </c>
      <c r="C423" s="23" t="s">
        <v>295</v>
      </c>
      <c r="D423" s="23" t="s">
        <v>243</v>
      </c>
      <c r="G423" s="23">
        <v>0.8</v>
      </c>
      <c r="I423" s="217" t="s">
        <v>1550</v>
      </c>
    </row>
    <row r="424" spans="1:9">
      <c r="A424" s="23">
        <v>424</v>
      </c>
      <c r="B424" s="84">
        <v>45844</v>
      </c>
      <c r="C424" s="23" t="s">
        <v>822</v>
      </c>
      <c r="D424" s="23" t="s">
        <v>246</v>
      </c>
      <c r="G424" s="23">
        <v>0.8</v>
      </c>
      <c r="I424" s="217" t="s">
        <v>1551</v>
      </c>
    </row>
    <row r="425" spans="1:9">
      <c r="A425" s="23">
        <v>425</v>
      </c>
      <c r="B425" s="84">
        <v>45844</v>
      </c>
      <c r="C425" s="23" t="s">
        <v>418</v>
      </c>
      <c r="D425" s="23" t="s">
        <v>233</v>
      </c>
      <c r="G425" s="23">
        <v>1.7</v>
      </c>
      <c r="I425" s="217" t="s">
        <v>1552</v>
      </c>
    </row>
    <row r="426" spans="1:9">
      <c r="A426" s="23">
        <v>426</v>
      </c>
      <c r="B426" s="84">
        <v>45844</v>
      </c>
      <c r="C426" s="23" t="s">
        <v>369</v>
      </c>
      <c r="D426" s="23" t="s">
        <v>230</v>
      </c>
      <c r="G426" s="23">
        <v>0</v>
      </c>
      <c r="I426" s="217" t="s">
        <v>1553</v>
      </c>
    </row>
    <row r="427" spans="1:9">
      <c r="A427" s="23">
        <v>427</v>
      </c>
      <c r="B427" s="84">
        <v>45844</v>
      </c>
      <c r="C427" s="23" t="s">
        <v>291</v>
      </c>
      <c r="D427" s="23" t="s">
        <v>203</v>
      </c>
      <c r="G427" s="23">
        <v>1</v>
      </c>
      <c r="I427" s="217" t="s">
        <v>1554</v>
      </c>
    </row>
    <row r="428" spans="1:9">
      <c r="A428" s="23">
        <v>428</v>
      </c>
      <c r="B428" s="84">
        <v>45844</v>
      </c>
      <c r="C428" s="23" t="s">
        <v>359</v>
      </c>
      <c r="D428" s="23" t="s">
        <v>227</v>
      </c>
      <c r="G428" s="23">
        <v>0.8</v>
      </c>
      <c r="I428" s="217" t="s">
        <v>1555</v>
      </c>
    </row>
    <row r="429" spans="1:9">
      <c r="A429" s="23">
        <v>429</v>
      </c>
      <c r="B429" s="84">
        <v>45844</v>
      </c>
      <c r="C429" s="23" t="s">
        <v>370</v>
      </c>
      <c r="D429" s="23" t="s">
        <v>230</v>
      </c>
      <c r="G429" s="23">
        <v>0.8</v>
      </c>
      <c r="I429" s="217" t="s">
        <v>1556</v>
      </c>
    </row>
    <row r="430" spans="1:9">
      <c r="A430" s="23">
        <v>430</v>
      </c>
      <c r="B430" s="84">
        <v>45844</v>
      </c>
      <c r="C430" s="23" t="s">
        <v>486</v>
      </c>
      <c r="D430" s="23" t="s">
        <v>240</v>
      </c>
      <c r="G430" s="23">
        <v>0</v>
      </c>
      <c r="I430" s="217" t="s">
        <v>1557</v>
      </c>
    </row>
    <row r="431" spans="1:9">
      <c r="A431" s="23">
        <v>431</v>
      </c>
      <c r="B431" s="84">
        <v>45844</v>
      </c>
      <c r="C431" s="23" t="s">
        <v>1044</v>
      </c>
      <c r="D431" s="23" t="s">
        <v>243</v>
      </c>
      <c r="G431" s="23">
        <v>0</v>
      </c>
      <c r="I431" s="217" t="s">
        <v>1558</v>
      </c>
    </row>
    <row r="432" spans="1:9">
      <c r="A432" s="23">
        <v>432</v>
      </c>
      <c r="B432" s="84">
        <v>45844</v>
      </c>
      <c r="C432" s="23" t="s">
        <v>189</v>
      </c>
      <c r="D432" s="23" t="s">
        <v>246</v>
      </c>
      <c r="G432" s="23">
        <v>0</v>
      </c>
      <c r="I432" s="217" t="s">
        <v>1559</v>
      </c>
    </row>
    <row r="433" spans="1:9">
      <c r="A433" s="23">
        <v>433</v>
      </c>
      <c r="B433" s="84">
        <v>45844</v>
      </c>
      <c r="C433" s="23" t="s">
        <v>490</v>
      </c>
      <c r="D433" s="23" t="s">
        <v>227</v>
      </c>
      <c r="G433" s="23">
        <v>0</v>
      </c>
      <c r="I433" s="217" t="s">
        <v>1560</v>
      </c>
    </row>
    <row r="434" spans="1:9">
      <c r="A434" s="23">
        <v>434</v>
      </c>
      <c r="B434" s="84">
        <v>45844</v>
      </c>
      <c r="C434" s="23" t="s">
        <v>966</v>
      </c>
      <c r="D434" s="23" t="s">
        <v>240</v>
      </c>
      <c r="G434" s="23">
        <v>0.7</v>
      </c>
      <c r="I434" s="217" t="s">
        <v>1561</v>
      </c>
    </row>
    <row r="435" spans="1:9">
      <c r="A435" s="23">
        <v>435</v>
      </c>
      <c r="B435" s="84">
        <v>45844</v>
      </c>
      <c r="C435" s="23" t="s">
        <v>1562</v>
      </c>
      <c r="D435" s="23" t="s">
        <v>230</v>
      </c>
      <c r="G435" s="23">
        <v>0</v>
      </c>
      <c r="I435" s="217" t="s">
        <v>1563</v>
      </c>
    </row>
    <row r="436" spans="1:9">
      <c r="A436" s="23">
        <v>436</v>
      </c>
      <c r="B436" s="84">
        <v>45844</v>
      </c>
      <c r="C436" s="23" t="s">
        <v>556</v>
      </c>
      <c r="D436" s="23" t="s">
        <v>209</v>
      </c>
      <c r="G436" s="23">
        <v>1</v>
      </c>
      <c r="I436" s="217" t="s">
        <v>1564</v>
      </c>
    </row>
    <row r="437" spans="1:9">
      <c r="A437" s="23">
        <v>437</v>
      </c>
      <c r="B437" s="84">
        <v>45844</v>
      </c>
      <c r="C437" s="23" t="s">
        <v>558</v>
      </c>
      <c r="D437" s="23" t="s">
        <v>219</v>
      </c>
      <c r="G437" s="23">
        <v>0.61</v>
      </c>
      <c r="I437" s="217" t="s">
        <v>1565</v>
      </c>
    </row>
    <row r="438" spans="1:9">
      <c r="A438" s="23">
        <v>438</v>
      </c>
      <c r="B438" s="84">
        <v>45844</v>
      </c>
      <c r="C438" s="23" t="s">
        <v>524</v>
      </c>
      <c r="D438" s="23" t="s">
        <v>222</v>
      </c>
      <c r="G438" s="23">
        <v>0</v>
      </c>
      <c r="I438" s="217" t="s">
        <v>1566</v>
      </c>
    </row>
    <row r="439" spans="1:9">
      <c r="A439" s="23">
        <v>439</v>
      </c>
      <c r="B439" s="84">
        <v>45844</v>
      </c>
      <c r="C439" s="23" t="s">
        <v>502</v>
      </c>
      <c r="D439" s="23" t="s">
        <v>240</v>
      </c>
      <c r="G439" s="23">
        <v>0</v>
      </c>
      <c r="I439" s="217" t="s">
        <v>1567</v>
      </c>
    </row>
    <row r="440" spans="1:9">
      <c r="A440" s="23">
        <v>440</v>
      </c>
      <c r="B440" s="84">
        <v>45844</v>
      </c>
      <c r="C440" s="23" t="s">
        <v>287</v>
      </c>
      <c r="D440" s="23" t="s">
        <v>251</v>
      </c>
      <c r="G440" s="23">
        <v>0</v>
      </c>
      <c r="I440" s="217" t="s">
        <v>1568</v>
      </c>
    </row>
    <row r="441" spans="1:9">
      <c r="A441" s="23">
        <v>441</v>
      </c>
      <c r="B441" s="84">
        <v>45844</v>
      </c>
      <c r="C441" s="23" t="s">
        <v>287</v>
      </c>
      <c r="D441" s="23" t="s">
        <v>251</v>
      </c>
      <c r="G441" s="23">
        <v>1</v>
      </c>
      <c r="H441" s="23" t="s">
        <v>475</v>
      </c>
      <c r="I441" s="217" t="s">
        <v>1236</v>
      </c>
    </row>
    <row r="442" spans="1:9">
      <c r="A442" s="23">
        <v>442</v>
      </c>
      <c r="B442" s="84">
        <v>45844</v>
      </c>
      <c r="C442" s="23" t="s">
        <v>525</v>
      </c>
      <c r="D442" s="23" t="s">
        <v>206</v>
      </c>
      <c r="G442" s="23">
        <v>1.2</v>
      </c>
      <c r="I442" s="217" t="s">
        <v>1569</v>
      </c>
    </row>
    <row r="443" spans="1:9">
      <c r="A443" s="23">
        <v>443</v>
      </c>
      <c r="B443" s="84">
        <v>45844</v>
      </c>
      <c r="C443" s="23" t="s">
        <v>527</v>
      </c>
      <c r="D443" s="23" t="s">
        <v>233</v>
      </c>
      <c r="G443" s="23">
        <v>0</v>
      </c>
      <c r="I443" s="217" t="s">
        <v>1570</v>
      </c>
    </row>
    <row r="444" spans="1:9">
      <c r="A444" s="23">
        <v>444</v>
      </c>
      <c r="B444" s="84">
        <v>45844</v>
      </c>
      <c r="C444" s="23" t="s">
        <v>237</v>
      </c>
      <c r="D444" s="23" t="s">
        <v>251</v>
      </c>
      <c r="G444" s="23">
        <v>0</v>
      </c>
      <c r="H444" s="23" t="s">
        <v>337</v>
      </c>
      <c r="I444" s="217" t="s">
        <v>1571</v>
      </c>
    </row>
    <row r="445" spans="1:9">
      <c r="A445" s="23">
        <v>445</v>
      </c>
      <c r="B445" s="84">
        <v>45844</v>
      </c>
      <c r="C445" s="23" t="s">
        <v>263</v>
      </c>
      <c r="D445" s="23" t="s">
        <v>243</v>
      </c>
      <c r="G445" s="23">
        <v>0.8</v>
      </c>
      <c r="I445" s="217" t="s">
        <v>1572</v>
      </c>
    </row>
    <row r="446" spans="1:9">
      <c r="A446" s="23">
        <v>446</v>
      </c>
      <c r="B446" s="84">
        <v>45844</v>
      </c>
      <c r="C446" s="23" t="s">
        <v>530</v>
      </c>
      <c r="D446" s="23" t="s">
        <v>243</v>
      </c>
      <c r="G446" s="23">
        <v>0</v>
      </c>
      <c r="I446" s="217" t="s">
        <v>1573</v>
      </c>
    </row>
    <row r="447" spans="1:9">
      <c r="A447" s="23">
        <v>447</v>
      </c>
      <c r="B447" s="84">
        <v>45844</v>
      </c>
      <c r="C447" s="23" t="s">
        <v>531</v>
      </c>
      <c r="D447" s="23" t="s">
        <v>243</v>
      </c>
      <c r="G447" s="23">
        <v>0.8</v>
      </c>
      <c r="I447" s="217" t="s">
        <v>1236</v>
      </c>
    </row>
    <row r="448" spans="1:9">
      <c r="A448" s="23">
        <v>448</v>
      </c>
      <c r="B448" s="84">
        <v>45844</v>
      </c>
      <c r="C448" s="23" t="s">
        <v>533</v>
      </c>
      <c r="D448" s="23" t="s">
        <v>246</v>
      </c>
      <c r="G448" s="23">
        <v>0.8</v>
      </c>
      <c r="I448" s="217" t="s">
        <v>1574</v>
      </c>
    </row>
    <row r="449" spans="1:9">
      <c r="A449" s="23">
        <v>449</v>
      </c>
      <c r="B449" s="84">
        <v>45844</v>
      </c>
      <c r="C449" s="23" t="s">
        <v>534</v>
      </c>
      <c r="D449" s="23" t="s">
        <v>227</v>
      </c>
      <c r="G449" s="23">
        <v>0.8</v>
      </c>
      <c r="I449" s="217" t="s">
        <v>1575</v>
      </c>
    </row>
    <row r="450" spans="1:9">
      <c r="A450" s="23">
        <v>450</v>
      </c>
      <c r="B450" s="84">
        <v>45844</v>
      </c>
      <c r="C450" s="23" t="s">
        <v>536</v>
      </c>
      <c r="D450" s="23" t="s">
        <v>230</v>
      </c>
      <c r="G450" s="23">
        <v>0.8</v>
      </c>
      <c r="I450" s="217" t="s">
        <v>1576</v>
      </c>
    </row>
    <row r="451" spans="1:9">
      <c r="A451" s="23">
        <v>451</v>
      </c>
      <c r="B451" s="84">
        <v>45844</v>
      </c>
      <c r="C451" s="23" t="s">
        <v>532</v>
      </c>
      <c r="D451" s="23" t="s">
        <v>243</v>
      </c>
      <c r="G451" s="23">
        <v>0</v>
      </c>
      <c r="I451" s="217" t="s">
        <v>1577</v>
      </c>
    </row>
    <row r="452" spans="1:9">
      <c r="A452" s="23">
        <v>452</v>
      </c>
      <c r="B452" s="84">
        <v>45844</v>
      </c>
      <c r="C452" s="23" t="s">
        <v>537</v>
      </c>
      <c r="D452" s="23" t="s">
        <v>235</v>
      </c>
      <c r="G452" s="23">
        <v>0</v>
      </c>
      <c r="I452" s="217" t="s">
        <v>1578</v>
      </c>
    </row>
    <row r="453" spans="1:9">
      <c r="A453" s="23">
        <v>453</v>
      </c>
      <c r="B453" s="84">
        <v>45844</v>
      </c>
      <c r="C453" s="23" t="s">
        <v>328</v>
      </c>
      <c r="D453" s="23" t="s">
        <v>240</v>
      </c>
      <c r="G453" s="23">
        <v>0.8</v>
      </c>
      <c r="I453" s="217" t="s">
        <v>1579</v>
      </c>
    </row>
    <row r="454" spans="1:9">
      <c r="A454" s="23">
        <v>454</v>
      </c>
      <c r="B454" s="84">
        <v>45844</v>
      </c>
      <c r="C454" s="23" t="s">
        <v>390</v>
      </c>
      <c r="D454" s="23" t="s">
        <v>246</v>
      </c>
      <c r="G454" s="23">
        <v>0</v>
      </c>
      <c r="I454" s="217" t="s">
        <v>1580</v>
      </c>
    </row>
    <row r="455" spans="1:9">
      <c r="A455" s="23">
        <v>455</v>
      </c>
      <c r="B455" s="84">
        <v>45844</v>
      </c>
      <c r="C455" s="23" t="s">
        <v>535</v>
      </c>
      <c r="D455" s="23" t="s">
        <v>227</v>
      </c>
      <c r="G455" s="23">
        <v>0</v>
      </c>
      <c r="I455" s="217" t="s">
        <v>1581</v>
      </c>
    </row>
    <row r="456" spans="1:9">
      <c r="A456" s="23">
        <v>456</v>
      </c>
      <c r="B456" s="84">
        <v>45844</v>
      </c>
      <c r="C456" s="23" t="s">
        <v>393</v>
      </c>
      <c r="D456" s="23" t="s">
        <v>230</v>
      </c>
      <c r="G456" s="23">
        <v>0</v>
      </c>
      <c r="I456" s="217" t="s">
        <v>1582</v>
      </c>
    </row>
    <row r="457" spans="1:9">
      <c r="A457" s="23">
        <v>457</v>
      </c>
      <c r="B457" s="84">
        <v>45844</v>
      </c>
      <c r="C457" s="23" t="s">
        <v>538</v>
      </c>
      <c r="D457" s="23" t="s">
        <v>240</v>
      </c>
      <c r="G457" s="23">
        <v>0</v>
      </c>
      <c r="I457" s="217" t="s">
        <v>1583</v>
      </c>
    </row>
    <row r="458" spans="1:9">
      <c r="A458" s="23">
        <v>458</v>
      </c>
      <c r="B458" s="84">
        <v>45844</v>
      </c>
      <c r="C458" s="23" t="s">
        <v>539</v>
      </c>
      <c r="D458" s="23" t="s">
        <v>235</v>
      </c>
      <c r="G458" s="23">
        <v>0.5</v>
      </c>
      <c r="I458" s="217" t="s">
        <v>1584</v>
      </c>
    </row>
    <row r="459" spans="1:9">
      <c r="A459" s="23">
        <v>459</v>
      </c>
      <c r="B459" s="84">
        <v>45844</v>
      </c>
      <c r="C459" s="23" t="s">
        <v>539</v>
      </c>
      <c r="D459" s="23" t="s">
        <v>213</v>
      </c>
      <c r="G459" s="23">
        <v>0.5</v>
      </c>
      <c r="I459" s="217" t="s">
        <v>1585</v>
      </c>
    </row>
    <row r="460" spans="1:9">
      <c r="A460" s="23">
        <v>460</v>
      </c>
      <c r="B460" s="84">
        <v>45844</v>
      </c>
      <c r="C460" s="23" t="s">
        <v>540</v>
      </c>
      <c r="D460" s="23" t="s">
        <v>213</v>
      </c>
      <c r="G460" s="23">
        <v>0</v>
      </c>
      <c r="I460" s="217" t="s">
        <v>1585</v>
      </c>
    </row>
    <row r="461" spans="1:9">
      <c r="A461" s="23">
        <v>461</v>
      </c>
      <c r="B461" s="84">
        <v>45844</v>
      </c>
      <c r="C461" s="23" t="s">
        <v>541</v>
      </c>
      <c r="D461" s="23" t="s">
        <v>243</v>
      </c>
      <c r="G461" s="23">
        <v>0.7</v>
      </c>
      <c r="I461" s="217" t="s">
        <v>1586</v>
      </c>
    </row>
    <row r="462" spans="1:9">
      <c r="A462" s="23">
        <v>462</v>
      </c>
      <c r="B462" s="84">
        <v>45844</v>
      </c>
      <c r="C462" s="23" t="s">
        <v>220</v>
      </c>
      <c r="D462" s="23" t="s">
        <v>213</v>
      </c>
      <c r="G462" s="23">
        <v>1</v>
      </c>
      <c r="I462" s="217" t="s">
        <v>1587</v>
      </c>
    </row>
    <row r="463" spans="1:9">
      <c r="A463" s="23">
        <v>463</v>
      </c>
      <c r="B463" s="84">
        <v>45844</v>
      </c>
      <c r="C463" s="23" t="s">
        <v>277</v>
      </c>
      <c r="D463" s="23" t="s">
        <v>235</v>
      </c>
      <c r="G463" s="23">
        <v>0</v>
      </c>
      <c r="I463" s="217" t="s">
        <v>1588</v>
      </c>
    </row>
    <row r="464" spans="1:9">
      <c r="A464" s="23">
        <v>464</v>
      </c>
      <c r="B464" s="84">
        <v>45844</v>
      </c>
      <c r="C464" s="23" t="s">
        <v>543</v>
      </c>
      <c r="D464" s="23" t="s">
        <v>246</v>
      </c>
      <c r="G464" s="23">
        <v>0.7</v>
      </c>
      <c r="I464" s="217" t="s">
        <v>1589</v>
      </c>
    </row>
    <row r="465" spans="1:9">
      <c r="A465" s="23">
        <v>465</v>
      </c>
      <c r="B465" s="84">
        <v>45844</v>
      </c>
      <c r="C465" s="23" t="s">
        <v>517</v>
      </c>
      <c r="D465" s="23" t="s">
        <v>227</v>
      </c>
      <c r="G465" s="23">
        <v>0.7</v>
      </c>
      <c r="I465" s="217" t="s">
        <v>1590</v>
      </c>
    </row>
    <row r="466" spans="1:9">
      <c r="A466" s="23">
        <v>466</v>
      </c>
      <c r="B466" s="84">
        <v>45844</v>
      </c>
      <c r="C466" s="23" t="s">
        <v>546</v>
      </c>
      <c r="D466" s="23" t="s">
        <v>230</v>
      </c>
      <c r="G466" s="23">
        <v>0.7</v>
      </c>
      <c r="I466" s="217" t="s">
        <v>1591</v>
      </c>
    </row>
    <row r="467" spans="1:9">
      <c r="A467" s="23">
        <v>467</v>
      </c>
      <c r="B467" s="84">
        <v>45844</v>
      </c>
      <c r="C467" s="23" t="s">
        <v>548</v>
      </c>
      <c r="D467" s="23" t="s">
        <v>240</v>
      </c>
      <c r="G467" s="23">
        <v>0.7</v>
      </c>
      <c r="I467" s="217" t="s">
        <v>1592</v>
      </c>
    </row>
    <row r="468" spans="1:9">
      <c r="A468" s="23">
        <v>468</v>
      </c>
      <c r="B468" s="84">
        <v>45844</v>
      </c>
      <c r="C468" s="23" t="s">
        <v>550</v>
      </c>
      <c r="D468" s="23" t="s">
        <v>297</v>
      </c>
      <c r="G468" s="23">
        <v>0.7</v>
      </c>
      <c r="I468" s="217" t="s">
        <v>1593</v>
      </c>
    </row>
    <row r="469" spans="1:9">
      <c r="A469" s="23">
        <v>469</v>
      </c>
      <c r="B469" s="84">
        <v>45844</v>
      </c>
      <c r="C469" s="23" t="s">
        <v>528</v>
      </c>
      <c r="D469" s="23" t="s">
        <v>251</v>
      </c>
      <c r="G469" s="23">
        <v>1</v>
      </c>
      <c r="H469" s="23" t="s">
        <v>337</v>
      </c>
      <c r="I469" s="217" t="s">
        <v>1594</v>
      </c>
    </row>
    <row r="470" spans="1:9">
      <c r="A470" s="23">
        <v>470</v>
      </c>
      <c r="B470" s="84">
        <v>45844</v>
      </c>
      <c r="C470" s="23" t="s">
        <v>552</v>
      </c>
      <c r="D470" s="23" t="s">
        <v>222</v>
      </c>
      <c r="G470" s="23">
        <v>0.6</v>
      </c>
      <c r="I470" s="217" t="s">
        <v>1595</v>
      </c>
    </row>
    <row r="471" spans="1:9">
      <c r="A471" s="23">
        <v>471</v>
      </c>
      <c r="B471" s="84">
        <v>45844</v>
      </c>
      <c r="C471" s="23" t="s">
        <v>551</v>
      </c>
      <c r="D471" s="23" t="s">
        <v>297</v>
      </c>
      <c r="G471" s="23">
        <v>0</v>
      </c>
      <c r="I471" s="217" t="s">
        <v>1596</v>
      </c>
    </row>
    <row r="472" spans="1:9">
      <c r="A472" s="23">
        <v>472</v>
      </c>
      <c r="B472" s="84">
        <v>45844</v>
      </c>
      <c r="C472" s="23" t="s">
        <v>542</v>
      </c>
      <c r="D472" s="23" t="s">
        <v>243</v>
      </c>
      <c r="G472" s="23">
        <v>0</v>
      </c>
      <c r="I472" s="217" t="s">
        <v>1597</v>
      </c>
    </row>
    <row r="473" spans="1:9">
      <c r="A473" s="23">
        <v>473</v>
      </c>
      <c r="B473" s="84">
        <v>45844</v>
      </c>
      <c r="C473" s="23" t="s">
        <v>544</v>
      </c>
      <c r="D473" s="23" t="s">
        <v>246</v>
      </c>
      <c r="G473" s="23">
        <v>0</v>
      </c>
      <c r="I473" s="217" t="s">
        <v>1598</v>
      </c>
    </row>
    <row r="474" spans="1:9">
      <c r="A474" s="23">
        <v>474</v>
      </c>
      <c r="B474" s="84">
        <v>45844</v>
      </c>
      <c r="C474" s="23" t="s">
        <v>545</v>
      </c>
      <c r="D474" s="23" t="s">
        <v>227</v>
      </c>
      <c r="G474" s="23">
        <v>0</v>
      </c>
      <c r="I474" s="217" t="s">
        <v>1599</v>
      </c>
    </row>
    <row r="475" spans="1:9">
      <c r="A475" s="23">
        <v>475</v>
      </c>
      <c r="B475" s="84">
        <v>45844</v>
      </c>
      <c r="C475" s="23" t="s">
        <v>555</v>
      </c>
      <c r="D475" s="23" t="s">
        <v>216</v>
      </c>
      <c r="G475" s="23">
        <v>0</v>
      </c>
      <c r="I475" s="217" t="s">
        <v>1600</v>
      </c>
    </row>
    <row r="476" spans="1:9">
      <c r="A476" s="23">
        <v>476</v>
      </c>
      <c r="B476" s="84">
        <v>45844</v>
      </c>
      <c r="C476" s="23" t="s">
        <v>547</v>
      </c>
      <c r="D476" s="23" t="s">
        <v>230</v>
      </c>
      <c r="G476" s="23">
        <v>0</v>
      </c>
      <c r="I476" s="217" t="s">
        <v>1601</v>
      </c>
    </row>
    <row r="477" spans="1:9">
      <c r="A477" s="23">
        <v>477</v>
      </c>
      <c r="B477" s="84">
        <v>45844</v>
      </c>
      <c r="C477" s="23" t="s">
        <v>549</v>
      </c>
      <c r="D477" s="23" t="s">
        <v>240</v>
      </c>
      <c r="G477" s="23">
        <v>0</v>
      </c>
      <c r="I477" s="217" t="s">
        <v>1602</v>
      </c>
    </row>
    <row r="478" spans="1:9">
      <c r="A478" s="23">
        <v>478</v>
      </c>
      <c r="B478" s="84">
        <v>45844</v>
      </c>
      <c r="C478" s="23" t="s">
        <v>454</v>
      </c>
      <c r="D478" s="23" t="s">
        <v>209</v>
      </c>
      <c r="G478" s="23">
        <v>0</v>
      </c>
      <c r="I478" s="217" t="s">
        <v>1603</v>
      </c>
    </row>
    <row r="479" spans="1:9">
      <c r="A479" s="23">
        <v>479</v>
      </c>
      <c r="B479" s="84">
        <v>45844</v>
      </c>
      <c r="C479" s="23" t="s">
        <v>529</v>
      </c>
      <c r="D479" s="23" t="s">
        <v>251</v>
      </c>
      <c r="G479" s="23">
        <v>0</v>
      </c>
      <c r="I479" s="217" t="s">
        <v>1604</v>
      </c>
    </row>
    <row r="480" spans="1:9">
      <c r="A480" s="23">
        <v>480</v>
      </c>
      <c r="B480" s="84">
        <v>45845</v>
      </c>
      <c r="C480" s="23" t="s">
        <v>271</v>
      </c>
      <c r="D480" s="23" t="s">
        <v>197</v>
      </c>
      <c r="G480" s="23">
        <v>0</v>
      </c>
      <c r="I480" s="217" t="s">
        <v>1605</v>
      </c>
    </row>
    <row r="481" spans="1:9">
      <c r="A481" s="23">
        <v>481</v>
      </c>
      <c r="B481" s="84">
        <v>45845</v>
      </c>
      <c r="C481" s="23" t="s">
        <v>526</v>
      </c>
      <c r="D481" s="23" t="s">
        <v>206</v>
      </c>
      <c r="G481" s="23">
        <v>0</v>
      </c>
      <c r="I481" s="217" t="s">
        <v>1606</v>
      </c>
    </row>
    <row r="482" spans="1:9">
      <c r="A482" s="23">
        <v>482</v>
      </c>
      <c r="B482" s="84">
        <v>45845</v>
      </c>
      <c r="C482" s="23" t="s">
        <v>569</v>
      </c>
      <c r="D482" s="23" t="s">
        <v>197</v>
      </c>
      <c r="G482" s="23">
        <v>6.7</v>
      </c>
      <c r="I482" s="217" t="s">
        <v>1607</v>
      </c>
    </row>
    <row r="483" spans="1:9">
      <c r="A483" s="23">
        <v>483</v>
      </c>
      <c r="B483" s="84">
        <v>45845</v>
      </c>
      <c r="C483" s="23" t="s">
        <v>462</v>
      </c>
      <c r="D483" s="23" t="s">
        <v>203</v>
      </c>
      <c r="G483" s="23">
        <v>0</v>
      </c>
      <c r="I483" s="217" t="s">
        <v>1608</v>
      </c>
    </row>
    <row r="484" spans="1:9">
      <c r="A484" s="23">
        <v>484</v>
      </c>
      <c r="B484" s="84">
        <v>45845</v>
      </c>
      <c r="C484" s="23" t="s">
        <v>403</v>
      </c>
      <c r="D484" s="23" t="s">
        <v>216</v>
      </c>
      <c r="G484" s="23">
        <v>0.49</v>
      </c>
      <c r="I484" s="217" t="s">
        <v>1609</v>
      </c>
    </row>
    <row r="485" spans="1:9">
      <c r="A485" s="23">
        <v>485</v>
      </c>
      <c r="B485" s="84">
        <v>45845</v>
      </c>
      <c r="C485" s="23" t="s">
        <v>388</v>
      </c>
      <c r="D485" s="23" t="s">
        <v>219</v>
      </c>
      <c r="G485" s="23">
        <v>0</v>
      </c>
      <c r="I485" s="217" t="s">
        <v>1610</v>
      </c>
    </row>
    <row r="486" spans="1:9">
      <c r="A486" s="23">
        <v>486</v>
      </c>
      <c r="B486" s="84">
        <v>45845</v>
      </c>
      <c r="C486" s="23" t="s">
        <v>567</v>
      </c>
      <c r="D486" s="23" t="s">
        <v>233</v>
      </c>
      <c r="G486" s="23">
        <v>0.9</v>
      </c>
      <c r="I486" s="217" t="s">
        <v>1611</v>
      </c>
    </row>
    <row r="487" spans="1:9">
      <c r="A487" s="23">
        <v>487</v>
      </c>
      <c r="B487" s="84">
        <v>45845</v>
      </c>
      <c r="C487" s="23" t="s">
        <v>559</v>
      </c>
      <c r="D487" s="23" t="s">
        <v>246</v>
      </c>
      <c r="G487" s="23">
        <v>0.8</v>
      </c>
      <c r="I487" s="217" t="s">
        <v>1612</v>
      </c>
    </row>
    <row r="488" spans="1:9">
      <c r="A488" s="23">
        <v>488</v>
      </c>
      <c r="B488" s="84">
        <v>45845</v>
      </c>
      <c r="C488" s="23" t="s">
        <v>560</v>
      </c>
      <c r="D488" s="23" t="s">
        <v>227</v>
      </c>
      <c r="G488" s="23">
        <v>0.8</v>
      </c>
      <c r="I488" s="217" t="s">
        <v>1613</v>
      </c>
    </row>
    <row r="489" spans="1:9">
      <c r="A489" s="23">
        <v>489</v>
      </c>
      <c r="B489" s="84">
        <v>45845</v>
      </c>
      <c r="C489" s="23" t="s">
        <v>283</v>
      </c>
      <c r="D489" s="23" t="s">
        <v>246</v>
      </c>
      <c r="G489" s="23">
        <v>0</v>
      </c>
      <c r="I489" s="217" t="s">
        <v>1614</v>
      </c>
    </row>
    <row r="490" spans="1:9">
      <c r="A490" s="23">
        <v>490</v>
      </c>
      <c r="B490" s="84">
        <v>45845</v>
      </c>
      <c r="C490" s="23" t="s">
        <v>561</v>
      </c>
      <c r="D490" s="23" t="s">
        <v>227</v>
      </c>
      <c r="G490" s="23">
        <v>0</v>
      </c>
      <c r="I490" s="217" t="s">
        <v>1615</v>
      </c>
    </row>
    <row r="491" spans="1:9">
      <c r="A491" s="23">
        <v>491</v>
      </c>
      <c r="B491" s="84">
        <v>45845</v>
      </c>
      <c r="C491" s="23" t="s">
        <v>562</v>
      </c>
      <c r="D491" s="23" t="s">
        <v>240</v>
      </c>
      <c r="G491" s="23">
        <v>0.7</v>
      </c>
      <c r="I491" s="217" t="s">
        <v>1616</v>
      </c>
    </row>
    <row r="492" spans="1:9">
      <c r="A492" s="23">
        <v>492</v>
      </c>
      <c r="B492" s="84">
        <v>45845</v>
      </c>
      <c r="C492" s="23" t="s">
        <v>565</v>
      </c>
      <c r="D492" s="23" t="s">
        <v>209</v>
      </c>
      <c r="G492" s="23">
        <v>3.8</v>
      </c>
      <c r="I492" s="217" t="s">
        <v>1617</v>
      </c>
    </row>
    <row r="493" spans="1:9">
      <c r="A493" s="23">
        <v>493</v>
      </c>
      <c r="B493" s="84">
        <v>45845</v>
      </c>
      <c r="C493" s="23" t="s">
        <v>292</v>
      </c>
      <c r="D493" s="23" t="s">
        <v>240</v>
      </c>
      <c r="G493" s="23">
        <v>0</v>
      </c>
      <c r="I493" s="217" t="s">
        <v>1616</v>
      </c>
    </row>
    <row r="494" spans="1:9">
      <c r="A494" s="23">
        <v>494</v>
      </c>
      <c r="B494" s="84">
        <v>45845</v>
      </c>
      <c r="C494" s="23" t="s">
        <v>365</v>
      </c>
      <c r="D494" s="23" t="s">
        <v>243</v>
      </c>
      <c r="G494" s="23">
        <v>0.7</v>
      </c>
      <c r="I494" s="217" t="s">
        <v>1618</v>
      </c>
    </row>
    <row r="495" spans="1:9">
      <c r="A495" s="23">
        <v>495</v>
      </c>
      <c r="B495" s="84">
        <v>45845</v>
      </c>
      <c r="C495" s="23" t="s">
        <v>365</v>
      </c>
      <c r="D495" s="23" t="s">
        <v>246</v>
      </c>
      <c r="G495" s="23">
        <v>0.7</v>
      </c>
      <c r="I495" s="217" t="s">
        <v>1619</v>
      </c>
    </row>
    <row r="496" spans="1:9">
      <c r="A496" s="23">
        <v>496</v>
      </c>
      <c r="B496" s="84">
        <v>45845</v>
      </c>
      <c r="C496" s="23" t="s">
        <v>295</v>
      </c>
      <c r="D496" s="23" t="s">
        <v>235</v>
      </c>
      <c r="G496" s="23">
        <v>0.71</v>
      </c>
      <c r="I496" s="217" t="s">
        <v>1620</v>
      </c>
    </row>
    <row r="497" spans="1:9">
      <c r="A497" s="23">
        <v>497</v>
      </c>
      <c r="B497" s="84">
        <v>45845</v>
      </c>
      <c r="C497" s="23" t="s">
        <v>414</v>
      </c>
      <c r="D497" s="23" t="s">
        <v>213</v>
      </c>
      <c r="G497" s="23">
        <v>0</v>
      </c>
      <c r="I497" s="217" t="s">
        <v>1621</v>
      </c>
    </row>
    <row r="498" spans="1:9">
      <c r="A498" s="23">
        <v>498</v>
      </c>
      <c r="B498" s="84">
        <v>45845</v>
      </c>
      <c r="C498" s="23" t="s">
        <v>299</v>
      </c>
      <c r="D498" s="23" t="s">
        <v>251</v>
      </c>
      <c r="G498" s="23">
        <v>0.5</v>
      </c>
      <c r="I498" s="217" t="s">
        <v>1622</v>
      </c>
    </row>
    <row r="499" spans="1:9">
      <c r="A499" s="23">
        <v>499</v>
      </c>
      <c r="B499" s="84">
        <v>45845</v>
      </c>
      <c r="C499" s="23" t="s">
        <v>571</v>
      </c>
      <c r="D499" s="23" t="s">
        <v>230</v>
      </c>
      <c r="G499" s="23">
        <v>0.8</v>
      </c>
      <c r="I499" s="217" t="s">
        <v>1623</v>
      </c>
    </row>
    <row r="500" spans="1:9">
      <c r="A500" s="23">
        <v>500</v>
      </c>
      <c r="B500" s="84">
        <v>45845</v>
      </c>
      <c r="C500" s="23" t="s">
        <v>248</v>
      </c>
      <c r="D500" s="23" t="s">
        <v>227</v>
      </c>
      <c r="G500" s="23">
        <v>0.8</v>
      </c>
      <c r="I500" s="217" t="s">
        <v>1624</v>
      </c>
    </row>
    <row r="501" spans="1:9">
      <c r="A501" s="23">
        <v>501</v>
      </c>
      <c r="B501" s="84">
        <v>45845</v>
      </c>
      <c r="C501" s="23" t="s">
        <v>373</v>
      </c>
      <c r="D501" s="23" t="s">
        <v>240</v>
      </c>
      <c r="G501" s="23">
        <v>0.8</v>
      </c>
      <c r="I501" s="217" t="s">
        <v>1625</v>
      </c>
    </row>
    <row r="502" spans="1:9">
      <c r="A502" s="23">
        <v>502</v>
      </c>
      <c r="B502" s="84">
        <v>45845</v>
      </c>
      <c r="C502" s="23" t="s">
        <v>574</v>
      </c>
      <c r="D502" s="23" t="s">
        <v>203</v>
      </c>
      <c r="G502" s="23">
        <v>0.5</v>
      </c>
      <c r="I502" s="217" t="s">
        <v>1626</v>
      </c>
    </row>
    <row r="503" spans="1:9">
      <c r="A503" s="23">
        <v>503</v>
      </c>
      <c r="B503" s="84">
        <v>45845</v>
      </c>
      <c r="C503" s="23" t="s">
        <v>563</v>
      </c>
      <c r="D503" s="23" t="s">
        <v>243</v>
      </c>
      <c r="G503" s="23">
        <v>0</v>
      </c>
      <c r="I503" s="217" t="s">
        <v>1627</v>
      </c>
    </row>
    <row r="504" spans="1:9">
      <c r="A504" s="23">
        <v>504</v>
      </c>
      <c r="B504" s="84">
        <v>45845</v>
      </c>
      <c r="C504" s="23" t="s">
        <v>564</v>
      </c>
      <c r="D504" s="23" t="s">
        <v>246</v>
      </c>
      <c r="G504" s="23">
        <v>0</v>
      </c>
      <c r="I504" s="217" t="s">
        <v>1628</v>
      </c>
    </row>
    <row r="505" spans="1:9">
      <c r="A505" s="23">
        <v>505</v>
      </c>
      <c r="B505" s="84">
        <v>45845</v>
      </c>
      <c r="C505" s="23" t="s">
        <v>370</v>
      </c>
      <c r="D505" s="23" t="s">
        <v>227</v>
      </c>
      <c r="G505" s="23">
        <v>0</v>
      </c>
      <c r="I505" s="217" t="s">
        <v>1629</v>
      </c>
    </row>
    <row r="506" spans="1:9">
      <c r="A506" s="23">
        <v>506</v>
      </c>
      <c r="B506" s="84">
        <v>45845</v>
      </c>
      <c r="C506" s="23" t="s">
        <v>576</v>
      </c>
      <c r="D506" s="23" t="s">
        <v>246</v>
      </c>
      <c r="G506" s="23">
        <v>0.8</v>
      </c>
      <c r="I506" s="217" t="s">
        <v>1236</v>
      </c>
    </row>
    <row r="507" spans="1:9">
      <c r="A507" s="23">
        <v>507</v>
      </c>
      <c r="B507" s="84">
        <v>45845</v>
      </c>
      <c r="C507" s="23">
        <v>941</v>
      </c>
      <c r="D507" s="23" t="s">
        <v>254</v>
      </c>
      <c r="G507" s="23">
        <v>0.5</v>
      </c>
      <c r="I507" s="217" t="s">
        <v>1630</v>
      </c>
    </row>
    <row r="508" spans="1:9">
      <c r="A508" s="23">
        <v>508</v>
      </c>
      <c r="B508" s="84">
        <v>45845</v>
      </c>
      <c r="C508" s="23" t="s">
        <v>383</v>
      </c>
      <c r="D508" s="23" t="s">
        <v>326</v>
      </c>
      <c r="G508" s="23">
        <v>0</v>
      </c>
      <c r="I508" s="217" t="s">
        <v>1631</v>
      </c>
    </row>
    <row r="509" spans="1:9">
      <c r="A509" s="23">
        <v>509</v>
      </c>
      <c r="B509" s="84">
        <v>45845</v>
      </c>
      <c r="C509" s="23" t="s">
        <v>383</v>
      </c>
      <c r="D509" s="23" t="s">
        <v>326</v>
      </c>
      <c r="G509" s="23">
        <v>1</v>
      </c>
      <c r="I509" s="217" t="s">
        <v>1236</v>
      </c>
    </row>
    <row r="510" spans="1:9">
      <c r="A510" s="23">
        <v>510</v>
      </c>
      <c r="B510" s="84">
        <v>45845</v>
      </c>
      <c r="C510" s="23" t="s">
        <v>572</v>
      </c>
      <c r="D510" s="23" t="s">
        <v>230</v>
      </c>
      <c r="G510" s="23">
        <v>0</v>
      </c>
      <c r="I510" s="217" t="s">
        <v>1632</v>
      </c>
    </row>
    <row r="511" spans="1:9">
      <c r="A511" s="23">
        <v>511</v>
      </c>
      <c r="B511" s="84">
        <v>45845</v>
      </c>
      <c r="C511" s="23" t="s">
        <v>580</v>
      </c>
      <c r="D511" s="23" t="s">
        <v>230</v>
      </c>
      <c r="G511" s="23">
        <v>0.75</v>
      </c>
      <c r="I511" s="217" t="s">
        <v>1633</v>
      </c>
    </row>
    <row r="512" spans="1:9">
      <c r="A512" s="23">
        <v>512</v>
      </c>
      <c r="B512" s="84">
        <v>45845</v>
      </c>
      <c r="C512" s="23" t="s">
        <v>582</v>
      </c>
      <c r="D512" s="23" t="s">
        <v>227</v>
      </c>
      <c r="G512" s="23">
        <v>0.75</v>
      </c>
      <c r="I512" s="217" t="s">
        <v>1634</v>
      </c>
    </row>
    <row r="513" spans="1:9">
      <c r="A513" s="23">
        <v>513</v>
      </c>
      <c r="B513" s="84">
        <v>45845</v>
      </c>
      <c r="C513" s="23" t="s">
        <v>584</v>
      </c>
      <c r="D513" s="23" t="s">
        <v>206</v>
      </c>
      <c r="G513" s="23">
        <v>3.8</v>
      </c>
      <c r="I513" s="217" t="s">
        <v>1635</v>
      </c>
    </row>
    <row r="514" spans="1:9">
      <c r="A514" s="23">
        <v>514</v>
      </c>
      <c r="B514" s="84">
        <v>45845</v>
      </c>
      <c r="C514" s="23" t="s">
        <v>568</v>
      </c>
      <c r="D514" s="23" t="s">
        <v>233</v>
      </c>
      <c r="G514" s="23">
        <v>0</v>
      </c>
      <c r="I514" s="217" t="s">
        <v>1636</v>
      </c>
    </row>
    <row r="515" spans="1:9">
      <c r="A515" s="23">
        <v>515</v>
      </c>
      <c r="B515" s="84">
        <v>45845</v>
      </c>
      <c r="C515" s="23" t="s">
        <v>573</v>
      </c>
      <c r="D515" s="23" t="s">
        <v>240</v>
      </c>
      <c r="G515" s="23">
        <v>0</v>
      </c>
      <c r="I515" s="217" t="s">
        <v>1637</v>
      </c>
    </row>
    <row r="516" spans="1:9">
      <c r="A516" s="23">
        <v>516</v>
      </c>
      <c r="B516" s="84">
        <v>45845</v>
      </c>
      <c r="C516" s="23" t="s">
        <v>579</v>
      </c>
      <c r="D516" s="23" t="s">
        <v>326</v>
      </c>
      <c r="G516" s="23">
        <v>0</v>
      </c>
      <c r="I516" s="217" t="s">
        <v>1638</v>
      </c>
    </row>
    <row r="517" spans="1:9">
      <c r="A517" s="23">
        <v>517</v>
      </c>
      <c r="B517" s="84">
        <v>45845</v>
      </c>
      <c r="C517" s="23" t="s">
        <v>579</v>
      </c>
      <c r="D517" s="23" t="s">
        <v>240</v>
      </c>
      <c r="G517" s="23">
        <v>0.74</v>
      </c>
      <c r="I517" s="217" t="s">
        <v>1236</v>
      </c>
    </row>
    <row r="518" spans="1:9">
      <c r="A518" s="23">
        <v>518</v>
      </c>
      <c r="B518" s="84">
        <v>45845</v>
      </c>
      <c r="C518" s="23" t="s">
        <v>585</v>
      </c>
      <c r="D518" s="23" t="s">
        <v>243</v>
      </c>
      <c r="G518" s="23" t="s">
        <v>9</v>
      </c>
      <c r="I518" s="217" t="s">
        <v>1639</v>
      </c>
    </row>
    <row r="519" spans="1:9">
      <c r="A519" s="23">
        <v>519</v>
      </c>
      <c r="B519" s="84">
        <v>45845</v>
      </c>
      <c r="C519" s="23" t="s">
        <v>585</v>
      </c>
      <c r="D519" s="23" t="s">
        <v>297</v>
      </c>
      <c r="G519" s="23">
        <v>0.73499999999999999</v>
      </c>
      <c r="I519" s="217" t="s">
        <v>1640</v>
      </c>
    </row>
    <row r="520" spans="1:9">
      <c r="A520" s="23">
        <v>520</v>
      </c>
      <c r="B520" s="84">
        <v>45845</v>
      </c>
      <c r="C520" s="23" t="s">
        <v>589</v>
      </c>
      <c r="D520" s="23" t="s">
        <v>233</v>
      </c>
      <c r="G520" s="23">
        <v>2</v>
      </c>
      <c r="I520" s="217" t="s">
        <v>1641</v>
      </c>
    </row>
    <row r="521" spans="1:9">
      <c r="A521" s="23">
        <v>521</v>
      </c>
      <c r="B521" s="84">
        <v>45845</v>
      </c>
      <c r="C521" s="23" t="s">
        <v>217</v>
      </c>
      <c r="D521" s="23" t="s">
        <v>219</v>
      </c>
      <c r="G521" s="23">
        <v>0.7</v>
      </c>
      <c r="I521" s="217" t="s">
        <v>1642</v>
      </c>
    </row>
    <row r="522" spans="1:9">
      <c r="A522" s="23">
        <v>522</v>
      </c>
      <c r="B522" s="84">
        <v>45845</v>
      </c>
      <c r="C522" s="23" t="s">
        <v>553</v>
      </c>
      <c r="D522" s="23" t="s">
        <v>222</v>
      </c>
      <c r="G522" s="23">
        <v>0</v>
      </c>
      <c r="I522" s="217" t="s">
        <v>1643</v>
      </c>
    </row>
    <row r="523" spans="1:9">
      <c r="A523" s="23">
        <v>523</v>
      </c>
      <c r="B523" s="84">
        <v>45845</v>
      </c>
      <c r="C523" s="23" t="s">
        <v>591</v>
      </c>
      <c r="D523" s="23" t="s">
        <v>312</v>
      </c>
      <c r="G523" s="23">
        <v>1</v>
      </c>
      <c r="I523" s="217" t="s">
        <v>1644</v>
      </c>
    </row>
    <row r="524" spans="1:9">
      <c r="A524" s="23">
        <v>524</v>
      </c>
      <c r="B524" s="84">
        <v>45845</v>
      </c>
      <c r="C524" s="23" t="s">
        <v>588</v>
      </c>
      <c r="D524" s="23" t="s">
        <v>297</v>
      </c>
      <c r="G524" s="23">
        <v>0</v>
      </c>
      <c r="I524" s="217" t="s">
        <v>1640</v>
      </c>
    </row>
    <row r="525" spans="1:9">
      <c r="A525" s="23">
        <v>525</v>
      </c>
      <c r="B525" s="84">
        <v>45845</v>
      </c>
      <c r="C525" s="23" t="s">
        <v>579</v>
      </c>
      <c r="D525" s="23" t="s">
        <v>326</v>
      </c>
      <c r="G525" s="23" t="s">
        <v>9</v>
      </c>
      <c r="I525" s="217" t="s">
        <v>1236</v>
      </c>
    </row>
    <row r="526" spans="1:9">
      <c r="A526" s="23">
        <v>526</v>
      </c>
      <c r="B526" s="84">
        <v>45845</v>
      </c>
      <c r="C526" s="23" t="s">
        <v>320</v>
      </c>
      <c r="D526" s="23" t="s">
        <v>240</v>
      </c>
      <c r="G526" s="23">
        <v>0</v>
      </c>
      <c r="I526" s="217" t="s">
        <v>1637</v>
      </c>
    </row>
    <row r="527" spans="1:9">
      <c r="A527" s="23">
        <v>527</v>
      </c>
      <c r="B527" s="84">
        <v>45845</v>
      </c>
      <c r="C527" s="23" t="s">
        <v>577</v>
      </c>
      <c r="D527" s="23" t="s">
        <v>246</v>
      </c>
      <c r="G527" s="23">
        <v>0</v>
      </c>
      <c r="I527" s="217" t="s">
        <v>1645</v>
      </c>
    </row>
    <row r="528" spans="1:9">
      <c r="A528" s="23">
        <v>528</v>
      </c>
      <c r="B528" s="84">
        <v>45845</v>
      </c>
      <c r="C528" s="23" t="s">
        <v>583</v>
      </c>
      <c r="D528" s="23" t="s">
        <v>227</v>
      </c>
      <c r="G528" s="23">
        <v>0</v>
      </c>
      <c r="I528" s="217" t="s">
        <v>1646</v>
      </c>
    </row>
    <row r="529" spans="1:9">
      <c r="A529" s="23">
        <v>529</v>
      </c>
      <c r="B529" s="84">
        <v>45845</v>
      </c>
      <c r="C529" s="23" t="s">
        <v>581</v>
      </c>
      <c r="D529" s="23" t="s">
        <v>230</v>
      </c>
      <c r="G529" s="23">
        <v>0</v>
      </c>
      <c r="I529" s="217" t="s">
        <v>1647</v>
      </c>
    </row>
    <row r="530" spans="1:9">
      <c r="A530" s="23">
        <v>530</v>
      </c>
      <c r="B530" s="84">
        <v>45845</v>
      </c>
      <c r="C530" s="23" t="s">
        <v>590</v>
      </c>
      <c r="D530" s="23" t="s">
        <v>233</v>
      </c>
      <c r="G530" s="23">
        <v>0</v>
      </c>
      <c r="I530" s="217" t="s">
        <v>1648</v>
      </c>
    </row>
    <row r="531" spans="1:9">
      <c r="A531" s="23">
        <v>531</v>
      </c>
      <c r="B531" s="84">
        <v>45845</v>
      </c>
      <c r="C531" s="23" t="s">
        <v>592</v>
      </c>
      <c r="D531" s="23" t="s">
        <v>312</v>
      </c>
      <c r="G531" s="23">
        <v>0</v>
      </c>
      <c r="I531" s="217" t="s">
        <v>1649</v>
      </c>
    </row>
    <row r="532" spans="1:9">
      <c r="A532" s="23">
        <v>532</v>
      </c>
      <c r="B532" s="84">
        <v>45845</v>
      </c>
      <c r="C532" s="23" t="s">
        <v>220</v>
      </c>
      <c r="D532" s="23" t="s">
        <v>222</v>
      </c>
      <c r="G532" s="23">
        <v>0.67</v>
      </c>
      <c r="I532" s="217" t="s">
        <v>1650</v>
      </c>
    </row>
    <row r="533" spans="1:9">
      <c r="A533" s="23">
        <v>533</v>
      </c>
      <c r="B533" s="84">
        <v>45845</v>
      </c>
      <c r="C533" s="23" t="s">
        <v>277</v>
      </c>
      <c r="D533" s="23" t="s">
        <v>216</v>
      </c>
      <c r="G533" s="23">
        <v>0</v>
      </c>
      <c r="I533" s="217" t="s">
        <v>1651</v>
      </c>
    </row>
    <row r="534" spans="1:9">
      <c r="A534" s="23">
        <v>534</v>
      </c>
      <c r="B534" s="84">
        <v>45845</v>
      </c>
      <c r="C534" s="23" t="s">
        <v>220</v>
      </c>
      <c r="D534" s="23" t="s">
        <v>213</v>
      </c>
      <c r="G534" s="23">
        <v>0.89</v>
      </c>
      <c r="I534" s="217" t="s">
        <v>1652</v>
      </c>
    </row>
    <row r="535" spans="1:9">
      <c r="A535" s="23">
        <v>535</v>
      </c>
      <c r="B535" s="84">
        <v>45845</v>
      </c>
      <c r="C535" s="23" t="s">
        <v>277</v>
      </c>
      <c r="D535" s="23" t="s">
        <v>235</v>
      </c>
      <c r="G535" s="23">
        <v>0</v>
      </c>
      <c r="I535" s="217" t="s">
        <v>1653</v>
      </c>
    </row>
    <row r="536" spans="1:9">
      <c r="A536" s="23">
        <v>536</v>
      </c>
      <c r="B536" s="84">
        <v>45845</v>
      </c>
      <c r="C536" s="23" t="s">
        <v>594</v>
      </c>
      <c r="D536" s="23" t="s">
        <v>240</v>
      </c>
      <c r="G536" s="23">
        <v>0.8</v>
      </c>
      <c r="I536" s="217" t="s">
        <v>1654</v>
      </c>
    </row>
    <row r="537" spans="1:9">
      <c r="A537" s="23">
        <v>537</v>
      </c>
      <c r="B537" s="84">
        <v>45845</v>
      </c>
      <c r="C537" s="23" t="s">
        <v>586</v>
      </c>
      <c r="D537" s="23" t="s">
        <v>243</v>
      </c>
      <c r="G537" s="23">
        <v>0.8</v>
      </c>
      <c r="I537" s="217" t="s">
        <v>1655</v>
      </c>
    </row>
    <row r="538" spans="1:9">
      <c r="A538" s="23">
        <v>538</v>
      </c>
      <c r="B538" s="84">
        <v>45845</v>
      </c>
      <c r="C538" s="23" t="s">
        <v>449</v>
      </c>
      <c r="D538" s="23" t="s">
        <v>240</v>
      </c>
      <c r="G538" s="23">
        <v>0</v>
      </c>
      <c r="I538" s="217" t="s">
        <v>1656</v>
      </c>
    </row>
    <row r="539" spans="1:9">
      <c r="A539" s="23">
        <v>539</v>
      </c>
      <c r="B539" s="84">
        <v>45845</v>
      </c>
      <c r="C539" s="23" t="s">
        <v>443</v>
      </c>
      <c r="D539" s="23" t="s">
        <v>243</v>
      </c>
      <c r="G539" s="23">
        <v>0</v>
      </c>
      <c r="I539" s="217" t="s">
        <v>1657</v>
      </c>
    </row>
    <row r="540" spans="1:9">
      <c r="A540" s="23">
        <v>540</v>
      </c>
      <c r="B540" s="84">
        <v>45845</v>
      </c>
      <c r="C540" s="23" t="s">
        <v>555</v>
      </c>
      <c r="D540" s="23" t="s">
        <v>251</v>
      </c>
      <c r="G540" s="23">
        <v>0</v>
      </c>
      <c r="I540" s="217" t="s">
        <v>1658</v>
      </c>
    </row>
    <row r="541" spans="1:9">
      <c r="A541" s="23">
        <v>541</v>
      </c>
      <c r="B541" s="84">
        <v>45845</v>
      </c>
      <c r="C541" s="23" t="s">
        <v>578</v>
      </c>
      <c r="D541" s="23" t="s">
        <v>254</v>
      </c>
      <c r="G541" s="23">
        <v>0</v>
      </c>
      <c r="I541" s="217" t="s">
        <v>1659</v>
      </c>
    </row>
    <row r="542" spans="1:9">
      <c r="A542" s="23">
        <v>542</v>
      </c>
      <c r="B542" s="84">
        <v>45845</v>
      </c>
      <c r="C542" s="23" t="s">
        <v>566</v>
      </c>
      <c r="D542" s="23" t="s">
        <v>209</v>
      </c>
      <c r="G542" s="23">
        <v>0</v>
      </c>
      <c r="I542" s="217" t="s">
        <v>1660</v>
      </c>
    </row>
    <row r="543" spans="1:9">
      <c r="A543" s="23">
        <v>543</v>
      </c>
      <c r="B543" s="84">
        <v>45846</v>
      </c>
      <c r="C543" s="23" t="s">
        <v>570</v>
      </c>
      <c r="D543" s="23" t="s">
        <v>197</v>
      </c>
      <c r="G543" s="23">
        <v>0</v>
      </c>
      <c r="I543" s="217" t="s">
        <v>1661</v>
      </c>
    </row>
    <row r="544" spans="1:9">
      <c r="A544" s="23">
        <v>544</v>
      </c>
      <c r="B544" s="84">
        <v>45846</v>
      </c>
      <c r="C544" s="23" t="s">
        <v>595</v>
      </c>
      <c r="D544" s="23" t="s">
        <v>197</v>
      </c>
      <c r="G544" s="23">
        <v>6.7</v>
      </c>
      <c r="I544" s="217" t="s">
        <v>1662</v>
      </c>
    </row>
    <row r="545" spans="1:9">
      <c r="A545" s="23">
        <v>545</v>
      </c>
      <c r="B545" s="84">
        <v>45846</v>
      </c>
      <c r="C545" s="23" t="s">
        <v>575</v>
      </c>
      <c r="D545" s="23" t="s">
        <v>203</v>
      </c>
      <c r="G545" s="23">
        <v>0</v>
      </c>
      <c r="I545" s="217" t="s">
        <v>1663</v>
      </c>
    </row>
    <row r="546" spans="1:9">
      <c r="A546" s="23">
        <v>546</v>
      </c>
      <c r="B546" s="84">
        <v>45846</v>
      </c>
      <c r="C546" s="23" t="s">
        <v>403</v>
      </c>
      <c r="D546" s="23" t="s">
        <v>216</v>
      </c>
      <c r="G546" s="23">
        <v>0.39</v>
      </c>
      <c r="I546" s="217" t="s">
        <v>1664</v>
      </c>
    </row>
    <row r="547" spans="1:9">
      <c r="A547" s="23">
        <v>547</v>
      </c>
      <c r="B547" s="84">
        <v>45846</v>
      </c>
      <c r="C547" s="23" t="s">
        <v>388</v>
      </c>
      <c r="D547" s="23" t="s">
        <v>219</v>
      </c>
      <c r="G547" s="23">
        <v>0</v>
      </c>
      <c r="I547" s="217" t="s">
        <v>1665</v>
      </c>
    </row>
    <row r="548" spans="1:9">
      <c r="A548" s="23">
        <v>548</v>
      </c>
      <c r="B548" s="84">
        <v>45846</v>
      </c>
      <c r="C548" s="23" t="s">
        <v>352</v>
      </c>
      <c r="D548" s="23" t="s">
        <v>203</v>
      </c>
      <c r="G548" s="23">
        <v>6.7</v>
      </c>
      <c r="I548" s="217" t="s">
        <v>1666</v>
      </c>
    </row>
    <row r="549" spans="1:9">
      <c r="A549" s="23">
        <v>549</v>
      </c>
      <c r="B549" s="84">
        <v>45846</v>
      </c>
      <c r="C549" s="23" t="s">
        <v>471</v>
      </c>
      <c r="D549" s="23" t="s">
        <v>246</v>
      </c>
      <c r="G549" s="23">
        <v>0.8</v>
      </c>
      <c r="I549" s="217" t="s">
        <v>1667</v>
      </c>
    </row>
    <row r="550" spans="1:9">
      <c r="A550" s="23">
        <v>550</v>
      </c>
      <c r="B550" s="84">
        <v>45846</v>
      </c>
      <c r="C550" s="23" t="s">
        <v>471</v>
      </c>
      <c r="D550" s="23" t="s">
        <v>251</v>
      </c>
      <c r="G550" s="23">
        <v>1.8</v>
      </c>
      <c r="I550" s="217" t="s">
        <v>1668</v>
      </c>
    </row>
    <row r="551" spans="1:9">
      <c r="A551" s="23">
        <v>551</v>
      </c>
      <c r="B551" s="84">
        <v>45846</v>
      </c>
      <c r="C551" s="23" t="s">
        <v>597</v>
      </c>
      <c r="D551" s="23" t="s">
        <v>246</v>
      </c>
      <c r="G551" s="23">
        <v>0</v>
      </c>
      <c r="I551" s="217" t="s">
        <v>1667</v>
      </c>
    </row>
    <row r="552" spans="1:9">
      <c r="A552" s="23">
        <v>552</v>
      </c>
      <c r="B552" s="84">
        <v>45846</v>
      </c>
      <c r="C552" s="23" t="s">
        <v>510</v>
      </c>
      <c r="D552" s="23" t="s">
        <v>200</v>
      </c>
      <c r="G552" s="23">
        <v>0</v>
      </c>
      <c r="I552" s="217" t="s">
        <v>1669</v>
      </c>
    </row>
    <row r="553" spans="1:9">
      <c r="A553" s="23">
        <v>553</v>
      </c>
      <c r="B553" s="84">
        <v>45846</v>
      </c>
      <c r="C553" s="23" t="s">
        <v>236</v>
      </c>
      <c r="D553" s="23" t="s">
        <v>235</v>
      </c>
      <c r="G553" s="23">
        <v>0.85</v>
      </c>
      <c r="I553" s="217" t="s">
        <v>1670</v>
      </c>
    </row>
    <row r="554" spans="1:9">
      <c r="A554" s="23">
        <v>554</v>
      </c>
      <c r="B554" s="84">
        <v>45846</v>
      </c>
      <c r="C554" s="23" t="s">
        <v>215</v>
      </c>
      <c r="D554" s="23" t="s">
        <v>213</v>
      </c>
      <c r="G554" s="23">
        <v>0</v>
      </c>
      <c r="I554" s="217" t="s">
        <v>1671</v>
      </c>
    </row>
    <row r="555" spans="1:9">
      <c r="A555" s="23">
        <v>555</v>
      </c>
      <c r="B555" s="84">
        <v>45846</v>
      </c>
      <c r="C555" s="23" t="s">
        <v>598</v>
      </c>
      <c r="D555" s="23" t="s">
        <v>233</v>
      </c>
      <c r="G555" s="23">
        <v>2.8</v>
      </c>
      <c r="I555" s="217" t="s">
        <v>1672</v>
      </c>
    </row>
    <row r="556" spans="1:9">
      <c r="A556" s="23">
        <v>556</v>
      </c>
      <c r="B556" s="84">
        <v>45846</v>
      </c>
      <c r="C556" s="23" t="s">
        <v>349</v>
      </c>
      <c r="D556" s="23" t="s">
        <v>206</v>
      </c>
      <c r="G556" s="23">
        <v>0</v>
      </c>
      <c r="I556" s="217" t="s">
        <v>1673</v>
      </c>
    </row>
    <row r="557" spans="1:9">
      <c r="A557" s="23">
        <v>557</v>
      </c>
      <c r="B557" s="84">
        <v>45846</v>
      </c>
      <c r="C557" s="23" t="s">
        <v>565</v>
      </c>
      <c r="D557" s="23" t="s">
        <v>227</v>
      </c>
      <c r="G557" s="23">
        <v>0.8</v>
      </c>
      <c r="I557" s="217" t="s">
        <v>1674</v>
      </c>
    </row>
    <row r="558" spans="1:9">
      <c r="A558" s="23">
        <v>558</v>
      </c>
      <c r="B558" s="84">
        <v>45846</v>
      </c>
      <c r="C558" s="23" t="s">
        <v>565</v>
      </c>
      <c r="D558" s="23" t="s">
        <v>230</v>
      </c>
      <c r="G558" s="23">
        <v>0.7</v>
      </c>
      <c r="I558" s="217" t="s">
        <v>1675</v>
      </c>
    </row>
    <row r="559" spans="1:9">
      <c r="A559" s="23">
        <v>559</v>
      </c>
      <c r="B559" s="84">
        <v>45846</v>
      </c>
      <c r="C559" s="23" t="s">
        <v>292</v>
      </c>
      <c r="D559" s="23" t="s">
        <v>240</v>
      </c>
      <c r="G559" s="23">
        <v>0.8</v>
      </c>
      <c r="I559" s="217" t="s">
        <v>1676</v>
      </c>
    </row>
    <row r="560" spans="1:9">
      <c r="A560" s="23">
        <v>560</v>
      </c>
      <c r="B560" s="84">
        <v>45846</v>
      </c>
      <c r="C560" s="23" t="s">
        <v>601</v>
      </c>
      <c r="D560" s="23" t="s">
        <v>246</v>
      </c>
      <c r="G560" s="23">
        <v>0.8</v>
      </c>
      <c r="I560" s="217" t="s">
        <v>1677</v>
      </c>
    </row>
    <row r="561" spans="1:9">
      <c r="A561" s="23">
        <v>561</v>
      </c>
      <c r="B561" s="84">
        <v>45846</v>
      </c>
      <c r="C561" s="23" t="s">
        <v>241</v>
      </c>
      <c r="D561" s="23" t="s">
        <v>200</v>
      </c>
      <c r="G561" s="23">
        <v>1.5</v>
      </c>
      <c r="I561" s="217" t="s">
        <v>1678</v>
      </c>
    </row>
    <row r="562" spans="1:9">
      <c r="A562" s="23">
        <v>562</v>
      </c>
      <c r="B562" s="84">
        <v>45846</v>
      </c>
      <c r="C562" s="23" t="s">
        <v>293</v>
      </c>
      <c r="D562" s="23" t="s">
        <v>227</v>
      </c>
      <c r="G562" s="23">
        <v>0</v>
      </c>
      <c r="I562" s="217" t="s">
        <v>1674</v>
      </c>
    </row>
    <row r="563" spans="1:9">
      <c r="A563" s="23">
        <v>563</v>
      </c>
      <c r="B563" s="84">
        <v>45846</v>
      </c>
      <c r="C563" s="23" t="s">
        <v>293</v>
      </c>
      <c r="D563" s="23" t="s">
        <v>230</v>
      </c>
      <c r="G563" s="23">
        <v>0</v>
      </c>
      <c r="I563" s="217" t="s">
        <v>1675</v>
      </c>
    </row>
    <row r="564" spans="1:9">
      <c r="A564" s="23">
        <v>564</v>
      </c>
      <c r="B564" s="84">
        <v>45846</v>
      </c>
      <c r="C564" s="23" t="s">
        <v>414</v>
      </c>
      <c r="D564" s="23" t="s">
        <v>209</v>
      </c>
      <c r="G564" s="23">
        <v>3.8</v>
      </c>
      <c r="I564" s="217" t="s">
        <v>1679</v>
      </c>
    </row>
    <row r="565" spans="1:9">
      <c r="A565" s="23">
        <v>565</v>
      </c>
      <c r="B565" s="84">
        <v>45846</v>
      </c>
      <c r="C565" s="23" t="s">
        <v>418</v>
      </c>
      <c r="D565" s="23" t="s">
        <v>227</v>
      </c>
      <c r="G565" s="23">
        <v>0.8</v>
      </c>
      <c r="I565" s="217" t="s">
        <v>1680</v>
      </c>
    </row>
    <row r="566" spans="1:9">
      <c r="A566" s="23">
        <v>566</v>
      </c>
      <c r="B566" s="84">
        <v>45846</v>
      </c>
      <c r="C566" s="23" t="s">
        <v>605</v>
      </c>
      <c r="D566" s="23" t="s">
        <v>230</v>
      </c>
      <c r="G566" s="23">
        <v>0.8</v>
      </c>
      <c r="I566" s="217" t="s">
        <v>1681</v>
      </c>
    </row>
    <row r="567" spans="1:9">
      <c r="A567" s="23">
        <v>567</v>
      </c>
      <c r="B567" s="84">
        <v>45846</v>
      </c>
      <c r="C567" s="23" t="s">
        <v>420</v>
      </c>
      <c r="D567" s="23" t="s">
        <v>251</v>
      </c>
      <c r="G567" s="23" t="s">
        <v>9</v>
      </c>
      <c r="H567" s="94" t="s">
        <v>606</v>
      </c>
      <c r="I567" s="217" t="s">
        <v>1682</v>
      </c>
    </row>
    <row r="568" spans="1:9">
      <c r="A568" s="23">
        <v>568</v>
      </c>
      <c r="B568" s="84">
        <v>45846</v>
      </c>
      <c r="C568" s="23" t="s">
        <v>600</v>
      </c>
      <c r="D568" s="23" t="s">
        <v>240</v>
      </c>
      <c r="G568" s="23">
        <v>0</v>
      </c>
      <c r="I568" s="217" t="s">
        <v>1683</v>
      </c>
    </row>
    <row r="569" spans="1:9">
      <c r="A569" s="23">
        <v>569</v>
      </c>
      <c r="B569" s="84">
        <v>45846</v>
      </c>
      <c r="C569" s="23" t="s">
        <v>602</v>
      </c>
      <c r="D569" s="23" t="s">
        <v>246</v>
      </c>
      <c r="G569" s="23">
        <v>0</v>
      </c>
      <c r="I569" s="217" t="s">
        <v>1684</v>
      </c>
    </row>
    <row r="570" spans="1:9">
      <c r="A570" s="23">
        <v>570</v>
      </c>
      <c r="B570" s="84">
        <v>45846</v>
      </c>
      <c r="C570" s="23" t="s">
        <v>478</v>
      </c>
      <c r="D570" s="23" t="s">
        <v>227</v>
      </c>
      <c r="G570" s="23">
        <v>0</v>
      </c>
      <c r="I570" s="217" t="s">
        <v>1680</v>
      </c>
    </row>
    <row r="571" spans="1:9">
      <c r="A571" s="23">
        <v>571</v>
      </c>
      <c r="B571" s="84">
        <v>45846</v>
      </c>
      <c r="C571" s="23" t="s">
        <v>571</v>
      </c>
      <c r="D571" s="23" t="s">
        <v>254</v>
      </c>
      <c r="G571" s="23">
        <v>0.5</v>
      </c>
      <c r="I571" s="217" t="s">
        <v>1685</v>
      </c>
    </row>
    <row r="572" spans="1:9">
      <c r="A572" s="23">
        <v>572</v>
      </c>
      <c r="B572" s="84">
        <v>45846</v>
      </c>
      <c r="C572" s="23" t="s">
        <v>375</v>
      </c>
      <c r="D572" s="23" t="s">
        <v>230</v>
      </c>
      <c r="G572" s="23">
        <v>0</v>
      </c>
      <c r="I572" s="217" t="s">
        <v>1681</v>
      </c>
    </row>
    <row r="573" spans="1:9">
      <c r="A573" s="23">
        <v>573</v>
      </c>
      <c r="B573" s="84">
        <v>45846</v>
      </c>
      <c r="C573" s="23" t="s">
        <v>370</v>
      </c>
      <c r="D573" s="23" t="s">
        <v>240</v>
      </c>
      <c r="G573" s="23">
        <v>0.8</v>
      </c>
      <c r="I573" s="217" t="s">
        <v>1686</v>
      </c>
    </row>
    <row r="574" spans="1:9">
      <c r="A574" s="23">
        <v>574</v>
      </c>
      <c r="B574" s="84">
        <v>45846</v>
      </c>
      <c r="C574" s="23" t="s">
        <v>479</v>
      </c>
      <c r="D574" s="23" t="s">
        <v>246</v>
      </c>
      <c r="G574" s="23">
        <v>0.8</v>
      </c>
      <c r="I574" s="217" t="s">
        <v>1687</v>
      </c>
    </row>
    <row r="575" spans="1:9">
      <c r="A575" s="23">
        <v>575</v>
      </c>
      <c r="B575" s="84">
        <v>45846</v>
      </c>
      <c r="C575" s="23" t="s">
        <v>608</v>
      </c>
      <c r="D575" s="23" t="s">
        <v>227</v>
      </c>
      <c r="G575" s="23">
        <v>0.8</v>
      </c>
      <c r="I575" s="217" t="s">
        <v>1688</v>
      </c>
    </row>
    <row r="576" spans="1:9">
      <c r="A576" s="23">
        <v>576</v>
      </c>
      <c r="B576" s="84">
        <v>45846</v>
      </c>
      <c r="C576" s="23" t="s">
        <v>310</v>
      </c>
      <c r="D576" s="23" t="s">
        <v>230</v>
      </c>
      <c r="G576" s="23">
        <v>0.8</v>
      </c>
      <c r="I576" s="217" t="s">
        <v>1689</v>
      </c>
    </row>
    <row r="577" spans="1:9">
      <c r="A577" s="23">
        <v>577</v>
      </c>
      <c r="B577" s="84">
        <v>45846</v>
      </c>
      <c r="C577" s="23" t="s">
        <v>286</v>
      </c>
      <c r="D577" s="23" t="s">
        <v>243</v>
      </c>
      <c r="G577" s="23" t="s">
        <v>9</v>
      </c>
      <c r="I577" s="217" t="s">
        <v>1690</v>
      </c>
    </row>
    <row r="578" spans="1:9">
      <c r="A578" s="23">
        <v>578</v>
      </c>
      <c r="B578" s="84">
        <v>45846</v>
      </c>
      <c r="C578" s="23" t="s">
        <v>611</v>
      </c>
      <c r="D578" s="23" t="s">
        <v>297</v>
      </c>
      <c r="G578" s="23">
        <v>0.8</v>
      </c>
      <c r="I578" s="217" t="s">
        <v>1691</v>
      </c>
    </row>
    <row r="579" spans="1:9">
      <c r="A579" s="23">
        <v>579</v>
      </c>
      <c r="B579" s="84">
        <v>45846</v>
      </c>
      <c r="C579" s="23" t="s">
        <v>315</v>
      </c>
      <c r="D579" s="23" t="s">
        <v>219</v>
      </c>
      <c r="G579" s="23">
        <v>0.66500000000000004</v>
      </c>
      <c r="I579" s="217" t="s">
        <v>1692</v>
      </c>
    </row>
    <row r="580" spans="1:9">
      <c r="A580" s="23">
        <v>580</v>
      </c>
      <c r="B580" s="84">
        <v>45846</v>
      </c>
      <c r="C580" s="23" t="s">
        <v>270</v>
      </c>
      <c r="D580" s="23" t="s">
        <v>222</v>
      </c>
      <c r="G580" s="23">
        <v>0</v>
      </c>
      <c r="I580" s="217" t="s">
        <v>1693</v>
      </c>
    </row>
    <row r="581" spans="1:9">
      <c r="A581" s="23">
        <v>581</v>
      </c>
      <c r="B581" s="84">
        <v>45846</v>
      </c>
      <c r="C581" s="23" t="s">
        <v>614</v>
      </c>
      <c r="D581" s="23" t="s">
        <v>312</v>
      </c>
      <c r="G581" s="23">
        <v>0.5</v>
      </c>
      <c r="I581" s="217" t="s">
        <v>1694</v>
      </c>
    </row>
    <row r="582" spans="1:9">
      <c r="A582" s="23">
        <v>582</v>
      </c>
      <c r="B582" s="84">
        <v>45846</v>
      </c>
      <c r="C582" s="23" t="s">
        <v>612</v>
      </c>
      <c r="D582" s="23" t="s">
        <v>297</v>
      </c>
      <c r="G582" s="23">
        <v>0</v>
      </c>
      <c r="I582" s="217" t="s">
        <v>1695</v>
      </c>
    </row>
    <row r="583" spans="1:9">
      <c r="A583" s="23">
        <v>583</v>
      </c>
      <c r="B583" s="84">
        <v>45846</v>
      </c>
      <c r="C583" s="23" t="s">
        <v>505</v>
      </c>
      <c r="D583" s="23" t="s">
        <v>251</v>
      </c>
      <c r="G583" s="23">
        <v>0</v>
      </c>
      <c r="I583" s="217" t="s">
        <v>1696</v>
      </c>
    </row>
    <row r="584" spans="1:9">
      <c r="A584" s="23">
        <v>584</v>
      </c>
      <c r="B584" s="84">
        <v>45846</v>
      </c>
      <c r="C584" s="23" t="s">
        <v>505</v>
      </c>
      <c r="D584" s="23" t="s">
        <v>251</v>
      </c>
      <c r="G584" s="23">
        <v>1</v>
      </c>
      <c r="I584" s="217" t="s">
        <v>1236</v>
      </c>
    </row>
    <row r="585" spans="1:9">
      <c r="A585" s="23">
        <v>585</v>
      </c>
      <c r="B585" s="84">
        <v>45846</v>
      </c>
      <c r="C585" s="23" t="s">
        <v>616</v>
      </c>
      <c r="D585" s="23" t="s">
        <v>251</v>
      </c>
      <c r="G585" s="23">
        <v>0</v>
      </c>
      <c r="I585" s="217" t="s">
        <v>1696</v>
      </c>
    </row>
    <row r="586" spans="1:9">
      <c r="A586" s="23">
        <v>586</v>
      </c>
      <c r="B586" s="84">
        <v>45846</v>
      </c>
      <c r="C586" s="23" t="s">
        <v>616</v>
      </c>
      <c r="D586" s="23" t="s">
        <v>251</v>
      </c>
      <c r="G586" s="23">
        <v>1.8</v>
      </c>
      <c r="H586" s="23" t="s">
        <v>337</v>
      </c>
      <c r="I586" s="217" t="s">
        <v>1236</v>
      </c>
    </row>
    <row r="587" spans="1:9">
      <c r="A587" s="23">
        <v>587</v>
      </c>
      <c r="B587" s="84">
        <v>45846</v>
      </c>
      <c r="C587" s="23" t="s">
        <v>609</v>
      </c>
      <c r="D587" s="23" t="s">
        <v>230</v>
      </c>
      <c r="G587" s="23">
        <v>0</v>
      </c>
      <c r="I587" s="217" t="s">
        <v>1697</v>
      </c>
    </row>
    <row r="588" spans="1:9">
      <c r="A588" s="23">
        <v>588</v>
      </c>
      <c r="B588" s="84">
        <v>45846</v>
      </c>
      <c r="C588" s="23" t="s">
        <v>382</v>
      </c>
      <c r="D588" s="23" t="s">
        <v>227</v>
      </c>
      <c r="G588" s="23">
        <v>0</v>
      </c>
      <c r="I588" s="217" t="s">
        <v>1698</v>
      </c>
    </row>
    <row r="589" spans="1:9">
      <c r="A589" s="23">
        <v>589</v>
      </c>
      <c r="B589" s="84">
        <v>45846</v>
      </c>
      <c r="C589" s="23" t="s">
        <v>607</v>
      </c>
      <c r="D589" s="23" t="s">
        <v>246</v>
      </c>
      <c r="G589" s="23">
        <v>0</v>
      </c>
      <c r="I589" s="217" t="s">
        <v>1699</v>
      </c>
    </row>
    <row r="590" spans="1:9">
      <c r="A590" s="23">
        <v>590</v>
      </c>
      <c r="B590" s="84">
        <v>45846</v>
      </c>
      <c r="C590" s="23" t="s">
        <v>509</v>
      </c>
      <c r="D590" s="23" t="s">
        <v>240</v>
      </c>
      <c r="G590" s="23">
        <v>0</v>
      </c>
      <c r="I590" s="217" t="s">
        <v>1700</v>
      </c>
    </row>
    <row r="591" spans="1:9">
      <c r="A591" s="23">
        <v>591</v>
      </c>
      <c r="B591" s="84">
        <v>45846</v>
      </c>
      <c r="C591" s="23" t="s">
        <v>618</v>
      </c>
      <c r="D591" s="23" t="s">
        <v>206</v>
      </c>
      <c r="G591" s="23">
        <v>1</v>
      </c>
      <c r="I591" s="217" t="s">
        <v>1701</v>
      </c>
    </row>
    <row r="592" spans="1:9">
      <c r="A592" s="23">
        <v>592</v>
      </c>
      <c r="B592" s="84">
        <v>45846</v>
      </c>
      <c r="C592" s="23" t="s">
        <v>599</v>
      </c>
      <c r="D592" s="23" t="s">
        <v>233</v>
      </c>
      <c r="G592" s="23">
        <v>0</v>
      </c>
      <c r="I592" s="217" t="s">
        <v>1702</v>
      </c>
    </row>
    <row r="593" spans="1:9">
      <c r="A593" s="23">
        <v>593</v>
      </c>
      <c r="B593" s="84">
        <v>45846</v>
      </c>
      <c r="C593" s="23" t="s">
        <v>389</v>
      </c>
      <c r="D593" s="23" t="s">
        <v>240</v>
      </c>
      <c r="G593" s="23">
        <v>0.8</v>
      </c>
      <c r="I593" s="217" t="s">
        <v>1703</v>
      </c>
    </row>
    <row r="594" spans="1:9">
      <c r="A594" s="23">
        <v>594</v>
      </c>
      <c r="B594" s="84">
        <v>45846</v>
      </c>
      <c r="C594" s="23" t="s">
        <v>621</v>
      </c>
      <c r="D594" s="23" t="s">
        <v>246</v>
      </c>
      <c r="G594" s="23">
        <v>0.8</v>
      </c>
      <c r="I594" s="217" t="s">
        <v>1704</v>
      </c>
    </row>
    <row r="595" spans="1:9">
      <c r="A595" s="23">
        <v>595</v>
      </c>
      <c r="B595" s="84">
        <v>45846</v>
      </c>
      <c r="C595" s="23" t="s">
        <v>623</v>
      </c>
      <c r="D595" s="23" t="s">
        <v>227</v>
      </c>
      <c r="G595" s="23">
        <v>0.8</v>
      </c>
      <c r="I595" s="217" t="s">
        <v>1705</v>
      </c>
    </row>
    <row r="596" spans="1:9">
      <c r="A596" s="23">
        <v>596</v>
      </c>
      <c r="B596" s="84">
        <v>45846</v>
      </c>
      <c r="C596" s="23" t="s">
        <v>620</v>
      </c>
      <c r="D596" s="23" t="s">
        <v>240</v>
      </c>
      <c r="G596" s="23">
        <v>0</v>
      </c>
      <c r="I596" s="217" t="s">
        <v>1706</v>
      </c>
    </row>
    <row r="597" spans="1:9">
      <c r="A597" s="23">
        <v>597</v>
      </c>
      <c r="B597" s="84">
        <v>45846</v>
      </c>
      <c r="C597" s="23" t="s">
        <v>625</v>
      </c>
      <c r="D597" s="23" t="s">
        <v>240</v>
      </c>
      <c r="G597" s="23">
        <v>0.7</v>
      </c>
      <c r="I597" s="217" t="s">
        <v>1236</v>
      </c>
    </row>
    <row r="598" spans="1:9">
      <c r="A598" s="23">
        <v>598</v>
      </c>
      <c r="B598" s="84">
        <v>45846</v>
      </c>
      <c r="C598" s="23" t="s">
        <v>627</v>
      </c>
      <c r="D598" s="23" t="s">
        <v>230</v>
      </c>
      <c r="G598" s="23">
        <v>0.8</v>
      </c>
      <c r="I598" s="217" t="s">
        <v>1707</v>
      </c>
    </row>
    <row r="599" spans="1:9">
      <c r="A599" s="23">
        <v>599</v>
      </c>
      <c r="B599" s="84">
        <v>45846</v>
      </c>
      <c r="C599" s="23" t="s">
        <v>626</v>
      </c>
      <c r="D599" s="23" t="s">
        <v>240</v>
      </c>
      <c r="G599" s="23">
        <v>0</v>
      </c>
      <c r="I599" s="217" t="s">
        <v>1708</v>
      </c>
    </row>
    <row r="600" spans="1:9">
      <c r="A600" s="23">
        <v>600</v>
      </c>
      <c r="B600" s="84">
        <v>45846</v>
      </c>
      <c r="C600" s="23" t="s">
        <v>622</v>
      </c>
      <c r="D600" s="23" t="s">
        <v>246</v>
      </c>
      <c r="G600" s="23">
        <v>0</v>
      </c>
      <c r="I600" s="217" t="s">
        <v>1709</v>
      </c>
    </row>
    <row r="601" spans="1:9">
      <c r="A601" s="23">
        <v>601</v>
      </c>
      <c r="B601" s="84">
        <v>45846</v>
      </c>
      <c r="C601" s="23" t="s">
        <v>624</v>
      </c>
      <c r="D601" s="23" t="s">
        <v>227</v>
      </c>
      <c r="G601" s="23">
        <v>0</v>
      </c>
      <c r="I601" s="217" t="s">
        <v>1710</v>
      </c>
    </row>
    <row r="602" spans="1:9">
      <c r="A602" s="23">
        <v>602</v>
      </c>
      <c r="B602" s="84">
        <v>45846</v>
      </c>
      <c r="C602" s="23" t="s">
        <v>435</v>
      </c>
      <c r="D602" s="23" t="s">
        <v>326</v>
      </c>
      <c r="G602" s="23">
        <v>0.5</v>
      </c>
      <c r="I602" s="217" t="s">
        <v>1711</v>
      </c>
    </row>
    <row r="603" spans="1:9">
      <c r="A603" s="23">
        <v>603</v>
      </c>
      <c r="B603" s="84">
        <v>45846</v>
      </c>
      <c r="C603" s="23" t="s">
        <v>628</v>
      </c>
      <c r="D603" s="23" t="s">
        <v>230</v>
      </c>
      <c r="G603" s="23">
        <v>0</v>
      </c>
      <c r="I603" s="217" t="s">
        <v>1712</v>
      </c>
    </row>
    <row r="604" spans="1:9">
      <c r="A604" s="23">
        <v>604</v>
      </c>
      <c r="B604" s="84">
        <v>45846</v>
      </c>
      <c r="C604" s="23" t="s">
        <v>220</v>
      </c>
      <c r="D604" s="23" t="s">
        <v>213</v>
      </c>
      <c r="G604" s="23">
        <v>0.85</v>
      </c>
      <c r="I604" s="217" t="s">
        <v>1713</v>
      </c>
    </row>
    <row r="605" spans="1:9">
      <c r="A605" s="23">
        <v>605</v>
      </c>
      <c r="B605" s="84">
        <v>45846</v>
      </c>
      <c r="C605" s="23" t="s">
        <v>277</v>
      </c>
      <c r="D605" s="23" t="s">
        <v>235</v>
      </c>
      <c r="G605" s="23">
        <v>0</v>
      </c>
      <c r="I605" s="217" t="s">
        <v>1714</v>
      </c>
    </row>
    <row r="606" spans="1:9">
      <c r="A606" s="23">
        <v>606</v>
      </c>
      <c r="B606" s="84">
        <v>45846</v>
      </c>
      <c r="C606" s="23" t="s">
        <v>220</v>
      </c>
      <c r="D606" s="23" t="s">
        <v>222</v>
      </c>
      <c r="G606" s="23">
        <v>0.6</v>
      </c>
      <c r="I606" s="217" t="s">
        <v>1715</v>
      </c>
    </row>
    <row r="607" spans="1:9">
      <c r="A607" s="23">
        <v>607</v>
      </c>
      <c r="B607" s="84">
        <v>45846</v>
      </c>
      <c r="C607" s="23" t="s">
        <v>277</v>
      </c>
      <c r="D607" s="23" t="s">
        <v>216</v>
      </c>
      <c r="G607" s="23">
        <v>0</v>
      </c>
      <c r="I607" s="217" t="s">
        <v>1716</v>
      </c>
    </row>
    <row r="608" spans="1:9">
      <c r="A608" s="23">
        <v>608</v>
      </c>
      <c r="B608" s="84">
        <v>45846</v>
      </c>
      <c r="C608" s="23" t="s">
        <v>552</v>
      </c>
      <c r="D608" s="23" t="s">
        <v>216</v>
      </c>
      <c r="G608" s="23">
        <v>0.7</v>
      </c>
      <c r="I608" s="217" t="s">
        <v>1717</v>
      </c>
    </row>
    <row r="609" spans="1:9">
      <c r="A609" s="23">
        <v>609</v>
      </c>
      <c r="B609" s="84">
        <v>45846</v>
      </c>
      <c r="C609" s="23" t="s">
        <v>615</v>
      </c>
      <c r="D609" s="23" t="s">
        <v>312</v>
      </c>
      <c r="G609" s="23">
        <v>0</v>
      </c>
      <c r="I609" s="217" t="s">
        <v>1718</v>
      </c>
    </row>
    <row r="610" spans="1:9">
      <c r="A610" s="23">
        <v>610</v>
      </c>
      <c r="B610" s="84">
        <v>45846</v>
      </c>
      <c r="C610" s="23" t="s">
        <v>629</v>
      </c>
      <c r="D610" s="23" t="s">
        <v>326</v>
      </c>
      <c r="G610" s="23">
        <v>0</v>
      </c>
      <c r="I610" s="217" t="s">
        <v>1719</v>
      </c>
    </row>
    <row r="611" spans="1:9">
      <c r="A611" s="23">
        <v>611</v>
      </c>
      <c r="B611" s="84">
        <v>45846</v>
      </c>
      <c r="C611" s="23" t="s">
        <v>396</v>
      </c>
      <c r="D611" s="23" t="s">
        <v>216</v>
      </c>
      <c r="G611" s="23">
        <v>0</v>
      </c>
      <c r="I611" s="217" t="s">
        <v>1720</v>
      </c>
    </row>
    <row r="612" spans="1:9">
      <c r="A612" s="23">
        <v>612</v>
      </c>
      <c r="B612" s="84">
        <v>45846</v>
      </c>
      <c r="C612" s="23" t="s">
        <v>596</v>
      </c>
      <c r="D612" s="23" t="s">
        <v>197</v>
      </c>
      <c r="G612" s="23">
        <v>0</v>
      </c>
      <c r="I612" s="217" t="s">
        <v>1721</v>
      </c>
    </row>
    <row r="613" spans="1:9">
      <c r="A613" s="23">
        <v>613</v>
      </c>
      <c r="B613" s="84">
        <v>45846</v>
      </c>
      <c r="C613" s="23" t="s">
        <v>630</v>
      </c>
      <c r="D613" s="23" t="s">
        <v>233</v>
      </c>
      <c r="G613" s="23">
        <v>3.8</v>
      </c>
      <c r="I613" s="217" t="s">
        <v>1722</v>
      </c>
    </row>
    <row r="614" spans="1:9">
      <c r="A614" s="23">
        <v>614</v>
      </c>
      <c r="B614" s="84">
        <v>45846</v>
      </c>
      <c r="C614" s="23" t="s">
        <v>516</v>
      </c>
      <c r="D614" s="23" t="s">
        <v>194</v>
      </c>
      <c r="G614" s="23">
        <v>0</v>
      </c>
      <c r="I614" s="217" t="s">
        <v>1723</v>
      </c>
    </row>
    <row r="615" spans="1:9">
      <c r="A615" s="23">
        <v>615</v>
      </c>
      <c r="B615" s="84">
        <v>45846</v>
      </c>
      <c r="C615" s="23" t="s">
        <v>516</v>
      </c>
      <c r="D615" s="23" t="s">
        <v>194</v>
      </c>
      <c r="G615" s="23" t="s">
        <v>9</v>
      </c>
      <c r="H615" s="23" t="s">
        <v>1724</v>
      </c>
      <c r="I615" s="217" t="s">
        <v>1236</v>
      </c>
    </row>
    <row r="616" spans="1:9">
      <c r="A616" s="23">
        <v>616</v>
      </c>
      <c r="B616" s="84">
        <v>45846</v>
      </c>
      <c r="C616" s="23" t="s">
        <v>633</v>
      </c>
      <c r="D616" s="23" t="s">
        <v>240</v>
      </c>
      <c r="G616" s="23">
        <v>0.8</v>
      </c>
      <c r="I616" s="217" t="s">
        <v>1725</v>
      </c>
    </row>
    <row r="617" spans="1:9">
      <c r="A617" s="23">
        <v>617</v>
      </c>
      <c r="B617" s="84">
        <v>45846</v>
      </c>
      <c r="C617" s="23" t="s">
        <v>397</v>
      </c>
      <c r="D617" s="23" t="s">
        <v>254</v>
      </c>
      <c r="G617" s="23">
        <v>0</v>
      </c>
      <c r="I617" s="217" t="s">
        <v>1726</v>
      </c>
    </row>
    <row r="618" spans="1:9">
      <c r="A618" s="23">
        <v>618</v>
      </c>
      <c r="B618" s="84">
        <v>45847</v>
      </c>
      <c r="C618" s="23" t="s">
        <v>634</v>
      </c>
      <c r="D618" s="23" t="s">
        <v>240</v>
      </c>
      <c r="G618" s="23">
        <v>0</v>
      </c>
      <c r="I618" s="217" t="s">
        <v>1727</v>
      </c>
    </row>
    <row r="619" spans="1:9">
      <c r="A619" s="23">
        <v>619</v>
      </c>
      <c r="B619" s="84">
        <v>45847</v>
      </c>
      <c r="C619" s="23" t="s">
        <v>249</v>
      </c>
      <c r="D619" s="23" t="s">
        <v>194</v>
      </c>
      <c r="G619" s="23">
        <v>0</v>
      </c>
      <c r="I619" s="217" t="s">
        <v>1728</v>
      </c>
    </row>
    <row r="620" spans="1:9">
      <c r="A620" s="23">
        <v>620</v>
      </c>
      <c r="B620" s="84">
        <v>45847</v>
      </c>
      <c r="C620" s="23" t="s">
        <v>249</v>
      </c>
      <c r="D620" s="23" t="s">
        <v>194</v>
      </c>
      <c r="G620" s="23">
        <v>3</v>
      </c>
      <c r="I620" s="217" t="s">
        <v>1236</v>
      </c>
    </row>
    <row r="621" spans="1:9">
      <c r="A621" s="23">
        <v>621</v>
      </c>
      <c r="B621" s="84">
        <v>45847</v>
      </c>
      <c r="C621" s="23" t="s">
        <v>604</v>
      </c>
      <c r="D621" s="23" t="s">
        <v>209</v>
      </c>
      <c r="G621" s="23">
        <v>0</v>
      </c>
      <c r="I621" s="217" t="s">
        <v>1729</v>
      </c>
    </row>
    <row r="622" spans="1:9">
      <c r="A622" s="23">
        <v>622</v>
      </c>
      <c r="B622" s="84">
        <v>45847</v>
      </c>
      <c r="C622" s="23" t="s">
        <v>604</v>
      </c>
      <c r="D622" s="23" t="s">
        <v>209</v>
      </c>
      <c r="G622" s="23" t="s">
        <v>9</v>
      </c>
      <c r="H622" s="23" t="s">
        <v>637</v>
      </c>
      <c r="I622" s="217" t="s">
        <v>1236</v>
      </c>
    </row>
    <row r="623" spans="1:9">
      <c r="A623" s="23">
        <v>623</v>
      </c>
      <c r="B623" s="84">
        <v>45847</v>
      </c>
      <c r="C623" s="23" t="s">
        <v>631</v>
      </c>
      <c r="D623" s="23" t="s">
        <v>233</v>
      </c>
      <c r="G623" s="23">
        <v>0</v>
      </c>
      <c r="I623" s="217" t="s">
        <v>1730</v>
      </c>
    </row>
    <row r="624" spans="1:9">
      <c r="A624" s="23">
        <v>624</v>
      </c>
      <c r="B624" s="84">
        <v>45847</v>
      </c>
      <c r="C624" s="23" t="s">
        <v>638</v>
      </c>
      <c r="D624" s="23" t="s">
        <v>216</v>
      </c>
      <c r="G624" s="23">
        <v>0.48499999999999999</v>
      </c>
      <c r="I624" s="217" t="s">
        <v>1731</v>
      </c>
    </row>
    <row r="625" spans="1:9">
      <c r="A625" s="23">
        <v>625</v>
      </c>
      <c r="B625" s="84">
        <v>45847</v>
      </c>
      <c r="C625" s="23" t="s">
        <v>613</v>
      </c>
      <c r="D625" s="23" t="s">
        <v>219</v>
      </c>
      <c r="G625" s="23">
        <v>0</v>
      </c>
      <c r="I625" s="217" t="s">
        <v>1732</v>
      </c>
    </row>
    <row r="626" spans="1:9">
      <c r="A626" s="23">
        <v>626</v>
      </c>
      <c r="B626" s="84">
        <v>45847</v>
      </c>
      <c r="C626" s="23" t="s">
        <v>617</v>
      </c>
      <c r="D626" s="23" t="s">
        <v>251</v>
      </c>
      <c r="G626" s="23">
        <v>0</v>
      </c>
      <c r="I626" s="217" t="s">
        <v>1733</v>
      </c>
    </row>
    <row r="627" spans="1:9">
      <c r="A627" s="23">
        <v>627</v>
      </c>
      <c r="B627" s="84">
        <v>45847</v>
      </c>
      <c r="C627" s="23" t="s">
        <v>639</v>
      </c>
      <c r="D627" s="23" t="s">
        <v>197</v>
      </c>
      <c r="G627" s="23">
        <v>2</v>
      </c>
      <c r="I627" s="217" t="s">
        <v>1734</v>
      </c>
    </row>
    <row r="628" spans="1:9">
      <c r="A628" s="23">
        <v>628</v>
      </c>
      <c r="B628" s="84">
        <v>45847</v>
      </c>
      <c r="C628" s="23" t="s">
        <v>202</v>
      </c>
      <c r="D628" s="23" t="s">
        <v>203</v>
      </c>
      <c r="G628" s="23">
        <v>0</v>
      </c>
      <c r="I628" s="217" t="s">
        <v>1735</v>
      </c>
    </row>
    <row r="629" spans="1:9">
      <c r="A629" s="23">
        <v>629</v>
      </c>
      <c r="B629" s="84">
        <v>45847</v>
      </c>
      <c r="C629" s="23" t="s">
        <v>636</v>
      </c>
      <c r="D629" s="23" t="s">
        <v>209</v>
      </c>
      <c r="G629" s="23">
        <v>0</v>
      </c>
      <c r="I629" s="217" t="s">
        <v>1736</v>
      </c>
    </row>
    <row r="630" spans="1:9">
      <c r="A630" s="23">
        <v>630</v>
      </c>
      <c r="B630" s="84">
        <v>45847</v>
      </c>
      <c r="C630" s="23" t="s">
        <v>641</v>
      </c>
      <c r="D630" s="23" t="s">
        <v>251</v>
      </c>
      <c r="G630" s="23" t="s">
        <v>9</v>
      </c>
      <c r="H630" s="23" t="s">
        <v>643</v>
      </c>
      <c r="I630" s="217" t="s">
        <v>1737</v>
      </c>
    </row>
    <row r="631" spans="1:9">
      <c r="A631" s="23">
        <v>631</v>
      </c>
      <c r="B631" s="84">
        <v>45847</v>
      </c>
      <c r="C631" s="23" t="s">
        <v>557</v>
      </c>
      <c r="D631" s="23" t="s">
        <v>209</v>
      </c>
      <c r="G631" s="23">
        <v>3.8</v>
      </c>
      <c r="I631" s="217" t="s">
        <v>1738</v>
      </c>
    </row>
    <row r="632" spans="1:9">
      <c r="A632" s="23">
        <v>632</v>
      </c>
      <c r="B632" s="84">
        <v>45847</v>
      </c>
      <c r="C632" s="23" t="s">
        <v>232</v>
      </c>
      <c r="D632" s="23" t="s">
        <v>246</v>
      </c>
      <c r="G632" s="23">
        <v>0.8</v>
      </c>
      <c r="I632" s="217" t="s">
        <v>1739</v>
      </c>
    </row>
    <row r="633" spans="1:9">
      <c r="A633" s="23">
        <v>633</v>
      </c>
      <c r="B633" s="84">
        <v>45847</v>
      </c>
      <c r="C633" s="23" t="s">
        <v>645</v>
      </c>
      <c r="D633" s="23" t="s">
        <v>203</v>
      </c>
      <c r="G633" s="23">
        <v>1.5</v>
      </c>
      <c r="I633" s="217" t="s">
        <v>1740</v>
      </c>
    </row>
    <row r="634" spans="1:9">
      <c r="A634" s="23">
        <v>634</v>
      </c>
      <c r="B634" s="84">
        <v>45847</v>
      </c>
      <c r="C634" s="23" t="s">
        <v>236</v>
      </c>
      <c r="D634" s="23" t="s">
        <v>219</v>
      </c>
      <c r="G634" s="23">
        <v>0.6</v>
      </c>
      <c r="I634" s="217" t="s">
        <v>1741</v>
      </c>
    </row>
    <row r="635" spans="1:9">
      <c r="A635" s="23">
        <v>635</v>
      </c>
      <c r="B635" s="84">
        <v>45847</v>
      </c>
      <c r="C635" s="23" t="s">
        <v>215</v>
      </c>
      <c r="D635" s="23" t="s">
        <v>222</v>
      </c>
      <c r="G635" s="23">
        <v>0</v>
      </c>
      <c r="I635" s="217" t="s">
        <v>1742</v>
      </c>
    </row>
    <row r="636" spans="1:9">
      <c r="A636" s="23">
        <v>636</v>
      </c>
      <c r="B636" s="84">
        <v>45847</v>
      </c>
      <c r="C636" s="23" t="s">
        <v>236</v>
      </c>
      <c r="D636" s="23" t="s">
        <v>235</v>
      </c>
      <c r="G636" s="23">
        <v>0.85</v>
      </c>
      <c r="I636" s="217" t="s">
        <v>1743</v>
      </c>
    </row>
    <row r="637" spans="1:9">
      <c r="A637" s="23">
        <v>637</v>
      </c>
      <c r="B637" s="84">
        <v>45847</v>
      </c>
      <c r="C637" s="23" t="s">
        <v>215</v>
      </c>
      <c r="D637" s="23" t="s">
        <v>213</v>
      </c>
      <c r="G637" s="23">
        <v>0</v>
      </c>
      <c r="I637" s="217" t="s">
        <v>1744</v>
      </c>
    </row>
    <row r="638" spans="1:9">
      <c r="A638" s="23">
        <v>638</v>
      </c>
      <c r="B638" s="84">
        <v>45847</v>
      </c>
      <c r="C638" s="23" t="s">
        <v>640</v>
      </c>
      <c r="D638" s="23" t="s">
        <v>197</v>
      </c>
      <c r="G638" s="23">
        <v>0</v>
      </c>
      <c r="I638" s="217" t="s">
        <v>1745</v>
      </c>
    </row>
    <row r="639" spans="1:9">
      <c r="A639" s="23">
        <v>639</v>
      </c>
      <c r="B639" s="84">
        <v>45847</v>
      </c>
      <c r="C639" s="23" t="s">
        <v>619</v>
      </c>
      <c r="D639" s="23" t="s">
        <v>246</v>
      </c>
      <c r="G639" s="23">
        <v>0</v>
      </c>
      <c r="I639" s="217" t="s">
        <v>1746</v>
      </c>
    </row>
    <row r="640" spans="1:9">
      <c r="A640" s="23">
        <v>640</v>
      </c>
      <c r="B640" s="84">
        <v>45847</v>
      </c>
      <c r="C640" s="23" t="s">
        <v>648</v>
      </c>
      <c r="D640" s="23" t="s">
        <v>197</v>
      </c>
      <c r="G640" s="23">
        <v>1.5</v>
      </c>
      <c r="I640" s="217" t="s">
        <v>1747</v>
      </c>
    </row>
    <row r="641" spans="1:9">
      <c r="A641" s="23">
        <v>641</v>
      </c>
      <c r="B641" s="84">
        <v>45847</v>
      </c>
      <c r="C641" s="23" t="s">
        <v>650</v>
      </c>
      <c r="D641" s="23" t="s">
        <v>227</v>
      </c>
      <c r="G641" s="23">
        <v>0.8</v>
      </c>
      <c r="I641" s="217" t="s">
        <v>1748</v>
      </c>
    </row>
    <row r="642" spans="1:9">
      <c r="A642" s="23">
        <v>642</v>
      </c>
      <c r="B642" s="84">
        <v>45847</v>
      </c>
      <c r="C642" s="23" t="s">
        <v>479</v>
      </c>
      <c r="D642" s="23" t="s">
        <v>230</v>
      </c>
      <c r="G642" s="23">
        <v>0.8</v>
      </c>
      <c r="I642" s="217" t="s">
        <v>1749</v>
      </c>
    </row>
    <row r="643" spans="1:9">
      <c r="A643" s="23">
        <v>643</v>
      </c>
      <c r="B643" s="84">
        <v>45847</v>
      </c>
      <c r="C643" s="23" t="s">
        <v>652</v>
      </c>
      <c r="D643" s="23" t="s">
        <v>240</v>
      </c>
      <c r="G643" s="23">
        <v>0.8</v>
      </c>
      <c r="I643" s="217" t="s">
        <v>1750</v>
      </c>
    </row>
    <row r="644" spans="1:9">
      <c r="A644" s="23">
        <v>644</v>
      </c>
      <c r="B644" s="84">
        <v>45847</v>
      </c>
      <c r="C644" s="23" t="s">
        <v>653</v>
      </c>
      <c r="D644" s="23" t="s">
        <v>246</v>
      </c>
      <c r="G644" s="23">
        <v>0.8</v>
      </c>
      <c r="I644" s="217" t="s">
        <v>1751</v>
      </c>
    </row>
    <row r="645" spans="1:9">
      <c r="A645" s="23">
        <v>645</v>
      </c>
      <c r="B645" s="84">
        <v>45847</v>
      </c>
      <c r="C645" s="23" t="s">
        <v>655</v>
      </c>
      <c r="D645" s="23" t="s">
        <v>297</v>
      </c>
      <c r="G645" s="23">
        <v>0.8</v>
      </c>
      <c r="I645" s="217" t="s">
        <v>1752</v>
      </c>
    </row>
    <row r="646" spans="1:9">
      <c r="A646" s="23">
        <v>646</v>
      </c>
      <c r="B646" s="84">
        <v>45847</v>
      </c>
      <c r="C646" s="23" t="s">
        <v>576</v>
      </c>
      <c r="D646" s="23" t="s">
        <v>326</v>
      </c>
      <c r="G646" s="23">
        <v>1.5</v>
      </c>
      <c r="I646" s="217" t="s">
        <v>1753</v>
      </c>
    </row>
    <row r="647" spans="1:9">
      <c r="A647" s="23">
        <v>647</v>
      </c>
      <c r="B647" s="84">
        <v>45847</v>
      </c>
      <c r="C647" s="23" t="s">
        <v>656</v>
      </c>
      <c r="D647" s="23" t="s">
        <v>297</v>
      </c>
      <c r="G647" s="23">
        <v>0</v>
      </c>
      <c r="I647" s="217" t="s">
        <v>1752</v>
      </c>
    </row>
    <row r="648" spans="1:9">
      <c r="A648" s="23">
        <v>648</v>
      </c>
      <c r="B648" s="84">
        <v>45847</v>
      </c>
      <c r="C648" s="23" t="s">
        <v>483</v>
      </c>
      <c r="D648" s="23" t="s">
        <v>240</v>
      </c>
      <c r="G648" s="23">
        <v>0</v>
      </c>
      <c r="I648" s="217" t="s">
        <v>1750</v>
      </c>
    </row>
    <row r="649" spans="1:9">
      <c r="A649" s="23">
        <v>649</v>
      </c>
      <c r="B649" s="84">
        <v>45847</v>
      </c>
      <c r="C649" s="23" t="s">
        <v>483</v>
      </c>
      <c r="D649" s="23" t="s">
        <v>230</v>
      </c>
      <c r="G649" s="23">
        <v>0</v>
      </c>
      <c r="I649" s="217" t="s">
        <v>1749</v>
      </c>
    </row>
    <row r="650" spans="1:9">
      <c r="A650" s="23">
        <v>650</v>
      </c>
      <c r="B650" s="84">
        <v>45847</v>
      </c>
      <c r="C650" s="23" t="s">
        <v>654</v>
      </c>
      <c r="D650" s="23" t="s">
        <v>246</v>
      </c>
      <c r="G650" s="23">
        <v>0</v>
      </c>
      <c r="I650" s="217" t="s">
        <v>1751</v>
      </c>
    </row>
    <row r="651" spans="1:9">
      <c r="A651" s="23">
        <v>651</v>
      </c>
      <c r="B651" s="84">
        <v>45847</v>
      </c>
      <c r="C651" s="23" t="s">
        <v>651</v>
      </c>
      <c r="D651" s="23" t="s">
        <v>227</v>
      </c>
      <c r="G651" s="23">
        <v>0</v>
      </c>
      <c r="I651" s="217" t="s">
        <v>1754</v>
      </c>
    </row>
    <row r="652" spans="1:9">
      <c r="A652" s="23">
        <v>652</v>
      </c>
      <c r="B652" s="84">
        <v>45847</v>
      </c>
      <c r="C652" s="23" t="s">
        <v>658</v>
      </c>
      <c r="D652" s="23" t="s">
        <v>227</v>
      </c>
      <c r="G652" s="23">
        <v>0.8</v>
      </c>
      <c r="I652" s="217" t="s">
        <v>1755</v>
      </c>
    </row>
    <row r="653" spans="1:9">
      <c r="A653" s="23">
        <v>653</v>
      </c>
      <c r="B653" s="84">
        <v>45847</v>
      </c>
      <c r="C653" s="23" t="s">
        <v>658</v>
      </c>
      <c r="D653" s="23" t="s">
        <v>230</v>
      </c>
      <c r="G653" s="23">
        <v>0.8</v>
      </c>
      <c r="I653" s="217" t="s">
        <v>1756</v>
      </c>
    </row>
    <row r="654" spans="1:9">
      <c r="A654" s="23">
        <v>654</v>
      </c>
      <c r="B654" s="84">
        <v>45847</v>
      </c>
      <c r="C654" s="23" t="s">
        <v>660</v>
      </c>
      <c r="D654" s="23" t="s">
        <v>240</v>
      </c>
      <c r="G654" s="23">
        <v>0.8</v>
      </c>
      <c r="I654" s="217" t="s">
        <v>1757</v>
      </c>
    </row>
    <row r="655" spans="1:9">
      <c r="A655" s="23">
        <v>655</v>
      </c>
      <c r="B655" s="84">
        <v>45847</v>
      </c>
      <c r="C655" s="23" t="s">
        <v>572</v>
      </c>
      <c r="D655" s="23" t="s">
        <v>246</v>
      </c>
      <c r="G655" s="23">
        <v>0.8</v>
      </c>
      <c r="I655" s="217" t="s">
        <v>1758</v>
      </c>
    </row>
    <row r="656" spans="1:9">
      <c r="A656" s="23">
        <v>656</v>
      </c>
      <c r="B656" s="84">
        <v>45847</v>
      </c>
      <c r="C656" s="23" t="s">
        <v>417</v>
      </c>
      <c r="D656" s="23" t="s">
        <v>227</v>
      </c>
      <c r="G656" s="23" t="s">
        <v>9</v>
      </c>
      <c r="I656" s="217" t="s">
        <v>1755</v>
      </c>
    </row>
    <row r="657" spans="1:9">
      <c r="A657" s="23">
        <v>657</v>
      </c>
      <c r="B657" s="84">
        <v>45847</v>
      </c>
      <c r="C657" s="23" t="s">
        <v>505</v>
      </c>
      <c r="D657" s="23" t="s">
        <v>297</v>
      </c>
      <c r="G657" s="23">
        <v>0.7</v>
      </c>
      <c r="I657" s="217" t="s">
        <v>1759</v>
      </c>
    </row>
    <row r="658" spans="1:9">
      <c r="A658" s="23">
        <v>658</v>
      </c>
      <c r="B658" s="84">
        <v>45847</v>
      </c>
      <c r="C658" s="23" t="s">
        <v>663</v>
      </c>
      <c r="D658" s="23" t="s">
        <v>254</v>
      </c>
      <c r="G658" s="23">
        <v>0.3</v>
      </c>
      <c r="I658" s="217" t="s">
        <v>1760</v>
      </c>
    </row>
    <row r="659" spans="1:9">
      <c r="A659" s="23">
        <v>659</v>
      </c>
      <c r="B659" s="84">
        <v>45847</v>
      </c>
      <c r="C659" s="23" t="s">
        <v>616</v>
      </c>
      <c r="D659" s="23" t="s">
        <v>297</v>
      </c>
      <c r="G659" s="23">
        <v>0</v>
      </c>
      <c r="I659" s="217" t="s">
        <v>1759</v>
      </c>
    </row>
    <row r="660" spans="1:9">
      <c r="A660" s="23">
        <v>660</v>
      </c>
      <c r="B660" s="84">
        <v>45847</v>
      </c>
      <c r="C660" s="23" t="s">
        <v>659</v>
      </c>
      <c r="D660" s="23" t="s">
        <v>230</v>
      </c>
      <c r="G660" s="23">
        <v>0</v>
      </c>
      <c r="I660" s="217" t="s">
        <v>1761</v>
      </c>
    </row>
    <row r="661" spans="1:9">
      <c r="A661" s="23">
        <v>661</v>
      </c>
      <c r="B661" s="84">
        <v>45847</v>
      </c>
      <c r="C661" s="23" t="s">
        <v>506</v>
      </c>
      <c r="D661" s="23" t="s">
        <v>240</v>
      </c>
      <c r="G661" s="23">
        <v>0</v>
      </c>
      <c r="I661" s="217" t="s">
        <v>1762</v>
      </c>
    </row>
    <row r="662" spans="1:9">
      <c r="A662" s="23">
        <v>662</v>
      </c>
      <c r="B662" s="84">
        <v>45847</v>
      </c>
      <c r="C662" s="23" t="s">
        <v>661</v>
      </c>
      <c r="D662" s="23" t="s">
        <v>246</v>
      </c>
      <c r="G662" s="23">
        <v>0</v>
      </c>
      <c r="I662" s="217" t="s">
        <v>1763</v>
      </c>
    </row>
    <row r="663" spans="1:9">
      <c r="A663" s="23">
        <v>663</v>
      </c>
      <c r="B663" s="84">
        <v>45847</v>
      </c>
      <c r="C663" s="23" t="s">
        <v>217</v>
      </c>
      <c r="D663" s="23" t="s">
        <v>222</v>
      </c>
      <c r="G663" s="23">
        <v>0.745</v>
      </c>
      <c r="I663" s="217" t="s">
        <v>1764</v>
      </c>
    </row>
    <row r="664" spans="1:9">
      <c r="A664" s="23">
        <v>664</v>
      </c>
      <c r="B664" s="84">
        <v>45847</v>
      </c>
      <c r="C664" s="23" t="s">
        <v>367</v>
      </c>
      <c r="D664" s="23" t="s">
        <v>216</v>
      </c>
      <c r="G664" s="23">
        <v>0</v>
      </c>
      <c r="I664" s="217" t="s">
        <v>1765</v>
      </c>
    </row>
    <row r="665" spans="1:9">
      <c r="A665" s="23">
        <v>665</v>
      </c>
      <c r="B665" s="84">
        <v>45847</v>
      </c>
      <c r="C665" s="23" t="s">
        <v>186</v>
      </c>
      <c r="D665" s="23" t="s">
        <v>227</v>
      </c>
      <c r="G665" s="23">
        <v>0</v>
      </c>
      <c r="H665" s="23" t="s">
        <v>897</v>
      </c>
      <c r="I665" s="217" t="s">
        <v>1766</v>
      </c>
    </row>
    <row r="666" spans="1:9">
      <c r="A666" s="23">
        <v>666</v>
      </c>
      <c r="B666" s="84">
        <v>45847</v>
      </c>
      <c r="C666" s="23" t="s">
        <v>665</v>
      </c>
      <c r="D666" s="23" t="s">
        <v>227</v>
      </c>
      <c r="G666" s="23">
        <v>0.8</v>
      </c>
      <c r="I666" s="217" t="s">
        <v>1236</v>
      </c>
    </row>
    <row r="667" spans="1:9">
      <c r="A667" s="23">
        <v>667</v>
      </c>
      <c r="B667" s="84">
        <v>45847</v>
      </c>
      <c r="C667" s="23" t="s">
        <v>666</v>
      </c>
      <c r="D667" s="23" t="s">
        <v>230</v>
      </c>
      <c r="G667" s="23">
        <v>0.8</v>
      </c>
      <c r="I667" s="217" t="s">
        <v>1767</v>
      </c>
    </row>
    <row r="668" spans="1:9">
      <c r="A668" s="23">
        <v>668</v>
      </c>
      <c r="B668" s="84">
        <v>45847</v>
      </c>
      <c r="C668" s="23" t="s">
        <v>260</v>
      </c>
      <c r="D668" s="23" t="s">
        <v>240</v>
      </c>
      <c r="G668" s="23">
        <v>0.8</v>
      </c>
      <c r="I668" s="217" t="s">
        <v>1768</v>
      </c>
    </row>
    <row r="669" spans="1:9">
      <c r="A669" s="23">
        <v>669</v>
      </c>
      <c r="B669" s="84">
        <v>45847</v>
      </c>
      <c r="C669" s="23" t="s">
        <v>325</v>
      </c>
      <c r="D669" s="23" t="s">
        <v>240</v>
      </c>
      <c r="G669" s="23">
        <v>0</v>
      </c>
      <c r="I669" s="217" t="s">
        <v>1769</v>
      </c>
    </row>
    <row r="670" spans="1:9">
      <c r="A670" s="23">
        <v>670</v>
      </c>
      <c r="B670" s="84">
        <v>45847</v>
      </c>
      <c r="C670" s="23" t="s">
        <v>536</v>
      </c>
      <c r="D670" s="23" t="s">
        <v>227</v>
      </c>
      <c r="G670" s="23">
        <v>0</v>
      </c>
      <c r="I670" s="217" t="s">
        <v>1770</v>
      </c>
    </row>
    <row r="671" spans="1:9">
      <c r="A671" s="23">
        <v>671</v>
      </c>
      <c r="B671" s="84">
        <v>45847</v>
      </c>
      <c r="C671" s="23" t="s">
        <v>667</v>
      </c>
      <c r="D671" s="23" t="s">
        <v>230</v>
      </c>
      <c r="G671" s="23">
        <v>0</v>
      </c>
      <c r="I671" s="217" t="s">
        <v>1771</v>
      </c>
    </row>
    <row r="672" spans="1:9">
      <c r="A672" s="23">
        <v>672</v>
      </c>
      <c r="B672" s="84">
        <v>45847</v>
      </c>
      <c r="C672" s="23" t="s">
        <v>668</v>
      </c>
      <c r="D672" s="23" t="s">
        <v>246</v>
      </c>
      <c r="G672" s="23">
        <v>0.8</v>
      </c>
      <c r="I672" s="217" t="s">
        <v>1772</v>
      </c>
    </row>
    <row r="673" spans="1:9">
      <c r="A673" s="23">
        <v>673</v>
      </c>
      <c r="B673" s="84">
        <v>45847</v>
      </c>
      <c r="C673" s="23" t="s">
        <v>669</v>
      </c>
      <c r="D673" s="23" t="s">
        <v>246</v>
      </c>
      <c r="G673" s="23">
        <v>0</v>
      </c>
      <c r="I673" s="217" t="s">
        <v>1773</v>
      </c>
    </row>
    <row r="674" spans="1:9">
      <c r="A674" s="23">
        <v>674</v>
      </c>
      <c r="B674" s="84">
        <v>45847</v>
      </c>
      <c r="C674" s="23" t="s">
        <v>220</v>
      </c>
      <c r="D674" s="23" t="s">
        <v>213</v>
      </c>
      <c r="G674" s="23">
        <v>0.86</v>
      </c>
      <c r="I674" s="217" t="s">
        <v>1774</v>
      </c>
    </row>
    <row r="675" spans="1:9">
      <c r="A675" s="23">
        <v>675</v>
      </c>
      <c r="B675" s="84">
        <v>45847</v>
      </c>
      <c r="C675" s="23" t="s">
        <v>277</v>
      </c>
      <c r="D675" s="23" t="s">
        <v>235</v>
      </c>
      <c r="G675" s="23">
        <v>0</v>
      </c>
      <c r="I675" s="217" t="s">
        <v>1775</v>
      </c>
    </row>
    <row r="676" spans="1:9">
      <c r="A676" s="23">
        <v>676</v>
      </c>
      <c r="B676" s="84">
        <v>45847</v>
      </c>
      <c r="C676" s="23" t="s">
        <v>670</v>
      </c>
      <c r="D676" s="23" t="s">
        <v>227</v>
      </c>
      <c r="G676" s="23">
        <v>0.8</v>
      </c>
      <c r="I676" s="217" t="s">
        <v>1776</v>
      </c>
    </row>
    <row r="677" spans="1:9">
      <c r="A677" s="23">
        <v>677</v>
      </c>
      <c r="B677" s="84">
        <v>45847</v>
      </c>
      <c r="C677" s="23" t="s">
        <v>550</v>
      </c>
      <c r="D677" s="23" t="s">
        <v>230</v>
      </c>
      <c r="G677" s="23">
        <v>0.8</v>
      </c>
      <c r="I677" s="217" t="s">
        <v>1777</v>
      </c>
    </row>
    <row r="678" spans="1:9">
      <c r="A678" s="23">
        <v>678</v>
      </c>
      <c r="B678" s="84">
        <v>45847</v>
      </c>
      <c r="C678" s="23" t="s">
        <v>671</v>
      </c>
      <c r="D678" s="23" t="s">
        <v>246</v>
      </c>
      <c r="G678" s="23">
        <v>0.8</v>
      </c>
      <c r="I678" s="217" t="s">
        <v>1778</v>
      </c>
    </row>
    <row r="679" spans="1:9">
      <c r="A679" s="23">
        <v>679</v>
      </c>
      <c r="B679" s="84">
        <v>45847</v>
      </c>
      <c r="C679" s="23" t="s">
        <v>672</v>
      </c>
      <c r="D679" s="23" t="s">
        <v>240</v>
      </c>
      <c r="G679" s="23">
        <v>0.8</v>
      </c>
      <c r="I679" s="217" t="s">
        <v>1779</v>
      </c>
    </row>
    <row r="680" spans="1:9">
      <c r="A680" s="23">
        <v>680</v>
      </c>
      <c r="B680" s="84">
        <v>45847</v>
      </c>
      <c r="C680" s="23" t="s">
        <v>671</v>
      </c>
      <c r="D680" s="23" t="s">
        <v>227</v>
      </c>
      <c r="G680" s="23">
        <v>0</v>
      </c>
      <c r="I680" s="217" t="s">
        <v>1776</v>
      </c>
    </row>
    <row r="681" spans="1:9">
      <c r="A681" s="23">
        <v>681</v>
      </c>
      <c r="B681" s="84">
        <v>45847</v>
      </c>
      <c r="C681" s="23" t="s">
        <v>528</v>
      </c>
      <c r="D681" s="23" t="s">
        <v>227</v>
      </c>
      <c r="G681" s="23">
        <v>0.8</v>
      </c>
      <c r="I681" s="217" t="s">
        <v>1236</v>
      </c>
    </row>
    <row r="682" spans="1:9">
      <c r="A682" s="23">
        <v>682</v>
      </c>
      <c r="B682" s="84">
        <v>45847</v>
      </c>
      <c r="C682" s="23" t="s">
        <v>552</v>
      </c>
      <c r="D682" s="23" t="s">
        <v>216</v>
      </c>
      <c r="G682" s="23">
        <v>0.73</v>
      </c>
      <c r="I682" s="217" t="s">
        <v>1780</v>
      </c>
    </row>
    <row r="683" spans="1:9">
      <c r="A683" s="23">
        <v>683</v>
      </c>
      <c r="B683" s="84">
        <v>45847</v>
      </c>
      <c r="C683" s="23" t="s">
        <v>673</v>
      </c>
      <c r="D683" s="23" t="s">
        <v>227</v>
      </c>
      <c r="G683" s="23">
        <v>0</v>
      </c>
      <c r="I683" s="217" t="s">
        <v>1781</v>
      </c>
    </row>
    <row r="684" spans="1:9">
      <c r="A684" s="23">
        <v>684</v>
      </c>
      <c r="B684" s="84">
        <v>45847</v>
      </c>
      <c r="C684" s="23" t="s">
        <v>443</v>
      </c>
      <c r="D684" s="23" t="s">
        <v>230</v>
      </c>
      <c r="G684" s="23">
        <v>0</v>
      </c>
      <c r="I684" s="217" t="s">
        <v>1782</v>
      </c>
    </row>
    <row r="685" spans="1:9">
      <c r="A685" s="23">
        <v>685</v>
      </c>
      <c r="B685" s="84">
        <v>45847</v>
      </c>
      <c r="C685" s="23" t="s">
        <v>445</v>
      </c>
      <c r="D685" s="23" t="s">
        <v>240</v>
      </c>
      <c r="G685" s="23">
        <v>0</v>
      </c>
      <c r="I685" s="217" t="s">
        <v>1783</v>
      </c>
    </row>
    <row r="686" spans="1:9">
      <c r="A686" s="23">
        <v>686</v>
      </c>
      <c r="B686" s="84">
        <v>45847</v>
      </c>
      <c r="C686" s="23" t="s">
        <v>396</v>
      </c>
      <c r="D686" s="23" t="s">
        <v>246</v>
      </c>
      <c r="G686" s="23">
        <v>0</v>
      </c>
      <c r="I686" s="217" t="s">
        <v>1784</v>
      </c>
    </row>
    <row r="687" spans="1:9">
      <c r="A687" s="23">
        <v>687</v>
      </c>
      <c r="B687" s="84">
        <v>45847</v>
      </c>
      <c r="C687" s="23" t="s">
        <v>647</v>
      </c>
      <c r="D687" s="23" t="s">
        <v>219</v>
      </c>
      <c r="G687" s="23">
        <v>0</v>
      </c>
      <c r="I687" s="217" t="s">
        <v>1785</v>
      </c>
    </row>
    <row r="688" spans="1:9">
      <c r="A688" s="23">
        <v>688</v>
      </c>
      <c r="B688" s="84">
        <v>45847</v>
      </c>
      <c r="C688" s="23" t="s">
        <v>664</v>
      </c>
      <c r="D688" s="23" t="s">
        <v>254</v>
      </c>
      <c r="G688" s="23">
        <v>0</v>
      </c>
      <c r="I688" s="217" t="s">
        <v>1786</v>
      </c>
    </row>
    <row r="689" spans="1:9">
      <c r="A689" s="23">
        <v>689</v>
      </c>
      <c r="B689" s="84">
        <v>45847</v>
      </c>
      <c r="C689" s="23" t="s">
        <v>657</v>
      </c>
      <c r="D689" s="23" t="s">
        <v>326</v>
      </c>
      <c r="G689" s="23">
        <v>0</v>
      </c>
      <c r="I689" s="217" t="s">
        <v>1787</v>
      </c>
    </row>
    <row r="690" spans="1:9">
      <c r="A690" s="23">
        <v>690</v>
      </c>
      <c r="B690" s="84">
        <v>45847</v>
      </c>
      <c r="C690" s="23" t="s">
        <v>644</v>
      </c>
      <c r="D690" s="23" t="s">
        <v>209</v>
      </c>
      <c r="G690" s="23">
        <v>0</v>
      </c>
      <c r="I690" s="217" t="s">
        <v>1788</v>
      </c>
    </row>
    <row r="691" spans="1:9">
      <c r="A691" s="23">
        <v>691</v>
      </c>
      <c r="B691" s="84">
        <v>45848</v>
      </c>
      <c r="C691" s="23" t="s">
        <v>649</v>
      </c>
      <c r="D691" s="23" t="s">
        <v>197</v>
      </c>
      <c r="G691" s="23">
        <v>0</v>
      </c>
      <c r="I691" s="217" t="s">
        <v>1789</v>
      </c>
    </row>
    <row r="692" spans="1:9">
      <c r="A692" s="23">
        <v>692</v>
      </c>
      <c r="B692" s="84">
        <v>45848</v>
      </c>
      <c r="C692" s="23" t="s">
        <v>638</v>
      </c>
      <c r="D692" s="23" t="s">
        <v>219</v>
      </c>
      <c r="G692" s="23">
        <v>0.45</v>
      </c>
      <c r="I692" s="217" t="s">
        <v>1790</v>
      </c>
    </row>
    <row r="693" spans="1:9">
      <c r="A693" s="23">
        <v>693</v>
      </c>
      <c r="B693" s="84">
        <v>45848</v>
      </c>
      <c r="C693" s="23" t="s">
        <v>613</v>
      </c>
      <c r="D693" s="23" t="s">
        <v>222</v>
      </c>
      <c r="G693" s="23">
        <v>0</v>
      </c>
      <c r="I693" s="217" t="s">
        <v>1791</v>
      </c>
    </row>
    <row r="694" spans="1:9">
      <c r="A694" s="23">
        <v>694</v>
      </c>
      <c r="B694" s="84">
        <v>45848</v>
      </c>
      <c r="C694" s="23" t="s">
        <v>557</v>
      </c>
      <c r="D694" s="23" t="s">
        <v>230</v>
      </c>
      <c r="G694" s="23">
        <v>0.8</v>
      </c>
      <c r="I694" s="217" t="s">
        <v>1792</v>
      </c>
    </row>
    <row r="695" spans="1:9">
      <c r="A695" s="23">
        <v>695</v>
      </c>
      <c r="B695" s="84">
        <v>45848</v>
      </c>
      <c r="C695" s="23" t="s">
        <v>351</v>
      </c>
      <c r="D695" s="23" t="s">
        <v>227</v>
      </c>
      <c r="G695" s="23">
        <v>0.7</v>
      </c>
      <c r="I695" s="217" t="s">
        <v>1793</v>
      </c>
    </row>
    <row r="696" spans="1:9">
      <c r="A696" s="23">
        <v>696</v>
      </c>
      <c r="B696" s="84">
        <v>45848</v>
      </c>
      <c r="C696" s="23" t="s">
        <v>675</v>
      </c>
      <c r="D696" s="23" t="s">
        <v>197</v>
      </c>
      <c r="G696" s="23">
        <v>1</v>
      </c>
      <c r="I696" s="217" t="s">
        <v>1794</v>
      </c>
    </row>
    <row r="697" spans="1:9">
      <c r="A697" s="23">
        <v>697</v>
      </c>
      <c r="B697" s="84">
        <v>45848</v>
      </c>
      <c r="C697" s="23" t="s">
        <v>675</v>
      </c>
      <c r="D697" s="23" t="s">
        <v>240</v>
      </c>
      <c r="G697" s="23">
        <v>0.7</v>
      </c>
      <c r="I697" s="217" t="s">
        <v>1795</v>
      </c>
    </row>
    <row r="698" spans="1:9">
      <c r="A698" s="23">
        <v>698</v>
      </c>
      <c r="B698" s="84">
        <v>45848</v>
      </c>
      <c r="C698" s="23" t="s">
        <v>678</v>
      </c>
      <c r="D698" s="23" t="s">
        <v>326</v>
      </c>
      <c r="G698" s="23">
        <v>2</v>
      </c>
      <c r="I698" s="217" t="s">
        <v>1796</v>
      </c>
    </row>
    <row r="699" spans="1:9">
      <c r="A699" s="23">
        <v>699</v>
      </c>
      <c r="B699" s="84">
        <v>45848</v>
      </c>
      <c r="C699" s="23" t="s">
        <v>229</v>
      </c>
      <c r="D699" s="23" t="s">
        <v>227</v>
      </c>
      <c r="G699" s="23">
        <v>0</v>
      </c>
      <c r="I699" s="217" t="s">
        <v>1793</v>
      </c>
    </row>
    <row r="700" spans="1:9">
      <c r="A700" s="23">
        <v>700</v>
      </c>
      <c r="B700" s="84">
        <v>45848</v>
      </c>
      <c r="C700" s="23" t="s">
        <v>674</v>
      </c>
      <c r="D700" s="23" t="s">
        <v>230</v>
      </c>
      <c r="G700" s="23">
        <v>0</v>
      </c>
      <c r="I700" s="217" t="s">
        <v>1792</v>
      </c>
    </row>
    <row r="701" spans="1:9">
      <c r="A701" s="23">
        <v>701</v>
      </c>
      <c r="B701" s="84">
        <v>45848</v>
      </c>
      <c r="C701" s="23" t="s">
        <v>236</v>
      </c>
      <c r="D701" s="23" t="s">
        <v>235</v>
      </c>
      <c r="G701" s="23">
        <v>0.81</v>
      </c>
      <c r="I701" s="217" t="s">
        <v>1797</v>
      </c>
    </row>
    <row r="702" spans="1:9">
      <c r="A702" s="23">
        <v>702</v>
      </c>
      <c r="B702" s="84">
        <v>45848</v>
      </c>
      <c r="C702" s="23" t="s">
        <v>215</v>
      </c>
      <c r="D702" s="23" t="s">
        <v>213</v>
      </c>
      <c r="G702" s="23">
        <v>0</v>
      </c>
      <c r="I702" s="217" t="s">
        <v>1798</v>
      </c>
    </row>
    <row r="703" spans="1:9">
      <c r="A703" s="23">
        <v>703</v>
      </c>
      <c r="B703" s="84">
        <v>45848</v>
      </c>
      <c r="C703" s="23" t="s">
        <v>236</v>
      </c>
      <c r="D703" s="23" t="s">
        <v>222</v>
      </c>
      <c r="G703" s="23">
        <v>0.58499999999999996</v>
      </c>
      <c r="I703" s="217" t="s">
        <v>1799</v>
      </c>
    </row>
    <row r="704" spans="1:9">
      <c r="A704" s="23">
        <v>704</v>
      </c>
      <c r="B704" s="84">
        <v>45848</v>
      </c>
      <c r="C704" s="23" t="s">
        <v>215</v>
      </c>
      <c r="D704" s="23" t="s">
        <v>216</v>
      </c>
      <c r="G704" s="23">
        <v>0</v>
      </c>
      <c r="I704" s="217" t="s">
        <v>1800</v>
      </c>
    </row>
    <row r="705" spans="1:9">
      <c r="A705" s="23">
        <v>705</v>
      </c>
      <c r="B705" s="84">
        <v>45848</v>
      </c>
      <c r="C705" s="23" t="s">
        <v>677</v>
      </c>
      <c r="D705" s="23" t="s">
        <v>240</v>
      </c>
      <c r="G705" s="23">
        <v>0</v>
      </c>
      <c r="I705" s="217" t="s">
        <v>1801</v>
      </c>
    </row>
    <row r="706" spans="1:9">
      <c r="A706" s="23">
        <v>706</v>
      </c>
      <c r="B706" s="84">
        <v>45848</v>
      </c>
      <c r="C706" s="23" t="s">
        <v>681</v>
      </c>
      <c r="D706" s="23" t="s">
        <v>233</v>
      </c>
      <c r="G706" s="23">
        <v>0.5</v>
      </c>
      <c r="I706" s="217" t="s">
        <v>1802</v>
      </c>
    </row>
    <row r="707" spans="1:9">
      <c r="A707" s="23">
        <v>707</v>
      </c>
      <c r="B707" s="84">
        <v>45848</v>
      </c>
      <c r="C707" s="23" t="s">
        <v>619</v>
      </c>
      <c r="D707" s="23" t="s">
        <v>206</v>
      </c>
      <c r="G707" s="23">
        <v>0</v>
      </c>
      <c r="I707" s="217" t="s">
        <v>1803</v>
      </c>
    </row>
    <row r="708" spans="1:9">
      <c r="A708" s="23">
        <v>708</v>
      </c>
      <c r="B708" s="84">
        <v>45848</v>
      </c>
      <c r="C708" s="23" t="s">
        <v>603</v>
      </c>
      <c r="D708" s="23" t="s">
        <v>200</v>
      </c>
      <c r="G708" s="23">
        <v>0</v>
      </c>
      <c r="I708" s="217" t="s">
        <v>1804</v>
      </c>
    </row>
    <row r="709" spans="1:9">
      <c r="A709" s="23">
        <v>709</v>
      </c>
      <c r="B709" s="84">
        <v>45848</v>
      </c>
      <c r="C709" s="23" t="s">
        <v>601</v>
      </c>
      <c r="D709" s="23" t="s">
        <v>200</v>
      </c>
      <c r="G709" s="23">
        <v>1.5</v>
      </c>
      <c r="I709" s="217" t="s">
        <v>1805</v>
      </c>
    </row>
    <row r="710" spans="1:9">
      <c r="A710" s="23">
        <v>710</v>
      </c>
      <c r="B710" s="84">
        <v>45848</v>
      </c>
      <c r="C710" s="23" t="s">
        <v>601</v>
      </c>
      <c r="D710" s="23" t="s">
        <v>227</v>
      </c>
      <c r="G710" s="23">
        <v>0.8</v>
      </c>
      <c r="I710" s="217" t="s">
        <v>1806</v>
      </c>
    </row>
    <row r="711" spans="1:9">
      <c r="A711" s="23">
        <v>711</v>
      </c>
      <c r="B711" s="84">
        <v>45848</v>
      </c>
      <c r="C711" s="23" t="s">
        <v>365</v>
      </c>
      <c r="D711" s="23" t="s">
        <v>227</v>
      </c>
      <c r="G711" s="23">
        <v>0</v>
      </c>
      <c r="I711" s="217" t="s">
        <v>1806</v>
      </c>
    </row>
    <row r="712" spans="1:9">
      <c r="A712" s="23">
        <v>712</v>
      </c>
      <c r="B712" s="84">
        <v>45848</v>
      </c>
      <c r="C712" s="23" t="s">
        <v>602</v>
      </c>
      <c r="D712" s="23" t="s">
        <v>209</v>
      </c>
      <c r="G712" s="23">
        <v>1.5</v>
      </c>
      <c r="I712" s="217" t="s">
        <v>1807</v>
      </c>
    </row>
    <row r="713" spans="1:9">
      <c r="A713" s="23">
        <v>713</v>
      </c>
      <c r="B713" s="84">
        <v>45848</v>
      </c>
      <c r="C713" s="23" t="s">
        <v>684</v>
      </c>
      <c r="D713" s="23" t="s">
        <v>230</v>
      </c>
      <c r="G713" s="23">
        <v>0.8</v>
      </c>
      <c r="I713" s="217" t="s">
        <v>1808</v>
      </c>
    </row>
    <row r="714" spans="1:9">
      <c r="A714" s="23">
        <v>714</v>
      </c>
      <c r="B714" s="84">
        <v>45848</v>
      </c>
      <c r="C714" s="23" t="s">
        <v>370</v>
      </c>
      <c r="D714" s="23" t="s">
        <v>254</v>
      </c>
      <c r="G714" s="23">
        <v>1.5</v>
      </c>
      <c r="I714" s="217" t="s">
        <v>1809</v>
      </c>
    </row>
    <row r="715" spans="1:9">
      <c r="A715" s="23">
        <v>715</v>
      </c>
      <c r="B715" s="84">
        <v>45848</v>
      </c>
      <c r="C715" s="23" t="s">
        <v>304</v>
      </c>
      <c r="D715" s="23" t="s">
        <v>227</v>
      </c>
      <c r="G715" s="23">
        <v>0.8</v>
      </c>
      <c r="I715" s="217" t="s">
        <v>1810</v>
      </c>
    </row>
    <row r="716" spans="1:9">
      <c r="A716" s="23">
        <v>716</v>
      </c>
      <c r="B716" s="84">
        <v>45848</v>
      </c>
      <c r="C716" s="23" t="s">
        <v>564</v>
      </c>
      <c r="D716" s="23" t="s">
        <v>230</v>
      </c>
      <c r="G716" s="23">
        <v>0</v>
      </c>
      <c r="I716" s="217" t="s">
        <v>1811</v>
      </c>
    </row>
    <row r="717" spans="1:9">
      <c r="A717" s="23">
        <v>717</v>
      </c>
      <c r="B717" s="84">
        <v>45848</v>
      </c>
      <c r="C717" s="23" t="s">
        <v>495</v>
      </c>
      <c r="D717" s="23" t="s">
        <v>246</v>
      </c>
      <c r="G717" s="23">
        <v>0.8</v>
      </c>
      <c r="I717" s="217" t="s">
        <v>1812</v>
      </c>
    </row>
    <row r="718" spans="1:9">
      <c r="A718" s="23">
        <v>718</v>
      </c>
      <c r="B718" s="84">
        <v>45848</v>
      </c>
      <c r="C718" s="23" t="s">
        <v>270</v>
      </c>
      <c r="D718" s="23" t="s">
        <v>230</v>
      </c>
      <c r="G718" s="23">
        <v>0.8</v>
      </c>
      <c r="I718" s="217" t="s">
        <v>1813</v>
      </c>
    </row>
    <row r="719" spans="1:9">
      <c r="A719" s="23">
        <v>719</v>
      </c>
      <c r="B719" s="84">
        <v>45848</v>
      </c>
      <c r="C719" s="23" t="s">
        <v>688</v>
      </c>
      <c r="D719" s="23" t="s">
        <v>240</v>
      </c>
      <c r="G719" s="23">
        <v>0.8</v>
      </c>
      <c r="I719" s="217" t="s">
        <v>1814</v>
      </c>
    </row>
    <row r="720" spans="1:9">
      <c r="A720" s="23">
        <v>720</v>
      </c>
      <c r="B720" s="84">
        <v>45848</v>
      </c>
      <c r="C720" s="23" t="s">
        <v>658</v>
      </c>
      <c r="D720" s="23" t="s">
        <v>227</v>
      </c>
      <c r="G720" s="23">
        <v>0</v>
      </c>
      <c r="I720" s="217" t="s">
        <v>1815</v>
      </c>
    </row>
    <row r="721" spans="1:9">
      <c r="A721" s="23">
        <v>721</v>
      </c>
      <c r="B721" s="84">
        <v>45848</v>
      </c>
      <c r="C721" s="23" t="s">
        <v>687</v>
      </c>
      <c r="D721" s="23" t="s">
        <v>230</v>
      </c>
      <c r="G721" s="23">
        <v>0</v>
      </c>
      <c r="I721" s="217" t="s">
        <v>1813</v>
      </c>
    </row>
    <row r="722" spans="1:9">
      <c r="A722" s="23">
        <v>722</v>
      </c>
      <c r="B722" s="84">
        <v>45848</v>
      </c>
      <c r="C722" s="23" t="s">
        <v>680</v>
      </c>
      <c r="D722" s="23" t="s">
        <v>235</v>
      </c>
      <c r="G722" s="23">
        <v>0</v>
      </c>
      <c r="H722" s="23" t="s">
        <v>1816</v>
      </c>
      <c r="I722" s="217" t="s">
        <v>1817</v>
      </c>
    </row>
    <row r="723" spans="1:9">
      <c r="A723" s="23">
        <v>723</v>
      </c>
      <c r="B723" s="84">
        <v>45848</v>
      </c>
      <c r="C723" s="23" t="s">
        <v>568</v>
      </c>
      <c r="D723" s="23" t="s">
        <v>227</v>
      </c>
      <c r="G723" s="23">
        <v>0.8</v>
      </c>
      <c r="I723" s="217" t="s">
        <v>1818</v>
      </c>
    </row>
    <row r="724" spans="1:9">
      <c r="A724" s="23">
        <v>724</v>
      </c>
      <c r="B724" s="84">
        <v>45848</v>
      </c>
      <c r="C724" s="23" t="s">
        <v>690</v>
      </c>
      <c r="D724" s="23" t="s">
        <v>230</v>
      </c>
      <c r="G724" s="23">
        <v>0.8</v>
      </c>
      <c r="I724" s="217" t="s">
        <v>1819</v>
      </c>
    </row>
    <row r="725" spans="1:9">
      <c r="A725" s="23">
        <v>725</v>
      </c>
      <c r="B725" s="84">
        <v>45848</v>
      </c>
      <c r="C725" s="23" t="s">
        <v>686</v>
      </c>
      <c r="D725" s="23" t="s">
        <v>240</v>
      </c>
      <c r="G725" s="23">
        <v>0</v>
      </c>
      <c r="I725" s="217" t="s">
        <v>1820</v>
      </c>
    </row>
    <row r="726" spans="1:9">
      <c r="A726" s="23">
        <v>726</v>
      </c>
      <c r="B726" s="84">
        <v>45848</v>
      </c>
      <c r="C726" s="23" t="s">
        <v>686</v>
      </c>
      <c r="D726" s="23" t="s">
        <v>246</v>
      </c>
      <c r="G726" s="23">
        <v>0</v>
      </c>
      <c r="I726" s="217" t="s">
        <v>1821</v>
      </c>
    </row>
    <row r="727" spans="1:9">
      <c r="A727" s="23">
        <v>727</v>
      </c>
      <c r="B727" s="84">
        <v>45848</v>
      </c>
      <c r="C727" s="23" t="s">
        <v>217</v>
      </c>
      <c r="D727" s="23" t="s">
        <v>216</v>
      </c>
      <c r="G727" s="23">
        <v>0.75</v>
      </c>
      <c r="I727" s="217" t="s">
        <v>1822</v>
      </c>
    </row>
    <row r="728" spans="1:9">
      <c r="A728" s="23">
        <v>728</v>
      </c>
      <c r="B728" s="84">
        <v>45848</v>
      </c>
      <c r="C728" s="23" t="s">
        <v>367</v>
      </c>
      <c r="D728" s="23" t="s">
        <v>219</v>
      </c>
      <c r="G728" s="23">
        <v>0</v>
      </c>
      <c r="I728" s="217" t="s">
        <v>1823</v>
      </c>
    </row>
    <row r="729" spans="1:9">
      <c r="A729" s="23">
        <v>729</v>
      </c>
      <c r="B729" s="84">
        <v>45848</v>
      </c>
      <c r="C729" s="23" t="s">
        <v>689</v>
      </c>
      <c r="D729" s="23" t="s">
        <v>227</v>
      </c>
      <c r="G729" s="23">
        <v>0</v>
      </c>
      <c r="I729" s="217" t="s">
        <v>1824</v>
      </c>
    </row>
    <row r="730" spans="1:9">
      <c r="A730" s="23">
        <v>730</v>
      </c>
      <c r="B730" s="84">
        <v>45848</v>
      </c>
      <c r="C730" s="23" t="s">
        <v>691</v>
      </c>
      <c r="D730" s="23" t="s">
        <v>240</v>
      </c>
      <c r="G730" s="23">
        <v>0.8</v>
      </c>
      <c r="I730" s="217" t="s">
        <v>1825</v>
      </c>
    </row>
    <row r="731" spans="1:9">
      <c r="A731" s="23">
        <v>731</v>
      </c>
      <c r="B731" s="84">
        <v>45848</v>
      </c>
      <c r="C731" s="23" t="s">
        <v>692</v>
      </c>
      <c r="D731" s="23" t="s">
        <v>246</v>
      </c>
      <c r="G731" s="23">
        <v>0.8</v>
      </c>
      <c r="I731" s="217" t="s">
        <v>1826</v>
      </c>
    </row>
    <row r="732" spans="1:9">
      <c r="A732" s="23">
        <v>732</v>
      </c>
      <c r="B732" s="84">
        <v>45848</v>
      </c>
      <c r="C732" s="23" t="s">
        <v>693</v>
      </c>
      <c r="D732" s="23" t="s">
        <v>235</v>
      </c>
      <c r="G732" s="23">
        <v>0.83</v>
      </c>
      <c r="I732" s="217" t="s">
        <v>1827</v>
      </c>
    </row>
    <row r="733" spans="1:9">
      <c r="A733" s="23">
        <v>733</v>
      </c>
      <c r="B733" s="84">
        <v>45848</v>
      </c>
      <c r="C733" s="23" t="s">
        <v>389</v>
      </c>
      <c r="D733" s="23" t="s">
        <v>235</v>
      </c>
      <c r="G733" s="23">
        <v>0</v>
      </c>
      <c r="H733" s="23" t="s">
        <v>1816</v>
      </c>
      <c r="I733" s="217" t="s">
        <v>1828</v>
      </c>
    </row>
    <row r="734" spans="1:9">
      <c r="A734" s="23">
        <v>734</v>
      </c>
      <c r="B734" s="84">
        <v>45848</v>
      </c>
      <c r="C734" s="23" t="s">
        <v>391</v>
      </c>
      <c r="D734" s="23" t="s">
        <v>227</v>
      </c>
      <c r="G734" s="23">
        <v>0.8</v>
      </c>
      <c r="I734" s="217" t="s">
        <v>1829</v>
      </c>
    </row>
    <row r="735" spans="1:9">
      <c r="A735" s="23">
        <v>735</v>
      </c>
      <c r="B735" s="84">
        <v>45848</v>
      </c>
      <c r="C735" s="23" t="s">
        <v>695</v>
      </c>
      <c r="D735" s="23" t="s">
        <v>297</v>
      </c>
      <c r="G735" s="23">
        <v>0.8</v>
      </c>
      <c r="I735" s="217" t="s">
        <v>1830</v>
      </c>
    </row>
    <row r="736" spans="1:9">
      <c r="A736" s="23">
        <v>736</v>
      </c>
      <c r="B736" s="84">
        <v>45848</v>
      </c>
      <c r="C736" s="23" t="s">
        <v>193</v>
      </c>
      <c r="D736" s="23" t="s">
        <v>182</v>
      </c>
      <c r="G736" s="23">
        <v>0.8</v>
      </c>
      <c r="I736" s="217" t="s">
        <v>1831</v>
      </c>
    </row>
    <row r="737" spans="1:9">
      <c r="A737" s="23">
        <v>737</v>
      </c>
      <c r="B737" s="84">
        <v>45848</v>
      </c>
      <c r="C737" s="23" t="s">
        <v>531</v>
      </c>
      <c r="D737" s="23" t="s">
        <v>312</v>
      </c>
      <c r="G737" s="23">
        <v>0.7</v>
      </c>
      <c r="I737" s="217" t="s">
        <v>1832</v>
      </c>
    </row>
    <row r="738" spans="1:9">
      <c r="A738" s="23">
        <v>738</v>
      </c>
      <c r="B738" s="84">
        <v>45848</v>
      </c>
      <c r="C738" s="23" t="s">
        <v>697</v>
      </c>
      <c r="D738" s="23" t="s">
        <v>182</v>
      </c>
      <c r="G738" s="23">
        <v>0</v>
      </c>
      <c r="I738" s="217" t="s">
        <v>1831</v>
      </c>
    </row>
    <row r="739" spans="1:9">
      <c r="A739" s="23">
        <v>739</v>
      </c>
      <c r="B739" s="84">
        <v>45848</v>
      </c>
      <c r="C739" s="23" t="s">
        <v>696</v>
      </c>
      <c r="D739" s="23" t="s">
        <v>297</v>
      </c>
      <c r="G739" s="23">
        <v>0</v>
      </c>
      <c r="I739" s="217" t="s">
        <v>1833</v>
      </c>
    </row>
    <row r="740" spans="1:9">
      <c r="A740" s="23">
        <v>740</v>
      </c>
      <c r="B740" s="84">
        <v>45848</v>
      </c>
      <c r="C740" s="23" t="s">
        <v>620</v>
      </c>
      <c r="D740" s="23" t="s">
        <v>230</v>
      </c>
      <c r="G740" s="23">
        <v>0</v>
      </c>
      <c r="I740" s="217" t="s">
        <v>1834</v>
      </c>
    </row>
    <row r="741" spans="1:9">
      <c r="A741" s="23">
        <v>741</v>
      </c>
      <c r="B741" s="84">
        <v>45848</v>
      </c>
      <c r="C741" s="23" t="s">
        <v>267</v>
      </c>
      <c r="D741" s="23" t="s">
        <v>240</v>
      </c>
      <c r="G741" s="23">
        <v>0</v>
      </c>
      <c r="I741" s="217" t="s">
        <v>1835</v>
      </c>
    </row>
    <row r="742" spans="1:9">
      <c r="A742" s="23">
        <v>742</v>
      </c>
      <c r="B742" s="84">
        <v>45848</v>
      </c>
      <c r="C742" s="23" t="s">
        <v>267</v>
      </c>
      <c r="D742" s="23" t="s">
        <v>206</v>
      </c>
      <c r="G742" s="23">
        <v>1</v>
      </c>
      <c r="I742" s="217" t="s">
        <v>1836</v>
      </c>
    </row>
    <row r="743" spans="1:9">
      <c r="A743" s="23">
        <v>743</v>
      </c>
      <c r="B743" s="84">
        <v>45848</v>
      </c>
      <c r="C743" s="23" t="s">
        <v>581</v>
      </c>
      <c r="D743" s="23" t="s">
        <v>246</v>
      </c>
      <c r="G743" s="23">
        <v>0</v>
      </c>
      <c r="I743" s="217" t="s">
        <v>1837</v>
      </c>
    </row>
    <row r="744" spans="1:9">
      <c r="A744" s="23">
        <v>744</v>
      </c>
      <c r="B744" s="84">
        <v>45848</v>
      </c>
      <c r="C744" s="23" t="s">
        <v>682</v>
      </c>
      <c r="D744" s="23" t="s">
        <v>233</v>
      </c>
      <c r="G744" s="23">
        <v>0</v>
      </c>
      <c r="I744" s="217" t="s">
        <v>1838</v>
      </c>
    </row>
    <row r="745" spans="1:9">
      <c r="A745" s="23">
        <v>745</v>
      </c>
      <c r="B745" s="84">
        <v>45848</v>
      </c>
      <c r="C745" s="23" t="s">
        <v>699</v>
      </c>
      <c r="D745" s="23" t="s">
        <v>235</v>
      </c>
      <c r="G745" s="23">
        <v>0.8</v>
      </c>
      <c r="I745" s="217" t="s">
        <v>1839</v>
      </c>
    </row>
    <row r="746" spans="1:9">
      <c r="A746" s="23">
        <v>746</v>
      </c>
      <c r="B746" s="84">
        <v>45848</v>
      </c>
      <c r="C746" s="23" t="s">
        <v>694</v>
      </c>
      <c r="D746" s="23" t="s">
        <v>227</v>
      </c>
      <c r="G746" s="23">
        <v>0</v>
      </c>
      <c r="I746" s="217" t="s">
        <v>1840</v>
      </c>
    </row>
    <row r="747" spans="1:9">
      <c r="A747" s="23">
        <v>747</v>
      </c>
      <c r="B747" s="84">
        <v>45848</v>
      </c>
      <c r="C747" s="23" t="s">
        <v>409</v>
      </c>
      <c r="D747" s="23" t="s">
        <v>312</v>
      </c>
      <c r="G747" s="23">
        <v>0</v>
      </c>
      <c r="I747" s="217" t="s">
        <v>1841</v>
      </c>
    </row>
    <row r="748" spans="1:9">
      <c r="A748" s="23">
        <v>748</v>
      </c>
      <c r="B748" s="84">
        <v>45848</v>
      </c>
      <c r="C748" s="23" t="s">
        <v>700</v>
      </c>
      <c r="D748" s="23" t="s">
        <v>235</v>
      </c>
      <c r="G748" s="23">
        <v>0</v>
      </c>
      <c r="I748" s="217" t="s">
        <v>1842</v>
      </c>
    </row>
    <row r="749" spans="1:9">
      <c r="A749" s="23">
        <v>749</v>
      </c>
      <c r="B749" s="84">
        <v>45848</v>
      </c>
      <c r="C749" s="23" t="s">
        <v>220</v>
      </c>
      <c r="D749" s="23" t="s">
        <v>219</v>
      </c>
      <c r="G749" s="23">
        <v>0.63</v>
      </c>
      <c r="I749" s="217" t="s">
        <v>1843</v>
      </c>
    </row>
    <row r="750" spans="1:9">
      <c r="A750" s="23">
        <v>750</v>
      </c>
      <c r="B750" s="84">
        <v>45848</v>
      </c>
      <c r="C750" s="23" t="s">
        <v>277</v>
      </c>
      <c r="D750" s="23" t="s">
        <v>222</v>
      </c>
      <c r="G750" s="23">
        <v>0</v>
      </c>
      <c r="I750" s="217" t="s">
        <v>1844</v>
      </c>
    </row>
    <row r="751" spans="1:9">
      <c r="A751" s="23">
        <v>751</v>
      </c>
      <c r="B751" s="84">
        <v>45848</v>
      </c>
      <c r="C751" s="23" t="s">
        <v>543</v>
      </c>
      <c r="D751" s="23" t="s">
        <v>213</v>
      </c>
      <c r="G751" s="23">
        <v>0.5</v>
      </c>
      <c r="I751" s="217" t="s">
        <v>1845</v>
      </c>
    </row>
    <row r="752" spans="1:9">
      <c r="A752" s="23">
        <v>752</v>
      </c>
      <c r="B752" s="84">
        <v>45848</v>
      </c>
      <c r="C752" s="23" t="s">
        <v>552</v>
      </c>
      <c r="D752" s="23" t="s">
        <v>222</v>
      </c>
      <c r="G752" s="23">
        <v>0.5</v>
      </c>
      <c r="I752" s="217" t="s">
        <v>1846</v>
      </c>
    </row>
    <row r="753" spans="1:9">
      <c r="A753" s="23">
        <v>753</v>
      </c>
      <c r="B753" s="84">
        <v>45848</v>
      </c>
      <c r="C753" s="23" t="s">
        <v>683</v>
      </c>
      <c r="D753" s="23" t="s">
        <v>209</v>
      </c>
      <c r="G753" s="23" t="s">
        <v>9</v>
      </c>
      <c r="H753" s="23" t="s">
        <v>702</v>
      </c>
      <c r="I753" s="217" t="s">
        <v>1847</v>
      </c>
    </row>
    <row r="754" spans="1:9">
      <c r="A754" s="23">
        <v>754</v>
      </c>
      <c r="B754" s="84">
        <v>45848</v>
      </c>
      <c r="C754" s="23" t="s">
        <v>396</v>
      </c>
      <c r="D754" s="23" t="s">
        <v>222</v>
      </c>
      <c r="G754" s="23">
        <v>0</v>
      </c>
      <c r="I754" s="217" t="s">
        <v>1848</v>
      </c>
    </row>
    <row r="755" spans="1:9">
      <c r="A755" s="23">
        <v>755</v>
      </c>
      <c r="B755" s="84">
        <v>45848</v>
      </c>
      <c r="C755" s="23" t="s">
        <v>703</v>
      </c>
      <c r="D755" s="23" t="s">
        <v>227</v>
      </c>
      <c r="G755" s="23">
        <v>0.8</v>
      </c>
      <c r="I755" s="217" t="s">
        <v>1849</v>
      </c>
    </row>
    <row r="756" spans="1:9">
      <c r="A756" s="23">
        <v>756</v>
      </c>
      <c r="B756" s="84">
        <v>45848</v>
      </c>
      <c r="C756" s="23" t="s">
        <v>703</v>
      </c>
      <c r="D756" s="23" t="s">
        <v>230</v>
      </c>
      <c r="G756" s="23">
        <v>0.8</v>
      </c>
      <c r="I756" s="217" t="s">
        <v>1850</v>
      </c>
    </row>
    <row r="757" spans="1:9">
      <c r="A757" s="23">
        <v>757</v>
      </c>
      <c r="B757" s="84">
        <v>45848</v>
      </c>
      <c r="C757" s="23" t="s">
        <v>704</v>
      </c>
      <c r="D757" s="23" t="s">
        <v>227</v>
      </c>
      <c r="G757" s="23">
        <v>0</v>
      </c>
      <c r="I757" s="217" t="s">
        <v>1849</v>
      </c>
    </row>
    <row r="758" spans="1:9">
      <c r="A758" s="23">
        <v>758</v>
      </c>
      <c r="B758" s="84">
        <v>45848</v>
      </c>
      <c r="C758" s="23" t="s">
        <v>705</v>
      </c>
      <c r="D758" s="23" t="s">
        <v>230</v>
      </c>
      <c r="G758" s="23">
        <v>0</v>
      </c>
      <c r="I758" s="217" t="s">
        <v>1851</v>
      </c>
    </row>
    <row r="759" spans="1:9">
      <c r="A759" s="23">
        <v>759</v>
      </c>
      <c r="B759" s="84">
        <v>45848</v>
      </c>
      <c r="C759" s="23" t="s">
        <v>685</v>
      </c>
      <c r="D759" s="23" t="s">
        <v>254</v>
      </c>
      <c r="G759" s="23">
        <v>0</v>
      </c>
      <c r="I759" s="217" t="s">
        <v>1852</v>
      </c>
    </row>
    <row r="760" spans="1:9">
      <c r="A760" s="23">
        <v>760</v>
      </c>
      <c r="B760" s="84">
        <v>45848</v>
      </c>
      <c r="C760" s="23" t="s">
        <v>706</v>
      </c>
      <c r="D760" s="23" t="s">
        <v>240</v>
      </c>
      <c r="G760" s="23">
        <v>0.7</v>
      </c>
      <c r="I760" s="217" t="s">
        <v>1853</v>
      </c>
    </row>
    <row r="761" spans="1:9">
      <c r="A761" s="23">
        <v>761</v>
      </c>
      <c r="B761" s="84">
        <v>45848</v>
      </c>
      <c r="C761" s="23" t="s">
        <v>706</v>
      </c>
      <c r="D761" s="23" t="s">
        <v>227</v>
      </c>
      <c r="G761" s="23">
        <v>0.7</v>
      </c>
      <c r="I761" s="217" t="s">
        <v>1854</v>
      </c>
    </row>
    <row r="762" spans="1:9">
      <c r="A762" s="23">
        <v>762</v>
      </c>
      <c r="B762" s="84">
        <v>45848</v>
      </c>
      <c r="C762" s="23" t="s">
        <v>706</v>
      </c>
      <c r="D762" s="23" t="s">
        <v>230</v>
      </c>
      <c r="G762" s="23">
        <v>0.7</v>
      </c>
      <c r="I762" s="217" t="s">
        <v>1855</v>
      </c>
    </row>
    <row r="763" spans="1:9">
      <c r="A763" s="23">
        <v>763</v>
      </c>
      <c r="B763" s="84">
        <v>45848</v>
      </c>
      <c r="C763" s="23" t="s">
        <v>706</v>
      </c>
      <c r="D763" s="23" t="s">
        <v>246</v>
      </c>
      <c r="G763" s="23">
        <v>0.7</v>
      </c>
      <c r="I763" s="217" t="s">
        <v>1856</v>
      </c>
    </row>
    <row r="764" spans="1:9">
      <c r="A764" s="23">
        <v>764</v>
      </c>
      <c r="B764" s="84">
        <v>45848</v>
      </c>
      <c r="C764" s="23" t="s">
        <v>676</v>
      </c>
      <c r="D764" s="23" t="s">
        <v>297</v>
      </c>
      <c r="G764" s="23">
        <v>0.7</v>
      </c>
      <c r="I764" s="217" t="s">
        <v>1857</v>
      </c>
    </row>
    <row r="765" spans="1:9">
      <c r="A765" s="23">
        <v>765</v>
      </c>
      <c r="B765" s="84">
        <v>45848</v>
      </c>
      <c r="C765" s="23" t="s">
        <v>676</v>
      </c>
      <c r="D765" s="23" t="s">
        <v>197</v>
      </c>
      <c r="G765" s="23">
        <v>0</v>
      </c>
      <c r="I765" s="217" t="s">
        <v>1858</v>
      </c>
    </row>
    <row r="766" spans="1:9">
      <c r="A766" s="23">
        <v>766</v>
      </c>
      <c r="B766" s="84">
        <v>45848</v>
      </c>
      <c r="C766" s="23" t="s">
        <v>707</v>
      </c>
      <c r="D766" s="23" t="s">
        <v>240</v>
      </c>
      <c r="G766" s="23">
        <v>0</v>
      </c>
      <c r="I766" s="217" t="s">
        <v>1859</v>
      </c>
    </row>
    <row r="767" spans="1:9">
      <c r="A767" s="23">
        <v>767</v>
      </c>
      <c r="B767" s="84">
        <v>45848</v>
      </c>
      <c r="C767" s="23" t="s">
        <v>711</v>
      </c>
      <c r="D767" s="23" t="s">
        <v>297</v>
      </c>
      <c r="G767" s="23">
        <v>0</v>
      </c>
      <c r="I767" s="217" t="s">
        <v>1860</v>
      </c>
    </row>
    <row r="768" spans="1:9">
      <c r="A768" s="23">
        <v>768</v>
      </c>
      <c r="B768" s="84">
        <v>45848</v>
      </c>
      <c r="C768" s="23" t="s">
        <v>710</v>
      </c>
      <c r="D768" s="23" t="s">
        <v>246</v>
      </c>
      <c r="G768" s="23">
        <v>0</v>
      </c>
      <c r="I768" s="217" t="s">
        <v>1861</v>
      </c>
    </row>
    <row r="769" spans="1:9">
      <c r="A769" s="23">
        <v>769</v>
      </c>
      <c r="B769" s="84">
        <v>45848</v>
      </c>
      <c r="C769" s="23" t="s">
        <v>708</v>
      </c>
      <c r="D769" s="23" t="s">
        <v>227</v>
      </c>
      <c r="G769" s="23">
        <v>0</v>
      </c>
      <c r="I769" s="217" t="s">
        <v>1862</v>
      </c>
    </row>
    <row r="770" spans="1:9">
      <c r="A770" s="23">
        <v>770</v>
      </c>
      <c r="B770" s="84">
        <v>45848</v>
      </c>
      <c r="C770" s="23" t="s">
        <v>709</v>
      </c>
      <c r="D770" s="23" t="s">
        <v>230</v>
      </c>
      <c r="G770" s="23">
        <v>0</v>
      </c>
      <c r="I770" s="217" t="s">
        <v>1863</v>
      </c>
    </row>
    <row r="771" spans="1:9">
      <c r="A771" s="23">
        <v>771</v>
      </c>
      <c r="B771" s="84">
        <v>45848</v>
      </c>
      <c r="C771" s="23" t="s">
        <v>642</v>
      </c>
      <c r="D771" s="23" t="s">
        <v>251</v>
      </c>
      <c r="G771" s="23">
        <v>0.5</v>
      </c>
      <c r="I771" s="217" t="s">
        <v>1864</v>
      </c>
    </row>
    <row r="772" spans="1:9">
      <c r="A772" s="23">
        <v>772</v>
      </c>
      <c r="B772" s="84">
        <v>45849</v>
      </c>
      <c r="C772" s="23" t="s">
        <v>712</v>
      </c>
      <c r="D772" s="23" t="s">
        <v>251</v>
      </c>
      <c r="G772" s="23">
        <v>0</v>
      </c>
      <c r="I772" s="217" t="s">
        <v>1865</v>
      </c>
    </row>
    <row r="773" spans="1:9">
      <c r="A773" s="23">
        <v>773</v>
      </c>
      <c r="B773" s="84">
        <v>45849</v>
      </c>
      <c r="C773" s="23" t="s">
        <v>271</v>
      </c>
      <c r="D773" s="23" t="s">
        <v>240</v>
      </c>
      <c r="G773" s="23">
        <v>0.7</v>
      </c>
      <c r="I773" s="217" t="s">
        <v>1866</v>
      </c>
    </row>
    <row r="774" spans="1:9">
      <c r="A774" s="23">
        <v>774</v>
      </c>
      <c r="B774" s="84">
        <v>45849</v>
      </c>
      <c r="C774" s="23" t="s">
        <v>679</v>
      </c>
      <c r="D774" s="23" t="s">
        <v>326</v>
      </c>
      <c r="G774" s="23">
        <v>0</v>
      </c>
      <c r="I774" s="217" t="s">
        <v>1867</v>
      </c>
    </row>
    <row r="775" spans="1:9">
      <c r="A775" s="23">
        <v>775</v>
      </c>
      <c r="B775" s="84">
        <v>45849</v>
      </c>
      <c r="C775" s="23" t="s">
        <v>631</v>
      </c>
      <c r="D775" s="23" t="s">
        <v>240</v>
      </c>
      <c r="G775" s="23">
        <v>0</v>
      </c>
      <c r="I775" s="217" t="s">
        <v>1866</v>
      </c>
    </row>
    <row r="776" spans="1:9">
      <c r="A776" s="23">
        <v>776</v>
      </c>
      <c r="B776" s="84">
        <v>45849</v>
      </c>
      <c r="C776" s="23" t="s">
        <v>638</v>
      </c>
      <c r="D776" s="23" t="s">
        <v>222</v>
      </c>
      <c r="G776" s="23">
        <v>0.56000000000000005</v>
      </c>
      <c r="I776" s="217" t="s">
        <v>1868</v>
      </c>
    </row>
    <row r="777" spans="1:9">
      <c r="A777" s="23">
        <v>777</v>
      </c>
      <c r="B777" s="84">
        <v>45849</v>
      </c>
      <c r="C777" s="23" t="s">
        <v>613</v>
      </c>
      <c r="D777" s="23" t="s">
        <v>216</v>
      </c>
      <c r="G777" s="23">
        <v>0</v>
      </c>
      <c r="I777" s="217" t="s">
        <v>1869</v>
      </c>
    </row>
    <row r="778" spans="1:9">
      <c r="A778" s="23">
        <v>778</v>
      </c>
      <c r="B778" s="84">
        <v>45849</v>
      </c>
      <c r="C778" s="23" t="s">
        <v>713</v>
      </c>
      <c r="D778" s="23" t="s">
        <v>233</v>
      </c>
      <c r="G778" s="23">
        <v>1</v>
      </c>
      <c r="I778" s="217" t="s">
        <v>1870</v>
      </c>
    </row>
    <row r="779" spans="1:9">
      <c r="A779" s="23">
        <v>779</v>
      </c>
      <c r="B779" s="84">
        <v>45849</v>
      </c>
      <c r="C779" s="23" t="s">
        <v>467</v>
      </c>
      <c r="D779" s="23" t="s">
        <v>197</v>
      </c>
      <c r="G779" s="23">
        <v>1</v>
      </c>
      <c r="H779" s="23" t="s">
        <v>335</v>
      </c>
      <c r="I779" s="217" t="s">
        <v>1871</v>
      </c>
    </row>
    <row r="780" spans="1:9">
      <c r="A780" s="23">
        <v>780</v>
      </c>
      <c r="B780" s="84">
        <v>45849</v>
      </c>
      <c r="C780" s="23" t="s">
        <v>698</v>
      </c>
      <c r="D780" s="23" t="s">
        <v>206</v>
      </c>
      <c r="G780" s="23">
        <v>0</v>
      </c>
      <c r="I780" s="217" t="s">
        <v>1872</v>
      </c>
    </row>
    <row r="781" spans="1:9">
      <c r="A781" s="23">
        <v>781</v>
      </c>
      <c r="B781" s="84">
        <v>45849</v>
      </c>
      <c r="C781" s="23" t="s">
        <v>716</v>
      </c>
      <c r="D781" s="23" t="s">
        <v>246</v>
      </c>
      <c r="G781" s="23">
        <v>0.7</v>
      </c>
      <c r="I781" s="217" t="s">
        <v>1873</v>
      </c>
    </row>
    <row r="782" spans="1:9">
      <c r="A782" s="23">
        <v>782</v>
      </c>
      <c r="B782" s="84">
        <v>45849</v>
      </c>
      <c r="C782" s="23" t="s">
        <v>231</v>
      </c>
      <c r="D782" s="23" t="s">
        <v>227</v>
      </c>
      <c r="G782" s="23">
        <v>0.7</v>
      </c>
      <c r="I782" s="217" t="s">
        <v>1874</v>
      </c>
    </row>
    <row r="783" spans="1:9">
      <c r="A783" s="23">
        <v>783</v>
      </c>
      <c r="B783" s="84">
        <v>45849</v>
      </c>
      <c r="C783" s="23" t="s">
        <v>597</v>
      </c>
      <c r="D783" s="23" t="s">
        <v>326</v>
      </c>
      <c r="G783" s="23">
        <v>0.8</v>
      </c>
      <c r="I783" s="217" t="s">
        <v>1875</v>
      </c>
    </row>
    <row r="784" spans="1:9">
      <c r="A784" s="23">
        <v>784</v>
      </c>
      <c r="B784" s="84">
        <v>45849</v>
      </c>
      <c r="C784" s="23" t="s">
        <v>355</v>
      </c>
      <c r="D784" s="23" t="s">
        <v>246</v>
      </c>
      <c r="G784" s="23">
        <v>0</v>
      </c>
      <c r="I784" s="217" t="s">
        <v>1873</v>
      </c>
    </row>
    <row r="785" spans="1:9">
      <c r="A785" s="23">
        <v>785</v>
      </c>
      <c r="B785" s="84">
        <v>45849</v>
      </c>
      <c r="C785" s="23" t="s">
        <v>717</v>
      </c>
      <c r="D785" s="23" t="s">
        <v>227</v>
      </c>
      <c r="G785" s="23">
        <v>0</v>
      </c>
      <c r="I785" s="217" t="s">
        <v>1874</v>
      </c>
    </row>
    <row r="786" spans="1:9">
      <c r="A786" s="23">
        <v>786</v>
      </c>
      <c r="B786" s="84">
        <v>45849</v>
      </c>
      <c r="C786" s="23" t="s">
        <v>510</v>
      </c>
      <c r="D786" s="23" t="s">
        <v>200</v>
      </c>
      <c r="G786" s="23">
        <v>0</v>
      </c>
      <c r="I786" s="217" t="s">
        <v>1876</v>
      </c>
    </row>
    <row r="787" spans="1:9">
      <c r="A787" s="23">
        <v>787</v>
      </c>
      <c r="B787" s="84">
        <v>45849</v>
      </c>
      <c r="C787" s="23" t="s">
        <v>236</v>
      </c>
      <c r="D787" s="23" t="s">
        <v>216</v>
      </c>
      <c r="G787" s="23">
        <v>0.56000000000000005</v>
      </c>
      <c r="I787" s="217" t="s">
        <v>1877</v>
      </c>
    </row>
    <row r="788" spans="1:9">
      <c r="A788" s="23">
        <v>788</v>
      </c>
      <c r="B788" s="84">
        <v>45849</v>
      </c>
      <c r="C788" s="23" t="s">
        <v>215</v>
      </c>
      <c r="D788" s="23" t="s">
        <v>219</v>
      </c>
      <c r="G788" s="23">
        <v>0</v>
      </c>
      <c r="I788" s="217" t="s">
        <v>1878</v>
      </c>
    </row>
    <row r="789" spans="1:9">
      <c r="A789" s="23">
        <v>789</v>
      </c>
      <c r="B789" s="84">
        <v>45849</v>
      </c>
      <c r="C789" s="23" t="s">
        <v>236</v>
      </c>
      <c r="D789" s="23" t="s">
        <v>235</v>
      </c>
      <c r="G789" s="23">
        <v>0.79</v>
      </c>
      <c r="I789" s="217" t="s">
        <v>1879</v>
      </c>
    </row>
    <row r="790" spans="1:9">
      <c r="A790" s="23">
        <v>790</v>
      </c>
      <c r="B790" s="84">
        <v>45849</v>
      </c>
      <c r="C790" s="23" t="s">
        <v>215</v>
      </c>
      <c r="D790" s="23" t="s">
        <v>213</v>
      </c>
      <c r="G790" s="23">
        <v>0</v>
      </c>
      <c r="I790" s="217" t="s">
        <v>1880</v>
      </c>
    </row>
    <row r="791" spans="1:9">
      <c r="A791" s="23">
        <v>791</v>
      </c>
      <c r="B791" s="84">
        <v>45849</v>
      </c>
      <c r="C791" s="23" t="s">
        <v>719</v>
      </c>
      <c r="D791" s="23" t="s">
        <v>200</v>
      </c>
      <c r="G791" s="23">
        <v>1.5</v>
      </c>
      <c r="I791" s="217" t="s">
        <v>1881</v>
      </c>
    </row>
    <row r="792" spans="1:9">
      <c r="A792" s="23">
        <v>792</v>
      </c>
      <c r="B792" s="84">
        <v>45849</v>
      </c>
      <c r="C792" s="23" t="s">
        <v>244</v>
      </c>
      <c r="D792" s="23" t="s">
        <v>227</v>
      </c>
      <c r="G792" s="23">
        <v>0.8</v>
      </c>
      <c r="I792" s="217" t="s">
        <v>1882</v>
      </c>
    </row>
    <row r="793" spans="1:9">
      <c r="A793" s="23">
        <v>793</v>
      </c>
      <c r="B793" s="84">
        <v>45849</v>
      </c>
      <c r="C793" s="23" t="s">
        <v>369</v>
      </c>
      <c r="D793" s="23" t="s">
        <v>230</v>
      </c>
      <c r="G793" s="23">
        <v>0.8</v>
      </c>
      <c r="I793" s="217" t="s">
        <v>1883</v>
      </c>
    </row>
    <row r="794" spans="1:9">
      <c r="A794" s="23">
        <v>794</v>
      </c>
      <c r="B794" s="84">
        <v>45849</v>
      </c>
      <c r="C794" s="23" t="s">
        <v>722</v>
      </c>
      <c r="D794" s="23" t="s">
        <v>240</v>
      </c>
      <c r="G794" s="23">
        <v>0.8</v>
      </c>
      <c r="I794" s="217" t="s">
        <v>1884</v>
      </c>
    </row>
    <row r="795" spans="1:9">
      <c r="A795" s="23">
        <v>795</v>
      </c>
      <c r="B795" s="84">
        <v>45849</v>
      </c>
      <c r="C795" s="23" t="s">
        <v>245</v>
      </c>
      <c r="D795" s="23" t="s">
        <v>246</v>
      </c>
      <c r="G795" s="23">
        <v>0.8</v>
      </c>
      <c r="I795" s="217" t="s">
        <v>1885</v>
      </c>
    </row>
    <row r="796" spans="1:9">
      <c r="A796" s="23">
        <v>796</v>
      </c>
      <c r="B796" s="84">
        <v>45849</v>
      </c>
      <c r="C796" s="23" t="s">
        <v>723</v>
      </c>
      <c r="D796" s="23" t="s">
        <v>297</v>
      </c>
      <c r="G796" s="23">
        <v>0.8</v>
      </c>
      <c r="I796" s="217" t="s">
        <v>1886</v>
      </c>
    </row>
    <row r="797" spans="1:9">
      <c r="A797" s="23">
        <v>797</v>
      </c>
      <c r="B797" s="84">
        <v>45849</v>
      </c>
      <c r="C797" s="23" t="s">
        <v>248</v>
      </c>
      <c r="D797" s="23" t="s">
        <v>297</v>
      </c>
      <c r="G797" s="23">
        <v>0</v>
      </c>
      <c r="I797" s="217" t="s">
        <v>1886</v>
      </c>
    </row>
    <row r="798" spans="1:9">
      <c r="A798" s="23">
        <v>798</v>
      </c>
      <c r="B798" s="84">
        <v>45849</v>
      </c>
      <c r="C798" s="23" t="s">
        <v>248</v>
      </c>
      <c r="D798" s="23" t="s">
        <v>227</v>
      </c>
      <c r="G798" s="23">
        <v>0</v>
      </c>
      <c r="I798" s="217" t="s">
        <v>1882</v>
      </c>
    </row>
    <row r="799" spans="1:9">
      <c r="A799" s="23">
        <v>799</v>
      </c>
      <c r="B799" s="84">
        <v>45849</v>
      </c>
      <c r="C799" s="23" t="s">
        <v>721</v>
      </c>
      <c r="D799" s="23" t="s">
        <v>230</v>
      </c>
      <c r="G799" s="23">
        <v>0</v>
      </c>
      <c r="I799" s="217" t="s">
        <v>1883</v>
      </c>
    </row>
    <row r="800" spans="1:9">
      <c r="A800" s="23">
        <v>800</v>
      </c>
      <c r="B800" s="84">
        <v>45849</v>
      </c>
      <c r="C800" s="23" t="s">
        <v>375</v>
      </c>
      <c r="D800" s="23" t="s">
        <v>240</v>
      </c>
      <c r="G800" s="23">
        <v>0</v>
      </c>
      <c r="I800" s="217" t="s">
        <v>1884</v>
      </c>
    </row>
    <row r="801" spans="1:9">
      <c r="A801" s="23">
        <v>801</v>
      </c>
      <c r="B801" s="84">
        <v>45849</v>
      </c>
      <c r="C801" s="23" t="s">
        <v>724</v>
      </c>
      <c r="D801" s="23" t="s">
        <v>251</v>
      </c>
      <c r="G801" s="23">
        <v>3</v>
      </c>
      <c r="I801" s="217" t="s">
        <v>1887</v>
      </c>
    </row>
    <row r="802" spans="1:9">
      <c r="A802" s="23">
        <v>802</v>
      </c>
      <c r="B802" s="84">
        <v>45849</v>
      </c>
      <c r="C802" s="23" t="s">
        <v>406</v>
      </c>
      <c r="D802" s="23" t="s">
        <v>246</v>
      </c>
      <c r="G802" s="23">
        <v>0</v>
      </c>
      <c r="I802" s="217" t="s">
        <v>1885</v>
      </c>
    </row>
    <row r="803" spans="1:9">
      <c r="A803" s="23">
        <v>803</v>
      </c>
      <c r="B803" s="84">
        <v>45849</v>
      </c>
      <c r="C803" s="23" t="s">
        <v>457</v>
      </c>
      <c r="D803" s="23" t="s">
        <v>235</v>
      </c>
      <c r="G803" s="23">
        <v>0</v>
      </c>
      <c r="H803" s="23" t="s">
        <v>1816</v>
      </c>
      <c r="I803" s="217" t="s">
        <v>1888</v>
      </c>
    </row>
    <row r="804" spans="1:9">
      <c r="A804" s="23">
        <v>804</v>
      </c>
      <c r="B804" s="84">
        <v>45849</v>
      </c>
      <c r="C804" s="23" t="s">
        <v>656</v>
      </c>
      <c r="D804" s="23" t="s">
        <v>227</v>
      </c>
      <c r="G804" s="23">
        <v>0.8</v>
      </c>
      <c r="I804" s="217" t="s">
        <v>1889</v>
      </c>
    </row>
    <row r="805" spans="1:9">
      <c r="A805" s="23">
        <v>805</v>
      </c>
      <c r="B805" s="84">
        <v>45849</v>
      </c>
      <c r="C805" s="23" t="s">
        <v>487</v>
      </c>
      <c r="D805" s="23" t="s">
        <v>230</v>
      </c>
      <c r="G805" s="23">
        <v>0.8</v>
      </c>
      <c r="I805" s="217" t="s">
        <v>1890</v>
      </c>
    </row>
    <row r="806" spans="1:9">
      <c r="A806" s="23">
        <v>806</v>
      </c>
      <c r="B806" s="84">
        <v>45849</v>
      </c>
      <c r="C806" s="23" t="s">
        <v>728</v>
      </c>
      <c r="D806" s="23" t="s">
        <v>240</v>
      </c>
      <c r="G806" s="23">
        <v>0.75</v>
      </c>
      <c r="I806" s="217" t="s">
        <v>1891</v>
      </c>
    </row>
    <row r="807" spans="1:9">
      <c r="A807" s="23">
        <v>807</v>
      </c>
      <c r="B807" s="84">
        <v>45849</v>
      </c>
      <c r="C807" s="23" t="s">
        <v>383</v>
      </c>
      <c r="D807" s="23" t="s">
        <v>246</v>
      </c>
      <c r="G807" s="23">
        <v>0.75</v>
      </c>
      <c r="I807" s="217" t="s">
        <v>1892</v>
      </c>
    </row>
    <row r="808" spans="1:9">
      <c r="A808" s="23">
        <v>808</v>
      </c>
      <c r="B808" s="84">
        <v>45849</v>
      </c>
      <c r="C808" s="23" t="s">
        <v>730</v>
      </c>
      <c r="D808" s="23" t="s">
        <v>254</v>
      </c>
      <c r="G808" s="23">
        <v>0.5</v>
      </c>
      <c r="I808" s="217" t="s">
        <v>1893</v>
      </c>
    </row>
    <row r="809" spans="1:9">
      <c r="A809" s="23">
        <v>809</v>
      </c>
      <c r="B809" s="84">
        <v>45849</v>
      </c>
      <c r="C809" s="23" t="s">
        <v>726</v>
      </c>
      <c r="D809" s="23" t="s">
        <v>227</v>
      </c>
      <c r="G809" s="23">
        <v>0</v>
      </c>
      <c r="I809" s="217" t="s">
        <v>1894</v>
      </c>
    </row>
    <row r="810" spans="1:9">
      <c r="A810" s="23">
        <v>810</v>
      </c>
      <c r="B810" s="84">
        <v>45849</v>
      </c>
      <c r="C810" s="23" t="s">
        <v>727</v>
      </c>
      <c r="D810" s="23" t="s">
        <v>230</v>
      </c>
      <c r="G810" s="23">
        <v>0</v>
      </c>
      <c r="I810" s="217" t="s">
        <v>1895</v>
      </c>
    </row>
    <row r="811" spans="1:9">
      <c r="A811" s="23">
        <v>811</v>
      </c>
      <c r="B811" s="84">
        <v>45849</v>
      </c>
      <c r="C811" s="23" t="s">
        <v>419</v>
      </c>
      <c r="D811" s="23" t="s">
        <v>235</v>
      </c>
      <c r="G811" s="23">
        <v>0.77</v>
      </c>
      <c r="I811" s="217" t="s">
        <v>1896</v>
      </c>
    </row>
    <row r="812" spans="1:9" ht="27.6">
      <c r="A812" s="23">
        <v>812</v>
      </c>
      <c r="B812" s="84">
        <v>45849</v>
      </c>
      <c r="C812" s="23" t="s">
        <v>701</v>
      </c>
      <c r="D812" s="23" t="s">
        <v>209</v>
      </c>
      <c r="G812" s="23">
        <v>0.5</v>
      </c>
      <c r="H812" s="94" t="s">
        <v>732</v>
      </c>
      <c r="I812" s="217" t="s">
        <v>1897</v>
      </c>
    </row>
    <row r="813" spans="1:9">
      <c r="A813" s="23">
        <v>813</v>
      </c>
      <c r="B813" s="84">
        <v>45849</v>
      </c>
      <c r="C813" s="23" t="s">
        <v>733</v>
      </c>
      <c r="D813" s="23" t="s">
        <v>230</v>
      </c>
      <c r="G813" s="23">
        <v>0.75</v>
      </c>
      <c r="I813" s="217" t="s">
        <v>1898</v>
      </c>
    </row>
    <row r="814" spans="1:9">
      <c r="A814" s="23">
        <v>814</v>
      </c>
      <c r="B814" s="84">
        <v>45849</v>
      </c>
      <c r="C814" s="23" t="s">
        <v>579</v>
      </c>
      <c r="D814" s="23" t="s">
        <v>240</v>
      </c>
      <c r="G814" s="23">
        <v>0</v>
      </c>
      <c r="I814" s="217" t="s">
        <v>1899</v>
      </c>
    </row>
    <row r="815" spans="1:9">
      <c r="A815" s="23">
        <v>815</v>
      </c>
      <c r="B815" s="84">
        <v>45849</v>
      </c>
      <c r="C815" s="23" t="s">
        <v>729</v>
      </c>
      <c r="D815" s="23" t="s">
        <v>246</v>
      </c>
      <c r="G815" s="23">
        <v>0</v>
      </c>
      <c r="I815" s="217" t="s">
        <v>1900</v>
      </c>
    </row>
    <row r="816" spans="1:9">
      <c r="A816" s="23">
        <v>816</v>
      </c>
      <c r="B816" s="84">
        <v>45849</v>
      </c>
      <c r="C816" s="23" t="s">
        <v>318</v>
      </c>
      <c r="D816" s="23" t="s">
        <v>227</v>
      </c>
      <c r="G816" s="23">
        <v>0.76666666666666661</v>
      </c>
      <c r="I816" s="217" t="s">
        <v>1901</v>
      </c>
    </row>
    <row r="817" spans="1:9">
      <c r="A817" s="23">
        <v>817</v>
      </c>
      <c r="B817" s="84">
        <v>45849</v>
      </c>
      <c r="C817" s="23" t="s">
        <v>318</v>
      </c>
      <c r="D817" s="23" t="s">
        <v>209</v>
      </c>
      <c r="G817" s="23">
        <v>0</v>
      </c>
      <c r="H817" s="23" t="s">
        <v>1902</v>
      </c>
      <c r="I817" s="217" t="s">
        <v>1903</v>
      </c>
    </row>
    <row r="818" spans="1:9">
      <c r="A818" s="23">
        <v>818</v>
      </c>
      <c r="B818" s="84">
        <v>45849</v>
      </c>
      <c r="C818" s="23" t="s">
        <v>318</v>
      </c>
      <c r="D818" s="23" t="s">
        <v>209</v>
      </c>
      <c r="G818" s="23">
        <v>1</v>
      </c>
      <c r="I818" s="217" t="s">
        <v>1903</v>
      </c>
    </row>
    <row r="819" spans="1:9">
      <c r="A819" s="23">
        <v>819</v>
      </c>
      <c r="B819" s="84">
        <v>45849</v>
      </c>
      <c r="C819" s="23" t="s">
        <v>591</v>
      </c>
      <c r="D819" s="23" t="s">
        <v>230</v>
      </c>
      <c r="G819" s="23">
        <v>0</v>
      </c>
      <c r="I819" s="217" t="s">
        <v>1904</v>
      </c>
    </row>
    <row r="820" spans="1:9">
      <c r="A820" s="23">
        <v>820</v>
      </c>
      <c r="B820" s="84">
        <v>45849</v>
      </c>
      <c r="C820" s="23" t="s">
        <v>734</v>
      </c>
      <c r="D820" s="23" t="s">
        <v>227</v>
      </c>
      <c r="G820" s="23">
        <v>0</v>
      </c>
      <c r="I820" s="217" t="s">
        <v>1901</v>
      </c>
    </row>
    <row r="821" spans="1:9">
      <c r="A821" s="23">
        <v>821</v>
      </c>
      <c r="B821" s="84">
        <v>45849</v>
      </c>
      <c r="C821" s="23" t="s">
        <v>718</v>
      </c>
      <c r="D821" s="23" t="s">
        <v>326</v>
      </c>
      <c r="G821" s="23">
        <v>0</v>
      </c>
      <c r="I821" s="217" t="s">
        <v>1905</v>
      </c>
    </row>
    <row r="822" spans="1:9">
      <c r="A822" s="23">
        <v>822</v>
      </c>
      <c r="B822" s="84">
        <v>45849</v>
      </c>
      <c r="C822" s="23" t="s">
        <v>718</v>
      </c>
      <c r="D822" s="23" t="s">
        <v>240</v>
      </c>
      <c r="G822" s="23">
        <v>0.8</v>
      </c>
      <c r="I822" s="217" t="s">
        <v>1236</v>
      </c>
    </row>
    <row r="823" spans="1:9">
      <c r="A823" s="23">
        <v>823</v>
      </c>
      <c r="B823" s="84">
        <v>45849</v>
      </c>
      <c r="C823" s="23" t="s">
        <v>451</v>
      </c>
      <c r="D823" s="23" t="s">
        <v>246</v>
      </c>
      <c r="G823" s="23">
        <v>0.8</v>
      </c>
      <c r="I823" s="217" t="s">
        <v>1906</v>
      </c>
    </row>
    <row r="824" spans="1:9">
      <c r="A824" s="23">
        <v>824</v>
      </c>
      <c r="B824" s="84">
        <v>45849</v>
      </c>
      <c r="C824" s="23" t="s">
        <v>389</v>
      </c>
      <c r="D824" s="23" t="s">
        <v>219</v>
      </c>
      <c r="G824" s="23">
        <v>0.65500000000000003</v>
      </c>
      <c r="I824" s="217" t="s">
        <v>1907</v>
      </c>
    </row>
    <row r="825" spans="1:9">
      <c r="A825" s="23">
        <v>825</v>
      </c>
      <c r="B825" s="84">
        <v>45849</v>
      </c>
      <c r="C825" s="23" t="s">
        <v>451</v>
      </c>
      <c r="D825" s="23" t="s">
        <v>222</v>
      </c>
      <c r="G825" s="23">
        <v>0</v>
      </c>
      <c r="I825" s="217" t="s">
        <v>1908</v>
      </c>
    </row>
    <row r="826" spans="1:9">
      <c r="A826" s="23">
        <v>826</v>
      </c>
      <c r="B826" s="84">
        <v>45849</v>
      </c>
      <c r="C826" s="23" t="s">
        <v>259</v>
      </c>
      <c r="D826" s="23" t="s">
        <v>227</v>
      </c>
      <c r="G826" s="23">
        <v>0.8</v>
      </c>
      <c r="I826" s="217" t="s">
        <v>1909</v>
      </c>
    </row>
    <row r="827" spans="1:9">
      <c r="A827" s="23">
        <v>827</v>
      </c>
      <c r="B827" s="84">
        <v>45849</v>
      </c>
      <c r="C827" s="23" t="s">
        <v>665</v>
      </c>
      <c r="D827" s="23" t="s">
        <v>230</v>
      </c>
      <c r="G827" s="23">
        <v>0.8</v>
      </c>
      <c r="I827" s="217" t="s">
        <v>1910</v>
      </c>
    </row>
    <row r="828" spans="1:9">
      <c r="A828" s="23">
        <v>828</v>
      </c>
      <c r="B828" s="84">
        <v>45849</v>
      </c>
      <c r="C828" s="23" t="s">
        <v>181</v>
      </c>
      <c r="D828" s="23" t="s">
        <v>206</v>
      </c>
      <c r="G828" s="23">
        <v>0.5</v>
      </c>
      <c r="I828" s="217" t="s">
        <v>1911</v>
      </c>
    </row>
    <row r="829" spans="1:9">
      <c r="A829" s="23">
        <v>829</v>
      </c>
      <c r="B829" s="84">
        <v>45849</v>
      </c>
      <c r="C829" s="23" t="s">
        <v>714</v>
      </c>
      <c r="D829" s="23" t="s">
        <v>233</v>
      </c>
      <c r="G829" s="23">
        <v>0</v>
      </c>
      <c r="I829" s="217" t="s">
        <v>1912</v>
      </c>
    </row>
    <row r="830" spans="1:9">
      <c r="A830" s="23">
        <v>830</v>
      </c>
      <c r="B830" s="84">
        <v>45849</v>
      </c>
      <c r="C830" s="23" t="s">
        <v>736</v>
      </c>
      <c r="D830" s="23" t="s">
        <v>240</v>
      </c>
      <c r="G830" s="23">
        <v>0</v>
      </c>
      <c r="I830" s="217" t="s">
        <v>1913</v>
      </c>
    </row>
    <row r="831" spans="1:9">
      <c r="A831" s="23">
        <v>831</v>
      </c>
      <c r="B831" s="84">
        <v>45849</v>
      </c>
      <c r="C831" s="23" t="s">
        <v>737</v>
      </c>
      <c r="D831" s="23" t="s">
        <v>246</v>
      </c>
      <c r="G831" s="23">
        <v>0</v>
      </c>
      <c r="I831" s="217" t="s">
        <v>1914</v>
      </c>
    </row>
    <row r="832" spans="1:9">
      <c r="A832" s="23">
        <v>832</v>
      </c>
      <c r="B832" s="84">
        <v>45849</v>
      </c>
      <c r="C832" s="23" t="s">
        <v>738</v>
      </c>
      <c r="D832" s="23" t="s">
        <v>227</v>
      </c>
      <c r="G832" s="23">
        <v>0</v>
      </c>
      <c r="I832" s="217" t="s">
        <v>1915</v>
      </c>
    </row>
    <row r="833" spans="1:9">
      <c r="A833" s="23">
        <v>833</v>
      </c>
      <c r="B833" s="84">
        <v>45849</v>
      </c>
      <c r="C833" s="23" t="s">
        <v>739</v>
      </c>
      <c r="D833" s="23" t="s">
        <v>230</v>
      </c>
      <c r="G833" s="23">
        <v>0</v>
      </c>
      <c r="I833" s="217" t="s">
        <v>1916</v>
      </c>
    </row>
    <row r="834" spans="1:9">
      <c r="A834" s="23">
        <v>834</v>
      </c>
      <c r="B834" s="84">
        <v>45849</v>
      </c>
      <c r="C834" s="23" t="s">
        <v>220</v>
      </c>
      <c r="D834" s="23" t="s">
        <v>213</v>
      </c>
      <c r="G834" s="23">
        <v>0.86</v>
      </c>
      <c r="I834" s="217" t="s">
        <v>1917</v>
      </c>
    </row>
    <row r="835" spans="1:9">
      <c r="A835" s="23">
        <v>835</v>
      </c>
      <c r="B835" s="84">
        <v>45849</v>
      </c>
      <c r="C835" s="23" t="s">
        <v>277</v>
      </c>
      <c r="D835" s="23" t="s">
        <v>235</v>
      </c>
      <c r="G835" s="23">
        <v>0</v>
      </c>
      <c r="I835" s="217" t="s">
        <v>1918</v>
      </c>
    </row>
    <row r="836" spans="1:9">
      <c r="A836" s="23">
        <v>836</v>
      </c>
      <c r="B836" s="84">
        <v>45849</v>
      </c>
      <c r="C836" s="23" t="s">
        <v>446</v>
      </c>
      <c r="D836" s="23" t="s">
        <v>240</v>
      </c>
      <c r="G836" s="23">
        <v>0.8</v>
      </c>
      <c r="I836" s="217" t="s">
        <v>1919</v>
      </c>
    </row>
    <row r="837" spans="1:9">
      <c r="A837" s="23">
        <v>837</v>
      </c>
      <c r="B837" s="84">
        <v>45849</v>
      </c>
      <c r="C837" s="23" t="s">
        <v>741</v>
      </c>
      <c r="D837" s="23" t="s">
        <v>240</v>
      </c>
      <c r="G837" s="23">
        <v>0</v>
      </c>
      <c r="I837" s="217" t="s">
        <v>1920</v>
      </c>
    </row>
    <row r="838" spans="1:9">
      <c r="A838" s="23">
        <v>838</v>
      </c>
      <c r="B838" s="84">
        <v>45849</v>
      </c>
      <c r="C838" s="23" t="s">
        <v>552</v>
      </c>
      <c r="D838" s="23" t="s">
        <v>222</v>
      </c>
      <c r="G838" s="23">
        <v>0.66</v>
      </c>
      <c r="I838" s="217" t="s">
        <v>1921</v>
      </c>
    </row>
    <row r="839" spans="1:9">
      <c r="A839" s="23">
        <v>839</v>
      </c>
      <c r="B839" s="84">
        <v>45849</v>
      </c>
      <c r="C839" s="23" t="s">
        <v>448</v>
      </c>
      <c r="D839" s="23" t="s">
        <v>216</v>
      </c>
      <c r="G839" s="23">
        <v>0</v>
      </c>
      <c r="I839" s="217" t="s">
        <v>1922</v>
      </c>
    </row>
    <row r="840" spans="1:9">
      <c r="A840" s="23">
        <v>840</v>
      </c>
      <c r="B840" s="84">
        <v>45849</v>
      </c>
      <c r="C840" s="23" t="s">
        <v>725</v>
      </c>
      <c r="D840" s="23" t="s">
        <v>251</v>
      </c>
      <c r="G840" s="23">
        <v>0</v>
      </c>
      <c r="I840" s="217" t="s">
        <v>1923</v>
      </c>
    </row>
    <row r="841" spans="1:9">
      <c r="A841" s="23">
        <v>841</v>
      </c>
      <c r="B841" s="84">
        <v>45849</v>
      </c>
      <c r="C841" s="23" t="s">
        <v>731</v>
      </c>
      <c r="D841" s="23" t="s">
        <v>254</v>
      </c>
      <c r="G841" s="23">
        <v>0</v>
      </c>
      <c r="I841" s="217" t="s">
        <v>1924</v>
      </c>
    </row>
    <row r="842" spans="1:9">
      <c r="A842" s="23">
        <v>842</v>
      </c>
      <c r="B842" s="84">
        <v>45849</v>
      </c>
      <c r="C842" s="23" t="s">
        <v>735</v>
      </c>
      <c r="D842" s="23" t="s">
        <v>209</v>
      </c>
      <c r="G842" s="23">
        <v>0</v>
      </c>
      <c r="I842" s="217" t="s">
        <v>1925</v>
      </c>
    </row>
    <row r="843" spans="1:9">
      <c r="A843" s="23">
        <v>843</v>
      </c>
      <c r="B843" s="84">
        <v>45849</v>
      </c>
      <c r="C843" s="23" t="s">
        <v>720</v>
      </c>
      <c r="D843" s="23" t="s">
        <v>200</v>
      </c>
      <c r="G843" s="23" t="s">
        <v>9</v>
      </c>
      <c r="H843" s="23" t="s">
        <v>744</v>
      </c>
      <c r="I843" s="217" t="s">
        <v>1926</v>
      </c>
    </row>
    <row r="844" spans="1:9">
      <c r="A844" s="23">
        <v>844</v>
      </c>
      <c r="B844" s="84">
        <v>45850</v>
      </c>
      <c r="C844" s="23" t="s">
        <v>223</v>
      </c>
      <c r="D844" s="23" t="s">
        <v>216</v>
      </c>
      <c r="G844" s="23">
        <v>0.44</v>
      </c>
      <c r="I844" s="217" t="s">
        <v>1927</v>
      </c>
    </row>
    <row r="845" spans="1:9">
      <c r="A845" s="23">
        <v>845</v>
      </c>
      <c r="B845" s="84">
        <v>45850</v>
      </c>
      <c r="C845" s="23" t="s">
        <v>218</v>
      </c>
      <c r="D845" s="23" t="s">
        <v>219</v>
      </c>
      <c r="G845" s="23">
        <v>0</v>
      </c>
      <c r="I845" s="217" t="s">
        <v>1928</v>
      </c>
    </row>
    <row r="846" spans="1:9">
      <c r="A846" s="23">
        <v>846</v>
      </c>
      <c r="B846" s="84">
        <v>45850</v>
      </c>
      <c r="C846" s="23" t="s">
        <v>743</v>
      </c>
      <c r="D846" s="23" t="s">
        <v>200</v>
      </c>
      <c r="G846" s="23" t="s">
        <v>9</v>
      </c>
      <c r="H846" s="23" t="s">
        <v>745</v>
      </c>
      <c r="I846" s="217" t="s">
        <v>1929</v>
      </c>
    </row>
    <row r="847" spans="1:9">
      <c r="A847" s="23">
        <v>847</v>
      </c>
      <c r="B847" s="84">
        <v>45850</v>
      </c>
      <c r="C847" s="23" t="s">
        <v>740</v>
      </c>
      <c r="D847" s="23" t="s">
        <v>206</v>
      </c>
      <c r="G847" s="23">
        <v>0</v>
      </c>
      <c r="I847" s="217" t="s">
        <v>1930</v>
      </c>
    </row>
    <row r="848" spans="1:9">
      <c r="A848" s="23">
        <v>848</v>
      </c>
      <c r="B848" s="84">
        <v>45850</v>
      </c>
      <c r="C848" s="23" t="s">
        <v>202</v>
      </c>
      <c r="D848" s="23" t="s">
        <v>200</v>
      </c>
      <c r="G848" s="23">
        <v>0.5</v>
      </c>
      <c r="I848" s="217" t="s">
        <v>1931</v>
      </c>
    </row>
    <row r="849" spans="1:9">
      <c r="A849" s="23">
        <v>849</v>
      </c>
      <c r="B849" s="84">
        <v>45850</v>
      </c>
      <c r="C849" s="23" t="s">
        <v>715</v>
      </c>
      <c r="D849" s="23" t="s">
        <v>197</v>
      </c>
      <c r="G849" s="23">
        <v>0</v>
      </c>
      <c r="I849" s="217" t="s">
        <v>1932</v>
      </c>
    </row>
    <row r="850" spans="1:9">
      <c r="A850" s="23">
        <v>850</v>
      </c>
      <c r="B850" s="84">
        <v>45850</v>
      </c>
      <c r="C850" s="23" t="s">
        <v>746</v>
      </c>
      <c r="D850" s="23" t="s">
        <v>219</v>
      </c>
      <c r="G850" s="23">
        <v>0.42</v>
      </c>
      <c r="I850" s="217" t="s">
        <v>1933</v>
      </c>
    </row>
    <row r="851" spans="1:9">
      <c r="A851" s="23">
        <v>851</v>
      </c>
      <c r="B851" s="84">
        <v>45850</v>
      </c>
      <c r="C851" s="23" t="s">
        <v>742</v>
      </c>
      <c r="D851" s="23" t="s">
        <v>222</v>
      </c>
      <c r="G851" s="23">
        <v>0</v>
      </c>
      <c r="I851" s="217" t="s">
        <v>1934</v>
      </c>
    </row>
    <row r="852" spans="1:9">
      <c r="A852" s="23">
        <v>852</v>
      </c>
      <c r="B852" s="84">
        <v>45850</v>
      </c>
      <c r="C852" s="23" t="s">
        <v>353</v>
      </c>
      <c r="D852" s="23" t="s">
        <v>246</v>
      </c>
      <c r="G852" s="23">
        <v>0.8</v>
      </c>
      <c r="I852" s="217" t="s">
        <v>1935</v>
      </c>
    </row>
    <row r="853" spans="1:9">
      <c r="A853" s="23">
        <v>853</v>
      </c>
      <c r="B853" s="84">
        <v>45850</v>
      </c>
      <c r="C853" s="23" t="s">
        <v>361</v>
      </c>
      <c r="D853" s="23" t="s">
        <v>227</v>
      </c>
      <c r="G853" s="23">
        <v>0.8</v>
      </c>
      <c r="I853" s="217" t="s">
        <v>1936</v>
      </c>
    </row>
    <row r="854" spans="1:9">
      <c r="A854" s="23">
        <v>854</v>
      </c>
      <c r="B854" s="84">
        <v>45850</v>
      </c>
      <c r="C854" s="23" t="s">
        <v>411</v>
      </c>
      <c r="D854" s="23" t="s">
        <v>233</v>
      </c>
      <c r="G854" s="23">
        <v>0.5</v>
      </c>
      <c r="I854" s="217" t="s">
        <v>1937</v>
      </c>
    </row>
    <row r="855" spans="1:9">
      <c r="A855" s="23">
        <v>855</v>
      </c>
      <c r="B855" s="84">
        <v>45850</v>
      </c>
      <c r="C855" s="23" t="s">
        <v>747</v>
      </c>
      <c r="D855" s="23" t="s">
        <v>246</v>
      </c>
      <c r="G855" s="23">
        <v>0</v>
      </c>
      <c r="I855" s="217" t="s">
        <v>1938</v>
      </c>
    </row>
    <row r="856" spans="1:9">
      <c r="A856" s="23">
        <v>856</v>
      </c>
      <c r="B856" s="84">
        <v>45850</v>
      </c>
      <c r="C856" s="23" t="s">
        <v>336</v>
      </c>
      <c r="D856" s="23" t="s">
        <v>227</v>
      </c>
      <c r="G856" s="23">
        <v>0</v>
      </c>
      <c r="I856" s="217" t="s">
        <v>1936</v>
      </c>
    </row>
    <row r="857" spans="1:9">
      <c r="A857" s="23">
        <v>857</v>
      </c>
      <c r="B857" s="84">
        <v>45850</v>
      </c>
      <c r="C857" s="23" t="s">
        <v>292</v>
      </c>
      <c r="D857" s="23" t="s">
        <v>197</v>
      </c>
      <c r="G857" s="23" t="s">
        <v>9</v>
      </c>
      <c r="H857" s="94" t="s">
        <v>748</v>
      </c>
      <c r="I857" s="217" t="s">
        <v>1939</v>
      </c>
    </row>
    <row r="858" spans="1:9">
      <c r="A858" s="23">
        <v>858</v>
      </c>
      <c r="B858" s="84">
        <v>45850</v>
      </c>
      <c r="C858" s="23" t="s">
        <v>749</v>
      </c>
      <c r="D858" s="23" t="s">
        <v>230</v>
      </c>
      <c r="G858" s="23">
        <v>0.8</v>
      </c>
      <c r="I858" s="217" t="s">
        <v>1940</v>
      </c>
    </row>
    <row r="859" spans="1:9">
      <c r="A859" s="23">
        <v>859</v>
      </c>
      <c r="B859" s="84">
        <v>45850</v>
      </c>
      <c r="C859" s="23" t="s">
        <v>416</v>
      </c>
      <c r="D859" s="23" t="s">
        <v>246</v>
      </c>
      <c r="G859" s="23">
        <v>0.8</v>
      </c>
      <c r="I859" s="217" t="s">
        <v>1941</v>
      </c>
    </row>
    <row r="860" spans="1:9">
      <c r="A860" s="23">
        <v>860</v>
      </c>
      <c r="B860" s="84">
        <v>45850</v>
      </c>
      <c r="C860" s="23" t="s">
        <v>369</v>
      </c>
      <c r="D860" s="23" t="s">
        <v>209</v>
      </c>
      <c r="G860" s="23">
        <v>0.5</v>
      </c>
      <c r="I860" s="217" t="s">
        <v>1942</v>
      </c>
    </row>
    <row r="861" spans="1:9">
      <c r="A861" s="23">
        <v>861</v>
      </c>
      <c r="B861" s="84">
        <v>45850</v>
      </c>
      <c r="C861" s="23" t="s">
        <v>420</v>
      </c>
      <c r="D861" s="23" t="s">
        <v>230</v>
      </c>
      <c r="G861" s="23">
        <v>0</v>
      </c>
      <c r="I861" s="217" t="s">
        <v>1940</v>
      </c>
    </row>
    <row r="862" spans="1:9">
      <c r="A862" s="23">
        <v>862</v>
      </c>
      <c r="B862" s="84">
        <v>45850</v>
      </c>
      <c r="C862" s="23" t="s">
        <v>298</v>
      </c>
      <c r="D862" s="23" t="s">
        <v>197</v>
      </c>
      <c r="G862" s="23">
        <v>1.5</v>
      </c>
      <c r="H862" s="23" t="s">
        <v>1943</v>
      </c>
      <c r="I862" s="217" t="s">
        <v>1944</v>
      </c>
    </row>
    <row r="863" spans="1:9">
      <c r="A863" s="23">
        <v>863</v>
      </c>
      <c r="B863" s="84">
        <v>45850</v>
      </c>
      <c r="C863" s="23" t="s">
        <v>600</v>
      </c>
      <c r="D863" s="23" t="s">
        <v>246</v>
      </c>
      <c r="G863" s="23">
        <v>0</v>
      </c>
      <c r="I863" s="217" t="s">
        <v>1941</v>
      </c>
    </row>
    <row r="864" spans="1:9">
      <c r="A864" s="23">
        <v>864</v>
      </c>
      <c r="B864" s="84">
        <v>45850</v>
      </c>
      <c r="C864" s="23" t="s">
        <v>248</v>
      </c>
      <c r="D864" s="23" t="s">
        <v>240</v>
      </c>
      <c r="G864" s="23">
        <v>0.8</v>
      </c>
      <c r="I864" s="217" t="s">
        <v>1945</v>
      </c>
    </row>
    <row r="865" spans="1:9">
      <c r="A865" s="23">
        <v>865</v>
      </c>
      <c r="B865" s="84">
        <v>45850</v>
      </c>
      <c r="C865" s="23" t="s">
        <v>574</v>
      </c>
      <c r="D865" s="23" t="s">
        <v>246</v>
      </c>
      <c r="G865" s="23">
        <v>0.8</v>
      </c>
      <c r="I865" s="217" t="s">
        <v>1236</v>
      </c>
    </row>
    <row r="866" spans="1:9">
      <c r="A866" s="23">
        <v>866</v>
      </c>
      <c r="B866" s="84">
        <v>45850</v>
      </c>
      <c r="C866" s="23" t="s">
        <v>273</v>
      </c>
      <c r="D866" s="23" t="s">
        <v>227</v>
      </c>
      <c r="G866" s="23">
        <v>0.8</v>
      </c>
      <c r="I866" s="217" t="s">
        <v>1946</v>
      </c>
    </row>
    <row r="867" spans="1:9">
      <c r="A867" s="23">
        <v>868</v>
      </c>
      <c r="B867" s="84">
        <v>45850</v>
      </c>
      <c r="C867" s="23" t="s">
        <v>375</v>
      </c>
      <c r="D867" s="23" t="s">
        <v>230</v>
      </c>
      <c r="G867" s="23">
        <v>0.8</v>
      </c>
      <c r="I867" s="217" t="s">
        <v>1236</v>
      </c>
    </row>
    <row r="868" spans="1:9">
      <c r="A868" s="23">
        <v>869</v>
      </c>
      <c r="B868" s="84">
        <v>45850</v>
      </c>
      <c r="C868" s="23" t="s">
        <v>294</v>
      </c>
      <c r="D868" s="23" t="s">
        <v>197</v>
      </c>
      <c r="G868" s="23" t="s">
        <v>9</v>
      </c>
      <c r="H868" s="23" t="s">
        <v>752</v>
      </c>
      <c r="I868" s="217" t="s">
        <v>1944</v>
      </c>
    </row>
    <row r="869" spans="1:9">
      <c r="A869" s="23">
        <v>870</v>
      </c>
      <c r="B869" s="84">
        <v>45850</v>
      </c>
      <c r="C869" s="23" t="s">
        <v>753</v>
      </c>
      <c r="D869" s="23" t="s">
        <v>297</v>
      </c>
      <c r="G869" s="23">
        <v>0.8</v>
      </c>
      <c r="I869" s="217" t="s">
        <v>1947</v>
      </c>
    </row>
    <row r="870" spans="1:9">
      <c r="A870" s="23">
        <v>870</v>
      </c>
      <c r="B870" s="84">
        <v>45850</v>
      </c>
      <c r="C870" s="23" t="s">
        <v>304</v>
      </c>
      <c r="D870" s="23" t="s">
        <v>254</v>
      </c>
      <c r="G870" s="23">
        <v>1.5</v>
      </c>
      <c r="I870" s="217" t="s">
        <v>1948</v>
      </c>
    </row>
    <row r="871" spans="1:9">
      <c r="A871" s="23">
        <v>871</v>
      </c>
      <c r="B871" s="84">
        <v>45850</v>
      </c>
      <c r="C871" s="23" t="s">
        <v>306</v>
      </c>
      <c r="D871" s="23" t="s">
        <v>251</v>
      </c>
      <c r="G871" s="23">
        <v>1.5</v>
      </c>
      <c r="I871" s="217" t="s">
        <v>1949</v>
      </c>
    </row>
    <row r="872" spans="1:9">
      <c r="A872" s="23">
        <v>872</v>
      </c>
      <c r="B872" s="84">
        <v>45850</v>
      </c>
      <c r="C872" s="23" t="s">
        <v>479</v>
      </c>
      <c r="D872" s="23" t="s">
        <v>209</v>
      </c>
      <c r="G872" s="23" t="s">
        <v>9</v>
      </c>
      <c r="H872" s="23" t="s">
        <v>758</v>
      </c>
      <c r="I872" s="217" t="s">
        <v>1950</v>
      </c>
    </row>
    <row r="873" spans="1:9">
      <c r="A873" s="23">
        <v>873</v>
      </c>
      <c r="B873" s="84">
        <v>45850</v>
      </c>
      <c r="C873" s="23" t="s">
        <v>486</v>
      </c>
      <c r="D873" s="23" t="s">
        <v>326</v>
      </c>
      <c r="G873" s="23">
        <v>0.5</v>
      </c>
      <c r="I873" s="217" t="s">
        <v>1951</v>
      </c>
    </row>
    <row r="874" spans="1:9">
      <c r="A874" s="23">
        <v>874</v>
      </c>
      <c r="B874" s="84">
        <v>45850</v>
      </c>
      <c r="C874" s="23" t="s">
        <v>493</v>
      </c>
      <c r="D874" s="23" t="s">
        <v>297</v>
      </c>
      <c r="G874" s="23">
        <v>0</v>
      </c>
      <c r="I874" s="217" t="s">
        <v>1952</v>
      </c>
    </row>
    <row r="875" spans="1:9">
      <c r="A875" s="23">
        <v>875</v>
      </c>
      <c r="B875" s="84">
        <v>45850</v>
      </c>
      <c r="C875" s="23" t="s">
        <v>751</v>
      </c>
      <c r="D875" s="23" t="s">
        <v>227</v>
      </c>
      <c r="G875" s="23">
        <v>0</v>
      </c>
      <c r="I875" s="217" t="s">
        <v>1953</v>
      </c>
    </row>
    <row r="876" spans="1:9">
      <c r="A876" s="23">
        <v>876</v>
      </c>
      <c r="B876" s="84">
        <v>45850</v>
      </c>
      <c r="C876" s="23" t="s">
        <v>490</v>
      </c>
      <c r="D876" s="23" t="s">
        <v>230</v>
      </c>
      <c r="G876" s="23">
        <v>0</v>
      </c>
      <c r="I876" s="217" t="s">
        <v>1954</v>
      </c>
    </row>
    <row r="877" spans="1:9">
      <c r="A877" s="23">
        <v>877</v>
      </c>
      <c r="B877" s="84">
        <v>45850</v>
      </c>
      <c r="C877" s="23" t="s">
        <v>656</v>
      </c>
      <c r="D877" s="23" t="s">
        <v>240</v>
      </c>
      <c r="G877" s="23">
        <v>0</v>
      </c>
      <c r="I877" s="217" t="s">
        <v>1955</v>
      </c>
    </row>
    <row r="878" spans="1:9">
      <c r="A878" s="23">
        <v>878</v>
      </c>
      <c r="B878" s="84">
        <v>45850</v>
      </c>
      <c r="C878" s="23" t="s">
        <v>750</v>
      </c>
      <c r="D878" s="23" t="s">
        <v>246</v>
      </c>
      <c r="G878" s="23">
        <v>0</v>
      </c>
      <c r="I878" s="217" t="s">
        <v>1956</v>
      </c>
    </row>
    <row r="879" spans="1:9">
      <c r="A879" s="23">
        <v>879</v>
      </c>
      <c r="B879" s="84">
        <v>45850</v>
      </c>
      <c r="C879" s="23" t="s">
        <v>654</v>
      </c>
      <c r="D879" s="23" t="s">
        <v>197</v>
      </c>
      <c r="G879" s="23">
        <v>1.5</v>
      </c>
      <c r="I879" s="217" t="s">
        <v>1957</v>
      </c>
    </row>
    <row r="880" spans="1:9">
      <c r="A880" s="23">
        <v>880</v>
      </c>
      <c r="B880" s="84">
        <v>45850</v>
      </c>
      <c r="C880" s="23" t="s">
        <v>236</v>
      </c>
      <c r="D880" s="23" t="s">
        <v>235</v>
      </c>
      <c r="G880" s="23">
        <v>0.7</v>
      </c>
      <c r="I880" s="217" t="s">
        <v>1958</v>
      </c>
    </row>
    <row r="881" spans="1:9">
      <c r="A881" s="23">
        <v>881</v>
      </c>
      <c r="B881" s="84">
        <v>45850</v>
      </c>
      <c r="C881" s="23" t="s">
        <v>215</v>
      </c>
      <c r="D881" s="23" t="s">
        <v>213</v>
      </c>
      <c r="G881" s="23">
        <v>0</v>
      </c>
      <c r="I881" s="217" t="s">
        <v>1959</v>
      </c>
    </row>
    <row r="882" spans="1:9">
      <c r="A882" s="23">
        <v>882</v>
      </c>
      <c r="B882" s="84">
        <v>45850</v>
      </c>
      <c r="C882" s="23" t="s">
        <v>658</v>
      </c>
      <c r="D882" s="23" t="s">
        <v>227</v>
      </c>
      <c r="G882" s="23">
        <v>0.8</v>
      </c>
      <c r="I882" s="217" t="s">
        <v>1960</v>
      </c>
    </row>
    <row r="883" spans="1:9">
      <c r="A883" s="23">
        <v>883</v>
      </c>
      <c r="B883" s="84">
        <v>45850</v>
      </c>
      <c r="C883" s="23" t="s">
        <v>421</v>
      </c>
      <c r="D883" s="23" t="s">
        <v>200</v>
      </c>
      <c r="G883" s="23" t="s">
        <v>9</v>
      </c>
      <c r="H883" s="23" t="s">
        <v>1961</v>
      </c>
      <c r="I883" s="217" t="s">
        <v>1962</v>
      </c>
    </row>
    <row r="884" spans="1:9">
      <c r="A884" s="23">
        <v>884</v>
      </c>
      <c r="B884" s="84">
        <v>45850</v>
      </c>
      <c r="C884" s="23" t="s">
        <v>760</v>
      </c>
      <c r="D884" s="23" t="s">
        <v>230</v>
      </c>
      <c r="G884" s="23">
        <v>0.8</v>
      </c>
      <c r="I884" s="217" t="s">
        <v>1963</v>
      </c>
    </row>
    <row r="885" spans="1:9">
      <c r="A885" s="23">
        <v>885</v>
      </c>
      <c r="B885" s="84">
        <v>45850</v>
      </c>
      <c r="C885" s="23" t="s">
        <v>761</v>
      </c>
      <c r="D885" s="23" t="s">
        <v>240</v>
      </c>
      <c r="G885" s="23">
        <v>0.8</v>
      </c>
      <c r="I885" s="217" t="s">
        <v>1964</v>
      </c>
    </row>
    <row r="886" spans="1:9">
      <c r="A886" s="23">
        <v>886</v>
      </c>
      <c r="B886" s="84">
        <v>45850</v>
      </c>
      <c r="C886" s="23" t="s">
        <v>494</v>
      </c>
      <c r="D886" s="23" t="s">
        <v>227</v>
      </c>
      <c r="G886" s="23">
        <v>0</v>
      </c>
      <c r="I886" s="217" t="s">
        <v>1960</v>
      </c>
    </row>
    <row r="887" spans="1:9">
      <c r="A887" s="23">
        <v>887</v>
      </c>
      <c r="B887" s="84">
        <v>45850</v>
      </c>
      <c r="C887" s="23" t="s">
        <v>582</v>
      </c>
      <c r="D887" s="23" t="s">
        <v>246</v>
      </c>
      <c r="G887" s="23">
        <v>0.75</v>
      </c>
      <c r="I887" s="217" t="s">
        <v>1965</v>
      </c>
    </row>
    <row r="888" spans="1:9">
      <c r="A888" s="23">
        <v>888</v>
      </c>
      <c r="B888" s="84">
        <v>45850</v>
      </c>
      <c r="C888" s="23" t="s">
        <v>609</v>
      </c>
      <c r="D888" s="23" t="s">
        <v>200</v>
      </c>
      <c r="G888" s="23">
        <v>1.5</v>
      </c>
      <c r="I888" s="217" t="s">
        <v>1966</v>
      </c>
    </row>
    <row r="889" spans="1:9">
      <c r="A889" s="23">
        <v>889</v>
      </c>
      <c r="B889" s="84">
        <v>45850</v>
      </c>
      <c r="C889" s="23" t="s">
        <v>525</v>
      </c>
      <c r="D889" s="23" t="s">
        <v>230</v>
      </c>
      <c r="G889" s="23">
        <v>0</v>
      </c>
      <c r="I889" s="217" t="s">
        <v>1967</v>
      </c>
    </row>
    <row r="890" spans="1:9">
      <c r="A890" s="23">
        <v>890</v>
      </c>
      <c r="B890" s="84">
        <v>45850</v>
      </c>
      <c r="C890" s="23" t="s">
        <v>384</v>
      </c>
      <c r="D890" s="23" t="s">
        <v>240</v>
      </c>
      <c r="G890" s="23">
        <v>0</v>
      </c>
      <c r="I890" s="217" t="s">
        <v>1968</v>
      </c>
    </row>
    <row r="891" spans="1:9">
      <c r="A891" s="23">
        <v>891</v>
      </c>
      <c r="B891" s="84">
        <v>45850</v>
      </c>
      <c r="C891" s="23" t="s">
        <v>217</v>
      </c>
      <c r="D891" s="23" t="s">
        <v>246</v>
      </c>
      <c r="G891" s="23">
        <v>0</v>
      </c>
      <c r="I891" s="217" t="s">
        <v>1969</v>
      </c>
    </row>
    <row r="892" spans="1:9">
      <c r="A892" s="23">
        <v>892</v>
      </c>
      <c r="B892" s="84">
        <v>45850</v>
      </c>
      <c r="C892" s="23" t="s">
        <v>599</v>
      </c>
      <c r="D892" s="23" t="s">
        <v>251</v>
      </c>
      <c r="G892" s="23" t="s">
        <v>9</v>
      </c>
      <c r="H892" s="23" t="s">
        <v>1970</v>
      </c>
      <c r="I892" s="217" t="s">
        <v>1971</v>
      </c>
    </row>
    <row r="893" spans="1:9">
      <c r="A893" s="23">
        <v>893</v>
      </c>
      <c r="B893" s="84">
        <v>45850</v>
      </c>
      <c r="C893" s="23" t="s">
        <v>217</v>
      </c>
      <c r="D893" s="23" t="s">
        <v>222</v>
      </c>
      <c r="G893" s="23">
        <v>0.61</v>
      </c>
      <c r="I893" s="217" t="s">
        <v>1972</v>
      </c>
    </row>
    <row r="894" spans="1:9">
      <c r="A894" s="23">
        <v>894</v>
      </c>
      <c r="B894" s="84">
        <v>45850</v>
      </c>
      <c r="C894" s="23" t="s">
        <v>553</v>
      </c>
      <c r="D894" s="23" t="s">
        <v>216</v>
      </c>
      <c r="G894" s="23">
        <v>0</v>
      </c>
      <c r="I894" s="217" t="s">
        <v>1973</v>
      </c>
    </row>
    <row r="895" spans="1:9">
      <c r="A895" s="23">
        <v>895</v>
      </c>
      <c r="B895" s="84">
        <v>45850</v>
      </c>
      <c r="C895" s="23" t="s">
        <v>325</v>
      </c>
      <c r="D895" s="23" t="s">
        <v>206</v>
      </c>
      <c r="G895" s="23">
        <v>0.5</v>
      </c>
      <c r="I895" s="217" t="s">
        <v>1974</v>
      </c>
    </row>
    <row r="896" spans="1:9">
      <c r="A896" s="23">
        <v>896</v>
      </c>
      <c r="B896" s="84">
        <v>45850</v>
      </c>
      <c r="C896" s="23" t="s">
        <v>620</v>
      </c>
      <c r="D896" s="23" t="s">
        <v>233</v>
      </c>
      <c r="G896" s="23">
        <v>0</v>
      </c>
      <c r="I896" s="217" t="s">
        <v>1975</v>
      </c>
    </row>
    <row r="897" spans="1:9">
      <c r="A897" s="23">
        <v>897</v>
      </c>
      <c r="B897" s="84">
        <v>45850</v>
      </c>
      <c r="C897" s="23" t="s">
        <v>763</v>
      </c>
      <c r="D897" s="23" t="s">
        <v>246</v>
      </c>
      <c r="G897" s="23">
        <v>0.8</v>
      </c>
      <c r="I897" s="217" t="s">
        <v>1976</v>
      </c>
    </row>
    <row r="898" spans="1:9">
      <c r="A898" s="23">
        <v>898</v>
      </c>
      <c r="B898" s="84">
        <v>45850</v>
      </c>
      <c r="C898" s="23" t="s">
        <v>535</v>
      </c>
      <c r="D898" s="23" t="s">
        <v>246</v>
      </c>
      <c r="G898" s="23">
        <v>0</v>
      </c>
      <c r="I898" s="217" t="s">
        <v>1976</v>
      </c>
    </row>
    <row r="899" spans="1:9">
      <c r="A899" s="23">
        <v>899</v>
      </c>
      <c r="B899" s="84">
        <v>45850</v>
      </c>
      <c r="C899" s="23" t="s">
        <v>764</v>
      </c>
      <c r="D899" s="23" t="s">
        <v>227</v>
      </c>
      <c r="G899" s="23">
        <v>0.8</v>
      </c>
      <c r="I899" s="217" t="s">
        <v>1977</v>
      </c>
    </row>
    <row r="900" spans="1:9">
      <c r="A900" s="23">
        <v>900</v>
      </c>
      <c r="B900" s="84">
        <v>45850</v>
      </c>
      <c r="C900" s="23" t="s">
        <v>766</v>
      </c>
      <c r="D900" s="23" t="s">
        <v>230</v>
      </c>
      <c r="G900" s="23">
        <v>0.8</v>
      </c>
      <c r="I900" s="217" t="s">
        <v>1978</v>
      </c>
    </row>
    <row r="901" spans="1:9">
      <c r="A901" s="23">
        <v>901</v>
      </c>
      <c r="B901" s="84">
        <v>45850</v>
      </c>
      <c r="C901" s="23" t="s">
        <v>594</v>
      </c>
      <c r="D901" s="23" t="s">
        <v>240</v>
      </c>
      <c r="G901" s="23">
        <v>0.8</v>
      </c>
      <c r="I901" s="217" t="s">
        <v>1979</v>
      </c>
    </row>
    <row r="902" spans="1:9">
      <c r="A902" s="23">
        <v>902</v>
      </c>
      <c r="B902" s="84">
        <v>45850</v>
      </c>
      <c r="C902" s="23" t="s">
        <v>755</v>
      </c>
      <c r="D902" s="23" t="s">
        <v>251</v>
      </c>
      <c r="G902" s="23">
        <v>0</v>
      </c>
      <c r="H902" s="23" t="s">
        <v>897</v>
      </c>
      <c r="I902" s="217" t="s">
        <v>1980</v>
      </c>
    </row>
    <row r="903" spans="1:9">
      <c r="A903" s="23">
        <v>903</v>
      </c>
      <c r="B903" s="84">
        <v>45850</v>
      </c>
      <c r="C903" s="23" t="s">
        <v>520</v>
      </c>
      <c r="D903" s="23" t="s">
        <v>246</v>
      </c>
      <c r="G903" s="23">
        <v>0.8</v>
      </c>
      <c r="I903" s="217" t="s">
        <v>1981</v>
      </c>
    </row>
    <row r="904" spans="1:9">
      <c r="A904" s="23">
        <v>904</v>
      </c>
      <c r="B904" s="84">
        <v>45850</v>
      </c>
      <c r="C904" s="23" t="s">
        <v>765</v>
      </c>
      <c r="D904" s="23" t="s">
        <v>227</v>
      </c>
      <c r="G904" s="23">
        <v>0</v>
      </c>
      <c r="I904" s="217" t="s">
        <v>1982</v>
      </c>
    </row>
    <row r="905" spans="1:9">
      <c r="A905" s="23">
        <v>905</v>
      </c>
      <c r="B905" s="84">
        <v>45850</v>
      </c>
      <c r="C905" s="23" t="s">
        <v>439</v>
      </c>
      <c r="D905" s="23" t="s">
        <v>230</v>
      </c>
      <c r="G905" s="23">
        <v>0</v>
      </c>
      <c r="I905" s="217" t="s">
        <v>1983</v>
      </c>
    </row>
    <row r="906" spans="1:9">
      <c r="A906" s="23">
        <v>906</v>
      </c>
      <c r="B906" s="84">
        <v>45850</v>
      </c>
      <c r="C906" s="23" t="s">
        <v>441</v>
      </c>
      <c r="D906" s="23" t="s">
        <v>240</v>
      </c>
      <c r="G906" s="23">
        <v>0</v>
      </c>
      <c r="I906" s="217" t="s">
        <v>1984</v>
      </c>
    </row>
    <row r="907" spans="1:9">
      <c r="A907" s="23">
        <v>907</v>
      </c>
      <c r="B907" s="84">
        <v>45850</v>
      </c>
      <c r="C907" s="23" t="s">
        <v>767</v>
      </c>
      <c r="D907" s="23" t="s">
        <v>246</v>
      </c>
      <c r="G907" s="23">
        <v>0</v>
      </c>
      <c r="I907" s="217" t="s">
        <v>1985</v>
      </c>
    </row>
    <row r="908" spans="1:9">
      <c r="A908" s="23">
        <v>908</v>
      </c>
      <c r="B908" s="84">
        <v>45850</v>
      </c>
      <c r="C908" s="23" t="s">
        <v>768</v>
      </c>
      <c r="D908" s="23" t="s">
        <v>251</v>
      </c>
      <c r="G908" s="23">
        <v>2.8</v>
      </c>
      <c r="I908" s="217" t="s">
        <v>1986</v>
      </c>
    </row>
    <row r="909" spans="1:9">
      <c r="A909" s="23">
        <v>909</v>
      </c>
      <c r="B909" s="84">
        <v>45850</v>
      </c>
      <c r="C909" s="23" t="s">
        <v>770</v>
      </c>
      <c r="D909" s="23" t="s">
        <v>227</v>
      </c>
      <c r="G909" s="23">
        <v>0.8</v>
      </c>
      <c r="I909" s="217" t="s">
        <v>1987</v>
      </c>
    </row>
    <row r="910" spans="1:9">
      <c r="A910" s="23">
        <v>910</v>
      </c>
      <c r="B910" s="84">
        <v>45850</v>
      </c>
      <c r="C910" s="23" t="s">
        <v>770</v>
      </c>
      <c r="D910" s="23" t="s">
        <v>230</v>
      </c>
      <c r="G910" s="23">
        <v>0.8</v>
      </c>
      <c r="I910" s="217" t="s">
        <v>1988</v>
      </c>
    </row>
    <row r="911" spans="1:9">
      <c r="A911" s="23">
        <v>911</v>
      </c>
      <c r="B911" s="84">
        <v>45850</v>
      </c>
      <c r="C911" s="23" t="s">
        <v>759</v>
      </c>
      <c r="D911" s="23" t="s">
        <v>197</v>
      </c>
      <c r="G911" s="23">
        <v>0</v>
      </c>
      <c r="I911" s="217" t="s">
        <v>1989</v>
      </c>
    </row>
    <row r="912" spans="1:9">
      <c r="A912" s="23">
        <v>912</v>
      </c>
      <c r="B912" s="84">
        <v>45850</v>
      </c>
      <c r="C912" s="23" t="s">
        <v>759</v>
      </c>
      <c r="D912" s="23" t="s">
        <v>197</v>
      </c>
      <c r="G912" s="23" t="s">
        <v>9</v>
      </c>
      <c r="I912" s="217" t="s">
        <v>1236</v>
      </c>
    </row>
    <row r="913" spans="1:9">
      <c r="A913" s="23">
        <v>913</v>
      </c>
      <c r="B913" s="84">
        <v>45850</v>
      </c>
      <c r="C913" s="23" t="s">
        <v>256</v>
      </c>
      <c r="D913" s="23" t="s">
        <v>227</v>
      </c>
      <c r="G913" s="23">
        <v>0</v>
      </c>
      <c r="I913" s="217" t="s">
        <v>1987</v>
      </c>
    </row>
    <row r="914" spans="1:9">
      <c r="A914" s="23">
        <v>914</v>
      </c>
      <c r="B914" s="84">
        <v>45850</v>
      </c>
      <c r="C914" s="23" t="s">
        <v>703</v>
      </c>
      <c r="D914" s="23" t="s">
        <v>230</v>
      </c>
      <c r="G914" s="23">
        <v>0</v>
      </c>
      <c r="I914" s="217" t="s">
        <v>1988</v>
      </c>
    </row>
    <row r="915" spans="1:9">
      <c r="A915" s="23">
        <v>915</v>
      </c>
      <c r="B915" s="84">
        <v>45850</v>
      </c>
      <c r="C915" s="23" t="s">
        <v>754</v>
      </c>
      <c r="D915" s="23" t="s">
        <v>254</v>
      </c>
      <c r="G915" s="23">
        <v>0</v>
      </c>
      <c r="I915" s="217" t="s">
        <v>1990</v>
      </c>
    </row>
    <row r="916" spans="1:9">
      <c r="A916" s="23">
        <v>916</v>
      </c>
      <c r="B916" s="84">
        <v>45850</v>
      </c>
      <c r="C916" s="23" t="s">
        <v>300</v>
      </c>
      <c r="D916" s="23" t="s">
        <v>326</v>
      </c>
      <c r="G916" s="23">
        <v>0</v>
      </c>
      <c r="I916" s="217" t="s">
        <v>1991</v>
      </c>
    </row>
    <row r="917" spans="1:9">
      <c r="A917" s="23">
        <v>917</v>
      </c>
      <c r="B917" s="84">
        <v>45851</v>
      </c>
      <c r="C917" s="23" t="s">
        <v>769</v>
      </c>
      <c r="D917" s="23" t="s">
        <v>251</v>
      </c>
      <c r="G917" s="23">
        <v>0</v>
      </c>
      <c r="I917" s="217" t="s">
        <v>1992</v>
      </c>
    </row>
    <row r="918" spans="1:9">
      <c r="A918" s="23">
        <v>918</v>
      </c>
      <c r="B918" s="84">
        <v>45850</v>
      </c>
      <c r="C918" s="23" t="s">
        <v>220</v>
      </c>
      <c r="D918" s="23" t="s">
        <v>216</v>
      </c>
      <c r="G918" s="23">
        <v>0.72</v>
      </c>
      <c r="I918" s="217" t="s">
        <v>1993</v>
      </c>
    </row>
    <row r="919" spans="1:9">
      <c r="A919" s="23">
        <v>919</v>
      </c>
      <c r="B919" s="84">
        <v>45850</v>
      </c>
      <c r="C919" s="23" t="s">
        <v>277</v>
      </c>
      <c r="D919" s="23" t="s">
        <v>219</v>
      </c>
      <c r="G919" s="23">
        <v>0</v>
      </c>
      <c r="I919" s="217" t="s">
        <v>1994</v>
      </c>
    </row>
    <row r="920" spans="1:9">
      <c r="A920" s="23">
        <v>920</v>
      </c>
      <c r="B920" s="84">
        <v>45851</v>
      </c>
      <c r="C920" s="23" t="s">
        <v>223</v>
      </c>
      <c r="D920" s="23" t="s">
        <v>219</v>
      </c>
      <c r="G920" s="23">
        <v>0.44</v>
      </c>
      <c r="I920" s="217" t="s">
        <v>1995</v>
      </c>
    </row>
    <row r="921" spans="1:9">
      <c r="A921" s="23">
        <v>921</v>
      </c>
      <c r="B921" s="84">
        <v>45851</v>
      </c>
      <c r="C921" s="23" t="s">
        <v>218</v>
      </c>
      <c r="D921" s="23" t="s">
        <v>222</v>
      </c>
      <c r="G921" s="23">
        <v>0</v>
      </c>
      <c r="I921" s="217" t="s">
        <v>1996</v>
      </c>
    </row>
    <row r="922" spans="1:9">
      <c r="A922" s="23">
        <v>922</v>
      </c>
      <c r="B922" s="84">
        <v>45851</v>
      </c>
      <c r="C922" s="23" t="s">
        <v>771</v>
      </c>
      <c r="D922" s="23" t="s">
        <v>197</v>
      </c>
      <c r="G922" s="23">
        <v>6.5</v>
      </c>
      <c r="I922" s="217" t="s">
        <v>1997</v>
      </c>
    </row>
    <row r="923" spans="1:9">
      <c r="A923" s="23">
        <v>923</v>
      </c>
      <c r="B923" s="84">
        <v>45851</v>
      </c>
      <c r="C923" s="23" t="s">
        <v>762</v>
      </c>
      <c r="D923" s="23" t="s">
        <v>200</v>
      </c>
      <c r="G923" s="23">
        <v>0</v>
      </c>
      <c r="I923" s="217" t="s">
        <v>1998</v>
      </c>
    </row>
    <row r="924" spans="1:9">
      <c r="A924" s="23">
        <v>924</v>
      </c>
      <c r="B924" s="84">
        <v>45851</v>
      </c>
      <c r="C924" s="23" t="s">
        <v>278</v>
      </c>
      <c r="D924" s="23" t="s">
        <v>206</v>
      </c>
      <c r="G924" s="23">
        <v>0</v>
      </c>
      <c r="I924" s="217" t="s">
        <v>1999</v>
      </c>
    </row>
    <row r="925" spans="1:9">
      <c r="A925" s="23">
        <v>925</v>
      </c>
      <c r="B925" s="84">
        <v>45850</v>
      </c>
      <c r="C925" s="23" t="s">
        <v>220</v>
      </c>
      <c r="D925" s="23" t="s">
        <v>213</v>
      </c>
      <c r="G925" s="23">
        <v>0.79</v>
      </c>
      <c r="I925" s="217" t="s">
        <v>2000</v>
      </c>
    </row>
    <row r="926" spans="1:9">
      <c r="A926" s="23">
        <v>926</v>
      </c>
      <c r="B926" s="84">
        <v>45850</v>
      </c>
      <c r="C926" s="23" t="s">
        <v>277</v>
      </c>
      <c r="D926" s="23" t="s">
        <v>235</v>
      </c>
      <c r="G926" s="23">
        <v>0</v>
      </c>
      <c r="I926" s="217" t="s">
        <v>2001</v>
      </c>
    </row>
    <row r="927" spans="1:9">
      <c r="A927" s="23">
        <v>933</v>
      </c>
      <c r="B927" s="84">
        <v>45851</v>
      </c>
      <c r="C927" s="23" t="s">
        <v>286</v>
      </c>
      <c r="D927" s="23" t="s">
        <v>200</v>
      </c>
      <c r="G927" s="23" t="s">
        <v>9</v>
      </c>
      <c r="I927" s="217" t="s">
        <v>2002</v>
      </c>
    </row>
    <row r="928" spans="1:9">
      <c r="A928" s="23">
        <v>927</v>
      </c>
      <c r="B928" s="84">
        <v>45851</v>
      </c>
      <c r="C928" s="23" t="s">
        <v>236</v>
      </c>
      <c r="D928" s="23" t="s">
        <v>235</v>
      </c>
      <c r="G928" s="23">
        <v>0.67</v>
      </c>
      <c r="I928" s="217" t="s">
        <v>2003</v>
      </c>
    </row>
    <row r="929" spans="1:9">
      <c r="A929" s="23">
        <v>928</v>
      </c>
      <c r="B929" s="84">
        <v>45851</v>
      </c>
      <c r="C929" s="23" t="s">
        <v>215</v>
      </c>
      <c r="D929" s="23" t="s">
        <v>213</v>
      </c>
      <c r="G929" s="23">
        <v>0</v>
      </c>
      <c r="I929" s="217" t="s">
        <v>2004</v>
      </c>
    </row>
    <row r="930" spans="1:9">
      <c r="A930" s="23">
        <v>929</v>
      </c>
      <c r="B930" s="84">
        <v>45851</v>
      </c>
      <c r="C930" s="23" t="s">
        <v>773</v>
      </c>
      <c r="D930" s="23" t="s">
        <v>233</v>
      </c>
      <c r="G930" s="23">
        <v>1.7</v>
      </c>
      <c r="I930" s="217" t="s">
        <v>2005</v>
      </c>
    </row>
    <row r="931" spans="1:9">
      <c r="A931" s="23">
        <v>930</v>
      </c>
      <c r="B931" s="84">
        <v>45851</v>
      </c>
      <c r="C931" s="23" t="s">
        <v>364</v>
      </c>
      <c r="D931" s="23" t="s">
        <v>227</v>
      </c>
      <c r="G931" s="23">
        <v>0.75</v>
      </c>
      <c r="I931" s="217" t="s">
        <v>2006</v>
      </c>
    </row>
    <row r="932" spans="1:9">
      <c r="A932" s="23">
        <v>931</v>
      </c>
      <c r="B932" s="84">
        <v>45851</v>
      </c>
      <c r="C932" s="23" t="s">
        <v>721</v>
      </c>
      <c r="D932" s="23" t="s">
        <v>230</v>
      </c>
      <c r="G932" s="23">
        <v>0.75</v>
      </c>
      <c r="I932" s="217" t="s">
        <v>2007</v>
      </c>
    </row>
    <row r="933" spans="1:9">
      <c r="A933" s="23">
        <v>932</v>
      </c>
      <c r="B933" s="84">
        <v>45851</v>
      </c>
      <c r="C933" s="23" t="s">
        <v>753</v>
      </c>
      <c r="D933" s="23" t="s">
        <v>240</v>
      </c>
      <c r="G933" s="23">
        <v>0.75</v>
      </c>
      <c r="I933" s="217" t="s">
        <v>2008</v>
      </c>
    </row>
    <row r="934" spans="1:9">
      <c r="A934" s="23">
        <v>933</v>
      </c>
      <c r="B934" s="84">
        <v>45851</v>
      </c>
      <c r="C934" s="23" t="s">
        <v>775</v>
      </c>
      <c r="D934" s="23" t="s">
        <v>200</v>
      </c>
      <c r="G934" s="23">
        <v>0.3</v>
      </c>
      <c r="I934" s="217" t="s">
        <v>2002</v>
      </c>
    </row>
    <row r="935" spans="1:9">
      <c r="A935" s="23">
        <v>933</v>
      </c>
      <c r="B935" s="84">
        <v>45851</v>
      </c>
      <c r="C935" s="23" t="s">
        <v>406</v>
      </c>
      <c r="D935" s="23" t="s">
        <v>200</v>
      </c>
      <c r="G935" s="23" t="s">
        <v>9</v>
      </c>
      <c r="I935" s="217" t="s">
        <v>2002</v>
      </c>
    </row>
    <row r="936" spans="1:9">
      <c r="A936" s="23">
        <v>934</v>
      </c>
      <c r="B936" s="84">
        <v>45851</v>
      </c>
      <c r="C936" s="23" t="s">
        <v>776</v>
      </c>
      <c r="D936" s="23" t="s">
        <v>246</v>
      </c>
      <c r="G936" s="23">
        <v>0.75</v>
      </c>
      <c r="I936" s="217" t="s">
        <v>2009</v>
      </c>
    </row>
    <row r="937" spans="1:9">
      <c r="A937" s="23">
        <v>937</v>
      </c>
      <c r="B937" s="84">
        <v>45851</v>
      </c>
      <c r="C937" s="23" t="s">
        <v>777</v>
      </c>
      <c r="D937" s="23" t="s">
        <v>326</v>
      </c>
      <c r="G937" s="23">
        <v>3</v>
      </c>
      <c r="I937" s="217" t="s">
        <v>2010</v>
      </c>
    </row>
    <row r="938" spans="1:9">
      <c r="A938" s="23">
        <v>938</v>
      </c>
      <c r="B938" s="84">
        <v>45851</v>
      </c>
      <c r="C938" s="23" t="s">
        <v>777</v>
      </c>
      <c r="D938" s="23" t="s">
        <v>297</v>
      </c>
      <c r="G938" s="23">
        <v>0.8</v>
      </c>
      <c r="I938" s="217" t="s">
        <v>2011</v>
      </c>
    </row>
    <row r="939" spans="1:9">
      <c r="A939" s="23">
        <v>939</v>
      </c>
      <c r="B939" s="84">
        <v>45851</v>
      </c>
      <c r="C939" s="23" t="s">
        <v>653</v>
      </c>
      <c r="D939" s="23" t="s">
        <v>297</v>
      </c>
      <c r="G939" s="23">
        <v>0</v>
      </c>
      <c r="I939" s="217" t="s">
        <v>2011</v>
      </c>
    </row>
    <row r="940" spans="1:9">
      <c r="A940" s="23">
        <v>940</v>
      </c>
      <c r="B940" s="84">
        <v>45851</v>
      </c>
      <c r="C940" s="23" t="s">
        <v>189</v>
      </c>
      <c r="D940" s="23" t="s">
        <v>227</v>
      </c>
      <c r="G940" s="23">
        <v>0</v>
      </c>
      <c r="I940" s="217" t="s">
        <v>2012</v>
      </c>
    </row>
    <row r="941" spans="1:9">
      <c r="A941" s="23">
        <v>941</v>
      </c>
      <c r="B941" s="84">
        <v>45851</v>
      </c>
      <c r="C941" s="23" t="s">
        <v>576</v>
      </c>
      <c r="D941" s="23" t="s">
        <v>230</v>
      </c>
      <c r="G941" s="23">
        <v>0</v>
      </c>
      <c r="I941" s="217" t="s">
        <v>2013</v>
      </c>
    </row>
    <row r="942" spans="1:9">
      <c r="A942" s="23">
        <v>942</v>
      </c>
      <c r="B942" s="84">
        <v>45851</v>
      </c>
      <c r="C942" s="23" t="s">
        <v>778</v>
      </c>
      <c r="D942" s="23" t="s">
        <v>227</v>
      </c>
      <c r="G942" s="23">
        <v>0.75</v>
      </c>
      <c r="I942" s="217" t="s">
        <v>1236</v>
      </c>
    </row>
    <row r="943" spans="1:9">
      <c r="A943" s="23">
        <v>943</v>
      </c>
      <c r="B943" s="84">
        <v>45851</v>
      </c>
      <c r="C943" s="23" t="s">
        <v>779</v>
      </c>
      <c r="D943" s="23" t="s">
        <v>251</v>
      </c>
      <c r="G943" s="23">
        <v>0.5</v>
      </c>
      <c r="I943" s="217" t="s">
        <v>2014</v>
      </c>
    </row>
    <row r="944" spans="1:9">
      <c r="A944" s="23">
        <v>944</v>
      </c>
      <c r="B944" s="84">
        <v>45851</v>
      </c>
      <c r="C944" s="23" t="s">
        <v>611</v>
      </c>
      <c r="D944" s="23" t="s">
        <v>246</v>
      </c>
      <c r="G944" s="23">
        <v>0</v>
      </c>
      <c r="I944" s="217" t="s">
        <v>2009</v>
      </c>
    </row>
    <row r="945" spans="1:9">
      <c r="A945" s="23">
        <v>945</v>
      </c>
      <c r="B945" s="84">
        <v>45851</v>
      </c>
      <c r="C945" s="23" t="s">
        <v>489</v>
      </c>
      <c r="D945" s="23" t="s">
        <v>240</v>
      </c>
      <c r="G945" s="23">
        <v>0</v>
      </c>
      <c r="I945" s="217" t="s">
        <v>2015</v>
      </c>
    </row>
    <row r="946" spans="1:9">
      <c r="A946" s="23">
        <v>946</v>
      </c>
      <c r="B946" s="84">
        <v>45851</v>
      </c>
      <c r="C946" s="23" t="s">
        <v>614</v>
      </c>
      <c r="D946" s="23" t="s">
        <v>227</v>
      </c>
      <c r="G946" s="23">
        <v>0</v>
      </c>
      <c r="I946" s="217" t="s">
        <v>2016</v>
      </c>
    </row>
    <row r="947" spans="1:9">
      <c r="A947" s="23">
        <v>947</v>
      </c>
      <c r="B947" s="84">
        <v>45851</v>
      </c>
      <c r="C947" s="23" t="s">
        <v>727</v>
      </c>
      <c r="D947" s="23" t="s">
        <v>230</v>
      </c>
      <c r="G947" s="23">
        <v>0.8</v>
      </c>
      <c r="I947" s="217" t="s">
        <v>2017</v>
      </c>
    </row>
    <row r="948" spans="1:9">
      <c r="A948" s="23">
        <v>948</v>
      </c>
      <c r="B948" s="84">
        <v>45851</v>
      </c>
      <c r="C948" s="23" t="s">
        <v>580</v>
      </c>
      <c r="D948" s="23" t="s">
        <v>240</v>
      </c>
      <c r="G948" s="23">
        <v>0.8</v>
      </c>
      <c r="I948" s="217" t="s">
        <v>2018</v>
      </c>
    </row>
    <row r="949" spans="1:9">
      <c r="A949" s="23">
        <v>949</v>
      </c>
      <c r="B949" s="84">
        <v>45851</v>
      </c>
      <c r="C949" s="23" t="s">
        <v>680</v>
      </c>
      <c r="D949" s="23" t="s">
        <v>200</v>
      </c>
      <c r="G949" s="23">
        <v>0.5</v>
      </c>
      <c r="H949" s="23" t="s">
        <v>1943</v>
      </c>
      <c r="I949" s="217" t="s">
        <v>2019</v>
      </c>
    </row>
    <row r="950" spans="1:9">
      <c r="A950" s="23">
        <v>950</v>
      </c>
      <c r="B950" s="84">
        <v>45851</v>
      </c>
      <c r="C950" s="23" t="s">
        <v>782</v>
      </c>
      <c r="D950" s="23" t="s">
        <v>200</v>
      </c>
      <c r="G950" s="23">
        <v>0</v>
      </c>
      <c r="H950" s="23" t="s">
        <v>1902</v>
      </c>
      <c r="I950" s="217" t="s">
        <v>2019</v>
      </c>
    </row>
    <row r="951" spans="1:9">
      <c r="A951" s="23">
        <v>951</v>
      </c>
      <c r="B951" s="84">
        <v>45851</v>
      </c>
      <c r="C951" s="23" t="s">
        <v>782</v>
      </c>
      <c r="D951" s="23" t="s">
        <v>200</v>
      </c>
      <c r="G951" s="23" t="s">
        <v>9</v>
      </c>
      <c r="I951" s="217" t="s">
        <v>1236</v>
      </c>
    </row>
    <row r="952" spans="1:9">
      <c r="A952" s="23">
        <v>952</v>
      </c>
      <c r="B952" s="84">
        <v>45851</v>
      </c>
      <c r="C952" s="23" t="s">
        <v>659</v>
      </c>
      <c r="D952" s="23" t="s">
        <v>246</v>
      </c>
      <c r="G952" s="23">
        <v>0.8</v>
      </c>
      <c r="I952" s="217" t="s">
        <v>2020</v>
      </c>
    </row>
    <row r="953" spans="1:9">
      <c r="A953" s="23">
        <v>953</v>
      </c>
      <c r="B953" s="84">
        <v>45851</v>
      </c>
      <c r="C953" s="23" t="s">
        <v>686</v>
      </c>
      <c r="D953" s="23" t="s">
        <v>227</v>
      </c>
      <c r="G953" s="23">
        <v>0.8</v>
      </c>
      <c r="I953" s="217" t="s">
        <v>2021</v>
      </c>
    </row>
    <row r="954" spans="1:9">
      <c r="A954" s="23">
        <v>954</v>
      </c>
      <c r="B954" s="84">
        <v>45851</v>
      </c>
      <c r="C954" s="23" t="s">
        <v>236</v>
      </c>
      <c r="D954" s="23" t="s">
        <v>222</v>
      </c>
      <c r="G954" s="23">
        <v>0.55000000000000004</v>
      </c>
      <c r="I954" s="217" t="s">
        <v>2022</v>
      </c>
    </row>
    <row r="955" spans="1:9">
      <c r="A955" s="23">
        <v>955</v>
      </c>
      <c r="B955" s="84">
        <v>45851</v>
      </c>
      <c r="C955" s="23" t="s">
        <v>215</v>
      </c>
      <c r="D955" s="23" t="s">
        <v>216</v>
      </c>
      <c r="G955" s="23">
        <v>0</v>
      </c>
      <c r="I955" s="217" t="s">
        <v>2023</v>
      </c>
    </row>
    <row r="956" spans="1:9">
      <c r="A956" s="23">
        <v>956</v>
      </c>
      <c r="B956" s="84">
        <v>45851</v>
      </c>
      <c r="C956" s="23" t="s">
        <v>573</v>
      </c>
      <c r="D956" s="23" t="s">
        <v>200</v>
      </c>
      <c r="G956" s="23">
        <v>0.5</v>
      </c>
      <c r="H956" s="23" t="s">
        <v>1943</v>
      </c>
      <c r="I956" s="217" t="s">
        <v>2024</v>
      </c>
    </row>
    <row r="957" spans="1:9">
      <c r="A957" s="23">
        <v>957</v>
      </c>
      <c r="B957" s="84">
        <v>45851</v>
      </c>
      <c r="C957" s="23" t="s">
        <v>217</v>
      </c>
      <c r="D957" s="23" t="s">
        <v>216</v>
      </c>
      <c r="G957" s="23">
        <v>0.60499999999999998</v>
      </c>
      <c r="I957" s="217" t="s">
        <v>2025</v>
      </c>
    </row>
    <row r="958" spans="1:9">
      <c r="A958" s="23">
        <v>958</v>
      </c>
      <c r="B958" s="84">
        <v>45851</v>
      </c>
      <c r="C958" s="23" t="s">
        <v>367</v>
      </c>
      <c r="D958" s="23" t="s">
        <v>219</v>
      </c>
      <c r="G958" s="23">
        <v>0</v>
      </c>
      <c r="I958" s="217" t="s">
        <v>2026</v>
      </c>
    </row>
    <row r="959" spans="1:9">
      <c r="A959" s="23">
        <v>959</v>
      </c>
      <c r="B959" s="84">
        <v>45851</v>
      </c>
      <c r="C959" s="23" t="s">
        <v>507</v>
      </c>
      <c r="D959" s="23" t="s">
        <v>254</v>
      </c>
      <c r="G959" s="23">
        <v>0.5</v>
      </c>
      <c r="I959" s="217" t="s">
        <v>2027</v>
      </c>
    </row>
    <row r="960" spans="1:9">
      <c r="A960" s="23">
        <v>960</v>
      </c>
      <c r="B960" s="84">
        <v>45851</v>
      </c>
      <c r="C960" s="23" t="s">
        <v>689</v>
      </c>
      <c r="D960" s="23" t="s">
        <v>246</v>
      </c>
      <c r="G960" s="23">
        <v>0</v>
      </c>
      <c r="I960" s="217" t="s">
        <v>2028</v>
      </c>
    </row>
    <row r="961" spans="1:9">
      <c r="A961" s="23">
        <v>961</v>
      </c>
      <c r="B961" s="84">
        <v>45851</v>
      </c>
      <c r="C961" s="23" t="s">
        <v>321</v>
      </c>
      <c r="D961" s="23" t="s">
        <v>230</v>
      </c>
      <c r="G961" s="23">
        <v>0</v>
      </c>
      <c r="I961" s="217" t="s">
        <v>2029</v>
      </c>
    </row>
    <row r="962" spans="1:9">
      <c r="A962" s="23">
        <v>962</v>
      </c>
      <c r="B962" s="84">
        <v>45851</v>
      </c>
      <c r="C962" s="23" t="s">
        <v>781</v>
      </c>
      <c r="D962" s="23" t="s">
        <v>240</v>
      </c>
      <c r="G962" s="23">
        <v>0</v>
      </c>
      <c r="I962" s="217" t="s">
        <v>2030</v>
      </c>
    </row>
    <row r="963" spans="1:9">
      <c r="A963" s="23">
        <v>963</v>
      </c>
      <c r="B963" s="84">
        <v>45851</v>
      </c>
      <c r="C963" s="23" t="s">
        <v>318</v>
      </c>
      <c r="D963" s="23" t="s">
        <v>227</v>
      </c>
      <c r="G963" s="23">
        <v>0</v>
      </c>
      <c r="I963" s="217" t="s">
        <v>2031</v>
      </c>
    </row>
    <row r="964" spans="1:9">
      <c r="A964" s="23">
        <v>964</v>
      </c>
      <c r="B964" s="84">
        <v>45851</v>
      </c>
      <c r="C964" s="23" t="s">
        <v>318</v>
      </c>
      <c r="D964" s="23" t="s">
        <v>326</v>
      </c>
      <c r="G964" s="23" t="s">
        <v>9</v>
      </c>
      <c r="I964" s="217" t="s">
        <v>2032</v>
      </c>
    </row>
    <row r="965" spans="1:9">
      <c r="A965" s="23">
        <v>965</v>
      </c>
      <c r="B965" s="84">
        <v>45851</v>
      </c>
      <c r="C965" s="23" t="s">
        <v>784</v>
      </c>
      <c r="D965" s="23" t="s">
        <v>200</v>
      </c>
      <c r="G965" s="23">
        <v>0</v>
      </c>
      <c r="H965" s="23" t="s">
        <v>1902</v>
      </c>
      <c r="I965" s="217" t="s">
        <v>2024</v>
      </c>
    </row>
    <row r="966" spans="1:9">
      <c r="A966" s="23">
        <v>966</v>
      </c>
      <c r="B966" s="84">
        <v>45851</v>
      </c>
      <c r="C966" s="23" t="s">
        <v>784</v>
      </c>
      <c r="D966" s="23" t="s">
        <v>200</v>
      </c>
      <c r="G966" s="23">
        <v>6.6</v>
      </c>
      <c r="H966" s="23" t="s">
        <v>897</v>
      </c>
      <c r="I966" s="217" t="s">
        <v>1236</v>
      </c>
    </row>
    <row r="967" spans="1:9">
      <c r="A967" s="23">
        <v>967</v>
      </c>
      <c r="B967" s="84">
        <v>45851</v>
      </c>
      <c r="C967" s="23" t="s">
        <v>789</v>
      </c>
      <c r="D967" s="23" t="s">
        <v>206</v>
      </c>
      <c r="G967" s="23">
        <v>0.5</v>
      </c>
      <c r="I967" s="217" t="s">
        <v>2033</v>
      </c>
    </row>
    <row r="968" spans="1:9">
      <c r="A968" s="23">
        <v>968</v>
      </c>
      <c r="B968" s="84">
        <v>45851</v>
      </c>
      <c r="C968" s="23" t="s">
        <v>774</v>
      </c>
      <c r="D968" s="23" t="s">
        <v>233</v>
      </c>
      <c r="G968" s="23">
        <v>0</v>
      </c>
      <c r="I968" s="217" t="s">
        <v>2034</v>
      </c>
    </row>
    <row r="969" spans="1:9">
      <c r="A969" s="23">
        <v>969</v>
      </c>
      <c r="B969" s="84">
        <v>45851</v>
      </c>
      <c r="C969" s="23" t="s">
        <v>780</v>
      </c>
      <c r="D969" s="23" t="s">
        <v>251</v>
      </c>
      <c r="G969" s="23">
        <v>0</v>
      </c>
      <c r="I969" s="217" t="s">
        <v>2035</v>
      </c>
    </row>
    <row r="970" spans="1:9">
      <c r="A970" s="23">
        <v>970</v>
      </c>
      <c r="B970" s="84">
        <v>45851</v>
      </c>
      <c r="C970" s="23" t="s">
        <v>791</v>
      </c>
      <c r="D970" s="23" t="s">
        <v>227</v>
      </c>
      <c r="G970" s="23">
        <v>0.77500000000000002</v>
      </c>
      <c r="I970" s="217" t="s">
        <v>2036</v>
      </c>
    </row>
    <row r="971" spans="1:9">
      <c r="A971" s="23">
        <v>971</v>
      </c>
      <c r="B971" s="84">
        <v>45851</v>
      </c>
      <c r="C971" s="23" t="s">
        <v>757</v>
      </c>
      <c r="D971" s="23" t="s">
        <v>209</v>
      </c>
      <c r="G971" s="23">
        <v>0</v>
      </c>
      <c r="I971" s="217" t="s">
        <v>2037</v>
      </c>
    </row>
    <row r="972" spans="1:9">
      <c r="A972" s="23">
        <v>972</v>
      </c>
      <c r="B972" s="84">
        <v>45851</v>
      </c>
      <c r="C972" s="23" t="s">
        <v>757</v>
      </c>
      <c r="D972" s="23" t="s">
        <v>209</v>
      </c>
      <c r="G972" s="23">
        <v>1.5</v>
      </c>
      <c r="I972" s="217" t="s">
        <v>1236</v>
      </c>
    </row>
    <row r="973" spans="1:9">
      <c r="A973" s="23">
        <v>973</v>
      </c>
      <c r="B973" s="84">
        <v>45851</v>
      </c>
      <c r="C973" s="23" t="s">
        <v>535</v>
      </c>
      <c r="D973" s="23" t="s">
        <v>227</v>
      </c>
      <c r="G973" s="23">
        <v>0</v>
      </c>
      <c r="I973" s="217" t="s">
        <v>2038</v>
      </c>
    </row>
    <row r="974" spans="1:9">
      <c r="A974" s="23">
        <v>974</v>
      </c>
      <c r="B974" s="84">
        <v>45851</v>
      </c>
      <c r="C974" s="23" t="s">
        <v>792</v>
      </c>
      <c r="D974" s="23" t="s">
        <v>209</v>
      </c>
      <c r="G974" s="23">
        <v>0</v>
      </c>
      <c r="I974" s="217" t="s">
        <v>2039</v>
      </c>
    </row>
    <row r="975" spans="1:9">
      <c r="A975" s="23">
        <v>975</v>
      </c>
      <c r="B975" s="84">
        <v>45851</v>
      </c>
      <c r="C975" s="23" t="s">
        <v>792</v>
      </c>
      <c r="D975" s="23" t="s">
        <v>209</v>
      </c>
      <c r="G975" s="23">
        <v>3</v>
      </c>
      <c r="I975" s="217" t="s">
        <v>1236</v>
      </c>
    </row>
    <row r="976" spans="1:9">
      <c r="A976" s="23">
        <v>976</v>
      </c>
      <c r="B976" s="84">
        <v>45851</v>
      </c>
      <c r="C976" s="23" t="s">
        <v>786</v>
      </c>
      <c r="D976" s="23" t="s">
        <v>254</v>
      </c>
      <c r="G976" s="23">
        <v>0</v>
      </c>
      <c r="I976" s="217" t="s">
        <v>2040</v>
      </c>
    </row>
    <row r="977" spans="1:9">
      <c r="A977" s="23">
        <v>977</v>
      </c>
      <c r="B977" s="84">
        <v>45851</v>
      </c>
      <c r="C977" s="23" t="s">
        <v>543</v>
      </c>
      <c r="D977" s="23" t="s">
        <v>230</v>
      </c>
      <c r="G977" s="23">
        <v>0.8</v>
      </c>
      <c r="I977" s="217" t="s">
        <v>2041</v>
      </c>
    </row>
    <row r="978" spans="1:9">
      <c r="A978" s="23">
        <v>978</v>
      </c>
      <c r="B978" s="84">
        <v>45851</v>
      </c>
      <c r="C978" s="23" t="s">
        <v>285</v>
      </c>
      <c r="D978" s="23" t="s">
        <v>240</v>
      </c>
      <c r="G978" s="23">
        <v>0.8</v>
      </c>
      <c r="I978" s="217" t="s">
        <v>2042</v>
      </c>
    </row>
    <row r="979" spans="1:9">
      <c r="A979" s="23">
        <v>979</v>
      </c>
      <c r="B979" s="84">
        <v>45851</v>
      </c>
      <c r="C979" s="23" t="s">
        <v>220</v>
      </c>
      <c r="D979" s="23" t="s">
        <v>219</v>
      </c>
      <c r="G979" s="23">
        <v>0.63500000000000001</v>
      </c>
      <c r="I979" s="217" t="s">
        <v>2043</v>
      </c>
    </row>
    <row r="980" spans="1:9">
      <c r="A980" s="23">
        <v>980</v>
      </c>
      <c r="B980" s="84">
        <v>45851</v>
      </c>
      <c r="C980" s="23" t="s">
        <v>220</v>
      </c>
      <c r="D980" s="23" t="s">
        <v>213</v>
      </c>
      <c r="G980" s="23">
        <v>0.82</v>
      </c>
      <c r="I980" s="217" t="s">
        <v>2044</v>
      </c>
    </row>
    <row r="981" spans="1:9">
      <c r="A981" s="23">
        <v>981</v>
      </c>
      <c r="B981" s="84">
        <v>45851</v>
      </c>
      <c r="C981" s="23" t="s">
        <v>277</v>
      </c>
      <c r="D981" s="23" t="s">
        <v>222</v>
      </c>
      <c r="G981" s="23">
        <v>0</v>
      </c>
      <c r="I981" s="217" t="s">
        <v>2045</v>
      </c>
    </row>
    <row r="982" spans="1:9">
      <c r="A982" s="23">
        <v>982</v>
      </c>
      <c r="B982" s="84">
        <v>45851</v>
      </c>
      <c r="C982" s="23" t="s">
        <v>277</v>
      </c>
      <c r="D982" s="23" t="s">
        <v>235</v>
      </c>
      <c r="G982" s="23">
        <v>0</v>
      </c>
      <c r="I982" s="217" t="s">
        <v>2046</v>
      </c>
    </row>
    <row r="983" spans="1:9">
      <c r="A983" s="23">
        <v>983</v>
      </c>
      <c r="B983" s="84">
        <v>45851</v>
      </c>
      <c r="C983" s="23" t="s">
        <v>670</v>
      </c>
      <c r="D983" s="23" t="s">
        <v>246</v>
      </c>
      <c r="G983" s="23">
        <v>0.8</v>
      </c>
      <c r="I983" s="217" t="s">
        <v>2047</v>
      </c>
    </row>
    <row r="984" spans="1:9">
      <c r="A984" s="23">
        <v>984</v>
      </c>
      <c r="B984" s="84">
        <v>45851</v>
      </c>
      <c r="C984" s="23" t="s">
        <v>442</v>
      </c>
      <c r="D984" s="23" t="s">
        <v>227</v>
      </c>
      <c r="G984" s="23">
        <v>0.8</v>
      </c>
      <c r="I984" s="217" t="s">
        <v>2048</v>
      </c>
    </row>
    <row r="985" spans="1:9">
      <c r="A985" s="23">
        <v>985</v>
      </c>
      <c r="B985" s="84">
        <v>45851</v>
      </c>
      <c r="C985" s="23" t="s">
        <v>797</v>
      </c>
      <c r="D985" s="23" t="s">
        <v>297</v>
      </c>
      <c r="G985" s="23">
        <v>0.8</v>
      </c>
      <c r="I985" s="217" t="s">
        <v>2049</v>
      </c>
    </row>
    <row r="986" spans="1:9">
      <c r="A986" s="23">
        <v>986</v>
      </c>
      <c r="B986" s="84">
        <v>45851</v>
      </c>
      <c r="C986" s="23" t="s">
        <v>799</v>
      </c>
      <c r="D986" s="23" t="s">
        <v>251</v>
      </c>
      <c r="G986" s="23">
        <v>1</v>
      </c>
      <c r="I986" s="217" t="s">
        <v>2050</v>
      </c>
    </row>
    <row r="987" spans="1:9">
      <c r="A987" s="23">
        <v>987</v>
      </c>
      <c r="B987" s="84">
        <v>45851</v>
      </c>
      <c r="C987" s="23" t="s">
        <v>610</v>
      </c>
      <c r="D987" s="23" t="s">
        <v>243</v>
      </c>
      <c r="G987" s="23">
        <v>0.8</v>
      </c>
      <c r="H987" s="23" t="s">
        <v>475</v>
      </c>
      <c r="I987" s="217" t="s">
        <v>2051</v>
      </c>
    </row>
    <row r="988" spans="1:9">
      <c r="A988" s="23">
        <v>988</v>
      </c>
      <c r="B988" s="84">
        <v>45851</v>
      </c>
      <c r="C988" s="23" t="s">
        <v>798</v>
      </c>
      <c r="D988" s="23" t="s">
        <v>297</v>
      </c>
      <c r="G988" s="23">
        <v>0</v>
      </c>
      <c r="I988" s="217" t="s">
        <v>2052</v>
      </c>
    </row>
    <row r="989" spans="1:9">
      <c r="A989" s="23">
        <v>989</v>
      </c>
      <c r="B989" s="84">
        <v>45851</v>
      </c>
      <c r="C989" s="23" t="s">
        <v>801</v>
      </c>
      <c r="D989" s="23" t="s">
        <v>243</v>
      </c>
      <c r="G989" s="23" t="s">
        <v>9</v>
      </c>
      <c r="H989" s="23" t="s">
        <v>802</v>
      </c>
      <c r="I989" s="217" t="s">
        <v>2053</v>
      </c>
    </row>
    <row r="990" spans="1:9">
      <c r="A990" s="23">
        <v>990</v>
      </c>
      <c r="B990" s="84">
        <v>45851</v>
      </c>
      <c r="C990" s="23" t="s">
        <v>796</v>
      </c>
      <c r="D990" s="23" t="s">
        <v>227</v>
      </c>
      <c r="G990" s="23">
        <v>0</v>
      </c>
      <c r="I990" s="217" t="s">
        <v>2054</v>
      </c>
    </row>
    <row r="991" spans="1:9">
      <c r="A991" s="23">
        <v>991</v>
      </c>
      <c r="B991" s="84">
        <v>45851</v>
      </c>
      <c r="C991" s="23" t="s">
        <v>794</v>
      </c>
      <c r="D991" s="23" t="s">
        <v>230</v>
      </c>
      <c r="G991" s="23">
        <v>0</v>
      </c>
      <c r="I991" s="217" t="s">
        <v>2055</v>
      </c>
    </row>
    <row r="992" spans="1:9">
      <c r="A992" s="23">
        <v>992</v>
      </c>
      <c r="B992" s="84">
        <v>45851</v>
      </c>
      <c r="C992" s="23" t="s">
        <v>725</v>
      </c>
      <c r="D992" s="23" t="s">
        <v>240</v>
      </c>
      <c r="G992" s="23">
        <v>0</v>
      </c>
      <c r="I992" s="217" t="s">
        <v>2056</v>
      </c>
    </row>
    <row r="993" spans="1:9">
      <c r="A993" s="23">
        <v>993</v>
      </c>
      <c r="B993" s="84">
        <v>45851</v>
      </c>
      <c r="C993" s="23" t="s">
        <v>795</v>
      </c>
      <c r="D993" s="23" t="s">
        <v>246</v>
      </c>
      <c r="G993" s="23">
        <v>0</v>
      </c>
      <c r="I993" s="217" t="s">
        <v>2057</v>
      </c>
    </row>
    <row r="994" spans="1:9">
      <c r="A994" s="23">
        <v>994</v>
      </c>
      <c r="B994" s="84">
        <v>45851</v>
      </c>
      <c r="C994" s="23" t="s">
        <v>331</v>
      </c>
      <c r="D994" s="23" t="s">
        <v>297</v>
      </c>
      <c r="G994" s="23">
        <v>0.8</v>
      </c>
      <c r="I994" s="217" t="s">
        <v>2058</v>
      </c>
    </row>
    <row r="995" spans="1:9">
      <c r="A995" s="23">
        <v>995</v>
      </c>
      <c r="B995" s="84">
        <v>45851</v>
      </c>
      <c r="C995" s="23" t="s">
        <v>331</v>
      </c>
      <c r="D995" s="23" t="s">
        <v>240</v>
      </c>
      <c r="G995" s="23">
        <v>0.8</v>
      </c>
      <c r="I995" s="217" t="s">
        <v>2059</v>
      </c>
    </row>
    <row r="996" spans="1:9">
      <c r="A996" s="23">
        <v>996</v>
      </c>
      <c r="B996" s="84">
        <v>45851</v>
      </c>
      <c r="C996" s="23" t="s">
        <v>331</v>
      </c>
      <c r="D996" s="23" t="s">
        <v>227</v>
      </c>
      <c r="G996" s="23">
        <v>0.8</v>
      </c>
      <c r="I996" s="217" t="s">
        <v>2060</v>
      </c>
    </row>
    <row r="997" spans="1:9">
      <c r="A997" s="23">
        <v>997</v>
      </c>
      <c r="B997" s="84">
        <v>45851</v>
      </c>
      <c r="C997" s="23" t="s">
        <v>331</v>
      </c>
      <c r="D997" s="23" t="s">
        <v>230</v>
      </c>
      <c r="G997" s="23">
        <v>0.8</v>
      </c>
      <c r="I997" s="217" t="s">
        <v>2061</v>
      </c>
    </row>
    <row r="998" spans="1:9">
      <c r="A998" s="23">
        <v>998</v>
      </c>
      <c r="B998" s="84">
        <v>45851</v>
      </c>
      <c r="C998" s="23" t="s">
        <v>331</v>
      </c>
      <c r="D998" s="23" t="s">
        <v>246</v>
      </c>
      <c r="G998" s="23">
        <v>0.8</v>
      </c>
      <c r="I998" s="217" t="s">
        <v>2062</v>
      </c>
    </row>
    <row r="999" spans="1:9">
      <c r="A999" s="23">
        <v>999</v>
      </c>
      <c r="B999" s="84">
        <v>45851</v>
      </c>
      <c r="C999" s="23" t="s">
        <v>455</v>
      </c>
      <c r="D999" s="23" t="s">
        <v>197</v>
      </c>
      <c r="G999" s="23" t="s">
        <v>9</v>
      </c>
      <c r="I999" s="217" t="s">
        <v>2063</v>
      </c>
    </row>
    <row r="1000" spans="1:9">
      <c r="A1000" s="23">
        <v>1000</v>
      </c>
      <c r="B1000" s="84">
        <v>45851</v>
      </c>
      <c r="C1000" s="23" t="s">
        <v>703</v>
      </c>
      <c r="D1000" s="23" t="s">
        <v>297</v>
      </c>
      <c r="G1000" s="23">
        <v>0</v>
      </c>
      <c r="I1000" s="217" t="s">
        <v>2058</v>
      </c>
    </row>
    <row r="1001" spans="1:9">
      <c r="A1001" s="23">
        <v>1001</v>
      </c>
      <c r="B1001" s="84">
        <v>45851</v>
      </c>
      <c r="C1001" s="23" t="s">
        <v>735</v>
      </c>
      <c r="D1001" s="23" t="s">
        <v>227</v>
      </c>
      <c r="G1001" s="23">
        <v>0</v>
      </c>
      <c r="I1001" s="217" t="s">
        <v>2060</v>
      </c>
    </row>
    <row r="1002" spans="1:9">
      <c r="A1002" s="23">
        <v>1002</v>
      </c>
      <c r="B1002" s="84">
        <v>45851</v>
      </c>
      <c r="C1002" s="23" t="s">
        <v>804</v>
      </c>
      <c r="D1002" s="23" t="s">
        <v>230</v>
      </c>
      <c r="G1002" s="23">
        <v>0</v>
      </c>
      <c r="I1002" s="217" t="s">
        <v>2064</v>
      </c>
    </row>
    <row r="1003" spans="1:9">
      <c r="A1003" s="23">
        <v>1003</v>
      </c>
      <c r="B1003" s="84">
        <v>45851</v>
      </c>
      <c r="C1003" s="23" t="s">
        <v>803</v>
      </c>
      <c r="D1003" s="23" t="s">
        <v>240</v>
      </c>
      <c r="G1003" s="23">
        <v>0</v>
      </c>
      <c r="I1003" s="217" t="s">
        <v>2065</v>
      </c>
    </row>
    <row r="1004" spans="1:9">
      <c r="A1004" s="23">
        <v>1004</v>
      </c>
      <c r="B1004" s="84">
        <v>45851</v>
      </c>
      <c r="C1004" s="23" t="s">
        <v>805</v>
      </c>
      <c r="D1004" s="23" t="s">
        <v>246</v>
      </c>
      <c r="G1004" s="23">
        <v>0</v>
      </c>
      <c r="I1004" s="217" t="s">
        <v>2066</v>
      </c>
    </row>
    <row r="1005" spans="1:9">
      <c r="A1005" s="23">
        <v>1005</v>
      </c>
      <c r="B1005" s="84">
        <v>45851</v>
      </c>
      <c r="C1005" s="23" t="s">
        <v>806</v>
      </c>
      <c r="D1005" s="23" t="s">
        <v>197</v>
      </c>
      <c r="G1005" s="23">
        <v>1</v>
      </c>
      <c r="H1005" s="23" t="s">
        <v>2067</v>
      </c>
      <c r="I1005" s="217" t="s">
        <v>2068</v>
      </c>
    </row>
    <row r="1006" spans="1:9">
      <c r="A1006" s="23">
        <v>1006</v>
      </c>
      <c r="B1006" s="84">
        <v>45851</v>
      </c>
      <c r="C1006" s="23" t="s">
        <v>800</v>
      </c>
      <c r="D1006" s="23" t="s">
        <v>251</v>
      </c>
      <c r="G1006" s="23">
        <v>0</v>
      </c>
      <c r="I1006" s="217" t="s">
        <v>2069</v>
      </c>
    </row>
    <row r="1007" spans="1:9">
      <c r="A1007" s="23">
        <v>1007</v>
      </c>
      <c r="B1007" s="84">
        <v>45851</v>
      </c>
      <c r="C1007" s="23" t="s">
        <v>788</v>
      </c>
      <c r="D1007" s="23" t="s">
        <v>200</v>
      </c>
      <c r="G1007" s="23" t="s">
        <v>9</v>
      </c>
      <c r="H1007" s="23" t="s">
        <v>807</v>
      </c>
      <c r="I1007" s="217" t="s">
        <v>2070</v>
      </c>
    </row>
    <row r="1008" spans="1:9">
      <c r="A1008" s="23">
        <v>1008</v>
      </c>
      <c r="B1008" s="84">
        <v>45851</v>
      </c>
      <c r="C1008" s="23" t="s">
        <v>788</v>
      </c>
      <c r="D1008" s="23" t="s">
        <v>197</v>
      </c>
      <c r="G1008" s="23">
        <v>0</v>
      </c>
      <c r="I1008" s="217" t="s">
        <v>2071</v>
      </c>
    </row>
    <row r="1009" spans="1:9">
      <c r="A1009" s="23">
        <v>1009</v>
      </c>
      <c r="B1009" s="84">
        <v>45851</v>
      </c>
      <c r="C1009" s="23" t="s">
        <v>788</v>
      </c>
      <c r="D1009" s="23" t="s">
        <v>197</v>
      </c>
      <c r="G1009" s="23">
        <v>6.3</v>
      </c>
      <c r="I1009" s="217" t="s">
        <v>1236</v>
      </c>
    </row>
    <row r="1010" spans="1:9">
      <c r="A1010" s="23">
        <v>1010</v>
      </c>
      <c r="B1010" s="84">
        <v>45852</v>
      </c>
      <c r="C1010" s="23" t="s">
        <v>793</v>
      </c>
      <c r="D1010" s="23" t="s">
        <v>209</v>
      </c>
      <c r="G1010" s="23">
        <v>0</v>
      </c>
      <c r="I1010" s="217" t="s">
        <v>2072</v>
      </c>
    </row>
    <row r="1011" spans="1:9">
      <c r="A1011" s="23">
        <v>1011</v>
      </c>
      <c r="B1011" s="84">
        <v>45852</v>
      </c>
      <c r="C1011" s="23" t="s">
        <v>790</v>
      </c>
      <c r="D1011" s="23" t="s">
        <v>206</v>
      </c>
      <c r="G1011" s="23">
        <v>0</v>
      </c>
      <c r="I1011" s="217" t="s">
        <v>2073</v>
      </c>
    </row>
    <row r="1012" spans="1:9">
      <c r="A1012" s="23">
        <v>1012</v>
      </c>
      <c r="B1012" s="84">
        <v>45852</v>
      </c>
      <c r="C1012" s="23" t="s">
        <v>636</v>
      </c>
      <c r="D1012" s="23" t="s">
        <v>227</v>
      </c>
      <c r="G1012" s="23">
        <v>0.8</v>
      </c>
      <c r="I1012" s="217" t="s">
        <v>2074</v>
      </c>
    </row>
    <row r="1013" spans="1:9">
      <c r="A1013" s="23">
        <v>1013</v>
      </c>
      <c r="B1013" s="84">
        <v>45852</v>
      </c>
      <c r="C1013" s="23" t="s">
        <v>809</v>
      </c>
      <c r="D1013" s="23" t="s">
        <v>230</v>
      </c>
      <c r="G1013" s="23">
        <v>0.8</v>
      </c>
      <c r="I1013" s="217" t="s">
        <v>2075</v>
      </c>
    </row>
    <row r="1014" spans="1:9">
      <c r="A1014" s="23">
        <v>1014</v>
      </c>
      <c r="B1014" s="84">
        <v>45852</v>
      </c>
      <c r="C1014" s="23" t="s">
        <v>811</v>
      </c>
      <c r="D1014" s="23" t="s">
        <v>233</v>
      </c>
      <c r="G1014" s="23">
        <v>1.5</v>
      </c>
      <c r="I1014" s="217" t="s">
        <v>2076</v>
      </c>
    </row>
    <row r="1015" spans="1:9">
      <c r="A1015" s="23">
        <v>1015</v>
      </c>
      <c r="B1015" s="84">
        <v>45852</v>
      </c>
      <c r="C1015" s="23" t="s">
        <v>698</v>
      </c>
      <c r="D1015" s="23" t="s">
        <v>227</v>
      </c>
      <c r="G1015" s="23">
        <v>0</v>
      </c>
      <c r="I1015" s="217" t="s">
        <v>2077</v>
      </c>
    </row>
    <row r="1016" spans="1:9">
      <c r="A1016" s="23">
        <v>1016</v>
      </c>
      <c r="B1016" s="84">
        <v>45852</v>
      </c>
      <c r="C1016" s="23" t="s">
        <v>810</v>
      </c>
      <c r="D1016" s="23" t="s">
        <v>230</v>
      </c>
      <c r="G1016" s="23">
        <v>0</v>
      </c>
      <c r="I1016" s="217" t="s">
        <v>2075</v>
      </c>
    </row>
    <row r="1017" spans="1:9">
      <c r="A1017" s="23">
        <v>1017</v>
      </c>
      <c r="B1017" s="84">
        <v>45852</v>
      </c>
      <c r="C1017" s="23" t="s">
        <v>223</v>
      </c>
      <c r="D1017" s="23" t="s">
        <v>222</v>
      </c>
      <c r="G1017" s="23">
        <v>0.51</v>
      </c>
      <c r="I1017" s="217" t="s">
        <v>2078</v>
      </c>
    </row>
    <row r="1018" spans="1:9">
      <c r="A1018" s="23">
        <v>1018</v>
      </c>
      <c r="B1018" s="84">
        <v>45852</v>
      </c>
      <c r="C1018" s="23" t="s">
        <v>218</v>
      </c>
      <c r="D1018" s="23" t="s">
        <v>216</v>
      </c>
      <c r="G1018" s="23">
        <v>0</v>
      </c>
      <c r="I1018" s="217" t="s">
        <v>2079</v>
      </c>
    </row>
    <row r="1019" spans="1:9">
      <c r="A1019" s="23">
        <v>1019</v>
      </c>
      <c r="B1019" s="84">
        <v>45852</v>
      </c>
      <c r="C1019" s="23" t="s">
        <v>716</v>
      </c>
      <c r="D1019" s="23" t="s">
        <v>251</v>
      </c>
      <c r="G1019" s="23">
        <v>1.5</v>
      </c>
      <c r="I1019" s="217" t="s">
        <v>2080</v>
      </c>
    </row>
    <row r="1020" spans="1:9">
      <c r="A1020" s="23">
        <v>1020</v>
      </c>
      <c r="B1020" s="84">
        <v>45852</v>
      </c>
      <c r="C1020" s="23" t="s">
        <v>211</v>
      </c>
      <c r="D1020" s="23" t="s">
        <v>251</v>
      </c>
      <c r="G1020" s="23">
        <v>0</v>
      </c>
      <c r="I1020" s="217" t="s">
        <v>2080</v>
      </c>
    </row>
    <row r="1021" spans="1:9">
      <c r="A1021" s="23">
        <v>1021</v>
      </c>
      <c r="B1021" s="84">
        <v>45852</v>
      </c>
      <c r="C1021" s="23" t="s">
        <v>813</v>
      </c>
      <c r="D1021" s="23" t="s">
        <v>246</v>
      </c>
      <c r="G1021" s="23">
        <v>0.8</v>
      </c>
      <c r="I1021" s="217" t="s">
        <v>2081</v>
      </c>
    </row>
    <row r="1022" spans="1:9">
      <c r="A1022" s="23">
        <v>1022</v>
      </c>
      <c r="B1022" s="84">
        <v>45852</v>
      </c>
      <c r="C1022" s="23" t="s">
        <v>645</v>
      </c>
      <c r="D1022" s="23" t="s">
        <v>240</v>
      </c>
      <c r="G1022" s="23">
        <v>0.8</v>
      </c>
      <c r="I1022" s="217" t="s">
        <v>2082</v>
      </c>
    </row>
    <row r="1023" spans="1:9">
      <c r="A1023" s="23">
        <v>1023</v>
      </c>
      <c r="B1023" s="84">
        <v>45852</v>
      </c>
      <c r="C1023" s="23" t="s">
        <v>510</v>
      </c>
      <c r="D1023" s="23" t="s">
        <v>200</v>
      </c>
      <c r="G1023" s="23">
        <v>0.5</v>
      </c>
      <c r="I1023" s="217" t="s">
        <v>2083</v>
      </c>
    </row>
    <row r="1024" spans="1:9">
      <c r="A1024" s="23">
        <v>1024</v>
      </c>
      <c r="B1024" s="84">
        <v>45852</v>
      </c>
      <c r="C1024" s="23" t="s">
        <v>236</v>
      </c>
      <c r="D1024" s="23" t="s">
        <v>235</v>
      </c>
      <c r="G1024" s="23">
        <v>0.79</v>
      </c>
      <c r="I1024" s="217" t="s">
        <v>2084</v>
      </c>
    </row>
    <row r="1025" spans="1:9">
      <c r="A1025" s="23">
        <v>1025</v>
      </c>
      <c r="B1025" s="84">
        <v>45852</v>
      </c>
      <c r="C1025" s="23" t="s">
        <v>215</v>
      </c>
      <c r="D1025" s="23" t="s">
        <v>213</v>
      </c>
      <c r="G1025" s="23">
        <v>0</v>
      </c>
      <c r="I1025" s="217" t="s">
        <v>2085</v>
      </c>
    </row>
    <row r="1026" spans="1:9">
      <c r="A1026" s="23">
        <v>1026</v>
      </c>
      <c r="B1026" s="84">
        <v>45852</v>
      </c>
      <c r="C1026" s="23" t="s">
        <v>236</v>
      </c>
      <c r="D1026" s="23" t="s">
        <v>216</v>
      </c>
      <c r="G1026" s="23">
        <v>0.55500000000000005</v>
      </c>
      <c r="I1026" s="217" t="s">
        <v>2086</v>
      </c>
    </row>
    <row r="1027" spans="1:9">
      <c r="A1027" s="23">
        <v>1027</v>
      </c>
      <c r="B1027" s="84">
        <v>45852</v>
      </c>
      <c r="C1027" s="23" t="s">
        <v>215</v>
      </c>
      <c r="D1027" s="23" t="s">
        <v>219</v>
      </c>
      <c r="G1027" s="23">
        <v>0</v>
      </c>
      <c r="I1027" s="217" t="s">
        <v>2087</v>
      </c>
    </row>
    <row r="1028" spans="1:9">
      <c r="A1028" s="23">
        <v>1028</v>
      </c>
      <c r="B1028" s="84">
        <v>45852</v>
      </c>
      <c r="C1028" s="23" t="s">
        <v>815</v>
      </c>
      <c r="D1028" s="23" t="s">
        <v>240</v>
      </c>
      <c r="G1028" s="23">
        <v>0</v>
      </c>
      <c r="I1028" s="217" t="s">
        <v>2088</v>
      </c>
    </row>
    <row r="1029" spans="1:9">
      <c r="A1029" s="23">
        <v>1029</v>
      </c>
      <c r="B1029" s="84">
        <v>45852</v>
      </c>
      <c r="C1029" s="23" t="s">
        <v>814</v>
      </c>
      <c r="D1029" s="23" t="s">
        <v>246</v>
      </c>
      <c r="G1029" s="23">
        <v>0</v>
      </c>
      <c r="I1029" s="217" t="s">
        <v>2089</v>
      </c>
    </row>
    <row r="1030" spans="1:9">
      <c r="A1030" s="23">
        <v>1030</v>
      </c>
      <c r="B1030" s="84">
        <v>45852</v>
      </c>
      <c r="C1030" s="23" t="s">
        <v>816</v>
      </c>
      <c r="D1030" s="23" t="s">
        <v>200</v>
      </c>
      <c r="G1030" s="23" t="s">
        <v>9</v>
      </c>
      <c r="I1030" s="217" t="s">
        <v>2090</v>
      </c>
    </row>
    <row r="1031" spans="1:9">
      <c r="A1031" s="23">
        <v>1031</v>
      </c>
      <c r="B1031" s="84">
        <v>45852</v>
      </c>
      <c r="C1031" s="23" t="s">
        <v>818</v>
      </c>
      <c r="D1031" s="23" t="s">
        <v>227</v>
      </c>
      <c r="G1031" s="23">
        <v>0.8</v>
      </c>
      <c r="I1031" s="217" t="s">
        <v>2091</v>
      </c>
    </row>
    <row r="1032" spans="1:9">
      <c r="A1032" s="23">
        <v>1032</v>
      </c>
      <c r="B1032" s="84">
        <v>45852</v>
      </c>
      <c r="C1032" s="23" t="s">
        <v>819</v>
      </c>
      <c r="D1032" s="23" t="s">
        <v>230</v>
      </c>
      <c r="G1032" s="23">
        <v>0.8</v>
      </c>
      <c r="I1032" s="217" t="s">
        <v>2092</v>
      </c>
    </row>
    <row r="1033" spans="1:9">
      <c r="A1033" s="23">
        <v>1033</v>
      </c>
      <c r="B1033" s="84">
        <v>45852</v>
      </c>
      <c r="C1033" s="23" t="s">
        <v>601</v>
      </c>
      <c r="D1033" s="23" t="s">
        <v>240</v>
      </c>
      <c r="G1033" s="23">
        <v>0.8</v>
      </c>
      <c r="I1033" s="217" t="s">
        <v>2093</v>
      </c>
    </row>
    <row r="1034" spans="1:9">
      <c r="A1034" s="23">
        <v>1034</v>
      </c>
      <c r="B1034" s="84">
        <v>45852</v>
      </c>
      <c r="C1034" s="23" t="s">
        <v>820</v>
      </c>
      <c r="D1034" s="23" t="s">
        <v>246</v>
      </c>
      <c r="G1034" s="23">
        <v>0.8</v>
      </c>
      <c r="I1034" s="217" t="s">
        <v>2094</v>
      </c>
    </row>
    <row r="1035" spans="1:9">
      <c r="A1035" s="23">
        <v>1035</v>
      </c>
      <c r="B1035" s="84">
        <v>45852</v>
      </c>
      <c r="C1035" s="23" t="s">
        <v>295</v>
      </c>
      <c r="D1035" s="23" t="s">
        <v>297</v>
      </c>
      <c r="G1035" s="23">
        <v>0.7</v>
      </c>
      <c r="I1035" s="217" t="s">
        <v>2095</v>
      </c>
    </row>
    <row r="1036" spans="1:9">
      <c r="A1036" s="23">
        <v>1036</v>
      </c>
      <c r="B1036" s="84">
        <v>45852</v>
      </c>
      <c r="C1036" s="23" t="s">
        <v>822</v>
      </c>
      <c r="D1036" s="23" t="s">
        <v>251</v>
      </c>
      <c r="G1036" s="23">
        <v>0.5</v>
      </c>
      <c r="I1036" s="217" t="s">
        <v>2096</v>
      </c>
    </row>
    <row r="1037" spans="1:9">
      <c r="A1037" s="23">
        <v>1037</v>
      </c>
      <c r="B1037" s="84">
        <v>45852</v>
      </c>
      <c r="C1037" s="23" t="s">
        <v>418</v>
      </c>
      <c r="D1037" s="23" t="s">
        <v>209</v>
      </c>
      <c r="G1037" s="23" t="s">
        <v>9</v>
      </c>
      <c r="I1037" s="217" t="s">
        <v>2097</v>
      </c>
    </row>
    <row r="1038" spans="1:9">
      <c r="A1038" s="23">
        <v>1038</v>
      </c>
      <c r="B1038" s="84">
        <v>45852</v>
      </c>
      <c r="C1038" s="23" t="s">
        <v>605</v>
      </c>
      <c r="D1038" s="23" t="s">
        <v>254</v>
      </c>
      <c r="G1038" s="23">
        <v>0.5</v>
      </c>
      <c r="I1038" s="217" t="s">
        <v>2098</v>
      </c>
    </row>
    <row r="1039" spans="1:9">
      <c r="A1039" s="23">
        <v>1039</v>
      </c>
      <c r="B1039" s="84">
        <v>45852</v>
      </c>
      <c r="C1039" s="23" t="s">
        <v>457</v>
      </c>
      <c r="D1039" s="23" t="s">
        <v>312</v>
      </c>
      <c r="G1039" s="23">
        <v>1</v>
      </c>
      <c r="I1039" s="217" t="s">
        <v>2099</v>
      </c>
    </row>
    <row r="1040" spans="1:9">
      <c r="A1040" s="23">
        <v>1040</v>
      </c>
      <c r="B1040" s="84">
        <v>45852</v>
      </c>
      <c r="C1040" s="23" t="s">
        <v>366</v>
      </c>
      <c r="D1040" s="23" t="s">
        <v>297</v>
      </c>
      <c r="G1040" s="23">
        <v>0</v>
      </c>
      <c r="I1040" s="217" t="s">
        <v>2095</v>
      </c>
    </row>
    <row r="1041" spans="1:9">
      <c r="A1041" s="23">
        <v>1041</v>
      </c>
      <c r="B1041" s="84">
        <v>45852</v>
      </c>
      <c r="C1041" s="23" t="s">
        <v>221</v>
      </c>
      <c r="D1041" s="23" t="s">
        <v>200</v>
      </c>
      <c r="G1041" s="23">
        <v>1.5</v>
      </c>
      <c r="I1041" s="217" t="s">
        <v>2100</v>
      </c>
    </row>
    <row r="1042" spans="1:9">
      <c r="A1042" s="23">
        <v>1042</v>
      </c>
      <c r="B1042" s="84">
        <v>45852</v>
      </c>
      <c r="C1042" s="23" t="s">
        <v>608</v>
      </c>
      <c r="D1042" s="23" t="s">
        <v>243</v>
      </c>
      <c r="G1042" s="23">
        <v>0</v>
      </c>
      <c r="I1042" s="217" t="s">
        <v>2101</v>
      </c>
    </row>
    <row r="1043" spans="1:9">
      <c r="A1043" s="23">
        <v>1043</v>
      </c>
      <c r="B1043" s="84">
        <v>45852</v>
      </c>
      <c r="C1043" s="23" t="s">
        <v>751</v>
      </c>
      <c r="D1043" s="23" t="s">
        <v>243</v>
      </c>
      <c r="G1043" s="23">
        <v>0.8</v>
      </c>
      <c r="I1043" s="217" t="s">
        <v>1236</v>
      </c>
    </row>
    <row r="1044" spans="1:9">
      <c r="A1044" s="23">
        <v>1044</v>
      </c>
      <c r="B1044" s="84">
        <v>45852</v>
      </c>
      <c r="C1044" s="23" t="s">
        <v>825</v>
      </c>
      <c r="D1044" s="23" t="s">
        <v>297</v>
      </c>
      <c r="G1044" s="23">
        <v>0.7</v>
      </c>
      <c r="I1044" s="217" t="s">
        <v>2102</v>
      </c>
    </row>
    <row r="1045" spans="1:9">
      <c r="A1045" s="23">
        <v>1045</v>
      </c>
      <c r="B1045" s="84">
        <v>45852</v>
      </c>
      <c r="C1045" s="23" t="s">
        <v>825</v>
      </c>
      <c r="D1045" s="23" t="s">
        <v>200</v>
      </c>
      <c r="G1045" s="23">
        <v>0</v>
      </c>
      <c r="I1045" s="217" t="s">
        <v>2100</v>
      </c>
    </row>
    <row r="1046" spans="1:9">
      <c r="A1046" s="23">
        <v>1046</v>
      </c>
      <c r="B1046" s="84">
        <v>45852</v>
      </c>
      <c r="C1046" s="23" t="s">
        <v>825</v>
      </c>
      <c r="D1046" s="23" t="s">
        <v>200</v>
      </c>
      <c r="G1046" s="23" t="s">
        <v>9</v>
      </c>
      <c r="I1046" s="217" t="s">
        <v>2100</v>
      </c>
    </row>
    <row r="1047" spans="1:9">
      <c r="A1047" s="23">
        <v>1047</v>
      </c>
      <c r="B1047" s="84">
        <v>45852</v>
      </c>
      <c r="C1047" s="23" t="s">
        <v>829</v>
      </c>
      <c r="D1047" s="23" t="s">
        <v>828</v>
      </c>
      <c r="G1047" s="23">
        <v>0.8</v>
      </c>
      <c r="I1047" s="217" t="s">
        <v>2103</v>
      </c>
    </row>
    <row r="1048" spans="1:9">
      <c r="A1048" s="23">
        <v>1048</v>
      </c>
      <c r="B1048" s="84">
        <v>45852</v>
      </c>
      <c r="C1048" s="23" t="s">
        <v>829</v>
      </c>
      <c r="D1048" s="23" t="s">
        <v>206</v>
      </c>
      <c r="G1048" s="23">
        <v>1.8</v>
      </c>
      <c r="I1048" s="217" t="s">
        <v>2104</v>
      </c>
    </row>
    <row r="1049" spans="1:9">
      <c r="A1049" s="23">
        <v>1049</v>
      </c>
      <c r="B1049" s="84">
        <v>45852</v>
      </c>
      <c r="C1049" s="23" t="s">
        <v>827</v>
      </c>
      <c r="D1049" s="23" t="s">
        <v>200</v>
      </c>
      <c r="G1049" s="23">
        <v>1.2</v>
      </c>
      <c r="I1049" s="217" t="s">
        <v>2105</v>
      </c>
    </row>
    <row r="1050" spans="1:9">
      <c r="A1050" s="23">
        <v>1050</v>
      </c>
      <c r="B1050" s="84">
        <v>45852</v>
      </c>
      <c r="C1050" s="23" t="s">
        <v>607</v>
      </c>
      <c r="D1050" s="23" t="s">
        <v>219</v>
      </c>
      <c r="G1050" s="23">
        <v>0.75</v>
      </c>
      <c r="I1050" s="217" t="s">
        <v>2106</v>
      </c>
    </row>
    <row r="1051" spans="1:9">
      <c r="A1051" s="23">
        <v>1051</v>
      </c>
      <c r="B1051" s="84">
        <v>45852</v>
      </c>
      <c r="C1051" s="23" t="s">
        <v>607</v>
      </c>
      <c r="D1051" s="23" t="s">
        <v>200</v>
      </c>
      <c r="G1051" s="23" t="s">
        <v>9</v>
      </c>
      <c r="I1051" s="217" t="s">
        <v>2107</v>
      </c>
    </row>
    <row r="1052" spans="1:9">
      <c r="A1052" s="23">
        <v>1052</v>
      </c>
      <c r="B1052" s="84">
        <v>45852</v>
      </c>
      <c r="C1052" s="23" t="s">
        <v>269</v>
      </c>
      <c r="D1052" s="23" t="s">
        <v>222</v>
      </c>
      <c r="G1052" s="23">
        <v>0</v>
      </c>
      <c r="I1052" s="217" t="s">
        <v>2108</v>
      </c>
    </row>
    <row r="1053" spans="1:9">
      <c r="A1053" s="23">
        <v>1053</v>
      </c>
      <c r="B1053" s="84">
        <v>45852</v>
      </c>
      <c r="C1053" s="23" t="s">
        <v>830</v>
      </c>
      <c r="D1053" s="23" t="s">
        <v>828</v>
      </c>
      <c r="G1053" s="23" t="s">
        <v>9</v>
      </c>
      <c r="H1053" s="23" t="s">
        <v>834</v>
      </c>
      <c r="I1053" s="217" t="s">
        <v>2109</v>
      </c>
    </row>
    <row r="1054" spans="1:9">
      <c r="A1054" s="23">
        <v>1054</v>
      </c>
      <c r="B1054" s="84">
        <v>45852</v>
      </c>
      <c r="C1054" s="23" t="s">
        <v>832</v>
      </c>
      <c r="D1054" s="23" t="s">
        <v>200</v>
      </c>
      <c r="G1054" s="23">
        <v>0</v>
      </c>
      <c r="I1054" s="217" t="s">
        <v>2110</v>
      </c>
    </row>
    <row r="1055" spans="1:9">
      <c r="A1055" s="23">
        <v>1055</v>
      </c>
      <c r="B1055" s="84">
        <v>45852</v>
      </c>
      <c r="C1055" s="23" t="s">
        <v>832</v>
      </c>
      <c r="D1055" s="23" t="s">
        <v>200</v>
      </c>
      <c r="G1055" s="23">
        <v>1.5</v>
      </c>
      <c r="H1055" s="23" t="s">
        <v>335</v>
      </c>
      <c r="I1055" s="217" t="s">
        <v>1236</v>
      </c>
    </row>
    <row r="1056" spans="1:9">
      <c r="A1056" s="23">
        <v>1056</v>
      </c>
      <c r="B1056" s="84">
        <v>45852</v>
      </c>
      <c r="C1056" s="23" t="s">
        <v>220</v>
      </c>
      <c r="D1056" s="23" t="s">
        <v>213</v>
      </c>
      <c r="G1056" s="23">
        <v>0.85</v>
      </c>
      <c r="I1056" s="217" t="s">
        <v>2111</v>
      </c>
    </row>
    <row r="1057" spans="1:9">
      <c r="A1057" s="23">
        <v>1057</v>
      </c>
      <c r="B1057" s="84">
        <v>45852</v>
      </c>
      <c r="C1057" s="23" t="s">
        <v>277</v>
      </c>
      <c r="D1057" s="23" t="s">
        <v>235</v>
      </c>
      <c r="G1057" s="23">
        <v>0</v>
      </c>
      <c r="I1057" s="217" t="s">
        <v>2112</v>
      </c>
    </row>
    <row r="1058" spans="1:9">
      <c r="A1058" s="23">
        <v>1058</v>
      </c>
      <c r="B1058" s="84">
        <v>45852</v>
      </c>
      <c r="C1058" s="23" t="s">
        <v>520</v>
      </c>
      <c r="D1058" s="23" t="s">
        <v>200</v>
      </c>
      <c r="G1058" s="23" t="s">
        <v>9</v>
      </c>
      <c r="H1058" s="23" t="s">
        <v>835</v>
      </c>
      <c r="I1058" s="217" t="s">
        <v>1236</v>
      </c>
    </row>
    <row r="1059" spans="1:9">
      <c r="A1059" s="23">
        <v>1059</v>
      </c>
      <c r="B1059" s="84">
        <v>45852</v>
      </c>
      <c r="C1059" s="23" t="s">
        <v>836</v>
      </c>
      <c r="D1059" s="23" t="s">
        <v>222</v>
      </c>
      <c r="G1059" s="23">
        <v>0.5</v>
      </c>
      <c r="I1059" s="217" t="s">
        <v>2113</v>
      </c>
    </row>
    <row r="1060" spans="1:9">
      <c r="A1060" s="23">
        <v>1060</v>
      </c>
      <c r="B1060" s="84">
        <v>45852</v>
      </c>
      <c r="C1060" s="23" t="s">
        <v>812</v>
      </c>
      <c r="D1060" s="23" t="s">
        <v>233</v>
      </c>
      <c r="G1060" s="23">
        <v>0</v>
      </c>
      <c r="I1060" s="217" t="s">
        <v>2114</v>
      </c>
    </row>
    <row r="1061" spans="1:9">
      <c r="A1061" s="23">
        <v>1061</v>
      </c>
      <c r="B1061" s="84">
        <v>45852</v>
      </c>
      <c r="C1061" s="23" t="s">
        <v>485</v>
      </c>
      <c r="D1061" s="23" t="s">
        <v>297</v>
      </c>
      <c r="G1061" s="23">
        <v>0</v>
      </c>
      <c r="I1061" s="217" t="s">
        <v>2115</v>
      </c>
    </row>
    <row r="1062" spans="1:9">
      <c r="A1062" s="23">
        <v>1062</v>
      </c>
      <c r="B1062" s="84">
        <v>45852</v>
      </c>
      <c r="C1062" s="23" t="s">
        <v>837</v>
      </c>
      <c r="D1062" s="23" t="s">
        <v>222</v>
      </c>
      <c r="G1062" s="23">
        <v>0</v>
      </c>
      <c r="I1062" s="217" t="s">
        <v>2116</v>
      </c>
    </row>
    <row r="1063" spans="1:9">
      <c r="A1063" s="23">
        <v>1063</v>
      </c>
      <c r="B1063" s="84">
        <v>45852</v>
      </c>
      <c r="C1063" s="23" t="s">
        <v>768</v>
      </c>
      <c r="D1063" s="23" t="s">
        <v>227</v>
      </c>
      <c r="G1063" s="23">
        <v>0</v>
      </c>
      <c r="I1063" s="217" t="s">
        <v>2117</v>
      </c>
    </row>
    <row r="1064" spans="1:9">
      <c r="A1064" s="23">
        <v>1064</v>
      </c>
      <c r="B1064" s="84">
        <v>45852</v>
      </c>
      <c r="C1064" s="23" t="s">
        <v>838</v>
      </c>
      <c r="D1064" s="23" t="s">
        <v>227</v>
      </c>
      <c r="G1064" s="23">
        <v>0.8</v>
      </c>
      <c r="I1064" s="217" t="s">
        <v>1236</v>
      </c>
    </row>
    <row r="1065" spans="1:9">
      <c r="A1065" s="23">
        <v>1065</v>
      </c>
      <c r="B1065" s="84">
        <v>45852</v>
      </c>
      <c r="C1065" s="23" t="s">
        <v>838</v>
      </c>
      <c r="D1065" s="23" t="s">
        <v>297</v>
      </c>
      <c r="G1065" s="23">
        <v>0.8</v>
      </c>
      <c r="I1065" s="217" t="s">
        <v>2118</v>
      </c>
    </row>
    <row r="1066" spans="1:9">
      <c r="A1066" s="23">
        <v>1066</v>
      </c>
      <c r="B1066" s="84">
        <v>45852</v>
      </c>
      <c r="C1066" s="23" t="s">
        <v>646</v>
      </c>
      <c r="D1066" s="23" t="s">
        <v>203</v>
      </c>
      <c r="G1066" s="23" t="s">
        <v>9</v>
      </c>
      <c r="I1066" s="217" t="s">
        <v>2119</v>
      </c>
    </row>
    <row r="1067" spans="1:9">
      <c r="A1067" s="23">
        <v>1067</v>
      </c>
      <c r="B1067" s="84">
        <v>45852</v>
      </c>
      <c r="C1067" s="23" t="s">
        <v>840</v>
      </c>
      <c r="D1067" s="23" t="s">
        <v>203</v>
      </c>
      <c r="G1067" s="23">
        <v>6.7</v>
      </c>
      <c r="I1067" s="217" t="s">
        <v>2120</v>
      </c>
    </row>
    <row r="1068" spans="1:9">
      <c r="A1068" s="23">
        <v>1068</v>
      </c>
      <c r="B1068" s="84">
        <v>45852</v>
      </c>
      <c r="C1068" s="23" t="s">
        <v>839</v>
      </c>
      <c r="D1068" s="23" t="s">
        <v>297</v>
      </c>
      <c r="G1068" s="23">
        <v>0</v>
      </c>
      <c r="I1068" s="217" t="s">
        <v>2121</v>
      </c>
    </row>
    <row r="1069" spans="1:9">
      <c r="A1069" s="23">
        <v>1069</v>
      </c>
      <c r="B1069" s="84">
        <v>45852</v>
      </c>
      <c r="C1069" s="23" t="s">
        <v>456</v>
      </c>
      <c r="D1069" s="23" t="s">
        <v>227</v>
      </c>
      <c r="G1069" s="23">
        <v>0</v>
      </c>
      <c r="I1069" s="217" t="s">
        <v>2122</v>
      </c>
    </row>
    <row r="1070" spans="1:9">
      <c r="A1070" s="23">
        <v>1070</v>
      </c>
      <c r="B1070" s="84">
        <v>45852</v>
      </c>
      <c r="C1070" s="23" t="s">
        <v>596</v>
      </c>
      <c r="D1070" s="23" t="s">
        <v>230</v>
      </c>
      <c r="G1070" s="23">
        <v>0</v>
      </c>
      <c r="I1070" s="217" t="s">
        <v>2123</v>
      </c>
    </row>
    <row r="1071" spans="1:9">
      <c r="A1071" s="23">
        <v>1071</v>
      </c>
      <c r="B1071" s="84">
        <v>45852</v>
      </c>
      <c r="C1071" s="23" t="s">
        <v>826</v>
      </c>
      <c r="D1071" s="23" t="s">
        <v>243</v>
      </c>
      <c r="G1071" s="23">
        <v>0</v>
      </c>
      <c r="I1071" s="217" t="s">
        <v>2124</v>
      </c>
    </row>
    <row r="1072" spans="1:9">
      <c r="A1072" s="23">
        <v>1072</v>
      </c>
      <c r="B1072" s="84">
        <v>45852</v>
      </c>
      <c r="C1072" s="23" t="s">
        <v>630</v>
      </c>
      <c r="D1072" s="23" t="s">
        <v>240</v>
      </c>
      <c r="G1072" s="23">
        <v>0</v>
      </c>
      <c r="I1072" s="217" t="s">
        <v>2125</v>
      </c>
    </row>
    <row r="1073" spans="1:9">
      <c r="A1073" s="23">
        <v>1073</v>
      </c>
      <c r="B1073" s="84">
        <v>45852</v>
      </c>
      <c r="C1073" s="23" t="s">
        <v>821</v>
      </c>
      <c r="D1073" s="23" t="s">
        <v>246</v>
      </c>
      <c r="G1073" s="23">
        <v>0</v>
      </c>
      <c r="I1073" s="217" t="s">
        <v>2126</v>
      </c>
    </row>
    <row r="1074" spans="1:9">
      <c r="A1074" s="23">
        <v>1074</v>
      </c>
      <c r="B1074" s="84">
        <v>45852</v>
      </c>
      <c r="C1074" s="23" t="s">
        <v>529</v>
      </c>
      <c r="D1074" s="23" t="s">
        <v>227</v>
      </c>
      <c r="G1074" s="23">
        <v>0.8</v>
      </c>
      <c r="I1074" s="217" t="s">
        <v>1236</v>
      </c>
    </row>
    <row r="1075" spans="1:9">
      <c r="A1075" s="23">
        <v>1075</v>
      </c>
      <c r="B1075" s="84">
        <v>45852</v>
      </c>
      <c r="C1075" s="23" t="s">
        <v>529</v>
      </c>
      <c r="D1075" s="23" t="s">
        <v>312</v>
      </c>
      <c r="G1075" s="23">
        <v>0</v>
      </c>
      <c r="I1075" s="217" t="s">
        <v>2127</v>
      </c>
    </row>
    <row r="1076" spans="1:9">
      <c r="A1076" s="23">
        <v>1076</v>
      </c>
      <c r="B1076" s="84">
        <v>45852</v>
      </c>
      <c r="C1076" s="23" t="s">
        <v>706</v>
      </c>
      <c r="D1076" s="23" t="s">
        <v>227</v>
      </c>
      <c r="G1076" s="23">
        <v>0</v>
      </c>
      <c r="I1076" s="217" t="s">
        <v>2122</v>
      </c>
    </row>
    <row r="1077" spans="1:9">
      <c r="A1077" s="23">
        <v>1077</v>
      </c>
      <c r="B1077" s="84">
        <v>45852</v>
      </c>
      <c r="C1077" s="23" t="s">
        <v>823</v>
      </c>
      <c r="D1077" s="23" t="s">
        <v>251</v>
      </c>
      <c r="G1077" s="23">
        <v>0</v>
      </c>
      <c r="I1077" s="217" t="s">
        <v>2128</v>
      </c>
    </row>
    <row r="1078" spans="1:9">
      <c r="A1078" s="23">
        <v>1078</v>
      </c>
      <c r="B1078" s="84">
        <v>45853</v>
      </c>
      <c r="C1078" s="23" t="s">
        <v>271</v>
      </c>
      <c r="D1078" s="23" t="s">
        <v>254</v>
      </c>
      <c r="G1078" s="23">
        <v>0</v>
      </c>
      <c r="I1078" s="217" t="s">
        <v>2129</v>
      </c>
    </row>
    <row r="1079" spans="1:9">
      <c r="A1079" s="23">
        <v>1079</v>
      </c>
      <c r="B1079" s="84">
        <v>45853</v>
      </c>
      <c r="C1079" s="23" t="s">
        <v>831</v>
      </c>
      <c r="D1079" s="23" t="s">
        <v>206</v>
      </c>
      <c r="G1079" s="23">
        <v>0</v>
      </c>
      <c r="I1079" s="217" t="s">
        <v>2130</v>
      </c>
    </row>
    <row r="1080" spans="1:9">
      <c r="A1080" s="23">
        <v>1080</v>
      </c>
      <c r="B1080" s="84">
        <v>45853</v>
      </c>
      <c r="C1080" s="23" t="s">
        <v>403</v>
      </c>
      <c r="D1080" s="23" t="s">
        <v>222</v>
      </c>
      <c r="G1080" s="23">
        <v>0.49</v>
      </c>
      <c r="I1080" s="217" t="s">
        <v>2131</v>
      </c>
    </row>
    <row r="1081" spans="1:9">
      <c r="A1081" s="23">
        <v>1081</v>
      </c>
      <c r="B1081" s="84">
        <v>45853</v>
      </c>
      <c r="C1081" s="23" t="s">
        <v>388</v>
      </c>
      <c r="D1081" s="23" t="s">
        <v>216</v>
      </c>
      <c r="G1081" s="23">
        <v>0</v>
      </c>
      <c r="I1081" s="217" t="s">
        <v>2132</v>
      </c>
    </row>
    <row r="1082" spans="1:9">
      <c r="A1082" s="23">
        <v>1082</v>
      </c>
      <c r="B1082" s="84">
        <v>45853</v>
      </c>
      <c r="C1082" s="23" t="s">
        <v>842</v>
      </c>
      <c r="D1082" s="23" t="s">
        <v>230</v>
      </c>
      <c r="G1082" s="23">
        <v>0.8</v>
      </c>
      <c r="I1082" s="217" t="s">
        <v>2133</v>
      </c>
    </row>
    <row r="1083" spans="1:9">
      <c r="A1083" s="23">
        <v>1083</v>
      </c>
      <c r="B1083" s="84">
        <v>45853</v>
      </c>
      <c r="C1083" s="23" t="s">
        <v>843</v>
      </c>
      <c r="D1083" s="23" t="s">
        <v>230</v>
      </c>
      <c r="G1083" s="23">
        <v>0</v>
      </c>
      <c r="I1083" s="217" t="s">
        <v>2133</v>
      </c>
    </row>
    <row r="1084" spans="1:9">
      <c r="A1084" s="23">
        <v>1084</v>
      </c>
      <c r="B1084" s="84">
        <v>45853</v>
      </c>
      <c r="C1084" s="23" t="s">
        <v>843</v>
      </c>
      <c r="D1084" s="23" t="s">
        <v>233</v>
      </c>
      <c r="G1084" s="23">
        <v>1</v>
      </c>
      <c r="I1084" s="217" t="s">
        <v>2134</v>
      </c>
    </row>
    <row r="1085" spans="1:9">
      <c r="A1085" s="23">
        <v>1085</v>
      </c>
      <c r="B1085" s="84">
        <v>45853</v>
      </c>
      <c r="C1085" s="23" t="s">
        <v>678</v>
      </c>
      <c r="D1085" s="23" t="s">
        <v>243</v>
      </c>
      <c r="G1085" s="23">
        <v>0.8</v>
      </c>
      <c r="I1085" s="217" t="s">
        <v>2135</v>
      </c>
    </row>
    <row r="1086" spans="1:9">
      <c r="A1086" s="23">
        <v>1086</v>
      </c>
      <c r="B1086" s="84">
        <v>45853</v>
      </c>
      <c r="C1086" s="23" t="s">
        <v>471</v>
      </c>
      <c r="D1086" s="23" t="s">
        <v>240</v>
      </c>
      <c r="G1086" s="23">
        <v>0.8</v>
      </c>
      <c r="I1086" s="217" t="s">
        <v>2136</v>
      </c>
    </row>
    <row r="1087" spans="1:9">
      <c r="A1087" s="23">
        <v>1087</v>
      </c>
      <c r="B1087" s="84">
        <v>45853</v>
      </c>
      <c r="C1087" s="23" t="s">
        <v>597</v>
      </c>
      <c r="D1087" s="23" t="s">
        <v>246</v>
      </c>
      <c r="G1087" s="23">
        <v>0.8</v>
      </c>
      <c r="I1087" s="217" t="s">
        <v>2137</v>
      </c>
    </row>
    <row r="1088" spans="1:9">
      <c r="A1088" s="23">
        <v>1088</v>
      </c>
      <c r="B1088" s="84">
        <v>45853</v>
      </c>
      <c r="C1088" s="23" t="s">
        <v>645</v>
      </c>
      <c r="D1088" s="23" t="s">
        <v>251</v>
      </c>
      <c r="G1088" s="23">
        <v>1</v>
      </c>
      <c r="I1088" s="217" t="s">
        <v>2138</v>
      </c>
    </row>
    <row r="1089" spans="1:9">
      <c r="A1089" s="23">
        <v>1089</v>
      </c>
      <c r="B1089" s="84">
        <v>45853</v>
      </c>
      <c r="C1089" s="23" t="s">
        <v>215</v>
      </c>
      <c r="D1089" s="23" t="s">
        <v>240</v>
      </c>
      <c r="G1089" s="23">
        <v>0</v>
      </c>
      <c r="I1089" s="217" t="s">
        <v>2139</v>
      </c>
    </row>
    <row r="1090" spans="1:9">
      <c r="A1090" s="23">
        <v>1090</v>
      </c>
      <c r="B1090" s="84">
        <v>45853</v>
      </c>
      <c r="C1090" s="23" t="s">
        <v>845</v>
      </c>
      <c r="D1090" s="23" t="s">
        <v>243</v>
      </c>
      <c r="G1090" s="23">
        <v>0</v>
      </c>
      <c r="I1090" s="217" t="s">
        <v>2140</v>
      </c>
    </row>
    <row r="1091" spans="1:9">
      <c r="A1091" s="23">
        <v>1091</v>
      </c>
      <c r="B1091" s="84">
        <v>45853</v>
      </c>
      <c r="C1091" s="23" t="s">
        <v>236</v>
      </c>
      <c r="D1091" s="23" t="s">
        <v>235</v>
      </c>
      <c r="G1091" s="23">
        <v>0.71</v>
      </c>
      <c r="I1091" s="217" t="s">
        <v>2141</v>
      </c>
    </row>
    <row r="1092" spans="1:9">
      <c r="A1092" s="23">
        <v>1092</v>
      </c>
      <c r="B1092" s="84">
        <v>45853</v>
      </c>
      <c r="C1092" s="23" t="s">
        <v>215</v>
      </c>
      <c r="D1092" s="23" t="s">
        <v>213</v>
      </c>
      <c r="G1092" s="23">
        <v>0</v>
      </c>
      <c r="I1092" s="217" t="s">
        <v>2142</v>
      </c>
    </row>
    <row r="1093" spans="1:9">
      <c r="A1093" s="23">
        <v>1093</v>
      </c>
      <c r="B1093" s="84">
        <v>45853</v>
      </c>
      <c r="C1093" s="23" t="s">
        <v>640</v>
      </c>
      <c r="D1093" s="23" t="s">
        <v>246</v>
      </c>
      <c r="G1093" s="23">
        <v>0</v>
      </c>
      <c r="I1093" s="217" t="s">
        <v>2143</v>
      </c>
    </row>
    <row r="1094" spans="1:9">
      <c r="A1094" s="23">
        <v>1094</v>
      </c>
      <c r="B1094" s="84">
        <v>45853</v>
      </c>
      <c r="C1094" s="23" t="s">
        <v>847</v>
      </c>
      <c r="D1094" s="23" t="s">
        <v>227</v>
      </c>
      <c r="G1094" s="23">
        <v>0.75</v>
      </c>
      <c r="I1094" s="217" t="s">
        <v>2144</v>
      </c>
    </row>
    <row r="1095" spans="1:9">
      <c r="A1095" s="23">
        <v>1095</v>
      </c>
      <c r="B1095" s="84">
        <v>45853</v>
      </c>
      <c r="C1095" s="23" t="s">
        <v>819</v>
      </c>
      <c r="D1095" s="23" t="s">
        <v>230</v>
      </c>
      <c r="G1095" s="23">
        <v>0.75</v>
      </c>
      <c r="I1095" s="217" t="s">
        <v>2145</v>
      </c>
    </row>
    <row r="1096" spans="1:9">
      <c r="A1096" s="23">
        <v>1096</v>
      </c>
      <c r="B1096" s="84">
        <v>45853</v>
      </c>
      <c r="C1096" s="23" t="s">
        <v>820</v>
      </c>
      <c r="D1096" s="23" t="s">
        <v>240</v>
      </c>
      <c r="G1096" s="23">
        <v>0.75</v>
      </c>
      <c r="I1096" s="217" t="s">
        <v>2146</v>
      </c>
    </row>
    <row r="1097" spans="1:9">
      <c r="A1097" s="23">
        <v>1097</v>
      </c>
      <c r="B1097" s="84">
        <v>45853</v>
      </c>
      <c r="C1097" s="23" t="s">
        <v>293</v>
      </c>
      <c r="D1097" s="23" t="s">
        <v>254</v>
      </c>
      <c r="G1097" s="23">
        <v>0.5</v>
      </c>
      <c r="I1097" s="217" t="s">
        <v>2147</v>
      </c>
    </row>
    <row r="1098" spans="1:9">
      <c r="A1098" s="23">
        <v>1098</v>
      </c>
      <c r="B1098" s="84">
        <v>45853</v>
      </c>
      <c r="C1098" s="23" t="s">
        <v>415</v>
      </c>
      <c r="D1098" s="23" t="s">
        <v>243</v>
      </c>
      <c r="G1098" s="23">
        <v>0.75</v>
      </c>
      <c r="I1098" s="217" t="s">
        <v>2148</v>
      </c>
    </row>
    <row r="1099" spans="1:9">
      <c r="A1099" s="23">
        <v>1099</v>
      </c>
      <c r="B1099" s="84">
        <v>45853</v>
      </c>
      <c r="C1099" s="23" t="s">
        <v>848</v>
      </c>
      <c r="D1099" s="23" t="s">
        <v>246</v>
      </c>
      <c r="G1099" s="23">
        <v>0.75</v>
      </c>
      <c r="I1099" s="217" t="s">
        <v>2149</v>
      </c>
    </row>
    <row r="1100" spans="1:9">
      <c r="A1100" s="23">
        <v>1100</v>
      </c>
      <c r="B1100" s="84">
        <v>45853</v>
      </c>
      <c r="C1100" s="23" t="s">
        <v>364</v>
      </c>
      <c r="D1100" s="23" t="s">
        <v>297</v>
      </c>
      <c r="G1100" s="23">
        <v>0.8</v>
      </c>
      <c r="I1100" s="217" t="s">
        <v>2150</v>
      </c>
    </row>
    <row r="1101" spans="1:9">
      <c r="A1101" s="23">
        <v>1101</v>
      </c>
      <c r="B1101" s="84">
        <v>45853</v>
      </c>
      <c r="C1101" s="23" t="s">
        <v>833</v>
      </c>
      <c r="D1101" s="23" t="s">
        <v>828</v>
      </c>
      <c r="G1101" s="23">
        <v>0.8</v>
      </c>
      <c r="I1101" s="217" t="s">
        <v>2151</v>
      </c>
    </row>
    <row r="1102" spans="1:9">
      <c r="A1102" s="23">
        <v>1102</v>
      </c>
      <c r="B1102" s="84">
        <v>45853</v>
      </c>
      <c r="C1102" s="23" t="s">
        <v>457</v>
      </c>
      <c r="D1102" s="23" t="s">
        <v>312</v>
      </c>
      <c r="G1102" s="23" t="s">
        <v>9</v>
      </c>
      <c r="I1102" s="217" t="s">
        <v>2152</v>
      </c>
    </row>
    <row r="1103" spans="1:9">
      <c r="A1103" s="23">
        <v>1103</v>
      </c>
      <c r="B1103" s="84">
        <v>45853</v>
      </c>
      <c r="C1103" s="23" t="s">
        <v>851</v>
      </c>
      <c r="D1103" s="23" t="s">
        <v>206</v>
      </c>
      <c r="G1103" s="23">
        <v>1.5</v>
      </c>
      <c r="I1103" s="217" t="s">
        <v>2153</v>
      </c>
    </row>
    <row r="1104" spans="1:9">
      <c r="A1104" s="23">
        <v>1104</v>
      </c>
      <c r="B1104" s="84">
        <v>45853</v>
      </c>
      <c r="C1104" s="23" t="s">
        <v>221</v>
      </c>
      <c r="D1104" s="23" t="s">
        <v>200</v>
      </c>
      <c r="G1104" s="23">
        <v>2.2000000000000002</v>
      </c>
      <c r="H1104" s="23" t="s">
        <v>1943</v>
      </c>
      <c r="I1104" s="217" t="s">
        <v>2154</v>
      </c>
    </row>
    <row r="1105" spans="1:9">
      <c r="A1105" s="23">
        <v>1105</v>
      </c>
      <c r="B1105" s="84">
        <v>45853</v>
      </c>
      <c r="C1105" s="23" t="s">
        <v>652</v>
      </c>
      <c r="D1105" s="23" t="s">
        <v>235</v>
      </c>
      <c r="G1105" s="23">
        <v>0</v>
      </c>
      <c r="I1105" s="217" t="s">
        <v>2155</v>
      </c>
    </row>
    <row r="1106" spans="1:9">
      <c r="A1106" s="23">
        <v>1106</v>
      </c>
      <c r="B1106" s="84">
        <v>45853</v>
      </c>
      <c r="C1106" s="23" t="s">
        <v>303</v>
      </c>
      <c r="D1106" s="23" t="s">
        <v>235</v>
      </c>
      <c r="G1106" s="23">
        <v>0.79</v>
      </c>
      <c r="I1106" s="217" t="s">
        <v>1236</v>
      </c>
    </row>
    <row r="1107" spans="1:9">
      <c r="A1107" s="23">
        <v>1107</v>
      </c>
      <c r="B1107" s="84">
        <v>45853</v>
      </c>
      <c r="C1107" s="23" t="s">
        <v>303</v>
      </c>
      <c r="D1107" s="23" t="s">
        <v>213</v>
      </c>
      <c r="G1107" s="23">
        <v>0.79</v>
      </c>
      <c r="I1107" s="217" t="s">
        <v>2156</v>
      </c>
    </row>
    <row r="1108" spans="1:9">
      <c r="A1108" s="23">
        <v>1108</v>
      </c>
      <c r="B1108" s="84">
        <v>45853</v>
      </c>
      <c r="C1108" s="23" t="s">
        <v>853</v>
      </c>
      <c r="D1108" s="23" t="s">
        <v>213</v>
      </c>
      <c r="G1108" s="23">
        <v>0</v>
      </c>
      <c r="I1108" s="217" t="s">
        <v>2156</v>
      </c>
    </row>
    <row r="1109" spans="1:9">
      <c r="A1109" s="23">
        <v>1109</v>
      </c>
      <c r="B1109" s="84">
        <v>45853</v>
      </c>
      <c r="C1109" s="23" t="s">
        <v>850</v>
      </c>
      <c r="D1109" s="23" t="s">
        <v>312</v>
      </c>
      <c r="G1109" s="23">
        <v>1</v>
      </c>
      <c r="I1109" s="217" t="s">
        <v>2157</v>
      </c>
    </row>
    <row r="1110" spans="1:9">
      <c r="A1110" s="23">
        <v>1110</v>
      </c>
      <c r="B1110" s="84">
        <v>45853</v>
      </c>
      <c r="C1110" s="23" t="s">
        <v>852</v>
      </c>
      <c r="D1110" s="23" t="s">
        <v>200</v>
      </c>
      <c r="G1110" s="23">
        <v>0</v>
      </c>
      <c r="H1110" s="23" t="s">
        <v>1902</v>
      </c>
      <c r="I1110" s="217" t="s">
        <v>2158</v>
      </c>
    </row>
    <row r="1111" spans="1:9">
      <c r="A1111" s="23">
        <v>1111</v>
      </c>
      <c r="B1111" s="84">
        <v>45853</v>
      </c>
      <c r="C1111" s="23" t="s">
        <v>852</v>
      </c>
      <c r="D1111" s="23" t="s">
        <v>200</v>
      </c>
      <c r="G1111" s="23">
        <v>6.2</v>
      </c>
      <c r="I1111" s="217" t="s">
        <v>1236</v>
      </c>
    </row>
    <row r="1112" spans="1:9">
      <c r="A1112" s="23">
        <v>1112</v>
      </c>
      <c r="B1112" s="84">
        <v>45853</v>
      </c>
      <c r="C1112" s="23" t="s">
        <v>760</v>
      </c>
      <c r="D1112" s="23" t="s">
        <v>828</v>
      </c>
      <c r="G1112" s="23">
        <v>0</v>
      </c>
      <c r="I1112" s="217" t="s">
        <v>2159</v>
      </c>
    </row>
    <row r="1113" spans="1:9">
      <c r="A1113" s="23">
        <v>1113</v>
      </c>
      <c r="B1113" s="84">
        <v>45853</v>
      </c>
      <c r="C1113" s="23" t="s">
        <v>844</v>
      </c>
      <c r="D1113" s="23" t="s">
        <v>233</v>
      </c>
      <c r="G1113" s="23">
        <v>0</v>
      </c>
      <c r="I1113" s="217" t="s">
        <v>2160</v>
      </c>
    </row>
    <row r="1114" spans="1:9">
      <c r="A1114" s="23">
        <v>1114</v>
      </c>
      <c r="B1114" s="84">
        <v>45853</v>
      </c>
      <c r="C1114" s="23" t="s">
        <v>376</v>
      </c>
      <c r="D1114" s="23" t="s">
        <v>297</v>
      </c>
      <c r="G1114" s="23">
        <v>0</v>
      </c>
      <c r="I1114" s="217" t="s">
        <v>2161</v>
      </c>
    </row>
    <row r="1115" spans="1:9">
      <c r="A1115" s="23">
        <v>1115</v>
      </c>
      <c r="B1115" s="84">
        <v>45853</v>
      </c>
      <c r="C1115" s="23" t="s">
        <v>417</v>
      </c>
      <c r="D1115" s="23" t="s">
        <v>227</v>
      </c>
      <c r="G1115" s="23">
        <v>0</v>
      </c>
      <c r="I1115" s="217" t="s">
        <v>2162</v>
      </c>
    </row>
    <row r="1116" spans="1:9">
      <c r="A1116" s="23">
        <v>1116</v>
      </c>
      <c r="B1116" s="84">
        <v>45853</v>
      </c>
      <c r="C1116" s="23" t="s">
        <v>419</v>
      </c>
      <c r="D1116" s="23" t="s">
        <v>230</v>
      </c>
      <c r="G1116" s="23">
        <v>0</v>
      </c>
      <c r="I1116" s="217" t="s">
        <v>2163</v>
      </c>
    </row>
    <row r="1117" spans="1:9">
      <c r="A1117" s="23">
        <v>1117</v>
      </c>
      <c r="B1117" s="84">
        <v>45853</v>
      </c>
      <c r="C1117" s="23" t="s">
        <v>659</v>
      </c>
      <c r="D1117" s="23" t="s">
        <v>240</v>
      </c>
      <c r="G1117" s="23">
        <v>0</v>
      </c>
      <c r="I1117" s="217" t="s">
        <v>2164</v>
      </c>
    </row>
    <row r="1118" spans="1:9">
      <c r="A1118" s="23">
        <v>1118</v>
      </c>
      <c r="B1118" s="84">
        <v>45853</v>
      </c>
      <c r="C1118" s="23" t="s">
        <v>217</v>
      </c>
      <c r="D1118" s="23" t="s">
        <v>216</v>
      </c>
      <c r="G1118" s="23">
        <v>0.69</v>
      </c>
      <c r="I1118" s="217" t="s">
        <v>2165</v>
      </c>
    </row>
    <row r="1119" spans="1:9">
      <c r="A1119" s="23">
        <v>1119</v>
      </c>
      <c r="B1119" s="84">
        <v>45853</v>
      </c>
      <c r="C1119" s="23" t="s">
        <v>367</v>
      </c>
      <c r="D1119" s="23" t="s">
        <v>219</v>
      </c>
      <c r="G1119" s="23">
        <v>0</v>
      </c>
      <c r="I1119" s="217" t="s">
        <v>2166</v>
      </c>
    </row>
    <row r="1120" spans="1:9">
      <c r="A1120" s="23">
        <v>1120</v>
      </c>
      <c r="B1120" s="84">
        <v>45853</v>
      </c>
      <c r="C1120" s="23" t="s">
        <v>618</v>
      </c>
      <c r="D1120" s="23" t="s">
        <v>243</v>
      </c>
      <c r="G1120" s="23">
        <v>0</v>
      </c>
      <c r="I1120" s="217" t="s">
        <v>2167</v>
      </c>
    </row>
    <row r="1121" spans="1:9">
      <c r="A1121" s="23">
        <v>1121</v>
      </c>
      <c r="B1121" s="84">
        <v>45853</v>
      </c>
      <c r="C1121" s="23" t="s">
        <v>849</v>
      </c>
      <c r="D1121" s="23" t="s">
        <v>246</v>
      </c>
      <c r="G1121" s="23">
        <v>0</v>
      </c>
      <c r="I1121" s="217" t="s">
        <v>2168</v>
      </c>
    </row>
    <row r="1122" spans="1:9">
      <c r="A1122" s="23">
        <v>1122</v>
      </c>
      <c r="B1122" s="84">
        <v>45853</v>
      </c>
      <c r="C1122" s="23" t="s">
        <v>857</v>
      </c>
      <c r="D1122" s="23" t="s">
        <v>227</v>
      </c>
      <c r="G1122" s="23">
        <v>0.8</v>
      </c>
      <c r="I1122" s="217" t="s">
        <v>2169</v>
      </c>
    </row>
    <row r="1123" spans="1:9">
      <c r="A1123" s="23">
        <v>1123</v>
      </c>
      <c r="B1123" s="84">
        <v>45853</v>
      </c>
      <c r="C1123" s="23" t="s">
        <v>259</v>
      </c>
      <c r="D1123" s="23" t="s">
        <v>230</v>
      </c>
      <c r="G1123" s="23">
        <v>0.8</v>
      </c>
      <c r="I1123" s="217" t="s">
        <v>2170</v>
      </c>
    </row>
    <row r="1124" spans="1:9">
      <c r="A1124" s="23">
        <v>1124</v>
      </c>
      <c r="B1124" s="84">
        <v>45853</v>
      </c>
      <c r="C1124" s="23" t="s">
        <v>665</v>
      </c>
      <c r="D1124" s="23" t="s">
        <v>240</v>
      </c>
      <c r="G1124" s="23">
        <v>0.8</v>
      </c>
      <c r="I1124" s="217" t="s">
        <v>2171</v>
      </c>
    </row>
    <row r="1125" spans="1:9">
      <c r="A1125" s="23">
        <v>1125</v>
      </c>
      <c r="B1125" s="84">
        <v>45853</v>
      </c>
      <c r="C1125" s="23" t="s">
        <v>391</v>
      </c>
      <c r="D1125" s="23" t="s">
        <v>243</v>
      </c>
      <c r="G1125" s="23">
        <v>0.8</v>
      </c>
      <c r="I1125" s="217" t="s">
        <v>2172</v>
      </c>
    </row>
    <row r="1126" spans="1:9">
      <c r="A1126" s="23">
        <v>1126</v>
      </c>
      <c r="B1126" s="84">
        <v>45853</v>
      </c>
      <c r="C1126" s="23" t="s">
        <v>314</v>
      </c>
      <c r="D1126" s="23" t="s">
        <v>209</v>
      </c>
      <c r="G1126" s="23">
        <v>0</v>
      </c>
      <c r="I1126" s="217" t="s">
        <v>2173</v>
      </c>
    </row>
    <row r="1127" spans="1:9">
      <c r="A1127" s="23">
        <v>1127</v>
      </c>
      <c r="B1127" s="84">
        <v>45853</v>
      </c>
      <c r="C1127" s="23" t="s">
        <v>314</v>
      </c>
      <c r="D1127" s="23" t="s">
        <v>209</v>
      </c>
      <c r="G1127" s="23">
        <v>1</v>
      </c>
      <c r="H1127" s="23" t="s">
        <v>335</v>
      </c>
      <c r="I1127" s="217" t="s">
        <v>1236</v>
      </c>
    </row>
    <row r="1128" spans="1:9">
      <c r="A1128" s="23">
        <v>1128</v>
      </c>
      <c r="B1128" s="84">
        <v>45853</v>
      </c>
      <c r="C1128" s="23" t="s">
        <v>314</v>
      </c>
      <c r="D1128" s="23" t="s">
        <v>246</v>
      </c>
      <c r="G1128" s="23">
        <v>0.77500000000000002</v>
      </c>
      <c r="I1128" s="217" t="s">
        <v>2174</v>
      </c>
    </row>
    <row r="1129" spans="1:9">
      <c r="A1129" s="23">
        <v>1129</v>
      </c>
      <c r="B1129" s="84">
        <v>45853</v>
      </c>
      <c r="C1129" s="23" t="s">
        <v>862</v>
      </c>
      <c r="D1129" s="23" t="s">
        <v>233</v>
      </c>
      <c r="G1129" s="23">
        <v>1</v>
      </c>
      <c r="I1129" s="217" t="s">
        <v>2175</v>
      </c>
    </row>
    <row r="1130" spans="1:9">
      <c r="A1130" s="23">
        <v>1130</v>
      </c>
      <c r="B1130" s="84">
        <v>45853</v>
      </c>
      <c r="C1130" s="23" t="s">
        <v>855</v>
      </c>
      <c r="D1130" s="23" t="s">
        <v>200</v>
      </c>
      <c r="G1130" s="23">
        <v>0</v>
      </c>
      <c r="I1130" s="217" t="s">
        <v>2176</v>
      </c>
    </row>
    <row r="1131" spans="1:9">
      <c r="A1131" s="23">
        <v>1131</v>
      </c>
      <c r="B1131" s="84">
        <v>45853</v>
      </c>
      <c r="C1131" s="23" t="s">
        <v>855</v>
      </c>
      <c r="D1131" s="23" t="s">
        <v>200</v>
      </c>
      <c r="G1131" s="23" t="s">
        <v>9</v>
      </c>
      <c r="I1131" s="217" t="s">
        <v>1236</v>
      </c>
    </row>
    <row r="1132" spans="1:9">
      <c r="A1132" s="23">
        <v>1132</v>
      </c>
      <c r="B1132" s="84">
        <v>45853</v>
      </c>
      <c r="C1132" s="23" t="s">
        <v>855</v>
      </c>
      <c r="D1132" s="23" t="s">
        <v>297</v>
      </c>
      <c r="G1132" s="23">
        <v>0.77500000000000002</v>
      </c>
      <c r="I1132" s="217" t="s">
        <v>2177</v>
      </c>
    </row>
    <row r="1133" spans="1:9">
      <c r="A1133" s="23">
        <v>1133</v>
      </c>
      <c r="B1133" s="84">
        <v>45853</v>
      </c>
      <c r="C1133" s="23" t="s">
        <v>866</v>
      </c>
      <c r="D1133" s="23" t="s">
        <v>297</v>
      </c>
      <c r="G1133" s="23">
        <v>0</v>
      </c>
      <c r="I1133" s="217" t="s">
        <v>2178</v>
      </c>
    </row>
    <row r="1134" spans="1:9">
      <c r="A1134" s="23">
        <v>1134</v>
      </c>
      <c r="B1134" s="84">
        <v>45853</v>
      </c>
      <c r="C1134" s="23" t="s">
        <v>700</v>
      </c>
      <c r="D1134" s="23" t="s">
        <v>209</v>
      </c>
      <c r="G1134" s="23">
        <v>0</v>
      </c>
      <c r="H1134" s="23" t="s">
        <v>1482</v>
      </c>
      <c r="I1134" s="217" t="s">
        <v>2179</v>
      </c>
    </row>
    <row r="1135" spans="1:9">
      <c r="A1135" s="23">
        <v>1135</v>
      </c>
      <c r="B1135" s="84">
        <v>45853</v>
      </c>
      <c r="C1135" s="23" t="s">
        <v>700</v>
      </c>
      <c r="D1135" s="23" t="s">
        <v>209</v>
      </c>
      <c r="G1135" s="23">
        <v>0.8</v>
      </c>
      <c r="H1135" s="23" t="s">
        <v>897</v>
      </c>
      <c r="I1135" s="217" t="s">
        <v>1236</v>
      </c>
    </row>
    <row r="1136" spans="1:9">
      <c r="A1136" s="23">
        <v>1136</v>
      </c>
      <c r="B1136" s="84">
        <v>45853</v>
      </c>
      <c r="C1136" s="23" t="s">
        <v>863</v>
      </c>
      <c r="D1136" s="23" t="s">
        <v>233</v>
      </c>
      <c r="G1136" s="23">
        <v>0</v>
      </c>
      <c r="I1136" s="217" t="s">
        <v>2180</v>
      </c>
    </row>
    <row r="1137" spans="1:9">
      <c r="A1137" s="23">
        <v>1137</v>
      </c>
      <c r="B1137" s="84">
        <v>45853</v>
      </c>
      <c r="C1137" s="23" t="s">
        <v>858</v>
      </c>
      <c r="D1137" s="23" t="s">
        <v>227</v>
      </c>
      <c r="G1137" s="23">
        <v>0</v>
      </c>
      <c r="I1137" s="217" t="s">
        <v>2181</v>
      </c>
    </row>
    <row r="1138" spans="1:9">
      <c r="A1138" s="23">
        <v>1138</v>
      </c>
      <c r="B1138" s="84">
        <v>45853</v>
      </c>
      <c r="C1138" s="23" t="s">
        <v>859</v>
      </c>
      <c r="D1138" s="23" t="s">
        <v>230</v>
      </c>
      <c r="G1138" s="23">
        <v>0</v>
      </c>
      <c r="I1138" s="217" t="s">
        <v>2182</v>
      </c>
    </row>
    <row r="1139" spans="1:9">
      <c r="A1139" s="23">
        <v>1139</v>
      </c>
      <c r="B1139" s="84">
        <v>45853</v>
      </c>
      <c r="C1139" s="23" t="s">
        <v>860</v>
      </c>
      <c r="D1139" s="23" t="s">
        <v>240</v>
      </c>
      <c r="G1139" s="23">
        <v>0</v>
      </c>
      <c r="I1139" s="217" t="s">
        <v>2183</v>
      </c>
    </row>
    <row r="1140" spans="1:9">
      <c r="A1140" s="23">
        <v>1140</v>
      </c>
      <c r="B1140" s="84">
        <v>45853</v>
      </c>
      <c r="C1140" s="23" t="s">
        <v>442</v>
      </c>
      <c r="D1140" s="23" t="s">
        <v>227</v>
      </c>
      <c r="G1140" s="23">
        <v>0.8</v>
      </c>
      <c r="I1140" s="217" t="s">
        <v>2184</v>
      </c>
    </row>
    <row r="1141" spans="1:9">
      <c r="A1141" s="23">
        <v>1141</v>
      </c>
      <c r="B1141" s="84">
        <v>45853</v>
      </c>
      <c r="C1141" s="23" t="s">
        <v>220</v>
      </c>
      <c r="D1141" s="23" t="s">
        <v>219</v>
      </c>
      <c r="G1141" s="23">
        <v>0.7</v>
      </c>
      <c r="I1141" s="217" t="s">
        <v>2185</v>
      </c>
    </row>
    <row r="1142" spans="1:9">
      <c r="A1142" s="23">
        <v>1142</v>
      </c>
      <c r="B1142" s="84">
        <v>45853</v>
      </c>
      <c r="C1142" s="23" t="s">
        <v>277</v>
      </c>
      <c r="D1142" s="23" t="s">
        <v>222</v>
      </c>
      <c r="G1142" s="23">
        <v>0</v>
      </c>
      <c r="I1142" s="217" t="s">
        <v>2186</v>
      </c>
    </row>
    <row r="1143" spans="1:9">
      <c r="A1143" s="23">
        <v>1143</v>
      </c>
      <c r="B1143" s="84">
        <v>45853</v>
      </c>
      <c r="C1143" s="23" t="s">
        <v>220</v>
      </c>
      <c r="D1143" s="23" t="s">
        <v>213</v>
      </c>
      <c r="G1143" s="23">
        <v>0.83</v>
      </c>
      <c r="I1143" s="217" t="s">
        <v>2187</v>
      </c>
    </row>
    <row r="1144" spans="1:9">
      <c r="A1144" s="23">
        <v>1144</v>
      </c>
      <c r="B1144" s="84">
        <v>45853</v>
      </c>
      <c r="C1144" s="23" t="s">
        <v>277</v>
      </c>
      <c r="D1144" s="23" t="s">
        <v>235</v>
      </c>
      <c r="G1144" s="23">
        <v>0</v>
      </c>
      <c r="I1144" s="217" t="s">
        <v>2188</v>
      </c>
    </row>
    <row r="1145" spans="1:9">
      <c r="A1145" s="23">
        <v>1145</v>
      </c>
      <c r="B1145" s="84">
        <v>45853</v>
      </c>
      <c r="C1145" s="23" t="s">
        <v>544</v>
      </c>
      <c r="D1145" s="23" t="s">
        <v>243</v>
      </c>
      <c r="G1145" s="23">
        <v>0</v>
      </c>
      <c r="I1145" s="217" t="s">
        <v>2189</v>
      </c>
    </row>
    <row r="1146" spans="1:9">
      <c r="A1146" s="23">
        <v>1146</v>
      </c>
      <c r="B1146" s="84">
        <v>45853</v>
      </c>
      <c r="C1146" s="23" t="s">
        <v>861</v>
      </c>
      <c r="D1146" s="23" t="s">
        <v>246</v>
      </c>
      <c r="G1146" s="23">
        <v>0</v>
      </c>
      <c r="I1146" s="217" t="s">
        <v>2190</v>
      </c>
    </row>
    <row r="1147" spans="1:9">
      <c r="A1147" s="23">
        <v>1147</v>
      </c>
      <c r="B1147" s="84">
        <v>45853</v>
      </c>
      <c r="C1147" s="23" t="s">
        <v>683</v>
      </c>
      <c r="D1147" s="23" t="s">
        <v>227</v>
      </c>
      <c r="G1147" s="23">
        <v>0</v>
      </c>
      <c r="I1147" s="217" t="s">
        <v>2191</v>
      </c>
    </row>
    <row r="1148" spans="1:9">
      <c r="A1148" s="23">
        <v>1148</v>
      </c>
      <c r="B1148" s="84">
        <v>45853</v>
      </c>
      <c r="C1148" s="23" t="s">
        <v>854</v>
      </c>
      <c r="D1148" s="23" t="s">
        <v>312</v>
      </c>
      <c r="G1148" s="23">
        <v>0</v>
      </c>
      <c r="I1148" s="217" t="s">
        <v>2192</v>
      </c>
    </row>
    <row r="1149" spans="1:9">
      <c r="A1149" s="23">
        <v>1149</v>
      </c>
      <c r="B1149" s="84">
        <v>45853</v>
      </c>
      <c r="C1149" s="23" t="s">
        <v>846</v>
      </c>
      <c r="D1149" s="23" t="s">
        <v>251</v>
      </c>
      <c r="G1149" s="23">
        <v>0</v>
      </c>
      <c r="I1149" s="217" t="s">
        <v>2193</v>
      </c>
    </row>
    <row r="1150" spans="1:9">
      <c r="A1150" s="23">
        <v>1150</v>
      </c>
      <c r="B1150" s="84">
        <v>45853</v>
      </c>
      <c r="C1150" s="23" t="s">
        <v>788</v>
      </c>
      <c r="D1150" s="23" t="s">
        <v>254</v>
      </c>
      <c r="G1150" s="23">
        <v>0</v>
      </c>
      <c r="I1150" s="217" t="s">
        <v>2194</v>
      </c>
    </row>
    <row r="1151" spans="1:9">
      <c r="A1151" s="23">
        <v>1151</v>
      </c>
      <c r="B1151" s="84">
        <v>45853</v>
      </c>
      <c r="C1151" s="23" t="s">
        <v>869</v>
      </c>
      <c r="D1151" s="23" t="s">
        <v>230</v>
      </c>
      <c r="G1151" s="23">
        <v>0.8</v>
      </c>
      <c r="I1151" s="217" t="s">
        <v>2195</v>
      </c>
    </row>
    <row r="1152" spans="1:9">
      <c r="A1152" s="23">
        <v>1152</v>
      </c>
      <c r="B1152" s="84">
        <v>45853</v>
      </c>
      <c r="C1152" s="23" t="s">
        <v>867</v>
      </c>
      <c r="D1152" s="23" t="s">
        <v>209</v>
      </c>
      <c r="G1152" s="23">
        <v>0</v>
      </c>
      <c r="I1152" s="217" t="s">
        <v>2196</v>
      </c>
    </row>
    <row r="1153" spans="1:9">
      <c r="A1153" s="23">
        <v>1153</v>
      </c>
      <c r="B1153" s="84">
        <v>45854</v>
      </c>
      <c r="C1153" s="23" t="s">
        <v>870</v>
      </c>
      <c r="D1153" s="23" t="s">
        <v>240</v>
      </c>
      <c r="G1153" s="23">
        <v>0.8</v>
      </c>
      <c r="I1153" s="217" t="s">
        <v>2197</v>
      </c>
    </row>
    <row r="1154" spans="1:9">
      <c r="A1154" s="23">
        <v>1154</v>
      </c>
      <c r="B1154" s="84">
        <v>45854</v>
      </c>
      <c r="C1154" s="23" t="s">
        <v>218</v>
      </c>
      <c r="D1154" s="23" t="s">
        <v>230</v>
      </c>
      <c r="G1154" s="23">
        <v>0</v>
      </c>
      <c r="I1154" s="217" t="s">
        <v>2198</v>
      </c>
    </row>
    <row r="1155" spans="1:9">
      <c r="A1155" s="23">
        <v>1155</v>
      </c>
      <c r="B1155" s="84">
        <v>45854</v>
      </c>
      <c r="C1155" s="23" t="s">
        <v>871</v>
      </c>
      <c r="D1155" s="23" t="s">
        <v>240</v>
      </c>
      <c r="G1155" s="23">
        <v>0</v>
      </c>
      <c r="I1155" s="217" t="s">
        <v>2199</v>
      </c>
    </row>
    <row r="1156" spans="1:9">
      <c r="A1156" s="23">
        <v>1156</v>
      </c>
      <c r="B1156" s="84">
        <v>45854</v>
      </c>
      <c r="C1156" s="23" t="s">
        <v>223</v>
      </c>
      <c r="D1156" s="23" t="s">
        <v>222</v>
      </c>
      <c r="G1156" s="23">
        <v>0.44500000000000001</v>
      </c>
      <c r="I1156" s="217" t="s">
        <v>2200</v>
      </c>
    </row>
    <row r="1157" spans="1:9">
      <c r="A1157" s="23">
        <v>1157</v>
      </c>
      <c r="B1157" s="84">
        <v>45854</v>
      </c>
      <c r="C1157" s="23" t="s">
        <v>218</v>
      </c>
      <c r="D1157" s="23" t="s">
        <v>216</v>
      </c>
      <c r="G1157" s="23">
        <v>0</v>
      </c>
      <c r="I1157" s="217" t="s">
        <v>2201</v>
      </c>
    </row>
    <row r="1158" spans="1:9">
      <c r="A1158" s="23">
        <v>1158</v>
      </c>
      <c r="B1158" s="84">
        <v>45854</v>
      </c>
      <c r="C1158" s="23" t="s">
        <v>280</v>
      </c>
      <c r="D1158" s="23" t="s">
        <v>206</v>
      </c>
      <c r="G1158" s="23">
        <v>0</v>
      </c>
      <c r="I1158" s="217" t="s">
        <v>2202</v>
      </c>
    </row>
    <row r="1159" spans="1:9">
      <c r="A1159" s="23">
        <v>1159</v>
      </c>
      <c r="B1159" s="84">
        <v>45854</v>
      </c>
      <c r="C1159" s="23" t="s">
        <v>872</v>
      </c>
      <c r="D1159" s="23" t="s">
        <v>233</v>
      </c>
      <c r="G1159" s="23">
        <v>1</v>
      </c>
      <c r="I1159" s="217" t="s">
        <v>2203</v>
      </c>
    </row>
    <row r="1160" spans="1:9">
      <c r="A1160" s="23">
        <v>1160</v>
      </c>
      <c r="B1160" s="84">
        <v>45854</v>
      </c>
      <c r="C1160" s="23" t="s">
        <v>874</v>
      </c>
      <c r="D1160" s="23" t="s">
        <v>243</v>
      </c>
      <c r="G1160" s="23">
        <v>0.8</v>
      </c>
      <c r="I1160" s="217" t="s">
        <v>2204</v>
      </c>
    </row>
    <row r="1161" spans="1:9">
      <c r="A1161" s="23">
        <v>1161</v>
      </c>
      <c r="B1161" s="84">
        <v>45854</v>
      </c>
      <c r="C1161" s="23" t="s">
        <v>875</v>
      </c>
      <c r="D1161" s="23" t="s">
        <v>246</v>
      </c>
      <c r="G1161" s="23">
        <v>0.8</v>
      </c>
      <c r="I1161" s="217" t="s">
        <v>2205</v>
      </c>
    </row>
    <row r="1162" spans="1:9">
      <c r="A1162" s="23">
        <v>1162</v>
      </c>
      <c r="B1162" s="84">
        <v>45854</v>
      </c>
      <c r="C1162" s="23" t="s">
        <v>499</v>
      </c>
      <c r="D1162" s="23" t="s">
        <v>227</v>
      </c>
      <c r="G1162" s="23">
        <v>0.8</v>
      </c>
      <c r="I1162" s="217" t="s">
        <v>2206</v>
      </c>
    </row>
    <row r="1163" spans="1:9">
      <c r="A1163" s="23">
        <v>1163</v>
      </c>
      <c r="B1163" s="84">
        <v>45854</v>
      </c>
      <c r="C1163" s="23" t="s">
        <v>236</v>
      </c>
      <c r="D1163" s="23" t="s">
        <v>216</v>
      </c>
      <c r="G1163" s="23">
        <v>0.52500000000000002</v>
      </c>
      <c r="I1163" s="217" t="s">
        <v>2207</v>
      </c>
    </row>
    <row r="1164" spans="1:9">
      <c r="A1164" s="23">
        <v>1164</v>
      </c>
      <c r="B1164" s="84">
        <v>45854</v>
      </c>
      <c r="C1164" s="23" t="s">
        <v>215</v>
      </c>
      <c r="D1164" s="23" t="s">
        <v>219</v>
      </c>
      <c r="G1164" s="23">
        <v>0</v>
      </c>
      <c r="I1164" s="217" t="s">
        <v>2208</v>
      </c>
    </row>
    <row r="1165" spans="1:9">
      <c r="A1165" s="23">
        <v>1165</v>
      </c>
      <c r="B1165" s="84">
        <v>45854</v>
      </c>
      <c r="C1165" s="23" t="s">
        <v>236</v>
      </c>
      <c r="D1165" s="23" t="s">
        <v>235</v>
      </c>
      <c r="G1165" s="23">
        <v>0.8</v>
      </c>
      <c r="I1165" s="217" t="s">
        <v>2209</v>
      </c>
    </row>
    <row r="1166" spans="1:9">
      <c r="A1166" s="23">
        <v>1166</v>
      </c>
      <c r="B1166" s="84">
        <v>45854</v>
      </c>
      <c r="C1166" s="23" t="s">
        <v>215</v>
      </c>
      <c r="D1166" s="23" t="s">
        <v>213</v>
      </c>
      <c r="G1166" s="23">
        <v>0</v>
      </c>
      <c r="I1166" s="217" t="s">
        <v>2210</v>
      </c>
    </row>
    <row r="1167" spans="1:9">
      <c r="A1167" s="23">
        <v>1167</v>
      </c>
      <c r="B1167" s="84">
        <v>45854</v>
      </c>
      <c r="C1167" s="23" t="s">
        <v>349</v>
      </c>
      <c r="D1167" s="23" t="s">
        <v>243</v>
      </c>
      <c r="G1167" s="23">
        <v>0</v>
      </c>
      <c r="I1167" s="217" t="s">
        <v>2211</v>
      </c>
    </row>
    <row r="1168" spans="1:9">
      <c r="A1168" s="23">
        <v>1168</v>
      </c>
      <c r="B1168" s="84">
        <v>45854</v>
      </c>
      <c r="C1168" s="23" t="s">
        <v>876</v>
      </c>
      <c r="D1168" s="23" t="s">
        <v>246</v>
      </c>
      <c r="G1168" s="23">
        <v>0</v>
      </c>
      <c r="I1168" s="217" t="s">
        <v>2212</v>
      </c>
    </row>
    <row r="1169" spans="1:9">
      <c r="A1169" s="23">
        <v>1169</v>
      </c>
      <c r="B1169" s="84">
        <v>45854</v>
      </c>
      <c r="C1169" s="23" t="s">
        <v>877</v>
      </c>
      <c r="D1169" s="23" t="s">
        <v>227</v>
      </c>
      <c r="G1169" s="23">
        <v>0</v>
      </c>
      <c r="I1169" s="217" t="s">
        <v>2213</v>
      </c>
    </row>
    <row r="1170" spans="1:9">
      <c r="A1170" s="23">
        <v>1170</v>
      </c>
      <c r="B1170" s="84">
        <v>45854</v>
      </c>
      <c r="C1170" s="23" t="s">
        <v>864</v>
      </c>
      <c r="D1170" s="23" t="s">
        <v>200</v>
      </c>
      <c r="G1170" s="23">
        <v>0</v>
      </c>
      <c r="I1170" s="217" t="s">
        <v>2214</v>
      </c>
    </row>
    <row r="1171" spans="1:9">
      <c r="A1171" s="23">
        <v>1171</v>
      </c>
      <c r="B1171" s="84">
        <v>45854</v>
      </c>
      <c r="C1171" s="23" t="s">
        <v>864</v>
      </c>
      <c r="D1171" s="23" t="s">
        <v>200</v>
      </c>
      <c r="G1171" s="23">
        <v>1.5</v>
      </c>
      <c r="H1171" s="23" t="s">
        <v>335</v>
      </c>
      <c r="I1171" s="217" t="s">
        <v>2215</v>
      </c>
    </row>
    <row r="1172" spans="1:9">
      <c r="A1172" s="23">
        <v>1172</v>
      </c>
      <c r="B1172" s="84">
        <v>45854</v>
      </c>
      <c r="C1172" s="23" t="s">
        <v>878</v>
      </c>
      <c r="D1172" s="23" t="s">
        <v>230</v>
      </c>
      <c r="G1172" s="23">
        <v>0.8</v>
      </c>
      <c r="I1172" s="217" t="s">
        <v>2216</v>
      </c>
    </row>
    <row r="1173" spans="1:9">
      <c r="A1173" s="23">
        <v>1173</v>
      </c>
      <c r="B1173" s="84">
        <v>45854</v>
      </c>
      <c r="C1173" s="23" t="s">
        <v>565</v>
      </c>
      <c r="D1173" s="23" t="s">
        <v>209</v>
      </c>
      <c r="G1173" s="23">
        <v>3.8</v>
      </c>
      <c r="I1173" s="217" t="s">
        <v>2217</v>
      </c>
    </row>
    <row r="1174" spans="1:9">
      <c r="A1174" s="23">
        <v>1174</v>
      </c>
      <c r="B1174" s="84">
        <v>45854</v>
      </c>
      <c r="C1174" s="23" t="s">
        <v>244</v>
      </c>
      <c r="D1174" s="23" t="s">
        <v>243</v>
      </c>
      <c r="G1174" s="23">
        <v>0.8</v>
      </c>
      <c r="I1174" s="217" t="s">
        <v>2218</v>
      </c>
    </row>
    <row r="1175" spans="1:9">
      <c r="A1175" s="23">
        <v>1175</v>
      </c>
      <c r="B1175" s="84">
        <v>45854</v>
      </c>
      <c r="C1175" s="23" t="s">
        <v>880</v>
      </c>
      <c r="D1175" s="23" t="s">
        <v>251</v>
      </c>
      <c r="G1175" s="23">
        <v>3</v>
      </c>
      <c r="I1175" s="217" t="s">
        <v>2219</v>
      </c>
    </row>
    <row r="1176" spans="1:9">
      <c r="A1176" s="23">
        <v>1176</v>
      </c>
      <c r="B1176" s="84">
        <v>45854</v>
      </c>
      <c r="C1176" s="23" t="s">
        <v>364</v>
      </c>
      <c r="D1176" s="23" t="s">
        <v>200</v>
      </c>
      <c r="G1176" s="23">
        <v>0</v>
      </c>
      <c r="I1176" s="217" t="s">
        <v>2220</v>
      </c>
    </row>
    <row r="1177" spans="1:9">
      <c r="A1177" s="23">
        <v>1177</v>
      </c>
      <c r="B1177" s="84">
        <v>45854</v>
      </c>
      <c r="C1177" s="23" t="s">
        <v>364</v>
      </c>
      <c r="D1177" s="23" t="s">
        <v>200</v>
      </c>
      <c r="G1177" s="23" t="s">
        <v>9</v>
      </c>
      <c r="I1177" s="217" t="s">
        <v>1236</v>
      </c>
    </row>
    <row r="1178" spans="1:9">
      <c r="A1178" s="23">
        <v>1178</v>
      </c>
      <c r="B1178" s="84">
        <v>45854</v>
      </c>
      <c r="C1178" s="23" t="s">
        <v>482</v>
      </c>
      <c r="D1178" s="23" t="s">
        <v>230</v>
      </c>
      <c r="G1178" s="23">
        <v>0</v>
      </c>
      <c r="I1178" s="217" t="s">
        <v>2221</v>
      </c>
    </row>
    <row r="1179" spans="1:9">
      <c r="A1179" s="23">
        <v>1179</v>
      </c>
      <c r="B1179" s="84">
        <v>45854</v>
      </c>
      <c r="C1179" s="23" t="s">
        <v>377</v>
      </c>
      <c r="D1179" s="23" t="s">
        <v>243</v>
      </c>
      <c r="G1179" s="23">
        <v>0</v>
      </c>
      <c r="I1179" s="217" t="s">
        <v>2218</v>
      </c>
    </row>
    <row r="1180" spans="1:9">
      <c r="A1180" s="23">
        <v>1180</v>
      </c>
      <c r="B1180" s="84">
        <v>45854</v>
      </c>
      <c r="C1180" s="23" t="s">
        <v>245</v>
      </c>
      <c r="D1180" s="23" t="s">
        <v>235</v>
      </c>
      <c r="G1180" s="23">
        <v>0</v>
      </c>
      <c r="H1180" s="23" t="s">
        <v>1816</v>
      </c>
      <c r="I1180" s="217" t="s">
        <v>2222</v>
      </c>
    </row>
    <row r="1181" spans="1:9">
      <c r="A1181" s="23">
        <v>1181</v>
      </c>
      <c r="B1181" s="84">
        <v>45854</v>
      </c>
      <c r="C1181" s="23" t="s">
        <v>602</v>
      </c>
      <c r="D1181" s="23" t="s">
        <v>254</v>
      </c>
      <c r="G1181" s="23">
        <v>3.8</v>
      </c>
      <c r="I1181" s="217" t="s">
        <v>2223</v>
      </c>
    </row>
    <row r="1182" spans="1:9">
      <c r="A1182" s="23">
        <v>1182</v>
      </c>
      <c r="B1182" s="84">
        <v>45854</v>
      </c>
      <c r="C1182" s="23" t="s">
        <v>252</v>
      </c>
      <c r="D1182" s="23" t="s">
        <v>240</v>
      </c>
      <c r="G1182" s="23">
        <v>0.8</v>
      </c>
      <c r="I1182" s="217" t="s">
        <v>2224</v>
      </c>
    </row>
    <row r="1183" spans="1:9">
      <c r="A1183" s="23">
        <v>1183</v>
      </c>
      <c r="B1183" s="84">
        <v>45854</v>
      </c>
      <c r="C1183" s="23" t="s">
        <v>883</v>
      </c>
      <c r="D1183" s="23" t="s">
        <v>243</v>
      </c>
      <c r="G1183" s="23">
        <v>0.8</v>
      </c>
      <c r="I1183" s="217" t="s">
        <v>2225</v>
      </c>
    </row>
    <row r="1184" spans="1:9">
      <c r="A1184" s="23">
        <v>1184</v>
      </c>
      <c r="B1184" s="84">
        <v>45854</v>
      </c>
      <c r="C1184" s="23" t="s">
        <v>776</v>
      </c>
      <c r="D1184" s="23" t="s">
        <v>235</v>
      </c>
      <c r="G1184" s="23">
        <v>0.72</v>
      </c>
      <c r="H1184" s="23" t="s">
        <v>2226</v>
      </c>
      <c r="I1184" s="217" t="s">
        <v>2227</v>
      </c>
    </row>
    <row r="1185" spans="1:9">
      <c r="A1185" s="23">
        <v>1185</v>
      </c>
      <c r="B1185" s="84">
        <v>45854</v>
      </c>
      <c r="C1185" s="23" t="s">
        <v>884</v>
      </c>
      <c r="D1185" s="23" t="s">
        <v>246</v>
      </c>
      <c r="G1185" s="23">
        <v>0.8</v>
      </c>
      <c r="I1185" s="217" t="s">
        <v>2228</v>
      </c>
    </row>
    <row r="1186" spans="1:9">
      <c r="A1186" s="23">
        <v>1186</v>
      </c>
      <c r="B1186" s="84">
        <v>45854</v>
      </c>
      <c r="C1186" s="23" t="s">
        <v>425</v>
      </c>
      <c r="D1186" s="23" t="s">
        <v>227</v>
      </c>
      <c r="G1186" s="23">
        <v>0.8</v>
      </c>
      <c r="I1186" s="217" t="s">
        <v>2229</v>
      </c>
    </row>
    <row r="1187" spans="1:9">
      <c r="A1187" s="23">
        <v>1187</v>
      </c>
      <c r="B1187" s="84">
        <v>45854</v>
      </c>
      <c r="C1187" s="23" t="s">
        <v>853</v>
      </c>
      <c r="D1187" s="23" t="s">
        <v>230</v>
      </c>
      <c r="G1187" s="23">
        <v>0.8</v>
      </c>
      <c r="I1187" s="217" t="s">
        <v>2230</v>
      </c>
    </row>
    <row r="1188" spans="1:9">
      <c r="A1188" s="23">
        <v>1188</v>
      </c>
      <c r="B1188" s="84">
        <v>45854</v>
      </c>
      <c r="C1188" s="23" t="s">
        <v>305</v>
      </c>
      <c r="D1188" s="23" t="s">
        <v>312</v>
      </c>
      <c r="G1188" s="23">
        <v>3</v>
      </c>
      <c r="I1188" s="217" t="s">
        <v>2231</v>
      </c>
    </row>
    <row r="1189" spans="1:9">
      <c r="A1189" s="23">
        <v>1189</v>
      </c>
      <c r="B1189" s="84">
        <v>45854</v>
      </c>
      <c r="C1189" s="23" t="s">
        <v>429</v>
      </c>
      <c r="D1189" s="23" t="s">
        <v>240</v>
      </c>
      <c r="G1189" s="23">
        <v>0</v>
      </c>
      <c r="I1189" s="217" t="s">
        <v>2224</v>
      </c>
    </row>
    <row r="1190" spans="1:9">
      <c r="A1190" s="23">
        <v>1190</v>
      </c>
      <c r="B1190" s="84">
        <v>45854</v>
      </c>
      <c r="C1190" s="23" t="s">
        <v>556</v>
      </c>
      <c r="D1190" s="23" t="s">
        <v>222</v>
      </c>
      <c r="G1190" s="23">
        <v>0</v>
      </c>
      <c r="H1190" s="23" t="s">
        <v>2232</v>
      </c>
      <c r="I1190" s="217" t="s">
        <v>2233</v>
      </c>
    </row>
    <row r="1191" spans="1:9">
      <c r="A1191" s="23">
        <v>1191</v>
      </c>
      <c r="B1191" s="84">
        <v>45854</v>
      </c>
      <c r="C1191" s="23" t="s">
        <v>556</v>
      </c>
      <c r="D1191" s="23" t="s">
        <v>216</v>
      </c>
      <c r="G1191" s="23">
        <v>0</v>
      </c>
      <c r="H1191" s="23" t="s">
        <v>2232</v>
      </c>
      <c r="I1191" s="217" t="s">
        <v>2234</v>
      </c>
    </row>
    <row r="1192" spans="1:9">
      <c r="A1192" s="23">
        <v>1192</v>
      </c>
      <c r="B1192" s="84">
        <v>45854</v>
      </c>
      <c r="C1192" s="23" t="s">
        <v>612</v>
      </c>
      <c r="D1192" s="23" t="s">
        <v>219</v>
      </c>
      <c r="G1192" s="23">
        <v>0.6</v>
      </c>
      <c r="I1192" s="217" t="s">
        <v>2235</v>
      </c>
    </row>
    <row r="1193" spans="1:9">
      <c r="A1193" s="23">
        <v>1193</v>
      </c>
      <c r="B1193" s="84">
        <v>45854</v>
      </c>
      <c r="C1193" s="23" t="s">
        <v>612</v>
      </c>
      <c r="D1193" s="23" t="s">
        <v>216</v>
      </c>
      <c r="G1193" s="23">
        <v>0.6</v>
      </c>
      <c r="I1193" s="217" t="s">
        <v>2236</v>
      </c>
    </row>
    <row r="1194" spans="1:9">
      <c r="A1194" s="23">
        <v>1194</v>
      </c>
      <c r="B1194" s="84">
        <v>45854</v>
      </c>
      <c r="C1194" s="23" t="s">
        <v>568</v>
      </c>
      <c r="D1194" s="23" t="s">
        <v>243</v>
      </c>
      <c r="G1194" s="23">
        <v>0</v>
      </c>
      <c r="I1194" s="217" t="s">
        <v>2237</v>
      </c>
    </row>
    <row r="1195" spans="1:9">
      <c r="A1195" s="23">
        <v>1195</v>
      </c>
      <c r="B1195" s="84">
        <v>45854</v>
      </c>
      <c r="C1195" s="23" t="s">
        <v>885</v>
      </c>
      <c r="D1195" s="23" t="s">
        <v>246</v>
      </c>
      <c r="G1195" s="23">
        <v>0</v>
      </c>
      <c r="I1195" s="217" t="s">
        <v>2238</v>
      </c>
    </row>
    <row r="1196" spans="1:9">
      <c r="A1196" s="23">
        <v>1196</v>
      </c>
      <c r="B1196" s="84">
        <v>45854</v>
      </c>
      <c r="C1196" s="23" t="s">
        <v>686</v>
      </c>
      <c r="D1196" s="23" t="s">
        <v>227</v>
      </c>
      <c r="G1196" s="23">
        <v>0</v>
      </c>
      <c r="I1196" s="217" t="s">
        <v>2239</v>
      </c>
    </row>
    <row r="1197" spans="1:9">
      <c r="A1197" s="23">
        <v>1197</v>
      </c>
      <c r="B1197" s="84">
        <v>45854</v>
      </c>
      <c r="C1197" s="23" t="s">
        <v>886</v>
      </c>
      <c r="D1197" s="23" t="s">
        <v>230</v>
      </c>
      <c r="G1197" s="23">
        <v>0</v>
      </c>
      <c r="I1197" s="217" t="s">
        <v>2240</v>
      </c>
    </row>
    <row r="1198" spans="1:9">
      <c r="A1198" s="23">
        <v>1198</v>
      </c>
      <c r="B1198" s="84">
        <v>45854</v>
      </c>
      <c r="C1198" s="23" t="s">
        <v>888</v>
      </c>
      <c r="D1198" s="23" t="s">
        <v>240</v>
      </c>
      <c r="G1198" s="23">
        <v>0.8</v>
      </c>
      <c r="I1198" s="217" t="s">
        <v>2241</v>
      </c>
    </row>
    <row r="1199" spans="1:9">
      <c r="A1199" s="23">
        <v>1199</v>
      </c>
      <c r="B1199" s="84">
        <v>45854</v>
      </c>
      <c r="C1199" s="23" t="s">
        <v>888</v>
      </c>
      <c r="D1199" s="23" t="s">
        <v>243</v>
      </c>
      <c r="G1199" s="23">
        <v>0.8</v>
      </c>
      <c r="I1199" s="217" t="s">
        <v>2242</v>
      </c>
    </row>
    <row r="1200" spans="1:9">
      <c r="A1200" s="23">
        <v>1200</v>
      </c>
      <c r="B1200" s="84">
        <v>45854</v>
      </c>
      <c r="C1200" s="23" t="s">
        <v>887</v>
      </c>
      <c r="D1200" s="23" t="s">
        <v>312</v>
      </c>
      <c r="G1200" s="23">
        <v>0</v>
      </c>
      <c r="I1200" s="217" t="s">
        <v>2243</v>
      </c>
    </row>
    <row r="1201" spans="1:9">
      <c r="A1201" s="23">
        <v>1201</v>
      </c>
      <c r="B1201" s="84">
        <v>45854</v>
      </c>
      <c r="C1201" s="23" t="s">
        <v>891</v>
      </c>
      <c r="D1201" s="23" t="s">
        <v>246</v>
      </c>
      <c r="G1201" s="23">
        <v>0.8</v>
      </c>
      <c r="I1201" s="217" t="s">
        <v>2244</v>
      </c>
    </row>
    <row r="1202" spans="1:9">
      <c r="A1202" s="23">
        <v>1202</v>
      </c>
      <c r="B1202" s="84">
        <v>45854</v>
      </c>
      <c r="C1202" s="23" t="s">
        <v>889</v>
      </c>
      <c r="D1202" s="23" t="s">
        <v>240</v>
      </c>
      <c r="G1202" s="23">
        <v>0</v>
      </c>
      <c r="I1202" s="217" t="s">
        <v>2241</v>
      </c>
    </row>
    <row r="1203" spans="1:9">
      <c r="A1203" s="23">
        <v>1203</v>
      </c>
      <c r="B1203" s="84">
        <v>45854</v>
      </c>
      <c r="C1203" s="23" t="s">
        <v>892</v>
      </c>
      <c r="D1203" s="23" t="s">
        <v>206</v>
      </c>
      <c r="G1203" s="23">
        <v>1.5</v>
      </c>
      <c r="I1203" s="217" t="s">
        <v>2245</v>
      </c>
    </row>
    <row r="1204" spans="1:9">
      <c r="A1204" s="23">
        <v>1204</v>
      </c>
      <c r="B1204" s="84">
        <v>45854</v>
      </c>
      <c r="C1204" s="23" t="s">
        <v>873</v>
      </c>
      <c r="D1204" s="23" t="s">
        <v>233</v>
      </c>
      <c r="G1204" s="23">
        <v>0</v>
      </c>
      <c r="I1204" s="217" t="s">
        <v>2246</v>
      </c>
    </row>
    <row r="1205" spans="1:9">
      <c r="A1205" s="23">
        <v>1205</v>
      </c>
      <c r="B1205" s="84">
        <v>45854</v>
      </c>
      <c r="C1205" s="23" t="s">
        <v>890</v>
      </c>
      <c r="D1205" s="23" t="s">
        <v>243</v>
      </c>
      <c r="G1205" s="23">
        <v>0</v>
      </c>
      <c r="I1205" s="217" t="s">
        <v>2247</v>
      </c>
    </row>
    <row r="1206" spans="1:9">
      <c r="A1206" s="23">
        <v>1206</v>
      </c>
      <c r="B1206" s="84">
        <v>45854</v>
      </c>
      <c r="C1206" s="23" t="s">
        <v>624</v>
      </c>
      <c r="D1206" s="23" t="s">
        <v>246</v>
      </c>
      <c r="G1206" s="23">
        <v>0</v>
      </c>
      <c r="I1206" s="217" t="s">
        <v>2248</v>
      </c>
    </row>
    <row r="1207" spans="1:9">
      <c r="A1207" s="23">
        <v>1207</v>
      </c>
      <c r="B1207" s="84">
        <v>45854</v>
      </c>
      <c r="C1207" s="23" t="s">
        <v>881</v>
      </c>
      <c r="D1207" s="23" t="s">
        <v>200</v>
      </c>
      <c r="G1207" s="23">
        <v>1.5</v>
      </c>
      <c r="H1207" s="23" t="s">
        <v>475</v>
      </c>
      <c r="I1207" s="217" t="s">
        <v>2249</v>
      </c>
    </row>
    <row r="1208" spans="1:9">
      <c r="A1208" s="23">
        <v>1208</v>
      </c>
      <c r="B1208" s="84">
        <v>45854</v>
      </c>
      <c r="C1208" s="23" t="s">
        <v>220</v>
      </c>
      <c r="D1208" s="23" t="s">
        <v>213</v>
      </c>
      <c r="G1208" s="23">
        <v>0.68</v>
      </c>
      <c r="I1208" s="217" t="s">
        <v>2250</v>
      </c>
    </row>
    <row r="1209" spans="1:9">
      <c r="A1209" s="23">
        <v>1209</v>
      </c>
      <c r="B1209" s="84">
        <v>45854</v>
      </c>
      <c r="C1209" s="23" t="s">
        <v>277</v>
      </c>
      <c r="D1209" s="23" t="s">
        <v>235</v>
      </c>
      <c r="G1209" s="23">
        <v>0</v>
      </c>
      <c r="I1209" s="217" t="s">
        <v>2251</v>
      </c>
    </row>
    <row r="1210" spans="1:9">
      <c r="A1210" s="23">
        <v>1210</v>
      </c>
      <c r="B1210" s="84">
        <v>45854</v>
      </c>
      <c r="C1210" s="23" t="s">
        <v>220</v>
      </c>
      <c r="D1210" s="23" t="s">
        <v>222</v>
      </c>
      <c r="G1210" s="23">
        <v>0.56000000000000005</v>
      </c>
      <c r="I1210" s="217" t="s">
        <v>2252</v>
      </c>
    </row>
    <row r="1211" spans="1:9">
      <c r="A1211" s="23">
        <v>1211</v>
      </c>
      <c r="B1211" s="84">
        <v>45854</v>
      </c>
      <c r="C1211" s="23" t="s">
        <v>277</v>
      </c>
      <c r="D1211" s="23" t="s">
        <v>216</v>
      </c>
      <c r="G1211" s="23">
        <v>0</v>
      </c>
      <c r="I1211" s="217" t="s">
        <v>2253</v>
      </c>
    </row>
    <row r="1212" spans="1:9">
      <c r="A1212" s="23">
        <v>1212</v>
      </c>
      <c r="B1212" s="84">
        <v>45854</v>
      </c>
      <c r="C1212" s="23" t="s">
        <v>879</v>
      </c>
      <c r="D1212" s="23" t="s">
        <v>209</v>
      </c>
      <c r="G1212" s="23">
        <v>0</v>
      </c>
      <c r="I1212" s="217" t="s">
        <v>2254</v>
      </c>
    </row>
    <row r="1213" spans="1:9">
      <c r="A1213" s="23">
        <v>1213</v>
      </c>
      <c r="B1213" s="84">
        <v>45854</v>
      </c>
      <c r="C1213" s="23" t="s">
        <v>894</v>
      </c>
      <c r="D1213" s="23" t="s">
        <v>200</v>
      </c>
      <c r="G1213" s="23">
        <v>0</v>
      </c>
      <c r="H1213" s="23" t="s">
        <v>1482</v>
      </c>
      <c r="I1213" s="217" t="s">
        <v>2255</v>
      </c>
    </row>
    <row r="1214" spans="1:9">
      <c r="A1214" s="23">
        <v>1214</v>
      </c>
      <c r="B1214" s="84">
        <v>45854</v>
      </c>
      <c r="C1214" s="23" t="s">
        <v>894</v>
      </c>
      <c r="D1214" s="23" t="s">
        <v>200</v>
      </c>
      <c r="G1214" s="23">
        <v>6</v>
      </c>
      <c r="H1214" s="23" t="s">
        <v>897</v>
      </c>
      <c r="I1214" s="217" t="s">
        <v>1236</v>
      </c>
    </row>
    <row r="1215" spans="1:9">
      <c r="A1215" s="23">
        <v>1215</v>
      </c>
      <c r="B1215" s="84">
        <v>45854</v>
      </c>
      <c r="C1215" s="23" t="s">
        <v>542</v>
      </c>
      <c r="D1215" s="23" t="s">
        <v>219</v>
      </c>
      <c r="G1215" s="23">
        <v>0</v>
      </c>
      <c r="I1215" s="217" t="s">
        <v>2256</v>
      </c>
    </row>
    <row r="1216" spans="1:9">
      <c r="A1216" s="23">
        <v>1216</v>
      </c>
      <c r="B1216" s="84">
        <v>45854</v>
      </c>
      <c r="C1216" s="23" t="s">
        <v>542</v>
      </c>
      <c r="D1216" s="23" t="s">
        <v>222</v>
      </c>
      <c r="G1216" s="23">
        <v>0</v>
      </c>
      <c r="I1216" s="217" t="s">
        <v>2257</v>
      </c>
    </row>
    <row r="1217" spans="1:9">
      <c r="A1217" s="23">
        <v>1217</v>
      </c>
      <c r="B1217" s="84">
        <v>45854</v>
      </c>
      <c r="C1217" s="23" t="s">
        <v>725</v>
      </c>
      <c r="D1217" s="23" t="s">
        <v>227</v>
      </c>
      <c r="G1217" s="23">
        <v>0.8</v>
      </c>
      <c r="I1217" s="217" t="s">
        <v>2258</v>
      </c>
    </row>
    <row r="1218" spans="1:9">
      <c r="A1218" s="23">
        <v>1218</v>
      </c>
      <c r="B1218" s="84">
        <v>45854</v>
      </c>
      <c r="C1218" s="23" t="s">
        <v>725</v>
      </c>
      <c r="D1218" s="23" t="s">
        <v>230</v>
      </c>
      <c r="G1218" s="23">
        <v>0.8</v>
      </c>
      <c r="I1218" s="217" t="s">
        <v>2259</v>
      </c>
    </row>
    <row r="1219" spans="1:9">
      <c r="A1219" s="23">
        <v>1219</v>
      </c>
      <c r="B1219" s="84">
        <v>45854</v>
      </c>
      <c r="C1219" s="23" t="s">
        <v>882</v>
      </c>
      <c r="D1219" s="23" t="s">
        <v>254</v>
      </c>
      <c r="G1219" s="23">
        <v>0</v>
      </c>
      <c r="I1219" s="217" t="s">
        <v>2260</v>
      </c>
    </row>
    <row r="1220" spans="1:9">
      <c r="A1220" s="23">
        <v>1220</v>
      </c>
      <c r="B1220" s="84">
        <v>45854</v>
      </c>
      <c r="C1220" s="23" t="s">
        <v>898</v>
      </c>
      <c r="D1220" s="23" t="s">
        <v>227</v>
      </c>
      <c r="G1220" s="23">
        <v>0</v>
      </c>
      <c r="I1220" s="217" t="s">
        <v>2261</v>
      </c>
    </row>
    <row r="1221" spans="1:9">
      <c r="A1221" s="23">
        <v>1221</v>
      </c>
      <c r="B1221" s="84">
        <v>45854</v>
      </c>
      <c r="C1221" s="23" t="s">
        <v>899</v>
      </c>
      <c r="D1221" s="23" t="s">
        <v>230</v>
      </c>
      <c r="G1221" s="23">
        <v>0</v>
      </c>
      <c r="I1221" s="217" t="s">
        <v>2262</v>
      </c>
    </row>
    <row r="1222" spans="1:9">
      <c r="A1222" s="23">
        <v>1222</v>
      </c>
      <c r="B1222" s="84">
        <v>45854</v>
      </c>
      <c r="C1222" s="23" t="s">
        <v>900</v>
      </c>
      <c r="D1222" s="23" t="s">
        <v>219</v>
      </c>
      <c r="G1222" s="23">
        <v>0.5</v>
      </c>
      <c r="I1222" s="217" t="s">
        <v>2263</v>
      </c>
    </row>
    <row r="1223" spans="1:9">
      <c r="A1223" s="23">
        <v>1223</v>
      </c>
      <c r="B1223" s="84">
        <v>45854</v>
      </c>
      <c r="C1223" s="23" t="s">
        <v>900</v>
      </c>
      <c r="D1223" s="23" t="s">
        <v>222</v>
      </c>
      <c r="G1223" s="23">
        <v>0.5</v>
      </c>
      <c r="I1223" s="217" t="s">
        <v>2264</v>
      </c>
    </row>
    <row r="1224" spans="1:9">
      <c r="A1224" s="23">
        <v>1224</v>
      </c>
      <c r="B1224" s="84">
        <v>45854</v>
      </c>
      <c r="C1224" s="23" t="s">
        <v>664</v>
      </c>
      <c r="D1224" s="23" t="s">
        <v>251</v>
      </c>
      <c r="G1224" s="23">
        <v>0</v>
      </c>
      <c r="I1224" s="217" t="s">
        <v>2265</v>
      </c>
    </row>
    <row r="1225" spans="1:9">
      <c r="A1225" s="23">
        <v>1225</v>
      </c>
      <c r="B1225" s="84">
        <v>45854</v>
      </c>
      <c r="C1225" s="23" t="s">
        <v>657</v>
      </c>
      <c r="D1225" s="23" t="s">
        <v>240</v>
      </c>
      <c r="G1225" s="23">
        <v>0.8</v>
      </c>
      <c r="I1225" s="217" t="s">
        <v>2266</v>
      </c>
    </row>
    <row r="1226" spans="1:9">
      <c r="A1226" s="23">
        <v>1226</v>
      </c>
      <c r="B1226" s="84">
        <v>45854</v>
      </c>
      <c r="C1226" s="23" t="s">
        <v>657</v>
      </c>
      <c r="D1226" s="23" t="s">
        <v>200</v>
      </c>
      <c r="G1226" s="23">
        <v>0</v>
      </c>
      <c r="I1226" s="217" t="s">
        <v>2267</v>
      </c>
    </row>
    <row r="1227" spans="1:9">
      <c r="A1227" s="23">
        <v>1227</v>
      </c>
      <c r="B1227" s="84">
        <v>45854</v>
      </c>
      <c r="C1227" s="23" t="s">
        <v>902</v>
      </c>
      <c r="D1227" s="23" t="s">
        <v>240</v>
      </c>
      <c r="G1227" s="23">
        <v>0</v>
      </c>
      <c r="I1227" s="217" t="s">
        <v>2268</v>
      </c>
    </row>
    <row r="1228" spans="1:9">
      <c r="A1228" s="23">
        <v>1228</v>
      </c>
      <c r="B1228" s="84">
        <v>45855</v>
      </c>
      <c r="C1228" s="23" t="s">
        <v>223</v>
      </c>
      <c r="D1228" s="23" t="s">
        <v>222</v>
      </c>
      <c r="G1228" s="23">
        <v>0</v>
      </c>
      <c r="I1228" s="217" t="s">
        <v>2269</v>
      </c>
    </row>
    <row r="1229" spans="1:9">
      <c r="A1229" s="23">
        <v>1229</v>
      </c>
      <c r="B1229" s="84">
        <v>45855</v>
      </c>
      <c r="C1229" s="23" t="s">
        <v>218</v>
      </c>
      <c r="D1229" s="23" t="s">
        <v>216</v>
      </c>
      <c r="G1229" s="23">
        <v>0.33</v>
      </c>
      <c r="I1229" s="217" t="s">
        <v>2270</v>
      </c>
    </row>
    <row r="1230" spans="1:9">
      <c r="A1230" s="23">
        <v>1230</v>
      </c>
      <c r="B1230" s="84">
        <v>45855</v>
      </c>
      <c r="C1230" s="23" t="s">
        <v>901</v>
      </c>
      <c r="D1230" s="23" t="s">
        <v>219</v>
      </c>
      <c r="G1230" s="23">
        <v>0</v>
      </c>
      <c r="I1230" s="217" t="s">
        <v>2271</v>
      </c>
    </row>
    <row r="1231" spans="1:9">
      <c r="A1231" s="23">
        <v>1231</v>
      </c>
      <c r="B1231" s="84">
        <v>45855</v>
      </c>
      <c r="C1231" s="23" t="s">
        <v>893</v>
      </c>
      <c r="D1231" s="23" t="s">
        <v>206</v>
      </c>
      <c r="G1231" s="23">
        <v>0</v>
      </c>
      <c r="I1231" s="217" t="s">
        <v>2272</v>
      </c>
    </row>
    <row r="1232" spans="1:9">
      <c r="A1232" s="23">
        <v>1232</v>
      </c>
      <c r="B1232" s="84">
        <v>45855</v>
      </c>
      <c r="C1232" s="23" t="s">
        <v>896</v>
      </c>
      <c r="D1232" s="23" t="s">
        <v>213</v>
      </c>
      <c r="G1232" s="23">
        <v>0</v>
      </c>
      <c r="I1232" s="217" t="s">
        <v>2273</v>
      </c>
    </row>
    <row r="1233" spans="1:9">
      <c r="A1233" s="23">
        <v>1233</v>
      </c>
      <c r="B1233" s="84">
        <v>45855</v>
      </c>
      <c r="C1233" s="23" t="s">
        <v>904</v>
      </c>
      <c r="D1233" s="23" t="s">
        <v>200</v>
      </c>
      <c r="G1233" s="23">
        <v>1</v>
      </c>
      <c r="I1233" s="217" t="s">
        <v>2274</v>
      </c>
    </row>
    <row r="1234" spans="1:9">
      <c r="A1234" s="23">
        <v>1234</v>
      </c>
      <c r="B1234" s="84">
        <v>45855</v>
      </c>
      <c r="C1234" s="23" t="s">
        <v>808</v>
      </c>
      <c r="D1234" s="23" t="s">
        <v>197</v>
      </c>
      <c r="G1234" s="23">
        <v>0</v>
      </c>
      <c r="I1234" s="217" t="s">
        <v>2275</v>
      </c>
    </row>
    <row r="1235" spans="1:9">
      <c r="A1235" s="23">
        <v>1235</v>
      </c>
      <c r="B1235" s="84">
        <v>45855</v>
      </c>
      <c r="C1235" s="23" t="s">
        <v>428</v>
      </c>
      <c r="D1235" s="23" t="s">
        <v>213</v>
      </c>
      <c r="G1235" s="23">
        <v>0.65</v>
      </c>
      <c r="I1235" s="217" t="s">
        <v>2276</v>
      </c>
    </row>
    <row r="1236" spans="1:9">
      <c r="A1236" s="23">
        <v>1236</v>
      </c>
      <c r="B1236" s="84">
        <v>45855</v>
      </c>
      <c r="C1236" s="23" t="s">
        <v>903</v>
      </c>
      <c r="D1236" s="23" t="s">
        <v>216</v>
      </c>
      <c r="G1236" s="23">
        <v>0</v>
      </c>
      <c r="H1236" s="23" t="s">
        <v>2277</v>
      </c>
      <c r="I1236" s="217" t="s">
        <v>2278</v>
      </c>
    </row>
    <row r="1237" spans="1:9">
      <c r="A1237" s="23">
        <v>1237</v>
      </c>
      <c r="B1237" s="84">
        <v>45855</v>
      </c>
      <c r="C1237" s="23" t="s">
        <v>236</v>
      </c>
      <c r="D1237" s="23" t="s">
        <v>235</v>
      </c>
      <c r="G1237" s="23">
        <v>0.65</v>
      </c>
      <c r="I1237" s="217" t="s">
        <v>2279</v>
      </c>
    </row>
    <row r="1238" spans="1:9">
      <c r="A1238" s="23">
        <v>1238</v>
      </c>
      <c r="B1238" s="84">
        <v>45855</v>
      </c>
      <c r="C1238" s="23" t="s">
        <v>215</v>
      </c>
      <c r="D1238" s="23" t="s">
        <v>213</v>
      </c>
      <c r="G1238" s="23">
        <v>0</v>
      </c>
      <c r="I1238" s="217" t="s">
        <v>2280</v>
      </c>
    </row>
    <row r="1239" spans="1:9">
      <c r="A1239" s="23">
        <v>1239</v>
      </c>
      <c r="B1239" s="84">
        <v>45855</v>
      </c>
      <c r="C1239" s="23" t="s">
        <v>773</v>
      </c>
      <c r="D1239" s="23" t="s">
        <v>235</v>
      </c>
      <c r="G1239" s="23">
        <v>0</v>
      </c>
      <c r="H1239" s="23" t="s">
        <v>905</v>
      </c>
      <c r="I1239" s="217" t="s">
        <v>2279</v>
      </c>
    </row>
    <row r="1240" spans="1:9">
      <c r="A1240" s="23">
        <v>1240</v>
      </c>
      <c r="B1240" s="84">
        <v>45855</v>
      </c>
      <c r="C1240" s="23" t="s">
        <v>906</v>
      </c>
      <c r="D1240" s="23" t="s">
        <v>197</v>
      </c>
      <c r="G1240" s="23">
        <v>6.3</v>
      </c>
      <c r="I1240" s="217" t="s">
        <v>2281</v>
      </c>
    </row>
    <row r="1241" spans="1:9">
      <c r="A1241" s="23">
        <v>1241</v>
      </c>
      <c r="B1241" s="84">
        <v>45855</v>
      </c>
      <c r="C1241" s="23" t="s">
        <v>906</v>
      </c>
      <c r="D1241" s="23" t="s">
        <v>219</v>
      </c>
      <c r="G1241" s="23">
        <v>0.53</v>
      </c>
      <c r="I1241" s="217" t="s">
        <v>2282</v>
      </c>
    </row>
    <row r="1242" spans="1:9">
      <c r="A1242" s="23">
        <v>1242</v>
      </c>
      <c r="B1242" s="84">
        <v>45855</v>
      </c>
      <c r="C1242" s="23" t="s">
        <v>906</v>
      </c>
      <c r="D1242" s="23" t="s">
        <v>216</v>
      </c>
      <c r="G1242" s="23">
        <v>0.53</v>
      </c>
      <c r="I1242" s="217" t="s">
        <v>2283</v>
      </c>
    </row>
    <row r="1243" spans="1:9">
      <c r="A1243" s="23">
        <v>1243</v>
      </c>
      <c r="B1243" s="84">
        <v>45855</v>
      </c>
      <c r="C1243" s="23" t="s">
        <v>841</v>
      </c>
      <c r="D1243" s="23" t="s">
        <v>203</v>
      </c>
      <c r="G1243" s="23">
        <v>0</v>
      </c>
      <c r="I1243" s="217" t="s">
        <v>2284</v>
      </c>
    </row>
    <row r="1244" spans="1:9">
      <c r="A1244" s="23">
        <v>1244</v>
      </c>
      <c r="B1244" s="84">
        <v>45855</v>
      </c>
      <c r="C1244" s="23" t="s">
        <v>819</v>
      </c>
      <c r="D1244" s="23" t="s">
        <v>233</v>
      </c>
      <c r="G1244" s="23">
        <v>3.8</v>
      </c>
      <c r="I1244" s="217" t="s">
        <v>2285</v>
      </c>
    </row>
    <row r="1245" spans="1:9">
      <c r="A1245" s="23">
        <v>1245</v>
      </c>
      <c r="B1245" s="84">
        <v>45855</v>
      </c>
      <c r="C1245" s="23" t="s">
        <v>909</v>
      </c>
      <c r="D1245" s="23" t="s">
        <v>235</v>
      </c>
      <c r="G1245" s="23">
        <v>0.65</v>
      </c>
      <c r="I1245" s="217" t="s">
        <v>2286</v>
      </c>
    </row>
    <row r="1246" spans="1:9">
      <c r="A1246" s="23">
        <v>1246</v>
      </c>
      <c r="B1246" s="84">
        <v>45855</v>
      </c>
      <c r="C1246" s="23" t="s">
        <v>909</v>
      </c>
      <c r="D1246" s="23" t="s">
        <v>213</v>
      </c>
      <c r="G1246" s="23">
        <v>0.65</v>
      </c>
      <c r="I1246" s="217" t="s">
        <v>2287</v>
      </c>
    </row>
    <row r="1247" spans="1:9">
      <c r="A1247" s="23">
        <v>1247</v>
      </c>
      <c r="B1247" s="84">
        <v>45855</v>
      </c>
      <c r="C1247" s="23" t="s">
        <v>292</v>
      </c>
      <c r="D1247" s="23" t="s">
        <v>213</v>
      </c>
      <c r="G1247" s="23">
        <v>0</v>
      </c>
      <c r="I1247" s="217" t="s">
        <v>2287</v>
      </c>
    </row>
    <row r="1248" spans="1:9">
      <c r="A1248" s="23">
        <v>1248</v>
      </c>
      <c r="B1248" s="84">
        <v>45855</v>
      </c>
      <c r="C1248" s="23" t="s">
        <v>242</v>
      </c>
      <c r="D1248" s="23" t="s">
        <v>203</v>
      </c>
      <c r="G1248" s="23">
        <v>1.5</v>
      </c>
      <c r="I1248" s="217" t="s">
        <v>2288</v>
      </c>
    </row>
    <row r="1249" spans="1:9">
      <c r="A1249" s="23">
        <v>1249</v>
      </c>
      <c r="B1249" s="84">
        <v>45855</v>
      </c>
      <c r="C1249" s="23" t="s">
        <v>602</v>
      </c>
      <c r="D1249" s="23" t="s">
        <v>243</v>
      </c>
      <c r="G1249" s="23">
        <v>0.8</v>
      </c>
      <c r="I1249" s="217" t="s">
        <v>2289</v>
      </c>
    </row>
    <row r="1250" spans="1:9">
      <c r="A1250" s="23">
        <v>1250</v>
      </c>
      <c r="B1250" s="84">
        <v>45855</v>
      </c>
      <c r="C1250" s="23" t="s">
        <v>482</v>
      </c>
      <c r="D1250" s="23" t="s">
        <v>246</v>
      </c>
      <c r="G1250" s="23">
        <v>0.8</v>
      </c>
      <c r="I1250" s="217" t="s">
        <v>2290</v>
      </c>
    </row>
    <row r="1251" spans="1:9">
      <c r="A1251" s="23">
        <v>1251</v>
      </c>
      <c r="B1251" s="84">
        <v>45855</v>
      </c>
      <c r="C1251" s="23" t="s">
        <v>377</v>
      </c>
      <c r="D1251" s="23" t="s">
        <v>243</v>
      </c>
      <c r="G1251" s="23">
        <v>0</v>
      </c>
      <c r="I1251" s="217" t="s">
        <v>2289</v>
      </c>
    </row>
    <row r="1252" spans="1:9">
      <c r="A1252" s="23">
        <v>1252</v>
      </c>
      <c r="B1252" s="84">
        <v>45855</v>
      </c>
      <c r="C1252" s="23" t="s">
        <v>377</v>
      </c>
      <c r="D1252" s="23" t="s">
        <v>246</v>
      </c>
      <c r="G1252" s="23">
        <v>0</v>
      </c>
      <c r="I1252" s="217" t="s">
        <v>2290</v>
      </c>
    </row>
    <row r="1253" spans="1:9">
      <c r="A1253" s="23">
        <v>1253</v>
      </c>
      <c r="B1253" s="84">
        <v>45855</v>
      </c>
      <c r="C1253" s="23" t="s">
        <v>751</v>
      </c>
      <c r="D1253" s="23" t="s">
        <v>227</v>
      </c>
      <c r="G1253" s="23">
        <v>0.8</v>
      </c>
      <c r="I1253" s="217" t="s">
        <v>2291</v>
      </c>
    </row>
    <row r="1254" spans="1:9">
      <c r="A1254" s="23">
        <v>1254</v>
      </c>
      <c r="B1254" s="84">
        <v>45855</v>
      </c>
      <c r="C1254" s="23" t="s">
        <v>750</v>
      </c>
      <c r="D1254" s="23" t="s">
        <v>209</v>
      </c>
      <c r="G1254" s="23">
        <v>1.5</v>
      </c>
      <c r="I1254" s="217" t="s">
        <v>2292</v>
      </c>
    </row>
    <row r="1255" spans="1:9">
      <c r="A1255" s="23">
        <v>1255</v>
      </c>
      <c r="B1255" s="84">
        <v>45855</v>
      </c>
      <c r="C1255" s="23" t="s">
        <v>484</v>
      </c>
      <c r="D1255" s="23" t="s">
        <v>227</v>
      </c>
      <c r="G1255" s="23">
        <v>0</v>
      </c>
      <c r="I1255" s="217" t="s">
        <v>2291</v>
      </c>
    </row>
    <row r="1256" spans="1:9">
      <c r="A1256" s="23">
        <v>1256</v>
      </c>
      <c r="B1256" s="84">
        <v>45855</v>
      </c>
      <c r="C1256" s="23" t="s">
        <v>255</v>
      </c>
      <c r="D1256" s="23" t="s">
        <v>235</v>
      </c>
      <c r="G1256" s="23">
        <v>0</v>
      </c>
      <c r="I1256" s="217" t="s">
        <v>2293</v>
      </c>
    </row>
    <row r="1257" spans="1:9">
      <c r="A1257" s="23">
        <v>1257</v>
      </c>
      <c r="B1257" s="84">
        <v>45855</v>
      </c>
      <c r="C1257" s="23" t="s">
        <v>912</v>
      </c>
      <c r="D1257" s="23" t="s">
        <v>235</v>
      </c>
      <c r="G1257" s="23">
        <v>0.25</v>
      </c>
      <c r="I1257" s="217" t="s">
        <v>1236</v>
      </c>
    </row>
    <row r="1258" spans="1:9">
      <c r="A1258" s="23">
        <v>1258</v>
      </c>
      <c r="B1258" s="84">
        <v>45855</v>
      </c>
      <c r="C1258" s="23" t="s">
        <v>912</v>
      </c>
      <c r="D1258" s="23" t="s">
        <v>213</v>
      </c>
      <c r="G1258" s="23">
        <v>0.25</v>
      </c>
      <c r="I1258" s="217" t="s">
        <v>2294</v>
      </c>
    </row>
    <row r="1259" spans="1:9">
      <c r="A1259" s="23">
        <v>1259</v>
      </c>
      <c r="B1259" s="84">
        <v>45855</v>
      </c>
      <c r="C1259" s="23" t="s">
        <v>760</v>
      </c>
      <c r="D1259" s="23" t="s">
        <v>213</v>
      </c>
      <c r="G1259" s="23">
        <v>0</v>
      </c>
      <c r="I1259" s="217" t="s">
        <v>2294</v>
      </c>
    </row>
    <row r="1260" spans="1:9">
      <c r="A1260" s="23">
        <v>1260</v>
      </c>
      <c r="B1260" s="84">
        <v>45855</v>
      </c>
      <c r="C1260" s="23" t="s">
        <v>911</v>
      </c>
      <c r="D1260" s="23" t="s">
        <v>209</v>
      </c>
      <c r="G1260" s="23">
        <v>0</v>
      </c>
      <c r="I1260" s="217" t="s">
        <v>2295</v>
      </c>
    </row>
    <row r="1261" spans="1:9">
      <c r="A1261" s="23">
        <v>1261</v>
      </c>
      <c r="B1261" s="84">
        <v>45855</v>
      </c>
      <c r="C1261" s="23" t="s">
        <v>217</v>
      </c>
      <c r="D1261" s="23" t="s">
        <v>222</v>
      </c>
      <c r="G1261" s="23">
        <v>0.54</v>
      </c>
      <c r="I1261" s="217" t="s">
        <v>2296</v>
      </c>
    </row>
    <row r="1262" spans="1:9">
      <c r="A1262" s="23">
        <v>1262</v>
      </c>
      <c r="B1262" s="84">
        <v>45855</v>
      </c>
      <c r="C1262" s="23" t="s">
        <v>367</v>
      </c>
      <c r="D1262" s="23" t="s">
        <v>216</v>
      </c>
      <c r="G1262" s="23">
        <v>0</v>
      </c>
      <c r="I1262" s="217" t="s">
        <v>2297</v>
      </c>
    </row>
    <row r="1263" spans="1:9">
      <c r="A1263" s="23">
        <v>1263</v>
      </c>
      <c r="B1263" s="84">
        <v>45855</v>
      </c>
      <c r="C1263" s="23" t="s">
        <v>914</v>
      </c>
      <c r="D1263" s="23" t="s">
        <v>230</v>
      </c>
      <c r="G1263" s="23">
        <v>0.8</v>
      </c>
      <c r="I1263" s="217" t="s">
        <v>2298</v>
      </c>
    </row>
    <row r="1264" spans="1:9">
      <c r="A1264" s="23">
        <v>1264</v>
      </c>
      <c r="B1264" s="84">
        <v>45855</v>
      </c>
      <c r="C1264" s="23" t="s">
        <v>915</v>
      </c>
      <c r="D1264" s="23" t="s">
        <v>240</v>
      </c>
      <c r="G1264" s="23">
        <v>0.8</v>
      </c>
      <c r="I1264" s="217" t="s">
        <v>2299</v>
      </c>
    </row>
    <row r="1265" spans="1:9" ht="27.6">
      <c r="A1265" s="23">
        <v>1265</v>
      </c>
      <c r="B1265" s="84">
        <v>45855</v>
      </c>
      <c r="C1265" s="23" t="s">
        <v>699</v>
      </c>
      <c r="D1265" s="23" t="s">
        <v>235</v>
      </c>
      <c r="G1265" s="23">
        <v>0</v>
      </c>
      <c r="H1265" s="94" t="s">
        <v>913</v>
      </c>
      <c r="I1265" s="217" t="s">
        <v>2300</v>
      </c>
    </row>
    <row r="1266" spans="1:9">
      <c r="A1266" s="23">
        <v>1266</v>
      </c>
      <c r="B1266" s="84">
        <v>45855</v>
      </c>
      <c r="C1266" s="23" t="s">
        <v>916</v>
      </c>
      <c r="D1266" s="23" t="s">
        <v>235</v>
      </c>
      <c r="G1266" s="23">
        <v>0.73</v>
      </c>
      <c r="I1266" s="217" t="s">
        <v>2301</v>
      </c>
    </row>
    <row r="1267" spans="1:9">
      <c r="A1267" s="23">
        <v>1267</v>
      </c>
      <c r="B1267" s="84">
        <v>45855</v>
      </c>
      <c r="C1267" s="23" t="s">
        <v>917</v>
      </c>
      <c r="D1267" s="23" t="s">
        <v>206</v>
      </c>
      <c r="G1267" s="23">
        <v>0.5</v>
      </c>
      <c r="I1267" s="217" t="s">
        <v>2302</v>
      </c>
    </row>
    <row r="1268" spans="1:9">
      <c r="A1268" s="23">
        <v>1268</v>
      </c>
      <c r="B1268" s="84">
        <v>45855</v>
      </c>
      <c r="C1268" s="23" t="s">
        <v>908</v>
      </c>
      <c r="D1268" s="23" t="s">
        <v>233</v>
      </c>
      <c r="G1268" s="23">
        <v>0</v>
      </c>
      <c r="I1268" s="217" t="s">
        <v>2303</v>
      </c>
    </row>
    <row r="1269" spans="1:9">
      <c r="A1269" s="23">
        <v>1269</v>
      </c>
      <c r="B1269" s="84">
        <v>45855</v>
      </c>
      <c r="C1269" s="23" t="s">
        <v>919</v>
      </c>
      <c r="D1269" s="23" t="s">
        <v>243</v>
      </c>
      <c r="G1269" s="23">
        <v>0.75</v>
      </c>
      <c r="I1269" s="217" t="s">
        <v>2304</v>
      </c>
    </row>
    <row r="1270" spans="1:9">
      <c r="A1270" s="23">
        <v>1270</v>
      </c>
      <c r="B1270" s="84">
        <v>45855</v>
      </c>
      <c r="C1270" s="23" t="s">
        <v>919</v>
      </c>
      <c r="D1270" s="23" t="s">
        <v>246</v>
      </c>
      <c r="G1270" s="23">
        <v>0.75</v>
      </c>
      <c r="I1270" s="217" t="s">
        <v>2305</v>
      </c>
    </row>
    <row r="1271" spans="1:9">
      <c r="A1271" s="23">
        <v>1271</v>
      </c>
      <c r="B1271" s="84">
        <v>45855</v>
      </c>
      <c r="C1271" s="23" t="s">
        <v>700</v>
      </c>
      <c r="D1271" s="23" t="s">
        <v>230</v>
      </c>
      <c r="G1271" s="23">
        <v>0</v>
      </c>
      <c r="I1271" s="217" t="s">
        <v>2306</v>
      </c>
    </row>
    <row r="1272" spans="1:9">
      <c r="A1272" s="23">
        <v>1272</v>
      </c>
      <c r="B1272" s="84">
        <v>45855</v>
      </c>
      <c r="C1272" s="23" t="s">
        <v>863</v>
      </c>
      <c r="D1272" s="23" t="s">
        <v>240</v>
      </c>
      <c r="G1272" s="23">
        <v>0</v>
      </c>
      <c r="I1272" s="217" t="s">
        <v>2307</v>
      </c>
    </row>
    <row r="1273" spans="1:9" ht="28.15">
      <c r="A1273" s="23">
        <v>1273</v>
      </c>
      <c r="B1273" s="84">
        <v>45855</v>
      </c>
      <c r="C1273" s="23" t="s">
        <v>907</v>
      </c>
      <c r="D1273" s="23" t="s">
        <v>219</v>
      </c>
      <c r="G1273" s="23">
        <v>0</v>
      </c>
      <c r="H1273" s="535" t="s">
        <v>2308</v>
      </c>
      <c r="I1273" s="217" t="s">
        <v>2309</v>
      </c>
    </row>
    <row r="1274" spans="1:9" ht="28.15">
      <c r="A1274" s="23">
        <v>1274</v>
      </c>
      <c r="B1274" s="84">
        <v>45855</v>
      </c>
      <c r="C1274" s="23" t="s">
        <v>907</v>
      </c>
      <c r="D1274" s="23" t="s">
        <v>222</v>
      </c>
      <c r="G1274" s="23">
        <v>0</v>
      </c>
      <c r="H1274" s="535" t="s">
        <v>2308</v>
      </c>
      <c r="I1274" s="217" t="s">
        <v>2310</v>
      </c>
    </row>
    <row r="1275" spans="1:9">
      <c r="A1275" s="23">
        <v>1275</v>
      </c>
      <c r="B1275" s="84">
        <v>45855</v>
      </c>
      <c r="C1275" s="23" t="s">
        <v>859</v>
      </c>
      <c r="D1275" s="23" t="s">
        <v>243</v>
      </c>
      <c r="G1275" s="23">
        <v>0</v>
      </c>
      <c r="H1275" s="535"/>
      <c r="I1275" s="217" t="s">
        <v>2304</v>
      </c>
    </row>
    <row r="1276" spans="1:9">
      <c r="A1276" s="23">
        <v>1276</v>
      </c>
      <c r="B1276" s="84">
        <v>45855</v>
      </c>
      <c r="C1276" s="23" t="s">
        <v>921</v>
      </c>
      <c r="D1276" s="23" t="s">
        <v>227</v>
      </c>
      <c r="G1276" s="23">
        <v>0.75</v>
      </c>
      <c r="I1276" s="217" t="s">
        <v>2311</v>
      </c>
    </row>
    <row r="1277" spans="1:9">
      <c r="A1277" s="23">
        <v>1277</v>
      </c>
      <c r="B1277" s="84">
        <v>45855</v>
      </c>
      <c r="C1277" s="23" t="s">
        <v>220</v>
      </c>
      <c r="D1277" s="23" t="s">
        <v>213</v>
      </c>
      <c r="G1277" s="23">
        <v>0.56000000000000005</v>
      </c>
      <c r="I1277" s="217" t="s">
        <v>2312</v>
      </c>
    </row>
    <row r="1278" spans="1:9">
      <c r="A1278" s="23">
        <v>1278</v>
      </c>
      <c r="B1278" s="84">
        <v>45855</v>
      </c>
      <c r="C1278" s="23" t="s">
        <v>277</v>
      </c>
      <c r="D1278" s="23" t="s">
        <v>235</v>
      </c>
      <c r="G1278" s="23">
        <v>0</v>
      </c>
      <c r="I1278" s="217" t="s">
        <v>2313</v>
      </c>
    </row>
    <row r="1279" spans="1:9">
      <c r="A1279" s="23">
        <v>1279</v>
      </c>
      <c r="B1279" s="84">
        <v>45855</v>
      </c>
      <c r="C1279" s="23" t="s">
        <v>920</v>
      </c>
      <c r="D1279" s="23" t="s">
        <v>246</v>
      </c>
      <c r="G1279" s="23">
        <v>0</v>
      </c>
      <c r="I1279" s="217" t="s">
        <v>2314</v>
      </c>
    </row>
    <row r="1280" spans="1:9">
      <c r="A1280" s="23">
        <v>1280</v>
      </c>
      <c r="B1280" s="84">
        <v>45855</v>
      </c>
      <c r="C1280" s="23" t="s">
        <v>517</v>
      </c>
      <c r="D1280" s="23" t="s">
        <v>222</v>
      </c>
      <c r="G1280" s="23">
        <v>0.5</v>
      </c>
      <c r="I1280" s="217" t="s">
        <v>2315</v>
      </c>
    </row>
    <row r="1281" spans="1:9">
      <c r="A1281" s="23">
        <v>1281</v>
      </c>
      <c r="B1281" s="84">
        <v>45855</v>
      </c>
      <c r="C1281" s="23" t="s">
        <v>517</v>
      </c>
      <c r="D1281" s="23" t="s">
        <v>216</v>
      </c>
      <c r="G1281" s="23">
        <v>0.5</v>
      </c>
      <c r="I1281" s="217" t="s">
        <v>2316</v>
      </c>
    </row>
    <row r="1282" spans="1:9">
      <c r="A1282" s="23">
        <v>1282</v>
      </c>
      <c r="B1282" s="84">
        <v>45855</v>
      </c>
      <c r="C1282" s="23" t="s">
        <v>442</v>
      </c>
      <c r="D1282" s="23" t="s">
        <v>240</v>
      </c>
      <c r="G1282" s="23">
        <v>0.75</v>
      </c>
      <c r="I1282" s="217" t="s">
        <v>2317</v>
      </c>
    </row>
    <row r="1283" spans="1:9">
      <c r="A1283" s="23">
        <v>1283</v>
      </c>
      <c r="B1283" s="84">
        <v>45855</v>
      </c>
      <c r="C1283" s="23" t="s">
        <v>442</v>
      </c>
      <c r="D1283" s="23" t="s">
        <v>230</v>
      </c>
      <c r="G1283" s="23">
        <v>0.75</v>
      </c>
      <c r="I1283" s="217" t="s">
        <v>2318</v>
      </c>
    </row>
    <row r="1284" spans="1:9">
      <c r="A1284" s="23">
        <v>1284</v>
      </c>
      <c r="B1284" s="84">
        <v>45855</v>
      </c>
      <c r="C1284" s="23" t="s">
        <v>443</v>
      </c>
      <c r="D1284" s="23" t="s">
        <v>227</v>
      </c>
      <c r="G1284" s="23">
        <v>0</v>
      </c>
      <c r="I1284" s="217" t="s">
        <v>2319</v>
      </c>
    </row>
    <row r="1285" spans="1:9">
      <c r="A1285" s="23">
        <v>1285</v>
      </c>
      <c r="B1285" s="84">
        <v>45855</v>
      </c>
      <c r="C1285" s="23" t="s">
        <v>551</v>
      </c>
      <c r="D1285" s="23" t="s">
        <v>230</v>
      </c>
      <c r="G1285" s="23">
        <v>0</v>
      </c>
      <c r="I1285" s="217" t="s">
        <v>2320</v>
      </c>
    </row>
    <row r="1286" spans="1:9">
      <c r="A1286" s="23">
        <v>1286</v>
      </c>
      <c r="B1286" s="84">
        <v>45855</v>
      </c>
      <c r="C1286" s="23" t="s">
        <v>794</v>
      </c>
      <c r="D1286" s="23" t="s">
        <v>240</v>
      </c>
      <c r="G1286" s="23">
        <v>0</v>
      </c>
      <c r="I1286" s="217" t="s">
        <v>2321</v>
      </c>
    </row>
    <row r="1287" spans="1:9">
      <c r="A1287" s="23">
        <v>1287</v>
      </c>
      <c r="B1287" s="84">
        <v>45855</v>
      </c>
      <c r="C1287" s="23" t="s">
        <v>768</v>
      </c>
      <c r="D1287" s="23" t="s">
        <v>243</v>
      </c>
      <c r="G1287" s="23">
        <v>0.75</v>
      </c>
      <c r="I1287" s="217" t="s">
        <v>2322</v>
      </c>
    </row>
    <row r="1288" spans="1:9">
      <c r="A1288" s="23">
        <v>1288</v>
      </c>
      <c r="B1288" s="84">
        <v>45855</v>
      </c>
      <c r="C1288" s="23" t="s">
        <v>768</v>
      </c>
      <c r="D1288" s="23" t="s">
        <v>246</v>
      </c>
      <c r="G1288" s="23">
        <v>0.75</v>
      </c>
      <c r="I1288" s="217" t="s">
        <v>2323</v>
      </c>
    </row>
    <row r="1289" spans="1:9">
      <c r="A1289" s="23">
        <v>1289</v>
      </c>
      <c r="B1289" s="84">
        <v>45855</v>
      </c>
      <c r="C1289" s="23" t="s">
        <v>770</v>
      </c>
      <c r="D1289" s="23" t="s">
        <v>200</v>
      </c>
      <c r="G1289" s="23">
        <v>0</v>
      </c>
      <c r="I1289" s="217" t="s">
        <v>2324</v>
      </c>
    </row>
    <row r="1290" spans="1:9">
      <c r="A1290" s="23">
        <v>1290</v>
      </c>
      <c r="B1290" s="84">
        <v>45855</v>
      </c>
      <c r="C1290" s="23" t="s">
        <v>922</v>
      </c>
      <c r="D1290" s="23" t="s">
        <v>243</v>
      </c>
      <c r="G1290" s="23">
        <v>0</v>
      </c>
      <c r="I1290" s="217" t="s">
        <v>2325</v>
      </c>
    </row>
    <row r="1291" spans="1:9">
      <c r="A1291" s="23">
        <v>1291</v>
      </c>
      <c r="B1291" s="84">
        <v>45855</v>
      </c>
      <c r="C1291" s="23" t="s">
        <v>923</v>
      </c>
      <c r="D1291" s="23" t="s">
        <v>246</v>
      </c>
      <c r="G1291" s="23">
        <v>0</v>
      </c>
      <c r="I1291" s="217" t="s">
        <v>2326</v>
      </c>
    </row>
    <row r="1292" spans="1:9">
      <c r="A1292" s="23">
        <v>1292</v>
      </c>
      <c r="B1292" s="84">
        <v>45856</v>
      </c>
      <c r="C1292" s="23" t="s">
        <v>223</v>
      </c>
      <c r="D1292" s="23" t="s">
        <v>222</v>
      </c>
      <c r="G1292" s="23">
        <v>0</v>
      </c>
      <c r="I1292" s="217" t="s">
        <v>2327</v>
      </c>
    </row>
    <row r="1293" spans="1:9">
      <c r="A1293" s="23">
        <v>1293</v>
      </c>
      <c r="B1293" s="84">
        <v>45856</v>
      </c>
      <c r="C1293" s="23" t="s">
        <v>635</v>
      </c>
      <c r="D1293" s="23" t="s">
        <v>194</v>
      </c>
      <c r="G1293" s="23">
        <v>0</v>
      </c>
      <c r="I1293" s="217" t="s">
        <v>2328</v>
      </c>
    </row>
    <row r="1294" spans="1:9">
      <c r="A1294" s="23">
        <v>1294</v>
      </c>
      <c r="B1294" s="84">
        <v>45856</v>
      </c>
      <c r="C1294" s="23" t="s">
        <v>218</v>
      </c>
      <c r="D1294" s="23" t="s">
        <v>219</v>
      </c>
      <c r="G1294" s="23">
        <v>0.36499999999999999</v>
      </c>
      <c r="I1294" s="217" t="s">
        <v>2329</v>
      </c>
    </row>
    <row r="1295" spans="1:9">
      <c r="A1295" s="23">
        <v>1295</v>
      </c>
      <c r="B1295" s="84">
        <v>45856</v>
      </c>
      <c r="C1295" s="23" t="s">
        <v>901</v>
      </c>
      <c r="D1295" s="23" t="s">
        <v>216</v>
      </c>
      <c r="G1295" s="23">
        <v>0</v>
      </c>
      <c r="I1295" s="217" t="s">
        <v>2330</v>
      </c>
    </row>
    <row r="1296" spans="1:9">
      <c r="A1296" s="23">
        <v>1296</v>
      </c>
      <c r="B1296" s="84">
        <v>45856</v>
      </c>
      <c r="C1296" s="23" t="s">
        <v>635</v>
      </c>
      <c r="D1296" s="23" t="s">
        <v>194</v>
      </c>
      <c r="G1296" s="23" t="s">
        <v>9</v>
      </c>
      <c r="I1296" s="217" t="s">
        <v>1236</v>
      </c>
    </row>
    <row r="1297" spans="1:9">
      <c r="A1297" s="23">
        <v>1297</v>
      </c>
      <c r="B1297" s="84">
        <v>45856</v>
      </c>
      <c r="C1297" s="23" t="s">
        <v>924</v>
      </c>
      <c r="D1297" s="23" t="s">
        <v>200</v>
      </c>
      <c r="G1297" s="23">
        <v>2</v>
      </c>
      <c r="I1297" s="217" t="s">
        <v>2331</v>
      </c>
    </row>
    <row r="1298" spans="1:9">
      <c r="A1298" s="23">
        <v>1298</v>
      </c>
      <c r="B1298" s="84">
        <v>45856</v>
      </c>
      <c r="C1298" s="23" t="s">
        <v>910</v>
      </c>
      <c r="D1298" s="23" t="s">
        <v>203</v>
      </c>
      <c r="G1298" s="23">
        <v>0</v>
      </c>
      <c r="I1298" s="217" t="s">
        <v>2332</v>
      </c>
    </row>
    <row r="1299" spans="1:9">
      <c r="A1299" s="23">
        <v>1299</v>
      </c>
      <c r="B1299" s="84">
        <v>45856</v>
      </c>
      <c r="C1299" s="23" t="s">
        <v>925</v>
      </c>
      <c r="D1299" s="23" t="s">
        <v>222</v>
      </c>
      <c r="G1299" s="23">
        <v>0.67</v>
      </c>
      <c r="I1299" s="217" t="s">
        <v>2333</v>
      </c>
    </row>
    <row r="1300" spans="1:9">
      <c r="A1300" s="23">
        <v>1300</v>
      </c>
      <c r="B1300" s="84">
        <v>45856</v>
      </c>
      <c r="C1300" s="23" t="s">
        <v>286</v>
      </c>
      <c r="D1300" s="23" t="s">
        <v>194</v>
      </c>
      <c r="G1300" s="23">
        <v>0</v>
      </c>
      <c r="I1300" s="217" t="s">
        <v>2334</v>
      </c>
    </row>
    <row r="1301" spans="1:9">
      <c r="A1301" s="23">
        <v>1301</v>
      </c>
      <c r="B1301" s="84">
        <v>45856</v>
      </c>
      <c r="C1301" s="23" t="s">
        <v>236</v>
      </c>
      <c r="D1301" s="23" t="s">
        <v>235</v>
      </c>
      <c r="G1301" s="23">
        <v>0.47</v>
      </c>
      <c r="I1301" s="217" t="s">
        <v>2335</v>
      </c>
    </row>
    <row r="1302" spans="1:9">
      <c r="A1302" s="23">
        <v>1302</v>
      </c>
      <c r="B1302" s="84">
        <v>45856</v>
      </c>
      <c r="C1302" s="23" t="s">
        <v>215</v>
      </c>
      <c r="D1302" s="23" t="s">
        <v>213</v>
      </c>
      <c r="G1302" s="23">
        <v>0</v>
      </c>
      <c r="I1302" s="217" t="s">
        <v>2336</v>
      </c>
    </row>
    <row r="1303" spans="1:9">
      <c r="A1303" s="23">
        <v>1303</v>
      </c>
      <c r="B1303" s="84">
        <v>45856</v>
      </c>
      <c r="C1303" s="23" t="s">
        <v>410</v>
      </c>
      <c r="D1303" s="23" t="s">
        <v>194</v>
      </c>
      <c r="G1303" s="23">
        <v>3</v>
      </c>
      <c r="I1303" s="217" t="s">
        <v>2337</v>
      </c>
    </row>
    <row r="1304" spans="1:9">
      <c r="A1304" s="23">
        <v>1304</v>
      </c>
      <c r="B1304" s="84">
        <v>45856</v>
      </c>
      <c r="C1304" s="23" t="s">
        <v>918</v>
      </c>
      <c r="D1304" s="23" t="s">
        <v>206</v>
      </c>
      <c r="G1304" s="23">
        <v>0</v>
      </c>
      <c r="I1304" s="217" t="s">
        <v>2338</v>
      </c>
    </row>
    <row r="1305" spans="1:9">
      <c r="A1305" s="23">
        <v>1305</v>
      </c>
      <c r="B1305" s="84">
        <v>45856</v>
      </c>
      <c r="C1305" s="23" t="s">
        <v>292</v>
      </c>
      <c r="D1305" s="23" t="s">
        <v>219</v>
      </c>
      <c r="G1305" s="23">
        <v>0</v>
      </c>
      <c r="I1305" s="217" t="s">
        <v>2339</v>
      </c>
    </row>
    <row r="1306" spans="1:9">
      <c r="A1306" s="23">
        <v>1306</v>
      </c>
      <c r="B1306" s="84">
        <v>45856</v>
      </c>
      <c r="C1306" s="23" t="s">
        <v>292</v>
      </c>
      <c r="D1306" s="23" t="s">
        <v>222</v>
      </c>
      <c r="G1306" s="23">
        <v>0</v>
      </c>
      <c r="I1306" s="217" t="s">
        <v>2340</v>
      </c>
    </row>
    <row r="1307" spans="1:9">
      <c r="A1307" s="23">
        <v>1307</v>
      </c>
      <c r="B1307" s="84">
        <v>45856</v>
      </c>
      <c r="C1307" s="23" t="s">
        <v>293</v>
      </c>
      <c r="D1307" s="23" t="s">
        <v>233</v>
      </c>
      <c r="G1307" s="23">
        <v>1</v>
      </c>
      <c r="I1307" s="217" t="s">
        <v>2341</v>
      </c>
    </row>
    <row r="1308" spans="1:9">
      <c r="A1308" s="23">
        <v>1308</v>
      </c>
      <c r="B1308" s="84">
        <v>45856</v>
      </c>
      <c r="C1308" s="23" t="s">
        <v>928</v>
      </c>
      <c r="D1308" s="23" t="s">
        <v>216</v>
      </c>
      <c r="G1308" s="23">
        <v>0.5</v>
      </c>
      <c r="I1308" s="217" t="s">
        <v>2342</v>
      </c>
    </row>
    <row r="1309" spans="1:9">
      <c r="A1309" s="23">
        <v>1309</v>
      </c>
      <c r="B1309" s="84">
        <v>45856</v>
      </c>
      <c r="C1309" s="23" t="s">
        <v>928</v>
      </c>
      <c r="D1309" s="23" t="s">
        <v>222</v>
      </c>
      <c r="G1309" s="23">
        <v>0.5</v>
      </c>
      <c r="I1309" s="217" t="s">
        <v>2343</v>
      </c>
    </row>
    <row r="1310" spans="1:9">
      <c r="A1310" s="23">
        <v>1310</v>
      </c>
      <c r="B1310" s="84">
        <v>45856</v>
      </c>
      <c r="C1310" s="23" t="s">
        <v>926</v>
      </c>
      <c r="D1310" s="23" t="s">
        <v>235</v>
      </c>
      <c r="G1310" s="23">
        <v>0</v>
      </c>
      <c r="I1310" s="217" t="s">
        <v>2344</v>
      </c>
    </row>
    <row r="1311" spans="1:9">
      <c r="A1311" s="23">
        <v>1311</v>
      </c>
      <c r="B1311" s="84">
        <v>45856</v>
      </c>
      <c r="C1311" s="23" t="s">
        <v>338</v>
      </c>
      <c r="D1311" s="23" t="s">
        <v>235</v>
      </c>
      <c r="G1311" s="23">
        <v>0.5</v>
      </c>
      <c r="I1311" s="217" t="s">
        <v>1236</v>
      </c>
    </row>
    <row r="1312" spans="1:9">
      <c r="A1312" s="23">
        <v>1312</v>
      </c>
      <c r="B1312" s="84">
        <v>45856</v>
      </c>
      <c r="C1312" s="23" t="s">
        <v>338</v>
      </c>
      <c r="D1312" s="23" t="s">
        <v>213</v>
      </c>
      <c r="G1312" s="23">
        <v>0.5</v>
      </c>
      <c r="I1312" s="217" t="s">
        <v>2345</v>
      </c>
    </row>
    <row r="1313" spans="1:9">
      <c r="A1313" s="23">
        <v>1313</v>
      </c>
      <c r="B1313" s="84">
        <v>45856</v>
      </c>
      <c r="C1313" s="23" t="s">
        <v>338</v>
      </c>
      <c r="D1313" s="23" t="s">
        <v>213</v>
      </c>
      <c r="G1313" s="23">
        <v>0</v>
      </c>
      <c r="I1313" s="217" t="s">
        <v>2345</v>
      </c>
    </row>
    <row r="1314" spans="1:9">
      <c r="A1314" s="23">
        <v>1314</v>
      </c>
      <c r="B1314" s="84">
        <v>45856</v>
      </c>
      <c r="C1314" s="23" t="s">
        <v>370</v>
      </c>
      <c r="D1314" s="23" t="s">
        <v>227</v>
      </c>
      <c r="G1314" s="23">
        <v>0.8</v>
      </c>
      <c r="I1314" s="217" t="s">
        <v>2346</v>
      </c>
    </row>
    <row r="1315" spans="1:9">
      <c r="A1315" s="23">
        <v>1315</v>
      </c>
      <c r="B1315" s="84">
        <v>45856</v>
      </c>
      <c r="C1315" s="23" t="s">
        <v>479</v>
      </c>
      <c r="D1315" s="23" t="s">
        <v>235</v>
      </c>
      <c r="G1315" s="23">
        <v>0</v>
      </c>
      <c r="I1315" s="217" t="s">
        <v>2347</v>
      </c>
    </row>
    <row r="1316" spans="1:9">
      <c r="A1316" s="23">
        <v>1316</v>
      </c>
      <c r="B1316" s="84">
        <v>45856</v>
      </c>
      <c r="C1316" s="23" t="s">
        <v>486</v>
      </c>
      <c r="D1316" s="23" t="s">
        <v>230</v>
      </c>
      <c r="G1316" s="23">
        <v>0.8</v>
      </c>
      <c r="I1316" s="217" t="s">
        <v>2348</v>
      </c>
    </row>
    <row r="1317" spans="1:9">
      <c r="A1317" s="23">
        <v>1317</v>
      </c>
      <c r="B1317" s="84">
        <v>45856</v>
      </c>
      <c r="C1317" s="23" t="s">
        <v>751</v>
      </c>
      <c r="D1317" s="23" t="s">
        <v>240</v>
      </c>
      <c r="G1317" s="23">
        <v>0.75</v>
      </c>
      <c r="I1317" s="217" t="s">
        <v>2349</v>
      </c>
    </row>
    <row r="1318" spans="1:9">
      <c r="A1318" s="23">
        <v>1318</v>
      </c>
      <c r="B1318" s="84">
        <v>45856</v>
      </c>
      <c r="C1318" s="23" t="s">
        <v>750</v>
      </c>
      <c r="D1318" s="23" t="s">
        <v>243</v>
      </c>
      <c r="G1318" s="23">
        <v>0.8</v>
      </c>
      <c r="I1318" s="217" t="s">
        <v>2350</v>
      </c>
    </row>
    <row r="1319" spans="1:9">
      <c r="A1319" s="23">
        <v>1319</v>
      </c>
      <c r="B1319" s="84">
        <v>45856</v>
      </c>
      <c r="C1319" s="23" t="s">
        <v>651</v>
      </c>
      <c r="D1319" s="23" t="s">
        <v>235</v>
      </c>
      <c r="G1319" s="23">
        <v>0.5</v>
      </c>
      <c r="I1319" s="217" t="s">
        <v>1236</v>
      </c>
    </row>
    <row r="1320" spans="1:9">
      <c r="A1320" s="23">
        <v>1320</v>
      </c>
      <c r="B1320" s="84">
        <v>45856</v>
      </c>
      <c r="C1320" s="23" t="s">
        <v>429</v>
      </c>
      <c r="D1320" s="23" t="s">
        <v>227</v>
      </c>
      <c r="G1320" s="23">
        <v>0</v>
      </c>
      <c r="I1320" s="217" t="s">
        <v>2346</v>
      </c>
    </row>
    <row r="1321" spans="1:9">
      <c r="A1321" s="23">
        <v>1321</v>
      </c>
      <c r="B1321" s="84">
        <v>45856</v>
      </c>
      <c r="C1321" s="23" t="s">
        <v>932</v>
      </c>
      <c r="D1321" s="23" t="s">
        <v>246</v>
      </c>
      <c r="G1321" s="23">
        <v>0.8</v>
      </c>
      <c r="I1321" s="217" t="s">
        <v>2351</v>
      </c>
    </row>
    <row r="1322" spans="1:9">
      <c r="A1322" s="23">
        <v>1322</v>
      </c>
      <c r="B1322" s="84">
        <v>45856</v>
      </c>
      <c r="C1322" s="23" t="s">
        <v>419</v>
      </c>
      <c r="D1322" s="23" t="s">
        <v>230</v>
      </c>
      <c r="G1322" s="23">
        <v>0</v>
      </c>
      <c r="I1322" s="217" t="s">
        <v>2352</v>
      </c>
    </row>
    <row r="1323" spans="1:9">
      <c r="A1323" s="23">
        <v>1323</v>
      </c>
      <c r="B1323" s="84">
        <v>45856</v>
      </c>
      <c r="C1323" s="23" t="s">
        <v>929</v>
      </c>
      <c r="D1323" s="23" t="s">
        <v>240</v>
      </c>
      <c r="G1323" s="23">
        <v>0</v>
      </c>
      <c r="I1323" s="217" t="s">
        <v>2353</v>
      </c>
    </row>
    <row r="1324" spans="1:9">
      <c r="A1324" s="23">
        <v>1324</v>
      </c>
      <c r="B1324" s="84">
        <v>45856</v>
      </c>
      <c r="C1324" s="23" t="s">
        <v>498</v>
      </c>
      <c r="D1324" s="23" t="s">
        <v>209</v>
      </c>
      <c r="G1324" s="23">
        <v>3.8</v>
      </c>
      <c r="I1324" s="217" t="s">
        <v>2354</v>
      </c>
    </row>
    <row r="1325" spans="1:9">
      <c r="A1325" s="23">
        <v>1325</v>
      </c>
      <c r="B1325" s="84">
        <v>45856</v>
      </c>
      <c r="C1325" s="23" t="s">
        <v>930</v>
      </c>
      <c r="D1325" s="23" t="s">
        <v>243</v>
      </c>
      <c r="G1325" s="23">
        <v>0</v>
      </c>
      <c r="I1325" s="217" t="s">
        <v>2355</v>
      </c>
    </row>
    <row r="1326" spans="1:9">
      <c r="A1326" s="23">
        <v>1326</v>
      </c>
      <c r="B1326" s="84">
        <v>45856</v>
      </c>
      <c r="C1326" s="23" t="s">
        <v>701</v>
      </c>
      <c r="D1326" s="23" t="s">
        <v>246</v>
      </c>
      <c r="G1326" s="23">
        <v>0</v>
      </c>
      <c r="I1326" s="217" t="s">
        <v>2356</v>
      </c>
    </row>
    <row r="1327" spans="1:9">
      <c r="A1327" s="23">
        <v>1327</v>
      </c>
      <c r="B1327" s="84">
        <v>45856</v>
      </c>
      <c r="C1327" s="23" t="s">
        <v>568</v>
      </c>
      <c r="D1327" s="23" t="s">
        <v>222</v>
      </c>
      <c r="G1327" s="23">
        <v>0</v>
      </c>
      <c r="I1327" s="217" t="s">
        <v>2357</v>
      </c>
    </row>
    <row r="1328" spans="1:9">
      <c r="A1328" s="23">
        <v>1328</v>
      </c>
      <c r="B1328" s="84">
        <v>45856</v>
      </c>
      <c r="C1328" s="23" t="s">
        <v>568</v>
      </c>
      <c r="D1328" s="23" t="s">
        <v>216</v>
      </c>
      <c r="G1328" s="23">
        <v>0</v>
      </c>
      <c r="I1328" s="217" t="s">
        <v>2358</v>
      </c>
    </row>
    <row r="1329" spans="1:9">
      <c r="A1329" s="23">
        <v>1329</v>
      </c>
      <c r="B1329" s="84">
        <v>45856</v>
      </c>
      <c r="C1329" s="23" t="s">
        <v>933</v>
      </c>
      <c r="D1329" s="23" t="s">
        <v>222</v>
      </c>
      <c r="G1329" s="23">
        <v>0.5</v>
      </c>
      <c r="I1329" s="217" t="s">
        <v>2359</v>
      </c>
    </row>
    <row r="1330" spans="1:9">
      <c r="A1330" s="23">
        <v>1330</v>
      </c>
      <c r="B1330" s="84">
        <v>45856</v>
      </c>
      <c r="C1330" s="23" t="s">
        <v>933</v>
      </c>
      <c r="D1330" s="23" t="s">
        <v>216</v>
      </c>
      <c r="G1330" s="23">
        <v>0.5</v>
      </c>
      <c r="I1330" s="217" t="s">
        <v>2360</v>
      </c>
    </row>
    <row r="1331" spans="1:9">
      <c r="A1331" s="23">
        <v>1331</v>
      </c>
      <c r="B1331" s="84">
        <v>45856</v>
      </c>
      <c r="C1331" s="23" t="s">
        <v>931</v>
      </c>
      <c r="D1331" s="23" t="s">
        <v>235</v>
      </c>
      <c r="G1331" s="23">
        <v>0</v>
      </c>
      <c r="H1331" s="23" t="s">
        <v>1816</v>
      </c>
      <c r="I1331" s="217" t="s">
        <v>2361</v>
      </c>
    </row>
    <row r="1332" spans="1:9">
      <c r="A1332" s="23">
        <v>1332</v>
      </c>
      <c r="B1332" s="84">
        <v>45856</v>
      </c>
      <c r="C1332" s="23" t="s">
        <v>935</v>
      </c>
      <c r="D1332" s="23" t="s">
        <v>206</v>
      </c>
      <c r="G1332" s="23">
        <v>2</v>
      </c>
      <c r="I1332" s="217" t="s">
        <v>2362</v>
      </c>
    </row>
    <row r="1333" spans="1:9">
      <c r="A1333" s="23">
        <v>1333</v>
      </c>
      <c r="B1333" s="84">
        <v>45856</v>
      </c>
      <c r="C1333" s="23" t="s">
        <v>261</v>
      </c>
      <c r="D1333" s="23" t="s">
        <v>203</v>
      </c>
      <c r="G1333" s="23">
        <v>6.7</v>
      </c>
      <c r="I1333" s="217" t="s">
        <v>2363</v>
      </c>
    </row>
    <row r="1334" spans="1:9">
      <c r="A1334" s="23">
        <v>1334</v>
      </c>
      <c r="B1334" s="84">
        <v>45856</v>
      </c>
      <c r="C1334" s="23" t="s">
        <v>927</v>
      </c>
      <c r="D1334" s="23" t="s">
        <v>233</v>
      </c>
      <c r="G1334" s="23">
        <v>0</v>
      </c>
      <c r="I1334" s="217" t="s">
        <v>2364</v>
      </c>
    </row>
    <row r="1335" spans="1:9" ht="28.15">
      <c r="A1335" s="23">
        <v>1335</v>
      </c>
      <c r="B1335" s="84">
        <v>45856</v>
      </c>
      <c r="C1335" s="23" t="s">
        <v>193</v>
      </c>
      <c r="D1335" s="23" t="s">
        <v>200</v>
      </c>
      <c r="G1335" s="23">
        <v>0</v>
      </c>
      <c r="H1335" s="535" t="s">
        <v>2365</v>
      </c>
      <c r="I1335" s="217" t="s">
        <v>2366</v>
      </c>
    </row>
    <row r="1336" spans="1:9" ht="28.15">
      <c r="A1336" s="23">
        <v>1336</v>
      </c>
      <c r="B1336" s="84">
        <v>45856</v>
      </c>
      <c r="C1336" s="23" t="s">
        <v>193</v>
      </c>
      <c r="D1336" s="23" t="s">
        <v>197</v>
      </c>
      <c r="G1336" s="23">
        <v>0</v>
      </c>
      <c r="H1336" s="535" t="s">
        <v>2365</v>
      </c>
      <c r="I1336" s="217" t="s">
        <v>2367</v>
      </c>
    </row>
    <row r="1337" spans="1:9" ht="28.15">
      <c r="A1337" s="23">
        <v>1337</v>
      </c>
      <c r="B1337" s="84">
        <v>45856</v>
      </c>
      <c r="C1337" s="23" t="s">
        <v>193</v>
      </c>
      <c r="D1337" s="23" t="s">
        <v>203</v>
      </c>
      <c r="G1337" s="23">
        <v>0</v>
      </c>
      <c r="H1337" s="535" t="s">
        <v>2365</v>
      </c>
      <c r="I1337" s="217" t="s">
        <v>2363</v>
      </c>
    </row>
    <row r="1338" spans="1:9" ht="28.15">
      <c r="A1338" s="23">
        <v>1338</v>
      </c>
      <c r="B1338" s="84">
        <v>45856</v>
      </c>
      <c r="C1338" s="23" t="s">
        <v>193</v>
      </c>
      <c r="D1338" s="23" t="s">
        <v>209</v>
      </c>
      <c r="G1338" s="23">
        <v>0</v>
      </c>
      <c r="H1338" s="535" t="s">
        <v>2368</v>
      </c>
      <c r="I1338" s="217" t="s">
        <v>2369</v>
      </c>
    </row>
    <row r="1339" spans="1:9" ht="28.15">
      <c r="A1339" s="23">
        <v>1339</v>
      </c>
      <c r="B1339" s="84">
        <v>45856</v>
      </c>
      <c r="C1339" s="23" t="s">
        <v>193</v>
      </c>
      <c r="D1339" s="23" t="s">
        <v>206</v>
      </c>
      <c r="G1339" s="23">
        <v>0</v>
      </c>
      <c r="H1339" s="535" t="s">
        <v>2370</v>
      </c>
      <c r="I1339" s="217" t="s">
        <v>2362</v>
      </c>
    </row>
    <row r="1340" spans="1:9" ht="28.15">
      <c r="A1340" s="23">
        <v>1340</v>
      </c>
      <c r="B1340" s="84">
        <v>45856</v>
      </c>
      <c r="C1340" s="23" t="s">
        <v>193</v>
      </c>
      <c r="D1340" s="23" t="s">
        <v>194</v>
      </c>
      <c r="G1340" s="23">
        <v>0</v>
      </c>
      <c r="H1340" s="535" t="s">
        <v>2370</v>
      </c>
      <c r="I1340" s="217" t="s">
        <v>2371</v>
      </c>
    </row>
    <row r="1341" spans="1:9">
      <c r="A1341" s="23">
        <v>1341</v>
      </c>
      <c r="B1341" s="84">
        <v>45856</v>
      </c>
      <c r="C1341" s="23" t="s">
        <v>193</v>
      </c>
      <c r="D1341" s="23" t="s">
        <v>191</v>
      </c>
      <c r="G1341" s="23">
        <v>0</v>
      </c>
      <c r="H1341" s="538"/>
      <c r="I1341" s="217" t="s">
        <v>2372</v>
      </c>
    </row>
    <row r="1342" spans="1:9">
      <c r="A1342" s="23">
        <v>1342</v>
      </c>
      <c r="B1342" s="84">
        <v>45856</v>
      </c>
      <c r="C1342" s="23" t="s">
        <v>936</v>
      </c>
      <c r="D1342" s="23" t="s">
        <v>235</v>
      </c>
      <c r="G1342" s="23">
        <v>0.45</v>
      </c>
      <c r="I1342" s="217" t="s">
        <v>2373</v>
      </c>
    </row>
    <row r="1343" spans="1:9">
      <c r="A1343" s="23">
        <v>1343</v>
      </c>
      <c r="B1343" s="84">
        <v>45856</v>
      </c>
      <c r="C1343" s="23" t="s">
        <v>938</v>
      </c>
      <c r="D1343" s="23" t="s">
        <v>203</v>
      </c>
      <c r="G1343" s="23">
        <v>1.5</v>
      </c>
      <c r="I1343" s="217" t="s">
        <v>2374</v>
      </c>
    </row>
    <row r="1344" spans="1:9">
      <c r="A1344" s="23">
        <v>1344</v>
      </c>
      <c r="B1344" s="84">
        <v>45856</v>
      </c>
      <c r="C1344" s="23" t="s">
        <v>940</v>
      </c>
      <c r="D1344" s="23" t="s">
        <v>197</v>
      </c>
      <c r="G1344" s="23">
        <v>1.5</v>
      </c>
      <c r="I1344" s="217" t="s">
        <v>2375</v>
      </c>
    </row>
    <row r="1345" spans="1:9">
      <c r="A1345" s="23">
        <v>1345</v>
      </c>
      <c r="B1345" s="84">
        <v>45856</v>
      </c>
      <c r="C1345" s="23" t="s">
        <v>942</v>
      </c>
      <c r="D1345" s="23" t="s">
        <v>200</v>
      </c>
      <c r="G1345" s="23">
        <v>1.5</v>
      </c>
      <c r="I1345" s="217" t="s">
        <v>2376</v>
      </c>
    </row>
    <row r="1346" spans="1:9">
      <c r="A1346" s="23">
        <v>1346</v>
      </c>
      <c r="B1346" s="84">
        <v>45856</v>
      </c>
      <c r="C1346" s="23" t="s">
        <v>944</v>
      </c>
      <c r="D1346" s="23" t="s">
        <v>209</v>
      </c>
      <c r="G1346" s="23">
        <v>1.5</v>
      </c>
      <c r="I1346" s="217" t="s">
        <v>2377</v>
      </c>
    </row>
    <row r="1347" spans="1:9">
      <c r="A1347" s="23">
        <v>1347</v>
      </c>
      <c r="B1347" s="84">
        <v>45856</v>
      </c>
      <c r="C1347" s="23" t="s">
        <v>945</v>
      </c>
      <c r="D1347" s="23" t="s">
        <v>206</v>
      </c>
      <c r="G1347" s="23">
        <v>1.5</v>
      </c>
      <c r="I1347" s="217" t="s">
        <v>2378</v>
      </c>
    </row>
    <row r="1348" spans="1:9">
      <c r="A1348" s="23">
        <v>1348</v>
      </c>
      <c r="B1348" s="84">
        <v>45856</v>
      </c>
      <c r="C1348" s="23" t="s">
        <v>916</v>
      </c>
      <c r="D1348" s="23" t="s">
        <v>227</v>
      </c>
      <c r="G1348" s="23">
        <v>0.75</v>
      </c>
      <c r="I1348" s="217" t="s">
        <v>2379</v>
      </c>
    </row>
    <row r="1349" spans="1:9">
      <c r="A1349" s="23">
        <v>1349</v>
      </c>
      <c r="B1349" s="84">
        <v>45856</v>
      </c>
      <c r="C1349" s="23" t="s">
        <v>916</v>
      </c>
      <c r="D1349" s="23" t="s">
        <v>230</v>
      </c>
      <c r="G1349" s="23">
        <v>0.75</v>
      </c>
      <c r="I1349" s="217" t="s">
        <v>2380</v>
      </c>
    </row>
    <row r="1350" spans="1:9">
      <c r="A1350" s="23">
        <v>1350</v>
      </c>
      <c r="B1350" s="84">
        <v>45856</v>
      </c>
      <c r="C1350" s="23" t="s">
        <v>201</v>
      </c>
      <c r="D1350" s="23" t="s">
        <v>194</v>
      </c>
      <c r="G1350" s="23">
        <v>1.5</v>
      </c>
      <c r="I1350" s="217" t="s">
        <v>2381</v>
      </c>
    </row>
    <row r="1351" spans="1:9">
      <c r="A1351" s="23">
        <v>1351</v>
      </c>
      <c r="B1351" s="84">
        <v>45856</v>
      </c>
      <c r="C1351" s="23" t="s">
        <v>792</v>
      </c>
      <c r="D1351" s="23" t="s">
        <v>240</v>
      </c>
      <c r="G1351" s="23">
        <v>0.75</v>
      </c>
      <c r="I1351" s="217" t="s">
        <v>2382</v>
      </c>
    </row>
    <row r="1352" spans="1:9">
      <c r="A1352" s="23">
        <v>1352</v>
      </c>
      <c r="B1352" s="84">
        <v>45856</v>
      </c>
      <c r="C1352" s="23" t="s">
        <v>792</v>
      </c>
      <c r="D1352" s="23" t="s">
        <v>243</v>
      </c>
      <c r="G1352" s="23">
        <v>0.75</v>
      </c>
      <c r="I1352" s="217" t="s">
        <v>2383</v>
      </c>
    </row>
    <row r="1353" spans="1:9">
      <c r="A1353" s="23">
        <v>1353</v>
      </c>
      <c r="B1353" s="84">
        <v>45856</v>
      </c>
      <c r="C1353" s="23" t="s">
        <v>792</v>
      </c>
      <c r="D1353" s="23" t="s">
        <v>246</v>
      </c>
      <c r="G1353" s="23">
        <v>0.75</v>
      </c>
      <c r="I1353" s="217" t="s">
        <v>2384</v>
      </c>
    </row>
    <row r="1354" spans="1:9">
      <c r="A1354" s="23">
        <v>1354</v>
      </c>
      <c r="B1354" s="84">
        <v>45856</v>
      </c>
      <c r="C1354" s="23" t="s">
        <v>947</v>
      </c>
      <c r="D1354" s="23" t="s">
        <v>227</v>
      </c>
      <c r="G1354" s="23">
        <v>0</v>
      </c>
      <c r="I1354" s="217" t="s">
        <v>2379</v>
      </c>
    </row>
    <row r="1355" spans="1:9">
      <c r="A1355" s="23">
        <v>1355</v>
      </c>
      <c r="B1355" s="84">
        <v>45856</v>
      </c>
      <c r="C1355" s="23" t="s">
        <v>947</v>
      </c>
      <c r="D1355" s="23" t="s">
        <v>230</v>
      </c>
      <c r="G1355" s="23">
        <v>0</v>
      </c>
      <c r="I1355" s="217" t="s">
        <v>2380</v>
      </c>
    </row>
    <row r="1356" spans="1:9">
      <c r="A1356" s="23">
        <v>1356</v>
      </c>
      <c r="B1356" s="84">
        <v>45856</v>
      </c>
      <c r="C1356" s="23" t="s">
        <v>949</v>
      </c>
      <c r="D1356" s="23" t="s">
        <v>240</v>
      </c>
      <c r="G1356" s="23">
        <v>0</v>
      </c>
      <c r="I1356" s="217" t="s">
        <v>2382</v>
      </c>
    </row>
    <row r="1357" spans="1:9">
      <c r="A1357" s="23">
        <v>1357</v>
      </c>
      <c r="B1357" s="84">
        <v>45856</v>
      </c>
      <c r="C1357" s="23" t="s">
        <v>949</v>
      </c>
      <c r="D1357" s="23" t="s">
        <v>243</v>
      </c>
      <c r="G1357" s="23">
        <v>0</v>
      </c>
      <c r="I1357" s="217" t="s">
        <v>2383</v>
      </c>
    </row>
    <row r="1358" spans="1:9">
      <c r="A1358" s="23">
        <v>1358</v>
      </c>
      <c r="B1358" s="84">
        <v>45856</v>
      </c>
      <c r="C1358" s="23" t="s">
        <v>950</v>
      </c>
      <c r="D1358" s="23" t="s">
        <v>246</v>
      </c>
      <c r="G1358" s="23">
        <v>0</v>
      </c>
      <c r="I1358" s="217" t="s">
        <v>2384</v>
      </c>
    </row>
    <row r="1359" spans="1:9">
      <c r="A1359" s="23">
        <v>1359</v>
      </c>
      <c r="B1359" s="84">
        <v>45856</v>
      </c>
      <c r="C1359" s="23" t="s">
        <v>937</v>
      </c>
      <c r="D1359" s="23" t="s">
        <v>235</v>
      </c>
      <c r="G1359" s="23">
        <v>0</v>
      </c>
      <c r="I1359" s="217" t="s">
        <v>2385</v>
      </c>
    </row>
    <row r="1360" spans="1:9">
      <c r="A1360" s="23">
        <v>1362</v>
      </c>
      <c r="B1360" s="84">
        <v>45856</v>
      </c>
      <c r="C1360" s="23" t="s">
        <v>546</v>
      </c>
      <c r="D1360" s="23" t="s">
        <v>209</v>
      </c>
      <c r="G1360" s="23" t="s">
        <v>9</v>
      </c>
      <c r="H1360" s="23" t="s">
        <v>2386</v>
      </c>
      <c r="I1360" s="217" t="s">
        <v>2387</v>
      </c>
    </row>
    <row r="1361" spans="1:9">
      <c r="A1361" s="23">
        <v>1363</v>
      </c>
      <c r="B1361" s="84">
        <v>45856</v>
      </c>
      <c r="C1361" s="23" t="s">
        <v>797</v>
      </c>
      <c r="D1361" s="23" t="s">
        <v>240</v>
      </c>
      <c r="G1361" s="23">
        <v>0.75</v>
      </c>
      <c r="I1361" s="217" t="s">
        <v>2388</v>
      </c>
    </row>
    <row r="1362" spans="1:9">
      <c r="A1362" s="23">
        <v>1364</v>
      </c>
      <c r="B1362" s="84">
        <v>45856</v>
      </c>
      <c r="C1362" s="23" t="s">
        <v>797</v>
      </c>
      <c r="D1362" s="23" t="s">
        <v>227</v>
      </c>
      <c r="G1362" s="23">
        <v>0.75</v>
      </c>
      <c r="I1362" s="217" t="s">
        <v>2389</v>
      </c>
    </row>
    <row r="1363" spans="1:9">
      <c r="A1363" s="23">
        <v>1365</v>
      </c>
      <c r="B1363" s="84">
        <v>45856</v>
      </c>
      <c r="C1363" s="23" t="s">
        <v>797</v>
      </c>
      <c r="D1363" s="23" t="s">
        <v>230</v>
      </c>
      <c r="G1363" s="23">
        <v>0.75</v>
      </c>
      <c r="I1363" s="217" t="s">
        <v>2390</v>
      </c>
    </row>
    <row r="1364" spans="1:9">
      <c r="A1364" s="23">
        <v>1366</v>
      </c>
      <c r="B1364" s="84">
        <v>45856</v>
      </c>
      <c r="C1364" s="23" t="s">
        <v>755</v>
      </c>
      <c r="D1364" s="23" t="s">
        <v>243</v>
      </c>
      <c r="G1364" s="23">
        <v>0.75</v>
      </c>
      <c r="I1364" s="217" t="s">
        <v>2391</v>
      </c>
    </row>
    <row r="1365" spans="1:9">
      <c r="A1365" s="23">
        <v>1367</v>
      </c>
      <c r="B1365" s="84">
        <v>45856</v>
      </c>
      <c r="C1365" s="23" t="s">
        <v>755</v>
      </c>
      <c r="D1365" s="23" t="s">
        <v>246</v>
      </c>
      <c r="G1365" s="23">
        <v>0.75</v>
      </c>
      <c r="I1365" s="217" t="s">
        <v>2392</v>
      </c>
    </row>
    <row r="1366" spans="1:9">
      <c r="A1366" s="23">
        <v>1368</v>
      </c>
      <c r="B1366" s="84">
        <v>45856</v>
      </c>
      <c r="C1366" s="23" t="s">
        <v>755</v>
      </c>
      <c r="D1366" s="23" t="s">
        <v>297</v>
      </c>
      <c r="G1366" s="23">
        <v>0.75</v>
      </c>
      <c r="I1366" s="217" t="s">
        <v>2393</v>
      </c>
    </row>
    <row r="1367" spans="1:9">
      <c r="A1367" s="23">
        <v>1369</v>
      </c>
      <c r="B1367" s="84">
        <v>45856</v>
      </c>
      <c r="C1367" s="23" t="s">
        <v>528</v>
      </c>
      <c r="D1367" s="23" t="s">
        <v>251</v>
      </c>
      <c r="G1367" s="23">
        <v>1.5</v>
      </c>
      <c r="I1367" s="217" t="s">
        <v>2394</v>
      </c>
    </row>
    <row r="1368" spans="1:9">
      <c r="A1368" s="23">
        <v>1370</v>
      </c>
      <c r="B1368" s="84">
        <v>45856</v>
      </c>
      <c r="C1368" s="23" t="s">
        <v>552</v>
      </c>
      <c r="D1368" s="23" t="s">
        <v>297</v>
      </c>
      <c r="G1368" s="23">
        <v>0</v>
      </c>
      <c r="I1368" s="217" t="s">
        <v>2395</v>
      </c>
    </row>
    <row r="1369" spans="1:9">
      <c r="A1369" s="23">
        <v>1371</v>
      </c>
      <c r="B1369" s="84">
        <v>45856</v>
      </c>
      <c r="C1369" s="23" t="s">
        <v>552</v>
      </c>
      <c r="D1369" s="23" t="s">
        <v>227</v>
      </c>
      <c r="G1369" s="23">
        <v>0</v>
      </c>
      <c r="I1369" s="217" t="s">
        <v>2396</v>
      </c>
    </row>
    <row r="1370" spans="1:9">
      <c r="A1370" s="23">
        <v>1374</v>
      </c>
      <c r="B1370" s="84">
        <v>45856</v>
      </c>
      <c r="C1370" s="23" t="s">
        <v>670</v>
      </c>
      <c r="D1370" s="23" t="s">
        <v>213</v>
      </c>
      <c r="G1370" s="23">
        <v>0.5</v>
      </c>
      <c r="I1370" s="217" t="s">
        <v>2397</v>
      </c>
    </row>
    <row r="1371" spans="1:9">
      <c r="A1371" s="23">
        <v>1375</v>
      </c>
      <c r="B1371" s="84">
        <v>45856</v>
      </c>
      <c r="C1371" s="23" t="s">
        <v>879</v>
      </c>
      <c r="D1371" s="23" t="s">
        <v>243</v>
      </c>
      <c r="G1371" s="23">
        <v>0</v>
      </c>
      <c r="I1371" s="217" t="s">
        <v>2398</v>
      </c>
    </row>
    <row r="1372" spans="1:9">
      <c r="A1372" s="23">
        <v>1376</v>
      </c>
      <c r="B1372" s="84">
        <v>45856</v>
      </c>
      <c r="C1372" s="23" t="s">
        <v>879</v>
      </c>
      <c r="D1372" s="23" t="s">
        <v>230</v>
      </c>
      <c r="G1372" s="23">
        <v>0</v>
      </c>
      <c r="I1372" s="217" t="s">
        <v>2399</v>
      </c>
    </row>
    <row r="1373" spans="1:9">
      <c r="A1373" s="23">
        <v>1377</v>
      </c>
      <c r="B1373" s="84">
        <v>45856</v>
      </c>
      <c r="C1373" s="23" t="s">
        <v>610</v>
      </c>
      <c r="D1373" s="23" t="s">
        <v>240</v>
      </c>
      <c r="G1373" s="23">
        <v>0</v>
      </c>
      <c r="I1373" s="217" t="s">
        <v>2400</v>
      </c>
    </row>
    <row r="1374" spans="1:9">
      <c r="A1374" s="23">
        <v>1378</v>
      </c>
      <c r="B1374" s="84">
        <v>45856</v>
      </c>
      <c r="C1374" s="23" t="s">
        <v>610</v>
      </c>
      <c r="D1374" s="23" t="s">
        <v>246</v>
      </c>
      <c r="G1374" s="23">
        <v>0</v>
      </c>
      <c r="I1374" s="217" t="s">
        <v>2401</v>
      </c>
    </row>
    <row r="1375" spans="1:9">
      <c r="A1375" s="23">
        <v>1381</v>
      </c>
      <c r="B1375" s="84">
        <v>45856</v>
      </c>
      <c r="C1375" s="23" t="s">
        <v>951</v>
      </c>
      <c r="D1375" s="23" t="s">
        <v>251</v>
      </c>
      <c r="G1375" s="23">
        <v>0</v>
      </c>
      <c r="I1375" s="217" t="s">
        <v>2402</v>
      </c>
    </row>
    <row r="1376" spans="1:9">
      <c r="A1376" s="23">
        <v>1376</v>
      </c>
      <c r="B1376" s="84">
        <v>45856</v>
      </c>
      <c r="C1376" s="23" t="s">
        <v>934</v>
      </c>
      <c r="D1376" s="23" t="s">
        <v>222</v>
      </c>
      <c r="G1376" s="23">
        <v>0</v>
      </c>
      <c r="I1376" s="217" t="s">
        <v>2403</v>
      </c>
    </row>
    <row r="1377" spans="1:9">
      <c r="A1377" s="23">
        <v>1377</v>
      </c>
      <c r="B1377" s="84">
        <v>45856</v>
      </c>
      <c r="C1377" s="23" t="s">
        <v>934</v>
      </c>
      <c r="D1377" s="23" t="s">
        <v>216</v>
      </c>
      <c r="G1377" s="23">
        <v>0</v>
      </c>
      <c r="I1377" s="217" t="s">
        <v>2404</v>
      </c>
    </row>
    <row r="1378" spans="1:9">
      <c r="A1378" s="23">
        <v>1378</v>
      </c>
      <c r="B1378" s="84">
        <v>45856</v>
      </c>
      <c r="C1378" s="23" t="s">
        <v>537</v>
      </c>
      <c r="D1378" s="23" t="s">
        <v>219</v>
      </c>
      <c r="G1378" s="23">
        <v>0.5</v>
      </c>
      <c r="I1378" s="217" t="s">
        <v>2405</v>
      </c>
    </row>
    <row r="1379" spans="1:9">
      <c r="A1379" s="23">
        <v>1379</v>
      </c>
      <c r="B1379" s="84">
        <v>45856</v>
      </c>
      <c r="C1379" s="23" t="s">
        <v>537</v>
      </c>
      <c r="D1379" s="23" t="s">
        <v>216</v>
      </c>
      <c r="G1379" s="23">
        <v>0.5</v>
      </c>
      <c r="I1379" s="217" t="s">
        <v>2406</v>
      </c>
    </row>
    <row r="1380" spans="1:9">
      <c r="A1380" s="23">
        <v>1380</v>
      </c>
      <c r="B1380" s="84">
        <v>45856</v>
      </c>
      <c r="C1380" s="23" t="s">
        <v>682</v>
      </c>
      <c r="D1380" s="23" t="s">
        <v>219</v>
      </c>
      <c r="G1380" s="23">
        <v>0</v>
      </c>
      <c r="I1380" s="217" t="s">
        <v>2405</v>
      </c>
    </row>
    <row r="1381" spans="1:9">
      <c r="A1381" s="23">
        <v>1381</v>
      </c>
      <c r="B1381" s="84">
        <v>45856</v>
      </c>
      <c r="C1381" s="23" t="s">
        <v>682</v>
      </c>
      <c r="D1381" s="23" t="s">
        <v>216</v>
      </c>
      <c r="G1381" s="23">
        <v>0</v>
      </c>
      <c r="I1381" s="217" t="s">
        <v>2406</v>
      </c>
    </row>
    <row r="1382" spans="1:9">
      <c r="A1382" s="23">
        <v>1382</v>
      </c>
      <c r="B1382" s="84">
        <v>45856</v>
      </c>
      <c r="C1382" s="23" t="s">
        <v>438</v>
      </c>
      <c r="D1382" s="23" t="s">
        <v>219</v>
      </c>
      <c r="G1382" s="23">
        <v>0.5</v>
      </c>
      <c r="I1382" s="217" t="s">
        <v>2407</v>
      </c>
    </row>
    <row r="1383" spans="1:9">
      <c r="A1383" s="23">
        <v>1383</v>
      </c>
      <c r="B1383" s="84">
        <v>45856</v>
      </c>
      <c r="C1383" s="23" t="s">
        <v>438</v>
      </c>
      <c r="D1383" s="23" t="s">
        <v>216</v>
      </c>
      <c r="G1383" s="23">
        <v>0.5</v>
      </c>
      <c r="I1383" s="217" t="s">
        <v>2408</v>
      </c>
    </row>
    <row r="1384" spans="1:9">
      <c r="A1384" s="23">
        <v>1384</v>
      </c>
      <c r="B1384" s="84">
        <v>45856</v>
      </c>
      <c r="C1384" s="23" t="s">
        <v>952</v>
      </c>
      <c r="D1384" s="23" t="s">
        <v>219</v>
      </c>
      <c r="G1384" s="23">
        <v>0</v>
      </c>
      <c r="I1384" s="217" t="s">
        <v>2409</v>
      </c>
    </row>
    <row r="1385" spans="1:9">
      <c r="A1385" s="23">
        <v>1385</v>
      </c>
      <c r="B1385" s="84">
        <v>45856</v>
      </c>
      <c r="C1385" s="23" t="s">
        <v>952</v>
      </c>
      <c r="D1385" s="23" t="s">
        <v>216</v>
      </c>
      <c r="G1385" s="23">
        <v>0</v>
      </c>
      <c r="I1385" s="217" t="s">
        <v>2410</v>
      </c>
    </row>
    <row r="1386" spans="1:9">
      <c r="A1386" s="23">
        <v>1386</v>
      </c>
      <c r="B1386" s="84">
        <v>45856</v>
      </c>
      <c r="C1386" s="23" t="s">
        <v>953</v>
      </c>
      <c r="D1386" s="23" t="s">
        <v>219</v>
      </c>
      <c r="G1386" s="23">
        <v>0.5</v>
      </c>
      <c r="I1386" s="217" t="s">
        <v>1236</v>
      </c>
    </row>
    <row r="1387" spans="1:9">
      <c r="A1387" s="23">
        <v>1387</v>
      </c>
      <c r="B1387" s="84">
        <v>45856</v>
      </c>
      <c r="C1387" s="23" t="s">
        <v>953</v>
      </c>
      <c r="D1387" s="23" t="s">
        <v>216</v>
      </c>
      <c r="G1387" s="23">
        <v>0.5</v>
      </c>
      <c r="I1387" s="217" t="s">
        <v>1236</v>
      </c>
    </row>
    <row r="1388" spans="1:9">
      <c r="A1388" s="23">
        <v>1388</v>
      </c>
      <c r="B1388" s="84">
        <v>45856</v>
      </c>
      <c r="C1388" s="23" t="s">
        <v>939</v>
      </c>
      <c r="D1388" s="23" t="s">
        <v>240</v>
      </c>
      <c r="G1388" s="23">
        <v>0.75</v>
      </c>
      <c r="I1388" s="217" t="s">
        <v>2411</v>
      </c>
    </row>
    <row r="1389" spans="1:9">
      <c r="A1389" s="23">
        <v>1389</v>
      </c>
      <c r="B1389" s="84">
        <v>45856</v>
      </c>
      <c r="C1389" s="23" t="s">
        <v>939</v>
      </c>
      <c r="D1389" s="23" t="s">
        <v>227</v>
      </c>
      <c r="G1389" s="23">
        <v>0.75</v>
      </c>
      <c r="I1389" s="217" t="s">
        <v>2412</v>
      </c>
    </row>
    <row r="1390" spans="1:9">
      <c r="A1390" s="23">
        <v>1390</v>
      </c>
      <c r="B1390" s="84">
        <v>45856</v>
      </c>
      <c r="C1390" s="23" t="s">
        <v>939</v>
      </c>
      <c r="D1390" s="23" t="s">
        <v>230</v>
      </c>
      <c r="G1390" s="23">
        <v>0.75</v>
      </c>
      <c r="I1390" s="217" t="s">
        <v>2413</v>
      </c>
    </row>
    <row r="1391" spans="1:9">
      <c r="A1391" s="23">
        <v>1391</v>
      </c>
      <c r="B1391" s="84">
        <v>45856</v>
      </c>
      <c r="C1391" s="23" t="s">
        <v>939</v>
      </c>
      <c r="D1391" s="23" t="s">
        <v>203</v>
      </c>
      <c r="G1391" s="23">
        <v>0</v>
      </c>
      <c r="I1391" s="217" t="s">
        <v>2414</v>
      </c>
    </row>
    <row r="1392" spans="1:9">
      <c r="A1392" s="23">
        <v>1392</v>
      </c>
      <c r="B1392" s="84">
        <v>45856</v>
      </c>
      <c r="C1392" s="23" t="s">
        <v>955</v>
      </c>
      <c r="D1392" s="23" t="s">
        <v>227</v>
      </c>
      <c r="G1392" s="23">
        <v>0</v>
      </c>
      <c r="I1392" s="217" t="s">
        <v>2415</v>
      </c>
    </row>
    <row r="1393" spans="1:9">
      <c r="A1393" s="23">
        <v>1393</v>
      </c>
      <c r="B1393" s="84">
        <v>45856</v>
      </c>
      <c r="C1393" s="23" t="s">
        <v>837</v>
      </c>
      <c r="D1393" s="23" t="s">
        <v>230</v>
      </c>
      <c r="G1393" s="23">
        <v>0</v>
      </c>
      <c r="I1393" s="217" t="s">
        <v>2416</v>
      </c>
    </row>
    <row r="1394" spans="1:9">
      <c r="A1394" s="23">
        <v>1394</v>
      </c>
      <c r="B1394" s="84">
        <v>45856</v>
      </c>
      <c r="C1394" s="23" t="s">
        <v>954</v>
      </c>
      <c r="D1394" s="23" t="s">
        <v>240</v>
      </c>
      <c r="G1394" s="23">
        <v>0</v>
      </c>
      <c r="I1394" s="217" t="s">
        <v>2417</v>
      </c>
    </row>
    <row r="1395" spans="1:9">
      <c r="A1395" s="23">
        <v>1395</v>
      </c>
      <c r="B1395" s="84">
        <v>45856</v>
      </c>
      <c r="C1395" s="23" t="s">
        <v>956</v>
      </c>
      <c r="D1395" s="23" t="s">
        <v>191</v>
      </c>
      <c r="G1395" s="23">
        <v>3</v>
      </c>
      <c r="I1395" s="217" t="s">
        <v>2418</v>
      </c>
    </row>
    <row r="1396" spans="1:9">
      <c r="A1396" s="23">
        <v>1396</v>
      </c>
      <c r="B1396" s="84">
        <v>45856</v>
      </c>
      <c r="C1396" s="23" t="s">
        <v>946</v>
      </c>
      <c r="D1396" s="23" t="s">
        <v>206</v>
      </c>
      <c r="G1396" s="23">
        <v>0</v>
      </c>
      <c r="I1396" s="217" t="s">
        <v>2419</v>
      </c>
    </row>
    <row r="1397" spans="1:9">
      <c r="A1397" s="23">
        <v>1397</v>
      </c>
      <c r="B1397" s="84">
        <v>45856</v>
      </c>
      <c r="C1397" s="23" t="s">
        <v>196</v>
      </c>
      <c r="D1397" s="23" t="s">
        <v>216</v>
      </c>
      <c r="G1397" s="23">
        <v>0</v>
      </c>
      <c r="I1397" s="217" t="s">
        <v>2420</v>
      </c>
    </row>
    <row r="1398" spans="1:9">
      <c r="A1398" s="23">
        <v>1398</v>
      </c>
      <c r="B1398" s="84">
        <v>45857</v>
      </c>
      <c r="C1398" s="23" t="s">
        <v>957</v>
      </c>
      <c r="D1398" s="23" t="s">
        <v>206</v>
      </c>
      <c r="G1398" s="23">
        <v>0.5</v>
      </c>
      <c r="I1398" s="217" t="s">
        <v>2421</v>
      </c>
    </row>
    <row r="1399" spans="1:9">
      <c r="A1399" s="23">
        <v>1399</v>
      </c>
      <c r="B1399" s="84">
        <v>45857</v>
      </c>
      <c r="C1399" s="23" t="s">
        <v>948</v>
      </c>
      <c r="D1399" s="23" t="s">
        <v>194</v>
      </c>
      <c r="G1399" s="23">
        <v>0</v>
      </c>
      <c r="I1399" s="217" t="s">
        <v>2422</v>
      </c>
    </row>
    <row r="1400" spans="1:9">
      <c r="A1400" s="23">
        <v>1400</v>
      </c>
      <c r="B1400" s="84">
        <v>45857</v>
      </c>
      <c r="C1400" s="23" t="s">
        <v>740</v>
      </c>
      <c r="D1400" s="23" t="s">
        <v>203</v>
      </c>
      <c r="G1400" s="23">
        <v>6.4</v>
      </c>
      <c r="H1400" s="23" t="s">
        <v>335</v>
      </c>
      <c r="I1400" s="217" t="s">
        <v>2423</v>
      </c>
    </row>
    <row r="1401" spans="1:9">
      <c r="A1401" s="23">
        <v>1401</v>
      </c>
      <c r="B1401" s="84">
        <v>45857</v>
      </c>
      <c r="C1401" s="23" t="s">
        <v>941</v>
      </c>
      <c r="D1401" s="23" t="s">
        <v>203</v>
      </c>
      <c r="G1401" s="23">
        <v>0</v>
      </c>
      <c r="I1401" s="217" t="s">
        <v>2424</v>
      </c>
    </row>
    <row r="1402" spans="1:9">
      <c r="A1402" s="23">
        <v>1402</v>
      </c>
      <c r="B1402" s="84">
        <v>45857</v>
      </c>
      <c r="C1402" s="23" t="s">
        <v>941</v>
      </c>
      <c r="D1402" s="23" t="s">
        <v>203</v>
      </c>
      <c r="G1402" s="23">
        <v>6</v>
      </c>
      <c r="H1402" s="23" t="s">
        <v>897</v>
      </c>
      <c r="I1402" s="217" t="s">
        <v>1236</v>
      </c>
    </row>
    <row r="1403" spans="1:9">
      <c r="A1403" s="23">
        <v>1403</v>
      </c>
      <c r="B1403" s="84">
        <v>45857</v>
      </c>
      <c r="C1403" s="23" t="s">
        <v>941</v>
      </c>
      <c r="D1403" s="23" t="s">
        <v>197</v>
      </c>
      <c r="G1403" s="23">
        <v>0</v>
      </c>
      <c r="I1403" s="217" t="s">
        <v>2425</v>
      </c>
    </row>
    <row r="1404" spans="1:9">
      <c r="A1404" s="23">
        <v>1404</v>
      </c>
      <c r="B1404" s="84">
        <v>45857</v>
      </c>
      <c r="C1404" s="23" t="s">
        <v>958</v>
      </c>
      <c r="D1404" s="23" t="s">
        <v>206</v>
      </c>
      <c r="G1404" s="23">
        <v>0</v>
      </c>
      <c r="I1404" s="217" t="s">
        <v>2426</v>
      </c>
    </row>
    <row r="1405" spans="1:9">
      <c r="A1405" s="23">
        <v>1405</v>
      </c>
      <c r="B1405" s="84">
        <v>45857</v>
      </c>
      <c r="C1405" s="23" t="s">
        <v>674</v>
      </c>
      <c r="D1405" s="23" t="s">
        <v>243</v>
      </c>
      <c r="G1405" s="23">
        <v>0.8</v>
      </c>
      <c r="I1405" s="217" t="s">
        <v>2427</v>
      </c>
    </row>
    <row r="1406" spans="1:9">
      <c r="A1406" s="23">
        <v>1406</v>
      </c>
      <c r="B1406" s="84">
        <v>45857</v>
      </c>
      <c r="C1406" s="23" t="s">
        <v>674</v>
      </c>
      <c r="D1406" s="23" t="s">
        <v>246</v>
      </c>
      <c r="G1406" s="23">
        <v>0.8</v>
      </c>
      <c r="I1406" s="217" t="s">
        <v>2428</v>
      </c>
    </row>
    <row r="1407" spans="1:9">
      <c r="A1407" s="23">
        <v>1407</v>
      </c>
      <c r="B1407" s="84">
        <v>45857</v>
      </c>
      <c r="C1407" s="23" t="s">
        <v>236</v>
      </c>
      <c r="D1407" s="23" t="s">
        <v>216</v>
      </c>
      <c r="G1407" s="23">
        <v>0.56000000000000005</v>
      </c>
      <c r="I1407" s="217" t="s">
        <v>2429</v>
      </c>
    </row>
    <row r="1408" spans="1:9">
      <c r="A1408" s="23">
        <v>1408</v>
      </c>
      <c r="B1408" s="84">
        <v>45857</v>
      </c>
      <c r="C1408" s="23" t="s">
        <v>215</v>
      </c>
      <c r="D1408" s="23" t="s">
        <v>219</v>
      </c>
      <c r="G1408" s="23">
        <v>0</v>
      </c>
      <c r="I1408" s="217" t="s">
        <v>2430</v>
      </c>
    </row>
    <row r="1409" spans="1:9">
      <c r="A1409" s="23">
        <v>1409</v>
      </c>
      <c r="B1409" s="84">
        <v>45857</v>
      </c>
      <c r="C1409" s="23" t="s">
        <v>283</v>
      </c>
      <c r="D1409" s="23" t="s">
        <v>227</v>
      </c>
      <c r="G1409" s="23">
        <v>0.7</v>
      </c>
      <c r="I1409" s="217" t="s">
        <v>2431</v>
      </c>
    </row>
    <row r="1410" spans="1:9">
      <c r="A1410" s="23">
        <v>1410</v>
      </c>
      <c r="B1410" s="84">
        <v>45857</v>
      </c>
      <c r="C1410" s="23" t="s">
        <v>961</v>
      </c>
      <c r="D1410" s="23" t="s">
        <v>194</v>
      </c>
      <c r="G1410" s="23">
        <v>3</v>
      </c>
      <c r="I1410" s="217" t="s">
        <v>2432</v>
      </c>
    </row>
    <row r="1411" spans="1:9">
      <c r="A1411" s="23">
        <v>1411</v>
      </c>
      <c r="B1411" s="84">
        <v>45857</v>
      </c>
      <c r="C1411" s="23" t="s">
        <v>350</v>
      </c>
      <c r="D1411" s="23" t="s">
        <v>243</v>
      </c>
      <c r="G1411" s="23">
        <v>0</v>
      </c>
      <c r="I1411" s="217" t="s">
        <v>2433</v>
      </c>
    </row>
    <row r="1412" spans="1:9">
      <c r="A1412" s="23">
        <v>1412</v>
      </c>
      <c r="B1412" s="84">
        <v>45857</v>
      </c>
      <c r="C1412" s="23" t="s">
        <v>603</v>
      </c>
      <c r="D1412" s="23" t="s">
        <v>246</v>
      </c>
      <c r="G1412" s="23">
        <v>0</v>
      </c>
      <c r="I1412" s="217" t="s">
        <v>2434</v>
      </c>
    </row>
    <row r="1413" spans="1:9">
      <c r="A1413" s="23">
        <v>1413</v>
      </c>
      <c r="B1413" s="84">
        <v>45857</v>
      </c>
      <c r="C1413" s="23" t="s">
        <v>960</v>
      </c>
      <c r="D1413" s="23" t="s">
        <v>227</v>
      </c>
      <c r="G1413" s="23">
        <v>0</v>
      </c>
      <c r="I1413" s="217" t="s">
        <v>2431</v>
      </c>
    </row>
    <row r="1414" spans="1:9">
      <c r="A1414" s="23">
        <v>1414</v>
      </c>
      <c r="B1414" s="84">
        <v>45857</v>
      </c>
      <c r="C1414" s="23" t="s">
        <v>963</v>
      </c>
      <c r="D1414" s="23" t="s">
        <v>222</v>
      </c>
      <c r="G1414" s="23">
        <v>0.36499999999999999</v>
      </c>
      <c r="I1414" s="217" t="s">
        <v>2435</v>
      </c>
    </row>
    <row r="1415" spans="1:9">
      <c r="A1415" s="23">
        <v>1415</v>
      </c>
      <c r="B1415" s="84">
        <v>45857</v>
      </c>
      <c r="C1415" s="23" t="s">
        <v>600</v>
      </c>
      <c r="D1415" s="23" t="s">
        <v>230</v>
      </c>
      <c r="G1415" s="23">
        <v>0.8</v>
      </c>
      <c r="I1415" s="217" t="s">
        <v>2436</v>
      </c>
    </row>
    <row r="1416" spans="1:9">
      <c r="A1416" s="23">
        <v>1416</v>
      </c>
      <c r="B1416" s="84">
        <v>45857</v>
      </c>
      <c r="C1416" s="23" t="s">
        <v>602</v>
      </c>
      <c r="D1416" s="23" t="s">
        <v>233</v>
      </c>
      <c r="G1416" s="23">
        <v>1</v>
      </c>
      <c r="I1416" s="217" t="s">
        <v>2437</v>
      </c>
    </row>
    <row r="1417" spans="1:9">
      <c r="A1417" s="23">
        <v>1417</v>
      </c>
      <c r="B1417" s="84">
        <v>45857</v>
      </c>
      <c r="C1417" s="23" t="s">
        <v>880</v>
      </c>
      <c r="D1417" s="23" t="s">
        <v>235</v>
      </c>
      <c r="G1417" s="23">
        <v>0.69</v>
      </c>
      <c r="I1417" s="217" t="s">
        <v>2438</v>
      </c>
    </row>
    <row r="1418" spans="1:9">
      <c r="A1418" s="23">
        <v>1418</v>
      </c>
      <c r="B1418" s="84">
        <v>45857</v>
      </c>
      <c r="C1418" s="23" t="s">
        <v>245</v>
      </c>
      <c r="D1418" s="23" t="s">
        <v>213</v>
      </c>
      <c r="G1418" s="23">
        <v>0</v>
      </c>
      <c r="I1418" s="217" t="s">
        <v>2439</v>
      </c>
    </row>
    <row r="1419" spans="1:9">
      <c r="A1419" s="23">
        <v>1419</v>
      </c>
      <c r="B1419" s="84">
        <v>45857</v>
      </c>
      <c r="C1419" s="23" t="s">
        <v>248</v>
      </c>
      <c r="D1419" s="23" t="s">
        <v>230</v>
      </c>
      <c r="G1419" s="23">
        <v>0</v>
      </c>
      <c r="I1419" s="217" t="s">
        <v>2436</v>
      </c>
    </row>
    <row r="1420" spans="1:9">
      <c r="A1420" s="23">
        <v>1420</v>
      </c>
      <c r="B1420" s="84">
        <v>45857</v>
      </c>
      <c r="C1420" s="23" t="s">
        <v>221</v>
      </c>
      <c r="D1420" s="23" t="s">
        <v>240</v>
      </c>
      <c r="G1420" s="23">
        <v>0.8</v>
      </c>
      <c r="I1420" s="217" t="s">
        <v>2440</v>
      </c>
    </row>
    <row r="1421" spans="1:9">
      <c r="A1421" s="23">
        <v>1421</v>
      </c>
      <c r="B1421" s="84">
        <v>45857</v>
      </c>
      <c r="C1421" s="23" t="s">
        <v>479</v>
      </c>
      <c r="D1421" s="23" t="s">
        <v>243</v>
      </c>
      <c r="G1421" s="23">
        <v>0.8</v>
      </c>
      <c r="I1421" s="217" t="s">
        <v>2441</v>
      </c>
    </row>
    <row r="1422" spans="1:9">
      <c r="A1422" s="23">
        <v>1422</v>
      </c>
      <c r="B1422" s="84">
        <v>45857</v>
      </c>
      <c r="C1422" s="23" t="s">
        <v>883</v>
      </c>
      <c r="D1422" s="23" t="s">
        <v>246</v>
      </c>
      <c r="G1422" s="23">
        <v>0.8</v>
      </c>
      <c r="I1422" s="217" t="s">
        <v>2442</v>
      </c>
    </row>
    <row r="1423" spans="1:9">
      <c r="A1423" s="23">
        <v>1423</v>
      </c>
      <c r="B1423" s="84">
        <v>45857</v>
      </c>
      <c r="C1423" s="23" t="s">
        <v>777</v>
      </c>
      <c r="D1423" s="23" t="s">
        <v>222</v>
      </c>
      <c r="G1423" s="23">
        <v>0</v>
      </c>
      <c r="I1423" s="217" t="s">
        <v>2443</v>
      </c>
    </row>
    <row r="1424" spans="1:9">
      <c r="A1424" s="23">
        <v>1424</v>
      </c>
      <c r="B1424" s="84">
        <v>45857</v>
      </c>
      <c r="C1424" s="23" t="s">
        <v>777</v>
      </c>
      <c r="D1424" s="23" t="s">
        <v>216</v>
      </c>
      <c r="G1424" s="23">
        <v>0</v>
      </c>
      <c r="I1424" s="217" t="s">
        <v>2444</v>
      </c>
    </row>
    <row r="1425" spans="1:9">
      <c r="A1425" s="23">
        <v>1425</v>
      </c>
      <c r="B1425" s="84">
        <v>45857</v>
      </c>
      <c r="C1425" s="23" t="s">
        <v>751</v>
      </c>
      <c r="D1425" s="23" t="s">
        <v>227</v>
      </c>
      <c r="G1425" s="23">
        <v>0.8</v>
      </c>
      <c r="I1425" s="217" t="s">
        <v>2445</v>
      </c>
    </row>
    <row r="1426" spans="1:9">
      <c r="A1426" s="23">
        <v>1426</v>
      </c>
      <c r="B1426" s="84">
        <v>45857</v>
      </c>
      <c r="C1426" s="23" t="s">
        <v>967</v>
      </c>
      <c r="D1426" s="23" t="s">
        <v>230</v>
      </c>
      <c r="G1426" s="23">
        <v>0.8</v>
      </c>
      <c r="I1426" s="217" t="s">
        <v>2446</v>
      </c>
    </row>
    <row r="1427" spans="1:9">
      <c r="A1427" s="23">
        <v>1427</v>
      </c>
      <c r="B1427" s="84">
        <v>45857</v>
      </c>
      <c r="C1427" s="23" t="s">
        <v>483</v>
      </c>
      <c r="D1427" s="23" t="s">
        <v>197</v>
      </c>
      <c r="G1427" s="23">
        <v>1</v>
      </c>
      <c r="I1427" s="217" t="s">
        <v>2447</v>
      </c>
    </row>
    <row r="1428" spans="1:9">
      <c r="A1428" s="23">
        <v>1428</v>
      </c>
      <c r="B1428" s="84">
        <v>45857</v>
      </c>
      <c r="C1428" s="23" t="s">
        <v>307</v>
      </c>
      <c r="D1428" s="23" t="s">
        <v>240</v>
      </c>
      <c r="G1428" s="23">
        <v>0</v>
      </c>
      <c r="I1428" s="217" t="s">
        <v>2440</v>
      </c>
    </row>
    <row r="1429" spans="1:9">
      <c r="A1429" s="23">
        <v>1429</v>
      </c>
      <c r="B1429" s="84">
        <v>45857</v>
      </c>
      <c r="C1429" s="23" t="s">
        <v>484</v>
      </c>
      <c r="D1429" s="23" t="s">
        <v>222</v>
      </c>
      <c r="G1429" s="23">
        <v>0.44</v>
      </c>
      <c r="I1429" s="217" t="s">
        <v>1236</v>
      </c>
    </row>
    <row r="1430" spans="1:9">
      <c r="A1430" s="23">
        <v>1430</v>
      </c>
      <c r="B1430" s="84">
        <v>45857</v>
      </c>
      <c r="C1430" s="23" t="s">
        <v>484</v>
      </c>
      <c r="D1430" s="23" t="s">
        <v>216</v>
      </c>
      <c r="G1430" s="23">
        <v>0.44</v>
      </c>
      <c r="I1430" s="217" t="s">
        <v>1236</v>
      </c>
    </row>
    <row r="1431" spans="1:9">
      <c r="A1431" s="23">
        <v>1431</v>
      </c>
      <c r="B1431" s="84">
        <v>45857</v>
      </c>
      <c r="C1431" s="23" t="s">
        <v>966</v>
      </c>
      <c r="D1431" s="23" t="s">
        <v>243</v>
      </c>
      <c r="G1431" s="23">
        <v>0</v>
      </c>
      <c r="I1431" s="217" t="s">
        <v>2441</v>
      </c>
    </row>
    <row r="1432" spans="1:9">
      <c r="A1432" s="23">
        <v>1432</v>
      </c>
      <c r="B1432" s="84">
        <v>45857</v>
      </c>
      <c r="C1432" s="23" t="s">
        <v>966</v>
      </c>
      <c r="D1432" s="23" t="s">
        <v>246</v>
      </c>
      <c r="G1432" s="23">
        <v>0</v>
      </c>
      <c r="I1432" s="217" t="s">
        <v>2442</v>
      </c>
    </row>
    <row r="1433" spans="1:9">
      <c r="A1433" s="23">
        <v>1433</v>
      </c>
      <c r="B1433" s="84">
        <v>45857</v>
      </c>
      <c r="C1433" s="23" t="s">
        <v>966</v>
      </c>
      <c r="D1433" s="23" t="s">
        <v>227</v>
      </c>
      <c r="G1433" s="23">
        <v>0</v>
      </c>
      <c r="I1433" s="217" t="s">
        <v>2448</v>
      </c>
    </row>
    <row r="1434" spans="1:9">
      <c r="A1434" s="23">
        <v>1434</v>
      </c>
      <c r="B1434" s="84">
        <v>45857</v>
      </c>
      <c r="C1434" s="23" t="s">
        <v>966</v>
      </c>
      <c r="D1434" s="23" t="s">
        <v>230</v>
      </c>
      <c r="G1434" s="23">
        <v>0</v>
      </c>
      <c r="I1434" s="217" t="s">
        <v>2449</v>
      </c>
    </row>
    <row r="1435" spans="1:9">
      <c r="A1435" s="23">
        <v>1435</v>
      </c>
      <c r="B1435" s="84">
        <v>45857</v>
      </c>
      <c r="C1435" s="23" t="s">
        <v>965</v>
      </c>
      <c r="D1435" s="23" t="s">
        <v>235</v>
      </c>
      <c r="G1435" s="23">
        <v>0</v>
      </c>
      <c r="I1435" s="217" t="s">
        <v>2450</v>
      </c>
    </row>
    <row r="1436" spans="1:9">
      <c r="A1436" s="23">
        <v>1436</v>
      </c>
      <c r="B1436" s="84">
        <v>45857</v>
      </c>
      <c r="C1436" s="23" t="s">
        <v>969</v>
      </c>
      <c r="D1436" s="23" t="s">
        <v>235</v>
      </c>
      <c r="G1436" s="23">
        <v>0.63</v>
      </c>
      <c r="I1436" s="217" t="s">
        <v>2451</v>
      </c>
    </row>
    <row r="1437" spans="1:9">
      <c r="A1437" s="23">
        <v>1437</v>
      </c>
      <c r="B1437" s="84">
        <v>45857</v>
      </c>
      <c r="C1437" s="23" t="s">
        <v>964</v>
      </c>
      <c r="D1437" s="23" t="s">
        <v>233</v>
      </c>
      <c r="G1437" s="23">
        <v>0</v>
      </c>
      <c r="I1437" s="217" t="s">
        <v>2452</v>
      </c>
    </row>
    <row r="1438" spans="1:9">
      <c r="A1438" s="23">
        <v>1438</v>
      </c>
      <c r="B1438" s="84">
        <v>45857</v>
      </c>
      <c r="C1438" s="23" t="s">
        <v>263</v>
      </c>
      <c r="D1438" s="23" t="s">
        <v>227</v>
      </c>
      <c r="G1438" s="23">
        <v>0.8</v>
      </c>
      <c r="I1438" s="217" t="s">
        <v>2453</v>
      </c>
    </row>
    <row r="1439" spans="1:9">
      <c r="A1439" s="23">
        <v>1439</v>
      </c>
      <c r="B1439" s="84">
        <v>45857</v>
      </c>
      <c r="C1439" s="23" t="s">
        <v>697</v>
      </c>
      <c r="D1439" s="23" t="s">
        <v>235</v>
      </c>
      <c r="G1439" s="23">
        <v>0</v>
      </c>
      <c r="I1439" s="217" t="s">
        <v>2454</v>
      </c>
    </row>
    <row r="1440" spans="1:9">
      <c r="A1440" s="23">
        <v>1440</v>
      </c>
      <c r="B1440" s="84">
        <v>45857</v>
      </c>
      <c r="C1440" s="23" t="s">
        <v>971</v>
      </c>
      <c r="D1440" s="23" t="s">
        <v>230</v>
      </c>
      <c r="G1440" s="23">
        <v>0.8</v>
      </c>
      <c r="I1440" s="217" t="s">
        <v>2455</v>
      </c>
    </row>
    <row r="1441" spans="1:9">
      <c r="A1441" s="23">
        <v>1441</v>
      </c>
      <c r="B1441" s="84">
        <v>45857</v>
      </c>
      <c r="C1441" s="23" t="s">
        <v>972</v>
      </c>
      <c r="D1441" s="23" t="s">
        <v>235</v>
      </c>
      <c r="G1441" s="23">
        <v>0.76</v>
      </c>
      <c r="I1441" s="217" t="s">
        <v>2456</v>
      </c>
    </row>
    <row r="1442" spans="1:9">
      <c r="A1442" s="23">
        <v>1442</v>
      </c>
      <c r="B1442" s="84">
        <v>45857</v>
      </c>
      <c r="C1442" s="23" t="s">
        <v>590</v>
      </c>
      <c r="D1442" s="23" t="s">
        <v>246</v>
      </c>
      <c r="G1442" s="23">
        <v>0.8</v>
      </c>
      <c r="I1442" s="217" t="s">
        <v>2457</v>
      </c>
    </row>
    <row r="1443" spans="1:9">
      <c r="A1443" s="23">
        <v>1443</v>
      </c>
      <c r="B1443" s="84">
        <v>45857</v>
      </c>
      <c r="C1443" s="23" t="s">
        <v>201</v>
      </c>
      <c r="D1443" s="23" t="s">
        <v>240</v>
      </c>
      <c r="G1443" s="23">
        <v>0.76666666666666661</v>
      </c>
      <c r="I1443" s="217" t="s">
        <v>2458</v>
      </c>
    </row>
    <row r="1444" spans="1:9">
      <c r="A1444" s="23">
        <v>1444</v>
      </c>
      <c r="B1444" s="84">
        <v>45857</v>
      </c>
      <c r="C1444" s="23" t="s">
        <v>669</v>
      </c>
      <c r="D1444" s="23" t="s">
        <v>219</v>
      </c>
      <c r="G1444" s="23">
        <v>0.47</v>
      </c>
      <c r="I1444" s="217" t="s">
        <v>2459</v>
      </c>
    </row>
    <row r="1445" spans="1:9">
      <c r="A1445" s="23">
        <v>1445</v>
      </c>
      <c r="B1445" s="84">
        <v>45857</v>
      </c>
      <c r="C1445" s="23" t="s">
        <v>919</v>
      </c>
      <c r="D1445" s="23" t="s">
        <v>216</v>
      </c>
      <c r="G1445" s="23">
        <v>0</v>
      </c>
      <c r="I1445" s="217" t="s">
        <v>2460</v>
      </c>
    </row>
    <row r="1446" spans="1:9">
      <c r="A1446" s="23">
        <v>1446</v>
      </c>
      <c r="B1446" s="84">
        <v>45857</v>
      </c>
      <c r="C1446" s="23" t="s">
        <v>970</v>
      </c>
      <c r="D1446" s="23" t="s">
        <v>227</v>
      </c>
      <c r="G1446" s="23">
        <v>0</v>
      </c>
      <c r="I1446" s="217" t="s">
        <v>2461</v>
      </c>
    </row>
    <row r="1447" spans="1:9">
      <c r="A1447" s="23">
        <v>1447</v>
      </c>
      <c r="B1447" s="84">
        <v>45857</v>
      </c>
      <c r="C1447" s="23" t="s">
        <v>973</v>
      </c>
      <c r="D1447" s="23" t="s">
        <v>206</v>
      </c>
      <c r="G1447" s="23">
        <v>1.5</v>
      </c>
      <c r="I1447" s="217" t="s">
        <v>2462</v>
      </c>
    </row>
    <row r="1448" spans="1:9">
      <c r="A1448" s="23">
        <v>1448</v>
      </c>
      <c r="B1448" s="84">
        <v>45857</v>
      </c>
      <c r="C1448" s="23" t="s">
        <v>514</v>
      </c>
      <c r="D1448" s="23" t="s">
        <v>230</v>
      </c>
      <c r="G1448" s="23">
        <v>0</v>
      </c>
      <c r="I1448" s="217" t="s">
        <v>2463</v>
      </c>
    </row>
    <row r="1449" spans="1:9">
      <c r="A1449" s="23">
        <v>1449</v>
      </c>
      <c r="B1449" s="84">
        <v>45857</v>
      </c>
      <c r="C1449" s="23" t="s">
        <v>514</v>
      </c>
      <c r="D1449" s="23" t="s">
        <v>246</v>
      </c>
      <c r="G1449" s="23">
        <v>0</v>
      </c>
      <c r="I1449" s="217" t="s">
        <v>2464</v>
      </c>
    </row>
    <row r="1450" spans="1:9">
      <c r="A1450" s="23">
        <v>1450</v>
      </c>
      <c r="B1450" s="84">
        <v>45857</v>
      </c>
      <c r="C1450" s="23" t="s">
        <v>519</v>
      </c>
      <c r="D1450" s="23" t="s">
        <v>227</v>
      </c>
      <c r="G1450" s="23">
        <v>0.8</v>
      </c>
      <c r="I1450" s="217" t="s">
        <v>2465</v>
      </c>
    </row>
    <row r="1451" spans="1:9">
      <c r="A1451" s="23">
        <v>1451</v>
      </c>
      <c r="B1451" s="84">
        <v>45857</v>
      </c>
      <c r="C1451" s="23" t="s">
        <v>519</v>
      </c>
      <c r="D1451" s="23" t="s">
        <v>230</v>
      </c>
      <c r="G1451" s="23">
        <v>0.8</v>
      </c>
      <c r="I1451" s="217" t="s">
        <v>2466</v>
      </c>
    </row>
    <row r="1452" spans="1:9">
      <c r="A1452" s="23">
        <v>1452</v>
      </c>
      <c r="B1452" s="84">
        <v>45857</v>
      </c>
      <c r="C1452" s="23" t="s">
        <v>519</v>
      </c>
      <c r="D1452" s="23" t="s">
        <v>246</v>
      </c>
      <c r="G1452" s="23">
        <v>0.8</v>
      </c>
      <c r="I1452" s="217" t="s">
        <v>2467</v>
      </c>
    </row>
    <row r="1453" spans="1:9">
      <c r="A1453" s="23">
        <v>1453</v>
      </c>
      <c r="B1453" s="84">
        <v>45857</v>
      </c>
      <c r="C1453" s="23" t="s">
        <v>548</v>
      </c>
      <c r="D1453" s="23" t="s">
        <v>243</v>
      </c>
      <c r="G1453" s="23">
        <v>0.8</v>
      </c>
      <c r="I1453" s="217" t="s">
        <v>2468</v>
      </c>
    </row>
    <row r="1454" spans="1:9">
      <c r="A1454" s="23">
        <v>1454</v>
      </c>
      <c r="B1454" s="84">
        <v>45857</v>
      </c>
      <c r="C1454" s="23" t="s">
        <v>513</v>
      </c>
      <c r="D1454" s="23" t="s">
        <v>297</v>
      </c>
      <c r="G1454" s="23">
        <v>0.8</v>
      </c>
      <c r="I1454" s="217" t="s">
        <v>2469</v>
      </c>
    </row>
    <row r="1455" spans="1:9">
      <c r="A1455" s="23">
        <v>1455</v>
      </c>
      <c r="B1455" s="84">
        <v>45857</v>
      </c>
      <c r="C1455" s="23" t="s">
        <v>220</v>
      </c>
      <c r="D1455" s="23" t="s">
        <v>213</v>
      </c>
      <c r="G1455" s="23">
        <v>0.7</v>
      </c>
      <c r="I1455" s="217" t="s">
        <v>2470</v>
      </c>
    </row>
    <row r="1456" spans="1:9">
      <c r="A1456" s="23">
        <v>1456</v>
      </c>
      <c r="B1456" s="84">
        <v>45857</v>
      </c>
      <c r="C1456" s="23" t="s">
        <v>277</v>
      </c>
      <c r="D1456" s="23" t="s">
        <v>235</v>
      </c>
      <c r="G1456" s="23">
        <v>0</v>
      </c>
      <c r="I1456" s="217" t="s">
        <v>2471</v>
      </c>
    </row>
    <row r="1457" spans="1:9">
      <c r="A1457" s="23">
        <v>1457</v>
      </c>
      <c r="B1457" s="84">
        <v>45857</v>
      </c>
      <c r="C1457" s="23" t="s">
        <v>978</v>
      </c>
      <c r="D1457" s="23" t="s">
        <v>312</v>
      </c>
      <c r="G1457" s="23">
        <v>1.5</v>
      </c>
      <c r="I1457" s="217" t="s">
        <v>2472</v>
      </c>
    </row>
    <row r="1458" spans="1:9">
      <c r="A1458" s="23">
        <v>1458</v>
      </c>
      <c r="B1458" s="84">
        <v>45857</v>
      </c>
      <c r="C1458" s="23" t="s">
        <v>977</v>
      </c>
      <c r="D1458" s="23" t="s">
        <v>297</v>
      </c>
      <c r="G1458" s="23">
        <v>0</v>
      </c>
      <c r="I1458" s="217" t="s">
        <v>2469</v>
      </c>
    </row>
    <row r="1459" spans="1:9">
      <c r="A1459" s="23">
        <v>1459</v>
      </c>
      <c r="B1459" s="84">
        <v>45857</v>
      </c>
      <c r="C1459" s="23" t="s">
        <v>594</v>
      </c>
      <c r="D1459" s="23" t="s">
        <v>297</v>
      </c>
      <c r="G1459" s="23">
        <v>0.8</v>
      </c>
      <c r="I1459" s="217" t="s">
        <v>1236</v>
      </c>
    </row>
    <row r="1460" spans="1:9">
      <c r="A1460" s="23">
        <v>1460</v>
      </c>
      <c r="B1460" s="84">
        <v>45857</v>
      </c>
      <c r="C1460" s="23" t="s">
        <v>894</v>
      </c>
      <c r="D1460" s="23" t="s">
        <v>297</v>
      </c>
      <c r="G1460" s="23">
        <v>0</v>
      </c>
      <c r="I1460" s="217" t="s">
        <v>2473</v>
      </c>
    </row>
    <row r="1461" spans="1:9">
      <c r="A1461" s="23">
        <v>1461</v>
      </c>
      <c r="B1461" s="84">
        <v>45857</v>
      </c>
      <c r="C1461" s="23" t="s">
        <v>894</v>
      </c>
      <c r="D1461" s="23" t="s">
        <v>227</v>
      </c>
      <c r="G1461" s="23">
        <v>0</v>
      </c>
      <c r="I1461" s="217" t="s">
        <v>2474</v>
      </c>
    </row>
    <row r="1462" spans="1:9">
      <c r="A1462" s="23">
        <v>1462</v>
      </c>
      <c r="B1462" s="84">
        <v>45857</v>
      </c>
      <c r="C1462" s="23" t="s">
        <v>796</v>
      </c>
      <c r="D1462" s="23" t="s">
        <v>209</v>
      </c>
      <c r="G1462" s="23">
        <v>1.5</v>
      </c>
      <c r="I1462" s="217" t="s">
        <v>2475</v>
      </c>
    </row>
    <row r="1463" spans="1:9">
      <c r="A1463" s="23">
        <v>1463</v>
      </c>
      <c r="B1463" s="84">
        <v>45857</v>
      </c>
      <c r="C1463" s="23" t="s">
        <v>975</v>
      </c>
      <c r="D1463" s="23" t="s">
        <v>230</v>
      </c>
      <c r="G1463" s="23">
        <v>0</v>
      </c>
      <c r="I1463" s="217" t="s">
        <v>2476</v>
      </c>
    </row>
    <row r="1464" spans="1:9">
      <c r="A1464" s="23">
        <v>1464</v>
      </c>
      <c r="B1464" s="84">
        <v>45857</v>
      </c>
      <c r="C1464" s="23" t="s">
        <v>542</v>
      </c>
      <c r="D1464" s="23" t="s">
        <v>243</v>
      </c>
      <c r="G1464" s="23">
        <v>0</v>
      </c>
      <c r="I1464" s="217" t="s">
        <v>2477</v>
      </c>
    </row>
    <row r="1465" spans="1:9">
      <c r="A1465" s="23">
        <v>1465</v>
      </c>
      <c r="B1465" s="84">
        <v>45857</v>
      </c>
      <c r="C1465" s="23" t="s">
        <v>521</v>
      </c>
      <c r="D1465" s="23" t="s">
        <v>240</v>
      </c>
      <c r="G1465" s="23">
        <v>0</v>
      </c>
      <c r="I1465" s="217" t="s">
        <v>2478</v>
      </c>
    </row>
    <row r="1466" spans="1:9">
      <c r="A1466" s="23">
        <v>1466</v>
      </c>
      <c r="B1466" s="84">
        <v>45857</v>
      </c>
      <c r="C1466" s="23" t="s">
        <v>976</v>
      </c>
      <c r="D1466" s="23" t="s">
        <v>246</v>
      </c>
      <c r="G1466" s="23">
        <v>0</v>
      </c>
      <c r="I1466" s="217" t="s">
        <v>2479</v>
      </c>
    </row>
    <row r="1467" spans="1:9">
      <c r="A1467" s="23">
        <v>1467</v>
      </c>
      <c r="B1467" s="84">
        <v>45857</v>
      </c>
      <c r="C1467" s="23" t="s">
        <v>545</v>
      </c>
      <c r="D1467" s="23" t="s">
        <v>251</v>
      </c>
      <c r="G1467" s="23">
        <v>1.5</v>
      </c>
      <c r="I1467" s="217" t="s">
        <v>2480</v>
      </c>
    </row>
    <row r="1468" spans="1:9">
      <c r="A1468" s="23">
        <v>1468</v>
      </c>
      <c r="B1468" s="84">
        <v>45857</v>
      </c>
      <c r="C1468" s="23" t="s">
        <v>980</v>
      </c>
      <c r="D1468" s="23" t="s">
        <v>209</v>
      </c>
      <c r="G1468" s="23">
        <v>0</v>
      </c>
      <c r="I1468" s="217" t="s">
        <v>2481</v>
      </c>
    </row>
    <row r="1469" spans="1:9">
      <c r="A1469" s="23">
        <v>1469</v>
      </c>
      <c r="B1469" s="84">
        <v>45857</v>
      </c>
      <c r="C1469" s="23" t="s">
        <v>979</v>
      </c>
      <c r="D1469" s="23" t="s">
        <v>312</v>
      </c>
      <c r="G1469" s="23">
        <v>0</v>
      </c>
      <c r="I1469" s="217" t="s">
        <v>2482</v>
      </c>
    </row>
    <row r="1470" spans="1:9">
      <c r="A1470" s="23">
        <v>1470</v>
      </c>
      <c r="B1470" s="84">
        <v>45857</v>
      </c>
      <c r="C1470" s="23" t="s">
        <v>812</v>
      </c>
      <c r="D1470" s="23" t="s">
        <v>240</v>
      </c>
      <c r="G1470" s="23">
        <v>0.7</v>
      </c>
      <c r="I1470" s="217" t="s">
        <v>2483</v>
      </c>
    </row>
    <row r="1471" spans="1:9">
      <c r="A1471" s="23">
        <v>1471</v>
      </c>
      <c r="B1471" s="84">
        <v>45857</v>
      </c>
      <c r="C1471" s="23" t="s">
        <v>812</v>
      </c>
      <c r="D1471" s="23" t="s">
        <v>243</v>
      </c>
      <c r="G1471" s="23">
        <v>0.8</v>
      </c>
      <c r="I1471" s="217" t="s">
        <v>2484</v>
      </c>
    </row>
    <row r="1472" spans="1:9">
      <c r="A1472" s="23">
        <v>1472</v>
      </c>
      <c r="B1472" s="84">
        <v>45857</v>
      </c>
      <c r="C1472" s="23" t="s">
        <v>812</v>
      </c>
      <c r="D1472" s="23" t="s">
        <v>246</v>
      </c>
      <c r="G1472" s="23">
        <v>0.8</v>
      </c>
      <c r="I1472" s="217" t="s">
        <v>2485</v>
      </c>
    </row>
    <row r="1473" spans="1:9">
      <c r="A1473" s="23">
        <v>1473</v>
      </c>
      <c r="B1473" s="84">
        <v>45857</v>
      </c>
      <c r="C1473" s="23" t="s">
        <v>980</v>
      </c>
      <c r="D1473" s="23" t="s">
        <v>209</v>
      </c>
      <c r="G1473" s="23" t="s">
        <v>9</v>
      </c>
      <c r="H1473" s="23" t="s">
        <v>2486</v>
      </c>
      <c r="I1473" s="217" t="s">
        <v>1236</v>
      </c>
    </row>
    <row r="1474" spans="1:9">
      <c r="A1474" s="23">
        <v>1474</v>
      </c>
      <c r="B1474" s="84">
        <v>45857</v>
      </c>
      <c r="C1474" s="23" t="s">
        <v>795</v>
      </c>
      <c r="D1474" s="23" t="s">
        <v>240</v>
      </c>
      <c r="G1474" s="23">
        <v>0</v>
      </c>
      <c r="I1474" s="217" t="s">
        <v>2483</v>
      </c>
    </row>
    <row r="1475" spans="1:9">
      <c r="A1475" s="23">
        <v>1475</v>
      </c>
      <c r="B1475" s="84">
        <v>45857</v>
      </c>
      <c r="C1475" s="23" t="s">
        <v>795</v>
      </c>
      <c r="D1475" s="23" t="s">
        <v>243</v>
      </c>
      <c r="G1475" s="23">
        <v>0</v>
      </c>
      <c r="I1475" s="217" t="s">
        <v>2484</v>
      </c>
    </row>
    <row r="1476" spans="1:9">
      <c r="A1476" s="23">
        <v>1476</v>
      </c>
      <c r="B1476" s="84">
        <v>45857</v>
      </c>
      <c r="C1476" s="23" t="s">
        <v>731</v>
      </c>
      <c r="D1476" s="23" t="s">
        <v>246</v>
      </c>
      <c r="G1476" s="23">
        <v>0</v>
      </c>
      <c r="I1476" s="217" t="s">
        <v>2485</v>
      </c>
    </row>
    <row r="1477" spans="1:9">
      <c r="A1477" s="23">
        <v>1477</v>
      </c>
      <c r="B1477" s="84">
        <v>45857</v>
      </c>
      <c r="C1477" s="23" t="s">
        <v>983</v>
      </c>
      <c r="D1477" s="23" t="s">
        <v>240</v>
      </c>
      <c r="G1477" s="23">
        <v>0.8</v>
      </c>
      <c r="I1477" s="217" t="s">
        <v>1236</v>
      </c>
    </row>
    <row r="1478" spans="1:9">
      <c r="A1478" s="23">
        <v>1478</v>
      </c>
      <c r="B1478" s="84">
        <v>45857</v>
      </c>
      <c r="C1478" s="23" t="s">
        <v>983</v>
      </c>
      <c r="D1478" s="23" t="s">
        <v>227</v>
      </c>
      <c r="G1478" s="23">
        <v>0.8</v>
      </c>
      <c r="I1478" s="217" t="s">
        <v>2487</v>
      </c>
    </row>
    <row r="1479" spans="1:9">
      <c r="A1479" s="23">
        <v>1479</v>
      </c>
      <c r="B1479" s="84">
        <v>45857</v>
      </c>
      <c r="C1479" s="23" t="s">
        <v>983</v>
      </c>
      <c r="D1479" s="23" t="s">
        <v>243</v>
      </c>
      <c r="G1479" s="23">
        <v>0.8</v>
      </c>
      <c r="I1479" s="217" t="s">
        <v>1236</v>
      </c>
    </row>
    <row r="1480" spans="1:9">
      <c r="A1480" s="23">
        <v>1480</v>
      </c>
      <c r="B1480" s="84">
        <v>45857</v>
      </c>
      <c r="C1480" s="23" t="s">
        <v>983</v>
      </c>
      <c r="D1480" s="23" t="s">
        <v>230</v>
      </c>
      <c r="G1480" s="23">
        <v>0.8</v>
      </c>
      <c r="I1480" s="217" t="s">
        <v>2488</v>
      </c>
    </row>
    <row r="1481" spans="1:9">
      <c r="A1481" s="23">
        <v>1481</v>
      </c>
      <c r="B1481" s="84">
        <v>45857</v>
      </c>
      <c r="C1481" s="23" t="s">
        <v>983</v>
      </c>
      <c r="D1481" s="23" t="s">
        <v>246</v>
      </c>
      <c r="G1481" s="23">
        <v>0.8</v>
      </c>
      <c r="I1481" s="217" t="s">
        <v>1236</v>
      </c>
    </row>
    <row r="1482" spans="1:9">
      <c r="A1482" s="23">
        <v>1482</v>
      </c>
      <c r="B1482" s="84">
        <v>45857</v>
      </c>
      <c r="C1482" s="23" t="s">
        <v>485</v>
      </c>
      <c r="D1482" s="23" t="s">
        <v>297</v>
      </c>
      <c r="G1482" s="23">
        <v>0.8</v>
      </c>
      <c r="I1482" s="217" t="s">
        <v>2489</v>
      </c>
    </row>
    <row r="1483" spans="1:9">
      <c r="A1483" s="23">
        <v>1483</v>
      </c>
      <c r="B1483" s="84">
        <v>45857</v>
      </c>
      <c r="C1483" s="23" t="s">
        <v>959</v>
      </c>
      <c r="D1483" s="23" t="s">
        <v>203</v>
      </c>
      <c r="G1483" s="23" t="s">
        <v>9</v>
      </c>
      <c r="H1483" s="23" t="s">
        <v>2490</v>
      </c>
      <c r="I1483" s="217" t="s">
        <v>2491</v>
      </c>
    </row>
    <row r="1484" spans="1:9">
      <c r="A1484" s="23">
        <v>1484</v>
      </c>
      <c r="B1484" s="84">
        <v>45857</v>
      </c>
      <c r="C1484" s="23" t="s">
        <v>770</v>
      </c>
      <c r="D1484" s="23" t="s">
        <v>227</v>
      </c>
      <c r="G1484" s="23">
        <v>0</v>
      </c>
      <c r="I1484" s="217" t="s">
        <v>2492</v>
      </c>
    </row>
    <row r="1485" spans="1:9">
      <c r="A1485" s="23">
        <v>1485</v>
      </c>
      <c r="B1485" s="84">
        <v>45857</v>
      </c>
      <c r="C1485" s="23" t="s">
        <v>986</v>
      </c>
      <c r="D1485" s="23" t="s">
        <v>297</v>
      </c>
      <c r="G1485" s="23">
        <v>0</v>
      </c>
      <c r="I1485" s="217" t="s">
        <v>2493</v>
      </c>
    </row>
    <row r="1486" spans="1:9">
      <c r="A1486" s="23">
        <v>1486</v>
      </c>
      <c r="B1486" s="84">
        <v>45857</v>
      </c>
      <c r="C1486" s="23" t="s">
        <v>984</v>
      </c>
      <c r="D1486" s="23" t="s">
        <v>230</v>
      </c>
      <c r="G1486" s="23">
        <v>0</v>
      </c>
      <c r="I1486" s="217" t="s">
        <v>2494</v>
      </c>
    </row>
    <row r="1487" spans="1:9">
      <c r="A1487" s="23">
        <v>1487</v>
      </c>
      <c r="B1487" s="84">
        <v>45857</v>
      </c>
      <c r="C1487" s="23" t="s">
        <v>454</v>
      </c>
      <c r="D1487" s="23" t="s">
        <v>243</v>
      </c>
      <c r="G1487" s="23">
        <v>0</v>
      </c>
      <c r="I1487" s="217" t="s">
        <v>2495</v>
      </c>
    </row>
    <row r="1488" spans="1:9">
      <c r="A1488" s="23">
        <v>1488</v>
      </c>
      <c r="B1488" s="84">
        <v>45857</v>
      </c>
      <c r="C1488" s="23" t="s">
        <v>803</v>
      </c>
      <c r="D1488" s="23" t="s">
        <v>240</v>
      </c>
      <c r="G1488" s="23">
        <v>0</v>
      </c>
      <c r="I1488" s="217" t="s">
        <v>2496</v>
      </c>
    </row>
    <row r="1489" spans="1:9">
      <c r="A1489" s="23">
        <v>1489</v>
      </c>
      <c r="B1489" s="84">
        <v>45857</v>
      </c>
      <c r="C1489" s="23" t="s">
        <v>985</v>
      </c>
      <c r="D1489" s="23" t="s">
        <v>246</v>
      </c>
      <c r="G1489" s="23">
        <v>0</v>
      </c>
      <c r="I1489" s="217" t="s">
        <v>2497</v>
      </c>
    </row>
    <row r="1490" spans="1:9">
      <c r="A1490" s="23">
        <v>1490</v>
      </c>
      <c r="B1490" s="84">
        <v>45858</v>
      </c>
      <c r="C1490" s="23" t="s">
        <v>981</v>
      </c>
      <c r="D1490" s="23" t="s">
        <v>251</v>
      </c>
      <c r="G1490" s="23">
        <v>0</v>
      </c>
      <c r="I1490" s="217" t="s">
        <v>2498</v>
      </c>
    </row>
    <row r="1491" spans="1:9">
      <c r="A1491" s="23">
        <v>1491</v>
      </c>
      <c r="B1491" s="84">
        <v>45858</v>
      </c>
      <c r="C1491" s="23" t="s">
        <v>974</v>
      </c>
      <c r="D1491" s="23" t="s">
        <v>206</v>
      </c>
      <c r="G1491" s="23">
        <v>0</v>
      </c>
      <c r="I1491" s="217" t="s">
        <v>2499</v>
      </c>
    </row>
    <row r="1492" spans="1:9">
      <c r="A1492" s="23">
        <v>1492</v>
      </c>
      <c r="B1492" s="84">
        <v>45858</v>
      </c>
      <c r="C1492" s="23" t="s">
        <v>223</v>
      </c>
      <c r="D1492" s="23" t="s">
        <v>216</v>
      </c>
      <c r="G1492" s="23">
        <v>0.45500000000000002</v>
      </c>
      <c r="I1492" s="217" t="s">
        <v>2500</v>
      </c>
    </row>
    <row r="1493" spans="1:9">
      <c r="A1493" s="23">
        <v>1493</v>
      </c>
      <c r="B1493" s="84">
        <v>45858</v>
      </c>
      <c r="C1493" s="23" t="s">
        <v>218</v>
      </c>
      <c r="D1493" s="23" t="s">
        <v>219</v>
      </c>
      <c r="G1493" s="23">
        <v>0</v>
      </c>
      <c r="I1493" s="217" t="s">
        <v>2501</v>
      </c>
    </row>
    <row r="1494" spans="1:9">
      <c r="A1494" s="23">
        <v>1494</v>
      </c>
      <c r="B1494" s="84">
        <v>45858</v>
      </c>
      <c r="C1494" s="23" t="s">
        <v>236</v>
      </c>
      <c r="D1494" s="23" t="s">
        <v>235</v>
      </c>
      <c r="G1494" s="23">
        <v>0.72</v>
      </c>
      <c r="I1494" s="217" t="s">
        <v>2502</v>
      </c>
    </row>
    <row r="1495" spans="1:9">
      <c r="A1495" s="23">
        <v>1495</v>
      </c>
      <c r="B1495" s="84">
        <v>45858</v>
      </c>
      <c r="C1495" s="23" t="s">
        <v>215</v>
      </c>
      <c r="D1495" s="23" t="s">
        <v>213</v>
      </c>
      <c r="G1495" s="23">
        <v>0</v>
      </c>
      <c r="I1495" s="217" t="s">
        <v>2503</v>
      </c>
    </row>
    <row r="1496" spans="1:9">
      <c r="A1496" s="23">
        <v>1496</v>
      </c>
      <c r="B1496" s="84">
        <v>45858</v>
      </c>
      <c r="C1496" s="23" t="s">
        <v>236</v>
      </c>
      <c r="D1496" s="23" t="s">
        <v>219</v>
      </c>
      <c r="G1496" s="23">
        <v>0.41499999999999998</v>
      </c>
      <c r="I1496" s="217" t="s">
        <v>2504</v>
      </c>
    </row>
    <row r="1497" spans="1:9">
      <c r="A1497" s="23">
        <v>1497</v>
      </c>
      <c r="B1497" s="84">
        <v>45858</v>
      </c>
      <c r="C1497" s="23" t="s">
        <v>215</v>
      </c>
      <c r="D1497" s="23" t="s">
        <v>222</v>
      </c>
      <c r="G1497" s="23">
        <v>0</v>
      </c>
      <c r="I1497" s="217" t="s">
        <v>2505</v>
      </c>
    </row>
    <row r="1498" spans="1:9">
      <c r="A1498" s="23">
        <v>1498</v>
      </c>
      <c r="B1498" s="84">
        <v>45858</v>
      </c>
      <c r="C1498" s="23" t="s">
        <v>987</v>
      </c>
      <c r="D1498" s="23" t="s">
        <v>203</v>
      </c>
      <c r="G1498" s="23">
        <v>0</v>
      </c>
      <c r="I1498" s="217" t="s">
        <v>2506</v>
      </c>
    </row>
    <row r="1499" spans="1:9">
      <c r="A1499" s="23">
        <v>1499</v>
      </c>
      <c r="B1499" s="84">
        <v>45858</v>
      </c>
      <c r="C1499" s="23" t="s">
        <v>987</v>
      </c>
      <c r="D1499" s="23" t="s">
        <v>203</v>
      </c>
      <c r="G1499" s="23">
        <v>1.5</v>
      </c>
      <c r="I1499" s="217" t="s">
        <v>1236</v>
      </c>
    </row>
    <row r="1500" spans="1:9">
      <c r="A1500" s="23">
        <v>1500</v>
      </c>
      <c r="B1500" s="84">
        <v>45858</v>
      </c>
      <c r="C1500" s="23" t="s">
        <v>943</v>
      </c>
      <c r="D1500" s="23" t="s">
        <v>200</v>
      </c>
      <c r="G1500" s="23">
        <v>0</v>
      </c>
      <c r="I1500" s="217" t="s">
        <v>2507</v>
      </c>
    </row>
    <row r="1501" spans="1:9">
      <c r="A1501" s="23">
        <v>1501</v>
      </c>
      <c r="B1501" s="84">
        <v>45858</v>
      </c>
      <c r="C1501" s="23" t="s">
        <v>943</v>
      </c>
      <c r="D1501" s="23" t="s">
        <v>200</v>
      </c>
      <c r="G1501" s="23" t="s">
        <v>9</v>
      </c>
      <c r="I1501" s="217" t="s">
        <v>1236</v>
      </c>
    </row>
    <row r="1502" spans="1:9">
      <c r="A1502" s="23">
        <v>1502</v>
      </c>
      <c r="B1502" s="84">
        <v>45858</v>
      </c>
      <c r="C1502" s="23" t="s">
        <v>918</v>
      </c>
      <c r="D1502" s="23" t="s">
        <v>200</v>
      </c>
      <c r="G1502" s="23">
        <v>0</v>
      </c>
      <c r="I1502" s="217" t="s">
        <v>2508</v>
      </c>
    </row>
    <row r="1503" spans="1:9">
      <c r="A1503" s="23">
        <v>1503</v>
      </c>
      <c r="B1503" s="84">
        <v>45858</v>
      </c>
      <c r="C1503" s="23" t="s">
        <v>290</v>
      </c>
      <c r="D1503" s="23" t="s">
        <v>233</v>
      </c>
      <c r="G1503" s="23">
        <v>1</v>
      </c>
      <c r="I1503" s="217" t="s">
        <v>2509</v>
      </c>
    </row>
    <row r="1504" spans="1:9">
      <c r="A1504" s="23">
        <v>1504</v>
      </c>
      <c r="B1504" s="84">
        <v>45858</v>
      </c>
      <c r="C1504" s="23" t="s">
        <v>571</v>
      </c>
      <c r="D1504" s="23" t="s">
        <v>227</v>
      </c>
      <c r="G1504" s="23">
        <v>0.8</v>
      </c>
      <c r="I1504" s="217" t="s">
        <v>2510</v>
      </c>
    </row>
    <row r="1505" spans="1:9">
      <c r="A1505" s="23">
        <v>1505</v>
      </c>
      <c r="B1505" s="84">
        <v>45858</v>
      </c>
      <c r="C1505" s="23" t="s">
        <v>373</v>
      </c>
      <c r="D1505" s="23" t="s">
        <v>230</v>
      </c>
      <c r="G1505" s="23">
        <v>0.8</v>
      </c>
      <c r="I1505" s="217" t="s">
        <v>2511</v>
      </c>
    </row>
    <row r="1506" spans="1:9">
      <c r="A1506" s="23">
        <v>1506</v>
      </c>
      <c r="B1506" s="84">
        <v>45858</v>
      </c>
      <c r="C1506" s="23" t="s">
        <v>650</v>
      </c>
      <c r="D1506" s="23" t="s">
        <v>240</v>
      </c>
      <c r="G1506" s="23">
        <v>0.8</v>
      </c>
      <c r="I1506" s="217" t="s">
        <v>2512</v>
      </c>
    </row>
    <row r="1507" spans="1:9">
      <c r="A1507" s="23">
        <v>1507</v>
      </c>
      <c r="B1507" s="84">
        <v>45858</v>
      </c>
      <c r="C1507" s="23" t="s">
        <v>377</v>
      </c>
      <c r="D1507" s="23" t="s">
        <v>200</v>
      </c>
      <c r="G1507" s="23">
        <v>1.5</v>
      </c>
      <c r="I1507" s="217" t="s">
        <v>2513</v>
      </c>
    </row>
    <row r="1508" spans="1:9">
      <c r="A1508" s="23">
        <v>1508</v>
      </c>
      <c r="B1508" s="84">
        <v>45858</v>
      </c>
      <c r="C1508" s="23" t="s">
        <v>366</v>
      </c>
      <c r="D1508" s="23" t="s">
        <v>243</v>
      </c>
      <c r="G1508" s="23">
        <v>0.8</v>
      </c>
      <c r="I1508" s="217" t="s">
        <v>2514</v>
      </c>
    </row>
    <row r="1509" spans="1:9">
      <c r="A1509" s="23">
        <v>1509</v>
      </c>
      <c r="B1509" s="84">
        <v>45858</v>
      </c>
      <c r="C1509" s="23" t="s">
        <v>413</v>
      </c>
      <c r="D1509" s="23" t="s">
        <v>246</v>
      </c>
      <c r="G1509" s="23">
        <v>0.8</v>
      </c>
      <c r="I1509" s="217" t="s">
        <v>2515</v>
      </c>
    </row>
    <row r="1510" spans="1:9">
      <c r="A1510" s="23">
        <v>1510</v>
      </c>
      <c r="B1510" s="84">
        <v>45858</v>
      </c>
      <c r="C1510" s="23" t="s">
        <v>488</v>
      </c>
      <c r="D1510" s="23" t="s">
        <v>297</v>
      </c>
      <c r="G1510" s="23">
        <v>0.8</v>
      </c>
      <c r="I1510" s="217" t="s">
        <v>2516</v>
      </c>
    </row>
    <row r="1511" spans="1:9">
      <c r="A1511" s="23">
        <v>1511</v>
      </c>
      <c r="B1511" s="84">
        <v>45858</v>
      </c>
      <c r="C1511" s="23" t="s">
        <v>993</v>
      </c>
      <c r="D1511" s="23" t="s">
        <v>297</v>
      </c>
      <c r="G1511" s="23">
        <v>0</v>
      </c>
      <c r="I1511" s="217" t="s">
        <v>2516</v>
      </c>
    </row>
    <row r="1512" spans="1:9">
      <c r="A1512" s="23">
        <v>1512</v>
      </c>
      <c r="B1512" s="84">
        <v>45858</v>
      </c>
      <c r="C1512" s="23" t="s">
        <v>967</v>
      </c>
      <c r="D1512" s="23" t="s">
        <v>227</v>
      </c>
      <c r="G1512" s="23">
        <v>0</v>
      </c>
      <c r="I1512" s="217" t="s">
        <v>2517</v>
      </c>
    </row>
    <row r="1513" spans="1:9">
      <c r="A1513" s="23">
        <v>1513</v>
      </c>
      <c r="B1513" s="84">
        <v>45858</v>
      </c>
      <c r="C1513" s="23" t="s">
        <v>313</v>
      </c>
      <c r="D1513" s="23" t="s">
        <v>230</v>
      </c>
      <c r="G1513" s="23">
        <v>0</v>
      </c>
      <c r="I1513" s="217" t="s">
        <v>2518</v>
      </c>
    </row>
    <row r="1514" spans="1:9">
      <c r="A1514" s="23">
        <v>1514</v>
      </c>
      <c r="B1514" s="84">
        <v>45858</v>
      </c>
      <c r="C1514" s="23" t="s">
        <v>484</v>
      </c>
      <c r="D1514" s="23" t="s">
        <v>240</v>
      </c>
      <c r="G1514" s="23">
        <v>0</v>
      </c>
      <c r="I1514" s="217" t="s">
        <v>2519</v>
      </c>
    </row>
    <row r="1515" spans="1:9">
      <c r="A1515" s="23">
        <v>1515</v>
      </c>
      <c r="B1515" s="84">
        <v>45858</v>
      </c>
      <c r="C1515" s="23" t="s">
        <v>487</v>
      </c>
      <c r="D1515" s="23" t="s">
        <v>243</v>
      </c>
      <c r="G1515" s="23">
        <v>0</v>
      </c>
      <c r="I1515" s="217" t="s">
        <v>2520</v>
      </c>
    </row>
    <row r="1516" spans="1:9">
      <c r="A1516" s="23">
        <v>1516</v>
      </c>
      <c r="B1516" s="84">
        <v>45858</v>
      </c>
      <c r="C1516" s="23" t="s">
        <v>992</v>
      </c>
      <c r="D1516" s="23" t="s">
        <v>246</v>
      </c>
      <c r="G1516" s="23">
        <v>0</v>
      </c>
      <c r="I1516" s="217" t="s">
        <v>2515</v>
      </c>
    </row>
    <row r="1517" spans="1:9">
      <c r="A1517" s="23">
        <v>1517</v>
      </c>
      <c r="B1517" s="84">
        <v>45858</v>
      </c>
      <c r="C1517" s="23" t="s">
        <v>489</v>
      </c>
      <c r="D1517" s="23" t="s">
        <v>246</v>
      </c>
      <c r="G1517" s="23">
        <v>0.8</v>
      </c>
      <c r="I1517" s="217" t="s">
        <v>1236</v>
      </c>
    </row>
    <row r="1518" spans="1:9">
      <c r="A1518" s="23">
        <v>1518</v>
      </c>
      <c r="B1518" s="84">
        <v>45858</v>
      </c>
      <c r="C1518" s="23" t="s">
        <v>688</v>
      </c>
      <c r="D1518" s="23" t="s">
        <v>251</v>
      </c>
      <c r="G1518" s="23">
        <v>2.8</v>
      </c>
      <c r="I1518" s="217" t="s">
        <v>2521</v>
      </c>
    </row>
    <row r="1519" spans="1:9">
      <c r="A1519" s="23">
        <v>1519</v>
      </c>
      <c r="B1519" s="84">
        <v>45858</v>
      </c>
      <c r="C1519" s="23" t="s">
        <v>994</v>
      </c>
      <c r="D1519" s="23" t="s">
        <v>246</v>
      </c>
      <c r="G1519" s="23">
        <v>0</v>
      </c>
      <c r="I1519" s="217" t="s">
        <v>2522</v>
      </c>
    </row>
    <row r="1520" spans="1:9">
      <c r="A1520" s="23">
        <v>1520</v>
      </c>
      <c r="B1520" s="84">
        <v>45858</v>
      </c>
      <c r="C1520" s="23" t="s">
        <v>988</v>
      </c>
      <c r="D1520" s="23" t="s">
        <v>235</v>
      </c>
      <c r="G1520" s="23">
        <v>0</v>
      </c>
      <c r="I1520" s="217" t="s">
        <v>2523</v>
      </c>
    </row>
    <row r="1521" spans="1:9">
      <c r="A1521" s="23">
        <v>1521</v>
      </c>
      <c r="B1521" s="84">
        <v>45858</v>
      </c>
      <c r="C1521" s="23" t="s">
        <v>616</v>
      </c>
      <c r="D1521" s="23" t="s">
        <v>227</v>
      </c>
      <c r="G1521" s="23">
        <v>0.8</v>
      </c>
      <c r="I1521" s="217" t="s">
        <v>2524</v>
      </c>
    </row>
    <row r="1522" spans="1:9">
      <c r="A1522" s="23">
        <v>1522</v>
      </c>
      <c r="B1522" s="84">
        <v>45858</v>
      </c>
      <c r="C1522" s="23" t="s">
        <v>659</v>
      </c>
      <c r="D1522" s="23" t="s">
        <v>230</v>
      </c>
      <c r="G1522" s="23">
        <v>0.8</v>
      </c>
      <c r="I1522" s="217" t="s">
        <v>2525</v>
      </c>
    </row>
    <row r="1523" spans="1:9">
      <c r="A1523" s="23">
        <v>1523</v>
      </c>
      <c r="B1523" s="84">
        <v>45858</v>
      </c>
      <c r="C1523" s="23" t="s">
        <v>661</v>
      </c>
      <c r="D1523" s="23" t="s">
        <v>227</v>
      </c>
      <c r="G1523" s="23">
        <v>0</v>
      </c>
      <c r="I1523" s="217" t="s">
        <v>2524</v>
      </c>
    </row>
    <row r="1524" spans="1:9">
      <c r="A1524" s="23">
        <v>1524</v>
      </c>
      <c r="B1524" s="84">
        <v>45858</v>
      </c>
      <c r="C1524" s="23" t="s">
        <v>525</v>
      </c>
      <c r="D1524" s="23" t="s">
        <v>230</v>
      </c>
      <c r="G1524" s="23">
        <v>0</v>
      </c>
      <c r="I1524" s="217" t="s">
        <v>2525</v>
      </c>
    </row>
    <row r="1525" spans="1:9">
      <c r="A1525" s="23">
        <v>1525</v>
      </c>
      <c r="B1525" s="84">
        <v>45858</v>
      </c>
      <c r="C1525" s="23" t="s">
        <v>525</v>
      </c>
      <c r="D1525" s="23" t="s">
        <v>235</v>
      </c>
      <c r="G1525" s="23">
        <v>0.63</v>
      </c>
      <c r="I1525" s="217" t="s">
        <v>1236</v>
      </c>
    </row>
    <row r="1526" spans="1:9">
      <c r="A1526" s="23">
        <v>1526</v>
      </c>
      <c r="B1526" s="84">
        <v>45858</v>
      </c>
      <c r="C1526" s="23" t="s">
        <v>217</v>
      </c>
      <c r="D1526" s="23" t="s">
        <v>222</v>
      </c>
      <c r="G1526" s="23">
        <v>0.6</v>
      </c>
      <c r="I1526" s="217" t="s">
        <v>2526</v>
      </c>
    </row>
    <row r="1527" spans="1:9">
      <c r="A1527" s="23">
        <v>1527</v>
      </c>
      <c r="B1527" s="84">
        <v>45858</v>
      </c>
      <c r="C1527" s="23" t="s">
        <v>367</v>
      </c>
      <c r="D1527" s="23" t="s">
        <v>216</v>
      </c>
      <c r="G1527" s="23">
        <v>0</v>
      </c>
      <c r="I1527" s="217" t="s">
        <v>2527</v>
      </c>
    </row>
    <row r="1528" spans="1:9">
      <c r="A1528" s="23">
        <v>1528</v>
      </c>
      <c r="B1528" s="84">
        <v>45858</v>
      </c>
      <c r="C1528" s="23" t="s">
        <v>432</v>
      </c>
      <c r="D1528" s="23" t="s">
        <v>240</v>
      </c>
      <c r="G1528" s="23">
        <v>0.8</v>
      </c>
      <c r="I1528" s="217" t="s">
        <v>2528</v>
      </c>
    </row>
    <row r="1529" spans="1:9">
      <c r="A1529" s="23">
        <v>1529</v>
      </c>
      <c r="B1529" s="84">
        <v>45858</v>
      </c>
      <c r="C1529" s="23" t="s">
        <v>996</v>
      </c>
      <c r="D1529" s="23" t="s">
        <v>243</v>
      </c>
      <c r="G1529" s="23">
        <v>0.8</v>
      </c>
      <c r="I1529" s="217" t="s">
        <v>2529</v>
      </c>
    </row>
    <row r="1530" spans="1:9">
      <c r="A1530" s="23">
        <v>1530</v>
      </c>
      <c r="B1530" s="84">
        <v>45858</v>
      </c>
      <c r="C1530" s="23" t="s">
        <v>260</v>
      </c>
      <c r="D1530" s="23" t="s">
        <v>246</v>
      </c>
      <c r="G1530" s="23">
        <v>0.8</v>
      </c>
      <c r="I1530" s="217" t="s">
        <v>2530</v>
      </c>
    </row>
    <row r="1531" spans="1:9">
      <c r="A1531" s="23">
        <v>1531</v>
      </c>
      <c r="B1531" s="84">
        <v>45858</v>
      </c>
      <c r="C1531" s="23" t="s">
        <v>534</v>
      </c>
      <c r="D1531" s="23" t="s">
        <v>240</v>
      </c>
      <c r="G1531" s="23">
        <v>0</v>
      </c>
      <c r="I1531" s="217" t="s">
        <v>2528</v>
      </c>
    </row>
    <row r="1532" spans="1:9">
      <c r="A1532" s="23">
        <v>1532</v>
      </c>
      <c r="B1532" s="84">
        <v>45858</v>
      </c>
      <c r="C1532" s="23" t="s">
        <v>536</v>
      </c>
      <c r="D1532" s="23" t="s">
        <v>227</v>
      </c>
      <c r="G1532" s="23">
        <v>0.8</v>
      </c>
      <c r="I1532" s="217" t="s">
        <v>2531</v>
      </c>
    </row>
    <row r="1533" spans="1:9">
      <c r="A1533" s="23">
        <v>1533</v>
      </c>
      <c r="B1533" s="84">
        <v>45858</v>
      </c>
      <c r="C1533" s="23" t="s">
        <v>995</v>
      </c>
      <c r="D1533" s="23" t="s">
        <v>235</v>
      </c>
      <c r="G1533" s="23">
        <v>0</v>
      </c>
      <c r="H1533" s="23" t="s">
        <v>2532</v>
      </c>
      <c r="I1533" s="217" t="s">
        <v>2533</v>
      </c>
    </row>
    <row r="1534" spans="1:9">
      <c r="A1534" s="23">
        <v>1534</v>
      </c>
      <c r="B1534" s="84">
        <v>45858</v>
      </c>
      <c r="C1534" s="23" t="s">
        <v>431</v>
      </c>
      <c r="D1534" s="23" t="s">
        <v>206</v>
      </c>
      <c r="G1534" s="23">
        <v>3.8</v>
      </c>
      <c r="I1534" s="217" t="s">
        <v>2534</v>
      </c>
    </row>
    <row r="1535" spans="1:9">
      <c r="A1535" s="23">
        <v>1535</v>
      </c>
      <c r="B1535" s="84">
        <v>45858</v>
      </c>
      <c r="C1535" s="23" t="s">
        <v>990</v>
      </c>
      <c r="D1535" s="23" t="s">
        <v>233</v>
      </c>
      <c r="G1535" s="23">
        <v>0</v>
      </c>
      <c r="I1535" s="217" t="s">
        <v>2535</v>
      </c>
    </row>
    <row r="1536" spans="1:9">
      <c r="A1536" s="23">
        <v>1536</v>
      </c>
      <c r="B1536" s="84">
        <v>45858</v>
      </c>
      <c r="C1536" s="23" t="s">
        <v>492</v>
      </c>
      <c r="D1536" s="23" t="s">
        <v>243</v>
      </c>
      <c r="G1536" s="23">
        <v>0</v>
      </c>
      <c r="I1536" s="217" t="s">
        <v>2536</v>
      </c>
    </row>
    <row r="1537" spans="1:17">
      <c r="A1537" s="23">
        <v>1537</v>
      </c>
      <c r="B1537" s="84">
        <v>45858</v>
      </c>
      <c r="C1537" s="23" t="s">
        <v>328</v>
      </c>
      <c r="D1537" s="23" t="s">
        <v>246</v>
      </c>
      <c r="G1537" s="23">
        <v>0</v>
      </c>
      <c r="I1537" s="217" t="s">
        <v>2537</v>
      </c>
    </row>
    <row r="1538" spans="1:17">
      <c r="A1538" s="23">
        <v>1538</v>
      </c>
      <c r="B1538" s="84">
        <v>45858</v>
      </c>
      <c r="C1538" s="23" t="s">
        <v>997</v>
      </c>
      <c r="D1538" s="23" t="s">
        <v>227</v>
      </c>
      <c r="G1538" s="23">
        <v>0</v>
      </c>
      <c r="I1538" s="217" t="s">
        <v>2531</v>
      </c>
    </row>
    <row r="1539" spans="1:17">
      <c r="A1539" s="23">
        <v>1539</v>
      </c>
      <c r="B1539" s="84">
        <v>45858</v>
      </c>
      <c r="C1539" s="23" t="s">
        <v>998</v>
      </c>
      <c r="D1539" s="23" t="s">
        <v>235</v>
      </c>
      <c r="G1539" s="23">
        <v>0.79</v>
      </c>
      <c r="I1539" s="217" t="s">
        <v>1236</v>
      </c>
    </row>
    <row r="1540" spans="1:17">
      <c r="A1540" s="23">
        <v>1540</v>
      </c>
      <c r="B1540" s="84">
        <v>45858</v>
      </c>
      <c r="C1540" s="23" t="s">
        <v>999</v>
      </c>
      <c r="D1540" s="23" t="s">
        <v>235</v>
      </c>
      <c r="G1540" s="23">
        <v>0</v>
      </c>
      <c r="H1540" s="23" t="s">
        <v>2532</v>
      </c>
      <c r="I1540" s="217" t="s">
        <v>2538</v>
      </c>
    </row>
    <row r="1541" spans="1:17">
      <c r="A1541" s="23">
        <v>1541</v>
      </c>
      <c r="B1541" s="84">
        <v>45858</v>
      </c>
      <c r="C1541" s="23" t="s">
        <v>624</v>
      </c>
      <c r="D1541" s="23" t="s">
        <v>235</v>
      </c>
      <c r="G1541" s="23">
        <v>0.61</v>
      </c>
      <c r="I1541" s="217" t="s">
        <v>2539</v>
      </c>
      <c r="Q1541" s="22" t="s">
        <v>21</v>
      </c>
    </row>
    <row r="1542" spans="1:17">
      <c r="A1542" s="23">
        <v>1542</v>
      </c>
      <c r="B1542" s="84">
        <v>45858</v>
      </c>
      <c r="C1542" s="23" t="s">
        <v>330</v>
      </c>
      <c r="D1542" s="23" t="s">
        <v>230</v>
      </c>
      <c r="G1542" s="23">
        <v>0.8</v>
      </c>
      <c r="I1542" s="217" t="s">
        <v>2540</v>
      </c>
    </row>
    <row r="1543" spans="1:17">
      <c r="A1543" s="23">
        <v>1543</v>
      </c>
      <c r="B1543" s="84">
        <v>45858</v>
      </c>
      <c r="C1543" s="23" t="s">
        <v>982</v>
      </c>
      <c r="D1543" s="23" t="s">
        <v>209</v>
      </c>
      <c r="G1543" s="23">
        <v>1</v>
      </c>
      <c r="H1543" s="23" t="s">
        <v>1943</v>
      </c>
      <c r="I1543" s="217" t="s">
        <v>2541</v>
      </c>
    </row>
    <row r="1544" spans="1:17">
      <c r="A1544" s="23">
        <v>1544</v>
      </c>
      <c r="B1544" s="84">
        <v>45858</v>
      </c>
      <c r="C1544" s="23" t="s">
        <v>277</v>
      </c>
      <c r="D1544" s="23" t="s">
        <v>213</v>
      </c>
      <c r="G1544" s="23">
        <v>0.92</v>
      </c>
      <c r="I1544" s="217" t="s">
        <v>2542</v>
      </c>
    </row>
    <row r="1545" spans="1:17">
      <c r="A1545" s="23">
        <v>1545</v>
      </c>
      <c r="B1545" s="84">
        <v>45858</v>
      </c>
      <c r="C1545" s="23" t="s">
        <v>832</v>
      </c>
      <c r="D1545" s="23" t="s">
        <v>235</v>
      </c>
      <c r="G1545" s="23">
        <v>0</v>
      </c>
      <c r="I1545" s="217" t="s">
        <v>2543</v>
      </c>
    </row>
    <row r="1546" spans="1:17">
      <c r="A1546" s="23">
        <v>1546</v>
      </c>
      <c r="B1546" s="84">
        <v>45858</v>
      </c>
      <c r="C1546" s="23" t="s">
        <v>220</v>
      </c>
      <c r="D1546" s="23" t="s">
        <v>216</v>
      </c>
      <c r="G1546" s="23">
        <v>0.61499999999999999</v>
      </c>
      <c r="I1546" s="217" t="s">
        <v>2544</v>
      </c>
    </row>
    <row r="1547" spans="1:17">
      <c r="A1547" s="23">
        <v>1547</v>
      </c>
      <c r="B1547" s="84">
        <v>45858</v>
      </c>
      <c r="C1547" s="23" t="s">
        <v>277</v>
      </c>
      <c r="D1547" s="23" t="s">
        <v>219</v>
      </c>
      <c r="G1547" s="23">
        <v>0</v>
      </c>
      <c r="I1547" s="217" t="s">
        <v>2545</v>
      </c>
    </row>
    <row r="1548" spans="1:17">
      <c r="A1548" s="23">
        <v>1548</v>
      </c>
      <c r="B1548" s="84">
        <v>45858</v>
      </c>
      <c r="C1548" s="23" t="s">
        <v>543</v>
      </c>
      <c r="D1548" s="23" t="s">
        <v>240</v>
      </c>
      <c r="G1548" s="23">
        <v>0.8</v>
      </c>
      <c r="I1548" s="217" t="s">
        <v>2546</v>
      </c>
    </row>
    <row r="1549" spans="1:17">
      <c r="A1549" s="23">
        <v>1549</v>
      </c>
      <c r="B1549" s="84">
        <v>45858</v>
      </c>
      <c r="C1549" s="23" t="s">
        <v>285</v>
      </c>
      <c r="D1549" s="23" t="s">
        <v>243</v>
      </c>
      <c r="G1549" s="23">
        <v>0.8</v>
      </c>
      <c r="I1549" s="217" t="s">
        <v>2547</v>
      </c>
    </row>
    <row r="1550" spans="1:17">
      <c r="A1550" s="23">
        <v>1550</v>
      </c>
      <c r="B1550" s="84">
        <v>45858</v>
      </c>
      <c r="C1550" s="23" t="s">
        <v>670</v>
      </c>
      <c r="D1550" s="23" t="s">
        <v>230</v>
      </c>
      <c r="G1550" s="23">
        <v>0</v>
      </c>
      <c r="I1550" s="217" t="s">
        <v>2548</v>
      </c>
    </row>
    <row r="1551" spans="1:17">
      <c r="A1551" s="23">
        <v>1551</v>
      </c>
      <c r="B1551" s="84">
        <v>45858</v>
      </c>
      <c r="C1551" s="23" t="s">
        <v>1004</v>
      </c>
      <c r="D1551" s="23" t="s">
        <v>254</v>
      </c>
      <c r="G1551" s="23">
        <v>1.5</v>
      </c>
      <c r="I1551" s="217" t="s">
        <v>2549</v>
      </c>
    </row>
    <row r="1552" spans="1:17">
      <c r="A1552" s="23">
        <v>1552</v>
      </c>
      <c r="B1552" s="84">
        <v>45858</v>
      </c>
      <c r="C1552" s="23" t="s">
        <v>1003</v>
      </c>
      <c r="D1552" s="23" t="s">
        <v>240</v>
      </c>
      <c r="G1552" s="23">
        <v>0</v>
      </c>
      <c r="I1552" s="217" t="s">
        <v>2546</v>
      </c>
    </row>
    <row r="1553" spans="1:9" ht="28.15">
      <c r="A1553" s="23">
        <v>1553</v>
      </c>
      <c r="B1553" s="84">
        <v>45858</v>
      </c>
      <c r="C1553" s="23" t="s">
        <v>799</v>
      </c>
      <c r="D1553" s="23" t="s">
        <v>209</v>
      </c>
      <c r="G1553" s="23">
        <v>0</v>
      </c>
      <c r="H1553" s="535" t="s">
        <v>2550</v>
      </c>
      <c r="I1553" s="217" t="s">
        <v>2551</v>
      </c>
    </row>
    <row r="1554" spans="1:9">
      <c r="A1554" s="23">
        <v>1554</v>
      </c>
      <c r="B1554" s="84">
        <v>45858</v>
      </c>
      <c r="C1554" s="23" t="s">
        <v>799</v>
      </c>
      <c r="D1554" s="23" t="s">
        <v>209</v>
      </c>
      <c r="G1554" s="23">
        <v>1.5</v>
      </c>
      <c r="I1554" s="217" t="s">
        <v>1236</v>
      </c>
    </row>
    <row r="1555" spans="1:9">
      <c r="A1555" s="23">
        <v>1555</v>
      </c>
      <c r="B1555" s="84">
        <v>45858</v>
      </c>
      <c r="C1555" s="23" t="s">
        <v>952</v>
      </c>
      <c r="D1555" s="23" t="s">
        <v>243</v>
      </c>
      <c r="G1555" s="23">
        <v>0</v>
      </c>
      <c r="I1555" s="217" t="s">
        <v>2552</v>
      </c>
    </row>
    <row r="1556" spans="1:9">
      <c r="A1556" s="23">
        <v>1556</v>
      </c>
      <c r="B1556" s="84">
        <v>45858</v>
      </c>
      <c r="C1556" s="23" t="s">
        <v>741</v>
      </c>
      <c r="D1556" s="23" t="s">
        <v>251</v>
      </c>
      <c r="G1556" s="23">
        <v>0</v>
      </c>
      <c r="I1556" s="217" t="s">
        <v>2553</v>
      </c>
    </row>
    <row r="1557" spans="1:9">
      <c r="A1557" s="23">
        <v>1557</v>
      </c>
      <c r="B1557" s="84">
        <v>45858</v>
      </c>
      <c r="C1557" s="23" t="s">
        <v>1005</v>
      </c>
      <c r="D1557" s="23" t="s">
        <v>209</v>
      </c>
      <c r="G1557" s="23">
        <v>0</v>
      </c>
      <c r="I1557" s="217" t="s">
        <v>2554</v>
      </c>
    </row>
    <row r="1558" spans="1:9">
      <c r="A1558" s="23">
        <v>1558</v>
      </c>
      <c r="B1558" s="84">
        <v>45858</v>
      </c>
      <c r="C1558" s="23" t="s">
        <v>735</v>
      </c>
      <c r="D1558" s="23" t="s">
        <v>254</v>
      </c>
      <c r="G1558" s="23">
        <v>0</v>
      </c>
      <c r="I1558" s="217" t="s">
        <v>2555</v>
      </c>
    </row>
    <row r="1559" spans="1:9">
      <c r="A1559" s="23">
        <v>1559</v>
      </c>
      <c r="B1559" s="84">
        <v>45858</v>
      </c>
      <c r="C1559" s="23" t="s">
        <v>968</v>
      </c>
      <c r="D1559" s="23" t="s">
        <v>197</v>
      </c>
      <c r="G1559" s="23">
        <v>0</v>
      </c>
      <c r="I1559" s="217" t="s">
        <v>2556</v>
      </c>
    </row>
    <row r="1560" spans="1:9">
      <c r="A1560" s="23">
        <v>1560</v>
      </c>
      <c r="B1560" s="84">
        <v>45859</v>
      </c>
      <c r="C1560" s="23" t="s">
        <v>223</v>
      </c>
      <c r="D1560" s="23" t="s">
        <v>219</v>
      </c>
      <c r="G1560" s="23">
        <v>0.46500000000000002</v>
      </c>
      <c r="I1560" s="217" t="s">
        <v>2557</v>
      </c>
    </row>
    <row r="1561" spans="1:9">
      <c r="A1561" s="23">
        <v>1561</v>
      </c>
      <c r="B1561" s="84">
        <v>45859</v>
      </c>
      <c r="C1561" s="23" t="s">
        <v>218</v>
      </c>
      <c r="D1561" s="23" t="s">
        <v>222</v>
      </c>
      <c r="G1561" s="23">
        <v>0</v>
      </c>
      <c r="I1561" s="217" t="s">
        <v>2558</v>
      </c>
    </row>
    <row r="1562" spans="1:9">
      <c r="A1562" s="23">
        <v>1562</v>
      </c>
      <c r="B1562" s="84">
        <v>45859</v>
      </c>
      <c r="C1562" s="23" t="s">
        <v>266</v>
      </c>
      <c r="D1562" s="23" t="s">
        <v>206</v>
      </c>
      <c r="G1562" s="23">
        <v>0</v>
      </c>
      <c r="I1562" s="217" t="s">
        <v>2559</v>
      </c>
    </row>
    <row r="1563" spans="1:9">
      <c r="A1563" s="23">
        <v>1563</v>
      </c>
      <c r="B1563" s="84">
        <v>45859</v>
      </c>
      <c r="C1563" s="23" t="s">
        <v>1002</v>
      </c>
      <c r="D1563" s="23" t="s">
        <v>219</v>
      </c>
      <c r="G1563" s="23">
        <v>0</v>
      </c>
      <c r="I1563" s="217" t="s">
        <v>2560</v>
      </c>
    </row>
    <row r="1564" spans="1:9">
      <c r="A1564" s="23">
        <v>1564</v>
      </c>
      <c r="B1564" s="84">
        <v>45859</v>
      </c>
      <c r="C1564" s="23" t="s">
        <v>1002</v>
      </c>
      <c r="D1564" s="23" t="s">
        <v>216</v>
      </c>
      <c r="G1564" s="23">
        <v>0</v>
      </c>
      <c r="I1564" s="217" t="s">
        <v>2561</v>
      </c>
    </row>
    <row r="1565" spans="1:9">
      <c r="A1565" s="23">
        <v>1565</v>
      </c>
      <c r="B1565" s="84">
        <v>45859</v>
      </c>
      <c r="C1565" s="23" t="s">
        <v>1006</v>
      </c>
      <c r="D1565" s="23" t="s">
        <v>219</v>
      </c>
      <c r="G1565" s="23">
        <v>0.4</v>
      </c>
      <c r="I1565" s="217" t="s">
        <v>2562</v>
      </c>
    </row>
    <row r="1566" spans="1:9">
      <c r="A1566" s="23">
        <v>1566</v>
      </c>
      <c r="B1566" s="84">
        <v>45859</v>
      </c>
      <c r="C1566" s="23" t="s">
        <v>1006</v>
      </c>
      <c r="D1566" s="23" t="s">
        <v>216</v>
      </c>
      <c r="G1566" s="23">
        <v>0.4</v>
      </c>
      <c r="I1566" s="217" t="s">
        <v>2563</v>
      </c>
    </row>
    <row r="1567" spans="1:9">
      <c r="A1567" s="23">
        <v>1567</v>
      </c>
      <c r="B1567" s="84">
        <v>45859</v>
      </c>
      <c r="C1567" s="23" t="s">
        <v>408</v>
      </c>
      <c r="D1567" s="23" t="s">
        <v>227</v>
      </c>
      <c r="G1567" s="23">
        <v>0.8</v>
      </c>
      <c r="I1567" s="217" t="s">
        <v>2564</v>
      </c>
    </row>
    <row r="1568" spans="1:9">
      <c r="A1568" s="23">
        <v>1568</v>
      </c>
      <c r="B1568" s="84">
        <v>45859</v>
      </c>
      <c r="C1568" s="23" t="s">
        <v>408</v>
      </c>
      <c r="D1568" s="23" t="s">
        <v>230</v>
      </c>
      <c r="G1568" s="23">
        <v>0.8</v>
      </c>
      <c r="I1568" s="217" t="s">
        <v>2565</v>
      </c>
    </row>
    <row r="1569" spans="1:9">
      <c r="A1569" s="23">
        <v>1569</v>
      </c>
      <c r="B1569" s="84">
        <v>45859</v>
      </c>
      <c r="C1569" s="23" t="s">
        <v>408</v>
      </c>
      <c r="D1569" s="23" t="s">
        <v>246</v>
      </c>
      <c r="G1569" s="23">
        <v>0.8</v>
      </c>
      <c r="I1569" s="217" t="s">
        <v>2566</v>
      </c>
    </row>
    <row r="1570" spans="1:9">
      <c r="A1570" s="23">
        <v>1571</v>
      </c>
      <c r="B1570" s="84">
        <v>45859</v>
      </c>
      <c r="C1570" s="23" t="s">
        <v>1008</v>
      </c>
      <c r="D1570" s="23" t="s">
        <v>246</v>
      </c>
      <c r="G1570" s="23">
        <v>0</v>
      </c>
      <c r="I1570" s="217" t="s">
        <v>2566</v>
      </c>
    </row>
    <row r="1571" spans="1:9">
      <c r="A1571" s="23">
        <v>1572</v>
      </c>
      <c r="B1571" s="84">
        <v>45859</v>
      </c>
      <c r="C1571" s="23" t="s">
        <v>354</v>
      </c>
      <c r="D1571" s="23" t="s">
        <v>233</v>
      </c>
      <c r="G1571" s="23">
        <v>0.5</v>
      </c>
      <c r="I1571" s="217" t="s">
        <v>2567</v>
      </c>
    </row>
    <row r="1572" spans="1:9">
      <c r="A1572" s="23">
        <v>1573</v>
      </c>
      <c r="B1572" s="84">
        <v>45859</v>
      </c>
      <c r="C1572" s="23" t="s">
        <v>560</v>
      </c>
      <c r="D1572" s="23" t="s">
        <v>197</v>
      </c>
      <c r="G1572" s="23">
        <v>0.5</v>
      </c>
      <c r="I1572" s="217" t="s">
        <v>2568</v>
      </c>
    </row>
    <row r="1573" spans="1:9">
      <c r="A1573" s="23">
        <v>1575</v>
      </c>
      <c r="B1573" s="84">
        <v>45859</v>
      </c>
      <c r="C1573" s="23" t="s">
        <v>875</v>
      </c>
      <c r="D1573" s="23" t="s">
        <v>230</v>
      </c>
      <c r="G1573" s="23">
        <v>0</v>
      </c>
      <c r="I1573" s="217" t="s">
        <v>2565</v>
      </c>
    </row>
    <row r="1574" spans="1:9">
      <c r="A1574" s="23">
        <v>1576</v>
      </c>
      <c r="B1574" s="84">
        <v>45859</v>
      </c>
      <c r="C1574" s="23" t="s">
        <v>991</v>
      </c>
      <c r="D1574" s="23" t="s">
        <v>200</v>
      </c>
      <c r="G1574" s="23">
        <v>0</v>
      </c>
      <c r="I1574" s="217" t="s">
        <v>2569</v>
      </c>
    </row>
    <row r="1575" spans="1:9">
      <c r="A1575" s="23">
        <v>1577</v>
      </c>
      <c r="B1575" s="84">
        <v>45859</v>
      </c>
      <c r="C1575" s="23" t="s">
        <v>716</v>
      </c>
      <c r="D1575" s="23" t="s">
        <v>240</v>
      </c>
      <c r="G1575" s="23">
        <v>0.8</v>
      </c>
      <c r="I1575" s="217" t="s">
        <v>1236</v>
      </c>
    </row>
    <row r="1576" spans="1:9">
      <c r="A1576" s="23">
        <v>1578</v>
      </c>
      <c r="B1576" s="84">
        <v>45859</v>
      </c>
      <c r="C1576" s="23" t="s">
        <v>875</v>
      </c>
      <c r="D1576" s="23" t="s">
        <v>227</v>
      </c>
      <c r="G1576" s="23">
        <v>0</v>
      </c>
      <c r="I1576" s="217" t="s">
        <v>2564</v>
      </c>
    </row>
    <row r="1577" spans="1:9">
      <c r="A1577" s="23">
        <v>1577</v>
      </c>
      <c r="B1577" s="84">
        <v>45859</v>
      </c>
      <c r="C1577" s="23" t="s">
        <v>236</v>
      </c>
      <c r="D1577" s="23" t="s">
        <v>222</v>
      </c>
      <c r="G1577" s="23">
        <v>0.47499999999999998</v>
      </c>
      <c r="I1577" s="217" t="s">
        <v>2570</v>
      </c>
    </row>
    <row r="1578" spans="1:9">
      <c r="A1578" s="23">
        <v>1578</v>
      </c>
      <c r="B1578" s="84">
        <v>45859</v>
      </c>
      <c r="C1578" s="23" t="s">
        <v>215</v>
      </c>
      <c r="D1578" s="23" t="s">
        <v>216</v>
      </c>
      <c r="G1578" s="23">
        <v>0</v>
      </c>
      <c r="I1578" s="217" t="s">
        <v>2571</v>
      </c>
    </row>
    <row r="1579" spans="1:9">
      <c r="A1579" s="23">
        <v>1579</v>
      </c>
      <c r="B1579" s="84">
        <v>45859</v>
      </c>
      <c r="C1579" s="23" t="s">
        <v>1010</v>
      </c>
      <c r="D1579" s="23" t="s">
        <v>240</v>
      </c>
      <c r="G1579" s="23">
        <v>0</v>
      </c>
      <c r="I1579" s="217" t="s">
        <v>2572</v>
      </c>
    </row>
    <row r="1580" spans="1:9">
      <c r="A1580" s="23">
        <v>1580</v>
      </c>
      <c r="B1580" s="84">
        <v>45859</v>
      </c>
      <c r="C1580" s="23" t="s">
        <v>963</v>
      </c>
      <c r="D1580" s="23" t="s">
        <v>235</v>
      </c>
      <c r="G1580" s="23">
        <v>0.77</v>
      </c>
      <c r="I1580" s="217" t="s">
        <v>2573</v>
      </c>
    </row>
    <row r="1581" spans="1:9">
      <c r="A1581" s="23">
        <v>1581</v>
      </c>
      <c r="B1581" s="84">
        <v>45859</v>
      </c>
      <c r="C1581" s="23" t="s">
        <v>1001</v>
      </c>
      <c r="D1581" s="23" t="s">
        <v>213</v>
      </c>
      <c r="G1581" s="23">
        <v>0</v>
      </c>
      <c r="I1581" s="217" t="s">
        <v>2574</v>
      </c>
    </row>
    <row r="1582" spans="1:9">
      <c r="A1582" s="23">
        <v>1582</v>
      </c>
      <c r="B1582" s="84">
        <v>45859</v>
      </c>
      <c r="C1582" s="23" t="s">
        <v>1011</v>
      </c>
      <c r="D1582" s="23" t="s">
        <v>209</v>
      </c>
      <c r="G1582" s="23" t="s">
        <v>9</v>
      </c>
      <c r="I1582" s="217" t="s">
        <v>2575</v>
      </c>
    </row>
    <row r="1583" spans="1:9">
      <c r="A1583" s="23">
        <v>1583</v>
      </c>
      <c r="B1583" s="84">
        <v>45859</v>
      </c>
      <c r="C1583" s="23" t="s">
        <v>819</v>
      </c>
      <c r="D1583" s="23" t="s">
        <v>243</v>
      </c>
      <c r="G1583" s="23">
        <v>0.8</v>
      </c>
      <c r="I1583" s="217" t="s">
        <v>2576</v>
      </c>
    </row>
    <row r="1584" spans="1:9">
      <c r="A1584" s="23">
        <v>1584</v>
      </c>
      <c r="B1584" s="84">
        <v>45859</v>
      </c>
      <c r="C1584" s="23" t="s">
        <v>1013</v>
      </c>
      <c r="D1584" s="23" t="s">
        <v>243</v>
      </c>
      <c r="G1584" s="23">
        <v>0</v>
      </c>
      <c r="I1584" s="217" t="s">
        <v>2576</v>
      </c>
    </row>
    <row r="1585" spans="1:9">
      <c r="A1585" s="23">
        <v>1585</v>
      </c>
      <c r="B1585" s="84">
        <v>45859</v>
      </c>
      <c r="C1585" s="23" t="s">
        <v>909</v>
      </c>
      <c r="D1585" s="23" t="s">
        <v>200</v>
      </c>
      <c r="G1585" s="23">
        <v>1.5</v>
      </c>
      <c r="I1585" s="217" t="s">
        <v>2577</v>
      </c>
    </row>
    <row r="1586" spans="1:9">
      <c r="A1586" s="23">
        <v>1586</v>
      </c>
      <c r="B1586" s="84">
        <v>45859</v>
      </c>
      <c r="C1586" s="23" t="s">
        <v>482</v>
      </c>
      <c r="D1586" s="23" t="s">
        <v>251</v>
      </c>
      <c r="G1586" s="23">
        <v>1</v>
      </c>
      <c r="I1586" s="217" t="s">
        <v>2578</v>
      </c>
    </row>
    <row r="1587" spans="1:9">
      <c r="A1587" s="23">
        <v>1587</v>
      </c>
      <c r="B1587" s="84">
        <v>45859</v>
      </c>
      <c r="C1587" s="23" t="s">
        <v>721</v>
      </c>
      <c r="D1587" s="23" t="s">
        <v>246</v>
      </c>
      <c r="G1587" s="23">
        <v>0.8</v>
      </c>
      <c r="I1587" s="217" t="s">
        <v>2579</v>
      </c>
    </row>
    <row r="1588" spans="1:9">
      <c r="A1588" s="23">
        <v>1588</v>
      </c>
      <c r="B1588" s="84">
        <v>45859</v>
      </c>
      <c r="C1588" s="23" t="s">
        <v>366</v>
      </c>
      <c r="D1588" s="23" t="s">
        <v>230</v>
      </c>
      <c r="G1588" s="23">
        <v>0.8</v>
      </c>
      <c r="I1588" s="217" t="s">
        <v>2580</v>
      </c>
    </row>
    <row r="1589" spans="1:9">
      <c r="A1589" s="23">
        <v>1589</v>
      </c>
      <c r="B1589" s="84">
        <v>45859</v>
      </c>
      <c r="C1589" s="23" t="s">
        <v>221</v>
      </c>
      <c r="D1589" s="23" t="s">
        <v>240</v>
      </c>
      <c r="G1589" s="23">
        <v>0.8</v>
      </c>
      <c r="I1589" s="217" t="s">
        <v>2581</v>
      </c>
    </row>
    <row r="1590" spans="1:9">
      <c r="A1590" s="23">
        <v>1590</v>
      </c>
      <c r="B1590" s="84">
        <v>45859</v>
      </c>
      <c r="C1590" s="23" t="s">
        <v>564</v>
      </c>
      <c r="D1590" s="23" t="s">
        <v>254</v>
      </c>
      <c r="G1590" s="23">
        <v>1</v>
      </c>
      <c r="I1590" s="217" t="s">
        <v>2582</v>
      </c>
    </row>
    <row r="1591" spans="1:9">
      <c r="A1591" s="23">
        <v>1591</v>
      </c>
      <c r="B1591" s="84">
        <v>45859</v>
      </c>
      <c r="C1591" s="23" t="s">
        <v>497</v>
      </c>
      <c r="D1591" s="23" t="s">
        <v>246</v>
      </c>
      <c r="G1591" s="23">
        <v>0</v>
      </c>
      <c r="I1591" s="217" t="s">
        <v>2583</v>
      </c>
    </row>
    <row r="1592" spans="1:9">
      <c r="A1592" s="23">
        <v>1592</v>
      </c>
      <c r="B1592" s="84">
        <v>45859</v>
      </c>
      <c r="C1592" s="23" t="s">
        <v>912</v>
      </c>
      <c r="D1592" s="23" t="s">
        <v>243</v>
      </c>
      <c r="G1592" s="23">
        <v>0.8</v>
      </c>
      <c r="I1592" s="217" t="s">
        <v>2584</v>
      </c>
    </row>
    <row r="1593" spans="1:9">
      <c r="A1593" s="23">
        <v>1593</v>
      </c>
      <c r="B1593" s="84">
        <v>45859</v>
      </c>
      <c r="C1593" s="23" t="s">
        <v>1018</v>
      </c>
      <c r="D1593" s="23" t="s">
        <v>246</v>
      </c>
      <c r="G1593" s="23">
        <v>0.8</v>
      </c>
      <c r="I1593" s="217" t="s">
        <v>1236</v>
      </c>
    </row>
    <row r="1594" spans="1:9">
      <c r="A1594" s="23">
        <v>1594</v>
      </c>
      <c r="B1594" s="84">
        <v>45859</v>
      </c>
      <c r="C1594" s="23" t="s">
        <v>494</v>
      </c>
      <c r="D1594" s="23" t="s">
        <v>227</v>
      </c>
      <c r="G1594" s="23">
        <v>0.8</v>
      </c>
      <c r="I1594" s="217" t="s">
        <v>2585</v>
      </c>
    </row>
    <row r="1595" spans="1:9">
      <c r="A1595" s="23">
        <v>1595</v>
      </c>
      <c r="B1595" s="84">
        <v>45859</v>
      </c>
      <c r="C1595" s="23" t="s">
        <v>1015</v>
      </c>
      <c r="D1595" s="23" t="s">
        <v>227</v>
      </c>
      <c r="G1595" s="23">
        <v>0</v>
      </c>
      <c r="I1595" s="217" t="s">
        <v>2586</v>
      </c>
    </row>
    <row r="1596" spans="1:9">
      <c r="A1596" s="23">
        <v>1596</v>
      </c>
      <c r="B1596" s="84">
        <v>45859</v>
      </c>
      <c r="C1596" s="23" t="s">
        <v>1015</v>
      </c>
      <c r="D1596" s="23" t="s">
        <v>230</v>
      </c>
      <c r="G1596" s="23">
        <v>0</v>
      </c>
      <c r="I1596" s="217" t="s">
        <v>2587</v>
      </c>
    </row>
    <row r="1597" spans="1:9">
      <c r="A1597" s="23">
        <v>1597</v>
      </c>
      <c r="B1597" s="84">
        <v>45859</v>
      </c>
      <c r="C1597" s="23" t="s">
        <v>1016</v>
      </c>
      <c r="D1597" s="23" t="s">
        <v>240</v>
      </c>
      <c r="G1597" s="23">
        <v>0</v>
      </c>
      <c r="I1597" s="217" t="s">
        <v>2588</v>
      </c>
    </row>
    <row r="1598" spans="1:9">
      <c r="A1598" s="23">
        <v>1598</v>
      </c>
      <c r="B1598" s="84">
        <v>45859</v>
      </c>
      <c r="C1598" s="23" t="s">
        <v>988</v>
      </c>
      <c r="D1598" s="23" t="s">
        <v>243</v>
      </c>
      <c r="G1598" s="23">
        <v>0</v>
      </c>
      <c r="I1598" s="217" t="s">
        <v>2589</v>
      </c>
    </row>
    <row r="1599" spans="1:9">
      <c r="A1599" s="23">
        <v>1599</v>
      </c>
      <c r="B1599" s="84">
        <v>45859</v>
      </c>
      <c r="C1599" s="23" t="s">
        <v>558</v>
      </c>
      <c r="D1599" s="23" t="s">
        <v>251</v>
      </c>
      <c r="G1599" s="23">
        <v>0</v>
      </c>
      <c r="H1599" s="23" t="s">
        <v>1816</v>
      </c>
      <c r="I1599" s="217" t="s">
        <v>2590</v>
      </c>
    </row>
    <row r="1600" spans="1:9">
      <c r="A1600" s="23">
        <v>1600</v>
      </c>
      <c r="B1600" s="84">
        <v>45859</v>
      </c>
      <c r="C1600" s="23" t="s">
        <v>988</v>
      </c>
      <c r="D1600" s="23" t="s">
        <v>251</v>
      </c>
      <c r="G1600" s="23">
        <v>2.8</v>
      </c>
      <c r="I1600" s="217" t="s">
        <v>1236</v>
      </c>
    </row>
    <row r="1601" spans="1:9">
      <c r="A1601" s="23">
        <v>1601</v>
      </c>
      <c r="B1601" s="84">
        <v>45859</v>
      </c>
      <c r="C1601" s="23" t="s">
        <v>1019</v>
      </c>
      <c r="D1601" s="23" t="s">
        <v>246</v>
      </c>
      <c r="G1601" s="23">
        <v>0</v>
      </c>
      <c r="I1601" s="217" t="s">
        <v>2591</v>
      </c>
    </row>
    <row r="1602" spans="1:9">
      <c r="A1602" s="23">
        <v>1602</v>
      </c>
      <c r="B1602" s="84">
        <v>45859</v>
      </c>
      <c r="C1602" s="23" t="s">
        <v>1021</v>
      </c>
      <c r="D1602" s="23" t="s">
        <v>230</v>
      </c>
      <c r="G1602" s="23">
        <v>0.8</v>
      </c>
      <c r="I1602" s="217" t="s">
        <v>1236</v>
      </c>
    </row>
    <row r="1603" spans="1:9">
      <c r="A1603" s="23">
        <v>1603</v>
      </c>
      <c r="B1603" s="84">
        <v>45859</v>
      </c>
      <c r="C1603" s="23" t="s">
        <v>1022</v>
      </c>
      <c r="D1603" s="23" t="s">
        <v>240</v>
      </c>
      <c r="G1603" s="23">
        <v>0.8</v>
      </c>
      <c r="I1603" s="217" t="s">
        <v>1236</v>
      </c>
    </row>
    <row r="1604" spans="1:9">
      <c r="A1604" s="23">
        <v>1604</v>
      </c>
      <c r="B1604" s="84">
        <v>45859</v>
      </c>
      <c r="C1604" s="23" t="s">
        <v>1024</v>
      </c>
      <c r="D1604" s="23" t="s">
        <v>243</v>
      </c>
      <c r="G1604" s="23">
        <v>0.8</v>
      </c>
      <c r="I1604" s="217" t="s">
        <v>1236</v>
      </c>
    </row>
    <row r="1605" spans="1:9">
      <c r="A1605" s="23">
        <v>1605</v>
      </c>
      <c r="B1605" s="84">
        <v>45859</v>
      </c>
      <c r="C1605" s="23" t="s">
        <v>686</v>
      </c>
      <c r="D1605" s="23" t="s">
        <v>246</v>
      </c>
      <c r="G1605" s="23">
        <v>0.8</v>
      </c>
      <c r="I1605" s="217" t="s">
        <v>1236</v>
      </c>
    </row>
    <row r="1606" spans="1:9">
      <c r="A1606" s="23">
        <v>1606</v>
      </c>
      <c r="B1606" s="84">
        <v>45859</v>
      </c>
      <c r="C1606" s="23" t="s">
        <v>367</v>
      </c>
      <c r="D1606" s="23" t="s">
        <v>227</v>
      </c>
      <c r="G1606" s="23">
        <v>0.8</v>
      </c>
      <c r="I1606" s="217" t="s">
        <v>2592</v>
      </c>
    </row>
    <row r="1607" spans="1:9">
      <c r="A1607" s="23">
        <v>1607</v>
      </c>
      <c r="B1607" s="84">
        <v>45859</v>
      </c>
      <c r="C1607" s="23" t="s">
        <v>573</v>
      </c>
      <c r="D1607" s="23" t="s">
        <v>297</v>
      </c>
      <c r="G1607" s="23">
        <v>0.8</v>
      </c>
      <c r="I1607" s="217" t="s">
        <v>2593</v>
      </c>
    </row>
    <row r="1608" spans="1:9">
      <c r="A1608" s="23">
        <v>1608</v>
      </c>
      <c r="B1608" s="84">
        <v>45859</v>
      </c>
      <c r="C1608" s="23" t="s">
        <v>217</v>
      </c>
      <c r="D1608" s="23" t="s">
        <v>216</v>
      </c>
      <c r="G1608" s="23">
        <v>0.65500000000000003</v>
      </c>
      <c r="I1608" s="217" t="s">
        <v>2594</v>
      </c>
    </row>
    <row r="1609" spans="1:9">
      <c r="A1609" s="23">
        <v>1609</v>
      </c>
      <c r="B1609" s="84">
        <v>45859</v>
      </c>
      <c r="C1609" s="23" t="s">
        <v>689</v>
      </c>
      <c r="D1609" s="23" t="s">
        <v>297</v>
      </c>
      <c r="G1609" s="23">
        <v>0</v>
      </c>
      <c r="I1609" s="217" t="s">
        <v>2593</v>
      </c>
    </row>
    <row r="1610" spans="1:9">
      <c r="A1610" s="23">
        <v>1610</v>
      </c>
      <c r="B1610" s="84">
        <v>45859</v>
      </c>
      <c r="C1610" s="23" t="s">
        <v>886</v>
      </c>
      <c r="D1610" s="23" t="s">
        <v>312</v>
      </c>
      <c r="G1610" s="23">
        <v>0.8</v>
      </c>
      <c r="I1610" s="217" t="s">
        <v>2595</v>
      </c>
    </row>
    <row r="1611" spans="1:9">
      <c r="A1611" s="23">
        <v>1611</v>
      </c>
      <c r="B1611" s="84">
        <v>45859</v>
      </c>
      <c r="C1611" s="23" t="s">
        <v>585</v>
      </c>
      <c r="D1611" s="23" t="s">
        <v>227</v>
      </c>
      <c r="G1611" s="23">
        <v>0</v>
      </c>
      <c r="I1611" s="217" t="s">
        <v>2592</v>
      </c>
    </row>
    <row r="1612" spans="1:9">
      <c r="A1612" s="23">
        <v>1612</v>
      </c>
      <c r="B1612" s="84">
        <v>45859</v>
      </c>
      <c r="C1612" s="23" t="s">
        <v>1028</v>
      </c>
      <c r="D1612" s="23" t="s">
        <v>206</v>
      </c>
      <c r="G1612" s="23">
        <v>3.8</v>
      </c>
      <c r="I1612" s="217" t="s">
        <v>2596</v>
      </c>
    </row>
    <row r="1613" spans="1:9">
      <c r="A1613" s="23">
        <v>1613</v>
      </c>
      <c r="B1613" s="84">
        <v>45859</v>
      </c>
      <c r="C1613" s="23" t="s">
        <v>589</v>
      </c>
      <c r="D1613" s="23" t="s">
        <v>230</v>
      </c>
      <c r="G1613" s="23">
        <v>0</v>
      </c>
      <c r="I1613" s="217" t="s">
        <v>2597</v>
      </c>
    </row>
    <row r="1614" spans="1:9">
      <c r="A1614" s="23">
        <v>1614</v>
      </c>
      <c r="B1614" s="84">
        <v>45859</v>
      </c>
      <c r="C1614" s="23" t="s">
        <v>1023</v>
      </c>
      <c r="D1614" s="23" t="s">
        <v>240</v>
      </c>
      <c r="G1614" s="23">
        <v>0</v>
      </c>
      <c r="I1614" s="217" t="s">
        <v>2598</v>
      </c>
    </row>
    <row r="1615" spans="1:9">
      <c r="A1615" s="23">
        <v>1615</v>
      </c>
      <c r="B1615" s="84">
        <v>45859</v>
      </c>
      <c r="C1615" s="23" t="s">
        <v>1009</v>
      </c>
      <c r="D1615" s="23" t="s">
        <v>233</v>
      </c>
      <c r="G1615" s="23">
        <v>0</v>
      </c>
      <c r="I1615" s="217" t="s">
        <v>2599</v>
      </c>
    </row>
    <row r="1616" spans="1:9">
      <c r="A1616" s="23">
        <v>1616</v>
      </c>
      <c r="B1616" s="84">
        <v>45859</v>
      </c>
      <c r="C1616" s="23" t="s">
        <v>1007</v>
      </c>
      <c r="D1616" s="23" t="s">
        <v>230</v>
      </c>
      <c r="G1616" s="23">
        <v>0.8</v>
      </c>
      <c r="I1616" s="217" t="s">
        <v>2600</v>
      </c>
    </row>
    <row r="1617" spans="1:9">
      <c r="A1617" s="23">
        <v>1617</v>
      </c>
      <c r="B1617" s="84">
        <v>45859</v>
      </c>
      <c r="C1617" s="23" t="s">
        <v>888</v>
      </c>
      <c r="D1617" s="23" t="s">
        <v>240</v>
      </c>
      <c r="G1617" s="23">
        <v>0.8</v>
      </c>
      <c r="I1617" s="217" t="s">
        <v>2601</v>
      </c>
    </row>
    <row r="1618" spans="1:9">
      <c r="A1618" s="23">
        <v>1618</v>
      </c>
      <c r="B1618" s="84">
        <v>45859</v>
      </c>
      <c r="C1618" s="23" t="s">
        <v>1007</v>
      </c>
      <c r="D1618" s="23" t="s">
        <v>219</v>
      </c>
      <c r="G1618" s="23">
        <v>0</v>
      </c>
      <c r="I1618" s="217" t="s">
        <v>2602</v>
      </c>
    </row>
    <row r="1619" spans="1:9">
      <c r="A1619" s="23">
        <v>1619</v>
      </c>
      <c r="B1619" s="84">
        <v>45859</v>
      </c>
      <c r="C1619" s="23" t="s">
        <v>889</v>
      </c>
      <c r="D1619" s="23" t="s">
        <v>227</v>
      </c>
      <c r="G1619" s="23">
        <v>0.8</v>
      </c>
      <c r="I1619" s="217" t="s">
        <v>2603</v>
      </c>
    </row>
    <row r="1620" spans="1:9">
      <c r="A1620" s="23">
        <v>1620</v>
      </c>
      <c r="B1620" s="84">
        <v>45859</v>
      </c>
      <c r="C1620" s="23" t="s">
        <v>971</v>
      </c>
      <c r="D1620" s="23" t="s">
        <v>297</v>
      </c>
      <c r="G1620" s="23">
        <v>0.8</v>
      </c>
      <c r="I1620" s="217" t="s">
        <v>2604</v>
      </c>
    </row>
    <row r="1621" spans="1:9">
      <c r="A1621" s="23">
        <v>1621</v>
      </c>
      <c r="B1621" s="84">
        <v>45859</v>
      </c>
      <c r="C1621" s="23" t="s">
        <v>938</v>
      </c>
      <c r="D1621" s="23" t="s">
        <v>297</v>
      </c>
      <c r="G1621" s="23">
        <v>0</v>
      </c>
      <c r="I1621" s="217" t="s">
        <v>2604</v>
      </c>
    </row>
    <row r="1622" spans="1:9">
      <c r="A1622" s="23">
        <v>1622</v>
      </c>
      <c r="B1622" s="84">
        <v>45859</v>
      </c>
      <c r="C1622" s="23" t="s">
        <v>1029</v>
      </c>
      <c r="D1622" s="23" t="s">
        <v>227</v>
      </c>
      <c r="G1622" s="23">
        <v>0</v>
      </c>
      <c r="I1622" s="217" t="s">
        <v>2605</v>
      </c>
    </row>
    <row r="1623" spans="1:9">
      <c r="A1623" s="23">
        <v>1623</v>
      </c>
      <c r="B1623" s="84">
        <v>45859</v>
      </c>
      <c r="C1623" s="23" t="s">
        <v>1029</v>
      </c>
      <c r="D1623" s="23" t="s">
        <v>230</v>
      </c>
      <c r="G1623" s="23">
        <v>0</v>
      </c>
      <c r="I1623" s="217" t="s">
        <v>2606</v>
      </c>
    </row>
    <row r="1624" spans="1:9">
      <c r="A1624" s="23">
        <v>1624</v>
      </c>
      <c r="B1624" s="84">
        <v>45859</v>
      </c>
      <c r="C1624" s="23" t="s">
        <v>1025</v>
      </c>
      <c r="D1624" s="23" t="s">
        <v>240</v>
      </c>
      <c r="G1624" s="23">
        <v>0</v>
      </c>
      <c r="I1624" s="217" t="s">
        <v>2607</v>
      </c>
    </row>
    <row r="1625" spans="1:9">
      <c r="A1625" s="23">
        <v>1625</v>
      </c>
      <c r="B1625" s="84">
        <v>45859</v>
      </c>
      <c r="C1625" s="23" t="s">
        <v>1025</v>
      </c>
      <c r="D1625" s="23" t="s">
        <v>243</v>
      </c>
      <c r="G1625" s="23">
        <v>0</v>
      </c>
      <c r="I1625" s="217" t="s">
        <v>2608</v>
      </c>
    </row>
    <row r="1626" spans="1:9">
      <c r="A1626" s="23">
        <v>1626</v>
      </c>
      <c r="B1626" s="84">
        <v>45859</v>
      </c>
      <c r="C1626" s="23" t="s">
        <v>1026</v>
      </c>
      <c r="D1626" s="23" t="s">
        <v>246</v>
      </c>
      <c r="G1626" s="23">
        <v>0</v>
      </c>
      <c r="I1626" s="217" t="s">
        <v>2609</v>
      </c>
    </row>
    <row r="1627" spans="1:9">
      <c r="A1627" s="23">
        <v>1627</v>
      </c>
      <c r="B1627" s="84">
        <v>45859</v>
      </c>
      <c r="C1627" s="23" t="s">
        <v>1030</v>
      </c>
      <c r="D1627" s="23" t="s">
        <v>230</v>
      </c>
      <c r="G1627" s="23">
        <v>0.8</v>
      </c>
      <c r="I1627" s="217" t="s">
        <v>2610</v>
      </c>
    </row>
    <row r="1628" spans="1:9">
      <c r="A1628" s="23">
        <v>1628</v>
      </c>
      <c r="B1628" s="84">
        <v>45859</v>
      </c>
      <c r="C1628" s="23" t="s">
        <v>1032</v>
      </c>
      <c r="D1628" s="23" t="s">
        <v>240</v>
      </c>
      <c r="G1628" s="23">
        <v>0.8</v>
      </c>
      <c r="I1628" s="217" t="s">
        <v>2611</v>
      </c>
    </row>
    <row r="1629" spans="1:9">
      <c r="A1629" s="23">
        <v>1629</v>
      </c>
      <c r="B1629" s="84">
        <v>45859</v>
      </c>
      <c r="C1629" s="23" t="s">
        <v>1034</v>
      </c>
      <c r="D1629" s="23" t="s">
        <v>243</v>
      </c>
      <c r="G1629" s="23">
        <v>0.8</v>
      </c>
      <c r="I1629" s="217" t="s">
        <v>2612</v>
      </c>
    </row>
    <row r="1630" spans="1:9">
      <c r="A1630" s="23">
        <v>1630</v>
      </c>
      <c r="B1630" s="84">
        <v>45859</v>
      </c>
      <c r="C1630" s="23" t="s">
        <v>1031</v>
      </c>
      <c r="D1630" s="23" t="s">
        <v>230</v>
      </c>
      <c r="G1630" s="23">
        <v>0</v>
      </c>
      <c r="I1630" s="217" t="s">
        <v>2613</v>
      </c>
    </row>
    <row r="1631" spans="1:9">
      <c r="A1631" s="23">
        <v>1631</v>
      </c>
      <c r="B1631" s="84">
        <v>45859</v>
      </c>
      <c r="C1631" s="23" t="s">
        <v>1033</v>
      </c>
      <c r="D1631" s="23" t="s">
        <v>240</v>
      </c>
      <c r="G1631" s="23">
        <v>0</v>
      </c>
      <c r="I1631" s="217" t="s">
        <v>2614</v>
      </c>
    </row>
    <row r="1632" spans="1:9">
      <c r="A1632" s="23">
        <v>1632</v>
      </c>
      <c r="B1632" s="84">
        <v>45859</v>
      </c>
      <c r="C1632" s="23" t="s">
        <v>970</v>
      </c>
      <c r="D1632" s="23" t="s">
        <v>243</v>
      </c>
      <c r="G1632" s="23">
        <v>0</v>
      </c>
      <c r="I1632" s="217" t="s">
        <v>2615</v>
      </c>
    </row>
    <row r="1633" spans="1:9">
      <c r="A1633" s="23">
        <v>1633</v>
      </c>
      <c r="B1633" s="84">
        <v>45859</v>
      </c>
      <c r="C1633" s="23" t="s">
        <v>1027</v>
      </c>
      <c r="D1633" s="23" t="s">
        <v>312</v>
      </c>
      <c r="G1633" s="23">
        <v>0</v>
      </c>
      <c r="I1633" s="217" t="s">
        <v>2616</v>
      </c>
    </row>
    <row r="1634" spans="1:9">
      <c r="A1634" s="23">
        <v>1634</v>
      </c>
      <c r="B1634" s="84">
        <v>45859</v>
      </c>
      <c r="C1634" s="23" t="s">
        <v>220</v>
      </c>
      <c r="D1634" s="23" t="s">
        <v>219</v>
      </c>
      <c r="G1634" s="23">
        <v>0.6</v>
      </c>
      <c r="I1634" s="217" t="s">
        <v>2617</v>
      </c>
    </row>
    <row r="1635" spans="1:9">
      <c r="A1635" s="23">
        <v>1635</v>
      </c>
      <c r="B1635" s="84">
        <v>45859</v>
      </c>
      <c r="C1635" s="23" t="s">
        <v>277</v>
      </c>
      <c r="D1635" s="23" t="s">
        <v>222</v>
      </c>
      <c r="G1635" s="23">
        <v>0</v>
      </c>
      <c r="I1635" s="217" t="s">
        <v>2618</v>
      </c>
    </row>
    <row r="1636" spans="1:9">
      <c r="A1636" s="23">
        <v>1636</v>
      </c>
      <c r="B1636" s="84">
        <v>45859</v>
      </c>
      <c r="C1636" s="23" t="s">
        <v>220</v>
      </c>
      <c r="D1636" s="23" t="s">
        <v>213</v>
      </c>
      <c r="G1636" s="23">
        <v>0.86</v>
      </c>
      <c r="I1636" s="217" t="s">
        <v>2619</v>
      </c>
    </row>
    <row r="1637" spans="1:9">
      <c r="A1637" s="23">
        <v>1637</v>
      </c>
      <c r="B1637" s="84">
        <v>45859</v>
      </c>
      <c r="C1637" s="23" t="s">
        <v>277</v>
      </c>
      <c r="D1637" s="23" t="s">
        <v>235</v>
      </c>
      <c r="G1637" s="23">
        <v>0</v>
      </c>
      <c r="I1637" s="217" t="s">
        <v>2620</v>
      </c>
    </row>
    <row r="1638" spans="1:9">
      <c r="A1638" s="23">
        <v>1638</v>
      </c>
      <c r="B1638" s="84">
        <v>45859</v>
      </c>
      <c r="C1638" s="23" t="s">
        <v>1020</v>
      </c>
      <c r="D1638" s="23" t="s">
        <v>251</v>
      </c>
      <c r="G1638" s="23">
        <v>0</v>
      </c>
      <c r="I1638" s="217" t="s">
        <v>2621</v>
      </c>
    </row>
    <row r="1639" spans="1:9">
      <c r="A1639" s="23">
        <v>1639</v>
      </c>
      <c r="B1639" s="84">
        <v>45859</v>
      </c>
      <c r="C1639" s="23" t="s">
        <v>1017</v>
      </c>
      <c r="D1639" s="23" t="s">
        <v>254</v>
      </c>
      <c r="G1639" s="23">
        <v>0</v>
      </c>
      <c r="I1639" s="217" t="s">
        <v>2622</v>
      </c>
    </row>
    <row r="1640" spans="1:9">
      <c r="A1640" s="23">
        <v>1640</v>
      </c>
      <c r="B1640" s="84">
        <v>45859</v>
      </c>
      <c r="C1640" s="23" t="s">
        <v>704</v>
      </c>
      <c r="D1640" s="23" t="s">
        <v>243</v>
      </c>
      <c r="G1640" s="23">
        <v>0.8</v>
      </c>
      <c r="I1640" s="217" t="s">
        <v>2623</v>
      </c>
    </row>
    <row r="1641" spans="1:9">
      <c r="A1641" s="23">
        <v>1641</v>
      </c>
      <c r="B1641" s="84">
        <v>45859</v>
      </c>
      <c r="C1641" s="23" t="s">
        <v>704</v>
      </c>
      <c r="D1641" s="23" t="s">
        <v>230</v>
      </c>
      <c r="G1641" s="23">
        <v>0.8</v>
      </c>
      <c r="I1641" s="217" t="s">
        <v>2624</v>
      </c>
    </row>
    <row r="1642" spans="1:9">
      <c r="A1642" s="23">
        <v>1642</v>
      </c>
      <c r="B1642" s="84">
        <v>45859</v>
      </c>
      <c r="C1642" s="23" t="s">
        <v>704</v>
      </c>
      <c r="D1642" s="23" t="s">
        <v>246</v>
      </c>
      <c r="G1642" s="23">
        <v>0.8</v>
      </c>
      <c r="I1642" s="217" t="s">
        <v>2625</v>
      </c>
    </row>
    <row r="1643" spans="1:9">
      <c r="A1643" s="23">
        <v>1643</v>
      </c>
      <c r="B1643" s="84">
        <v>45859</v>
      </c>
      <c r="C1643" s="23" t="s">
        <v>1014</v>
      </c>
      <c r="D1643" s="23" t="s">
        <v>200</v>
      </c>
      <c r="G1643" s="23">
        <v>0</v>
      </c>
      <c r="I1643" s="217" t="s">
        <v>2626</v>
      </c>
    </row>
    <row r="1644" spans="1:9">
      <c r="A1644" s="23">
        <v>1644</v>
      </c>
      <c r="B1644" s="84">
        <v>45859</v>
      </c>
      <c r="C1644" s="23" t="s">
        <v>454</v>
      </c>
      <c r="D1644" s="23" t="s">
        <v>243</v>
      </c>
      <c r="G1644" s="23">
        <v>0</v>
      </c>
      <c r="I1644" s="217" t="s">
        <v>2627</v>
      </c>
    </row>
    <row r="1645" spans="1:9">
      <c r="A1645" s="23">
        <v>1645</v>
      </c>
      <c r="B1645" s="84">
        <v>45859</v>
      </c>
      <c r="C1645" s="23" t="s">
        <v>1036</v>
      </c>
      <c r="D1645" s="23" t="s">
        <v>246</v>
      </c>
      <c r="G1645" s="23">
        <v>0</v>
      </c>
      <c r="I1645" s="217" t="s">
        <v>2628</v>
      </c>
    </row>
    <row r="1646" spans="1:9">
      <c r="A1646" s="23">
        <v>1646</v>
      </c>
      <c r="B1646" s="84">
        <v>45859</v>
      </c>
      <c r="C1646" s="23" t="s">
        <v>1035</v>
      </c>
      <c r="D1646" s="23" t="s">
        <v>230</v>
      </c>
      <c r="G1646" s="23">
        <v>0</v>
      </c>
      <c r="I1646" s="217" t="s">
        <v>2629</v>
      </c>
    </row>
    <row r="1647" spans="1:9">
      <c r="A1647" s="23">
        <v>1647</v>
      </c>
      <c r="B1647" s="84">
        <v>45860</v>
      </c>
      <c r="C1647" s="23" t="s">
        <v>570</v>
      </c>
      <c r="D1647" s="23" t="s">
        <v>206</v>
      </c>
      <c r="G1647" s="23">
        <v>0</v>
      </c>
      <c r="I1647" s="217" t="s">
        <v>2630</v>
      </c>
    </row>
    <row r="1648" spans="1:9">
      <c r="A1648" s="23">
        <v>1648</v>
      </c>
      <c r="B1648" s="84">
        <v>45860</v>
      </c>
      <c r="C1648" s="23" t="s">
        <v>831</v>
      </c>
      <c r="D1648" s="23" t="s">
        <v>200</v>
      </c>
      <c r="G1648" s="23">
        <v>0.5</v>
      </c>
      <c r="I1648" s="217" t="s">
        <v>2631</v>
      </c>
    </row>
    <row r="1649" spans="1:9">
      <c r="A1649" s="23">
        <v>1649</v>
      </c>
      <c r="B1649" s="84">
        <v>45860</v>
      </c>
      <c r="C1649" s="23" t="s">
        <v>910</v>
      </c>
      <c r="D1649" s="23" t="s">
        <v>197</v>
      </c>
      <c r="G1649" s="23">
        <v>0</v>
      </c>
      <c r="I1649" s="217" t="s">
        <v>2632</v>
      </c>
    </row>
    <row r="1650" spans="1:9">
      <c r="A1650" s="23">
        <v>1650</v>
      </c>
      <c r="B1650" s="84">
        <v>45860</v>
      </c>
      <c r="C1650" s="23" t="s">
        <v>1037</v>
      </c>
      <c r="D1650" s="23" t="s">
        <v>240</v>
      </c>
      <c r="G1650" s="23">
        <v>0.8</v>
      </c>
      <c r="I1650" s="217" t="s">
        <v>2633</v>
      </c>
    </row>
    <row r="1651" spans="1:9">
      <c r="A1651" s="23">
        <v>1651</v>
      </c>
      <c r="B1651" s="84">
        <v>45860</v>
      </c>
      <c r="C1651" s="23" t="s">
        <v>1039</v>
      </c>
      <c r="D1651" s="23" t="s">
        <v>233</v>
      </c>
      <c r="G1651" s="23">
        <v>0.5</v>
      </c>
      <c r="I1651" s="217" t="s">
        <v>2634</v>
      </c>
    </row>
    <row r="1652" spans="1:9">
      <c r="A1652" s="23">
        <v>1652</v>
      </c>
      <c r="B1652" s="84">
        <v>45860</v>
      </c>
      <c r="C1652" s="23" t="s">
        <v>1038</v>
      </c>
      <c r="D1652" s="23" t="s">
        <v>240</v>
      </c>
      <c r="G1652" s="23">
        <v>0</v>
      </c>
      <c r="I1652" s="217" t="s">
        <v>2633</v>
      </c>
    </row>
    <row r="1653" spans="1:9">
      <c r="A1653" s="23">
        <v>1653</v>
      </c>
      <c r="B1653" s="84">
        <v>45860</v>
      </c>
      <c r="C1653" s="23" t="s">
        <v>674</v>
      </c>
      <c r="D1653" s="23" t="s">
        <v>243</v>
      </c>
      <c r="G1653" s="23">
        <v>0.8</v>
      </c>
      <c r="I1653" s="217" t="s">
        <v>2635</v>
      </c>
    </row>
    <row r="1654" spans="1:9">
      <c r="A1654" s="23">
        <v>1654</v>
      </c>
      <c r="B1654" s="84">
        <v>45860</v>
      </c>
      <c r="C1654" s="23" t="s">
        <v>236</v>
      </c>
      <c r="D1654" s="23" t="s">
        <v>235</v>
      </c>
      <c r="G1654" s="23">
        <v>0.81</v>
      </c>
      <c r="I1654" s="217" t="s">
        <v>2636</v>
      </c>
    </row>
    <row r="1655" spans="1:9">
      <c r="A1655" s="23">
        <v>1655</v>
      </c>
      <c r="B1655" s="84">
        <v>45860</v>
      </c>
      <c r="C1655" s="23" t="s">
        <v>215</v>
      </c>
      <c r="D1655" s="23" t="s">
        <v>213</v>
      </c>
      <c r="G1655" s="23">
        <v>0</v>
      </c>
      <c r="I1655" s="217" t="s">
        <v>2637</v>
      </c>
    </row>
    <row r="1656" spans="1:9">
      <c r="A1656" s="23">
        <v>1656</v>
      </c>
      <c r="B1656" s="84">
        <v>45860</v>
      </c>
      <c r="C1656" s="23" t="s">
        <v>223</v>
      </c>
      <c r="D1656" s="23" t="s">
        <v>222</v>
      </c>
      <c r="G1656" s="23">
        <v>0.40500000000000003</v>
      </c>
      <c r="I1656" s="217" t="s">
        <v>2638</v>
      </c>
    </row>
    <row r="1657" spans="1:9">
      <c r="A1657" s="23">
        <v>1657</v>
      </c>
      <c r="B1657" s="84">
        <v>45860</v>
      </c>
      <c r="C1657" s="23" t="s">
        <v>218</v>
      </c>
      <c r="D1657" s="23" t="s">
        <v>216</v>
      </c>
      <c r="G1657" s="23">
        <v>0</v>
      </c>
      <c r="I1657" s="217" t="s">
        <v>2639</v>
      </c>
    </row>
    <row r="1658" spans="1:9">
      <c r="A1658" s="23">
        <v>1658</v>
      </c>
      <c r="B1658" s="84">
        <v>45860</v>
      </c>
      <c r="C1658" s="23" t="s">
        <v>236</v>
      </c>
      <c r="D1658" s="23" t="s">
        <v>216</v>
      </c>
      <c r="G1658" s="23">
        <v>0.60499999999999998</v>
      </c>
      <c r="I1658" s="217" t="s">
        <v>2640</v>
      </c>
    </row>
    <row r="1659" spans="1:9">
      <c r="A1659" s="23">
        <v>1659</v>
      </c>
      <c r="B1659" s="84">
        <v>45860</v>
      </c>
      <c r="C1659" s="23" t="s">
        <v>218</v>
      </c>
      <c r="D1659" s="23" t="s">
        <v>219</v>
      </c>
      <c r="G1659" s="23">
        <v>0</v>
      </c>
      <c r="I1659" s="217" t="s">
        <v>2641</v>
      </c>
    </row>
    <row r="1660" spans="1:9">
      <c r="A1660" s="23">
        <v>1660</v>
      </c>
      <c r="B1660" s="84">
        <v>45860</v>
      </c>
      <c r="C1660" s="23" t="s">
        <v>353</v>
      </c>
      <c r="D1660" s="23" t="s">
        <v>246</v>
      </c>
      <c r="G1660" s="23">
        <v>0.8</v>
      </c>
      <c r="I1660" s="217" t="s">
        <v>2642</v>
      </c>
    </row>
    <row r="1661" spans="1:9">
      <c r="A1661" s="23">
        <v>1661</v>
      </c>
      <c r="B1661" s="84">
        <v>45860</v>
      </c>
      <c r="C1661" s="23" t="s">
        <v>815</v>
      </c>
      <c r="D1661" s="23" t="s">
        <v>243</v>
      </c>
      <c r="G1661" s="23">
        <v>0</v>
      </c>
      <c r="I1661" s="217" t="s">
        <v>2643</v>
      </c>
    </row>
    <row r="1662" spans="1:9">
      <c r="A1662" s="23">
        <v>1662</v>
      </c>
      <c r="B1662" s="84">
        <v>45860</v>
      </c>
      <c r="C1662" s="23" t="s">
        <v>1040</v>
      </c>
      <c r="D1662" s="23" t="s">
        <v>246</v>
      </c>
      <c r="G1662" s="23">
        <v>0</v>
      </c>
      <c r="I1662" s="217" t="s">
        <v>2642</v>
      </c>
    </row>
    <row r="1663" spans="1:9">
      <c r="A1663" s="23">
        <v>1663</v>
      </c>
      <c r="B1663" s="84">
        <v>45860</v>
      </c>
      <c r="C1663" s="23" t="s">
        <v>819</v>
      </c>
      <c r="D1663" s="23" t="s">
        <v>230</v>
      </c>
      <c r="G1663" s="23">
        <v>0.8</v>
      </c>
      <c r="I1663" s="217" t="s">
        <v>2644</v>
      </c>
    </row>
    <row r="1664" spans="1:9">
      <c r="A1664" s="23">
        <v>1664</v>
      </c>
      <c r="B1664" s="84">
        <v>45860</v>
      </c>
      <c r="C1664" s="23" t="s">
        <v>601</v>
      </c>
      <c r="D1664" s="23" t="s">
        <v>240</v>
      </c>
      <c r="G1664" s="23">
        <v>0.8</v>
      </c>
      <c r="I1664" s="217" t="s">
        <v>2645</v>
      </c>
    </row>
    <row r="1665" spans="1:9">
      <c r="A1665" s="23">
        <v>1665</v>
      </c>
      <c r="B1665" s="84">
        <v>45860</v>
      </c>
      <c r="C1665" s="23" t="s">
        <v>719</v>
      </c>
      <c r="D1665" s="23" t="s">
        <v>243</v>
      </c>
      <c r="G1665" s="23">
        <v>0.8</v>
      </c>
      <c r="I1665" s="217" t="s">
        <v>2646</v>
      </c>
    </row>
    <row r="1666" spans="1:9">
      <c r="A1666" s="23">
        <v>1666</v>
      </c>
      <c r="B1666" s="84">
        <v>45860</v>
      </c>
      <c r="C1666" s="23" t="s">
        <v>365</v>
      </c>
      <c r="D1666" s="23" t="s">
        <v>197</v>
      </c>
      <c r="G1666" s="23">
        <v>1.5</v>
      </c>
      <c r="I1666" s="217" t="s">
        <v>2647</v>
      </c>
    </row>
    <row r="1667" spans="1:9">
      <c r="A1667" s="23">
        <v>1667</v>
      </c>
      <c r="B1667" s="84">
        <v>45860</v>
      </c>
      <c r="C1667" s="23" t="s">
        <v>244</v>
      </c>
      <c r="D1667" s="23" t="s">
        <v>246</v>
      </c>
      <c r="G1667" s="23">
        <v>0.8</v>
      </c>
      <c r="I1667" s="217" t="s">
        <v>2648</v>
      </c>
    </row>
    <row r="1668" spans="1:9">
      <c r="A1668" s="23">
        <v>1668</v>
      </c>
      <c r="B1668" s="84">
        <v>45860</v>
      </c>
      <c r="C1668" s="23" t="s">
        <v>822</v>
      </c>
      <c r="D1668" s="23" t="s">
        <v>227</v>
      </c>
      <c r="G1668" s="23">
        <v>0.8</v>
      </c>
      <c r="I1668" s="217" t="s">
        <v>2649</v>
      </c>
    </row>
    <row r="1669" spans="1:9">
      <c r="A1669" s="23">
        <v>1669</v>
      </c>
      <c r="B1669" s="84">
        <v>45860</v>
      </c>
      <c r="C1669" s="23" t="s">
        <v>1042</v>
      </c>
      <c r="D1669" s="23" t="s">
        <v>251</v>
      </c>
      <c r="G1669" s="23">
        <v>2.8</v>
      </c>
      <c r="I1669" s="217" t="s">
        <v>2650</v>
      </c>
    </row>
    <row r="1670" spans="1:9">
      <c r="A1670" s="23">
        <v>1670</v>
      </c>
      <c r="B1670" s="84">
        <v>45860</v>
      </c>
      <c r="C1670" s="23" t="s">
        <v>296</v>
      </c>
      <c r="D1670" s="23" t="s">
        <v>227</v>
      </c>
      <c r="G1670" s="23">
        <v>0</v>
      </c>
      <c r="I1670" s="217" t="s">
        <v>2649</v>
      </c>
    </row>
    <row r="1671" spans="1:9">
      <c r="A1671" s="23">
        <v>1671</v>
      </c>
      <c r="B1671" s="84">
        <v>45860</v>
      </c>
      <c r="C1671" s="23" t="s">
        <v>482</v>
      </c>
      <c r="D1671" s="23" t="s">
        <v>230</v>
      </c>
      <c r="G1671" s="23">
        <v>0</v>
      </c>
      <c r="I1671" s="217" t="s">
        <v>2651</v>
      </c>
    </row>
    <row r="1672" spans="1:9">
      <c r="A1672" s="23">
        <v>1672</v>
      </c>
      <c r="B1672" s="84">
        <v>45860</v>
      </c>
      <c r="C1672" s="23" t="s">
        <v>574</v>
      </c>
      <c r="D1672" s="23" t="s">
        <v>240</v>
      </c>
      <c r="G1672" s="23">
        <v>0</v>
      </c>
      <c r="I1672" s="217" t="s">
        <v>2652</v>
      </c>
    </row>
    <row r="1673" spans="1:9">
      <c r="A1673" s="23">
        <v>1673</v>
      </c>
      <c r="B1673" s="84">
        <v>45860</v>
      </c>
      <c r="C1673" s="23" t="s">
        <v>563</v>
      </c>
      <c r="D1673" s="23" t="s">
        <v>243</v>
      </c>
      <c r="G1673" s="23">
        <v>0</v>
      </c>
      <c r="I1673" s="217" t="s">
        <v>2653</v>
      </c>
    </row>
    <row r="1674" spans="1:9">
      <c r="A1674" s="23">
        <v>1674</v>
      </c>
      <c r="B1674" s="84">
        <v>45860</v>
      </c>
      <c r="C1674" s="23" t="s">
        <v>563</v>
      </c>
      <c r="D1674" s="23" t="s">
        <v>254</v>
      </c>
      <c r="G1674" s="23">
        <v>1.5</v>
      </c>
      <c r="I1674" s="217" t="s">
        <v>2654</v>
      </c>
    </row>
    <row r="1675" spans="1:9">
      <c r="A1675" s="23">
        <v>1675</v>
      </c>
      <c r="B1675" s="84">
        <v>45860</v>
      </c>
      <c r="C1675" s="23" t="s">
        <v>375</v>
      </c>
      <c r="D1675" s="23" t="s">
        <v>246</v>
      </c>
      <c r="G1675" s="23">
        <v>0</v>
      </c>
      <c r="I1675" s="217" t="s">
        <v>2655</v>
      </c>
    </row>
    <row r="1676" spans="1:9">
      <c r="A1676" s="23">
        <v>1676</v>
      </c>
      <c r="B1676" s="84">
        <v>45860</v>
      </c>
      <c r="C1676" s="23" t="s">
        <v>1044</v>
      </c>
      <c r="D1676" s="23" t="s">
        <v>230</v>
      </c>
      <c r="G1676" s="23">
        <v>0.8</v>
      </c>
      <c r="I1676" s="217" t="s">
        <v>2656</v>
      </c>
    </row>
    <row r="1677" spans="1:9">
      <c r="A1677" s="23">
        <v>1677</v>
      </c>
      <c r="B1677" s="84">
        <v>45860</v>
      </c>
      <c r="C1677" s="23" t="s">
        <v>751</v>
      </c>
      <c r="D1677" s="23" t="s">
        <v>240</v>
      </c>
      <c r="G1677" s="23">
        <v>0.8</v>
      </c>
      <c r="I1677" s="217" t="s">
        <v>2657</v>
      </c>
    </row>
    <row r="1678" spans="1:9">
      <c r="A1678" s="23">
        <v>1678</v>
      </c>
      <c r="B1678" s="84">
        <v>45860</v>
      </c>
      <c r="C1678" s="23" t="s">
        <v>490</v>
      </c>
      <c r="D1678" s="23" t="s">
        <v>243</v>
      </c>
      <c r="G1678" s="23">
        <v>0.8</v>
      </c>
      <c r="I1678" s="217" t="s">
        <v>2658</v>
      </c>
    </row>
    <row r="1679" spans="1:9">
      <c r="A1679" s="23">
        <v>1679</v>
      </c>
      <c r="B1679" s="84">
        <v>45860</v>
      </c>
      <c r="C1679" s="23" t="s">
        <v>825</v>
      </c>
      <c r="D1679" s="23" t="s">
        <v>246</v>
      </c>
      <c r="G1679" s="23">
        <v>0.8</v>
      </c>
      <c r="I1679" s="217" t="s">
        <v>2659</v>
      </c>
    </row>
    <row r="1680" spans="1:9">
      <c r="A1680" s="23">
        <v>1680</v>
      </c>
      <c r="B1680" s="84">
        <v>45860</v>
      </c>
      <c r="C1680" s="23" t="s">
        <v>429</v>
      </c>
      <c r="D1680" s="23" t="s">
        <v>227</v>
      </c>
      <c r="G1680" s="23">
        <v>0.8</v>
      </c>
      <c r="I1680" s="217" t="s">
        <v>2660</v>
      </c>
    </row>
    <row r="1681" spans="1:9">
      <c r="A1681" s="23">
        <v>1681</v>
      </c>
      <c r="B1681" s="84">
        <v>45860</v>
      </c>
      <c r="C1681" s="23" t="s">
        <v>688</v>
      </c>
      <c r="D1681" s="23" t="s">
        <v>297</v>
      </c>
      <c r="G1681" s="23">
        <v>0.8</v>
      </c>
      <c r="I1681" s="217" t="s">
        <v>2661</v>
      </c>
    </row>
    <row r="1682" spans="1:9">
      <c r="A1682" s="23">
        <v>1682</v>
      </c>
      <c r="B1682" s="84">
        <v>45860</v>
      </c>
      <c r="C1682" s="23" t="s">
        <v>966</v>
      </c>
      <c r="D1682" s="23" t="s">
        <v>312</v>
      </c>
      <c r="G1682" s="23">
        <v>2.7</v>
      </c>
      <c r="I1682" s="217" t="s">
        <v>2662</v>
      </c>
    </row>
    <row r="1683" spans="1:9">
      <c r="A1683" s="23">
        <v>1683</v>
      </c>
      <c r="B1683" s="84">
        <v>45860</v>
      </c>
      <c r="C1683" s="23" t="s">
        <v>760</v>
      </c>
      <c r="D1683" s="23" t="s">
        <v>297</v>
      </c>
      <c r="G1683" s="23">
        <v>0</v>
      </c>
      <c r="I1683" s="217" t="s">
        <v>2661</v>
      </c>
    </row>
    <row r="1684" spans="1:9">
      <c r="A1684" s="23">
        <v>1684</v>
      </c>
      <c r="B1684" s="84">
        <v>45860</v>
      </c>
      <c r="C1684" s="23" t="s">
        <v>726</v>
      </c>
      <c r="D1684" s="23" t="s">
        <v>227</v>
      </c>
      <c r="G1684" s="23">
        <v>0</v>
      </c>
      <c r="I1684" s="217" t="s">
        <v>2663</v>
      </c>
    </row>
    <row r="1685" spans="1:9">
      <c r="A1685" s="23">
        <v>1685</v>
      </c>
      <c r="B1685" s="84">
        <v>45860</v>
      </c>
      <c r="C1685" s="23" t="s">
        <v>311</v>
      </c>
      <c r="D1685" s="23" t="s">
        <v>230</v>
      </c>
      <c r="G1685" s="23">
        <v>0</v>
      </c>
      <c r="I1685" s="217" t="s">
        <v>2664</v>
      </c>
    </row>
    <row r="1686" spans="1:9">
      <c r="A1686" s="23">
        <v>1686</v>
      </c>
      <c r="B1686" s="84">
        <v>45860</v>
      </c>
      <c r="C1686" s="23" t="s">
        <v>733</v>
      </c>
      <c r="D1686" s="23" t="s">
        <v>230</v>
      </c>
      <c r="G1686" s="23">
        <v>0.8</v>
      </c>
      <c r="I1686" s="217" t="s">
        <v>2665</v>
      </c>
    </row>
    <row r="1687" spans="1:9">
      <c r="A1687" s="23">
        <v>1687</v>
      </c>
      <c r="B1687" s="84">
        <v>45860</v>
      </c>
      <c r="C1687" s="23" t="s">
        <v>322</v>
      </c>
      <c r="D1687" s="23" t="s">
        <v>206</v>
      </c>
      <c r="G1687" s="23">
        <v>1</v>
      </c>
      <c r="I1687" s="217" t="s">
        <v>2666</v>
      </c>
    </row>
    <row r="1688" spans="1:9">
      <c r="A1688" s="23">
        <v>1688</v>
      </c>
      <c r="B1688" s="84">
        <v>45860</v>
      </c>
      <c r="C1688" s="23" t="s">
        <v>886</v>
      </c>
      <c r="D1688" s="23" t="s">
        <v>233</v>
      </c>
      <c r="G1688" s="23">
        <v>0</v>
      </c>
      <c r="I1688" s="217" t="s">
        <v>2667</v>
      </c>
    </row>
    <row r="1689" spans="1:9">
      <c r="A1689" s="23">
        <v>1689</v>
      </c>
      <c r="B1689" s="84">
        <v>45860</v>
      </c>
      <c r="C1689" s="23" t="s">
        <v>217</v>
      </c>
      <c r="D1689" s="23" t="s">
        <v>219</v>
      </c>
      <c r="G1689" s="23">
        <v>0.66</v>
      </c>
      <c r="I1689" s="217" t="s">
        <v>2668</v>
      </c>
    </row>
    <row r="1690" spans="1:9">
      <c r="A1690" s="23">
        <v>1690</v>
      </c>
      <c r="B1690" s="84">
        <v>45860</v>
      </c>
      <c r="C1690" s="23" t="s">
        <v>367</v>
      </c>
      <c r="D1690" s="23" t="s">
        <v>222</v>
      </c>
      <c r="G1690" s="23">
        <v>0</v>
      </c>
      <c r="I1690" s="217" t="s">
        <v>2669</v>
      </c>
    </row>
    <row r="1691" spans="1:9">
      <c r="A1691" s="23">
        <v>1691</v>
      </c>
      <c r="B1691" s="84">
        <v>45860</v>
      </c>
      <c r="C1691" s="23" t="s">
        <v>1049</v>
      </c>
      <c r="D1691" s="23" t="s">
        <v>227</v>
      </c>
      <c r="G1691" s="23">
        <v>0.8</v>
      </c>
      <c r="I1691" s="217" t="s">
        <v>2670</v>
      </c>
    </row>
    <row r="1692" spans="1:9">
      <c r="A1692" s="23">
        <v>1692</v>
      </c>
      <c r="B1692" s="84">
        <v>45860</v>
      </c>
      <c r="C1692" s="23" t="s">
        <v>934</v>
      </c>
      <c r="D1692" s="23" t="s">
        <v>297</v>
      </c>
      <c r="G1692" s="23">
        <v>0.8</v>
      </c>
      <c r="I1692" s="217" t="s">
        <v>2671</v>
      </c>
    </row>
    <row r="1693" spans="1:9">
      <c r="A1693" s="23">
        <v>1693</v>
      </c>
      <c r="B1693" s="84">
        <v>45860</v>
      </c>
      <c r="C1693" s="23" t="s">
        <v>1050</v>
      </c>
      <c r="D1693" s="23" t="s">
        <v>297</v>
      </c>
      <c r="G1693" s="23">
        <v>0</v>
      </c>
      <c r="I1693" s="217" t="s">
        <v>2672</v>
      </c>
    </row>
    <row r="1694" spans="1:9">
      <c r="A1694" s="23">
        <v>1694</v>
      </c>
      <c r="B1694" s="84">
        <v>45860</v>
      </c>
      <c r="C1694" s="23" t="s">
        <v>947</v>
      </c>
      <c r="D1694" s="23" t="s">
        <v>227</v>
      </c>
      <c r="G1694" s="23">
        <v>0</v>
      </c>
      <c r="I1694" s="217" t="s">
        <v>2673</v>
      </c>
    </row>
    <row r="1695" spans="1:9">
      <c r="A1695" s="23">
        <v>1695</v>
      </c>
      <c r="B1695" s="84">
        <v>45860</v>
      </c>
      <c r="C1695" s="23" t="s">
        <v>1033</v>
      </c>
      <c r="D1695" s="23" t="s">
        <v>230</v>
      </c>
      <c r="G1695" s="23">
        <v>0</v>
      </c>
      <c r="I1695" s="217" t="s">
        <v>2674</v>
      </c>
    </row>
    <row r="1696" spans="1:9">
      <c r="A1696" s="23">
        <v>1696</v>
      </c>
      <c r="B1696" s="84">
        <v>45860</v>
      </c>
      <c r="C1696" s="23" t="s">
        <v>700</v>
      </c>
      <c r="D1696" s="23" t="s">
        <v>312</v>
      </c>
      <c r="G1696" s="23">
        <v>0</v>
      </c>
      <c r="I1696" s="217" t="s">
        <v>2675</v>
      </c>
    </row>
    <row r="1697" spans="1:9">
      <c r="A1697" s="23">
        <v>1697</v>
      </c>
      <c r="B1697" s="84">
        <v>45860</v>
      </c>
      <c r="C1697" s="23" t="s">
        <v>863</v>
      </c>
      <c r="D1697" s="23" t="s">
        <v>230</v>
      </c>
      <c r="G1697" s="23">
        <v>0.8</v>
      </c>
      <c r="I1697" s="217" t="s">
        <v>1236</v>
      </c>
    </row>
    <row r="1698" spans="1:9">
      <c r="A1698" s="23">
        <v>1698</v>
      </c>
      <c r="B1698" s="84">
        <v>45860</v>
      </c>
      <c r="C1698" s="23" t="s">
        <v>1051</v>
      </c>
      <c r="D1698" s="23" t="s">
        <v>227</v>
      </c>
      <c r="G1698" s="23">
        <v>0.8</v>
      </c>
      <c r="I1698" s="217" t="s">
        <v>2676</v>
      </c>
    </row>
    <row r="1699" spans="1:9">
      <c r="A1699" s="23">
        <v>1699</v>
      </c>
      <c r="B1699" s="84">
        <v>45860</v>
      </c>
      <c r="C1699" s="23" t="s">
        <v>220</v>
      </c>
      <c r="D1699" s="23" t="s">
        <v>213</v>
      </c>
      <c r="G1699" s="23">
        <v>0.85</v>
      </c>
      <c r="I1699" s="217" t="s">
        <v>2677</v>
      </c>
    </row>
    <row r="1700" spans="1:9">
      <c r="A1700" s="23">
        <v>1700</v>
      </c>
      <c r="B1700" s="84">
        <v>45860</v>
      </c>
      <c r="C1700" s="23" t="s">
        <v>277</v>
      </c>
      <c r="D1700" s="23" t="s">
        <v>235</v>
      </c>
      <c r="G1700" s="23">
        <v>0</v>
      </c>
      <c r="I1700" s="217" t="s">
        <v>2678</v>
      </c>
    </row>
    <row r="1701" spans="1:9">
      <c r="A1701" s="23">
        <v>1701</v>
      </c>
      <c r="B1701" s="84">
        <v>45860</v>
      </c>
      <c r="C1701" s="23" t="s">
        <v>1052</v>
      </c>
      <c r="D1701" s="23" t="s">
        <v>312</v>
      </c>
      <c r="G1701" s="23">
        <v>0.5</v>
      </c>
      <c r="I1701" s="217" t="s">
        <v>2679</v>
      </c>
    </row>
    <row r="1702" spans="1:9">
      <c r="A1702" s="23">
        <v>1702</v>
      </c>
      <c r="B1702" s="84">
        <v>45860</v>
      </c>
      <c r="C1702" s="23" t="s">
        <v>1004</v>
      </c>
      <c r="D1702" s="23" t="s">
        <v>227</v>
      </c>
      <c r="G1702" s="23">
        <v>0</v>
      </c>
      <c r="I1702" s="217" t="s">
        <v>2680</v>
      </c>
    </row>
    <row r="1703" spans="1:9">
      <c r="A1703" s="23">
        <v>1703</v>
      </c>
      <c r="B1703" s="84">
        <v>45860</v>
      </c>
      <c r="C1703" s="23" t="s">
        <v>440</v>
      </c>
      <c r="D1703" s="23" t="s">
        <v>230</v>
      </c>
      <c r="G1703" s="23">
        <v>0</v>
      </c>
      <c r="I1703" s="217" t="s">
        <v>2681</v>
      </c>
    </row>
    <row r="1704" spans="1:9">
      <c r="A1704" s="23">
        <v>1704</v>
      </c>
      <c r="B1704" s="84">
        <v>45860</v>
      </c>
      <c r="C1704" s="23" t="s">
        <v>1045</v>
      </c>
      <c r="D1704" s="23" t="s">
        <v>240</v>
      </c>
      <c r="G1704" s="23">
        <v>0</v>
      </c>
      <c r="I1704" s="217" t="s">
        <v>2682</v>
      </c>
    </row>
    <row r="1705" spans="1:9">
      <c r="A1705" s="23">
        <v>1705</v>
      </c>
      <c r="B1705" s="84">
        <v>45860</v>
      </c>
      <c r="C1705" s="23" t="s">
        <v>552</v>
      </c>
      <c r="D1705" s="23" t="s">
        <v>222</v>
      </c>
      <c r="G1705" s="23">
        <v>0.7</v>
      </c>
      <c r="I1705" s="217" t="s">
        <v>2683</v>
      </c>
    </row>
    <row r="1706" spans="1:9">
      <c r="A1706" s="23">
        <v>1706</v>
      </c>
      <c r="B1706" s="84">
        <v>45860</v>
      </c>
      <c r="C1706" s="23" t="s">
        <v>448</v>
      </c>
      <c r="D1706" s="23" t="s">
        <v>216</v>
      </c>
      <c r="G1706" s="23">
        <v>0</v>
      </c>
      <c r="I1706" s="217" t="s">
        <v>2684</v>
      </c>
    </row>
    <row r="1707" spans="1:9">
      <c r="A1707" s="23">
        <v>1707</v>
      </c>
      <c r="B1707" s="84">
        <v>45860</v>
      </c>
      <c r="C1707" s="23" t="s">
        <v>544</v>
      </c>
      <c r="D1707" s="23" t="s">
        <v>243</v>
      </c>
      <c r="G1707" s="23">
        <v>0</v>
      </c>
      <c r="I1707" s="217" t="s">
        <v>2685</v>
      </c>
    </row>
    <row r="1708" spans="1:9">
      <c r="A1708" s="23">
        <v>1708</v>
      </c>
      <c r="B1708" s="84">
        <v>45860</v>
      </c>
      <c r="C1708" s="23" t="s">
        <v>1046</v>
      </c>
      <c r="D1708" s="23" t="s">
        <v>246</v>
      </c>
      <c r="G1708" s="23">
        <v>0</v>
      </c>
      <c r="I1708" s="217" t="s">
        <v>2686</v>
      </c>
    </row>
    <row r="1709" spans="1:9">
      <c r="A1709" s="23">
        <v>1709</v>
      </c>
      <c r="B1709" s="84">
        <v>45860</v>
      </c>
      <c r="C1709" s="23" t="s">
        <v>1053</v>
      </c>
      <c r="D1709" s="23" t="s">
        <v>240</v>
      </c>
      <c r="G1709" s="23">
        <v>0.8</v>
      </c>
      <c r="I1709" s="217" t="s">
        <v>2687</v>
      </c>
    </row>
    <row r="1710" spans="1:9">
      <c r="A1710" s="23">
        <v>1710</v>
      </c>
      <c r="B1710" s="84">
        <v>45860</v>
      </c>
      <c r="C1710" s="23" t="s">
        <v>1053</v>
      </c>
      <c r="D1710" s="23" t="s">
        <v>243</v>
      </c>
      <c r="G1710" s="23">
        <v>0.8</v>
      </c>
      <c r="I1710" s="217" t="s">
        <v>2688</v>
      </c>
    </row>
    <row r="1711" spans="1:9">
      <c r="A1711" s="23">
        <v>1711</v>
      </c>
      <c r="B1711" s="84">
        <v>45860</v>
      </c>
      <c r="C1711" s="23" t="s">
        <v>1053</v>
      </c>
      <c r="D1711" s="23" t="s">
        <v>246</v>
      </c>
      <c r="G1711" s="23">
        <v>0.8</v>
      </c>
      <c r="I1711" s="217" t="s">
        <v>1236</v>
      </c>
    </row>
    <row r="1712" spans="1:9">
      <c r="A1712" s="23">
        <v>1712</v>
      </c>
      <c r="B1712" s="84">
        <v>45860</v>
      </c>
      <c r="C1712" s="23" t="s">
        <v>1053</v>
      </c>
      <c r="D1712" s="23" t="s">
        <v>312</v>
      </c>
      <c r="G1712" s="23">
        <v>0</v>
      </c>
      <c r="I1712" s="217" t="s">
        <v>2689</v>
      </c>
    </row>
    <row r="1713" spans="1:9">
      <c r="A1713" s="23">
        <v>1713</v>
      </c>
      <c r="B1713" s="84">
        <v>45860</v>
      </c>
      <c r="C1713" s="23" t="s">
        <v>731</v>
      </c>
      <c r="D1713" s="23" t="s">
        <v>240</v>
      </c>
      <c r="G1713" s="23">
        <v>0</v>
      </c>
      <c r="I1713" s="217" t="s">
        <v>2687</v>
      </c>
    </row>
    <row r="1714" spans="1:9">
      <c r="A1714" s="23">
        <v>1714</v>
      </c>
      <c r="B1714" s="84">
        <v>45860</v>
      </c>
      <c r="C1714" s="23" t="s">
        <v>1054</v>
      </c>
      <c r="D1714" s="23" t="s">
        <v>243</v>
      </c>
      <c r="G1714" s="23">
        <v>0</v>
      </c>
      <c r="I1714" s="217" t="s">
        <v>2688</v>
      </c>
    </row>
    <row r="1715" spans="1:9">
      <c r="A1715" s="23">
        <v>1715</v>
      </c>
      <c r="B1715" s="84">
        <v>45860</v>
      </c>
      <c r="C1715" s="23" t="s">
        <v>1055</v>
      </c>
      <c r="D1715" s="23" t="s">
        <v>246</v>
      </c>
      <c r="G1715" s="23">
        <v>0</v>
      </c>
      <c r="I1715" s="217" t="s">
        <v>2686</v>
      </c>
    </row>
    <row r="1716" spans="1:9">
      <c r="A1716" s="23">
        <v>1716</v>
      </c>
      <c r="B1716" s="84">
        <v>45860</v>
      </c>
      <c r="C1716" s="23" t="s">
        <v>685</v>
      </c>
      <c r="D1716" s="23" t="s">
        <v>254</v>
      </c>
      <c r="G1716" s="23">
        <v>0</v>
      </c>
      <c r="I1716" s="217" t="s">
        <v>2690</v>
      </c>
    </row>
    <row r="1717" spans="1:9">
      <c r="A1717" s="23">
        <v>1717</v>
      </c>
      <c r="B1717" s="84">
        <v>45860</v>
      </c>
      <c r="C1717" s="23" t="s">
        <v>1036</v>
      </c>
      <c r="D1717" s="23" t="s">
        <v>227</v>
      </c>
      <c r="G1717" s="23">
        <v>0.8</v>
      </c>
      <c r="I1717" s="217" t="s">
        <v>2691</v>
      </c>
    </row>
    <row r="1718" spans="1:9">
      <c r="A1718" s="23">
        <v>1718</v>
      </c>
      <c r="B1718" s="84">
        <v>45860</v>
      </c>
      <c r="C1718" s="23" t="s">
        <v>1043</v>
      </c>
      <c r="D1718" s="23" t="s">
        <v>251</v>
      </c>
      <c r="G1718" s="23">
        <v>0</v>
      </c>
      <c r="I1718" s="217" t="s">
        <v>2692</v>
      </c>
    </row>
    <row r="1719" spans="1:9">
      <c r="A1719" s="23">
        <v>1719</v>
      </c>
      <c r="B1719" s="84">
        <v>45860</v>
      </c>
      <c r="C1719" s="23" t="s">
        <v>985</v>
      </c>
      <c r="D1719" s="23" t="s">
        <v>227</v>
      </c>
      <c r="G1719" s="23">
        <v>0</v>
      </c>
      <c r="I1719" s="217" t="s">
        <v>2691</v>
      </c>
    </row>
    <row r="1720" spans="1:9">
      <c r="A1720" s="23">
        <v>1720</v>
      </c>
      <c r="B1720" s="84">
        <v>45861</v>
      </c>
      <c r="C1720" s="23" t="s">
        <v>1041</v>
      </c>
      <c r="D1720" s="23" t="s">
        <v>197</v>
      </c>
      <c r="G1720" s="23">
        <v>0</v>
      </c>
      <c r="I1720" s="217" t="s">
        <v>2693</v>
      </c>
    </row>
    <row r="1721" spans="1:9">
      <c r="A1721" s="23">
        <v>1721</v>
      </c>
      <c r="B1721" s="84">
        <v>45861</v>
      </c>
      <c r="C1721" s="23" t="s">
        <v>1056</v>
      </c>
      <c r="D1721" s="23" t="s">
        <v>197</v>
      </c>
      <c r="G1721" s="23">
        <v>1</v>
      </c>
      <c r="I1721" s="217" t="s">
        <v>2694</v>
      </c>
    </row>
    <row r="1722" spans="1:9">
      <c r="A1722" s="23">
        <v>1722</v>
      </c>
      <c r="B1722" s="84">
        <v>45861</v>
      </c>
      <c r="C1722" s="23" t="s">
        <v>334</v>
      </c>
      <c r="D1722" s="23" t="s">
        <v>200</v>
      </c>
      <c r="G1722" s="23">
        <v>0</v>
      </c>
      <c r="I1722" s="217" t="s">
        <v>2695</v>
      </c>
    </row>
    <row r="1723" spans="1:9">
      <c r="A1723" s="23">
        <v>1723</v>
      </c>
      <c r="B1723" s="84">
        <v>45861</v>
      </c>
      <c r="C1723" s="23" t="s">
        <v>334</v>
      </c>
      <c r="D1723" s="23" t="s">
        <v>200</v>
      </c>
      <c r="G1723" s="23" t="s">
        <v>9</v>
      </c>
      <c r="I1723" s="217" t="s">
        <v>1236</v>
      </c>
    </row>
    <row r="1724" spans="1:9">
      <c r="A1724" s="23">
        <v>1724</v>
      </c>
      <c r="B1724" s="84">
        <v>45861</v>
      </c>
      <c r="C1724" s="23" t="s">
        <v>283</v>
      </c>
      <c r="D1724" s="23" t="s">
        <v>233</v>
      </c>
      <c r="G1724" s="23">
        <v>3.5</v>
      </c>
      <c r="I1724" s="217" t="s">
        <v>2696</v>
      </c>
    </row>
    <row r="1725" spans="1:9">
      <c r="A1725" s="23">
        <v>1725</v>
      </c>
      <c r="B1725" s="84">
        <v>45861</v>
      </c>
      <c r="C1725" s="23" t="s">
        <v>1047</v>
      </c>
      <c r="D1725" s="23" t="s">
        <v>206</v>
      </c>
      <c r="G1725" s="23">
        <v>0</v>
      </c>
      <c r="I1725" s="217" t="s">
        <v>2697</v>
      </c>
    </row>
    <row r="1726" spans="1:9">
      <c r="A1726" s="23">
        <v>1726</v>
      </c>
      <c r="B1726" s="84">
        <v>45861</v>
      </c>
      <c r="C1726" s="23" t="s">
        <v>603</v>
      </c>
      <c r="D1726" s="23" t="s">
        <v>200</v>
      </c>
      <c r="G1726" s="23">
        <v>0</v>
      </c>
      <c r="I1726" s="217" t="s">
        <v>2698</v>
      </c>
    </row>
    <row r="1727" spans="1:9">
      <c r="A1727" s="23">
        <v>1727</v>
      </c>
      <c r="B1727" s="84">
        <v>45861</v>
      </c>
      <c r="C1727" s="23" t="s">
        <v>1059</v>
      </c>
      <c r="D1727" s="23" t="s">
        <v>227</v>
      </c>
      <c r="G1727" s="23">
        <v>0.8</v>
      </c>
      <c r="I1727" s="217" t="s">
        <v>2699</v>
      </c>
    </row>
    <row r="1728" spans="1:9">
      <c r="A1728" s="23">
        <v>1728</v>
      </c>
      <c r="B1728" s="84">
        <v>45861</v>
      </c>
      <c r="C1728" s="23" t="s">
        <v>1060</v>
      </c>
      <c r="D1728" s="23" t="s">
        <v>230</v>
      </c>
      <c r="G1728" s="23">
        <v>0.8</v>
      </c>
      <c r="I1728" s="217" t="s">
        <v>2700</v>
      </c>
    </row>
    <row r="1729" spans="1:9">
      <c r="A1729" s="23">
        <v>1729</v>
      </c>
      <c r="B1729" s="84">
        <v>45861</v>
      </c>
      <c r="C1729" s="23" t="s">
        <v>847</v>
      </c>
      <c r="D1729" s="23" t="s">
        <v>243</v>
      </c>
      <c r="G1729" s="23">
        <v>0.8</v>
      </c>
      <c r="I1729" s="217" t="s">
        <v>2701</v>
      </c>
    </row>
    <row r="1730" spans="1:9">
      <c r="A1730" s="23">
        <v>1730</v>
      </c>
      <c r="B1730" s="84">
        <v>45861</v>
      </c>
      <c r="C1730" s="23" t="s">
        <v>1061</v>
      </c>
      <c r="D1730" s="23" t="s">
        <v>246</v>
      </c>
      <c r="G1730" s="23">
        <v>0.8</v>
      </c>
      <c r="I1730" s="217" t="s">
        <v>2702</v>
      </c>
    </row>
    <row r="1731" spans="1:9">
      <c r="A1731" s="23">
        <v>1731</v>
      </c>
      <c r="B1731" s="84">
        <v>45861</v>
      </c>
      <c r="C1731" s="23" t="s">
        <v>601</v>
      </c>
      <c r="D1731" s="23" t="s">
        <v>200</v>
      </c>
      <c r="G1731" s="23">
        <v>1.5</v>
      </c>
      <c r="I1731" s="217" t="s">
        <v>2703</v>
      </c>
    </row>
    <row r="1732" spans="1:9">
      <c r="A1732" s="23">
        <v>1732</v>
      </c>
      <c r="B1732" s="84">
        <v>45861</v>
      </c>
      <c r="C1732" s="23" t="s">
        <v>1062</v>
      </c>
      <c r="D1732" s="23" t="s">
        <v>297</v>
      </c>
      <c r="G1732" s="23">
        <v>0.8</v>
      </c>
      <c r="I1732" s="217" t="s">
        <v>2704</v>
      </c>
    </row>
    <row r="1733" spans="1:9">
      <c r="A1733" s="23">
        <v>1733</v>
      </c>
      <c r="B1733" s="84">
        <v>45861</v>
      </c>
      <c r="C1733" s="23" t="s">
        <v>418</v>
      </c>
      <c r="D1733" s="23" t="s">
        <v>240</v>
      </c>
      <c r="G1733" s="23" t="s">
        <v>9</v>
      </c>
      <c r="I1733" s="217" t="s">
        <v>2705</v>
      </c>
    </row>
    <row r="1734" spans="1:9">
      <c r="A1734" s="23">
        <v>1734</v>
      </c>
      <c r="B1734" s="84">
        <v>45861</v>
      </c>
      <c r="C1734" s="23" t="s">
        <v>242</v>
      </c>
      <c r="D1734" s="23" t="s">
        <v>251</v>
      </c>
      <c r="G1734" s="23">
        <v>2.8</v>
      </c>
      <c r="I1734" s="217" t="s">
        <v>2706</v>
      </c>
    </row>
    <row r="1735" spans="1:9">
      <c r="A1735" s="23">
        <v>1735</v>
      </c>
      <c r="B1735" s="84">
        <v>45861</v>
      </c>
      <c r="C1735" s="23" t="s">
        <v>1064</v>
      </c>
      <c r="D1735" s="23" t="s">
        <v>216</v>
      </c>
      <c r="G1735" s="23">
        <v>0.435</v>
      </c>
      <c r="I1735" s="217" t="s">
        <v>2707</v>
      </c>
    </row>
    <row r="1736" spans="1:9">
      <c r="A1736" s="23">
        <v>1736</v>
      </c>
      <c r="B1736" s="84">
        <v>45861</v>
      </c>
      <c r="C1736" s="23" t="s">
        <v>1048</v>
      </c>
      <c r="D1736" s="23" t="s">
        <v>219</v>
      </c>
      <c r="G1736" s="23">
        <v>0</v>
      </c>
      <c r="I1736" s="217" t="s">
        <v>2708</v>
      </c>
    </row>
    <row r="1737" spans="1:9">
      <c r="A1737" s="23">
        <v>1737</v>
      </c>
      <c r="B1737" s="84">
        <v>45861</v>
      </c>
      <c r="C1737" s="23" t="s">
        <v>236</v>
      </c>
      <c r="D1737" s="23" t="s">
        <v>219</v>
      </c>
      <c r="G1737" s="23">
        <v>0.5</v>
      </c>
      <c r="I1737" s="217" t="s">
        <v>2709</v>
      </c>
    </row>
    <row r="1738" spans="1:9">
      <c r="A1738" s="23">
        <v>1738</v>
      </c>
      <c r="B1738" s="84">
        <v>45861</v>
      </c>
      <c r="C1738" s="23" t="s">
        <v>987</v>
      </c>
      <c r="D1738" s="23" t="s">
        <v>222</v>
      </c>
      <c r="G1738" s="23">
        <v>0</v>
      </c>
      <c r="I1738" s="217" t="s">
        <v>2710</v>
      </c>
    </row>
    <row r="1739" spans="1:9">
      <c r="A1739" s="23">
        <v>1739</v>
      </c>
      <c r="B1739" s="84">
        <v>45861</v>
      </c>
      <c r="C1739" s="23" t="s">
        <v>418</v>
      </c>
      <c r="D1739" s="23" t="s">
        <v>235</v>
      </c>
      <c r="G1739" s="23">
        <v>0.76</v>
      </c>
      <c r="I1739" s="217" t="s">
        <v>2711</v>
      </c>
    </row>
    <row r="1740" spans="1:9">
      <c r="A1740" s="23">
        <v>1740</v>
      </c>
      <c r="B1740" s="84">
        <v>45861</v>
      </c>
      <c r="C1740" s="23" t="s">
        <v>299</v>
      </c>
      <c r="D1740" s="23" t="s">
        <v>213</v>
      </c>
      <c r="G1740" s="23">
        <v>0</v>
      </c>
      <c r="I1740" s="217" t="s">
        <v>2712</v>
      </c>
    </row>
    <row r="1741" spans="1:9">
      <c r="A1741" s="23">
        <v>1741</v>
      </c>
      <c r="B1741" s="84">
        <v>45861</v>
      </c>
      <c r="C1741" s="23" t="s">
        <v>289</v>
      </c>
      <c r="D1741" s="23" t="s">
        <v>297</v>
      </c>
      <c r="G1741" s="23">
        <v>0</v>
      </c>
      <c r="I1741" s="217" t="s">
        <v>2704</v>
      </c>
    </row>
    <row r="1742" spans="1:9">
      <c r="A1742" s="23">
        <v>1742</v>
      </c>
      <c r="B1742" s="84">
        <v>45861</v>
      </c>
      <c r="C1742" s="23" t="s">
        <v>724</v>
      </c>
      <c r="D1742" s="23" t="s">
        <v>243</v>
      </c>
      <c r="G1742" s="23">
        <v>0</v>
      </c>
      <c r="I1742" s="217" t="s">
        <v>2713</v>
      </c>
    </row>
    <row r="1743" spans="1:9">
      <c r="A1743" s="23">
        <v>1743</v>
      </c>
      <c r="B1743" s="84">
        <v>45861</v>
      </c>
      <c r="C1743" s="23" t="s">
        <v>600</v>
      </c>
      <c r="D1743" s="23" t="s">
        <v>246</v>
      </c>
      <c r="G1743" s="23">
        <v>0</v>
      </c>
      <c r="I1743" s="217" t="s">
        <v>2714</v>
      </c>
    </row>
    <row r="1744" spans="1:9">
      <c r="A1744" s="23">
        <v>1744</v>
      </c>
      <c r="B1744" s="84">
        <v>45861</v>
      </c>
      <c r="C1744" s="23" t="s">
        <v>602</v>
      </c>
      <c r="D1744" s="23" t="s">
        <v>227</v>
      </c>
      <c r="G1744" s="23">
        <v>0</v>
      </c>
      <c r="I1744" s="217" t="s">
        <v>2715</v>
      </c>
    </row>
    <row r="1745" spans="1:9">
      <c r="A1745" s="23">
        <v>1745</v>
      </c>
      <c r="B1745" s="84">
        <v>45861</v>
      </c>
      <c r="C1745" s="23" t="s">
        <v>478</v>
      </c>
      <c r="D1745" s="23" t="s">
        <v>230</v>
      </c>
      <c r="G1745" s="23">
        <v>0</v>
      </c>
      <c r="I1745" s="217" t="s">
        <v>2716</v>
      </c>
    </row>
    <row r="1746" spans="1:9">
      <c r="A1746" s="23">
        <v>1746</v>
      </c>
      <c r="B1746" s="84">
        <v>45861</v>
      </c>
      <c r="C1746" s="23" t="s">
        <v>753</v>
      </c>
      <c r="D1746" s="23" t="s">
        <v>254</v>
      </c>
      <c r="G1746" s="23">
        <v>1.5</v>
      </c>
      <c r="I1746" s="217" t="s">
        <v>2717</v>
      </c>
    </row>
    <row r="1747" spans="1:9">
      <c r="A1747" s="23">
        <v>1747</v>
      </c>
      <c r="B1747" s="84">
        <v>45861</v>
      </c>
      <c r="C1747" s="23" t="s">
        <v>655</v>
      </c>
      <c r="D1747" s="23" t="s">
        <v>227</v>
      </c>
      <c r="G1747" s="23">
        <v>0.8</v>
      </c>
      <c r="I1747" s="217" t="s">
        <v>2718</v>
      </c>
    </row>
    <row r="1748" spans="1:9">
      <c r="A1748" s="23">
        <v>1748</v>
      </c>
      <c r="B1748" s="84">
        <v>45861</v>
      </c>
      <c r="C1748" s="23" t="s">
        <v>825</v>
      </c>
      <c r="D1748" s="23" t="s">
        <v>230</v>
      </c>
      <c r="G1748" s="23">
        <v>0.8</v>
      </c>
      <c r="I1748" s="217" t="s">
        <v>2719</v>
      </c>
    </row>
    <row r="1749" spans="1:9">
      <c r="A1749" s="23">
        <v>1749</v>
      </c>
      <c r="B1749" s="84">
        <v>45861</v>
      </c>
      <c r="C1749" s="23" t="s">
        <v>651</v>
      </c>
      <c r="D1749" s="23" t="s">
        <v>246</v>
      </c>
      <c r="G1749" s="23">
        <v>0.8</v>
      </c>
      <c r="I1749" s="217" t="s">
        <v>2720</v>
      </c>
    </row>
    <row r="1750" spans="1:9">
      <c r="A1750" s="23">
        <v>1750</v>
      </c>
      <c r="B1750" s="84">
        <v>45861</v>
      </c>
      <c r="C1750" s="23" t="s">
        <v>687</v>
      </c>
      <c r="D1750" s="23" t="s">
        <v>243</v>
      </c>
      <c r="G1750" s="23">
        <v>0.8</v>
      </c>
      <c r="I1750" s="217" t="s">
        <v>2721</v>
      </c>
    </row>
    <row r="1751" spans="1:9">
      <c r="A1751" s="23">
        <v>1751</v>
      </c>
      <c r="B1751" s="84">
        <v>45861</v>
      </c>
      <c r="C1751" s="23" t="s">
        <v>217</v>
      </c>
      <c r="D1751" s="23" t="s">
        <v>222</v>
      </c>
      <c r="G1751" s="23">
        <v>0.6</v>
      </c>
      <c r="I1751" s="217" t="s">
        <v>2722</v>
      </c>
    </row>
    <row r="1752" spans="1:9">
      <c r="A1752" s="23">
        <v>1752</v>
      </c>
      <c r="B1752" s="84">
        <v>45861</v>
      </c>
      <c r="C1752" s="23" t="s">
        <v>367</v>
      </c>
      <c r="D1752" s="23" t="s">
        <v>216</v>
      </c>
      <c r="G1752" s="23">
        <v>0</v>
      </c>
      <c r="I1752" s="217" t="s">
        <v>2723</v>
      </c>
    </row>
    <row r="1753" spans="1:9">
      <c r="A1753" s="23">
        <v>1753</v>
      </c>
      <c r="B1753" s="84">
        <v>45861</v>
      </c>
      <c r="C1753" s="23" t="s">
        <v>849</v>
      </c>
      <c r="D1753" s="23" t="s">
        <v>227</v>
      </c>
      <c r="G1753" s="23">
        <v>0</v>
      </c>
      <c r="I1753" s="217" t="s">
        <v>2724</v>
      </c>
    </row>
    <row r="1754" spans="1:9">
      <c r="A1754" s="23">
        <v>1754</v>
      </c>
      <c r="B1754" s="84">
        <v>45861</v>
      </c>
      <c r="C1754" s="23" t="s">
        <v>1065</v>
      </c>
      <c r="D1754" s="23" t="s">
        <v>230</v>
      </c>
      <c r="G1754" s="23">
        <v>0</v>
      </c>
      <c r="I1754" s="217" t="s">
        <v>2725</v>
      </c>
    </row>
    <row r="1755" spans="1:9">
      <c r="A1755" s="23">
        <v>1755</v>
      </c>
      <c r="B1755" s="84">
        <v>45861</v>
      </c>
      <c r="C1755" s="23" t="s">
        <v>1067</v>
      </c>
      <c r="D1755" s="23" t="s">
        <v>243</v>
      </c>
      <c r="G1755" s="23">
        <v>0</v>
      </c>
      <c r="I1755" s="217" t="s">
        <v>2726</v>
      </c>
    </row>
    <row r="1756" spans="1:9">
      <c r="A1756" s="23">
        <v>1756</v>
      </c>
      <c r="B1756" s="84">
        <v>45861</v>
      </c>
      <c r="C1756" s="23" t="s">
        <v>186</v>
      </c>
      <c r="D1756" s="23" t="s">
        <v>227</v>
      </c>
      <c r="G1756" s="23">
        <v>0.8</v>
      </c>
      <c r="I1756" s="217" t="s">
        <v>2727</v>
      </c>
    </row>
    <row r="1757" spans="1:9">
      <c r="A1757" s="23">
        <v>1757</v>
      </c>
      <c r="B1757" s="84">
        <v>45861</v>
      </c>
      <c r="C1757" s="23" t="s">
        <v>665</v>
      </c>
      <c r="D1757" s="23" t="s">
        <v>230</v>
      </c>
      <c r="G1757" s="23">
        <v>0.8</v>
      </c>
      <c r="I1757" s="217" t="s">
        <v>2728</v>
      </c>
    </row>
    <row r="1758" spans="1:9">
      <c r="A1758" s="23">
        <v>1758</v>
      </c>
      <c r="B1758" s="84">
        <v>45861</v>
      </c>
      <c r="C1758" s="23" t="s">
        <v>1066</v>
      </c>
      <c r="D1758" s="23" t="s">
        <v>246</v>
      </c>
      <c r="G1758" s="23">
        <v>0</v>
      </c>
      <c r="I1758" s="217" t="s">
        <v>2729</v>
      </c>
    </row>
    <row r="1759" spans="1:9">
      <c r="A1759" s="23">
        <v>1759</v>
      </c>
      <c r="B1759" s="84">
        <v>45861</v>
      </c>
      <c r="C1759" s="23" t="s">
        <v>1068</v>
      </c>
      <c r="D1759" s="23" t="s">
        <v>227</v>
      </c>
      <c r="G1759" s="23">
        <v>0</v>
      </c>
      <c r="I1759" s="217" t="s">
        <v>2730</v>
      </c>
    </row>
    <row r="1760" spans="1:9">
      <c r="A1760" s="23">
        <v>1760</v>
      </c>
      <c r="B1760" s="84">
        <v>45861</v>
      </c>
      <c r="C1760" s="23" t="s">
        <v>267</v>
      </c>
      <c r="D1760" s="23" t="s">
        <v>206</v>
      </c>
      <c r="G1760" s="23">
        <v>0.5</v>
      </c>
      <c r="I1760" s="217" t="s">
        <v>2731</v>
      </c>
    </row>
    <row r="1761" spans="1:9">
      <c r="A1761" s="23">
        <v>1761</v>
      </c>
      <c r="B1761" s="84">
        <v>45861</v>
      </c>
      <c r="C1761" s="23" t="s">
        <v>181</v>
      </c>
      <c r="D1761" s="23" t="s">
        <v>243</v>
      </c>
      <c r="G1761" s="23">
        <v>0.75</v>
      </c>
      <c r="I1761" s="217" t="s">
        <v>2732</v>
      </c>
    </row>
    <row r="1762" spans="1:9">
      <c r="A1762" s="23">
        <v>1762</v>
      </c>
      <c r="B1762" s="84">
        <v>45861</v>
      </c>
      <c r="C1762" s="23" t="s">
        <v>995</v>
      </c>
      <c r="D1762" s="23" t="s">
        <v>233</v>
      </c>
      <c r="G1762" s="23">
        <v>0</v>
      </c>
      <c r="I1762" s="217" t="s">
        <v>2733</v>
      </c>
    </row>
    <row r="1763" spans="1:9">
      <c r="A1763" s="23">
        <v>1763</v>
      </c>
      <c r="B1763" s="84">
        <v>45861</v>
      </c>
      <c r="C1763" s="23" t="s">
        <v>1069</v>
      </c>
      <c r="D1763" s="23" t="s">
        <v>230</v>
      </c>
      <c r="G1763" s="23">
        <v>0</v>
      </c>
      <c r="I1763" s="217" t="s">
        <v>2734</v>
      </c>
    </row>
    <row r="1764" spans="1:9">
      <c r="A1764" s="23">
        <v>1764</v>
      </c>
      <c r="B1764" s="84">
        <v>45861</v>
      </c>
      <c r="C1764" s="23" t="s">
        <v>433</v>
      </c>
      <c r="D1764" s="23" t="s">
        <v>243</v>
      </c>
      <c r="G1764" s="23">
        <v>0</v>
      </c>
      <c r="I1764" s="217" t="s">
        <v>2735</v>
      </c>
    </row>
    <row r="1765" spans="1:9">
      <c r="A1765" s="23">
        <v>1765</v>
      </c>
      <c r="B1765" s="84">
        <v>45861</v>
      </c>
      <c r="C1765" s="23" t="s">
        <v>220</v>
      </c>
      <c r="D1765" s="23" t="s">
        <v>216</v>
      </c>
      <c r="G1765" s="23">
        <v>0.56000000000000005</v>
      </c>
      <c r="I1765" s="217" t="s">
        <v>2736</v>
      </c>
    </row>
    <row r="1766" spans="1:9">
      <c r="A1766" s="23">
        <v>1766</v>
      </c>
      <c r="B1766" s="84">
        <v>45861</v>
      </c>
      <c r="C1766" s="23" t="s">
        <v>277</v>
      </c>
      <c r="D1766" s="23" t="s">
        <v>219</v>
      </c>
      <c r="G1766" s="23">
        <v>0</v>
      </c>
      <c r="I1766" s="217" t="s">
        <v>2737</v>
      </c>
    </row>
    <row r="1767" spans="1:9">
      <c r="A1767" s="23">
        <v>1767</v>
      </c>
      <c r="B1767" s="84">
        <v>45861</v>
      </c>
      <c r="C1767" s="23" t="s">
        <v>220</v>
      </c>
      <c r="D1767" s="23" t="s">
        <v>213</v>
      </c>
      <c r="G1767" s="23">
        <v>0.84</v>
      </c>
      <c r="I1767" s="217" t="s">
        <v>2738</v>
      </c>
    </row>
    <row r="1768" spans="1:9">
      <c r="A1768" s="23">
        <v>1768</v>
      </c>
      <c r="B1768" s="84">
        <v>45861</v>
      </c>
      <c r="C1768" s="23" t="s">
        <v>277</v>
      </c>
      <c r="D1768" s="23" t="s">
        <v>235</v>
      </c>
      <c r="G1768" s="23">
        <v>0</v>
      </c>
      <c r="I1768" s="217" t="s">
        <v>2739</v>
      </c>
    </row>
    <row r="1769" spans="1:9">
      <c r="A1769" s="23">
        <v>1769</v>
      </c>
      <c r="B1769" s="84">
        <v>45861</v>
      </c>
      <c r="C1769" s="23" t="s">
        <v>1063</v>
      </c>
      <c r="D1769" s="23" t="s">
        <v>240</v>
      </c>
      <c r="G1769" s="23">
        <v>0.8</v>
      </c>
      <c r="I1769" s="217" t="s">
        <v>2740</v>
      </c>
    </row>
    <row r="1770" spans="1:9">
      <c r="A1770" s="23">
        <v>1770</v>
      </c>
      <c r="B1770" s="84">
        <v>45861</v>
      </c>
      <c r="C1770" s="23" t="s">
        <v>1045</v>
      </c>
      <c r="D1770" s="23" t="s">
        <v>243</v>
      </c>
      <c r="G1770" s="23">
        <v>0.8</v>
      </c>
      <c r="I1770" s="217" t="s">
        <v>2741</v>
      </c>
    </row>
    <row r="1771" spans="1:9">
      <c r="A1771" s="23">
        <v>1771</v>
      </c>
      <c r="B1771" s="84">
        <v>45861</v>
      </c>
      <c r="C1771" s="23" t="s">
        <v>799</v>
      </c>
      <c r="D1771" s="23" t="s">
        <v>246</v>
      </c>
      <c r="G1771" s="23">
        <v>0.8</v>
      </c>
      <c r="I1771" s="217" t="s">
        <v>2742</v>
      </c>
    </row>
    <row r="1772" spans="1:9">
      <c r="A1772" s="23">
        <v>1772</v>
      </c>
      <c r="B1772" s="84">
        <v>45861</v>
      </c>
      <c r="C1772" s="23" t="s">
        <v>1072</v>
      </c>
      <c r="D1772" s="23" t="s">
        <v>227</v>
      </c>
      <c r="G1772" s="23">
        <v>0.8</v>
      </c>
      <c r="I1772" s="217" t="s">
        <v>2743</v>
      </c>
    </row>
    <row r="1773" spans="1:9">
      <c r="A1773" s="23">
        <v>1773</v>
      </c>
      <c r="B1773" s="84">
        <v>45861</v>
      </c>
      <c r="C1773" s="23" t="s">
        <v>956</v>
      </c>
      <c r="D1773" s="23" t="s">
        <v>240</v>
      </c>
      <c r="G1773" s="23">
        <v>0</v>
      </c>
      <c r="I1773" s="217" t="s">
        <v>2744</v>
      </c>
    </row>
    <row r="1774" spans="1:9">
      <c r="A1774" s="23">
        <v>1774</v>
      </c>
      <c r="B1774" s="84">
        <v>45861</v>
      </c>
      <c r="C1774" s="23" t="s">
        <v>443</v>
      </c>
      <c r="D1774" s="23" t="s">
        <v>243</v>
      </c>
      <c r="G1774" s="23">
        <v>0</v>
      </c>
      <c r="I1774" s="217" t="s">
        <v>2745</v>
      </c>
    </row>
    <row r="1775" spans="1:9">
      <c r="A1775" s="23">
        <v>1775</v>
      </c>
      <c r="B1775" s="84">
        <v>45861</v>
      </c>
      <c r="C1775" s="23" t="s">
        <v>951</v>
      </c>
      <c r="D1775" s="23" t="s">
        <v>246</v>
      </c>
      <c r="G1775" s="23">
        <v>0</v>
      </c>
      <c r="I1775" s="217" t="s">
        <v>2746</v>
      </c>
    </row>
    <row r="1776" spans="1:9">
      <c r="A1776" s="23">
        <v>1776</v>
      </c>
      <c r="B1776" s="84">
        <v>45861</v>
      </c>
      <c r="C1776" s="23" t="s">
        <v>1073</v>
      </c>
      <c r="D1776" s="23" t="s">
        <v>227</v>
      </c>
      <c r="G1776" s="23">
        <v>0</v>
      </c>
      <c r="I1776" s="217" t="s">
        <v>2747</v>
      </c>
    </row>
    <row r="1777" spans="1:9">
      <c r="A1777" s="23">
        <v>1777</v>
      </c>
      <c r="B1777" s="84">
        <v>45861</v>
      </c>
      <c r="C1777" s="23" t="s">
        <v>1074</v>
      </c>
      <c r="D1777" s="23" t="s">
        <v>312</v>
      </c>
      <c r="G1777" s="23" t="s">
        <v>9</v>
      </c>
      <c r="H1777" s="23" t="s">
        <v>2748</v>
      </c>
      <c r="I1777" s="217" t="s">
        <v>2749</v>
      </c>
    </row>
    <row r="1778" spans="1:9">
      <c r="A1778" s="23">
        <v>1778</v>
      </c>
      <c r="B1778" s="84">
        <v>45861</v>
      </c>
      <c r="C1778" s="23" t="s">
        <v>1054</v>
      </c>
      <c r="D1778" s="23" t="s">
        <v>251</v>
      </c>
      <c r="G1778" s="23">
        <v>0</v>
      </c>
      <c r="I1778" s="217" t="s">
        <v>2750</v>
      </c>
    </row>
    <row r="1779" spans="1:9">
      <c r="A1779" s="23">
        <v>1779</v>
      </c>
      <c r="B1779" s="84">
        <v>45861</v>
      </c>
      <c r="C1779" s="23" t="s">
        <v>959</v>
      </c>
      <c r="D1779" s="23" t="s">
        <v>230</v>
      </c>
      <c r="G1779" s="23">
        <v>0.8</v>
      </c>
      <c r="I1779" s="217" t="s">
        <v>2751</v>
      </c>
    </row>
    <row r="1780" spans="1:9">
      <c r="A1780" s="23">
        <v>1780</v>
      </c>
      <c r="B1780" s="84">
        <v>45861</v>
      </c>
      <c r="C1780" s="23" t="s">
        <v>450</v>
      </c>
      <c r="D1780" s="23" t="s">
        <v>230</v>
      </c>
      <c r="G1780" s="23">
        <v>0</v>
      </c>
      <c r="I1780" s="217" t="s">
        <v>2752</v>
      </c>
    </row>
    <row r="1781" spans="1:9">
      <c r="A1781" s="23">
        <v>1781</v>
      </c>
      <c r="B1781" s="84">
        <v>45861</v>
      </c>
      <c r="C1781" s="23" t="s">
        <v>256</v>
      </c>
      <c r="D1781" s="23" t="s">
        <v>254</v>
      </c>
      <c r="G1781" s="23">
        <v>0</v>
      </c>
      <c r="I1781" s="217" t="s">
        <v>2753</v>
      </c>
    </row>
    <row r="1782" spans="1:9">
      <c r="A1782" s="23">
        <v>1782</v>
      </c>
      <c r="B1782" s="84">
        <v>45861</v>
      </c>
      <c r="C1782" s="23" t="s">
        <v>1075</v>
      </c>
      <c r="D1782" s="23" t="s">
        <v>240</v>
      </c>
      <c r="G1782" s="23">
        <v>0.8</v>
      </c>
      <c r="I1782" s="217" t="s">
        <v>2754</v>
      </c>
    </row>
    <row r="1783" spans="1:9">
      <c r="A1783" s="23">
        <v>1783</v>
      </c>
      <c r="B1783" s="84">
        <v>45861</v>
      </c>
      <c r="C1783" s="23" t="s">
        <v>1075</v>
      </c>
      <c r="D1783" s="23" t="s">
        <v>243</v>
      </c>
      <c r="G1783" s="23">
        <v>0.8</v>
      </c>
      <c r="I1783" s="217" t="s">
        <v>2755</v>
      </c>
    </row>
    <row r="1784" spans="1:9">
      <c r="A1784" s="23">
        <v>1784</v>
      </c>
      <c r="B1784" s="84">
        <v>45861</v>
      </c>
      <c r="C1784" s="23" t="s">
        <v>854</v>
      </c>
      <c r="D1784" s="23" t="s">
        <v>240</v>
      </c>
      <c r="G1784" s="23">
        <v>0</v>
      </c>
      <c r="I1784" s="217" t="s">
        <v>2754</v>
      </c>
    </row>
    <row r="1785" spans="1:9">
      <c r="A1785" s="23">
        <v>1785</v>
      </c>
      <c r="B1785" s="84">
        <v>45861</v>
      </c>
      <c r="C1785" s="23" t="s">
        <v>1076</v>
      </c>
      <c r="D1785" s="23" t="s">
        <v>243</v>
      </c>
      <c r="G1785" s="23">
        <v>0</v>
      </c>
      <c r="I1785" s="217" t="s">
        <v>2755</v>
      </c>
    </row>
    <row r="1786" spans="1:9">
      <c r="A1786" s="23">
        <v>1786</v>
      </c>
      <c r="B1786" s="84">
        <v>45861</v>
      </c>
      <c r="C1786" s="23" t="s">
        <v>529</v>
      </c>
      <c r="D1786" s="23" t="s">
        <v>312</v>
      </c>
      <c r="G1786" s="23">
        <v>0</v>
      </c>
      <c r="I1786" s="217" t="s">
        <v>2756</v>
      </c>
    </row>
    <row r="1787" spans="1:9">
      <c r="A1787" s="23">
        <v>1787</v>
      </c>
      <c r="B1787" s="84">
        <v>45862</v>
      </c>
      <c r="C1787" s="23" t="s">
        <v>223</v>
      </c>
      <c r="D1787" s="23" t="s">
        <v>219</v>
      </c>
      <c r="G1787" s="23">
        <v>0.47499999999999998</v>
      </c>
      <c r="I1787" s="217" t="s">
        <v>2757</v>
      </c>
    </row>
    <row r="1788" spans="1:9">
      <c r="A1788" s="23">
        <v>1788</v>
      </c>
      <c r="B1788" s="84">
        <v>45862</v>
      </c>
      <c r="C1788" s="23" t="s">
        <v>218</v>
      </c>
      <c r="D1788" s="23" t="s">
        <v>222</v>
      </c>
      <c r="G1788" s="23">
        <v>0</v>
      </c>
      <c r="I1788" s="217" t="s">
        <v>2758</v>
      </c>
    </row>
    <row r="1789" spans="1:9">
      <c r="A1789" s="23">
        <v>1789</v>
      </c>
      <c r="B1789" s="84">
        <v>45862</v>
      </c>
      <c r="C1789" s="23" t="s">
        <v>1057</v>
      </c>
      <c r="D1789" s="23" t="s">
        <v>197</v>
      </c>
      <c r="G1789" s="23">
        <v>0</v>
      </c>
      <c r="I1789" s="217" t="s">
        <v>2759</v>
      </c>
    </row>
    <row r="1790" spans="1:9">
      <c r="A1790" s="23">
        <v>1790</v>
      </c>
      <c r="B1790" s="84">
        <v>45862</v>
      </c>
      <c r="C1790" s="23" t="s">
        <v>1077</v>
      </c>
      <c r="D1790" s="23" t="s">
        <v>197</v>
      </c>
      <c r="G1790" s="23">
        <v>0.5</v>
      </c>
      <c r="I1790" s="217" t="s">
        <v>2760</v>
      </c>
    </row>
    <row r="1791" spans="1:9">
      <c r="A1791" s="23">
        <v>1791</v>
      </c>
      <c r="B1791" s="84">
        <v>45862</v>
      </c>
      <c r="C1791" s="23" t="s">
        <v>989</v>
      </c>
      <c r="D1791" s="23" t="s">
        <v>203</v>
      </c>
      <c r="G1791" s="23">
        <v>0</v>
      </c>
      <c r="I1791" s="217" t="s">
        <v>2761</v>
      </c>
    </row>
    <row r="1792" spans="1:9">
      <c r="A1792" s="23">
        <v>1792</v>
      </c>
      <c r="B1792" s="84">
        <v>45862</v>
      </c>
      <c r="C1792" s="23" t="s">
        <v>236</v>
      </c>
      <c r="D1792" s="23" t="s">
        <v>222</v>
      </c>
      <c r="G1792" s="23">
        <v>0.51</v>
      </c>
      <c r="I1792" s="217" t="s">
        <v>2762</v>
      </c>
    </row>
    <row r="1793" spans="1:9">
      <c r="A1793" s="23">
        <v>1793</v>
      </c>
      <c r="B1793" s="84">
        <v>45862</v>
      </c>
      <c r="C1793" s="23" t="s">
        <v>215</v>
      </c>
      <c r="D1793" s="23" t="s">
        <v>216</v>
      </c>
      <c r="G1793" s="23">
        <v>0</v>
      </c>
      <c r="I1793" s="217" t="s">
        <v>2763</v>
      </c>
    </row>
    <row r="1794" spans="1:9">
      <c r="A1794" s="23">
        <v>1794</v>
      </c>
      <c r="B1794" s="84">
        <v>45862</v>
      </c>
      <c r="C1794" s="23" t="s">
        <v>816</v>
      </c>
      <c r="D1794" s="23" t="s">
        <v>233</v>
      </c>
      <c r="G1794" s="23">
        <v>2.5</v>
      </c>
      <c r="I1794" s="217" t="s">
        <v>2764</v>
      </c>
    </row>
    <row r="1795" spans="1:9">
      <c r="A1795" s="23">
        <v>1795</v>
      </c>
      <c r="B1795" s="84">
        <v>45862</v>
      </c>
      <c r="C1795" s="23" t="s">
        <v>1070</v>
      </c>
      <c r="D1795" s="23" t="s">
        <v>206</v>
      </c>
      <c r="G1795" s="23">
        <v>0</v>
      </c>
      <c r="I1795" s="217" t="s">
        <v>2765</v>
      </c>
    </row>
    <row r="1796" spans="1:9">
      <c r="A1796" s="23">
        <v>1796</v>
      </c>
      <c r="B1796" s="84">
        <v>45862</v>
      </c>
      <c r="C1796" s="23" t="s">
        <v>1080</v>
      </c>
      <c r="D1796" s="23" t="s">
        <v>235</v>
      </c>
      <c r="G1796" s="23">
        <v>0.79</v>
      </c>
      <c r="I1796" s="217" t="s">
        <v>2766</v>
      </c>
    </row>
    <row r="1797" spans="1:9">
      <c r="A1797" s="23">
        <v>1797</v>
      </c>
      <c r="B1797" s="84">
        <v>45862</v>
      </c>
      <c r="C1797" s="23" t="s">
        <v>1071</v>
      </c>
      <c r="D1797" s="23" t="s">
        <v>213</v>
      </c>
      <c r="G1797" s="23">
        <v>0</v>
      </c>
      <c r="I1797" s="217" t="s">
        <v>2767</v>
      </c>
    </row>
    <row r="1798" spans="1:9">
      <c r="A1798" s="23">
        <v>1798</v>
      </c>
      <c r="B1798" s="84">
        <v>45862</v>
      </c>
      <c r="C1798" s="23" t="s">
        <v>1081</v>
      </c>
      <c r="D1798" s="23" t="s">
        <v>203</v>
      </c>
      <c r="G1798" s="23">
        <v>1.5</v>
      </c>
      <c r="I1798" s="217" t="s">
        <v>2768</v>
      </c>
    </row>
    <row r="1799" spans="1:9">
      <c r="A1799" s="23">
        <v>1799</v>
      </c>
      <c r="B1799" s="84">
        <v>45862</v>
      </c>
      <c r="C1799" s="23" t="s">
        <v>293</v>
      </c>
      <c r="D1799" s="23" t="s">
        <v>243</v>
      </c>
      <c r="G1799" s="23">
        <v>0.8</v>
      </c>
      <c r="I1799" s="217" t="s">
        <v>2769</v>
      </c>
    </row>
    <row r="1800" spans="1:9">
      <c r="A1800" s="23">
        <v>1800</v>
      </c>
      <c r="B1800" s="84">
        <v>45862</v>
      </c>
      <c r="C1800" s="23" t="s">
        <v>293</v>
      </c>
      <c r="D1800" s="23" t="s">
        <v>246</v>
      </c>
      <c r="G1800" s="23">
        <v>0.8</v>
      </c>
      <c r="I1800" s="217" t="s">
        <v>2770</v>
      </c>
    </row>
    <row r="1801" spans="1:9">
      <c r="A1801" s="23">
        <v>1801</v>
      </c>
      <c r="B1801" s="84">
        <v>45862</v>
      </c>
      <c r="C1801" s="23" t="s">
        <v>1013</v>
      </c>
      <c r="D1801" s="23" t="s">
        <v>243</v>
      </c>
      <c r="G1801" s="23">
        <v>0</v>
      </c>
      <c r="I1801" s="217" t="s">
        <v>2769</v>
      </c>
    </row>
    <row r="1802" spans="1:9">
      <c r="A1802" s="23">
        <v>1802</v>
      </c>
      <c r="B1802" s="84">
        <v>45862</v>
      </c>
      <c r="C1802" s="23" t="s">
        <v>412</v>
      </c>
      <c r="D1802" s="23" t="s">
        <v>246</v>
      </c>
      <c r="G1802" s="23">
        <v>0</v>
      </c>
      <c r="I1802" s="217" t="s">
        <v>2770</v>
      </c>
    </row>
    <row r="1803" spans="1:9">
      <c r="A1803" s="23">
        <v>1803</v>
      </c>
      <c r="B1803" s="84">
        <v>45862</v>
      </c>
      <c r="C1803" s="23" t="s">
        <v>296</v>
      </c>
      <c r="D1803" s="23" t="s">
        <v>227</v>
      </c>
      <c r="G1803" s="23">
        <v>0.8</v>
      </c>
      <c r="I1803" s="217" t="s">
        <v>2771</v>
      </c>
    </row>
    <row r="1804" spans="1:9">
      <c r="A1804" s="23">
        <v>1804</v>
      </c>
      <c r="B1804" s="84">
        <v>45862</v>
      </c>
      <c r="C1804" s="23" t="s">
        <v>482</v>
      </c>
      <c r="D1804" s="23" t="s">
        <v>230</v>
      </c>
      <c r="G1804" s="23">
        <v>0.8</v>
      </c>
      <c r="I1804" s="217" t="s">
        <v>2772</v>
      </c>
    </row>
    <row r="1805" spans="1:9">
      <c r="A1805" s="23">
        <v>1805</v>
      </c>
      <c r="B1805" s="84">
        <v>45862</v>
      </c>
      <c r="C1805" s="23" t="s">
        <v>273</v>
      </c>
      <c r="D1805" s="23" t="s">
        <v>240</v>
      </c>
      <c r="G1805" s="23">
        <v>0.8</v>
      </c>
      <c r="I1805" s="217" t="s">
        <v>2773</v>
      </c>
    </row>
    <row r="1806" spans="1:9">
      <c r="A1806" s="23">
        <v>1806</v>
      </c>
      <c r="B1806" s="84">
        <v>45862</v>
      </c>
      <c r="C1806" s="23" t="s">
        <v>294</v>
      </c>
      <c r="D1806" s="23" t="s">
        <v>251</v>
      </c>
      <c r="G1806" s="23">
        <v>2.8</v>
      </c>
      <c r="I1806" s="217" t="s">
        <v>2774</v>
      </c>
    </row>
    <row r="1807" spans="1:9">
      <c r="A1807" s="23">
        <v>1807</v>
      </c>
      <c r="B1807" s="84">
        <v>45862</v>
      </c>
      <c r="C1807" s="23" t="s">
        <v>457</v>
      </c>
      <c r="D1807" s="23" t="s">
        <v>227</v>
      </c>
      <c r="G1807" s="23">
        <v>0</v>
      </c>
      <c r="I1807" s="217" t="s">
        <v>2773</v>
      </c>
    </row>
    <row r="1808" spans="1:9">
      <c r="A1808" s="23">
        <v>1808</v>
      </c>
      <c r="B1808" s="84">
        <v>45862</v>
      </c>
      <c r="C1808" s="23" t="s">
        <v>406</v>
      </c>
      <c r="D1808" s="23" t="s">
        <v>230</v>
      </c>
      <c r="G1808" s="23">
        <v>0</v>
      </c>
      <c r="I1808" s="217" t="s">
        <v>2772</v>
      </c>
    </row>
    <row r="1809" spans="1:9">
      <c r="A1809" s="23">
        <v>1809</v>
      </c>
      <c r="B1809" s="84">
        <v>45862</v>
      </c>
      <c r="C1809" s="23" t="s">
        <v>480</v>
      </c>
      <c r="D1809" s="23" t="s">
        <v>243</v>
      </c>
      <c r="G1809" s="23">
        <v>0.8</v>
      </c>
      <c r="I1809" s="217" t="s">
        <v>2775</v>
      </c>
    </row>
    <row r="1810" spans="1:9">
      <c r="A1810" s="23">
        <v>1810</v>
      </c>
      <c r="B1810" s="84">
        <v>45862</v>
      </c>
      <c r="C1810" s="23" t="s">
        <v>486</v>
      </c>
      <c r="D1810" s="23" t="s">
        <v>246</v>
      </c>
      <c r="G1810" s="23">
        <v>0.8</v>
      </c>
      <c r="I1810" s="217" t="s">
        <v>2776</v>
      </c>
    </row>
    <row r="1811" spans="1:9">
      <c r="A1811" s="23">
        <v>1811</v>
      </c>
      <c r="B1811" s="84">
        <v>45862</v>
      </c>
      <c r="C1811" s="23" t="s">
        <v>653</v>
      </c>
      <c r="D1811" s="23" t="s">
        <v>227</v>
      </c>
      <c r="G1811" s="23">
        <v>0.8</v>
      </c>
      <c r="I1811" s="217" t="s">
        <v>2777</v>
      </c>
    </row>
    <row r="1812" spans="1:9">
      <c r="A1812" s="23">
        <v>1812</v>
      </c>
      <c r="B1812" s="84">
        <v>45862</v>
      </c>
      <c r="C1812" s="23" t="s">
        <v>653</v>
      </c>
      <c r="D1812" s="23" t="s">
        <v>254</v>
      </c>
      <c r="G1812" s="23">
        <v>3.8</v>
      </c>
      <c r="I1812" s="217" t="s">
        <v>2778</v>
      </c>
    </row>
    <row r="1813" spans="1:9">
      <c r="A1813" s="23">
        <v>1813</v>
      </c>
      <c r="B1813" s="84">
        <v>45862</v>
      </c>
      <c r="C1813" s="23" t="s">
        <v>189</v>
      </c>
      <c r="D1813" s="23" t="s">
        <v>240</v>
      </c>
      <c r="G1813" s="23">
        <v>0</v>
      </c>
      <c r="I1813" s="217" t="s">
        <v>2779</v>
      </c>
    </row>
    <row r="1814" spans="1:9">
      <c r="A1814" s="23">
        <v>1814</v>
      </c>
      <c r="B1814" s="84">
        <v>45862</v>
      </c>
      <c r="C1814" s="23" t="s">
        <v>655</v>
      </c>
      <c r="D1814" s="23" t="s">
        <v>243</v>
      </c>
      <c r="G1814" s="23">
        <v>0</v>
      </c>
      <c r="I1814" s="217" t="s">
        <v>2775</v>
      </c>
    </row>
    <row r="1815" spans="1:9">
      <c r="A1815" s="23">
        <v>1815</v>
      </c>
      <c r="B1815" s="84">
        <v>45862</v>
      </c>
      <c r="C1815" s="23" t="s">
        <v>884</v>
      </c>
      <c r="D1815" s="23" t="s">
        <v>230</v>
      </c>
      <c r="G1815" s="23">
        <v>0.8</v>
      </c>
      <c r="I1815" s="217" t="s">
        <v>2780</v>
      </c>
    </row>
    <row r="1816" spans="1:9">
      <c r="A1816" s="23">
        <v>1816</v>
      </c>
      <c r="B1816" s="84">
        <v>45862</v>
      </c>
      <c r="C1816" s="23" t="s">
        <v>779</v>
      </c>
      <c r="D1816" s="23" t="s">
        <v>240</v>
      </c>
      <c r="G1816" s="23">
        <v>0.8</v>
      </c>
      <c r="I1816" s="217" t="s">
        <v>1236</v>
      </c>
    </row>
    <row r="1817" spans="1:9">
      <c r="A1817" s="23">
        <v>1817</v>
      </c>
      <c r="B1817" s="84">
        <v>45862</v>
      </c>
      <c r="C1817" s="23" t="s">
        <v>287</v>
      </c>
      <c r="D1817" s="23" t="s">
        <v>243</v>
      </c>
      <c r="G1817" s="23">
        <v>0.8</v>
      </c>
      <c r="I1817" s="217" t="s">
        <v>2781</v>
      </c>
    </row>
    <row r="1818" spans="1:9">
      <c r="A1818" s="23">
        <v>1818</v>
      </c>
      <c r="B1818" s="84">
        <v>45862</v>
      </c>
      <c r="C1818" s="23" t="s">
        <v>690</v>
      </c>
      <c r="D1818" s="23" t="s">
        <v>246</v>
      </c>
      <c r="G1818" s="23">
        <v>0</v>
      </c>
      <c r="I1818" s="217" t="s">
        <v>2782</v>
      </c>
    </row>
    <row r="1819" spans="1:9">
      <c r="A1819" s="23">
        <v>1819</v>
      </c>
      <c r="B1819" s="84">
        <v>45862</v>
      </c>
      <c r="C1819" s="23" t="s">
        <v>553</v>
      </c>
      <c r="D1819" s="23" t="s">
        <v>227</v>
      </c>
      <c r="G1819" s="23">
        <v>0</v>
      </c>
      <c r="I1819" s="217" t="s">
        <v>2783</v>
      </c>
    </row>
    <row r="1820" spans="1:9">
      <c r="A1820" s="23">
        <v>1820</v>
      </c>
      <c r="B1820" s="84">
        <v>45862</v>
      </c>
      <c r="C1820" s="23" t="s">
        <v>217</v>
      </c>
      <c r="D1820" s="23" t="s">
        <v>216</v>
      </c>
      <c r="G1820" s="23">
        <v>0.6</v>
      </c>
      <c r="I1820" s="217" t="s">
        <v>2784</v>
      </c>
    </row>
    <row r="1821" spans="1:9">
      <c r="A1821" s="23">
        <v>1821</v>
      </c>
      <c r="B1821" s="84">
        <v>45862</v>
      </c>
      <c r="C1821" s="23" t="s">
        <v>367</v>
      </c>
      <c r="D1821" s="23" t="s">
        <v>219</v>
      </c>
      <c r="G1821" s="23">
        <v>0</v>
      </c>
      <c r="I1821" s="217" t="s">
        <v>2785</v>
      </c>
    </row>
    <row r="1822" spans="1:9">
      <c r="A1822" s="23">
        <v>1822</v>
      </c>
      <c r="B1822" s="84">
        <v>45862</v>
      </c>
      <c r="C1822" s="23" t="s">
        <v>362</v>
      </c>
      <c r="D1822" s="23" t="s">
        <v>230</v>
      </c>
      <c r="G1822" s="23">
        <v>0</v>
      </c>
      <c r="I1822" s="217" t="s">
        <v>2786</v>
      </c>
    </row>
    <row r="1823" spans="1:9">
      <c r="A1823" s="23">
        <v>1823</v>
      </c>
      <c r="B1823" s="84">
        <v>45862</v>
      </c>
      <c r="C1823" s="23" t="s">
        <v>259</v>
      </c>
      <c r="D1823" s="23" t="s">
        <v>246</v>
      </c>
      <c r="G1823" s="23">
        <v>0.8</v>
      </c>
      <c r="I1823" s="217" t="s">
        <v>2787</v>
      </c>
    </row>
    <row r="1824" spans="1:9">
      <c r="A1824" s="23">
        <v>1824</v>
      </c>
      <c r="B1824" s="84">
        <v>45862</v>
      </c>
      <c r="C1824" s="23" t="s">
        <v>1086</v>
      </c>
      <c r="D1824" s="23" t="s">
        <v>206</v>
      </c>
      <c r="G1824" s="23">
        <v>1</v>
      </c>
      <c r="I1824" s="217" t="s">
        <v>2788</v>
      </c>
    </row>
    <row r="1825" spans="1:9">
      <c r="A1825" s="23">
        <v>1825</v>
      </c>
      <c r="B1825" s="84">
        <v>45862</v>
      </c>
      <c r="C1825" s="23" t="s">
        <v>1079</v>
      </c>
      <c r="D1825" s="23" t="s">
        <v>233</v>
      </c>
      <c r="G1825" s="23">
        <v>0</v>
      </c>
      <c r="I1825" s="217" t="s">
        <v>2789</v>
      </c>
    </row>
    <row r="1826" spans="1:9">
      <c r="A1826" s="23">
        <v>1826</v>
      </c>
      <c r="B1826" s="84">
        <v>45862</v>
      </c>
      <c r="C1826" s="23" t="s">
        <v>972</v>
      </c>
      <c r="D1826" s="23" t="s">
        <v>227</v>
      </c>
      <c r="G1826" s="23">
        <v>0.75</v>
      </c>
      <c r="I1826" s="217" t="s">
        <v>2790</v>
      </c>
    </row>
    <row r="1827" spans="1:9">
      <c r="A1827" s="23">
        <v>1827</v>
      </c>
      <c r="B1827" s="84">
        <v>45862</v>
      </c>
      <c r="C1827" s="23" t="s">
        <v>1084</v>
      </c>
      <c r="D1827" s="23" t="s">
        <v>240</v>
      </c>
      <c r="G1827" s="23">
        <v>0</v>
      </c>
      <c r="I1827" s="217" t="s">
        <v>2791</v>
      </c>
    </row>
    <row r="1828" spans="1:9">
      <c r="A1828" s="23">
        <v>1828</v>
      </c>
      <c r="B1828" s="84">
        <v>45862</v>
      </c>
      <c r="C1828" s="23" t="s">
        <v>1085</v>
      </c>
      <c r="D1828" s="23" t="s">
        <v>243</v>
      </c>
      <c r="G1828" s="23">
        <v>0</v>
      </c>
      <c r="I1828" s="217" t="s">
        <v>2792</v>
      </c>
    </row>
    <row r="1829" spans="1:9">
      <c r="A1829" s="23">
        <v>1829</v>
      </c>
      <c r="B1829" s="84">
        <v>45862</v>
      </c>
      <c r="C1829" s="23" t="s">
        <v>917</v>
      </c>
      <c r="D1829" s="23" t="s">
        <v>246</v>
      </c>
      <c r="G1829" s="23">
        <v>0</v>
      </c>
      <c r="I1829" s="217" t="s">
        <v>2793</v>
      </c>
    </row>
    <row r="1830" spans="1:9">
      <c r="A1830" s="23">
        <v>1830</v>
      </c>
      <c r="B1830" s="84">
        <v>45862</v>
      </c>
      <c r="C1830" s="23" t="s">
        <v>1089</v>
      </c>
      <c r="D1830" s="23" t="s">
        <v>230</v>
      </c>
      <c r="G1830" s="23">
        <v>0.78</v>
      </c>
      <c r="I1830" s="217" t="s">
        <v>2794</v>
      </c>
    </row>
    <row r="1831" spans="1:9">
      <c r="A1831" s="23">
        <v>1831</v>
      </c>
      <c r="B1831" s="84">
        <v>45862</v>
      </c>
      <c r="C1831" s="23" t="s">
        <v>1088</v>
      </c>
      <c r="D1831" s="23" t="s">
        <v>227</v>
      </c>
      <c r="G1831" s="23">
        <v>0</v>
      </c>
      <c r="I1831" s="217" t="s">
        <v>2795</v>
      </c>
    </row>
    <row r="1832" spans="1:9">
      <c r="A1832" s="23">
        <v>1832</v>
      </c>
      <c r="B1832" s="84">
        <v>45862</v>
      </c>
      <c r="C1832" s="23" t="s">
        <v>1090</v>
      </c>
      <c r="D1832" s="23" t="s">
        <v>230</v>
      </c>
      <c r="G1832" s="23">
        <v>0</v>
      </c>
      <c r="I1832" s="217" t="s">
        <v>2796</v>
      </c>
    </row>
    <row r="1833" spans="1:9">
      <c r="A1833" s="23">
        <v>1833</v>
      </c>
      <c r="B1833" s="84">
        <v>45862</v>
      </c>
      <c r="C1833" s="23" t="s">
        <v>982</v>
      </c>
      <c r="D1833" s="23" t="s">
        <v>240</v>
      </c>
      <c r="G1833" s="23">
        <v>0.8</v>
      </c>
      <c r="I1833" s="217" t="s">
        <v>2797</v>
      </c>
    </row>
    <row r="1834" spans="1:9">
      <c r="A1834" s="23">
        <v>1834</v>
      </c>
      <c r="B1834" s="84">
        <v>45862</v>
      </c>
      <c r="C1834" s="23" t="s">
        <v>220</v>
      </c>
      <c r="D1834" s="23" t="s">
        <v>213</v>
      </c>
      <c r="G1834" s="23">
        <v>0.95</v>
      </c>
      <c r="I1834" s="217" t="s">
        <v>2798</v>
      </c>
    </row>
    <row r="1835" spans="1:9">
      <c r="A1835" s="23">
        <v>1835</v>
      </c>
      <c r="B1835" s="84">
        <v>45862</v>
      </c>
      <c r="C1835" s="23" t="s">
        <v>277</v>
      </c>
      <c r="D1835" s="23" t="s">
        <v>235</v>
      </c>
      <c r="G1835" s="23">
        <v>0</v>
      </c>
      <c r="I1835" s="217" t="s">
        <v>2799</v>
      </c>
    </row>
    <row r="1836" spans="1:9">
      <c r="A1836" s="23">
        <v>1836</v>
      </c>
      <c r="B1836" s="84">
        <v>45862</v>
      </c>
      <c r="C1836" s="23" t="s">
        <v>920</v>
      </c>
      <c r="D1836" s="23" t="s">
        <v>243</v>
      </c>
      <c r="G1836" s="23">
        <v>0.8</v>
      </c>
      <c r="I1836" s="217" t="s">
        <v>2800</v>
      </c>
    </row>
    <row r="1837" spans="1:9">
      <c r="A1837" s="23">
        <v>1837</v>
      </c>
      <c r="B1837" s="84">
        <v>45862</v>
      </c>
      <c r="C1837" s="23" t="s">
        <v>220</v>
      </c>
      <c r="D1837" s="23" t="s">
        <v>219</v>
      </c>
      <c r="G1837" s="23">
        <v>0.48</v>
      </c>
      <c r="I1837" s="217" t="s">
        <v>2801</v>
      </c>
    </row>
    <row r="1838" spans="1:9">
      <c r="A1838" s="23">
        <v>1838</v>
      </c>
      <c r="B1838" s="84">
        <v>45862</v>
      </c>
      <c r="C1838" s="23" t="s">
        <v>277</v>
      </c>
      <c r="D1838" s="23" t="s">
        <v>222</v>
      </c>
      <c r="G1838" s="23">
        <v>0</v>
      </c>
      <c r="I1838" s="217" t="s">
        <v>2802</v>
      </c>
    </row>
    <row r="1839" spans="1:9">
      <c r="A1839" s="23">
        <v>1839</v>
      </c>
      <c r="B1839" s="84">
        <v>45862</v>
      </c>
      <c r="C1839" s="23" t="s">
        <v>1092</v>
      </c>
      <c r="D1839" s="23" t="s">
        <v>227</v>
      </c>
      <c r="G1839" s="23">
        <v>0.8</v>
      </c>
      <c r="I1839" s="217" t="s">
        <v>2803</v>
      </c>
    </row>
    <row r="1840" spans="1:9">
      <c r="A1840" s="23">
        <v>1840</v>
      </c>
      <c r="B1840" s="84">
        <v>45862</v>
      </c>
      <c r="C1840" s="23" t="s">
        <v>550</v>
      </c>
      <c r="D1840" s="23" t="s">
        <v>297</v>
      </c>
      <c r="G1840" s="23">
        <v>0.8</v>
      </c>
      <c r="I1840" s="217" t="s">
        <v>2804</v>
      </c>
    </row>
    <row r="1841" spans="1:9">
      <c r="A1841" s="23">
        <v>1841</v>
      </c>
      <c r="B1841" s="84">
        <v>45862</v>
      </c>
      <c r="C1841" s="23" t="s">
        <v>552</v>
      </c>
      <c r="D1841" s="23" t="s">
        <v>230</v>
      </c>
      <c r="G1841" s="23">
        <v>0.8</v>
      </c>
      <c r="I1841" s="217" t="s">
        <v>2805</v>
      </c>
    </row>
    <row r="1842" spans="1:9">
      <c r="A1842" s="23">
        <v>1842</v>
      </c>
      <c r="B1842" s="84">
        <v>45862</v>
      </c>
      <c r="C1842" s="23" t="s">
        <v>448</v>
      </c>
      <c r="D1842" s="23" t="s">
        <v>297</v>
      </c>
      <c r="G1842" s="23">
        <v>0</v>
      </c>
      <c r="I1842" s="217" t="s">
        <v>2806</v>
      </c>
    </row>
    <row r="1843" spans="1:9">
      <c r="A1843" s="23">
        <v>1843</v>
      </c>
      <c r="B1843" s="84">
        <v>45862</v>
      </c>
      <c r="C1843" s="23" t="s">
        <v>1091</v>
      </c>
      <c r="D1843" s="23" t="s">
        <v>240</v>
      </c>
      <c r="G1843" s="23">
        <v>0</v>
      </c>
      <c r="I1843" s="217" t="s">
        <v>2807</v>
      </c>
    </row>
    <row r="1844" spans="1:9">
      <c r="A1844" s="23">
        <v>1844</v>
      </c>
      <c r="B1844" s="84">
        <v>45862</v>
      </c>
      <c r="C1844" s="23" t="s">
        <v>956</v>
      </c>
      <c r="D1844" s="23" t="s">
        <v>243</v>
      </c>
      <c r="G1844" s="23">
        <v>0</v>
      </c>
      <c r="I1844" s="217" t="s">
        <v>2808</v>
      </c>
    </row>
    <row r="1845" spans="1:9">
      <c r="A1845" s="23">
        <v>1845</v>
      </c>
      <c r="B1845" s="84">
        <v>45862</v>
      </c>
      <c r="C1845" s="23" t="s">
        <v>519</v>
      </c>
      <c r="D1845" s="23" t="s">
        <v>246</v>
      </c>
      <c r="G1845" s="23">
        <v>0.8</v>
      </c>
      <c r="I1845" s="217" t="s">
        <v>2809</v>
      </c>
    </row>
    <row r="1846" spans="1:9">
      <c r="A1846" s="23">
        <v>1846</v>
      </c>
      <c r="B1846" s="84">
        <v>45862</v>
      </c>
      <c r="C1846" s="23" t="s">
        <v>1094</v>
      </c>
      <c r="D1846" s="23" t="s">
        <v>246</v>
      </c>
      <c r="G1846" s="23">
        <v>0</v>
      </c>
      <c r="I1846" s="217" t="s">
        <v>2810</v>
      </c>
    </row>
    <row r="1847" spans="1:9">
      <c r="A1847" s="23">
        <v>1847</v>
      </c>
      <c r="B1847" s="84">
        <v>45862</v>
      </c>
      <c r="C1847" s="23" t="s">
        <v>1093</v>
      </c>
      <c r="D1847" s="23" t="s">
        <v>227</v>
      </c>
      <c r="G1847" s="23">
        <v>0</v>
      </c>
      <c r="I1847" s="217" t="s">
        <v>2811</v>
      </c>
    </row>
    <row r="1848" spans="1:9">
      <c r="A1848" s="23">
        <v>1848</v>
      </c>
      <c r="B1848" s="84">
        <v>45862</v>
      </c>
      <c r="C1848" s="23" t="s">
        <v>443</v>
      </c>
      <c r="D1848" s="23" t="s">
        <v>230</v>
      </c>
      <c r="G1848" s="23">
        <v>0</v>
      </c>
      <c r="I1848" s="217" t="s">
        <v>2805</v>
      </c>
    </row>
    <row r="1849" spans="1:9">
      <c r="A1849" s="23">
        <v>1849</v>
      </c>
      <c r="B1849" s="84">
        <v>45862</v>
      </c>
      <c r="C1849" s="23" t="s">
        <v>959</v>
      </c>
      <c r="D1849" s="23" t="s">
        <v>240</v>
      </c>
      <c r="G1849" s="23">
        <v>0.8</v>
      </c>
      <c r="I1849" s="217" t="s">
        <v>2812</v>
      </c>
    </row>
    <row r="1850" spans="1:9">
      <c r="A1850" s="23">
        <v>1850</v>
      </c>
      <c r="B1850" s="84">
        <v>45862</v>
      </c>
      <c r="C1850" s="23" t="s">
        <v>959</v>
      </c>
      <c r="D1850" s="23" t="s">
        <v>227</v>
      </c>
      <c r="G1850" s="23">
        <v>0.8</v>
      </c>
      <c r="I1850" s="217" t="s">
        <v>2813</v>
      </c>
    </row>
    <row r="1851" spans="1:9">
      <c r="A1851" s="23">
        <v>1851</v>
      </c>
      <c r="B1851" s="84">
        <v>45862</v>
      </c>
      <c r="C1851" s="23" t="s">
        <v>959</v>
      </c>
      <c r="D1851" s="23" t="s">
        <v>243</v>
      </c>
      <c r="G1851" s="23">
        <v>0.8</v>
      </c>
      <c r="I1851" s="217" t="s">
        <v>2814</v>
      </c>
    </row>
    <row r="1852" spans="1:9">
      <c r="A1852" s="23">
        <v>1852</v>
      </c>
      <c r="B1852" s="84">
        <v>45862</v>
      </c>
      <c r="C1852" s="23" t="s">
        <v>959</v>
      </c>
      <c r="D1852" s="23" t="s">
        <v>230</v>
      </c>
      <c r="G1852" s="23">
        <v>0.8</v>
      </c>
      <c r="I1852" s="217" t="s">
        <v>2815</v>
      </c>
    </row>
    <row r="1853" spans="1:9">
      <c r="A1853" s="23">
        <v>1853</v>
      </c>
      <c r="B1853" s="84">
        <v>45862</v>
      </c>
      <c r="C1853" s="23" t="s">
        <v>959</v>
      </c>
      <c r="D1853" s="23" t="s">
        <v>246</v>
      </c>
      <c r="G1853" s="23">
        <v>0.8</v>
      </c>
      <c r="I1853" s="217" t="s">
        <v>2816</v>
      </c>
    </row>
    <row r="1854" spans="1:9">
      <c r="A1854" s="23">
        <v>1854</v>
      </c>
      <c r="B1854" s="84">
        <v>45862</v>
      </c>
      <c r="C1854" s="23" t="s">
        <v>1097</v>
      </c>
      <c r="D1854" s="23" t="s">
        <v>297</v>
      </c>
      <c r="G1854" s="23">
        <v>0.8</v>
      </c>
      <c r="I1854" s="217" t="s">
        <v>2817</v>
      </c>
    </row>
    <row r="1855" spans="1:9">
      <c r="A1855" s="23">
        <v>1855</v>
      </c>
      <c r="B1855" s="84">
        <v>45862</v>
      </c>
      <c r="C1855" s="23" t="s">
        <v>939</v>
      </c>
      <c r="D1855" s="23" t="s">
        <v>203</v>
      </c>
      <c r="G1855" s="23">
        <v>0</v>
      </c>
      <c r="I1855" s="217" t="s">
        <v>2818</v>
      </c>
    </row>
    <row r="1856" spans="1:9">
      <c r="A1856" s="23">
        <v>1856</v>
      </c>
      <c r="B1856" s="84">
        <v>45862</v>
      </c>
      <c r="C1856" s="23" t="s">
        <v>939</v>
      </c>
      <c r="D1856" s="23" t="s">
        <v>203</v>
      </c>
      <c r="G1856" s="23" t="s">
        <v>9</v>
      </c>
      <c r="H1856" s="23" t="s">
        <v>2819</v>
      </c>
      <c r="I1856" s="217" t="s">
        <v>1236</v>
      </c>
    </row>
    <row r="1857" spans="1:9">
      <c r="A1857" s="23">
        <v>1857</v>
      </c>
      <c r="B1857" s="84">
        <v>45862</v>
      </c>
      <c r="C1857" s="23" t="s">
        <v>549</v>
      </c>
      <c r="D1857" s="23" t="s">
        <v>297</v>
      </c>
      <c r="G1857" s="23">
        <v>0</v>
      </c>
      <c r="I1857" s="217" t="s">
        <v>2820</v>
      </c>
    </row>
    <row r="1858" spans="1:9">
      <c r="A1858" s="23">
        <v>1858</v>
      </c>
      <c r="B1858" s="84">
        <v>45862</v>
      </c>
      <c r="C1858" s="23" t="s">
        <v>1095</v>
      </c>
      <c r="D1858" s="23" t="s">
        <v>240</v>
      </c>
      <c r="G1858" s="23">
        <v>0</v>
      </c>
      <c r="I1858" s="217" t="s">
        <v>2821</v>
      </c>
    </row>
    <row r="1859" spans="1:9">
      <c r="A1859" s="23">
        <v>1859</v>
      </c>
      <c r="B1859" s="84">
        <v>45862</v>
      </c>
      <c r="C1859" s="23" t="s">
        <v>578</v>
      </c>
      <c r="D1859" s="23" t="s">
        <v>243</v>
      </c>
      <c r="G1859" s="23">
        <v>0</v>
      </c>
      <c r="I1859" s="217" t="s">
        <v>2822</v>
      </c>
    </row>
    <row r="1860" spans="1:9">
      <c r="A1860" s="23">
        <v>1860</v>
      </c>
      <c r="B1860" s="84">
        <v>45862</v>
      </c>
      <c r="C1860" s="23" t="s">
        <v>922</v>
      </c>
      <c r="D1860" s="23" t="s">
        <v>246</v>
      </c>
      <c r="G1860" s="23">
        <v>0</v>
      </c>
      <c r="I1860" s="217" t="s">
        <v>2823</v>
      </c>
    </row>
    <row r="1861" spans="1:9">
      <c r="A1861" s="23">
        <v>1861</v>
      </c>
      <c r="B1861" s="84">
        <v>45862</v>
      </c>
      <c r="C1861" s="23" t="s">
        <v>453</v>
      </c>
      <c r="D1861" s="23" t="s">
        <v>227</v>
      </c>
      <c r="G1861" s="23">
        <v>0</v>
      </c>
      <c r="I1861" s="217" t="s">
        <v>2824</v>
      </c>
    </row>
    <row r="1862" spans="1:9">
      <c r="A1862" s="23">
        <v>1862</v>
      </c>
      <c r="B1862" s="84">
        <v>45862</v>
      </c>
      <c r="C1862" s="23" t="s">
        <v>1096</v>
      </c>
      <c r="D1862" s="23" t="s">
        <v>230</v>
      </c>
      <c r="G1862" s="23">
        <v>0</v>
      </c>
      <c r="I1862" s="217" t="s">
        <v>2825</v>
      </c>
    </row>
    <row r="1863" spans="1:9">
      <c r="A1863" s="23">
        <v>1863</v>
      </c>
      <c r="B1863" s="84">
        <v>45862</v>
      </c>
      <c r="C1863" s="23" t="s">
        <v>1082</v>
      </c>
      <c r="D1863" s="23" t="s">
        <v>240</v>
      </c>
      <c r="G1863" s="23">
        <v>0.8</v>
      </c>
      <c r="I1863" s="217" t="s">
        <v>2826</v>
      </c>
    </row>
    <row r="1864" spans="1:9">
      <c r="A1864" s="23">
        <v>1864</v>
      </c>
      <c r="B1864" s="84">
        <v>45862</v>
      </c>
      <c r="C1864" s="23" t="s">
        <v>1082</v>
      </c>
      <c r="D1864" s="23" t="s">
        <v>243</v>
      </c>
      <c r="G1864" s="23">
        <v>0.8</v>
      </c>
      <c r="I1864" s="217" t="s">
        <v>2827</v>
      </c>
    </row>
    <row r="1865" spans="1:9">
      <c r="A1865" s="23">
        <v>1865</v>
      </c>
      <c r="B1865" s="84">
        <v>45862</v>
      </c>
      <c r="C1865" s="23" t="s">
        <v>1082</v>
      </c>
      <c r="D1865" s="23" t="s">
        <v>251</v>
      </c>
      <c r="G1865" s="23">
        <v>0</v>
      </c>
      <c r="I1865" s="217" t="s">
        <v>2828</v>
      </c>
    </row>
    <row r="1866" spans="1:9">
      <c r="A1866" s="23">
        <v>1866</v>
      </c>
      <c r="B1866" s="84">
        <v>45862</v>
      </c>
      <c r="C1866" s="23" t="s">
        <v>1098</v>
      </c>
      <c r="D1866" s="23" t="s">
        <v>240</v>
      </c>
      <c r="G1866" s="23">
        <v>0</v>
      </c>
      <c r="I1866" s="217" t="s">
        <v>2826</v>
      </c>
    </row>
    <row r="1867" spans="1:9">
      <c r="A1867" s="23">
        <v>1867</v>
      </c>
      <c r="B1867" s="84">
        <v>45862</v>
      </c>
      <c r="C1867" s="23" t="s">
        <v>800</v>
      </c>
      <c r="D1867" s="23" t="s">
        <v>243</v>
      </c>
      <c r="G1867" s="23">
        <v>0</v>
      </c>
      <c r="I1867" s="217" t="s">
        <v>2827</v>
      </c>
    </row>
    <row r="1868" spans="1:9">
      <c r="A1868" s="23">
        <v>1868</v>
      </c>
      <c r="B1868" s="84">
        <v>45862</v>
      </c>
      <c r="C1868" s="23" t="s">
        <v>1083</v>
      </c>
      <c r="D1868" s="23" t="s">
        <v>254</v>
      </c>
      <c r="G1868" s="23">
        <v>0</v>
      </c>
      <c r="I1868" s="217" t="s">
        <v>2829</v>
      </c>
    </row>
    <row r="1869" spans="1:9">
      <c r="A1869" s="23">
        <v>1869</v>
      </c>
      <c r="B1869" s="84">
        <v>45863</v>
      </c>
      <c r="C1869" s="23" t="s">
        <v>223</v>
      </c>
      <c r="D1869" s="23" t="s">
        <v>222</v>
      </c>
      <c r="G1869" s="23">
        <v>0.46500000000000002</v>
      </c>
      <c r="I1869" s="217" t="s">
        <v>2830</v>
      </c>
    </row>
    <row r="1870" spans="1:9">
      <c r="A1870" s="23">
        <v>1870</v>
      </c>
      <c r="B1870" s="84">
        <v>45863</v>
      </c>
      <c r="C1870" s="23" t="s">
        <v>218</v>
      </c>
      <c r="D1870" s="23" t="s">
        <v>216</v>
      </c>
      <c r="G1870" s="23">
        <v>0</v>
      </c>
      <c r="I1870" s="217" t="s">
        <v>2831</v>
      </c>
    </row>
    <row r="1871" spans="1:9">
      <c r="A1871" s="23">
        <v>1871</v>
      </c>
      <c r="B1871" s="84">
        <v>45863</v>
      </c>
      <c r="C1871" s="23" t="s">
        <v>1087</v>
      </c>
      <c r="D1871" s="23" t="s">
        <v>206</v>
      </c>
      <c r="G1871" s="23">
        <v>0</v>
      </c>
      <c r="I1871" s="217" t="s">
        <v>2832</v>
      </c>
    </row>
    <row r="1872" spans="1:9">
      <c r="A1872" s="23">
        <v>1872</v>
      </c>
      <c r="B1872" s="84">
        <v>45863</v>
      </c>
      <c r="C1872" s="23" t="s">
        <v>232</v>
      </c>
      <c r="D1872" s="23" t="s">
        <v>246</v>
      </c>
      <c r="G1872" s="23">
        <v>0.8</v>
      </c>
      <c r="I1872" s="217" t="s">
        <v>2833</v>
      </c>
    </row>
    <row r="1873" spans="1:9">
      <c r="A1873" s="23">
        <v>1873</v>
      </c>
      <c r="B1873" s="84">
        <v>45863</v>
      </c>
      <c r="C1873" s="23" t="s">
        <v>1100</v>
      </c>
      <c r="D1873" s="23" t="s">
        <v>243</v>
      </c>
      <c r="G1873" s="23">
        <v>0.8</v>
      </c>
      <c r="I1873" s="217" t="s">
        <v>2834</v>
      </c>
    </row>
    <row r="1874" spans="1:9">
      <c r="A1874" s="23">
        <v>1874</v>
      </c>
      <c r="B1874" s="84">
        <v>45863</v>
      </c>
      <c r="C1874" s="23" t="s">
        <v>1101</v>
      </c>
      <c r="D1874" s="23" t="s">
        <v>243</v>
      </c>
      <c r="G1874" s="23">
        <v>0</v>
      </c>
      <c r="I1874" s="217" t="s">
        <v>2835</v>
      </c>
    </row>
    <row r="1875" spans="1:9">
      <c r="A1875" s="23">
        <v>1875</v>
      </c>
      <c r="B1875" s="84">
        <v>45863</v>
      </c>
      <c r="C1875" s="23" t="s">
        <v>286</v>
      </c>
      <c r="D1875" s="23" t="s">
        <v>251</v>
      </c>
      <c r="G1875" s="23" t="s">
        <v>9</v>
      </c>
      <c r="H1875" s="23" t="s">
        <v>1102</v>
      </c>
      <c r="I1875" s="217" t="s">
        <v>2836</v>
      </c>
    </row>
    <row r="1876" spans="1:9">
      <c r="A1876" s="23">
        <v>1876</v>
      </c>
      <c r="B1876" s="84">
        <v>45863</v>
      </c>
      <c r="C1876" s="23" t="s">
        <v>1099</v>
      </c>
      <c r="D1876" s="23" t="s">
        <v>246</v>
      </c>
      <c r="G1876" s="23">
        <v>0</v>
      </c>
      <c r="I1876" s="217" t="s">
        <v>2837</v>
      </c>
    </row>
    <row r="1877" spans="1:9">
      <c r="A1877" s="23">
        <v>1877</v>
      </c>
      <c r="B1877" s="84">
        <v>45863</v>
      </c>
      <c r="C1877" s="23" t="s">
        <v>353</v>
      </c>
      <c r="D1877" s="23" t="s">
        <v>233</v>
      </c>
      <c r="G1877" s="23">
        <v>2.8</v>
      </c>
      <c r="I1877" s="217" t="s">
        <v>2838</v>
      </c>
    </row>
    <row r="1878" spans="1:9">
      <c r="A1878" s="23">
        <v>1878</v>
      </c>
      <c r="B1878" s="84">
        <v>45863</v>
      </c>
      <c r="C1878" s="23" t="s">
        <v>1059</v>
      </c>
      <c r="D1878" s="23" t="s">
        <v>203</v>
      </c>
      <c r="G1878" s="23">
        <v>1</v>
      </c>
      <c r="I1878" s="217" t="s">
        <v>2839</v>
      </c>
    </row>
    <row r="1879" spans="1:9">
      <c r="A1879" s="23">
        <v>1879</v>
      </c>
      <c r="B1879" s="84">
        <v>45863</v>
      </c>
      <c r="C1879" s="23" t="s">
        <v>847</v>
      </c>
      <c r="D1879" s="23" t="s">
        <v>246</v>
      </c>
      <c r="G1879" s="23">
        <v>0.75</v>
      </c>
      <c r="I1879" s="217" t="s">
        <v>2840</v>
      </c>
    </row>
    <row r="1880" spans="1:9">
      <c r="A1880" s="23">
        <v>1880</v>
      </c>
      <c r="B1880" s="84">
        <v>45863</v>
      </c>
      <c r="C1880" s="23" t="s">
        <v>719</v>
      </c>
      <c r="D1880" s="23" t="s">
        <v>230</v>
      </c>
      <c r="G1880" s="23">
        <v>0.75</v>
      </c>
      <c r="I1880" s="217" t="s">
        <v>2841</v>
      </c>
    </row>
    <row r="1881" spans="1:9">
      <c r="A1881" s="23">
        <v>1881</v>
      </c>
      <c r="B1881" s="84">
        <v>45863</v>
      </c>
      <c r="C1881" s="23" t="s">
        <v>820</v>
      </c>
      <c r="D1881" s="23" t="s">
        <v>227</v>
      </c>
      <c r="G1881" s="23">
        <v>0.75</v>
      </c>
      <c r="I1881" s="217" t="s">
        <v>2842</v>
      </c>
    </row>
    <row r="1882" spans="1:9">
      <c r="A1882" s="23">
        <v>1882</v>
      </c>
      <c r="B1882" s="84">
        <v>45863</v>
      </c>
      <c r="C1882" s="23" t="s">
        <v>1013</v>
      </c>
      <c r="D1882" s="23" t="s">
        <v>240</v>
      </c>
      <c r="G1882" s="23">
        <v>0.7</v>
      </c>
      <c r="I1882" s="217" t="s">
        <v>2843</v>
      </c>
    </row>
    <row r="1883" spans="1:9">
      <c r="A1883" s="23">
        <v>1883</v>
      </c>
      <c r="B1883" s="84">
        <v>45863</v>
      </c>
      <c r="C1883" s="23" t="s">
        <v>295</v>
      </c>
      <c r="D1883" s="23" t="s">
        <v>243</v>
      </c>
      <c r="G1883" s="23">
        <v>0.75</v>
      </c>
      <c r="I1883" s="217" t="s">
        <v>2844</v>
      </c>
    </row>
    <row r="1884" spans="1:9">
      <c r="A1884" s="23">
        <v>1884</v>
      </c>
      <c r="B1884" s="84">
        <v>45863</v>
      </c>
      <c r="C1884" s="23" t="s">
        <v>822</v>
      </c>
      <c r="D1884" s="23" t="s">
        <v>246</v>
      </c>
      <c r="G1884" s="23">
        <v>0</v>
      </c>
      <c r="I1884" s="217" t="s">
        <v>2845</v>
      </c>
    </row>
    <row r="1885" spans="1:9">
      <c r="A1885" s="23">
        <v>1885</v>
      </c>
      <c r="B1885" s="84">
        <v>45863</v>
      </c>
      <c r="C1885" s="23" t="s">
        <v>242</v>
      </c>
      <c r="D1885" s="23" t="s">
        <v>227</v>
      </c>
      <c r="G1885" s="23">
        <v>0</v>
      </c>
      <c r="I1885" s="217" t="s">
        <v>2846</v>
      </c>
    </row>
    <row r="1886" spans="1:9">
      <c r="A1886" s="23">
        <v>1886</v>
      </c>
      <c r="B1886" s="84">
        <v>45863</v>
      </c>
      <c r="C1886" s="23" t="s">
        <v>605</v>
      </c>
      <c r="D1886" s="23" t="s">
        <v>254</v>
      </c>
      <c r="G1886" s="23">
        <v>2.8</v>
      </c>
      <c r="I1886" s="217" t="s">
        <v>2847</v>
      </c>
    </row>
    <row r="1887" spans="1:9">
      <c r="A1887" s="23">
        <v>1887</v>
      </c>
      <c r="B1887" s="84">
        <v>45863</v>
      </c>
      <c r="C1887" s="23" t="s">
        <v>420</v>
      </c>
      <c r="D1887" s="23" t="s">
        <v>230</v>
      </c>
      <c r="G1887" s="23">
        <v>0</v>
      </c>
      <c r="I1887" s="217" t="s">
        <v>2848</v>
      </c>
    </row>
    <row r="1888" spans="1:9">
      <c r="A1888" s="23">
        <v>1888</v>
      </c>
      <c r="B1888" s="84">
        <v>45863</v>
      </c>
      <c r="C1888" s="23" t="s">
        <v>289</v>
      </c>
      <c r="D1888" s="23" t="s">
        <v>240</v>
      </c>
      <c r="G1888" s="23">
        <v>0</v>
      </c>
      <c r="I1888" s="217" t="s">
        <v>2849</v>
      </c>
    </row>
    <row r="1889" spans="1:9">
      <c r="A1889" s="23">
        <v>1889</v>
      </c>
      <c r="B1889" s="84">
        <v>45863</v>
      </c>
      <c r="C1889" s="23" t="s">
        <v>289</v>
      </c>
      <c r="D1889" s="23" t="s">
        <v>243</v>
      </c>
      <c r="G1889" s="23">
        <v>0</v>
      </c>
      <c r="I1889" s="217" t="s">
        <v>2844</v>
      </c>
    </row>
    <row r="1890" spans="1:9">
      <c r="A1890" s="23">
        <v>1890</v>
      </c>
      <c r="B1890" s="84">
        <v>45863</v>
      </c>
      <c r="C1890" s="23" t="s">
        <v>608</v>
      </c>
      <c r="D1890" s="23" t="s">
        <v>246</v>
      </c>
      <c r="G1890" s="23">
        <v>0.78</v>
      </c>
      <c r="I1890" s="217" t="s">
        <v>2850</v>
      </c>
    </row>
    <row r="1891" spans="1:9">
      <c r="A1891" s="23">
        <v>1891</v>
      </c>
      <c r="B1891" s="84">
        <v>45863</v>
      </c>
      <c r="C1891" s="23" t="s">
        <v>189</v>
      </c>
      <c r="D1891" s="23" t="s">
        <v>243</v>
      </c>
      <c r="G1891" s="23">
        <v>0.78</v>
      </c>
      <c r="I1891" s="217" t="s">
        <v>2851</v>
      </c>
    </row>
    <row r="1892" spans="1:9">
      <c r="A1892" s="23">
        <v>1892</v>
      </c>
      <c r="B1892" s="84">
        <v>45863</v>
      </c>
      <c r="C1892" s="23" t="s">
        <v>1105</v>
      </c>
      <c r="D1892" s="23" t="s">
        <v>227</v>
      </c>
      <c r="G1892" s="23">
        <v>0.78</v>
      </c>
      <c r="I1892" s="217" t="s">
        <v>2852</v>
      </c>
    </row>
    <row r="1893" spans="1:9">
      <c r="A1893" s="23">
        <v>1893</v>
      </c>
      <c r="B1893" s="84">
        <v>45863</v>
      </c>
      <c r="C1893" s="23" t="s">
        <v>313</v>
      </c>
      <c r="D1893" s="23" t="s">
        <v>230</v>
      </c>
      <c r="G1893" s="23">
        <v>0.78</v>
      </c>
      <c r="I1893" s="217" t="s">
        <v>2853</v>
      </c>
    </row>
    <row r="1894" spans="1:9">
      <c r="A1894" s="23">
        <v>1894</v>
      </c>
      <c r="B1894" s="84">
        <v>45863</v>
      </c>
      <c r="C1894" s="23" t="s">
        <v>425</v>
      </c>
      <c r="D1894" s="23" t="s">
        <v>312</v>
      </c>
      <c r="G1894" s="23">
        <v>2.2000000000000002</v>
      </c>
      <c r="I1894" s="217" t="s">
        <v>2854</v>
      </c>
    </row>
    <row r="1895" spans="1:9">
      <c r="A1895" s="23">
        <v>1895</v>
      </c>
      <c r="B1895" s="84">
        <v>45863</v>
      </c>
      <c r="C1895" s="23" t="s">
        <v>779</v>
      </c>
      <c r="D1895" s="23" t="s">
        <v>243</v>
      </c>
      <c r="G1895" s="23">
        <v>0</v>
      </c>
      <c r="I1895" s="217" t="s">
        <v>2851</v>
      </c>
    </row>
    <row r="1896" spans="1:9">
      <c r="A1896" s="23">
        <v>1896</v>
      </c>
      <c r="B1896" s="84">
        <v>45863</v>
      </c>
      <c r="C1896" s="23" t="s">
        <v>1104</v>
      </c>
      <c r="D1896" s="23" t="s">
        <v>246</v>
      </c>
      <c r="G1896" s="23">
        <v>0</v>
      </c>
      <c r="I1896" s="217" t="s">
        <v>2850</v>
      </c>
    </row>
    <row r="1897" spans="1:9">
      <c r="A1897" s="23">
        <v>1897</v>
      </c>
      <c r="B1897" s="84">
        <v>45863</v>
      </c>
      <c r="C1897" s="23" t="s">
        <v>489</v>
      </c>
      <c r="D1897" s="23" t="s">
        <v>227</v>
      </c>
      <c r="G1897" s="23">
        <v>0</v>
      </c>
      <c r="I1897" s="217" t="s">
        <v>2852</v>
      </c>
    </row>
    <row r="1898" spans="1:9">
      <c r="A1898" s="23">
        <v>1898</v>
      </c>
      <c r="B1898" s="84">
        <v>45863</v>
      </c>
      <c r="C1898" s="23" t="s">
        <v>236</v>
      </c>
      <c r="D1898" s="23" t="s">
        <v>235</v>
      </c>
      <c r="G1898" s="23">
        <v>0.76</v>
      </c>
      <c r="I1898" s="217" t="s">
        <v>2855</v>
      </c>
    </row>
    <row r="1899" spans="1:9">
      <c r="A1899" s="23">
        <v>1899</v>
      </c>
      <c r="B1899" s="84">
        <v>45863</v>
      </c>
      <c r="C1899" s="23" t="s">
        <v>215</v>
      </c>
      <c r="D1899" s="23" t="s">
        <v>213</v>
      </c>
      <c r="G1899" s="23">
        <v>0</v>
      </c>
      <c r="I1899" s="217" t="s">
        <v>2856</v>
      </c>
    </row>
    <row r="1900" spans="1:9">
      <c r="A1900" s="23">
        <v>1900</v>
      </c>
      <c r="B1900" s="84">
        <v>45863</v>
      </c>
      <c r="C1900" s="23" t="s">
        <v>236</v>
      </c>
      <c r="D1900" s="23" t="s">
        <v>216</v>
      </c>
      <c r="G1900" s="23">
        <v>0.5</v>
      </c>
      <c r="I1900" s="217" t="s">
        <v>2857</v>
      </c>
    </row>
    <row r="1901" spans="1:9">
      <c r="A1901" s="23">
        <v>1901</v>
      </c>
      <c r="B1901" s="84">
        <v>45863</v>
      </c>
      <c r="C1901" s="23" t="s">
        <v>215</v>
      </c>
      <c r="D1901" s="23" t="s">
        <v>219</v>
      </c>
      <c r="G1901" s="23">
        <v>0</v>
      </c>
      <c r="I1901" s="217" t="s">
        <v>2858</v>
      </c>
    </row>
    <row r="1902" spans="1:9">
      <c r="A1902" s="23">
        <v>1902</v>
      </c>
      <c r="B1902" s="84">
        <v>45863</v>
      </c>
      <c r="C1902" s="23" t="s">
        <v>1108</v>
      </c>
      <c r="D1902" s="23" t="s">
        <v>240</v>
      </c>
      <c r="G1902" s="23">
        <v>0.8</v>
      </c>
      <c r="I1902" s="217" t="s">
        <v>2859</v>
      </c>
    </row>
    <row r="1903" spans="1:9">
      <c r="A1903" s="23">
        <v>1903</v>
      </c>
      <c r="B1903" s="84">
        <v>45863</v>
      </c>
      <c r="C1903" s="23" t="s">
        <v>1106</v>
      </c>
      <c r="D1903" s="23" t="s">
        <v>230</v>
      </c>
      <c r="G1903" s="23">
        <v>0</v>
      </c>
      <c r="I1903" s="217" t="s">
        <v>2860</v>
      </c>
    </row>
    <row r="1904" spans="1:9">
      <c r="A1904" s="23">
        <v>1904</v>
      </c>
      <c r="B1904" s="84">
        <v>45863</v>
      </c>
      <c r="C1904" s="23" t="s">
        <v>419</v>
      </c>
      <c r="D1904" s="23" t="s">
        <v>240</v>
      </c>
      <c r="G1904" s="23">
        <v>0</v>
      </c>
      <c r="I1904" s="217" t="s">
        <v>2861</v>
      </c>
    </row>
    <row r="1905" spans="1:9">
      <c r="A1905" s="23">
        <v>1905</v>
      </c>
      <c r="B1905" s="84">
        <v>45863</v>
      </c>
      <c r="C1905" s="23" t="s">
        <v>217</v>
      </c>
      <c r="D1905" s="23" t="s">
        <v>219</v>
      </c>
      <c r="G1905" s="23">
        <v>0.62</v>
      </c>
      <c r="I1905" s="217" t="s">
        <v>2862</v>
      </c>
    </row>
    <row r="1906" spans="1:9">
      <c r="A1906" s="23">
        <v>1906</v>
      </c>
      <c r="B1906" s="84">
        <v>45863</v>
      </c>
      <c r="C1906" s="23" t="s">
        <v>367</v>
      </c>
      <c r="D1906" s="23" t="s">
        <v>222</v>
      </c>
      <c r="G1906" s="23">
        <v>0</v>
      </c>
      <c r="I1906" s="217" t="s">
        <v>2863</v>
      </c>
    </row>
    <row r="1907" spans="1:9">
      <c r="A1907" s="23">
        <v>1907</v>
      </c>
      <c r="B1907" s="84">
        <v>45863</v>
      </c>
      <c r="C1907" s="23" t="s">
        <v>734</v>
      </c>
      <c r="D1907" s="23" t="s">
        <v>312</v>
      </c>
      <c r="G1907" s="23">
        <v>0</v>
      </c>
      <c r="I1907" s="217" t="s">
        <v>2864</v>
      </c>
    </row>
    <row r="1908" spans="1:9">
      <c r="A1908" s="23">
        <v>1908</v>
      </c>
      <c r="B1908" s="84">
        <v>45863</v>
      </c>
      <c r="C1908" s="23" t="s">
        <v>591</v>
      </c>
      <c r="D1908" s="23" t="s">
        <v>243</v>
      </c>
      <c r="G1908" s="23">
        <v>0.8</v>
      </c>
      <c r="I1908" s="217" t="s">
        <v>2865</v>
      </c>
    </row>
    <row r="1909" spans="1:9">
      <c r="A1909" s="23">
        <v>1909</v>
      </c>
      <c r="B1909" s="84">
        <v>45863</v>
      </c>
      <c r="C1909" s="23" t="s">
        <v>1028</v>
      </c>
      <c r="D1909" s="23" t="s">
        <v>246</v>
      </c>
      <c r="G1909" s="23">
        <v>0.8</v>
      </c>
      <c r="I1909" s="217" t="s">
        <v>2866</v>
      </c>
    </row>
    <row r="1910" spans="1:9">
      <c r="A1910" s="23">
        <v>1910</v>
      </c>
      <c r="B1910" s="84">
        <v>45863</v>
      </c>
      <c r="C1910" s="23" t="s">
        <v>1109</v>
      </c>
      <c r="D1910" s="23" t="s">
        <v>206</v>
      </c>
      <c r="G1910" s="23">
        <v>1</v>
      </c>
      <c r="I1910" s="217" t="s">
        <v>2867</v>
      </c>
    </row>
    <row r="1911" spans="1:9">
      <c r="A1911" s="23">
        <v>1911</v>
      </c>
      <c r="B1911" s="84">
        <v>45863</v>
      </c>
      <c r="C1911" s="23" t="s">
        <v>1009</v>
      </c>
      <c r="D1911" s="23" t="s">
        <v>233</v>
      </c>
      <c r="G1911" s="23">
        <v>0</v>
      </c>
      <c r="I1911" s="217" t="s">
        <v>2868</v>
      </c>
    </row>
    <row r="1912" spans="1:9">
      <c r="A1912" s="23">
        <v>1912</v>
      </c>
      <c r="B1912" s="84">
        <v>45863</v>
      </c>
      <c r="C1912" s="23" t="s">
        <v>583</v>
      </c>
      <c r="D1912" s="23" t="s">
        <v>227</v>
      </c>
      <c r="G1912" s="23">
        <v>0.8</v>
      </c>
      <c r="I1912" s="217" t="s">
        <v>2869</v>
      </c>
    </row>
    <row r="1913" spans="1:9">
      <c r="A1913" s="23">
        <v>1913</v>
      </c>
      <c r="B1913" s="84">
        <v>45863</v>
      </c>
      <c r="C1913" s="23" t="s">
        <v>1110</v>
      </c>
      <c r="D1913" s="23" t="s">
        <v>230</v>
      </c>
      <c r="G1913" s="23">
        <v>0.8</v>
      </c>
      <c r="I1913" s="217" t="s">
        <v>2870</v>
      </c>
    </row>
    <row r="1914" spans="1:9">
      <c r="A1914" s="23">
        <v>1914</v>
      </c>
      <c r="B1914" s="84">
        <v>45863</v>
      </c>
      <c r="C1914" s="23" t="s">
        <v>183</v>
      </c>
      <c r="D1914" s="23" t="s">
        <v>243</v>
      </c>
      <c r="G1914" s="23">
        <v>0</v>
      </c>
      <c r="I1914" s="217" t="s">
        <v>2871</v>
      </c>
    </row>
    <row r="1915" spans="1:9">
      <c r="A1915" s="23">
        <v>1915</v>
      </c>
      <c r="B1915" s="84">
        <v>45863</v>
      </c>
      <c r="C1915" s="23" t="s">
        <v>325</v>
      </c>
      <c r="D1915" s="23" t="s">
        <v>326</v>
      </c>
      <c r="G1915" s="23">
        <v>0</v>
      </c>
      <c r="I1915" s="217" t="s">
        <v>2872</v>
      </c>
    </row>
    <row r="1916" spans="1:9">
      <c r="A1916" s="23">
        <v>1916</v>
      </c>
      <c r="B1916" s="84">
        <v>45863</v>
      </c>
      <c r="C1916" s="23" t="s">
        <v>325</v>
      </c>
      <c r="D1916" s="23" t="s">
        <v>326</v>
      </c>
      <c r="G1916" s="23">
        <v>0.5</v>
      </c>
      <c r="H1916" s="23" t="s">
        <v>407</v>
      </c>
      <c r="I1916" s="217" t="s">
        <v>1236</v>
      </c>
    </row>
    <row r="1917" spans="1:9">
      <c r="A1917" s="23">
        <v>1917</v>
      </c>
      <c r="B1917" s="84">
        <v>45863</v>
      </c>
      <c r="C1917" s="23" t="s">
        <v>581</v>
      </c>
      <c r="D1917" s="23" t="s">
        <v>246</v>
      </c>
      <c r="G1917" s="23">
        <v>0</v>
      </c>
      <c r="I1917" s="217" t="s">
        <v>2873</v>
      </c>
    </row>
    <row r="1918" spans="1:9">
      <c r="A1918" s="23">
        <v>1918</v>
      </c>
      <c r="B1918" s="84">
        <v>45863</v>
      </c>
      <c r="C1918" s="23" t="s">
        <v>195</v>
      </c>
      <c r="D1918" s="23" t="s">
        <v>251</v>
      </c>
      <c r="G1918" s="23">
        <v>0</v>
      </c>
      <c r="I1918" s="217" t="s">
        <v>2874</v>
      </c>
    </row>
    <row r="1919" spans="1:9">
      <c r="A1919" s="23">
        <v>1919</v>
      </c>
      <c r="B1919" s="84">
        <v>45863</v>
      </c>
      <c r="C1919" s="23" t="s">
        <v>195</v>
      </c>
      <c r="D1919" s="23" t="s">
        <v>251</v>
      </c>
      <c r="G1919" s="23">
        <v>0.5</v>
      </c>
      <c r="H1919" s="23" t="s">
        <v>407</v>
      </c>
      <c r="I1919" s="217" t="s">
        <v>1236</v>
      </c>
    </row>
    <row r="1920" spans="1:9">
      <c r="A1920" s="23">
        <v>1920</v>
      </c>
      <c r="B1920" s="84">
        <v>45863</v>
      </c>
      <c r="C1920" s="23" t="s">
        <v>1111</v>
      </c>
      <c r="D1920" s="23" t="s">
        <v>326</v>
      </c>
      <c r="G1920" s="23">
        <v>0</v>
      </c>
      <c r="I1920" s="217" t="s">
        <v>2872</v>
      </c>
    </row>
    <row r="1921" spans="1:9">
      <c r="A1921" s="23">
        <v>1921</v>
      </c>
      <c r="B1921" s="84">
        <v>45863</v>
      </c>
      <c r="C1921" s="23" t="s">
        <v>1111</v>
      </c>
      <c r="D1921" s="23" t="s">
        <v>326</v>
      </c>
      <c r="G1921" s="23" t="s">
        <v>9</v>
      </c>
      <c r="I1921" s="217" t="s">
        <v>1236</v>
      </c>
    </row>
    <row r="1922" spans="1:9">
      <c r="A1922" s="23">
        <v>1922</v>
      </c>
      <c r="B1922" s="84">
        <v>45863</v>
      </c>
      <c r="C1922" s="23" t="s">
        <v>328</v>
      </c>
      <c r="D1922" s="23" t="s">
        <v>227</v>
      </c>
      <c r="G1922" s="23">
        <v>0</v>
      </c>
      <c r="I1922" s="217" t="s">
        <v>2875</v>
      </c>
    </row>
    <row r="1923" spans="1:9">
      <c r="A1923" s="23">
        <v>1923</v>
      </c>
      <c r="B1923" s="84">
        <v>45863</v>
      </c>
      <c r="C1923" s="23" t="s">
        <v>940</v>
      </c>
      <c r="D1923" s="23" t="s">
        <v>230</v>
      </c>
      <c r="G1923" s="23">
        <v>0</v>
      </c>
      <c r="I1923" s="217" t="s">
        <v>2876</v>
      </c>
    </row>
    <row r="1924" spans="1:9">
      <c r="A1924" s="23">
        <v>1924</v>
      </c>
      <c r="B1924" s="84">
        <v>45863</v>
      </c>
      <c r="C1924" s="23" t="s">
        <v>1112</v>
      </c>
      <c r="D1924" s="23" t="s">
        <v>251</v>
      </c>
      <c r="G1924" s="23">
        <v>0</v>
      </c>
      <c r="H1924" s="23" t="s">
        <v>1113</v>
      </c>
      <c r="I1924" s="217" t="s">
        <v>2874</v>
      </c>
    </row>
    <row r="1925" spans="1:9">
      <c r="A1925" s="23">
        <v>1925</v>
      </c>
      <c r="B1925" s="84">
        <v>45863</v>
      </c>
      <c r="C1925" s="23" t="s">
        <v>786</v>
      </c>
      <c r="D1925" s="23" t="s">
        <v>326</v>
      </c>
      <c r="G1925" s="23">
        <v>0</v>
      </c>
      <c r="I1925" s="217" t="s">
        <v>2877</v>
      </c>
    </row>
    <row r="1926" spans="1:9">
      <c r="A1926" s="23">
        <v>1926</v>
      </c>
      <c r="B1926" s="84">
        <v>45863</v>
      </c>
      <c r="C1926" s="23" t="s">
        <v>786</v>
      </c>
      <c r="D1926" s="23" t="s">
        <v>326</v>
      </c>
      <c r="G1926" s="23">
        <v>0.5</v>
      </c>
      <c r="H1926" s="23" t="s">
        <v>407</v>
      </c>
      <c r="I1926" s="217" t="s">
        <v>1236</v>
      </c>
    </row>
    <row r="1927" spans="1:9">
      <c r="A1927" s="23">
        <v>1927</v>
      </c>
      <c r="B1927" s="84">
        <v>45863</v>
      </c>
      <c r="C1927" s="23" t="s">
        <v>220</v>
      </c>
      <c r="D1927" s="23" t="s">
        <v>213</v>
      </c>
      <c r="G1927" s="23">
        <v>0.83</v>
      </c>
      <c r="I1927" s="217" t="s">
        <v>2878</v>
      </c>
    </row>
    <row r="1928" spans="1:9">
      <c r="A1928" s="23">
        <v>1928</v>
      </c>
      <c r="B1928" s="84">
        <v>45863</v>
      </c>
      <c r="C1928" s="23" t="s">
        <v>277</v>
      </c>
      <c r="D1928" s="23" t="s">
        <v>235</v>
      </c>
      <c r="G1928" s="23">
        <v>0</v>
      </c>
      <c r="I1928" s="217" t="s">
        <v>2879</v>
      </c>
    </row>
    <row r="1929" spans="1:9">
      <c r="A1929" s="23">
        <v>1929</v>
      </c>
      <c r="B1929" s="84">
        <v>45863</v>
      </c>
      <c r="C1929" s="23" t="s">
        <v>881</v>
      </c>
      <c r="D1929" s="23" t="s">
        <v>222</v>
      </c>
      <c r="G1929" s="23">
        <v>0.58499999999999996</v>
      </c>
      <c r="I1929" s="217" t="s">
        <v>2880</v>
      </c>
    </row>
    <row r="1930" spans="1:9">
      <c r="A1930" s="23">
        <v>1930</v>
      </c>
      <c r="B1930" s="84">
        <v>45863</v>
      </c>
      <c r="C1930" s="23" t="s">
        <v>1107</v>
      </c>
      <c r="D1930" s="23" t="s">
        <v>216</v>
      </c>
      <c r="G1930" s="23">
        <v>0</v>
      </c>
      <c r="I1930" s="217" t="s">
        <v>2881</v>
      </c>
    </row>
    <row r="1931" spans="1:9">
      <c r="A1931" s="23">
        <v>1931</v>
      </c>
      <c r="B1931" s="84">
        <v>45863</v>
      </c>
      <c r="C1931" s="23" t="s">
        <v>725</v>
      </c>
      <c r="D1931" s="23" t="s">
        <v>326</v>
      </c>
      <c r="G1931" s="23">
        <v>0</v>
      </c>
      <c r="I1931" s="217" t="s">
        <v>2882</v>
      </c>
    </row>
    <row r="1932" spans="1:9">
      <c r="A1932" s="23">
        <v>1932</v>
      </c>
      <c r="B1932" s="84">
        <v>45863</v>
      </c>
      <c r="C1932" s="23" t="s">
        <v>725</v>
      </c>
      <c r="D1932" s="23" t="s">
        <v>326</v>
      </c>
      <c r="G1932" s="23" t="s">
        <v>9</v>
      </c>
      <c r="H1932" s="23" t="s">
        <v>1115</v>
      </c>
      <c r="I1932" s="217" t="s">
        <v>1236</v>
      </c>
    </row>
    <row r="1933" spans="1:9">
      <c r="A1933" s="23">
        <v>1933</v>
      </c>
      <c r="B1933" s="84">
        <v>45863</v>
      </c>
      <c r="C1933" s="23" t="s">
        <v>1103</v>
      </c>
      <c r="D1933" s="23" t="s">
        <v>254</v>
      </c>
      <c r="G1933" s="23">
        <v>0</v>
      </c>
      <c r="I1933" s="217" t="s">
        <v>2883</v>
      </c>
    </row>
    <row r="1934" spans="1:9">
      <c r="A1934" s="23">
        <v>1934</v>
      </c>
      <c r="B1934" s="84">
        <v>45863</v>
      </c>
      <c r="C1934" s="23" t="s">
        <v>516</v>
      </c>
      <c r="D1934" s="23" t="s">
        <v>200</v>
      </c>
      <c r="G1934" s="23">
        <v>0</v>
      </c>
      <c r="I1934" s="217" t="s">
        <v>2884</v>
      </c>
    </row>
    <row r="1935" spans="1:9">
      <c r="A1935" s="23">
        <v>1935</v>
      </c>
      <c r="B1935" s="84">
        <v>45863</v>
      </c>
      <c r="C1935" s="23" t="s">
        <v>399</v>
      </c>
      <c r="D1935" s="23" t="s">
        <v>206</v>
      </c>
      <c r="G1935" s="23">
        <v>0</v>
      </c>
      <c r="I1935" s="217" t="s">
        <v>2885</v>
      </c>
    </row>
    <row r="1936" spans="1:9">
      <c r="A1936" s="23">
        <v>1936</v>
      </c>
      <c r="B1936" s="84">
        <v>45864</v>
      </c>
      <c r="C1936" s="23" t="s">
        <v>638</v>
      </c>
      <c r="D1936" s="23" t="s">
        <v>216</v>
      </c>
      <c r="G1936" s="23">
        <v>0.41499999999999998</v>
      </c>
      <c r="I1936" s="217" t="s">
        <v>2886</v>
      </c>
    </row>
    <row r="1937" spans="1:9">
      <c r="A1937" s="23">
        <v>1937</v>
      </c>
      <c r="B1937" s="84">
        <v>45864</v>
      </c>
      <c r="C1937" s="23" t="s">
        <v>613</v>
      </c>
      <c r="D1937" s="23" t="s">
        <v>219</v>
      </c>
      <c r="G1937" s="23">
        <v>0</v>
      </c>
      <c r="I1937" s="217" t="s">
        <v>2887</v>
      </c>
    </row>
    <row r="1938" spans="1:9">
      <c r="A1938" s="23">
        <v>1938</v>
      </c>
      <c r="B1938" s="84">
        <v>45864</v>
      </c>
      <c r="C1938" s="23" t="s">
        <v>1116</v>
      </c>
      <c r="D1938" s="23" t="s">
        <v>200</v>
      </c>
      <c r="G1938" s="23">
        <v>1.5</v>
      </c>
      <c r="I1938" s="217" t="s">
        <v>2888</v>
      </c>
    </row>
    <row r="1939" spans="1:9">
      <c r="A1939" s="23">
        <v>1939</v>
      </c>
      <c r="B1939" s="84">
        <v>45864</v>
      </c>
      <c r="C1939" s="23" t="s">
        <v>1078</v>
      </c>
      <c r="D1939" s="23" t="s">
        <v>197</v>
      </c>
      <c r="G1939" s="23">
        <v>0</v>
      </c>
      <c r="I1939" s="217" t="s">
        <v>2889</v>
      </c>
    </row>
    <row r="1940" spans="1:9">
      <c r="A1940" s="23">
        <v>1940</v>
      </c>
      <c r="B1940" s="84">
        <v>45864</v>
      </c>
      <c r="C1940" s="23" t="s">
        <v>1114</v>
      </c>
      <c r="D1940" s="23" t="s">
        <v>213</v>
      </c>
      <c r="G1940" s="23">
        <v>0</v>
      </c>
      <c r="H1940" s="23" t="s">
        <v>2890</v>
      </c>
      <c r="I1940" s="217" t="s">
        <v>2891</v>
      </c>
    </row>
    <row r="1941" spans="1:9">
      <c r="A1941" s="23">
        <v>1941</v>
      </c>
      <c r="B1941" s="84">
        <v>45864</v>
      </c>
      <c r="C1941" s="23" t="s">
        <v>597</v>
      </c>
      <c r="D1941" s="23" t="s">
        <v>197</v>
      </c>
      <c r="G1941" s="23">
        <v>1.5</v>
      </c>
      <c r="H1941" s="23" t="s">
        <v>335</v>
      </c>
      <c r="I1941" s="217" t="s">
        <v>2892</v>
      </c>
    </row>
    <row r="1942" spans="1:9">
      <c r="A1942" s="23">
        <v>1942</v>
      </c>
      <c r="B1942" s="84">
        <v>45864</v>
      </c>
      <c r="C1942" s="23" t="s">
        <v>559</v>
      </c>
      <c r="D1942" s="23" t="s">
        <v>235</v>
      </c>
      <c r="G1942" s="23">
        <v>0.7</v>
      </c>
      <c r="I1942" s="217" t="s">
        <v>2893</v>
      </c>
    </row>
    <row r="1943" spans="1:9">
      <c r="A1943" s="23">
        <v>1943</v>
      </c>
      <c r="B1943" s="84">
        <v>45864</v>
      </c>
      <c r="C1943" s="23" t="s">
        <v>236</v>
      </c>
      <c r="D1943" s="23" t="s">
        <v>219</v>
      </c>
      <c r="G1943" s="23">
        <v>0.48</v>
      </c>
      <c r="I1943" s="217" t="s">
        <v>2894</v>
      </c>
    </row>
    <row r="1944" spans="1:9">
      <c r="A1944" s="23">
        <v>1944</v>
      </c>
      <c r="B1944" s="84">
        <v>45864</v>
      </c>
      <c r="C1944" s="23" t="s">
        <v>215</v>
      </c>
      <c r="D1944" s="23" t="s">
        <v>222</v>
      </c>
      <c r="G1944" s="23">
        <v>0</v>
      </c>
      <c r="I1944" s="217" t="s">
        <v>2895</v>
      </c>
    </row>
    <row r="1945" spans="1:9">
      <c r="A1945" s="23">
        <v>1945</v>
      </c>
      <c r="B1945" s="84">
        <v>45864</v>
      </c>
      <c r="C1945" s="23" t="s">
        <v>640</v>
      </c>
      <c r="D1945" s="23" t="s">
        <v>197</v>
      </c>
      <c r="G1945" s="23">
        <v>0</v>
      </c>
      <c r="I1945" s="217" t="s">
        <v>2896</v>
      </c>
    </row>
    <row r="1946" spans="1:9">
      <c r="A1946" s="23">
        <v>1946</v>
      </c>
      <c r="B1946" s="84">
        <v>45864</v>
      </c>
      <c r="C1946" s="23" t="s">
        <v>719</v>
      </c>
      <c r="D1946" s="23" t="s">
        <v>233</v>
      </c>
      <c r="G1946" s="23">
        <v>0.5</v>
      </c>
      <c r="I1946" s="217" t="s">
        <v>2897</v>
      </c>
    </row>
    <row r="1947" spans="1:9">
      <c r="A1947" s="23">
        <v>1947</v>
      </c>
      <c r="B1947" s="84">
        <v>45864</v>
      </c>
      <c r="C1947" s="23" t="s">
        <v>724</v>
      </c>
      <c r="D1947" s="23" t="s">
        <v>197</v>
      </c>
      <c r="G1947" s="23">
        <v>1</v>
      </c>
      <c r="I1947" s="217" t="s">
        <v>2898</v>
      </c>
    </row>
    <row r="1948" spans="1:9">
      <c r="A1948" s="23">
        <v>1948</v>
      </c>
      <c r="B1948" s="84">
        <v>45864</v>
      </c>
      <c r="C1948" s="23" t="s">
        <v>482</v>
      </c>
      <c r="D1948" s="23" t="s">
        <v>240</v>
      </c>
      <c r="G1948" s="23">
        <v>0.8</v>
      </c>
      <c r="I1948" s="217" t="s">
        <v>2899</v>
      </c>
    </row>
    <row r="1949" spans="1:9">
      <c r="A1949" s="23">
        <v>1949</v>
      </c>
      <c r="B1949" s="84">
        <v>45864</v>
      </c>
      <c r="C1949" s="23" t="s">
        <v>375</v>
      </c>
      <c r="D1949" s="23" t="s">
        <v>243</v>
      </c>
      <c r="G1949" s="23">
        <v>0.8</v>
      </c>
      <c r="I1949" s="217" t="s">
        <v>2900</v>
      </c>
    </row>
    <row r="1950" spans="1:9">
      <c r="A1950" s="23">
        <v>1950</v>
      </c>
      <c r="B1950" s="84">
        <v>45864</v>
      </c>
      <c r="C1950" s="23" t="s">
        <v>480</v>
      </c>
      <c r="D1950" s="23" t="s">
        <v>240</v>
      </c>
      <c r="G1950" s="23">
        <v>0</v>
      </c>
      <c r="I1950" s="217" t="s">
        <v>2901</v>
      </c>
    </row>
    <row r="1951" spans="1:9">
      <c r="A1951" s="23">
        <v>1951</v>
      </c>
      <c r="B1951" s="84">
        <v>45864</v>
      </c>
      <c r="C1951" s="23" t="s">
        <v>486</v>
      </c>
      <c r="D1951" s="23" t="s">
        <v>243</v>
      </c>
      <c r="G1951" s="23">
        <v>0</v>
      </c>
      <c r="I1951" s="217" t="s">
        <v>2902</v>
      </c>
    </row>
    <row r="1952" spans="1:9">
      <c r="A1952" s="23">
        <v>1952</v>
      </c>
      <c r="B1952" s="84">
        <v>45864</v>
      </c>
      <c r="C1952" s="23" t="s">
        <v>966</v>
      </c>
      <c r="D1952" s="23" t="s">
        <v>246</v>
      </c>
      <c r="G1952" s="23">
        <v>0.75</v>
      </c>
      <c r="I1952" s="217" t="s">
        <v>2903</v>
      </c>
    </row>
    <row r="1953" spans="1:9">
      <c r="A1953" s="23">
        <v>1953</v>
      </c>
      <c r="B1953" s="84">
        <v>45864</v>
      </c>
      <c r="C1953" s="23" t="s">
        <v>317</v>
      </c>
      <c r="D1953" s="23" t="s">
        <v>251</v>
      </c>
      <c r="G1953" s="23">
        <v>2.8</v>
      </c>
      <c r="I1953" s="217" t="s">
        <v>2904</v>
      </c>
    </row>
    <row r="1954" spans="1:9">
      <c r="A1954" s="23">
        <v>1954</v>
      </c>
      <c r="B1954" s="84">
        <v>45864</v>
      </c>
      <c r="C1954" s="23" t="s">
        <v>1119</v>
      </c>
      <c r="D1954" s="23" t="s">
        <v>246</v>
      </c>
      <c r="G1954" s="23">
        <v>0</v>
      </c>
      <c r="I1954" s="217" t="s">
        <v>2903</v>
      </c>
    </row>
    <row r="1955" spans="1:9">
      <c r="A1955" s="23">
        <v>1955</v>
      </c>
      <c r="B1955" s="84">
        <v>45864</v>
      </c>
      <c r="C1955" s="23" t="s">
        <v>322</v>
      </c>
      <c r="D1955" s="23" t="s">
        <v>227</v>
      </c>
      <c r="G1955" s="23">
        <v>0.75</v>
      </c>
      <c r="I1955" s="217" t="s">
        <v>2905</v>
      </c>
    </row>
    <row r="1956" spans="1:9">
      <c r="A1956" s="23">
        <v>1956</v>
      </c>
      <c r="B1956" s="84">
        <v>45864</v>
      </c>
      <c r="C1956" s="23" t="s">
        <v>1023</v>
      </c>
      <c r="D1956" s="23" t="s">
        <v>230</v>
      </c>
      <c r="G1956" s="23">
        <v>0.75</v>
      </c>
      <c r="I1956" s="217" t="s">
        <v>2906</v>
      </c>
    </row>
    <row r="1957" spans="1:9">
      <c r="A1957" s="23">
        <v>1957</v>
      </c>
      <c r="B1957" s="84">
        <v>45864</v>
      </c>
      <c r="C1957" s="23" t="s">
        <v>591</v>
      </c>
      <c r="D1957" s="23" t="s">
        <v>240</v>
      </c>
      <c r="G1957" s="23">
        <v>0.75</v>
      </c>
      <c r="I1957" s="217" t="s">
        <v>2907</v>
      </c>
    </row>
    <row r="1958" spans="1:9">
      <c r="A1958" s="23">
        <v>1958</v>
      </c>
      <c r="B1958" s="84">
        <v>45864</v>
      </c>
      <c r="C1958" s="23" t="s">
        <v>591</v>
      </c>
      <c r="D1958" s="23" t="s">
        <v>243</v>
      </c>
      <c r="G1958" s="23">
        <v>0.75</v>
      </c>
      <c r="I1958" s="217" t="s">
        <v>2908</v>
      </c>
    </row>
    <row r="1959" spans="1:9">
      <c r="A1959" s="23">
        <v>1959</v>
      </c>
      <c r="B1959" s="84">
        <v>45864</v>
      </c>
      <c r="C1959" s="23" t="s">
        <v>217</v>
      </c>
      <c r="D1959" s="23" t="s">
        <v>222</v>
      </c>
      <c r="G1959" s="23">
        <v>0.62</v>
      </c>
      <c r="I1959" s="217" t="s">
        <v>2909</v>
      </c>
    </row>
    <row r="1960" spans="1:9">
      <c r="A1960" s="23">
        <v>1960</v>
      </c>
      <c r="B1960" s="84">
        <v>45864</v>
      </c>
      <c r="C1960" s="23" t="s">
        <v>367</v>
      </c>
      <c r="D1960" s="23" t="s">
        <v>216</v>
      </c>
      <c r="G1960" s="23">
        <v>0</v>
      </c>
      <c r="I1960" s="217" t="s">
        <v>2910</v>
      </c>
    </row>
    <row r="1961" spans="1:9">
      <c r="A1961" s="23">
        <v>1961</v>
      </c>
      <c r="B1961" s="84">
        <v>45864</v>
      </c>
      <c r="C1961" s="23" t="s">
        <v>734</v>
      </c>
      <c r="D1961" s="23" t="s">
        <v>227</v>
      </c>
      <c r="G1961" s="23">
        <v>0</v>
      </c>
      <c r="I1961" s="217" t="s">
        <v>2911</v>
      </c>
    </row>
    <row r="1962" spans="1:9">
      <c r="A1962" s="23">
        <v>1962</v>
      </c>
      <c r="B1962" s="84">
        <v>45864</v>
      </c>
      <c r="C1962" s="23" t="s">
        <v>1109</v>
      </c>
      <c r="D1962" s="23" t="s">
        <v>230</v>
      </c>
      <c r="G1962" s="23">
        <v>0</v>
      </c>
      <c r="I1962" s="217" t="s">
        <v>2906</v>
      </c>
    </row>
    <row r="1963" spans="1:9">
      <c r="A1963" s="23">
        <v>1963</v>
      </c>
      <c r="B1963" s="84">
        <v>45864</v>
      </c>
      <c r="C1963" s="23" t="s">
        <v>577</v>
      </c>
      <c r="D1963" s="23" t="s">
        <v>240</v>
      </c>
      <c r="G1963" s="23">
        <v>0</v>
      </c>
      <c r="I1963" s="217" t="s">
        <v>2907</v>
      </c>
    </row>
    <row r="1964" spans="1:9">
      <c r="A1964" s="23">
        <v>1964</v>
      </c>
      <c r="B1964" s="84">
        <v>45864</v>
      </c>
      <c r="C1964" s="23" t="s">
        <v>718</v>
      </c>
      <c r="D1964" s="23" t="s">
        <v>240</v>
      </c>
      <c r="G1964" s="23">
        <v>0.7</v>
      </c>
      <c r="I1964" s="217" t="s">
        <v>1236</v>
      </c>
    </row>
    <row r="1965" spans="1:9">
      <c r="A1965" s="23">
        <v>1965</v>
      </c>
      <c r="B1965" s="84">
        <v>45864</v>
      </c>
      <c r="C1965" s="23" t="s">
        <v>1110</v>
      </c>
      <c r="D1965" s="23" t="s">
        <v>246</v>
      </c>
      <c r="G1965" s="23">
        <v>0.75</v>
      </c>
      <c r="I1965" s="217" t="s">
        <v>2912</v>
      </c>
    </row>
    <row r="1966" spans="1:9">
      <c r="A1966" s="23">
        <v>1966</v>
      </c>
      <c r="B1966" s="84">
        <v>45864</v>
      </c>
      <c r="C1966" s="23" t="s">
        <v>887</v>
      </c>
      <c r="D1966" s="23" t="s">
        <v>240</v>
      </c>
      <c r="G1966" s="23">
        <v>0</v>
      </c>
      <c r="I1966" s="217" t="s">
        <v>2913</v>
      </c>
    </row>
    <row r="1967" spans="1:9">
      <c r="A1967" s="23">
        <v>1967</v>
      </c>
      <c r="B1967" s="84">
        <v>45864</v>
      </c>
      <c r="C1967" s="23" t="s">
        <v>184</v>
      </c>
      <c r="D1967" s="23" t="s">
        <v>227</v>
      </c>
      <c r="G1967" s="23">
        <v>0.75</v>
      </c>
      <c r="I1967" s="217" t="s">
        <v>2914</v>
      </c>
    </row>
    <row r="1968" spans="1:9">
      <c r="A1968" s="23">
        <v>1968</v>
      </c>
      <c r="B1968" s="84">
        <v>45864</v>
      </c>
      <c r="C1968" s="23" t="s">
        <v>697</v>
      </c>
      <c r="D1968" s="23" t="s">
        <v>243</v>
      </c>
      <c r="G1968" s="23">
        <v>0</v>
      </c>
      <c r="I1968" s="217" t="s">
        <v>2915</v>
      </c>
    </row>
    <row r="1969" spans="1:9">
      <c r="A1969" s="23">
        <v>1969</v>
      </c>
      <c r="B1969" s="84">
        <v>45864</v>
      </c>
      <c r="C1969" s="23" t="s">
        <v>971</v>
      </c>
      <c r="D1969" s="23" t="s">
        <v>206</v>
      </c>
      <c r="G1969" s="23">
        <v>1</v>
      </c>
      <c r="I1969" s="217" t="s">
        <v>2916</v>
      </c>
    </row>
    <row r="1970" spans="1:9">
      <c r="A1970" s="23">
        <v>1970</v>
      </c>
      <c r="B1970" s="84">
        <v>45864</v>
      </c>
      <c r="C1970" s="23" t="s">
        <v>696</v>
      </c>
      <c r="D1970" s="23" t="s">
        <v>246</v>
      </c>
      <c r="G1970" s="23">
        <v>0</v>
      </c>
      <c r="I1970" s="217" t="s">
        <v>2917</v>
      </c>
    </row>
    <row r="1971" spans="1:9">
      <c r="A1971" s="23">
        <v>1971</v>
      </c>
      <c r="B1971" s="84">
        <v>45864</v>
      </c>
      <c r="C1971" s="23" t="s">
        <v>1118</v>
      </c>
      <c r="D1971" s="23" t="s">
        <v>233</v>
      </c>
      <c r="G1971" s="23">
        <v>0</v>
      </c>
      <c r="I1971" s="217" t="s">
        <v>2918</v>
      </c>
    </row>
    <row r="1972" spans="1:9">
      <c r="A1972" s="23">
        <v>1972</v>
      </c>
      <c r="B1972" s="84">
        <v>45864</v>
      </c>
      <c r="C1972" s="23" t="s">
        <v>1122</v>
      </c>
      <c r="D1972" s="23" t="s">
        <v>230</v>
      </c>
      <c r="G1972" s="23">
        <v>0.8</v>
      </c>
      <c r="I1972" s="217" t="s">
        <v>2919</v>
      </c>
    </row>
    <row r="1973" spans="1:9">
      <c r="A1973" s="23">
        <v>1973</v>
      </c>
      <c r="B1973" s="84">
        <v>45864</v>
      </c>
      <c r="C1973" s="23" t="s">
        <v>995</v>
      </c>
      <c r="D1973" s="23" t="s">
        <v>240</v>
      </c>
      <c r="G1973" s="23">
        <v>0.8</v>
      </c>
      <c r="I1973" s="217" t="s">
        <v>2920</v>
      </c>
    </row>
    <row r="1974" spans="1:9">
      <c r="A1974" s="23">
        <v>1974</v>
      </c>
      <c r="B1974" s="84">
        <v>45864</v>
      </c>
      <c r="C1974" s="23" t="s">
        <v>997</v>
      </c>
      <c r="D1974" s="23" t="s">
        <v>243</v>
      </c>
      <c r="G1974" s="23">
        <v>0.8</v>
      </c>
      <c r="I1974" s="217" t="s">
        <v>2921</v>
      </c>
    </row>
    <row r="1975" spans="1:9">
      <c r="A1975" s="23">
        <v>1975</v>
      </c>
      <c r="B1975" s="84">
        <v>45864</v>
      </c>
      <c r="C1975" s="23" t="s">
        <v>390</v>
      </c>
      <c r="D1975" s="23" t="s">
        <v>240</v>
      </c>
      <c r="G1975" s="23">
        <v>0</v>
      </c>
      <c r="I1975" s="217" t="s">
        <v>2922</v>
      </c>
    </row>
    <row r="1976" spans="1:9">
      <c r="A1976" s="23">
        <v>1976</v>
      </c>
      <c r="B1976" s="84">
        <v>45864</v>
      </c>
      <c r="C1976" s="23" t="s">
        <v>736</v>
      </c>
      <c r="D1976" s="23" t="s">
        <v>227</v>
      </c>
      <c r="G1976" s="23">
        <v>0</v>
      </c>
      <c r="I1976" s="217" t="s">
        <v>2923</v>
      </c>
    </row>
    <row r="1977" spans="1:9">
      <c r="A1977" s="23">
        <v>1977</v>
      </c>
      <c r="B1977" s="84">
        <v>45864</v>
      </c>
      <c r="C1977" s="23" t="s">
        <v>757</v>
      </c>
      <c r="D1977" s="23" t="s">
        <v>230</v>
      </c>
      <c r="G1977" s="23">
        <v>0</v>
      </c>
      <c r="I1977" s="217" t="s">
        <v>2924</v>
      </c>
    </row>
    <row r="1978" spans="1:9">
      <c r="A1978" s="23">
        <v>1978</v>
      </c>
      <c r="B1978" s="84">
        <v>45864</v>
      </c>
      <c r="C1978" s="23" t="s">
        <v>269</v>
      </c>
      <c r="D1978" s="23" t="s">
        <v>243</v>
      </c>
      <c r="G1978" s="23">
        <v>0</v>
      </c>
      <c r="I1978" s="217" t="s">
        <v>2925</v>
      </c>
    </row>
    <row r="1979" spans="1:9">
      <c r="A1979" s="23">
        <v>1979</v>
      </c>
      <c r="B1979" s="84">
        <v>45864</v>
      </c>
      <c r="C1979" s="23" t="s">
        <v>973</v>
      </c>
      <c r="D1979" s="23" t="s">
        <v>240</v>
      </c>
      <c r="G1979" s="23">
        <v>0.8</v>
      </c>
      <c r="I1979" s="217" t="s">
        <v>2926</v>
      </c>
    </row>
    <row r="1980" spans="1:9">
      <c r="A1980" s="23">
        <v>1980</v>
      </c>
      <c r="B1980" s="84">
        <v>45864</v>
      </c>
      <c r="C1980" s="23" t="s">
        <v>973</v>
      </c>
      <c r="D1980" s="23" t="s">
        <v>227</v>
      </c>
      <c r="G1980" s="23">
        <v>0.8</v>
      </c>
      <c r="I1980" s="217" t="s">
        <v>2927</v>
      </c>
    </row>
    <row r="1981" spans="1:9">
      <c r="A1981" s="23">
        <v>1981</v>
      </c>
      <c r="B1981" s="84">
        <v>45864</v>
      </c>
      <c r="C1981" s="23" t="s">
        <v>973</v>
      </c>
      <c r="D1981" s="23" t="s">
        <v>243</v>
      </c>
      <c r="G1981" s="23">
        <v>0.8</v>
      </c>
      <c r="I1981" s="217" t="s">
        <v>2928</v>
      </c>
    </row>
    <row r="1982" spans="1:9">
      <c r="A1982" s="23">
        <v>1982</v>
      </c>
      <c r="B1982" s="84">
        <v>45864</v>
      </c>
      <c r="C1982" s="23" t="s">
        <v>973</v>
      </c>
      <c r="D1982" s="23" t="s">
        <v>230</v>
      </c>
      <c r="G1982" s="23">
        <v>0.8</v>
      </c>
      <c r="I1982" s="217" t="s">
        <v>2929</v>
      </c>
    </row>
    <row r="1983" spans="1:9">
      <c r="A1983" s="23">
        <v>1983</v>
      </c>
      <c r="B1983" s="84">
        <v>45864</v>
      </c>
      <c r="C1983" s="23" t="s">
        <v>973</v>
      </c>
      <c r="D1983" s="23" t="s">
        <v>246</v>
      </c>
      <c r="G1983" s="23">
        <v>0.8</v>
      </c>
      <c r="I1983" s="217" t="s">
        <v>2930</v>
      </c>
    </row>
    <row r="1984" spans="1:9">
      <c r="A1984" s="23">
        <v>1984</v>
      </c>
      <c r="B1984" s="84">
        <v>45864</v>
      </c>
      <c r="C1984" s="23" t="s">
        <v>1090</v>
      </c>
      <c r="D1984" s="23" t="s">
        <v>297</v>
      </c>
      <c r="G1984" s="23">
        <v>0.8</v>
      </c>
      <c r="I1984" s="217" t="s">
        <v>2931</v>
      </c>
    </row>
    <row r="1985" spans="1:9">
      <c r="A1985" s="23">
        <v>1985</v>
      </c>
      <c r="B1985" s="84">
        <v>45864</v>
      </c>
      <c r="C1985" s="23" t="s">
        <v>907</v>
      </c>
      <c r="D1985" s="23" t="s">
        <v>203</v>
      </c>
      <c r="G1985" s="23">
        <v>0</v>
      </c>
      <c r="I1985" s="217" t="s">
        <v>2932</v>
      </c>
    </row>
    <row r="1986" spans="1:9">
      <c r="A1986" s="23">
        <v>1986</v>
      </c>
      <c r="B1986" s="84">
        <v>45864</v>
      </c>
      <c r="C1986" s="23" t="s">
        <v>907</v>
      </c>
      <c r="D1986" s="23" t="s">
        <v>203</v>
      </c>
      <c r="G1986" s="23" t="s">
        <v>9</v>
      </c>
      <c r="H1986" s="23" t="s">
        <v>2933</v>
      </c>
      <c r="I1986" s="217" t="s">
        <v>1236</v>
      </c>
    </row>
    <row r="1987" spans="1:9">
      <c r="A1987" s="23">
        <v>1987</v>
      </c>
      <c r="B1987" s="84">
        <v>45864</v>
      </c>
      <c r="C1987" s="23" t="s">
        <v>1125</v>
      </c>
      <c r="D1987" s="23" t="s">
        <v>254</v>
      </c>
      <c r="G1987" s="23">
        <v>3</v>
      </c>
      <c r="I1987" s="217" t="s">
        <v>2934</v>
      </c>
    </row>
    <row r="1988" spans="1:9">
      <c r="A1988" s="23">
        <v>1988</v>
      </c>
      <c r="B1988" s="84">
        <v>45864</v>
      </c>
      <c r="C1988" s="23" t="s">
        <v>1120</v>
      </c>
      <c r="D1988" s="23" t="s">
        <v>251</v>
      </c>
      <c r="G1988" s="23">
        <v>0</v>
      </c>
      <c r="I1988" s="217" t="s">
        <v>2935</v>
      </c>
    </row>
    <row r="1989" spans="1:9">
      <c r="A1989" s="23">
        <v>1989</v>
      </c>
      <c r="B1989" s="84">
        <v>45864</v>
      </c>
      <c r="C1989" s="23" t="s">
        <v>1120</v>
      </c>
      <c r="D1989" s="23" t="s">
        <v>251</v>
      </c>
      <c r="G1989" s="23" t="s">
        <v>9</v>
      </c>
      <c r="H1989" s="23" t="s">
        <v>2936</v>
      </c>
      <c r="I1989" s="217" t="s">
        <v>1236</v>
      </c>
    </row>
    <row r="1990" spans="1:9">
      <c r="A1990" s="23">
        <v>1990</v>
      </c>
      <c r="B1990" s="84">
        <v>45864</v>
      </c>
      <c r="C1990" s="23" t="s">
        <v>1107</v>
      </c>
      <c r="D1990" s="23" t="s">
        <v>312</v>
      </c>
      <c r="G1990" s="23">
        <v>2.7</v>
      </c>
      <c r="I1990" s="217" t="s">
        <v>2937</v>
      </c>
    </row>
    <row r="1991" spans="1:9">
      <c r="A1991" s="23">
        <v>1991</v>
      </c>
      <c r="B1991" s="84">
        <v>45864</v>
      </c>
      <c r="C1991" s="23" t="s">
        <v>797</v>
      </c>
      <c r="D1991" s="23" t="s">
        <v>203</v>
      </c>
      <c r="G1991" s="23">
        <v>6.7</v>
      </c>
      <c r="I1991" s="217" t="s">
        <v>2938</v>
      </c>
    </row>
    <row r="1992" spans="1:9">
      <c r="A1992" s="23">
        <v>1992</v>
      </c>
      <c r="B1992" s="84">
        <v>45864</v>
      </c>
      <c r="C1992" s="23" t="s">
        <v>1124</v>
      </c>
      <c r="D1992" s="23" t="s">
        <v>246</v>
      </c>
      <c r="G1992" s="23">
        <v>0</v>
      </c>
      <c r="I1992" s="217" t="s">
        <v>2939</v>
      </c>
    </row>
    <row r="1993" spans="1:9">
      <c r="A1993" s="23">
        <v>1993</v>
      </c>
      <c r="B1993" s="84">
        <v>45864</v>
      </c>
      <c r="C1993" s="23" t="s">
        <v>586</v>
      </c>
      <c r="D1993" s="23" t="s">
        <v>240</v>
      </c>
      <c r="G1993" s="23">
        <v>0</v>
      </c>
      <c r="I1993" s="217" t="s">
        <v>2940</v>
      </c>
    </row>
    <row r="1994" spans="1:9">
      <c r="A1994" s="23">
        <v>1994</v>
      </c>
      <c r="B1994" s="84">
        <v>45864</v>
      </c>
      <c r="C1994" s="23" t="s">
        <v>515</v>
      </c>
      <c r="D1994" s="23" t="s">
        <v>243</v>
      </c>
      <c r="G1994" s="23">
        <v>0</v>
      </c>
      <c r="I1994" s="217" t="s">
        <v>2941</v>
      </c>
    </row>
    <row r="1995" spans="1:9">
      <c r="A1995" s="23">
        <v>1995</v>
      </c>
      <c r="B1995" s="84">
        <v>45864</v>
      </c>
      <c r="C1995" s="23" t="s">
        <v>220</v>
      </c>
      <c r="D1995" s="23" t="s">
        <v>213</v>
      </c>
      <c r="G1995" s="23">
        <v>0.81</v>
      </c>
      <c r="I1995" s="217" t="s">
        <v>2942</v>
      </c>
    </row>
    <row r="1996" spans="1:9">
      <c r="A1996" s="23">
        <v>1996</v>
      </c>
      <c r="B1996" s="84">
        <v>45864</v>
      </c>
      <c r="C1996" s="23" t="s">
        <v>277</v>
      </c>
      <c r="D1996" s="23" t="s">
        <v>235</v>
      </c>
      <c r="G1996" s="23">
        <v>0</v>
      </c>
      <c r="I1996" s="217" t="s">
        <v>2943</v>
      </c>
    </row>
    <row r="1997" spans="1:9">
      <c r="A1997" s="23">
        <v>1997</v>
      </c>
      <c r="B1997" s="84">
        <v>45864</v>
      </c>
      <c r="C1997" s="23" t="s">
        <v>220</v>
      </c>
      <c r="D1997" s="23" t="s">
        <v>216</v>
      </c>
      <c r="G1997" s="23">
        <v>0.70499999999999996</v>
      </c>
      <c r="I1997" s="217" t="s">
        <v>2944</v>
      </c>
    </row>
    <row r="1998" spans="1:9">
      <c r="A1998" s="23">
        <v>1998</v>
      </c>
      <c r="B1998" s="84">
        <v>45864</v>
      </c>
      <c r="C1998" s="23" t="s">
        <v>277</v>
      </c>
      <c r="D1998" s="23" t="s">
        <v>219</v>
      </c>
      <c r="G1998" s="23">
        <v>0</v>
      </c>
      <c r="I1998" s="217" t="s">
        <v>2945</v>
      </c>
    </row>
    <row r="1999" spans="1:9">
      <c r="A1999" s="23">
        <v>1999</v>
      </c>
      <c r="B1999" s="84">
        <v>45864</v>
      </c>
      <c r="C1999" s="23" t="s">
        <v>1123</v>
      </c>
      <c r="D1999" s="23" t="s">
        <v>227</v>
      </c>
      <c r="G1999" s="23">
        <v>0</v>
      </c>
      <c r="I1999" s="217" t="s">
        <v>2946</v>
      </c>
    </row>
    <row r="2000" spans="1:9">
      <c r="A2000" s="23">
        <v>2000</v>
      </c>
      <c r="B2000" s="84">
        <v>45864</v>
      </c>
      <c r="C2000" s="23" t="s">
        <v>975</v>
      </c>
      <c r="D2000" s="23" t="s">
        <v>297</v>
      </c>
      <c r="G2000" s="23">
        <v>0</v>
      </c>
      <c r="I2000" s="217" t="s">
        <v>2947</v>
      </c>
    </row>
    <row r="2001" spans="1:9">
      <c r="A2001" s="23">
        <v>2001</v>
      </c>
      <c r="B2001" s="84">
        <v>45864</v>
      </c>
      <c r="C2001" s="23" t="s">
        <v>521</v>
      </c>
      <c r="D2001" s="23" t="s">
        <v>230</v>
      </c>
      <c r="G2001" s="23">
        <v>0</v>
      </c>
      <c r="I2001" s="217" t="s">
        <v>2948</v>
      </c>
    </row>
    <row r="2002" spans="1:9">
      <c r="A2002" s="23">
        <v>2002</v>
      </c>
      <c r="B2002" s="84">
        <v>45864</v>
      </c>
      <c r="C2002" s="23" t="s">
        <v>1126</v>
      </c>
      <c r="D2002" s="23" t="s">
        <v>312</v>
      </c>
      <c r="G2002" s="23">
        <v>0</v>
      </c>
      <c r="I2002" s="217" t="s">
        <v>2949</v>
      </c>
    </row>
    <row r="2003" spans="1:9">
      <c r="A2003" s="23">
        <v>2003</v>
      </c>
      <c r="B2003" s="84">
        <v>45864</v>
      </c>
      <c r="C2003" s="23" t="s">
        <v>735</v>
      </c>
      <c r="D2003" s="23" t="s">
        <v>254</v>
      </c>
      <c r="G2003" s="23">
        <v>0</v>
      </c>
      <c r="I2003" s="217" t="s">
        <v>2950</v>
      </c>
    </row>
    <row r="2004" spans="1:9">
      <c r="A2004" s="23">
        <v>2004</v>
      </c>
      <c r="B2004" s="84">
        <v>45864</v>
      </c>
      <c r="C2004" s="23" t="s">
        <v>1127</v>
      </c>
      <c r="D2004" s="23" t="s">
        <v>240</v>
      </c>
      <c r="G2004" s="23">
        <v>0.8</v>
      </c>
      <c r="I2004" s="217" t="s">
        <v>2951</v>
      </c>
    </row>
    <row r="2005" spans="1:9">
      <c r="A2005" s="23">
        <v>2005</v>
      </c>
      <c r="B2005" s="84">
        <v>45864</v>
      </c>
      <c r="C2005" s="23" t="s">
        <v>1127</v>
      </c>
      <c r="D2005" s="23" t="s">
        <v>243</v>
      </c>
      <c r="G2005" s="23">
        <v>0.8</v>
      </c>
      <c r="I2005" s="217" t="s">
        <v>2952</v>
      </c>
    </row>
    <row r="2006" spans="1:9">
      <c r="A2006" s="23">
        <v>2006</v>
      </c>
      <c r="B2006" s="84">
        <v>45864</v>
      </c>
      <c r="C2006" s="23" t="s">
        <v>710</v>
      </c>
      <c r="D2006" s="23" t="s">
        <v>197</v>
      </c>
      <c r="G2006" s="23">
        <v>0</v>
      </c>
      <c r="I2006" s="217" t="s">
        <v>2953</v>
      </c>
    </row>
    <row r="2007" spans="1:9">
      <c r="A2007" s="23">
        <v>2007</v>
      </c>
      <c r="B2007" s="84">
        <v>45864</v>
      </c>
      <c r="C2007" s="23" t="s">
        <v>1128</v>
      </c>
      <c r="D2007" s="23" t="s">
        <v>240</v>
      </c>
      <c r="G2007" s="23">
        <v>0</v>
      </c>
      <c r="I2007" s="217" t="s">
        <v>2951</v>
      </c>
    </row>
    <row r="2008" spans="1:9">
      <c r="A2008" s="23">
        <v>2008</v>
      </c>
      <c r="B2008" s="84">
        <v>45864</v>
      </c>
      <c r="C2008" s="23" t="s">
        <v>1129</v>
      </c>
      <c r="D2008" s="23" t="s">
        <v>243</v>
      </c>
      <c r="G2008" s="23">
        <v>0</v>
      </c>
      <c r="I2008" s="217" t="s">
        <v>2952</v>
      </c>
    </row>
    <row r="2009" spans="1:9">
      <c r="A2009" s="23">
        <v>2009</v>
      </c>
      <c r="B2009" s="84">
        <v>45864</v>
      </c>
      <c r="C2009" s="23" t="s">
        <v>962</v>
      </c>
      <c r="D2009" s="23" t="s">
        <v>251</v>
      </c>
      <c r="G2009" s="23" t="s">
        <v>9</v>
      </c>
      <c r="I2009" s="217" t="s">
        <v>2954</v>
      </c>
    </row>
    <row r="2010" spans="1:9">
      <c r="A2010" s="23">
        <v>2010</v>
      </c>
      <c r="B2010" s="84">
        <v>45865</v>
      </c>
      <c r="C2010" s="23" t="s">
        <v>223</v>
      </c>
      <c r="D2010" s="23" t="s">
        <v>219</v>
      </c>
      <c r="G2010" s="23">
        <v>0.5</v>
      </c>
      <c r="I2010" s="217" t="s">
        <v>2955</v>
      </c>
    </row>
    <row r="2011" spans="1:9">
      <c r="A2011" s="23">
        <v>2011</v>
      </c>
      <c r="B2011" s="84">
        <v>45865</v>
      </c>
      <c r="C2011" s="23" t="s">
        <v>218</v>
      </c>
      <c r="D2011" s="23" t="s">
        <v>222</v>
      </c>
      <c r="G2011" s="23">
        <v>0</v>
      </c>
      <c r="I2011" s="217" t="s">
        <v>2956</v>
      </c>
    </row>
    <row r="2012" spans="1:9">
      <c r="A2012" s="23">
        <v>2012</v>
      </c>
      <c r="B2012" s="84">
        <v>45865</v>
      </c>
      <c r="C2012" s="23" t="s">
        <v>1121</v>
      </c>
      <c r="D2012" s="23" t="s">
        <v>206</v>
      </c>
      <c r="G2012" s="23">
        <v>0</v>
      </c>
      <c r="I2012" s="217" t="s">
        <v>2957</v>
      </c>
    </row>
    <row r="2013" spans="1:9">
      <c r="A2013" s="23">
        <v>2013</v>
      </c>
      <c r="B2013" s="84">
        <v>45865</v>
      </c>
      <c r="C2013" s="23" t="s">
        <v>746</v>
      </c>
      <c r="D2013" s="23" t="s">
        <v>222</v>
      </c>
      <c r="G2013" s="23">
        <v>0.44500000000000001</v>
      </c>
      <c r="I2013" s="217" t="s">
        <v>2958</v>
      </c>
    </row>
    <row r="2014" spans="1:9">
      <c r="A2014" s="23">
        <v>2014</v>
      </c>
      <c r="B2014" s="84">
        <v>45865</v>
      </c>
      <c r="C2014" s="23" t="s">
        <v>742</v>
      </c>
      <c r="D2014" s="23" t="s">
        <v>216</v>
      </c>
      <c r="G2014" s="23">
        <v>0</v>
      </c>
      <c r="I2014" s="217" t="s">
        <v>2959</v>
      </c>
    </row>
    <row r="2015" spans="1:9">
      <c r="A2015" s="23">
        <v>2015</v>
      </c>
      <c r="B2015" s="84">
        <v>45865</v>
      </c>
      <c r="C2015" s="23" t="s">
        <v>340</v>
      </c>
      <c r="D2015" s="23" t="s">
        <v>235</v>
      </c>
      <c r="G2015" s="23">
        <v>0.71</v>
      </c>
      <c r="I2015" s="217" t="s">
        <v>2960</v>
      </c>
    </row>
    <row r="2016" spans="1:9">
      <c r="A2016" s="23">
        <v>2016</v>
      </c>
      <c r="B2016" s="84">
        <v>45865</v>
      </c>
      <c r="C2016" s="23" t="s">
        <v>353</v>
      </c>
      <c r="D2016" s="23" t="s">
        <v>213</v>
      </c>
      <c r="G2016" s="23">
        <v>0</v>
      </c>
      <c r="I2016" s="217" t="s">
        <v>2961</v>
      </c>
    </row>
    <row r="2017" spans="1:9">
      <c r="A2017" s="23">
        <v>2017</v>
      </c>
      <c r="B2017" s="84">
        <v>45865</v>
      </c>
      <c r="C2017" s="23" t="s">
        <v>286</v>
      </c>
      <c r="D2017" s="23" t="s">
        <v>197</v>
      </c>
      <c r="G2017" s="23" t="s">
        <v>9</v>
      </c>
      <c r="H2017" s="23" t="s">
        <v>1130</v>
      </c>
      <c r="I2017" s="217" t="s">
        <v>2962</v>
      </c>
    </row>
    <row r="2018" spans="1:9">
      <c r="A2018" s="23">
        <v>2018</v>
      </c>
      <c r="B2018" s="84">
        <v>45865</v>
      </c>
      <c r="C2018" s="23" t="s">
        <v>749</v>
      </c>
      <c r="D2018" s="23" t="s">
        <v>243</v>
      </c>
      <c r="G2018" s="23">
        <v>0.75</v>
      </c>
      <c r="I2018" s="217" t="s">
        <v>2963</v>
      </c>
    </row>
    <row r="2019" spans="1:9">
      <c r="A2019" s="23">
        <v>2019</v>
      </c>
      <c r="B2019" s="84">
        <v>45865</v>
      </c>
      <c r="C2019" s="23" t="s">
        <v>749</v>
      </c>
      <c r="D2019" s="23" t="s">
        <v>240</v>
      </c>
      <c r="G2019" s="23">
        <v>0.75</v>
      </c>
      <c r="I2019" s="217" t="s">
        <v>2964</v>
      </c>
    </row>
    <row r="2020" spans="1:9">
      <c r="A2020" s="23">
        <v>2020</v>
      </c>
      <c r="B2020" s="84">
        <v>45865</v>
      </c>
      <c r="C2020" s="23" t="s">
        <v>822</v>
      </c>
      <c r="D2020" s="23" t="s">
        <v>246</v>
      </c>
      <c r="G2020" s="23">
        <v>0.75</v>
      </c>
      <c r="I2020" s="217" t="s">
        <v>2965</v>
      </c>
    </row>
    <row r="2021" spans="1:9">
      <c r="A2021" s="23">
        <v>2021</v>
      </c>
      <c r="B2021" s="84">
        <v>45865</v>
      </c>
      <c r="C2021" s="23" t="s">
        <v>369</v>
      </c>
      <c r="D2021" s="23" t="s">
        <v>233</v>
      </c>
      <c r="G2021" s="23">
        <v>3.8</v>
      </c>
      <c r="I2021" s="217" t="s">
        <v>2966</v>
      </c>
    </row>
    <row r="2022" spans="1:9">
      <c r="A2022" s="23">
        <v>2022</v>
      </c>
      <c r="B2022" s="84">
        <v>45865</v>
      </c>
      <c r="C2022" s="23" t="s">
        <v>926</v>
      </c>
      <c r="D2022" s="23" t="s">
        <v>240</v>
      </c>
      <c r="G2022" s="23">
        <v>0</v>
      </c>
      <c r="I2022" s="217" t="s">
        <v>2964</v>
      </c>
    </row>
    <row r="2023" spans="1:9">
      <c r="A2023" s="23">
        <v>2023</v>
      </c>
      <c r="B2023" s="84">
        <v>45865</v>
      </c>
      <c r="C2023" s="23" t="s">
        <v>571</v>
      </c>
      <c r="D2023" s="23" t="s">
        <v>243</v>
      </c>
      <c r="G2023" s="23">
        <v>0</v>
      </c>
      <c r="I2023" s="217" t="s">
        <v>2963</v>
      </c>
    </row>
    <row r="2024" spans="1:9">
      <c r="A2024" s="23">
        <v>2024</v>
      </c>
      <c r="B2024" s="84">
        <v>45865</v>
      </c>
      <c r="C2024" s="23" t="s">
        <v>482</v>
      </c>
      <c r="D2024" s="23" t="s">
        <v>254</v>
      </c>
      <c r="G2024" s="23">
        <v>2</v>
      </c>
      <c r="I2024" s="217" t="s">
        <v>2967</v>
      </c>
    </row>
    <row r="2025" spans="1:9">
      <c r="A2025" s="23">
        <v>2025</v>
      </c>
      <c r="B2025" s="84">
        <v>45865</v>
      </c>
      <c r="C2025" s="23" t="s">
        <v>1131</v>
      </c>
      <c r="D2025" s="23" t="s">
        <v>246</v>
      </c>
      <c r="G2025" s="23">
        <v>0</v>
      </c>
      <c r="I2025" s="217" t="s">
        <v>2965</v>
      </c>
    </row>
    <row r="2026" spans="1:9">
      <c r="A2026" s="23">
        <v>2026</v>
      </c>
      <c r="B2026" s="84">
        <v>45865</v>
      </c>
      <c r="C2026" s="23" t="s">
        <v>1133</v>
      </c>
      <c r="D2026" s="23" t="s">
        <v>227</v>
      </c>
      <c r="G2026" s="23">
        <v>0.75</v>
      </c>
      <c r="I2026" s="217" t="s">
        <v>2968</v>
      </c>
    </row>
    <row r="2027" spans="1:9">
      <c r="A2027" s="23">
        <v>2027</v>
      </c>
      <c r="B2027" s="84">
        <v>45865</v>
      </c>
      <c r="C2027" s="23" t="s">
        <v>306</v>
      </c>
      <c r="D2027" s="23" t="s">
        <v>230</v>
      </c>
      <c r="G2027" s="23">
        <v>0.75</v>
      </c>
      <c r="I2027" s="217" t="s">
        <v>2969</v>
      </c>
    </row>
    <row r="2028" spans="1:9">
      <c r="A2028" s="23">
        <v>2028</v>
      </c>
      <c r="B2028" s="84">
        <v>45865</v>
      </c>
      <c r="C2028" s="23" t="s">
        <v>1044</v>
      </c>
      <c r="D2028" s="23" t="s">
        <v>326</v>
      </c>
      <c r="G2028" s="23">
        <v>2.5</v>
      </c>
      <c r="H2028" s="23" t="s">
        <v>407</v>
      </c>
      <c r="I2028" s="217" t="s">
        <v>2970</v>
      </c>
    </row>
    <row r="2029" spans="1:9">
      <c r="A2029" s="23">
        <v>2029</v>
      </c>
      <c r="B2029" s="84">
        <v>45865</v>
      </c>
      <c r="C2029" s="23" t="s">
        <v>932</v>
      </c>
      <c r="D2029" s="23" t="s">
        <v>197</v>
      </c>
      <c r="G2029" s="23">
        <v>1</v>
      </c>
      <c r="H2029" s="94" t="s">
        <v>407</v>
      </c>
      <c r="I2029" s="217" t="s">
        <v>2971</v>
      </c>
    </row>
    <row r="2030" spans="1:9">
      <c r="A2030" s="23">
        <v>2030</v>
      </c>
      <c r="B2030" s="84">
        <v>45865</v>
      </c>
      <c r="C2030" s="23" t="s">
        <v>827</v>
      </c>
      <c r="D2030" s="23" t="s">
        <v>227</v>
      </c>
      <c r="G2030" s="23">
        <v>0</v>
      </c>
      <c r="I2030" s="217" t="s">
        <v>2972</v>
      </c>
    </row>
    <row r="2031" spans="1:9">
      <c r="A2031" s="23">
        <v>2031</v>
      </c>
      <c r="B2031" s="84">
        <v>45865</v>
      </c>
      <c r="C2031" s="23" t="s">
        <v>494</v>
      </c>
      <c r="D2031" s="23" t="s">
        <v>230</v>
      </c>
      <c r="G2031" s="23">
        <v>0</v>
      </c>
      <c r="I2031" s="217" t="s">
        <v>2973</v>
      </c>
    </row>
    <row r="2032" spans="1:9">
      <c r="A2032" s="23">
        <v>2032</v>
      </c>
      <c r="B2032" s="84">
        <v>45865</v>
      </c>
      <c r="C2032" s="23" t="s">
        <v>1106</v>
      </c>
      <c r="D2032" s="23" t="s">
        <v>197</v>
      </c>
      <c r="G2032" s="23">
        <v>0</v>
      </c>
      <c r="I2032" s="217" t="s">
        <v>2974</v>
      </c>
    </row>
    <row r="2033" spans="1:9">
      <c r="A2033" s="23">
        <v>2033</v>
      </c>
      <c r="B2033" s="84">
        <v>45865</v>
      </c>
      <c r="C2033" s="23" t="s">
        <v>1106</v>
      </c>
      <c r="D2033" s="23" t="s">
        <v>197</v>
      </c>
      <c r="G2033" s="23">
        <v>1</v>
      </c>
      <c r="H2033" s="94" t="s">
        <v>337</v>
      </c>
      <c r="I2033" s="217" t="s">
        <v>1236</v>
      </c>
    </row>
    <row r="2034" spans="1:9">
      <c r="A2034" s="23">
        <v>2034</v>
      </c>
      <c r="B2034" s="84">
        <v>45865</v>
      </c>
      <c r="C2034" s="23" t="s">
        <v>663</v>
      </c>
      <c r="D2034" s="23" t="s">
        <v>326</v>
      </c>
      <c r="G2034" s="23" t="s">
        <v>9</v>
      </c>
      <c r="I2034" s="217" t="s">
        <v>2975</v>
      </c>
    </row>
    <row r="2035" spans="1:9">
      <c r="A2035" s="23">
        <v>2035</v>
      </c>
      <c r="B2035" s="84">
        <v>45865</v>
      </c>
      <c r="C2035" s="23" t="s">
        <v>690</v>
      </c>
      <c r="D2035" s="23" t="s">
        <v>326</v>
      </c>
      <c r="G2035" s="23">
        <v>0</v>
      </c>
      <c r="I2035" s="217" t="s">
        <v>2975</v>
      </c>
    </row>
    <row r="2036" spans="1:9">
      <c r="A2036" s="23">
        <v>2036</v>
      </c>
      <c r="B2036" s="84">
        <v>45865</v>
      </c>
      <c r="C2036" s="23" t="s">
        <v>217</v>
      </c>
      <c r="D2036" s="23" t="s">
        <v>216</v>
      </c>
      <c r="G2036" s="23">
        <v>0.64</v>
      </c>
      <c r="I2036" s="217" t="s">
        <v>2976</v>
      </c>
    </row>
    <row r="2037" spans="1:9">
      <c r="A2037" s="23">
        <v>2037</v>
      </c>
      <c r="B2037" s="84">
        <v>45865</v>
      </c>
      <c r="C2037" s="23" t="s">
        <v>367</v>
      </c>
      <c r="D2037" s="23" t="s">
        <v>219</v>
      </c>
      <c r="G2037" s="23">
        <v>0</v>
      </c>
      <c r="I2037" s="217" t="s">
        <v>2977</v>
      </c>
    </row>
    <row r="2038" spans="1:9">
      <c r="A2038" s="23">
        <v>2038</v>
      </c>
      <c r="B2038" s="84">
        <v>45865</v>
      </c>
      <c r="C2038" s="23" t="s">
        <v>537</v>
      </c>
      <c r="D2038" s="23" t="s">
        <v>206</v>
      </c>
      <c r="G2038" s="23">
        <v>1</v>
      </c>
      <c r="I2038" s="217" t="s">
        <v>2978</v>
      </c>
    </row>
    <row r="2039" spans="1:9">
      <c r="A2039" s="23">
        <v>2039</v>
      </c>
      <c r="B2039" s="84">
        <v>45865</v>
      </c>
      <c r="C2039" s="23" t="s">
        <v>1132</v>
      </c>
      <c r="D2039" s="23" t="s">
        <v>233</v>
      </c>
      <c r="G2039" s="23">
        <v>0</v>
      </c>
      <c r="I2039" s="217" t="s">
        <v>2979</v>
      </c>
    </row>
    <row r="2040" spans="1:9">
      <c r="A2040" s="23">
        <v>2040</v>
      </c>
      <c r="B2040" s="84">
        <v>45865</v>
      </c>
      <c r="C2040" s="23" t="s">
        <v>920</v>
      </c>
      <c r="D2040" s="23" t="s">
        <v>213</v>
      </c>
      <c r="G2040" s="23">
        <v>0.85</v>
      </c>
      <c r="I2040" s="217" t="s">
        <v>2980</v>
      </c>
    </row>
    <row r="2041" spans="1:9">
      <c r="A2041" s="23">
        <v>2041</v>
      </c>
      <c r="B2041" s="84">
        <v>45865</v>
      </c>
      <c r="C2041" s="23" t="s">
        <v>277</v>
      </c>
      <c r="D2041" s="23" t="s">
        <v>235</v>
      </c>
      <c r="G2041" s="23">
        <v>0</v>
      </c>
      <c r="I2041" s="217" t="s">
        <v>2981</v>
      </c>
    </row>
    <row r="2042" spans="1:9">
      <c r="A2042" s="23">
        <v>2042</v>
      </c>
      <c r="B2042" s="84">
        <v>45865</v>
      </c>
      <c r="C2042" s="23" t="s">
        <v>1063</v>
      </c>
      <c r="D2042" s="23" t="s">
        <v>219</v>
      </c>
      <c r="G2042" s="23">
        <v>0.63</v>
      </c>
      <c r="I2042" s="217" t="s">
        <v>2982</v>
      </c>
    </row>
    <row r="2043" spans="1:9">
      <c r="A2043" s="23">
        <v>2043</v>
      </c>
      <c r="B2043" s="84">
        <v>45865</v>
      </c>
      <c r="C2043" s="23" t="s">
        <v>920</v>
      </c>
      <c r="D2043" s="23" t="s">
        <v>222</v>
      </c>
      <c r="G2043" s="23">
        <v>0</v>
      </c>
      <c r="I2043" s="217" t="s">
        <v>2983</v>
      </c>
    </row>
    <row r="2044" spans="1:9">
      <c r="A2044" s="23">
        <v>2044</v>
      </c>
      <c r="B2044" s="84">
        <v>45865</v>
      </c>
      <c r="C2044" s="23" t="s">
        <v>1052</v>
      </c>
      <c r="D2044" s="23" t="s">
        <v>240</v>
      </c>
      <c r="G2044" s="23">
        <v>0.8</v>
      </c>
      <c r="I2044" s="217" t="s">
        <v>2984</v>
      </c>
    </row>
    <row r="2045" spans="1:9">
      <c r="A2045" s="23">
        <v>2045</v>
      </c>
      <c r="B2045" s="84">
        <v>45865</v>
      </c>
      <c r="C2045" s="23" t="s">
        <v>1137</v>
      </c>
      <c r="D2045" s="23" t="s">
        <v>243</v>
      </c>
      <c r="G2045" s="23">
        <v>0.8</v>
      </c>
      <c r="I2045" s="217" t="s">
        <v>2985</v>
      </c>
    </row>
    <row r="2046" spans="1:9">
      <c r="A2046" s="23">
        <v>2046</v>
      </c>
      <c r="B2046" s="84">
        <v>45865</v>
      </c>
      <c r="C2046" s="23" t="s">
        <v>1092</v>
      </c>
      <c r="D2046" s="23" t="s">
        <v>246</v>
      </c>
      <c r="G2046" s="23">
        <v>0.8</v>
      </c>
      <c r="I2046" s="217" t="s">
        <v>2986</v>
      </c>
    </row>
    <row r="2047" spans="1:9">
      <c r="A2047" s="23">
        <v>2047</v>
      </c>
      <c r="B2047" s="84">
        <v>45865</v>
      </c>
      <c r="C2047" s="23" t="s">
        <v>1003</v>
      </c>
      <c r="D2047" s="23" t="s">
        <v>326</v>
      </c>
      <c r="G2047" s="23">
        <v>3.8</v>
      </c>
      <c r="I2047" s="217" t="s">
        <v>2987</v>
      </c>
    </row>
    <row r="2048" spans="1:9">
      <c r="A2048" s="23">
        <v>2048</v>
      </c>
      <c r="B2048" s="84">
        <v>45865</v>
      </c>
      <c r="C2048" s="23" t="s">
        <v>1136</v>
      </c>
      <c r="D2048" s="23" t="s">
        <v>240</v>
      </c>
      <c r="G2048" s="23">
        <v>0</v>
      </c>
      <c r="I2048" s="217" t="s">
        <v>2984</v>
      </c>
    </row>
    <row r="2049" spans="1:9">
      <c r="A2049" s="23">
        <v>2049</v>
      </c>
      <c r="B2049" s="84">
        <v>45865</v>
      </c>
      <c r="C2049" s="23" t="s">
        <v>552</v>
      </c>
      <c r="D2049" s="23" t="s">
        <v>227</v>
      </c>
      <c r="G2049" s="23">
        <v>0.8</v>
      </c>
      <c r="I2049" s="217" t="s">
        <v>2988</v>
      </c>
    </row>
    <row r="2050" spans="1:9">
      <c r="A2050" s="23">
        <v>2050</v>
      </c>
      <c r="B2050" s="84">
        <v>45865</v>
      </c>
      <c r="C2050" s="23" t="s">
        <v>518</v>
      </c>
      <c r="D2050" s="23" t="s">
        <v>222</v>
      </c>
      <c r="G2050" s="23">
        <v>0.76500000000000001</v>
      </c>
      <c r="I2050" s="217" t="s">
        <v>2989</v>
      </c>
    </row>
    <row r="2051" spans="1:9">
      <c r="A2051" s="23">
        <v>2051</v>
      </c>
      <c r="B2051" s="84">
        <v>45865</v>
      </c>
      <c r="C2051" s="23" t="s">
        <v>449</v>
      </c>
      <c r="D2051" s="23" t="s">
        <v>243</v>
      </c>
      <c r="G2051" s="23">
        <v>0</v>
      </c>
      <c r="I2051" s="217" t="s">
        <v>2990</v>
      </c>
    </row>
    <row r="2052" spans="1:9">
      <c r="A2052" s="23">
        <v>2052</v>
      </c>
      <c r="B2052" s="84">
        <v>45865</v>
      </c>
      <c r="C2052" s="23" t="s">
        <v>975</v>
      </c>
      <c r="D2052" s="23" t="s">
        <v>246</v>
      </c>
      <c r="G2052" s="23">
        <v>0</v>
      </c>
      <c r="I2052" s="217" t="s">
        <v>2991</v>
      </c>
    </row>
    <row r="2053" spans="1:9">
      <c r="A2053" s="23">
        <v>2053</v>
      </c>
      <c r="B2053" s="84">
        <v>45865</v>
      </c>
      <c r="C2053" s="23" t="s">
        <v>1073</v>
      </c>
      <c r="D2053" s="23" t="s">
        <v>227</v>
      </c>
      <c r="G2053" s="23">
        <v>0</v>
      </c>
      <c r="I2053" s="217" t="s">
        <v>2988</v>
      </c>
    </row>
    <row r="2054" spans="1:9">
      <c r="A2054" s="23">
        <v>2054</v>
      </c>
      <c r="B2054" s="84">
        <v>45865</v>
      </c>
      <c r="C2054" s="23" t="s">
        <v>256</v>
      </c>
      <c r="D2054" s="23" t="s">
        <v>254</v>
      </c>
      <c r="G2054" s="23">
        <v>0</v>
      </c>
      <c r="I2054" s="217" t="s">
        <v>2992</v>
      </c>
    </row>
    <row r="2055" spans="1:9">
      <c r="A2055" s="23">
        <v>2055</v>
      </c>
      <c r="B2055" s="84">
        <v>45865</v>
      </c>
      <c r="C2055" s="23" t="s">
        <v>1138</v>
      </c>
      <c r="D2055" s="23" t="s">
        <v>222</v>
      </c>
      <c r="G2055" s="23">
        <v>0</v>
      </c>
      <c r="I2055" s="217" t="s">
        <v>2993</v>
      </c>
    </row>
    <row r="2056" spans="1:9">
      <c r="A2056" s="23">
        <v>2056</v>
      </c>
      <c r="B2056" s="84">
        <v>45865</v>
      </c>
      <c r="C2056" s="23" t="s">
        <v>477</v>
      </c>
      <c r="D2056" s="23" t="s">
        <v>326</v>
      </c>
      <c r="G2056" s="23">
        <v>0</v>
      </c>
      <c r="I2056" s="217" t="s">
        <v>2994</v>
      </c>
    </row>
    <row r="2057" spans="1:9">
      <c r="A2057" s="23">
        <v>2057</v>
      </c>
      <c r="B2057" s="84">
        <v>45865</v>
      </c>
      <c r="C2057" s="23" t="s">
        <v>345</v>
      </c>
      <c r="D2057" s="23" t="s">
        <v>233</v>
      </c>
      <c r="G2057" s="23">
        <v>1.5</v>
      </c>
      <c r="I2057" s="217" t="s">
        <v>2995</v>
      </c>
    </row>
    <row r="2058" spans="1:9">
      <c r="A2058" s="23">
        <v>2058</v>
      </c>
      <c r="B2058" s="84">
        <v>45865</v>
      </c>
      <c r="C2058" s="23" t="s">
        <v>962</v>
      </c>
      <c r="D2058" s="23" t="s">
        <v>194</v>
      </c>
      <c r="G2058" s="23" t="s">
        <v>9</v>
      </c>
      <c r="H2058" s="94" t="s">
        <v>1139</v>
      </c>
      <c r="I2058" s="217" t="s">
        <v>2996</v>
      </c>
    </row>
    <row r="2059" spans="1:9">
      <c r="A2059" s="23">
        <v>2059</v>
      </c>
      <c r="B2059" s="84">
        <v>45866</v>
      </c>
      <c r="C2059" s="23" t="s">
        <v>1134</v>
      </c>
      <c r="D2059" s="23" t="s">
        <v>197</v>
      </c>
      <c r="G2059" s="23">
        <v>0</v>
      </c>
      <c r="I2059" s="217" t="s">
        <v>2997</v>
      </c>
    </row>
    <row r="2060" spans="1:9">
      <c r="A2060" s="23">
        <v>2060</v>
      </c>
      <c r="B2060" s="84">
        <v>45866</v>
      </c>
      <c r="C2060" s="23" t="s">
        <v>1140</v>
      </c>
      <c r="D2060" s="23" t="s">
        <v>197</v>
      </c>
      <c r="G2060" s="23">
        <v>5.9</v>
      </c>
      <c r="I2060" s="217" t="s">
        <v>2998</v>
      </c>
    </row>
    <row r="2061" spans="1:9">
      <c r="A2061" s="23">
        <v>2061</v>
      </c>
      <c r="B2061" s="84">
        <v>45866</v>
      </c>
      <c r="C2061" s="23" t="s">
        <v>1077</v>
      </c>
      <c r="D2061" s="23" t="s">
        <v>197</v>
      </c>
      <c r="G2061" s="23" t="s">
        <v>9</v>
      </c>
      <c r="H2061" s="23" t="s">
        <v>2999</v>
      </c>
      <c r="I2061" s="217" t="s">
        <v>3000</v>
      </c>
    </row>
    <row r="2062" spans="1:9">
      <c r="A2062" s="23">
        <v>2062</v>
      </c>
      <c r="B2062" s="84">
        <v>45866</v>
      </c>
      <c r="C2062" s="23" t="s">
        <v>1141</v>
      </c>
      <c r="D2062" s="23" t="s">
        <v>230</v>
      </c>
      <c r="G2062" s="23">
        <v>0.8</v>
      </c>
      <c r="I2062" s="217" t="s">
        <v>3001</v>
      </c>
    </row>
    <row r="2063" spans="1:9">
      <c r="A2063" s="23">
        <v>2063</v>
      </c>
      <c r="B2063" s="84">
        <v>45866</v>
      </c>
      <c r="C2063" s="23" t="s">
        <v>408</v>
      </c>
      <c r="D2063" s="23" t="s">
        <v>197</v>
      </c>
      <c r="G2063" s="23" t="s">
        <v>9</v>
      </c>
      <c r="I2063" s="217" t="s">
        <v>3002</v>
      </c>
    </row>
    <row r="2064" spans="1:9">
      <c r="A2064" s="23">
        <v>2064</v>
      </c>
      <c r="B2064" s="84">
        <v>45866</v>
      </c>
      <c r="C2064" s="23" t="s">
        <v>1142</v>
      </c>
      <c r="D2064" s="23" t="s">
        <v>240</v>
      </c>
      <c r="G2064" s="23">
        <v>0.8</v>
      </c>
      <c r="I2064" s="217" t="s">
        <v>3003</v>
      </c>
    </row>
    <row r="2065" spans="1:9">
      <c r="A2065" s="23">
        <v>2065</v>
      </c>
      <c r="B2065" s="84">
        <v>45866</v>
      </c>
      <c r="C2065" s="23" t="s">
        <v>1038</v>
      </c>
      <c r="D2065" s="23" t="s">
        <v>194</v>
      </c>
      <c r="G2065" s="23">
        <v>2.7</v>
      </c>
      <c r="I2065" s="217" t="s">
        <v>3004</v>
      </c>
    </row>
    <row r="2066" spans="1:9">
      <c r="A2066" s="23">
        <v>2066</v>
      </c>
      <c r="B2066" s="84">
        <v>45866</v>
      </c>
      <c r="C2066" s="23" t="s">
        <v>991</v>
      </c>
      <c r="D2066" s="23" t="s">
        <v>243</v>
      </c>
      <c r="G2066" s="23">
        <v>0.8</v>
      </c>
      <c r="I2066" s="217" t="s">
        <v>3005</v>
      </c>
    </row>
    <row r="2067" spans="1:9">
      <c r="A2067" s="23">
        <v>2067</v>
      </c>
      <c r="B2067" s="84">
        <v>45866</v>
      </c>
      <c r="C2067" s="23" t="s">
        <v>286</v>
      </c>
      <c r="D2067" s="23" t="s">
        <v>326</v>
      </c>
      <c r="G2067" s="23" t="s">
        <v>9</v>
      </c>
      <c r="I2067" s="217" t="s">
        <v>3006</v>
      </c>
    </row>
    <row r="2068" spans="1:9">
      <c r="A2068" s="23">
        <v>2068</v>
      </c>
      <c r="B2068" s="84">
        <v>45866</v>
      </c>
      <c r="C2068" s="23" t="s">
        <v>215</v>
      </c>
      <c r="D2068" s="23" t="s">
        <v>246</v>
      </c>
      <c r="G2068" s="23">
        <v>0.8</v>
      </c>
      <c r="I2068" s="217" t="s">
        <v>3007</v>
      </c>
    </row>
    <row r="2069" spans="1:9">
      <c r="A2069" s="23">
        <v>2069</v>
      </c>
      <c r="B2069" s="84">
        <v>45866</v>
      </c>
      <c r="C2069" s="23" t="s">
        <v>1144</v>
      </c>
      <c r="D2069" s="23" t="s">
        <v>227</v>
      </c>
      <c r="G2069" s="23">
        <v>0.8</v>
      </c>
      <c r="I2069" s="217" t="s">
        <v>3008</v>
      </c>
    </row>
    <row r="2070" spans="1:9">
      <c r="A2070" s="23">
        <v>2070</v>
      </c>
      <c r="B2070" s="84">
        <v>45866</v>
      </c>
      <c r="C2070" s="23" t="s">
        <v>1143</v>
      </c>
      <c r="D2070" s="23" t="s">
        <v>194</v>
      </c>
      <c r="G2070" s="23">
        <v>0</v>
      </c>
      <c r="I2070" s="217" t="s">
        <v>3009</v>
      </c>
    </row>
    <row r="2071" spans="1:9">
      <c r="A2071" s="23">
        <v>2071</v>
      </c>
      <c r="B2071" s="84">
        <v>45866</v>
      </c>
      <c r="C2071" s="23" t="s">
        <v>283</v>
      </c>
      <c r="D2071" s="23" t="s">
        <v>230</v>
      </c>
      <c r="G2071" s="23">
        <v>0</v>
      </c>
      <c r="I2071" s="217" t="s">
        <v>3010</v>
      </c>
    </row>
    <row r="2072" spans="1:9">
      <c r="A2072" s="23">
        <v>2072</v>
      </c>
      <c r="B2072" s="84">
        <v>45866</v>
      </c>
      <c r="C2072" s="23" t="s">
        <v>598</v>
      </c>
      <c r="D2072" s="23" t="s">
        <v>240</v>
      </c>
      <c r="G2072" s="23">
        <v>0</v>
      </c>
      <c r="I2072" s="217" t="s">
        <v>3011</v>
      </c>
    </row>
    <row r="2073" spans="1:9">
      <c r="A2073" s="23">
        <v>2073</v>
      </c>
      <c r="B2073" s="84">
        <v>45866</v>
      </c>
      <c r="C2073" s="23" t="s">
        <v>1047</v>
      </c>
      <c r="D2073" s="23" t="s">
        <v>254</v>
      </c>
      <c r="G2073" s="23">
        <v>1</v>
      </c>
      <c r="I2073" s="217" t="s">
        <v>3012</v>
      </c>
    </row>
    <row r="2074" spans="1:9">
      <c r="A2074" s="23">
        <v>2074</v>
      </c>
      <c r="B2074" s="84">
        <v>45866</v>
      </c>
      <c r="C2074" s="23" t="s">
        <v>1040</v>
      </c>
      <c r="D2074" s="23" t="s">
        <v>243</v>
      </c>
      <c r="G2074" s="23">
        <v>0</v>
      </c>
      <c r="I2074" s="217" t="s">
        <v>3013</v>
      </c>
    </row>
    <row r="2075" spans="1:9">
      <c r="A2075" s="23">
        <v>2075</v>
      </c>
      <c r="B2075" s="84">
        <v>45866</v>
      </c>
      <c r="C2075" s="23" t="s">
        <v>603</v>
      </c>
      <c r="D2075" s="23" t="s">
        <v>246</v>
      </c>
      <c r="G2075" s="23">
        <v>0</v>
      </c>
      <c r="I2075" s="217" t="s">
        <v>3014</v>
      </c>
    </row>
    <row r="2076" spans="1:9">
      <c r="A2076" s="23">
        <v>2076</v>
      </c>
      <c r="B2076" s="84">
        <v>45866</v>
      </c>
      <c r="C2076" s="23" t="s">
        <v>960</v>
      </c>
      <c r="D2076" s="23" t="s">
        <v>227</v>
      </c>
      <c r="G2076" s="23">
        <v>0</v>
      </c>
      <c r="I2076" s="217" t="s">
        <v>3015</v>
      </c>
    </row>
    <row r="2077" spans="1:9">
      <c r="A2077" s="23">
        <v>2077</v>
      </c>
      <c r="B2077" s="84">
        <v>45866</v>
      </c>
      <c r="C2077" s="23" t="s">
        <v>1047</v>
      </c>
      <c r="D2077" s="23" t="s">
        <v>194</v>
      </c>
      <c r="G2077" s="23">
        <v>2.7</v>
      </c>
      <c r="H2077" s="23" t="s">
        <v>407</v>
      </c>
      <c r="I2077" s="217" t="s">
        <v>1236</v>
      </c>
    </row>
    <row r="2078" spans="1:9">
      <c r="A2078" s="23">
        <v>2078</v>
      </c>
      <c r="B2078" s="84">
        <v>45866</v>
      </c>
      <c r="C2078" s="23" t="s">
        <v>371</v>
      </c>
      <c r="D2078" s="23" t="s">
        <v>197</v>
      </c>
      <c r="G2078" s="23">
        <v>0</v>
      </c>
      <c r="I2078" s="217" t="s">
        <v>3016</v>
      </c>
    </row>
    <row r="2079" spans="1:9">
      <c r="A2079" s="23">
        <v>2079</v>
      </c>
      <c r="B2079" s="84">
        <v>45866</v>
      </c>
      <c r="C2079" s="23" t="s">
        <v>371</v>
      </c>
      <c r="D2079" s="23" t="s">
        <v>197</v>
      </c>
      <c r="G2079" s="23">
        <v>1</v>
      </c>
      <c r="H2079" s="23" t="s">
        <v>407</v>
      </c>
      <c r="I2079" s="217" t="s">
        <v>3016</v>
      </c>
    </row>
    <row r="2080" spans="1:9">
      <c r="A2080" s="23">
        <v>2080</v>
      </c>
      <c r="B2080" s="84">
        <v>45866</v>
      </c>
      <c r="C2080" s="23" t="s">
        <v>476</v>
      </c>
      <c r="D2080" s="23" t="s">
        <v>233</v>
      </c>
      <c r="G2080" s="23">
        <v>0</v>
      </c>
      <c r="I2080" s="217" t="s">
        <v>3017</v>
      </c>
    </row>
    <row r="2081" spans="1:9">
      <c r="A2081" s="23">
        <v>2081</v>
      </c>
      <c r="B2081" s="84">
        <v>45866</v>
      </c>
      <c r="C2081" s="23" t="s">
        <v>476</v>
      </c>
      <c r="D2081" s="23" t="s">
        <v>203</v>
      </c>
      <c r="G2081" s="23">
        <v>0</v>
      </c>
      <c r="I2081" s="217" t="s">
        <v>3018</v>
      </c>
    </row>
    <row r="2082" spans="1:9">
      <c r="A2082" s="23">
        <v>2082</v>
      </c>
      <c r="B2082" s="84">
        <v>45866</v>
      </c>
      <c r="C2082" s="23" t="s">
        <v>410</v>
      </c>
      <c r="D2082" s="23" t="s">
        <v>194</v>
      </c>
      <c r="G2082" s="23">
        <v>0</v>
      </c>
      <c r="I2082" s="217" t="s">
        <v>3019</v>
      </c>
    </row>
    <row r="2083" spans="1:9">
      <c r="A2083" s="23">
        <v>2083</v>
      </c>
      <c r="B2083" s="84">
        <v>45866</v>
      </c>
      <c r="C2083" s="23" t="s">
        <v>410</v>
      </c>
      <c r="D2083" s="23" t="s">
        <v>194</v>
      </c>
      <c r="G2083" s="23">
        <v>2.7</v>
      </c>
      <c r="I2083" s="217" t="s">
        <v>1236</v>
      </c>
    </row>
    <row r="2084" spans="1:9">
      <c r="A2084" s="23">
        <v>2084</v>
      </c>
      <c r="B2084" s="84">
        <v>45866</v>
      </c>
      <c r="C2084" s="23" t="s">
        <v>476</v>
      </c>
      <c r="D2084" s="23" t="s">
        <v>197</v>
      </c>
      <c r="G2084" s="23">
        <v>0</v>
      </c>
      <c r="I2084" s="217" t="s">
        <v>3020</v>
      </c>
    </row>
    <row r="2085" spans="1:9">
      <c r="A2085" s="23">
        <v>2085</v>
      </c>
      <c r="B2085" s="84">
        <v>45866</v>
      </c>
      <c r="C2085" s="23" t="s">
        <v>476</v>
      </c>
      <c r="D2085" s="23" t="s">
        <v>197</v>
      </c>
      <c r="G2085" s="23">
        <v>6</v>
      </c>
      <c r="I2085" s="217" t="s">
        <v>1236</v>
      </c>
    </row>
    <row r="2086" spans="1:9">
      <c r="A2086" s="23">
        <v>2086</v>
      </c>
      <c r="B2086" s="84">
        <v>45866</v>
      </c>
      <c r="C2086" s="23" t="s">
        <v>418</v>
      </c>
      <c r="D2086" s="23" t="s">
        <v>240</v>
      </c>
      <c r="G2086" s="23">
        <v>0.8</v>
      </c>
      <c r="I2086" s="217" t="s">
        <v>3021</v>
      </c>
    </row>
    <row r="2087" spans="1:9">
      <c r="A2087" s="23">
        <v>2087</v>
      </c>
      <c r="B2087" s="84">
        <v>45866</v>
      </c>
      <c r="C2087" s="23" t="s">
        <v>418</v>
      </c>
      <c r="D2087" s="23" t="s">
        <v>230</v>
      </c>
      <c r="G2087" s="23">
        <v>0.8</v>
      </c>
      <c r="I2087" s="217" t="s">
        <v>3022</v>
      </c>
    </row>
    <row r="2088" spans="1:9">
      <c r="A2088" s="23">
        <v>2088</v>
      </c>
      <c r="B2088" s="84">
        <v>45866</v>
      </c>
      <c r="C2088" s="23" t="s">
        <v>722</v>
      </c>
      <c r="D2088" s="23" t="s">
        <v>243</v>
      </c>
      <c r="G2088" s="23">
        <v>0.8</v>
      </c>
      <c r="I2088" s="217" t="s">
        <v>3023</v>
      </c>
    </row>
    <row r="2089" spans="1:9">
      <c r="A2089" s="23">
        <v>2089</v>
      </c>
      <c r="B2089" s="84">
        <v>45866</v>
      </c>
      <c r="C2089" s="23" t="s">
        <v>369</v>
      </c>
      <c r="D2089" s="23" t="s">
        <v>203</v>
      </c>
      <c r="G2089" s="23">
        <v>1.5</v>
      </c>
      <c r="I2089" s="217" t="s">
        <v>3024</v>
      </c>
    </row>
    <row r="2090" spans="1:9">
      <c r="A2090" s="23">
        <v>2090</v>
      </c>
      <c r="B2090" s="84">
        <v>45866</v>
      </c>
      <c r="C2090" s="23" t="s">
        <v>880</v>
      </c>
      <c r="D2090" s="23" t="s">
        <v>246</v>
      </c>
      <c r="G2090" s="23">
        <v>0.8</v>
      </c>
      <c r="I2090" s="217" t="s">
        <v>3025</v>
      </c>
    </row>
    <row r="2091" spans="1:9">
      <c r="A2091" s="23">
        <v>2091</v>
      </c>
      <c r="B2091" s="84">
        <v>45866</v>
      </c>
      <c r="C2091" s="23" t="s">
        <v>298</v>
      </c>
      <c r="D2091" s="23" t="s">
        <v>235</v>
      </c>
      <c r="G2091" s="23">
        <v>0.7</v>
      </c>
      <c r="I2091" s="217" t="s">
        <v>3026</v>
      </c>
    </row>
    <row r="2092" spans="1:9">
      <c r="A2092" s="23">
        <v>2092</v>
      </c>
      <c r="B2092" s="84">
        <v>45866</v>
      </c>
      <c r="C2092" s="23" t="s">
        <v>420</v>
      </c>
      <c r="D2092" s="23" t="s">
        <v>213</v>
      </c>
      <c r="G2092" s="23">
        <v>0</v>
      </c>
      <c r="I2092" s="217" t="s">
        <v>3027</v>
      </c>
    </row>
    <row r="2093" spans="1:9">
      <c r="A2093" s="23">
        <v>2093</v>
      </c>
      <c r="B2093" s="84">
        <v>45866</v>
      </c>
      <c r="C2093" s="23" t="s">
        <v>478</v>
      </c>
      <c r="D2093" s="23" t="s">
        <v>227</v>
      </c>
      <c r="G2093" s="23">
        <v>0.8</v>
      </c>
      <c r="I2093" s="217" t="s">
        <v>3028</v>
      </c>
    </row>
    <row r="2094" spans="1:9">
      <c r="A2094" s="23">
        <v>2094</v>
      </c>
      <c r="B2094" s="84">
        <v>45866</v>
      </c>
      <c r="C2094" s="23" t="s">
        <v>574</v>
      </c>
      <c r="D2094" s="23" t="s">
        <v>297</v>
      </c>
      <c r="G2094" s="23">
        <v>0.8</v>
      </c>
      <c r="I2094" s="217" t="s">
        <v>3029</v>
      </c>
    </row>
    <row r="2095" spans="1:9">
      <c r="A2095" s="23">
        <v>2095</v>
      </c>
      <c r="B2095" s="84">
        <v>45866</v>
      </c>
      <c r="C2095" s="23" t="s">
        <v>338</v>
      </c>
      <c r="D2095" s="23" t="s">
        <v>297</v>
      </c>
      <c r="G2095" s="23">
        <v>0</v>
      </c>
      <c r="I2095" s="217" t="s">
        <v>3029</v>
      </c>
    </row>
    <row r="2096" spans="1:9">
      <c r="A2096" s="23">
        <v>2096</v>
      </c>
      <c r="B2096" s="84">
        <v>45866</v>
      </c>
      <c r="C2096" s="23" t="s">
        <v>851</v>
      </c>
      <c r="D2096" s="23" t="s">
        <v>240</v>
      </c>
      <c r="G2096" s="23">
        <v>0</v>
      </c>
      <c r="I2096" s="217" t="s">
        <v>3021</v>
      </c>
    </row>
    <row r="2097" spans="1:9">
      <c r="A2097" s="23">
        <v>2097</v>
      </c>
      <c r="B2097" s="84">
        <v>45866</v>
      </c>
      <c r="C2097" s="23" t="s">
        <v>851</v>
      </c>
      <c r="D2097" s="23" t="s">
        <v>230</v>
      </c>
      <c r="G2097" s="23">
        <v>0</v>
      </c>
      <c r="I2097" s="217" t="s">
        <v>3022</v>
      </c>
    </row>
    <row r="2098" spans="1:9">
      <c r="A2098" s="23">
        <v>2098</v>
      </c>
      <c r="B2098" s="84">
        <v>45866</v>
      </c>
      <c r="C2098" s="23" t="s">
        <v>304</v>
      </c>
      <c r="D2098" s="23" t="s">
        <v>230</v>
      </c>
      <c r="G2098" s="23">
        <v>0.8</v>
      </c>
      <c r="I2098" s="217" t="s">
        <v>3030</v>
      </c>
    </row>
    <row r="2099" spans="1:9">
      <c r="A2099" s="23">
        <v>2099</v>
      </c>
      <c r="B2099" s="84">
        <v>45866</v>
      </c>
      <c r="C2099" s="23" t="s">
        <v>413</v>
      </c>
      <c r="D2099" s="23" t="s">
        <v>240</v>
      </c>
      <c r="G2099" s="23">
        <v>0.8</v>
      </c>
      <c r="I2099" s="217" t="s">
        <v>3031</v>
      </c>
    </row>
    <row r="2100" spans="1:9">
      <c r="A2100" s="23">
        <v>2100</v>
      </c>
      <c r="B2100" s="84">
        <v>45866</v>
      </c>
      <c r="C2100" s="23" t="s">
        <v>1146</v>
      </c>
      <c r="D2100" s="23" t="s">
        <v>222</v>
      </c>
      <c r="G2100" s="23">
        <v>0.46</v>
      </c>
      <c r="I2100" s="217" t="s">
        <v>3032</v>
      </c>
    </row>
    <row r="2101" spans="1:9">
      <c r="A2101" s="23">
        <v>2101</v>
      </c>
      <c r="B2101" s="84">
        <v>45866</v>
      </c>
      <c r="C2101" s="23" t="s">
        <v>1135</v>
      </c>
      <c r="D2101" s="23" t="s">
        <v>216</v>
      </c>
      <c r="G2101" s="23">
        <v>0</v>
      </c>
      <c r="I2101" s="217" t="s">
        <v>3033</v>
      </c>
    </row>
    <row r="2102" spans="1:9">
      <c r="A2102" s="23">
        <v>2102</v>
      </c>
      <c r="B2102" s="84">
        <v>45866</v>
      </c>
      <c r="C2102" s="23" t="s">
        <v>1147</v>
      </c>
      <c r="D2102" s="23" t="s">
        <v>312</v>
      </c>
      <c r="G2102" s="23">
        <v>1</v>
      </c>
      <c r="I2102" s="217" t="s">
        <v>3034</v>
      </c>
    </row>
    <row r="2103" spans="1:9">
      <c r="A2103" s="23">
        <v>2103</v>
      </c>
      <c r="B2103" s="84">
        <v>45866</v>
      </c>
      <c r="C2103" s="23" t="s">
        <v>480</v>
      </c>
      <c r="D2103" s="23" t="s">
        <v>243</v>
      </c>
      <c r="G2103" s="23">
        <v>0</v>
      </c>
      <c r="I2103" s="217" t="s">
        <v>3035</v>
      </c>
    </row>
    <row r="2104" spans="1:9">
      <c r="A2104" s="23">
        <v>2104</v>
      </c>
      <c r="B2104" s="84">
        <v>45866</v>
      </c>
      <c r="C2104" s="23" t="s">
        <v>486</v>
      </c>
      <c r="D2104" s="23" t="s">
        <v>246</v>
      </c>
      <c r="G2104" s="23">
        <v>0</v>
      </c>
      <c r="I2104" s="217" t="s">
        <v>3036</v>
      </c>
    </row>
    <row r="2105" spans="1:9">
      <c r="A2105" s="23">
        <v>2105</v>
      </c>
      <c r="B2105" s="84">
        <v>45866</v>
      </c>
      <c r="C2105" s="23" t="s">
        <v>1148</v>
      </c>
      <c r="D2105" s="23" t="s">
        <v>243</v>
      </c>
      <c r="G2105" s="23">
        <v>0.8</v>
      </c>
      <c r="I2105" s="217" t="s">
        <v>1236</v>
      </c>
    </row>
    <row r="2106" spans="1:9">
      <c r="A2106" s="23">
        <v>2106</v>
      </c>
      <c r="B2106" s="84">
        <v>45866</v>
      </c>
      <c r="C2106" s="23" t="s">
        <v>315</v>
      </c>
      <c r="D2106" s="23" t="s">
        <v>216</v>
      </c>
      <c r="G2106" s="23">
        <v>0.66</v>
      </c>
      <c r="I2106" s="217" t="s">
        <v>3037</v>
      </c>
    </row>
    <row r="2107" spans="1:9">
      <c r="A2107" s="23">
        <v>2107</v>
      </c>
      <c r="B2107" s="84">
        <v>45866</v>
      </c>
      <c r="C2107" s="23" t="s">
        <v>270</v>
      </c>
      <c r="D2107" s="23" t="s">
        <v>219</v>
      </c>
      <c r="G2107" s="23">
        <v>0</v>
      </c>
      <c r="I2107" s="217" t="s">
        <v>3038</v>
      </c>
    </row>
    <row r="2108" spans="1:9">
      <c r="A2108" s="23">
        <v>2108</v>
      </c>
      <c r="B2108" s="84">
        <v>45866</v>
      </c>
      <c r="C2108" s="23" t="s">
        <v>1108</v>
      </c>
      <c r="D2108" s="23" t="s">
        <v>246</v>
      </c>
      <c r="G2108" s="23">
        <v>0.75</v>
      </c>
      <c r="I2108" s="217" t="s">
        <v>3039</v>
      </c>
    </row>
    <row r="2109" spans="1:9">
      <c r="A2109" s="23">
        <v>2109</v>
      </c>
      <c r="B2109" s="84">
        <v>45866</v>
      </c>
      <c r="C2109" s="23" t="s">
        <v>556</v>
      </c>
      <c r="D2109" s="23" t="s">
        <v>297</v>
      </c>
      <c r="G2109" s="23">
        <v>0.75</v>
      </c>
      <c r="I2109" s="217" t="s">
        <v>3040</v>
      </c>
    </row>
    <row r="2110" spans="1:9">
      <c r="A2110" s="23">
        <v>2110</v>
      </c>
      <c r="B2110" s="84">
        <v>45866</v>
      </c>
      <c r="C2110" s="23" t="s">
        <v>930</v>
      </c>
      <c r="D2110" s="23" t="s">
        <v>219</v>
      </c>
      <c r="G2110" s="23">
        <v>0.75</v>
      </c>
      <c r="I2110" s="217" t="s">
        <v>3041</v>
      </c>
    </row>
    <row r="2111" spans="1:9">
      <c r="A2111" s="23">
        <v>2111</v>
      </c>
      <c r="B2111" s="84">
        <v>45866</v>
      </c>
      <c r="C2111" s="23" t="s">
        <v>324</v>
      </c>
      <c r="D2111" s="23" t="s">
        <v>326</v>
      </c>
      <c r="G2111" s="23">
        <v>2.5</v>
      </c>
      <c r="I2111" s="217" t="s">
        <v>3042</v>
      </c>
    </row>
    <row r="2112" spans="1:9">
      <c r="A2112" s="23">
        <v>2112</v>
      </c>
      <c r="B2112" s="84">
        <v>45866</v>
      </c>
      <c r="C2112" s="23" t="s">
        <v>1151</v>
      </c>
      <c r="D2112" s="23" t="s">
        <v>297</v>
      </c>
      <c r="G2112" s="23">
        <v>0</v>
      </c>
      <c r="I2112" s="217" t="s">
        <v>3043</v>
      </c>
    </row>
    <row r="2113" spans="1:9">
      <c r="A2113" s="23">
        <v>2113</v>
      </c>
      <c r="B2113" s="84">
        <v>45866</v>
      </c>
      <c r="C2113" s="23" t="s">
        <v>626</v>
      </c>
      <c r="D2113" s="23" t="s">
        <v>219</v>
      </c>
      <c r="G2113" s="23">
        <v>0</v>
      </c>
      <c r="I2113" s="217" t="s">
        <v>3044</v>
      </c>
    </row>
    <row r="2114" spans="1:9">
      <c r="A2114" s="23">
        <v>2114</v>
      </c>
      <c r="B2114" s="84">
        <v>45866</v>
      </c>
      <c r="C2114" s="23" t="s">
        <v>624</v>
      </c>
      <c r="D2114" s="23" t="s">
        <v>227</v>
      </c>
      <c r="G2114" s="23">
        <v>0</v>
      </c>
      <c r="I2114" s="217" t="s">
        <v>3045</v>
      </c>
    </row>
    <row r="2115" spans="1:9">
      <c r="A2115" s="23">
        <v>2115</v>
      </c>
      <c r="B2115" s="84">
        <v>45866</v>
      </c>
      <c r="C2115" s="23" t="s">
        <v>970</v>
      </c>
      <c r="D2115" s="23" t="s">
        <v>230</v>
      </c>
      <c r="G2115" s="23">
        <v>0</v>
      </c>
      <c r="I2115" s="217" t="s">
        <v>3046</v>
      </c>
    </row>
    <row r="2116" spans="1:9">
      <c r="A2116" s="23">
        <v>2116</v>
      </c>
      <c r="B2116" s="84">
        <v>45866</v>
      </c>
      <c r="C2116" s="23" t="s">
        <v>1088</v>
      </c>
      <c r="D2116" s="23" t="s">
        <v>240</v>
      </c>
      <c r="G2116" s="23">
        <v>0</v>
      </c>
      <c r="I2116" s="217" t="s">
        <v>3047</v>
      </c>
    </row>
    <row r="2117" spans="1:9">
      <c r="A2117" s="23">
        <v>2117</v>
      </c>
      <c r="B2117" s="84">
        <v>45866</v>
      </c>
      <c r="C2117" s="23" t="s">
        <v>1149</v>
      </c>
      <c r="D2117" s="23" t="s">
        <v>243</v>
      </c>
      <c r="G2117" s="23">
        <v>0</v>
      </c>
      <c r="I2117" s="217" t="s">
        <v>3048</v>
      </c>
    </row>
    <row r="2118" spans="1:9">
      <c r="A2118" s="23">
        <v>2118</v>
      </c>
      <c r="B2118" s="84">
        <v>45866</v>
      </c>
      <c r="C2118" s="23" t="s">
        <v>1150</v>
      </c>
      <c r="D2118" s="23" t="s">
        <v>246</v>
      </c>
      <c r="G2118" s="23">
        <v>0</v>
      </c>
      <c r="I2118" s="217" t="s">
        <v>3049</v>
      </c>
    </row>
    <row r="2119" spans="1:9">
      <c r="A2119" s="23">
        <v>2119</v>
      </c>
      <c r="B2119" s="84">
        <v>45866</v>
      </c>
      <c r="C2119" s="23" t="s">
        <v>220</v>
      </c>
      <c r="D2119" s="23" t="s">
        <v>213</v>
      </c>
      <c r="G2119" s="23">
        <v>0.9</v>
      </c>
      <c r="I2119" s="217" t="s">
        <v>3050</v>
      </c>
    </row>
    <row r="2120" spans="1:9">
      <c r="A2120" s="23">
        <v>2120</v>
      </c>
      <c r="B2120" s="84">
        <v>45866</v>
      </c>
      <c r="C2120" s="23" t="s">
        <v>277</v>
      </c>
      <c r="D2120" s="23" t="s">
        <v>235</v>
      </c>
      <c r="G2120" s="23">
        <v>0</v>
      </c>
      <c r="I2120" s="217" t="s">
        <v>3051</v>
      </c>
    </row>
    <row r="2121" spans="1:9">
      <c r="A2121" s="23">
        <v>2121</v>
      </c>
      <c r="B2121" s="84">
        <v>45866</v>
      </c>
      <c r="C2121" s="23" t="s">
        <v>1004</v>
      </c>
      <c r="D2121" s="23" t="s">
        <v>230</v>
      </c>
      <c r="G2121" s="23">
        <v>0.8</v>
      </c>
      <c r="I2121" s="217" t="s">
        <v>3052</v>
      </c>
    </row>
    <row r="2122" spans="1:9">
      <c r="A2122" s="23">
        <v>2122</v>
      </c>
      <c r="B2122" s="84">
        <v>45866</v>
      </c>
      <c r="C2122" s="23" t="s">
        <v>1092</v>
      </c>
      <c r="D2122" s="23" t="s">
        <v>227</v>
      </c>
      <c r="G2122" s="23">
        <v>0.8</v>
      </c>
      <c r="I2122" s="217" t="s">
        <v>3053</v>
      </c>
    </row>
    <row r="2123" spans="1:9">
      <c r="A2123" s="23">
        <v>2123</v>
      </c>
      <c r="B2123" s="84">
        <v>45866</v>
      </c>
      <c r="C2123" s="23" t="s">
        <v>442</v>
      </c>
      <c r="D2123" s="23" t="s">
        <v>240</v>
      </c>
      <c r="G2123" s="23">
        <v>0.8</v>
      </c>
      <c r="I2123" s="217" t="s">
        <v>3054</v>
      </c>
    </row>
    <row r="2124" spans="1:9">
      <c r="A2124" s="23">
        <v>2124</v>
      </c>
      <c r="B2124" s="84">
        <v>45866</v>
      </c>
      <c r="C2124" s="23" t="s">
        <v>1152</v>
      </c>
      <c r="D2124" s="23" t="s">
        <v>219</v>
      </c>
      <c r="G2124" s="23">
        <v>0.75</v>
      </c>
      <c r="I2124" s="217" t="s">
        <v>3055</v>
      </c>
    </row>
    <row r="2125" spans="1:9">
      <c r="A2125" s="23">
        <v>2125</v>
      </c>
      <c r="B2125" s="84">
        <v>45866</v>
      </c>
      <c r="C2125" s="23" t="s">
        <v>836</v>
      </c>
      <c r="D2125" s="23" t="s">
        <v>227</v>
      </c>
      <c r="G2125" s="23">
        <v>0</v>
      </c>
      <c r="I2125" s="217" t="s">
        <v>3056</v>
      </c>
    </row>
    <row r="2126" spans="1:9">
      <c r="A2126" s="23">
        <v>2126</v>
      </c>
      <c r="B2126" s="84">
        <v>45866</v>
      </c>
      <c r="C2126" s="23" t="s">
        <v>956</v>
      </c>
      <c r="D2126" s="23" t="s">
        <v>230</v>
      </c>
      <c r="G2126" s="23">
        <v>0</v>
      </c>
      <c r="I2126" s="217" t="s">
        <v>3057</v>
      </c>
    </row>
    <row r="2127" spans="1:9">
      <c r="A2127" s="23">
        <v>2127</v>
      </c>
      <c r="B2127" s="84">
        <v>45866</v>
      </c>
      <c r="C2127" s="23" t="s">
        <v>1093</v>
      </c>
      <c r="D2127" s="23" t="s">
        <v>240</v>
      </c>
      <c r="G2127" s="23">
        <v>0</v>
      </c>
      <c r="I2127" s="217" t="s">
        <v>3058</v>
      </c>
    </row>
    <row r="2128" spans="1:9">
      <c r="A2128" s="23">
        <v>2128</v>
      </c>
      <c r="B2128" s="84">
        <v>45866</v>
      </c>
      <c r="C2128" s="23" t="s">
        <v>331</v>
      </c>
      <c r="D2128" s="23" t="s">
        <v>312</v>
      </c>
      <c r="G2128" s="23">
        <v>0</v>
      </c>
      <c r="I2128" s="217" t="s">
        <v>3059</v>
      </c>
    </row>
    <row r="2129" spans="1:9">
      <c r="A2129" s="23">
        <v>2129</v>
      </c>
      <c r="B2129" s="84">
        <v>45866</v>
      </c>
      <c r="C2129" s="23" t="s">
        <v>1153</v>
      </c>
      <c r="D2129" s="23" t="s">
        <v>243</v>
      </c>
      <c r="G2129" s="23">
        <v>0.8</v>
      </c>
      <c r="I2129" s="217" t="s">
        <v>3060</v>
      </c>
    </row>
    <row r="2130" spans="1:9">
      <c r="A2130" s="23">
        <v>2130</v>
      </c>
      <c r="B2130" s="84">
        <v>45866</v>
      </c>
      <c r="C2130" s="23" t="s">
        <v>1014</v>
      </c>
      <c r="D2130" s="23" t="s">
        <v>254</v>
      </c>
      <c r="G2130" s="23">
        <v>0</v>
      </c>
      <c r="I2130" s="217" t="s">
        <v>3061</v>
      </c>
    </row>
    <row r="2131" spans="1:9">
      <c r="A2131" s="23">
        <v>2131</v>
      </c>
      <c r="B2131" s="84">
        <v>45866</v>
      </c>
      <c r="C2131" s="23" t="s">
        <v>1138</v>
      </c>
      <c r="D2131" s="23" t="s">
        <v>222</v>
      </c>
      <c r="G2131" s="23">
        <v>0</v>
      </c>
      <c r="I2131" s="217" t="s">
        <v>3062</v>
      </c>
    </row>
    <row r="2132" spans="1:9">
      <c r="A2132" s="23">
        <v>2132</v>
      </c>
      <c r="B2132" s="84">
        <v>45866</v>
      </c>
      <c r="C2132" s="23" t="s">
        <v>1154</v>
      </c>
      <c r="D2132" s="23" t="s">
        <v>243</v>
      </c>
      <c r="G2132" s="23">
        <v>0</v>
      </c>
      <c r="I2132" s="217" t="s">
        <v>3063</v>
      </c>
    </row>
    <row r="2133" spans="1:9">
      <c r="A2133" s="23">
        <v>2133</v>
      </c>
      <c r="B2133" s="84">
        <v>45866</v>
      </c>
      <c r="C2133" s="23" t="s">
        <v>516</v>
      </c>
      <c r="D2133" s="23" t="s">
        <v>326</v>
      </c>
      <c r="G2133" s="23">
        <v>0</v>
      </c>
      <c r="I2133" s="217" t="s">
        <v>3064</v>
      </c>
    </row>
    <row r="2134" spans="1:9">
      <c r="A2134" s="23">
        <v>2134</v>
      </c>
      <c r="B2134" s="84">
        <v>45866</v>
      </c>
      <c r="C2134" s="23" t="s">
        <v>1129</v>
      </c>
      <c r="D2134" s="23" t="s">
        <v>243</v>
      </c>
      <c r="G2134" s="23">
        <v>0.8</v>
      </c>
      <c r="I2134" s="217" t="s">
        <v>3065</v>
      </c>
    </row>
    <row r="2135" spans="1:9">
      <c r="A2135" s="23">
        <v>2135</v>
      </c>
      <c r="B2135" s="84">
        <v>45866</v>
      </c>
      <c r="C2135" s="23" t="s">
        <v>1129</v>
      </c>
      <c r="D2135" s="23" t="s">
        <v>246</v>
      </c>
      <c r="G2135" s="23">
        <v>0.8</v>
      </c>
      <c r="I2135" s="217" t="s">
        <v>3066</v>
      </c>
    </row>
    <row r="2136" spans="1:9">
      <c r="A2136" s="23">
        <v>2136</v>
      </c>
      <c r="B2136" s="84">
        <v>45866</v>
      </c>
      <c r="C2136" s="23" t="s">
        <v>1129</v>
      </c>
      <c r="D2136" s="23" t="s">
        <v>227</v>
      </c>
      <c r="G2136" s="23">
        <v>0.8</v>
      </c>
      <c r="I2136" s="217" t="s">
        <v>3067</v>
      </c>
    </row>
    <row r="2137" spans="1:9">
      <c r="A2137" s="23">
        <v>2137</v>
      </c>
      <c r="B2137" s="84">
        <v>45866</v>
      </c>
      <c r="C2137" s="23" t="s">
        <v>1129</v>
      </c>
      <c r="D2137" s="23" t="s">
        <v>230</v>
      </c>
      <c r="G2137" s="23">
        <v>0.8</v>
      </c>
      <c r="I2137" s="217" t="s">
        <v>3068</v>
      </c>
    </row>
    <row r="2138" spans="1:9">
      <c r="A2138" s="23">
        <v>2138</v>
      </c>
      <c r="B2138" s="84">
        <v>45866</v>
      </c>
      <c r="C2138" s="23" t="s">
        <v>1158</v>
      </c>
      <c r="D2138" s="23" t="s">
        <v>240</v>
      </c>
      <c r="G2138" s="23">
        <v>0.8</v>
      </c>
      <c r="I2138" s="217" t="s">
        <v>3069</v>
      </c>
    </row>
    <row r="2139" spans="1:9">
      <c r="A2139" s="23">
        <v>2139</v>
      </c>
      <c r="B2139" s="84">
        <v>45866</v>
      </c>
      <c r="C2139" s="23" t="s">
        <v>1117</v>
      </c>
      <c r="D2139" s="23" t="s">
        <v>200</v>
      </c>
      <c r="G2139" s="23">
        <v>0</v>
      </c>
      <c r="I2139" s="217" t="s">
        <v>3070</v>
      </c>
    </row>
    <row r="2140" spans="1:9">
      <c r="A2140" s="23">
        <v>2140</v>
      </c>
      <c r="B2140" s="84">
        <v>45866</v>
      </c>
      <c r="C2140" s="23" t="s">
        <v>1159</v>
      </c>
      <c r="D2140" s="23" t="s">
        <v>240</v>
      </c>
      <c r="G2140" s="23">
        <v>0</v>
      </c>
      <c r="I2140" s="217" t="s">
        <v>3069</v>
      </c>
    </row>
    <row r="2141" spans="1:9">
      <c r="A2141" s="23">
        <v>2141</v>
      </c>
      <c r="B2141" s="84">
        <v>45866</v>
      </c>
      <c r="C2141" s="23" t="s">
        <v>1157</v>
      </c>
      <c r="D2141" s="23" t="s">
        <v>227</v>
      </c>
      <c r="G2141" s="23">
        <v>0</v>
      </c>
      <c r="I2141" s="217" t="s">
        <v>3067</v>
      </c>
    </row>
    <row r="2142" spans="1:9">
      <c r="A2142" s="23">
        <v>2142</v>
      </c>
      <c r="B2142" s="84">
        <v>45866</v>
      </c>
      <c r="C2142" s="23" t="s">
        <v>379</v>
      </c>
      <c r="D2142" s="23" t="s">
        <v>230</v>
      </c>
      <c r="G2142" s="23">
        <v>0</v>
      </c>
      <c r="I2142" s="217" t="s">
        <v>3068</v>
      </c>
    </row>
    <row r="2143" spans="1:9">
      <c r="A2143" s="23">
        <v>2143</v>
      </c>
      <c r="B2143" s="84">
        <v>45867</v>
      </c>
      <c r="C2143" s="23" t="s">
        <v>1155</v>
      </c>
      <c r="D2143" s="23" t="s">
        <v>243</v>
      </c>
      <c r="G2143" s="23">
        <v>0</v>
      </c>
      <c r="I2143" s="217" t="s">
        <v>3071</v>
      </c>
    </row>
    <row r="2144" spans="1:9">
      <c r="A2144" s="23">
        <v>2144</v>
      </c>
      <c r="B2144" s="84">
        <v>45867</v>
      </c>
      <c r="C2144" s="23" t="s">
        <v>1156</v>
      </c>
      <c r="D2144" s="23" t="s">
        <v>246</v>
      </c>
      <c r="G2144" s="23">
        <v>0</v>
      </c>
      <c r="I2144" s="217" t="s">
        <v>3072</v>
      </c>
    </row>
    <row r="2145" spans="1:9">
      <c r="A2145" s="23">
        <v>2145</v>
      </c>
      <c r="B2145" s="84">
        <v>45867</v>
      </c>
      <c r="C2145" s="23" t="s">
        <v>1160</v>
      </c>
      <c r="D2145" s="23" t="s">
        <v>200</v>
      </c>
      <c r="G2145" s="23">
        <v>1.5</v>
      </c>
      <c r="I2145" s="217" t="s">
        <v>3073</v>
      </c>
    </row>
    <row r="2146" spans="1:9">
      <c r="A2146" s="23">
        <v>2146</v>
      </c>
      <c r="B2146" s="84">
        <v>45867</v>
      </c>
      <c r="C2146" s="23" t="s">
        <v>1145</v>
      </c>
      <c r="D2146" s="23" t="s">
        <v>203</v>
      </c>
      <c r="G2146" s="23">
        <v>0</v>
      </c>
      <c r="I2146" s="217" t="s">
        <v>3074</v>
      </c>
    </row>
    <row r="2147" spans="1:9">
      <c r="A2147" s="23">
        <v>2147</v>
      </c>
      <c r="B2147" s="84">
        <v>45867</v>
      </c>
      <c r="C2147" s="23" t="s">
        <v>459</v>
      </c>
      <c r="D2147" s="23" t="s">
        <v>206</v>
      </c>
      <c r="G2147" s="23">
        <v>0</v>
      </c>
      <c r="I2147" s="217" t="s">
        <v>3075</v>
      </c>
    </row>
    <row r="2148" spans="1:9">
      <c r="A2148" s="23">
        <v>2148</v>
      </c>
      <c r="B2148" s="84">
        <v>45867</v>
      </c>
      <c r="C2148" s="23" t="s">
        <v>403</v>
      </c>
      <c r="D2148" s="23" t="s">
        <v>222</v>
      </c>
      <c r="G2148" s="23">
        <v>0.47499999999999998</v>
      </c>
      <c r="I2148" s="217" t="s">
        <v>3076</v>
      </c>
    </row>
    <row r="2149" spans="1:9">
      <c r="A2149" s="23">
        <v>2149</v>
      </c>
      <c r="B2149" s="84">
        <v>45867</v>
      </c>
      <c r="C2149" s="23" t="s">
        <v>388</v>
      </c>
      <c r="D2149" s="23" t="s">
        <v>216</v>
      </c>
      <c r="G2149" s="23">
        <v>0</v>
      </c>
      <c r="I2149" s="217" t="s">
        <v>3077</v>
      </c>
    </row>
    <row r="2150" spans="1:9">
      <c r="A2150" s="23">
        <v>2150</v>
      </c>
      <c r="B2150" s="84">
        <v>45867</v>
      </c>
      <c r="C2150" s="23" t="s">
        <v>1163</v>
      </c>
      <c r="D2150" s="23" t="s">
        <v>240</v>
      </c>
      <c r="G2150" s="23">
        <v>0.8</v>
      </c>
      <c r="I2150" s="217" t="s">
        <v>3078</v>
      </c>
    </row>
    <row r="2151" spans="1:9">
      <c r="A2151" s="23">
        <v>2151</v>
      </c>
      <c r="B2151" s="84">
        <v>45867</v>
      </c>
      <c r="C2151" s="23" t="s">
        <v>1164</v>
      </c>
      <c r="D2151" s="23" t="s">
        <v>233</v>
      </c>
      <c r="G2151" s="23">
        <v>1.5</v>
      </c>
      <c r="I2151" s="217" t="s">
        <v>3079</v>
      </c>
    </row>
    <row r="2152" spans="1:9">
      <c r="A2152" s="23">
        <v>2152</v>
      </c>
      <c r="B2152" s="84">
        <v>45867</v>
      </c>
      <c r="C2152" s="23" t="s">
        <v>231</v>
      </c>
      <c r="D2152" s="23" t="s">
        <v>240</v>
      </c>
      <c r="G2152" s="23">
        <v>0</v>
      </c>
      <c r="I2152" s="217" t="s">
        <v>3078</v>
      </c>
    </row>
    <row r="2153" spans="1:9">
      <c r="A2153" s="23">
        <v>2153</v>
      </c>
      <c r="B2153" s="84">
        <v>45867</v>
      </c>
      <c r="C2153" s="23" t="s">
        <v>1166</v>
      </c>
      <c r="D2153" s="23" t="s">
        <v>243</v>
      </c>
      <c r="G2153" s="23">
        <v>0.8</v>
      </c>
      <c r="I2153" s="217" t="s">
        <v>3080</v>
      </c>
    </row>
    <row r="2154" spans="1:9">
      <c r="A2154" s="23">
        <v>2154</v>
      </c>
      <c r="B2154" s="84">
        <v>45867</v>
      </c>
      <c r="C2154" s="23" t="s">
        <v>717</v>
      </c>
      <c r="D2154" s="23" t="s">
        <v>227</v>
      </c>
      <c r="G2154" s="23">
        <v>0.75</v>
      </c>
      <c r="I2154" s="217" t="s">
        <v>3081</v>
      </c>
    </row>
    <row r="2155" spans="1:9">
      <c r="A2155" s="23">
        <v>2155</v>
      </c>
      <c r="B2155" s="84">
        <v>45867</v>
      </c>
      <c r="C2155" s="23" t="s">
        <v>236</v>
      </c>
      <c r="D2155" s="23" t="s">
        <v>235</v>
      </c>
      <c r="G2155" s="23">
        <v>0.76</v>
      </c>
      <c r="I2155" s="217" t="s">
        <v>3082</v>
      </c>
    </row>
    <row r="2156" spans="1:9">
      <c r="A2156" s="23">
        <v>2156</v>
      </c>
      <c r="B2156" s="84">
        <v>45867</v>
      </c>
      <c r="C2156" s="23" t="s">
        <v>215</v>
      </c>
      <c r="D2156" s="23" t="s">
        <v>213</v>
      </c>
      <c r="G2156" s="23">
        <v>0</v>
      </c>
      <c r="I2156" s="217" t="s">
        <v>3083</v>
      </c>
    </row>
    <row r="2157" spans="1:9">
      <c r="A2157" s="23">
        <v>2157</v>
      </c>
      <c r="B2157" s="84">
        <v>45867</v>
      </c>
      <c r="C2157" s="23" t="s">
        <v>1101</v>
      </c>
      <c r="D2157" s="23" t="s">
        <v>230</v>
      </c>
      <c r="G2157" s="23">
        <v>75</v>
      </c>
      <c r="I2157" s="217" t="s">
        <v>3084</v>
      </c>
    </row>
    <row r="2158" spans="1:9">
      <c r="A2158" s="23">
        <v>2158</v>
      </c>
      <c r="B2158" s="84">
        <v>45867</v>
      </c>
      <c r="C2158" s="23" t="s">
        <v>845</v>
      </c>
      <c r="D2158" s="23" t="s">
        <v>243</v>
      </c>
      <c r="G2158" s="23">
        <v>0</v>
      </c>
      <c r="I2158" s="217" t="s">
        <v>3085</v>
      </c>
    </row>
    <row r="2159" spans="1:9">
      <c r="A2159" s="23">
        <v>2159</v>
      </c>
      <c r="B2159" s="84">
        <v>45867</v>
      </c>
      <c r="C2159" s="23" t="s">
        <v>1167</v>
      </c>
      <c r="D2159" s="23" t="s">
        <v>227</v>
      </c>
      <c r="G2159" s="23">
        <v>0</v>
      </c>
      <c r="I2159" s="217" t="s">
        <v>3086</v>
      </c>
    </row>
    <row r="2160" spans="1:9">
      <c r="A2160" s="23">
        <v>2160</v>
      </c>
      <c r="B2160" s="84">
        <v>45867</v>
      </c>
      <c r="C2160" s="23" t="s">
        <v>1010</v>
      </c>
      <c r="D2160" s="23" t="s">
        <v>230</v>
      </c>
      <c r="G2160" s="23">
        <v>0</v>
      </c>
      <c r="I2160" s="217" t="s">
        <v>3084</v>
      </c>
    </row>
    <row r="2161" spans="1:9">
      <c r="A2161" s="23">
        <v>2161</v>
      </c>
      <c r="B2161" s="84">
        <v>45867</v>
      </c>
      <c r="C2161" s="23" t="s">
        <v>410</v>
      </c>
      <c r="D2161" s="23" t="s">
        <v>203</v>
      </c>
      <c r="G2161" s="23">
        <v>2</v>
      </c>
      <c r="I2161" s="217" t="s">
        <v>3087</v>
      </c>
    </row>
    <row r="2162" spans="1:9">
      <c r="A2162" s="23">
        <v>2162</v>
      </c>
      <c r="B2162" s="84">
        <v>45867</v>
      </c>
      <c r="C2162" s="23" t="s">
        <v>864</v>
      </c>
      <c r="D2162" s="23" t="s">
        <v>203</v>
      </c>
      <c r="G2162" s="23">
        <v>0</v>
      </c>
      <c r="I2162" s="217" t="s">
        <v>3087</v>
      </c>
    </row>
    <row r="2163" spans="1:9">
      <c r="A2163" s="23">
        <v>2163</v>
      </c>
      <c r="B2163" s="84">
        <v>45867</v>
      </c>
      <c r="C2163" s="23" t="s">
        <v>847</v>
      </c>
      <c r="D2163" s="23" t="s">
        <v>243</v>
      </c>
      <c r="G2163" s="23">
        <v>0.75</v>
      </c>
      <c r="I2163" s="217" t="s">
        <v>3088</v>
      </c>
    </row>
    <row r="2164" spans="1:9">
      <c r="A2164" s="23">
        <v>2164</v>
      </c>
      <c r="B2164" s="84">
        <v>45867</v>
      </c>
      <c r="C2164" s="23" t="s">
        <v>292</v>
      </c>
      <c r="D2164" s="23" t="s">
        <v>246</v>
      </c>
      <c r="G2164" s="23">
        <v>0.75</v>
      </c>
      <c r="I2164" s="217" t="s">
        <v>3089</v>
      </c>
    </row>
    <row r="2165" spans="1:9">
      <c r="A2165" s="23">
        <v>2165</v>
      </c>
      <c r="B2165" s="84">
        <v>45867</v>
      </c>
      <c r="C2165" s="23" t="s">
        <v>241</v>
      </c>
      <c r="D2165" s="23" t="s">
        <v>227</v>
      </c>
      <c r="G2165" s="23">
        <v>0.75</v>
      </c>
      <c r="I2165" s="217" t="s">
        <v>3090</v>
      </c>
    </row>
    <row r="2166" spans="1:9">
      <c r="A2166" s="23">
        <v>2166</v>
      </c>
      <c r="B2166" s="84">
        <v>45867</v>
      </c>
      <c r="C2166" s="23" t="s">
        <v>719</v>
      </c>
      <c r="D2166" s="23" t="s">
        <v>230</v>
      </c>
      <c r="G2166" s="23">
        <v>0.75</v>
      </c>
      <c r="I2166" s="217" t="s">
        <v>3091</v>
      </c>
    </row>
    <row r="2167" spans="1:9">
      <c r="A2167" s="23">
        <v>2167</v>
      </c>
      <c r="B2167" s="84">
        <v>45867</v>
      </c>
      <c r="C2167" s="23" t="s">
        <v>820</v>
      </c>
      <c r="D2167" s="23" t="s">
        <v>203</v>
      </c>
      <c r="G2167" s="23">
        <v>6.7</v>
      </c>
      <c r="I2167" s="217" t="s">
        <v>1236</v>
      </c>
    </row>
    <row r="2168" spans="1:9">
      <c r="A2168" s="23">
        <v>2168</v>
      </c>
      <c r="B2168" s="84">
        <v>45867</v>
      </c>
      <c r="C2168" s="23" t="s">
        <v>1042</v>
      </c>
      <c r="D2168" s="23" t="s">
        <v>243</v>
      </c>
      <c r="G2168" s="23">
        <v>0</v>
      </c>
      <c r="I2168" s="217" t="s">
        <v>3092</v>
      </c>
    </row>
    <row r="2169" spans="1:9">
      <c r="A2169" s="23">
        <v>2169</v>
      </c>
      <c r="B2169" s="84">
        <v>45867</v>
      </c>
      <c r="C2169" s="23" t="s">
        <v>369</v>
      </c>
      <c r="D2169" s="23" t="s">
        <v>246</v>
      </c>
      <c r="G2169" s="23">
        <v>0</v>
      </c>
      <c r="I2169" s="217" t="s">
        <v>3093</v>
      </c>
    </row>
    <row r="2170" spans="1:9">
      <c r="A2170" s="23">
        <v>2170</v>
      </c>
      <c r="B2170" s="84">
        <v>45867</v>
      </c>
      <c r="C2170" s="23" t="s">
        <v>245</v>
      </c>
      <c r="D2170" s="23" t="s">
        <v>326</v>
      </c>
      <c r="G2170" s="23">
        <v>2</v>
      </c>
      <c r="I2170" s="217" t="s">
        <v>3094</v>
      </c>
    </row>
    <row r="2171" spans="1:9">
      <c r="A2171" s="23">
        <v>2171</v>
      </c>
      <c r="B2171" s="84">
        <v>45867</v>
      </c>
      <c r="C2171" s="23" t="s">
        <v>926</v>
      </c>
      <c r="D2171" s="23" t="s">
        <v>227</v>
      </c>
      <c r="G2171" s="23">
        <v>0</v>
      </c>
      <c r="I2171" s="217" t="s">
        <v>3095</v>
      </c>
    </row>
    <row r="2172" spans="1:9">
      <c r="A2172" s="23">
        <v>2172</v>
      </c>
      <c r="B2172" s="84">
        <v>45867</v>
      </c>
      <c r="C2172" s="23" t="s">
        <v>1168</v>
      </c>
      <c r="D2172" s="23" t="s">
        <v>230</v>
      </c>
      <c r="G2172" s="23">
        <v>0</v>
      </c>
      <c r="I2172" s="217" t="s">
        <v>3096</v>
      </c>
    </row>
    <row r="2173" spans="1:9">
      <c r="A2173" s="23">
        <v>2173</v>
      </c>
      <c r="B2173" s="84">
        <v>45867</v>
      </c>
      <c r="C2173" s="23" t="s">
        <v>574</v>
      </c>
      <c r="D2173" s="23" t="s">
        <v>243</v>
      </c>
      <c r="G2173" s="23">
        <v>0.75</v>
      </c>
      <c r="I2173" s="217" t="s">
        <v>1236</v>
      </c>
    </row>
    <row r="2174" spans="1:9">
      <c r="A2174" s="23">
        <v>2174</v>
      </c>
      <c r="B2174" s="84">
        <v>45867</v>
      </c>
      <c r="C2174" s="23" t="s">
        <v>377</v>
      </c>
      <c r="D2174" s="23" t="s">
        <v>254</v>
      </c>
      <c r="G2174" s="23">
        <v>3.8</v>
      </c>
      <c r="I2174" s="217" t="s">
        <v>3097</v>
      </c>
    </row>
    <row r="2175" spans="1:9">
      <c r="A2175" s="23">
        <v>2175</v>
      </c>
      <c r="B2175" s="84">
        <v>45867</v>
      </c>
      <c r="C2175" s="23" t="s">
        <v>1169</v>
      </c>
      <c r="D2175" s="23" t="s">
        <v>243</v>
      </c>
      <c r="G2175" s="23">
        <v>0</v>
      </c>
      <c r="I2175" s="217" t="s">
        <v>3092</v>
      </c>
    </row>
    <row r="2176" spans="1:9">
      <c r="A2176" s="23">
        <v>2176</v>
      </c>
      <c r="B2176" s="84">
        <v>45867</v>
      </c>
      <c r="C2176" s="23" t="s">
        <v>221</v>
      </c>
      <c r="D2176" s="23" t="s">
        <v>246</v>
      </c>
      <c r="G2176" s="23">
        <v>0.8</v>
      </c>
      <c r="I2176" s="217" t="s">
        <v>3098</v>
      </c>
    </row>
    <row r="2177" spans="1:9">
      <c r="A2177" s="23">
        <v>2177</v>
      </c>
      <c r="B2177" s="84">
        <v>45867</v>
      </c>
      <c r="C2177" s="23" t="s">
        <v>776</v>
      </c>
      <c r="D2177" s="23" t="s">
        <v>227</v>
      </c>
      <c r="G2177" s="23">
        <v>0.8</v>
      </c>
      <c r="I2177" s="217" t="s">
        <v>3099</v>
      </c>
    </row>
    <row r="2178" spans="1:9">
      <c r="A2178" s="23">
        <v>2178</v>
      </c>
      <c r="B2178" s="84">
        <v>45867</v>
      </c>
      <c r="C2178" s="23" t="s">
        <v>480</v>
      </c>
      <c r="D2178" s="23" t="s">
        <v>230</v>
      </c>
      <c r="G2178" s="23">
        <v>0.7</v>
      </c>
      <c r="I2178" s="217" t="s">
        <v>3100</v>
      </c>
    </row>
    <row r="2179" spans="1:9">
      <c r="A2179" s="23">
        <v>2179</v>
      </c>
      <c r="B2179" s="84">
        <v>45867</v>
      </c>
      <c r="C2179" s="23" t="s">
        <v>308</v>
      </c>
      <c r="D2179" s="23" t="s">
        <v>243</v>
      </c>
      <c r="G2179" s="23">
        <v>0.8</v>
      </c>
      <c r="I2179" s="217" t="s">
        <v>3101</v>
      </c>
    </row>
    <row r="2180" spans="1:9">
      <c r="A2180" s="23">
        <v>2180</v>
      </c>
      <c r="B2180" s="84">
        <v>45867</v>
      </c>
      <c r="C2180" s="23" t="s">
        <v>346</v>
      </c>
      <c r="D2180" s="23" t="s">
        <v>240</v>
      </c>
      <c r="G2180" s="23">
        <v>0.8</v>
      </c>
      <c r="I2180" s="217" t="s">
        <v>3102</v>
      </c>
    </row>
    <row r="2181" spans="1:9">
      <c r="A2181" s="23">
        <v>2181</v>
      </c>
      <c r="B2181" s="84">
        <v>45867</v>
      </c>
      <c r="C2181" s="23" t="s">
        <v>490</v>
      </c>
      <c r="D2181" s="23" t="s">
        <v>312</v>
      </c>
      <c r="G2181" s="23">
        <v>2.5</v>
      </c>
      <c r="I2181" s="217" t="s">
        <v>3103</v>
      </c>
    </row>
    <row r="2182" spans="1:9">
      <c r="A2182" s="23">
        <v>2182</v>
      </c>
      <c r="B2182" s="84">
        <v>45867</v>
      </c>
      <c r="C2182" s="23" t="s">
        <v>313</v>
      </c>
      <c r="D2182" s="23" t="s">
        <v>246</v>
      </c>
      <c r="G2182" s="23">
        <v>0</v>
      </c>
      <c r="I2182" s="217" t="s">
        <v>3098</v>
      </c>
    </row>
    <row r="2183" spans="1:9">
      <c r="A2183" s="23">
        <v>2183</v>
      </c>
      <c r="B2183" s="84">
        <v>45867</v>
      </c>
      <c r="C2183" s="23" t="s">
        <v>483</v>
      </c>
      <c r="D2183" s="23" t="s">
        <v>227</v>
      </c>
      <c r="G2183" s="23">
        <v>0</v>
      </c>
      <c r="I2183" s="217" t="s">
        <v>3099</v>
      </c>
    </row>
    <row r="2184" spans="1:9">
      <c r="A2184" s="23">
        <v>2184</v>
      </c>
      <c r="B2184" s="84">
        <v>45867</v>
      </c>
      <c r="C2184" s="23" t="s">
        <v>558</v>
      </c>
      <c r="D2184" s="23" t="s">
        <v>216</v>
      </c>
      <c r="G2184" s="23">
        <v>0.7</v>
      </c>
      <c r="I2184" s="217" t="s">
        <v>3104</v>
      </c>
    </row>
    <row r="2185" spans="1:9">
      <c r="A2185" s="23">
        <v>2185</v>
      </c>
      <c r="B2185" s="84">
        <v>45867</v>
      </c>
      <c r="C2185" s="23" t="s">
        <v>663</v>
      </c>
      <c r="D2185" s="23" t="s">
        <v>206</v>
      </c>
      <c r="G2185" s="23">
        <v>1</v>
      </c>
      <c r="I2185" s="217" t="s">
        <v>3105</v>
      </c>
    </row>
    <row r="2186" spans="1:9">
      <c r="A2186" s="23">
        <v>2186</v>
      </c>
      <c r="B2186" s="84">
        <v>45867</v>
      </c>
      <c r="C2186" s="23" t="s">
        <v>1165</v>
      </c>
      <c r="D2186" s="23" t="s">
        <v>233</v>
      </c>
      <c r="G2186" s="23">
        <v>0</v>
      </c>
      <c r="I2186" s="217" t="s">
        <v>3106</v>
      </c>
    </row>
    <row r="2187" spans="1:9">
      <c r="A2187" s="23">
        <v>2187</v>
      </c>
      <c r="B2187" s="84">
        <v>45867</v>
      </c>
      <c r="C2187" s="23" t="s">
        <v>1171</v>
      </c>
      <c r="D2187" s="23" t="s">
        <v>246</v>
      </c>
      <c r="G2187" s="23">
        <v>0.7</v>
      </c>
      <c r="I2187" s="217" t="s">
        <v>3107</v>
      </c>
    </row>
    <row r="2188" spans="1:9">
      <c r="A2188" s="23">
        <v>2188</v>
      </c>
      <c r="B2188" s="84">
        <v>45867</v>
      </c>
      <c r="C2188" s="23" t="s">
        <v>889</v>
      </c>
      <c r="D2188" s="23" t="s">
        <v>227</v>
      </c>
      <c r="G2188" s="23">
        <v>0.7</v>
      </c>
      <c r="I2188" s="217" t="s">
        <v>3108</v>
      </c>
    </row>
    <row r="2189" spans="1:9">
      <c r="A2189" s="23">
        <v>2189</v>
      </c>
      <c r="B2189" s="84">
        <v>45867</v>
      </c>
      <c r="C2189" s="23" t="s">
        <v>1172</v>
      </c>
      <c r="D2189" s="23" t="s">
        <v>297</v>
      </c>
      <c r="G2189" s="23">
        <v>0.8</v>
      </c>
      <c r="I2189" s="217" t="s">
        <v>3109</v>
      </c>
    </row>
    <row r="2190" spans="1:9">
      <c r="A2190" s="23">
        <v>2190</v>
      </c>
      <c r="B2190" s="84">
        <v>45867</v>
      </c>
      <c r="C2190" s="23" t="s">
        <v>224</v>
      </c>
      <c r="D2190" s="23" t="s">
        <v>219</v>
      </c>
      <c r="G2190" s="23">
        <v>0</v>
      </c>
      <c r="I2190" s="217" t="s">
        <v>3110</v>
      </c>
    </row>
    <row r="2191" spans="1:9">
      <c r="A2191" s="23">
        <v>2191</v>
      </c>
      <c r="B2191" s="84">
        <v>45867</v>
      </c>
      <c r="C2191" s="23" t="s">
        <v>917</v>
      </c>
      <c r="D2191" s="23" t="s">
        <v>297</v>
      </c>
      <c r="G2191" s="23">
        <v>0</v>
      </c>
      <c r="I2191" s="217" t="s">
        <v>3111</v>
      </c>
    </row>
    <row r="2192" spans="1:9">
      <c r="A2192" s="23">
        <v>2192</v>
      </c>
      <c r="B2192" s="84">
        <v>45867</v>
      </c>
      <c r="C2192" s="23" t="s">
        <v>916</v>
      </c>
      <c r="D2192" s="23" t="s">
        <v>230</v>
      </c>
      <c r="G2192" s="23">
        <v>0</v>
      </c>
      <c r="I2192" s="217" t="s">
        <v>3112</v>
      </c>
    </row>
    <row r="2193" spans="1:9">
      <c r="A2193" s="23">
        <v>2193</v>
      </c>
      <c r="B2193" s="84">
        <v>45867</v>
      </c>
      <c r="C2193" s="23" t="s">
        <v>395</v>
      </c>
      <c r="D2193" s="23" t="s">
        <v>240</v>
      </c>
      <c r="G2193" s="23">
        <v>0</v>
      </c>
      <c r="I2193" s="217" t="s">
        <v>3113</v>
      </c>
    </row>
    <row r="2194" spans="1:9">
      <c r="A2194" s="23">
        <v>2194</v>
      </c>
      <c r="B2194" s="84">
        <v>45867</v>
      </c>
      <c r="C2194" s="23" t="s">
        <v>622</v>
      </c>
      <c r="D2194" s="23" t="s">
        <v>243</v>
      </c>
      <c r="G2194" s="23">
        <v>0</v>
      </c>
      <c r="I2194" s="217" t="s">
        <v>3114</v>
      </c>
    </row>
    <row r="2195" spans="1:9">
      <c r="A2195" s="23">
        <v>2195</v>
      </c>
      <c r="B2195" s="84">
        <v>45867</v>
      </c>
      <c r="C2195" s="23" t="s">
        <v>919</v>
      </c>
      <c r="D2195" s="23" t="s">
        <v>246</v>
      </c>
      <c r="G2195" s="23">
        <v>0</v>
      </c>
      <c r="I2195" s="217" t="s">
        <v>3115</v>
      </c>
    </row>
    <row r="2196" spans="1:9">
      <c r="A2196" s="23">
        <v>2196</v>
      </c>
      <c r="B2196" s="84">
        <v>45867</v>
      </c>
      <c r="C2196" s="23" t="s">
        <v>628</v>
      </c>
      <c r="D2196" s="23" t="s">
        <v>227</v>
      </c>
      <c r="G2196" s="23">
        <v>0</v>
      </c>
      <c r="I2196" s="217" t="s">
        <v>3116</v>
      </c>
    </row>
    <row r="2197" spans="1:9">
      <c r="A2197" s="23">
        <v>2197</v>
      </c>
      <c r="B2197" s="84">
        <v>45867</v>
      </c>
      <c r="C2197" s="23" t="s">
        <v>220</v>
      </c>
      <c r="D2197" s="23" t="s">
        <v>213</v>
      </c>
      <c r="G2197" s="23">
        <v>0.91</v>
      </c>
      <c r="I2197" s="217" t="s">
        <v>3117</v>
      </c>
    </row>
    <row r="2198" spans="1:9">
      <c r="A2198" s="23">
        <v>2198</v>
      </c>
      <c r="B2198" s="84">
        <v>45867</v>
      </c>
      <c r="C2198" s="23" t="s">
        <v>277</v>
      </c>
      <c r="D2198" s="23" t="s">
        <v>235</v>
      </c>
      <c r="G2198" s="23">
        <v>0</v>
      </c>
      <c r="I2198" s="217" t="s">
        <v>3118</v>
      </c>
    </row>
    <row r="2199" spans="1:9">
      <c r="A2199" s="23">
        <v>2199</v>
      </c>
      <c r="B2199" s="84">
        <v>45867</v>
      </c>
      <c r="C2199" s="23" t="s">
        <v>764</v>
      </c>
      <c r="D2199" s="23" t="s">
        <v>219</v>
      </c>
      <c r="G2199" s="23">
        <v>0.72</v>
      </c>
      <c r="I2199" s="217" t="s">
        <v>3119</v>
      </c>
    </row>
    <row r="2200" spans="1:9">
      <c r="A2200" s="23">
        <v>2200</v>
      </c>
      <c r="B2200" s="84">
        <v>45867</v>
      </c>
      <c r="C2200" s="23" t="s">
        <v>812</v>
      </c>
      <c r="D2200" s="23" t="s">
        <v>197</v>
      </c>
      <c r="G2200" s="23">
        <v>0</v>
      </c>
      <c r="I2200" s="217" t="s">
        <v>3120</v>
      </c>
    </row>
    <row r="2201" spans="1:9">
      <c r="A2201" s="23">
        <v>2201</v>
      </c>
      <c r="B2201" s="84">
        <v>45867</v>
      </c>
      <c r="C2201" s="23" t="s">
        <v>812</v>
      </c>
      <c r="D2201" s="23" t="s">
        <v>197</v>
      </c>
      <c r="G2201" s="23" t="s">
        <v>9</v>
      </c>
      <c r="I2201" s="217" t="s">
        <v>1236</v>
      </c>
    </row>
    <row r="2202" spans="1:9">
      <c r="A2202" s="23">
        <v>2202</v>
      </c>
      <c r="B2202" s="84">
        <v>45867</v>
      </c>
      <c r="C2202" s="23" t="s">
        <v>979</v>
      </c>
      <c r="D2202" s="23" t="s">
        <v>240</v>
      </c>
      <c r="G2202" s="23">
        <v>0.8</v>
      </c>
      <c r="I2202" s="217" t="s">
        <v>3121</v>
      </c>
    </row>
    <row r="2203" spans="1:9">
      <c r="A2203" s="23">
        <v>2203</v>
      </c>
      <c r="B2203" s="84">
        <v>45867</v>
      </c>
      <c r="C2203" s="23" t="s">
        <v>979</v>
      </c>
      <c r="D2203" s="23" t="s">
        <v>227</v>
      </c>
      <c r="G2203" s="23">
        <v>0.8</v>
      </c>
      <c r="I2203" s="217" t="s">
        <v>3122</v>
      </c>
    </row>
    <row r="2204" spans="1:9">
      <c r="A2204" s="23">
        <v>2204</v>
      </c>
      <c r="B2204" s="84">
        <v>45867</v>
      </c>
      <c r="C2204" s="23" t="s">
        <v>979</v>
      </c>
      <c r="D2204" s="23" t="s">
        <v>230</v>
      </c>
      <c r="G2204" s="23">
        <v>0.8</v>
      </c>
      <c r="I2204" s="217" t="s">
        <v>3123</v>
      </c>
    </row>
    <row r="2205" spans="1:9">
      <c r="A2205" s="23">
        <v>2205</v>
      </c>
      <c r="B2205" s="84">
        <v>45867</v>
      </c>
      <c r="C2205" s="23" t="s">
        <v>1173</v>
      </c>
      <c r="D2205" s="23" t="s">
        <v>227</v>
      </c>
      <c r="G2205" s="23">
        <v>0</v>
      </c>
      <c r="I2205" s="217" t="s">
        <v>3122</v>
      </c>
    </row>
    <row r="2206" spans="1:9">
      <c r="A2206" s="23">
        <v>2206</v>
      </c>
      <c r="B2206" s="84">
        <v>45867</v>
      </c>
      <c r="C2206" s="23" t="s">
        <v>1126</v>
      </c>
      <c r="D2206" s="23" t="s">
        <v>230</v>
      </c>
      <c r="G2206" s="23">
        <v>0</v>
      </c>
      <c r="I2206" s="217" t="s">
        <v>3123</v>
      </c>
    </row>
    <row r="2207" spans="1:9">
      <c r="A2207" s="23">
        <v>2207</v>
      </c>
      <c r="B2207" s="84">
        <v>45867</v>
      </c>
      <c r="C2207" s="23" t="s">
        <v>983</v>
      </c>
      <c r="D2207" s="23" t="s">
        <v>240</v>
      </c>
      <c r="G2207" s="23">
        <v>0</v>
      </c>
      <c r="I2207" s="217" t="s">
        <v>3121</v>
      </c>
    </row>
    <row r="2208" spans="1:9">
      <c r="A2208" s="23">
        <v>2208</v>
      </c>
      <c r="B2208" s="84">
        <v>45867</v>
      </c>
      <c r="C2208" s="23" t="s">
        <v>450</v>
      </c>
      <c r="D2208" s="23" t="s">
        <v>219</v>
      </c>
      <c r="G2208" s="23">
        <v>0</v>
      </c>
      <c r="I2208" s="217" t="s">
        <v>3124</v>
      </c>
    </row>
    <row r="2209" spans="1:9">
      <c r="A2209" s="23">
        <v>2209</v>
      </c>
      <c r="B2209" s="84">
        <v>45867</v>
      </c>
      <c r="C2209" s="23" t="s">
        <v>754</v>
      </c>
      <c r="D2209" s="23" t="s">
        <v>312</v>
      </c>
      <c r="G2209" s="23">
        <v>0</v>
      </c>
      <c r="I2209" s="217" t="s">
        <v>3125</v>
      </c>
    </row>
    <row r="2210" spans="1:9">
      <c r="A2210" s="23">
        <v>2210</v>
      </c>
      <c r="B2210" s="84">
        <v>45867</v>
      </c>
      <c r="C2210" s="23" t="s">
        <v>1170</v>
      </c>
      <c r="D2210" s="23" t="s">
        <v>254</v>
      </c>
      <c r="G2210" s="23">
        <v>0</v>
      </c>
      <c r="I2210" s="217" t="s">
        <v>3126</v>
      </c>
    </row>
    <row r="2211" spans="1:9">
      <c r="A2211" s="23">
        <v>2211</v>
      </c>
      <c r="B2211" s="84">
        <v>45868</v>
      </c>
      <c r="C2211" s="23" t="s">
        <v>249</v>
      </c>
      <c r="D2211" s="23" t="s">
        <v>326</v>
      </c>
      <c r="G2211" s="23">
        <v>0</v>
      </c>
      <c r="I2211" s="217" t="s">
        <v>3127</v>
      </c>
    </row>
    <row r="2212" spans="1:9">
      <c r="A2212" s="23">
        <v>2212</v>
      </c>
      <c r="B2212" s="84">
        <v>45868</v>
      </c>
      <c r="C2212" s="23" t="s">
        <v>1174</v>
      </c>
      <c r="D2212" s="23" t="s">
        <v>219</v>
      </c>
      <c r="G2212" s="23">
        <v>0.52</v>
      </c>
      <c r="I2212" s="217" t="s">
        <v>3128</v>
      </c>
    </row>
    <row r="2213" spans="1:9">
      <c r="A2213" s="23">
        <v>2213</v>
      </c>
      <c r="B2213" s="84">
        <v>45868</v>
      </c>
      <c r="C2213" s="23" t="s">
        <v>1162</v>
      </c>
      <c r="D2213" s="23" t="s">
        <v>222</v>
      </c>
      <c r="G2213" s="23">
        <v>0</v>
      </c>
      <c r="I2213" s="217" t="s">
        <v>3129</v>
      </c>
    </row>
    <row r="2214" spans="1:9">
      <c r="A2214" s="23">
        <v>2214</v>
      </c>
      <c r="B2214" s="84">
        <v>45868</v>
      </c>
      <c r="C2214" s="23" t="s">
        <v>1145</v>
      </c>
      <c r="D2214" s="23" t="s">
        <v>206</v>
      </c>
      <c r="G2214" s="23">
        <v>0</v>
      </c>
      <c r="I2214" s="217" t="s">
        <v>3130</v>
      </c>
    </row>
    <row r="2215" spans="1:9">
      <c r="A2215" s="23">
        <v>2215</v>
      </c>
      <c r="B2215" s="84">
        <v>45868</v>
      </c>
      <c r="C2215" s="23" t="s">
        <v>843</v>
      </c>
      <c r="D2215" s="23" t="s">
        <v>246</v>
      </c>
      <c r="G2215" s="23">
        <v>0.8</v>
      </c>
      <c r="I2215" s="217" t="s">
        <v>3131</v>
      </c>
    </row>
    <row r="2216" spans="1:9">
      <c r="A2216" s="23">
        <v>2217</v>
      </c>
      <c r="B2216" s="84">
        <v>45868</v>
      </c>
      <c r="C2216" s="23" t="s">
        <v>467</v>
      </c>
      <c r="D2216" s="23" t="s">
        <v>246</v>
      </c>
      <c r="G2216" s="23">
        <v>0</v>
      </c>
      <c r="I2216" s="217" t="s">
        <v>3132</v>
      </c>
    </row>
    <row r="2217" spans="1:9">
      <c r="A2217" s="23">
        <v>2218</v>
      </c>
      <c r="B2217" s="84">
        <v>45868</v>
      </c>
      <c r="C2217" s="23" t="s">
        <v>1008</v>
      </c>
      <c r="D2217" s="23" t="s">
        <v>243</v>
      </c>
      <c r="G2217" s="23">
        <v>0.8</v>
      </c>
      <c r="I2217" s="217" t="s">
        <v>3133</v>
      </c>
    </row>
    <row r="2218" spans="1:9">
      <c r="A2218" s="23">
        <v>2219</v>
      </c>
      <c r="B2218" s="84">
        <v>45868</v>
      </c>
      <c r="C2218" s="23" t="s">
        <v>354</v>
      </c>
      <c r="D2218" s="23" t="s">
        <v>246</v>
      </c>
      <c r="G2218" s="23">
        <v>0.8</v>
      </c>
      <c r="I2218" s="217" t="s">
        <v>1236</v>
      </c>
    </row>
    <row r="2219" spans="1:9">
      <c r="A2219" s="23">
        <v>2220</v>
      </c>
      <c r="B2219" s="84">
        <v>45868</v>
      </c>
      <c r="C2219" s="23" t="s">
        <v>471</v>
      </c>
      <c r="D2219" s="23" t="s">
        <v>243</v>
      </c>
      <c r="G2219" s="23">
        <v>0</v>
      </c>
      <c r="H2219" s="23" t="s">
        <v>3134</v>
      </c>
      <c r="I2219" s="217" t="s">
        <v>3133</v>
      </c>
    </row>
    <row r="2220" spans="1:9">
      <c r="A2220" s="23">
        <v>2221</v>
      </c>
      <c r="B2220" s="84">
        <v>45868</v>
      </c>
      <c r="C2220" s="23" t="s">
        <v>560</v>
      </c>
      <c r="D2220" s="23" t="s">
        <v>243</v>
      </c>
      <c r="G2220" s="23">
        <v>0.8</v>
      </c>
      <c r="I2220" s="217" t="s">
        <v>1236</v>
      </c>
    </row>
    <row r="2221" spans="1:9">
      <c r="A2221" s="23">
        <v>2222</v>
      </c>
      <c r="B2221" s="84">
        <v>45868</v>
      </c>
      <c r="C2221" s="23" t="s">
        <v>874</v>
      </c>
      <c r="D2221" s="23" t="s">
        <v>227</v>
      </c>
      <c r="G2221" s="23">
        <v>0.8</v>
      </c>
      <c r="I2221" s="217" t="s">
        <v>3135</v>
      </c>
    </row>
    <row r="2222" spans="1:9">
      <c r="A2222" s="23">
        <v>2223</v>
      </c>
      <c r="B2222" s="84">
        <v>45868</v>
      </c>
      <c r="C2222" s="23" t="s">
        <v>809</v>
      </c>
      <c r="D2222" s="23" t="s">
        <v>233</v>
      </c>
      <c r="G2222" s="23">
        <v>3.8</v>
      </c>
      <c r="I2222" s="217" t="s">
        <v>3136</v>
      </c>
    </row>
    <row r="2223" spans="1:9">
      <c r="A2223" s="23">
        <v>2223</v>
      </c>
      <c r="B2223" s="84">
        <v>45868</v>
      </c>
      <c r="C2223" s="23" t="s">
        <v>815</v>
      </c>
      <c r="D2223" s="23" t="s">
        <v>243</v>
      </c>
      <c r="G2223" s="23">
        <v>0</v>
      </c>
      <c r="I2223" s="217" t="s">
        <v>3137</v>
      </c>
    </row>
    <row r="2224" spans="1:9">
      <c r="A2224" s="23">
        <v>2224</v>
      </c>
      <c r="B2224" s="84">
        <v>45868</v>
      </c>
      <c r="C2224" s="23" t="s">
        <v>350</v>
      </c>
      <c r="D2224" s="23" t="s">
        <v>246</v>
      </c>
      <c r="G2224" s="23">
        <v>0</v>
      </c>
      <c r="I2224" s="217" t="s">
        <v>3138</v>
      </c>
    </row>
    <row r="2225" spans="1:9">
      <c r="A2225" s="23">
        <v>2225</v>
      </c>
      <c r="B2225" s="84">
        <v>45868</v>
      </c>
      <c r="C2225" s="23" t="s">
        <v>371</v>
      </c>
      <c r="D2225" s="23" t="s">
        <v>227</v>
      </c>
      <c r="G2225" s="23">
        <v>0</v>
      </c>
      <c r="I2225" s="217" t="s">
        <v>3139</v>
      </c>
    </row>
    <row r="2226" spans="1:9">
      <c r="A2226" s="23">
        <v>2226</v>
      </c>
      <c r="B2226" s="84">
        <v>45868</v>
      </c>
      <c r="C2226" s="23" t="s">
        <v>1080</v>
      </c>
      <c r="D2226" s="23" t="s">
        <v>230</v>
      </c>
      <c r="G2226" s="23">
        <v>0.8</v>
      </c>
      <c r="I2226" s="217" t="s">
        <v>3140</v>
      </c>
    </row>
    <row r="2227" spans="1:9">
      <c r="A2227" s="23">
        <v>2227</v>
      </c>
      <c r="B2227" s="84">
        <v>45868</v>
      </c>
      <c r="C2227" s="23" t="s">
        <v>361</v>
      </c>
      <c r="D2227" s="23" t="s">
        <v>326</v>
      </c>
      <c r="G2227" s="23">
        <v>1</v>
      </c>
      <c r="I2227" s="217" t="s">
        <v>3141</v>
      </c>
    </row>
    <row r="2228" spans="1:9">
      <c r="A2228" s="23">
        <v>2228</v>
      </c>
      <c r="B2228" s="84">
        <v>45868</v>
      </c>
      <c r="C2228" s="23" t="s">
        <v>1175</v>
      </c>
      <c r="D2228" s="23" t="s">
        <v>230</v>
      </c>
      <c r="G2228" s="23">
        <v>0</v>
      </c>
      <c r="I2228" s="217" t="s">
        <v>3140</v>
      </c>
    </row>
    <row r="2229" spans="1:9">
      <c r="A2229" s="23">
        <v>2229</v>
      </c>
      <c r="B2229" s="84">
        <v>45868</v>
      </c>
      <c r="C2229" s="23" t="s">
        <v>565</v>
      </c>
      <c r="D2229" s="23" t="s">
        <v>254</v>
      </c>
      <c r="G2229" s="23">
        <v>1</v>
      </c>
      <c r="I2229" s="217" t="s">
        <v>3142</v>
      </c>
    </row>
    <row r="2230" spans="1:9">
      <c r="A2230" s="23">
        <v>2230</v>
      </c>
      <c r="B2230" s="84">
        <v>45868</v>
      </c>
      <c r="C2230" s="23" t="s">
        <v>244</v>
      </c>
      <c r="D2230" s="23" t="s">
        <v>243</v>
      </c>
      <c r="G2230" s="23">
        <v>0.8</v>
      </c>
      <c r="I2230" s="217" t="s">
        <v>3143</v>
      </c>
    </row>
    <row r="2231" spans="1:9">
      <c r="A2231" s="23">
        <v>2231</v>
      </c>
      <c r="B2231" s="84">
        <v>45868</v>
      </c>
      <c r="C2231" s="23" t="s">
        <v>416</v>
      </c>
      <c r="D2231" s="23" t="s">
        <v>246</v>
      </c>
      <c r="G2231" s="23">
        <v>0.8</v>
      </c>
      <c r="I2231" s="217" t="s">
        <v>3144</v>
      </c>
    </row>
    <row r="2232" spans="1:9">
      <c r="A2232" s="23">
        <v>2232</v>
      </c>
      <c r="B2232" s="84">
        <v>45868</v>
      </c>
      <c r="C2232" s="23" t="s">
        <v>416</v>
      </c>
      <c r="D2232" s="23" t="s">
        <v>227</v>
      </c>
      <c r="G2232" s="23">
        <v>0.8</v>
      </c>
      <c r="I2232" s="217" t="s">
        <v>3145</v>
      </c>
    </row>
    <row r="2233" spans="1:9">
      <c r="A2233" s="23">
        <v>2233</v>
      </c>
      <c r="B2233" s="84">
        <v>45868</v>
      </c>
      <c r="C2233" s="23" t="s">
        <v>1042</v>
      </c>
      <c r="D2233" s="23" t="s">
        <v>312</v>
      </c>
      <c r="G2233" s="23">
        <v>1</v>
      </c>
      <c r="I2233" s="217" t="s">
        <v>3146</v>
      </c>
    </row>
    <row r="2234" spans="1:9">
      <c r="A2234" s="23">
        <v>2234</v>
      </c>
      <c r="B2234" s="84">
        <v>45868</v>
      </c>
      <c r="C2234" s="23" t="s">
        <v>564</v>
      </c>
      <c r="D2234" s="23" t="s">
        <v>240</v>
      </c>
      <c r="G2234" s="23">
        <v>0.8</v>
      </c>
      <c r="I2234" s="217" t="s">
        <v>3147</v>
      </c>
    </row>
    <row r="2235" spans="1:9">
      <c r="A2235" s="23">
        <v>2235</v>
      </c>
      <c r="B2235" s="84">
        <v>45868</v>
      </c>
      <c r="C2235" s="23" t="s">
        <v>564</v>
      </c>
      <c r="D2235" s="23" t="s">
        <v>297</v>
      </c>
      <c r="G2235" s="23">
        <v>0.8</v>
      </c>
      <c r="I2235" s="217" t="s">
        <v>3148</v>
      </c>
    </row>
    <row r="2236" spans="1:9">
      <c r="A2236" s="23">
        <v>2236</v>
      </c>
      <c r="B2236" s="84">
        <v>45868</v>
      </c>
      <c r="C2236" s="23" t="s">
        <v>656</v>
      </c>
      <c r="D2236" s="23" t="s">
        <v>206</v>
      </c>
      <c r="G2236" s="23">
        <v>1</v>
      </c>
      <c r="I2236" s="217" t="s">
        <v>3149</v>
      </c>
    </row>
    <row r="2237" spans="1:9">
      <c r="A2237" s="23">
        <v>2237</v>
      </c>
      <c r="B2237" s="84">
        <v>45868</v>
      </c>
      <c r="C2237" s="23" t="s">
        <v>776</v>
      </c>
      <c r="D2237" s="23" t="s">
        <v>230</v>
      </c>
      <c r="G2237" s="23">
        <v>0.8</v>
      </c>
      <c r="I2237" s="217" t="s">
        <v>3150</v>
      </c>
    </row>
    <row r="2238" spans="1:9">
      <c r="A2238" s="23">
        <v>2238</v>
      </c>
      <c r="B2238" s="84">
        <v>45868</v>
      </c>
      <c r="C2238" s="23" t="s">
        <v>414</v>
      </c>
      <c r="D2238" s="23" t="s">
        <v>216</v>
      </c>
      <c r="G2238" s="23">
        <v>0</v>
      </c>
      <c r="I2238" s="217" t="s">
        <v>3151</v>
      </c>
    </row>
    <row r="2239" spans="1:9">
      <c r="A2239" s="23">
        <v>2239</v>
      </c>
      <c r="B2239" s="84">
        <v>45868</v>
      </c>
      <c r="C2239" s="23" t="s">
        <v>295</v>
      </c>
      <c r="D2239" s="23" t="s">
        <v>222</v>
      </c>
      <c r="G2239" s="23">
        <v>0.71</v>
      </c>
      <c r="I2239" s="217" t="s">
        <v>3152</v>
      </c>
    </row>
    <row r="2240" spans="1:9">
      <c r="A2240" s="23">
        <v>2240</v>
      </c>
      <c r="B2240" s="84">
        <v>45868</v>
      </c>
      <c r="C2240" s="23" t="s">
        <v>730</v>
      </c>
      <c r="D2240" s="23" t="s">
        <v>216</v>
      </c>
      <c r="G2240" s="23">
        <v>0.5</v>
      </c>
      <c r="I2240" s="217" t="s">
        <v>3153</v>
      </c>
    </row>
    <row r="2241" spans="1:9">
      <c r="A2241" s="23">
        <v>2241</v>
      </c>
      <c r="B2241" s="84">
        <v>45868</v>
      </c>
      <c r="C2241" s="23" t="s">
        <v>607</v>
      </c>
      <c r="D2241" s="23" t="s">
        <v>828</v>
      </c>
      <c r="G2241" s="23">
        <v>0.8</v>
      </c>
      <c r="I2241" s="217" t="s">
        <v>3154</v>
      </c>
    </row>
    <row r="2242" spans="1:9">
      <c r="A2242" s="23">
        <v>2242</v>
      </c>
      <c r="B2242" s="84">
        <v>45868</v>
      </c>
      <c r="C2242" s="23" t="s">
        <v>320</v>
      </c>
      <c r="D2242" s="23" t="s">
        <v>197</v>
      </c>
      <c r="G2242" s="23">
        <v>2.5</v>
      </c>
      <c r="I2242" s="217" t="s">
        <v>3155</v>
      </c>
    </row>
    <row r="2243" spans="1:9">
      <c r="A2243" s="23">
        <v>2243</v>
      </c>
      <c r="B2243" s="84">
        <v>45868</v>
      </c>
      <c r="C2243" s="23" t="s">
        <v>666</v>
      </c>
      <c r="D2243" s="23" t="s">
        <v>828</v>
      </c>
      <c r="G2243" s="23" t="s">
        <v>9</v>
      </c>
      <c r="I2243" s="217" t="s">
        <v>3156</v>
      </c>
    </row>
    <row r="2244" spans="1:9">
      <c r="A2244" s="23">
        <v>2244</v>
      </c>
      <c r="B2244" s="84">
        <v>45868</v>
      </c>
      <c r="C2244" s="23" t="s">
        <v>184</v>
      </c>
      <c r="D2244" s="23" t="s">
        <v>203</v>
      </c>
      <c r="G2244" s="23" t="s">
        <v>9</v>
      </c>
      <c r="I2244" s="217" t="s">
        <v>3157</v>
      </c>
    </row>
    <row r="2245" spans="1:9">
      <c r="A2245" s="23">
        <v>2245</v>
      </c>
      <c r="B2245" s="84">
        <v>45868</v>
      </c>
      <c r="C2245" s="23" t="s">
        <v>780</v>
      </c>
      <c r="D2245" s="23" t="s">
        <v>251</v>
      </c>
      <c r="G2245" s="23">
        <v>0</v>
      </c>
      <c r="I2245" s="217" t="s">
        <v>3158</v>
      </c>
    </row>
    <row r="2246" spans="1:9">
      <c r="A2246" s="23">
        <v>2246</v>
      </c>
      <c r="B2246" s="84">
        <v>45868</v>
      </c>
      <c r="C2246" s="23" t="s">
        <v>780</v>
      </c>
      <c r="D2246" s="23" t="s">
        <v>251</v>
      </c>
      <c r="G2246" s="23">
        <v>0.5</v>
      </c>
      <c r="H2246" s="23" t="s">
        <v>407</v>
      </c>
      <c r="I2246" s="217" t="s">
        <v>1236</v>
      </c>
    </row>
    <row r="2247" spans="1:9">
      <c r="A2247" s="23">
        <v>2247</v>
      </c>
      <c r="B2247" s="84">
        <v>45868</v>
      </c>
      <c r="C2247" s="23" t="s">
        <v>1111</v>
      </c>
      <c r="D2247" s="23" t="s">
        <v>203</v>
      </c>
      <c r="G2247" s="23">
        <v>0</v>
      </c>
      <c r="I2247" s="217" t="s">
        <v>3159</v>
      </c>
    </row>
    <row r="2248" spans="1:9">
      <c r="A2248" s="23">
        <v>2248</v>
      </c>
      <c r="B2248" s="84">
        <v>45868</v>
      </c>
      <c r="C2248" s="23" t="s">
        <v>1111</v>
      </c>
      <c r="D2248" s="23" t="s">
        <v>203</v>
      </c>
      <c r="G2248" s="23">
        <v>1.5</v>
      </c>
      <c r="I2248" s="217" t="s">
        <v>1236</v>
      </c>
    </row>
    <row r="2249" spans="1:9">
      <c r="A2249" s="23">
        <v>2249</v>
      </c>
      <c r="B2249" s="84">
        <v>45868</v>
      </c>
      <c r="C2249" s="23" t="s">
        <v>997</v>
      </c>
      <c r="D2249" s="23" t="s">
        <v>251</v>
      </c>
      <c r="G2249" s="23">
        <v>0</v>
      </c>
      <c r="I2249" s="217" t="s">
        <v>3158</v>
      </c>
    </row>
    <row r="2250" spans="1:9">
      <c r="A2250" s="23">
        <v>2250</v>
      </c>
      <c r="B2250" s="84">
        <v>45868</v>
      </c>
      <c r="C2250" s="23" t="s">
        <v>997</v>
      </c>
      <c r="D2250" s="23" t="s">
        <v>251</v>
      </c>
      <c r="G2250" s="23" t="s">
        <v>9</v>
      </c>
      <c r="I2250" s="217" t="s">
        <v>1236</v>
      </c>
    </row>
    <row r="2251" spans="1:9">
      <c r="A2251" s="23">
        <v>2251</v>
      </c>
      <c r="B2251" s="84">
        <v>45868</v>
      </c>
      <c r="C2251" s="23" t="s">
        <v>1186</v>
      </c>
      <c r="D2251" s="23" t="s">
        <v>203</v>
      </c>
      <c r="G2251" s="23">
        <v>0</v>
      </c>
      <c r="I2251" s="217" t="s">
        <v>3159</v>
      </c>
    </row>
    <row r="2252" spans="1:9">
      <c r="A2252" s="23">
        <v>2252</v>
      </c>
      <c r="B2252" s="84">
        <v>45868</v>
      </c>
      <c r="C2252" s="23" t="s">
        <v>1186</v>
      </c>
      <c r="D2252" s="23" t="s">
        <v>203</v>
      </c>
      <c r="G2252" s="23" t="s">
        <v>9</v>
      </c>
      <c r="I2252" s="217" t="s">
        <v>1236</v>
      </c>
    </row>
    <row r="2253" spans="1:9">
      <c r="A2253" s="23">
        <v>2253</v>
      </c>
      <c r="B2253" s="84">
        <v>45868</v>
      </c>
      <c r="C2253" s="23" t="s">
        <v>1187</v>
      </c>
      <c r="D2253" s="23" t="s">
        <v>251</v>
      </c>
      <c r="G2253" s="23">
        <v>0</v>
      </c>
      <c r="I2253" s="217" t="s">
        <v>3160</v>
      </c>
    </row>
    <row r="2254" spans="1:9">
      <c r="A2254" s="23">
        <v>2254</v>
      </c>
      <c r="B2254" s="84">
        <v>45868</v>
      </c>
      <c r="C2254" s="23" t="s">
        <v>1187</v>
      </c>
      <c r="D2254" s="23" t="s">
        <v>251</v>
      </c>
      <c r="G2254" s="23">
        <v>0.5</v>
      </c>
      <c r="H2254" s="23" t="s">
        <v>3161</v>
      </c>
      <c r="I2254" s="217" t="s">
        <v>1236</v>
      </c>
    </row>
    <row r="2255" spans="1:9">
      <c r="A2255" s="23">
        <v>2255</v>
      </c>
      <c r="B2255" s="84">
        <v>45868</v>
      </c>
      <c r="C2255" s="23" t="s">
        <v>1188</v>
      </c>
      <c r="D2255" s="23" t="s">
        <v>203</v>
      </c>
      <c r="G2255" s="23">
        <v>0</v>
      </c>
      <c r="I2255" s="217" t="s">
        <v>3162</v>
      </c>
    </row>
    <row r="2256" spans="1:9">
      <c r="A2256" s="23">
        <v>2256</v>
      </c>
      <c r="B2256" s="84">
        <v>45868</v>
      </c>
      <c r="C2256" s="23" t="s">
        <v>1188</v>
      </c>
      <c r="D2256" s="23" t="s">
        <v>203</v>
      </c>
      <c r="G2256" s="23">
        <v>1.5</v>
      </c>
      <c r="I2256" s="217" t="s">
        <v>1236</v>
      </c>
    </row>
    <row r="2257" spans="1:9">
      <c r="A2257" s="23">
        <v>2257</v>
      </c>
      <c r="B2257" s="84">
        <v>45868</v>
      </c>
      <c r="C2257" s="23" t="s">
        <v>1183</v>
      </c>
      <c r="D2257" s="23" t="s">
        <v>216</v>
      </c>
      <c r="G2257" s="23">
        <v>0</v>
      </c>
      <c r="I2257" s="217" t="s">
        <v>3163</v>
      </c>
    </row>
    <row r="2258" spans="1:9">
      <c r="A2258" s="23">
        <v>2258</v>
      </c>
      <c r="B2258" s="84">
        <v>45868</v>
      </c>
      <c r="C2258" s="23" t="s">
        <v>669</v>
      </c>
      <c r="D2258" s="23" t="s">
        <v>233</v>
      </c>
      <c r="G2258" s="23">
        <v>0</v>
      </c>
      <c r="I2258" s="217" t="s">
        <v>3164</v>
      </c>
    </row>
    <row r="2259" spans="1:9">
      <c r="A2259" s="23">
        <v>2259</v>
      </c>
      <c r="B2259" s="84">
        <v>45868</v>
      </c>
      <c r="C2259" s="23" t="s">
        <v>970</v>
      </c>
      <c r="D2259" s="23" t="s">
        <v>297</v>
      </c>
      <c r="G2259" s="23">
        <v>0</v>
      </c>
      <c r="I2259" s="217" t="s">
        <v>3165</v>
      </c>
    </row>
    <row r="2260" spans="1:9">
      <c r="A2260" s="23">
        <v>2260</v>
      </c>
      <c r="B2260" s="84">
        <v>45868</v>
      </c>
      <c r="C2260" s="23" t="s">
        <v>1088</v>
      </c>
      <c r="D2260" s="23" t="s">
        <v>240</v>
      </c>
      <c r="G2260" s="23">
        <v>0</v>
      </c>
      <c r="I2260" s="217" t="s">
        <v>3166</v>
      </c>
    </row>
    <row r="2261" spans="1:9">
      <c r="A2261" s="23">
        <v>2261</v>
      </c>
      <c r="B2261" s="84">
        <v>45868</v>
      </c>
      <c r="C2261" s="23" t="s">
        <v>1177</v>
      </c>
      <c r="D2261" s="23" t="s">
        <v>243</v>
      </c>
      <c r="G2261" s="23">
        <v>0</v>
      </c>
      <c r="I2261" s="217" t="s">
        <v>3167</v>
      </c>
    </row>
    <row r="2262" spans="1:9">
      <c r="A2262" s="23">
        <v>2262</v>
      </c>
      <c r="B2262" s="84">
        <v>45868</v>
      </c>
      <c r="C2262" s="23" t="s">
        <v>1178</v>
      </c>
      <c r="D2262" s="23" t="s">
        <v>246</v>
      </c>
      <c r="G2262" s="23">
        <v>0</v>
      </c>
      <c r="I2262" s="217" t="s">
        <v>3168</v>
      </c>
    </row>
    <row r="2263" spans="1:9">
      <c r="A2263" s="23">
        <v>2263</v>
      </c>
      <c r="B2263" s="84">
        <v>45868</v>
      </c>
      <c r="C2263" s="23" t="s">
        <v>1179</v>
      </c>
      <c r="D2263" s="23" t="s">
        <v>227</v>
      </c>
      <c r="G2263" s="23">
        <v>0</v>
      </c>
      <c r="I2263" s="217" t="s">
        <v>3169</v>
      </c>
    </row>
    <row r="2264" spans="1:9">
      <c r="A2264" s="23">
        <v>2264</v>
      </c>
      <c r="B2264" s="84">
        <v>45868</v>
      </c>
      <c r="C2264" s="23" t="s">
        <v>1182</v>
      </c>
      <c r="D2264" s="23" t="s">
        <v>230</v>
      </c>
      <c r="G2264" s="23">
        <v>0</v>
      </c>
      <c r="I2264" s="217" t="s">
        <v>3170</v>
      </c>
    </row>
    <row r="2265" spans="1:9">
      <c r="A2265" s="23">
        <v>2265</v>
      </c>
      <c r="B2265" s="84">
        <v>45868</v>
      </c>
      <c r="C2265" s="23" t="s">
        <v>295</v>
      </c>
      <c r="D2265" s="23" t="s">
        <v>235</v>
      </c>
      <c r="G2265" s="23">
        <v>0.85</v>
      </c>
      <c r="I2265" s="217" t="s">
        <v>3171</v>
      </c>
    </row>
    <row r="2266" spans="1:9">
      <c r="A2266" s="23">
        <v>2266</v>
      </c>
      <c r="B2266" s="84">
        <v>45868</v>
      </c>
      <c r="C2266" s="23" t="s">
        <v>414</v>
      </c>
      <c r="D2266" s="23" t="s">
        <v>213</v>
      </c>
      <c r="G2266" s="23">
        <v>0</v>
      </c>
      <c r="I2266" s="217" t="s">
        <v>3172</v>
      </c>
    </row>
    <row r="2267" spans="1:9">
      <c r="A2267" s="23">
        <v>2267</v>
      </c>
      <c r="B2267" s="84">
        <v>45868</v>
      </c>
      <c r="C2267" s="23" t="s">
        <v>220</v>
      </c>
      <c r="D2267" s="23" t="s">
        <v>213</v>
      </c>
      <c r="G2267" s="23">
        <v>0.96</v>
      </c>
      <c r="I2267" s="217" t="s">
        <v>3173</v>
      </c>
    </row>
    <row r="2268" spans="1:9">
      <c r="A2268" s="23">
        <v>2268</v>
      </c>
      <c r="B2268" s="84">
        <v>45868</v>
      </c>
      <c r="C2268" s="23" t="s">
        <v>277</v>
      </c>
      <c r="D2268" s="23" t="s">
        <v>235</v>
      </c>
      <c r="G2268" s="23">
        <v>0</v>
      </c>
      <c r="I2268" s="217" t="s">
        <v>3174</v>
      </c>
    </row>
    <row r="2269" spans="1:9">
      <c r="A2269" s="23">
        <v>2269</v>
      </c>
      <c r="B2269" s="84">
        <v>45868</v>
      </c>
      <c r="C2269" s="23" t="s">
        <v>552</v>
      </c>
      <c r="D2269" s="23" t="s">
        <v>216</v>
      </c>
      <c r="G2269" s="23">
        <v>0.56000000000000005</v>
      </c>
      <c r="I2269" s="217" t="s">
        <v>3175</v>
      </c>
    </row>
    <row r="2270" spans="1:9">
      <c r="A2270" s="23">
        <v>2270</v>
      </c>
      <c r="B2270" s="84">
        <v>45868</v>
      </c>
      <c r="C2270" s="23" t="s">
        <v>1189</v>
      </c>
      <c r="D2270" s="23" t="s">
        <v>240</v>
      </c>
      <c r="G2270" s="23">
        <v>0.8</v>
      </c>
      <c r="H2270" s="23" t="s">
        <v>407</v>
      </c>
      <c r="I2270" s="217" t="s">
        <v>3176</v>
      </c>
    </row>
    <row r="2271" spans="1:9">
      <c r="A2271" s="23">
        <v>2271</v>
      </c>
      <c r="B2271" s="84">
        <v>45868</v>
      </c>
      <c r="C2271" s="23" t="s">
        <v>683</v>
      </c>
      <c r="D2271" s="23" t="s">
        <v>240</v>
      </c>
      <c r="G2271" s="23">
        <v>0</v>
      </c>
      <c r="I2271" s="217" t="s">
        <v>3176</v>
      </c>
    </row>
    <row r="2272" spans="1:9">
      <c r="A2272" s="23">
        <v>2272</v>
      </c>
      <c r="B2272" s="84">
        <v>45868</v>
      </c>
      <c r="C2272" s="23" t="s">
        <v>547</v>
      </c>
      <c r="D2272" s="23" t="s">
        <v>219</v>
      </c>
      <c r="G2272" s="23">
        <v>0</v>
      </c>
      <c r="I2272" s="217" t="s">
        <v>3177</v>
      </c>
    </row>
    <row r="2273" spans="1:9">
      <c r="A2273" s="23">
        <v>2273</v>
      </c>
      <c r="B2273" s="84">
        <v>45868</v>
      </c>
      <c r="C2273" s="23" t="s">
        <v>1180</v>
      </c>
      <c r="D2273" s="23" t="s">
        <v>312</v>
      </c>
      <c r="G2273" s="23">
        <v>0</v>
      </c>
      <c r="I2273" s="217" t="s">
        <v>3178</v>
      </c>
    </row>
    <row r="2274" spans="1:9">
      <c r="A2274" s="23">
        <v>2274</v>
      </c>
      <c r="B2274" s="84">
        <v>45868</v>
      </c>
      <c r="C2274" s="23" t="s">
        <v>759</v>
      </c>
      <c r="D2274" s="23" t="s">
        <v>254</v>
      </c>
      <c r="G2274" s="23">
        <v>0</v>
      </c>
      <c r="I2274" s="217" t="s">
        <v>3179</v>
      </c>
    </row>
    <row r="2275" spans="1:9">
      <c r="A2275" s="23">
        <v>2275</v>
      </c>
      <c r="B2275" s="84">
        <v>45868</v>
      </c>
      <c r="C2275" s="23" t="s">
        <v>596</v>
      </c>
      <c r="D2275" s="23" t="s">
        <v>251</v>
      </c>
      <c r="G2275" s="23">
        <v>0</v>
      </c>
      <c r="I2275" s="217" t="s">
        <v>3180</v>
      </c>
    </row>
    <row r="2276" spans="1:9">
      <c r="A2276" s="23">
        <v>2276</v>
      </c>
      <c r="B2276" s="84">
        <v>45868</v>
      </c>
      <c r="C2276" s="23" t="s">
        <v>1176</v>
      </c>
      <c r="D2276" s="23" t="s">
        <v>326</v>
      </c>
      <c r="G2276" s="23">
        <v>0</v>
      </c>
      <c r="I2276" s="217" t="s">
        <v>3181</v>
      </c>
    </row>
    <row r="2277" spans="1:9">
      <c r="A2277" s="23">
        <v>2277</v>
      </c>
      <c r="B2277" s="84">
        <v>45869</v>
      </c>
      <c r="C2277" s="23" t="s">
        <v>1161</v>
      </c>
      <c r="D2277" s="23" t="s">
        <v>200</v>
      </c>
      <c r="G2277" s="23">
        <v>0</v>
      </c>
      <c r="I2277" s="217" t="s">
        <v>3182</v>
      </c>
    </row>
    <row r="2278" spans="1:9">
      <c r="A2278" s="23">
        <v>2278</v>
      </c>
      <c r="B2278" s="84">
        <v>45869</v>
      </c>
      <c r="C2278" s="23" t="s">
        <v>1190</v>
      </c>
      <c r="D2278" s="23" t="s">
        <v>243</v>
      </c>
      <c r="G2278" s="23">
        <v>0.8</v>
      </c>
      <c r="I2278" s="217" t="s">
        <v>3183</v>
      </c>
    </row>
    <row r="2279" spans="1:9">
      <c r="A2279" s="23">
        <v>2279</v>
      </c>
      <c r="B2279" s="84">
        <v>45869</v>
      </c>
      <c r="C2279" s="23" t="s">
        <v>1190</v>
      </c>
      <c r="D2279" s="23" t="s">
        <v>246</v>
      </c>
      <c r="G2279" s="23">
        <v>0.8</v>
      </c>
      <c r="I2279" s="217" t="s">
        <v>3184</v>
      </c>
    </row>
    <row r="2280" spans="1:9">
      <c r="A2280" s="23">
        <v>2280</v>
      </c>
      <c r="B2280" s="84">
        <v>45869</v>
      </c>
      <c r="C2280" s="23" t="s">
        <v>1191</v>
      </c>
      <c r="D2280" s="23" t="s">
        <v>243</v>
      </c>
      <c r="G2280" s="23">
        <v>0</v>
      </c>
      <c r="I2280" s="217" t="s">
        <v>3183</v>
      </c>
    </row>
    <row r="2281" spans="1:9">
      <c r="A2281" s="23">
        <v>2281</v>
      </c>
      <c r="B2281" s="84">
        <v>45869</v>
      </c>
      <c r="C2281" s="23" t="s">
        <v>649</v>
      </c>
      <c r="D2281" s="23" t="s">
        <v>246</v>
      </c>
      <c r="G2281" s="23">
        <v>0</v>
      </c>
      <c r="I2281" s="217" t="s">
        <v>3184</v>
      </c>
    </row>
    <row r="2282" spans="1:9">
      <c r="A2282" s="23">
        <v>2282</v>
      </c>
      <c r="B2282" s="84">
        <v>45869</v>
      </c>
      <c r="C2282" s="23" t="s">
        <v>1192</v>
      </c>
      <c r="D2282" s="23" t="s">
        <v>200</v>
      </c>
      <c r="G2282" s="23">
        <v>1.5</v>
      </c>
      <c r="I2282" s="217" t="s">
        <v>3185</v>
      </c>
    </row>
    <row r="2283" spans="1:9">
      <c r="A2283" s="23">
        <v>2283</v>
      </c>
      <c r="B2283" s="84">
        <v>45869</v>
      </c>
      <c r="C2283" s="23" t="s">
        <v>225</v>
      </c>
      <c r="D2283" s="23" t="s">
        <v>203</v>
      </c>
      <c r="G2283" s="23">
        <v>0</v>
      </c>
      <c r="I2283" s="217" t="s">
        <v>3186</v>
      </c>
    </row>
    <row r="2284" spans="1:9">
      <c r="A2284" s="23">
        <v>2284</v>
      </c>
      <c r="B2284" s="84">
        <v>45869</v>
      </c>
      <c r="C2284" s="23" t="s">
        <v>403</v>
      </c>
      <c r="D2284" s="23" t="s">
        <v>219</v>
      </c>
      <c r="G2284" s="23">
        <v>0.51500000000000001</v>
      </c>
      <c r="I2284" s="217" t="s">
        <v>3187</v>
      </c>
    </row>
    <row r="2285" spans="1:9">
      <c r="A2285" s="23">
        <v>2285</v>
      </c>
      <c r="B2285" s="84">
        <v>45869</v>
      </c>
      <c r="C2285" s="23" t="s">
        <v>388</v>
      </c>
      <c r="D2285" s="23" t="s">
        <v>222</v>
      </c>
      <c r="G2285" s="23">
        <v>0</v>
      </c>
      <c r="I2285" s="217" t="s">
        <v>3188</v>
      </c>
    </row>
    <row r="2286" spans="1:9">
      <c r="A2286" s="23">
        <v>2286</v>
      </c>
      <c r="B2286" s="84">
        <v>45869</v>
      </c>
      <c r="C2286" s="23" t="s">
        <v>746</v>
      </c>
      <c r="D2286" s="23" t="s">
        <v>235</v>
      </c>
      <c r="G2286" s="23">
        <v>0.85</v>
      </c>
      <c r="I2286" s="217" t="s">
        <v>3189</v>
      </c>
    </row>
    <row r="2287" spans="1:9">
      <c r="A2287" s="23">
        <v>2287</v>
      </c>
      <c r="B2287" s="84">
        <v>45869</v>
      </c>
      <c r="C2287" s="23" t="s">
        <v>742</v>
      </c>
      <c r="D2287" s="23" t="s">
        <v>213</v>
      </c>
      <c r="G2287" s="23">
        <v>0</v>
      </c>
      <c r="I2287" s="217" t="s">
        <v>3190</v>
      </c>
    </row>
    <row r="2288" spans="1:9">
      <c r="A2288" s="23">
        <v>2288</v>
      </c>
      <c r="B2288" s="84">
        <v>45869</v>
      </c>
      <c r="C2288" s="23" t="s">
        <v>810</v>
      </c>
      <c r="D2288" s="23" t="s">
        <v>230</v>
      </c>
      <c r="G2288" s="23">
        <v>0.8</v>
      </c>
      <c r="I2288" s="217" t="s">
        <v>3191</v>
      </c>
    </row>
    <row r="2289" spans="1:9">
      <c r="A2289" s="23">
        <v>2289</v>
      </c>
      <c r="B2289" s="84">
        <v>45869</v>
      </c>
      <c r="C2289" s="23" t="s">
        <v>1038</v>
      </c>
      <c r="D2289" s="23" t="s">
        <v>227</v>
      </c>
      <c r="G2289" s="23">
        <v>0.8</v>
      </c>
      <c r="I2289" s="217" t="s">
        <v>3192</v>
      </c>
    </row>
    <row r="2290" spans="1:9">
      <c r="A2290" s="23">
        <v>2290</v>
      </c>
      <c r="B2290" s="84">
        <v>45869</v>
      </c>
      <c r="C2290" s="23" t="s">
        <v>437</v>
      </c>
      <c r="D2290" s="23" t="s">
        <v>246</v>
      </c>
      <c r="G2290" s="23">
        <v>0.8</v>
      </c>
      <c r="I2290" s="217" t="s">
        <v>3193</v>
      </c>
    </row>
    <row r="2291" spans="1:9">
      <c r="A2291" s="23">
        <v>2291</v>
      </c>
      <c r="B2291" s="84">
        <v>45869</v>
      </c>
      <c r="C2291" s="23" t="s">
        <v>499</v>
      </c>
      <c r="D2291" s="23" t="s">
        <v>243</v>
      </c>
      <c r="G2291" s="23">
        <v>0.8</v>
      </c>
      <c r="I2291" s="217" t="s">
        <v>3194</v>
      </c>
    </row>
    <row r="2292" spans="1:9">
      <c r="A2292" s="23">
        <v>2292</v>
      </c>
      <c r="B2292" s="84">
        <v>45869</v>
      </c>
      <c r="C2292" s="23" t="s">
        <v>510</v>
      </c>
      <c r="D2292" s="23" t="s">
        <v>240</v>
      </c>
      <c r="G2292" s="23">
        <v>0.8</v>
      </c>
      <c r="I2292" s="217" t="s">
        <v>3195</v>
      </c>
    </row>
    <row r="2293" spans="1:9">
      <c r="A2293" s="23">
        <v>2293</v>
      </c>
      <c r="B2293" s="84">
        <v>45869</v>
      </c>
      <c r="C2293" s="23" t="s">
        <v>1194</v>
      </c>
      <c r="D2293" s="23" t="s">
        <v>240</v>
      </c>
      <c r="G2293" s="23">
        <v>0</v>
      </c>
      <c r="I2293" s="217" t="s">
        <v>3195</v>
      </c>
    </row>
    <row r="2294" spans="1:9">
      <c r="A2294" s="23">
        <v>2294</v>
      </c>
      <c r="B2294" s="84">
        <v>45869</v>
      </c>
      <c r="C2294" s="23" t="s">
        <v>1193</v>
      </c>
      <c r="D2294" s="23" t="s">
        <v>243</v>
      </c>
      <c r="G2294" s="23">
        <v>0</v>
      </c>
      <c r="I2294" s="217" t="s">
        <v>3196</v>
      </c>
    </row>
    <row r="2295" spans="1:9">
      <c r="A2295" s="23">
        <v>2295</v>
      </c>
      <c r="B2295" s="84">
        <v>45869</v>
      </c>
      <c r="C2295" s="23" t="s">
        <v>619</v>
      </c>
      <c r="D2295" s="23" t="s">
        <v>233</v>
      </c>
      <c r="G2295" s="23">
        <v>3.8</v>
      </c>
      <c r="I2295" s="217" t="s">
        <v>3197</v>
      </c>
    </row>
    <row r="2296" spans="1:9">
      <c r="A2296" s="23">
        <v>2296</v>
      </c>
      <c r="B2296" s="84">
        <v>45869</v>
      </c>
      <c r="C2296" s="23" t="s">
        <v>814</v>
      </c>
      <c r="D2296" s="23" t="s">
        <v>227</v>
      </c>
      <c r="G2296" s="23">
        <v>0</v>
      </c>
      <c r="I2296" s="217" t="s">
        <v>3198</v>
      </c>
    </row>
    <row r="2297" spans="1:9">
      <c r="A2297" s="23">
        <v>2297</v>
      </c>
      <c r="B2297" s="84">
        <v>45869</v>
      </c>
      <c r="C2297" s="23" t="s">
        <v>943</v>
      </c>
      <c r="D2297" s="23" t="s">
        <v>206</v>
      </c>
      <c r="G2297" s="23">
        <v>0</v>
      </c>
      <c r="I2297" s="217" t="s">
        <v>3199</v>
      </c>
    </row>
    <row r="2298" spans="1:9">
      <c r="A2298" s="23">
        <v>2298</v>
      </c>
      <c r="B2298" s="84">
        <v>45869</v>
      </c>
      <c r="C2298" s="23" t="s">
        <v>470</v>
      </c>
      <c r="D2298" s="23" t="s">
        <v>230</v>
      </c>
      <c r="G2298" s="23">
        <v>0</v>
      </c>
      <c r="I2298" s="217" t="s">
        <v>3200</v>
      </c>
    </row>
    <row r="2299" spans="1:9">
      <c r="A2299" s="23">
        <v>2299</v>
      </c>
      <c r="B2299" s="84">
        <v>45869</v>
      </c>
      <c r="C2299" s="23" t="s">
        <v>815</v>
      </c>
      <c r="D2299" s="23" t="s">
        <v>246</v>
      </c>
      <c r="G2299" s="23">
        <v>0</v>
      </c>
      <c r="I2299" s="217" t="s">
        <v>3201</v>
      </c>
    </row>
    <row r="2300" spans="1:9">
      <c r="A2300" s="23">
        <v>2300</v>
      </c>
      <c r="B2300" s="84">
        <v>45869</v>
      </c>
      <c r="C2300" s="23" t="s">
        <v>1175</v>
      </c>
      <c r="D2300" s="23" t="s">
        <v>203</v>
      </c>
      <c r="G2300" s="23">
        <v>6.7</v>
      </c>
      <c r="I2300" s="217" t="s">
        <v>3202</v>
      </c>
    </row>
    <row r="2301" spans="1:9">
      <c r="A2301" s="23">
        <v>2301</v>
      </c>
      <c r="B2301" s="84">
        <v>45869</v>
      </c>
      <c r="C2301" s="23" t="s">
        <v>562</v>
      </c>
      <c r="D2301" s="23" t="s">
        <v>243</v>
      </c>
      <c r="G2301" s="23">
        <v>0.8</v>
      </c>
      <c r="I2301" s="217" t="s">
        <v>3203</v>
      </c>
    </row>
    <row r="2302" spans="1:9">
      <c r="A2302" s="23">
        <v>2302</v>
      </c>
      <c r="B2302" s="84">
        <v>45869</v>
      </c>
      <c r="C2302" s="23" t="s">
        <v>818</v>
      </c>
      <c r="D2302" s="23" t="s">
        <v>246</v>
      </c>
      <c r="G2302" s="23">
        <v>0.8</v>
      </c>
      <c r="I2302" s="217" t="s">
        <v>3204</v>
      </c>
    </row>
    <row r="2303" spans="1:9">
      <c r="A2303" s="23">
        <v>2303</v>
      </c>
      <c r="B2303" s="84">
        <v>45869</v>
      </c>
      <c r="C2303" s="23" t="s">
        <v>1011</v>
      </c>
      <c r="D2303" s="23" t="s">
        <v>243</v>
      </c>
      <c r="G2303" s="23">
        <v>0</v>
      </c>
      <c r="I2303" s="217" t="s">
        <v>3203</v>
      </c>
    </row>
    <row r="2304" spans="1:9">
      <c r="A2304" s="23">
        <v>2304</v>
      </c>
      <c r="B2304" s="84">
        <v>45869</v>
      </c>
      <c r="C2304" s="23" t="s">
        <v>820</v>
      </c>
      <c r="D2304" s="23" t="s">
        <v>246</v>
      </c>
      <c r="G2304" s="23">
        <v>0</v>
      </c>
      <c r="I2304" s="217" t="s">
        <v>3204</v>
      </c>
    </row>
    <row r="2305" spans="1:9">
      <c r="A2305" s="23">
        <v>2305</v>
      </c>
      <c r="B2305" s="84">
        <v>45869</v>
      </c>
      <c r="C2305" s="23" t="s">
        <v>418</v>
      </c>
      <c r="D2305" s="23" t="s">
        <v>227</v>
      </c>
      <c r="G2305" s="23">
        <v>0.8</v>
      </c>
      <c r="I2305" s="217" t="s">
        <v>3205</v>
      </c>
    </row>
    <row r="2306" spans="1:9">
      <c r="A2306" s="23">
        <v>2306</v>
      </c>
      <c r="B2306" s="84">
        <v>45869</v>
      </c>
      <c r="C2306" s="23" t="s">
        <v>369</v>
      </c>
      <c r="D2306" s="23" t="s">
        <v>230</v>
      </c>
      <c r="G2306" s="23">
        <v>0.8</v>
      </c>
      <c r="I2306" s="217" t="s">
        <v>3206</v>
      </c>
    </row>
    <row r="2307" spans="1:9">
      <c r="A2307" s="23">
        <v>2307</v>
      </c>
      <c r="B2307" s="84">
        <v>45869</v>
      </c>
      <c r="C2307" s="23" t="s">
        <v>722</v>
      </c>
      <c r="D2307" s="23" t="s">
        <v>243</v>
      </c>
      <c r="G2307" s="23">
        <v>0.8</v>
      </c>
      <c r="I2307" s="217" t="s">
        <v>3207</v>
      </c>
    </row>
    <row r="2308" spans="1:9">
      <c r="A2308" s="23">
        <v>2308</v>
      </c>
      <c r="B2308" s="84">
        <v>45869</v>
      </c>
      <c r="C2308" s="23" t="s">
        <v>369</v>
      </c>
      <c r="D2308" s="23" t="s">
        <v>246</v>
      </c>
      <c r="G2308" s="23">
        <v>0.8</v>
      </c>
      <c r="I2308" s="217" t="s">
        <v>3208</v>
      </c>
    </row>
    <row r="2309" spans="1:9">
      <c r="A2309" s="23">
        <v>2309</v>
      </c>
      <c r="B2309" s="84">
        <v>45869</v>
      </c>
      <c r="C2309" s="23" t="s">
        <v>926</v>
      </c>
      <c r="D2309" s="23" t="s">
        <v>240</v>
      </c>
      <c r="G2309" s="23">
        <v>0.8</v>
      </c>
      <c r="I2309" s="217" t="s">
        <v>3209</v>
      </c>
    </row>
    <row r="2310" spans="1:9">
      <c r="A2310" s="23">
        <v>2310</v>
      </c>
      <c r="B2310" s="84">
        <v>45869</v>
      </c>
      <c r="C2310" s="23" t="s">
        <v>245</v>
      </c>
      <c r="D2310" s="23" t="s">
        <v>251</v>
      </c>
      <c r="G2310" s="23">
        <v>2.8</v>
      </c>
      <c r="I2310" s="217" t="s">
        <v>3210</v>
      </c>
    </row>
    <row r="2311" spans="1:9">
      <c r="A2311" s="23">
        <v>2311</v>
      </c>
      <c r="B2311" s="84">
        <v>45869</v>
      </c>
      <c r="C2311" s="23" t="s">
        <v>724</v>
      </c>
      <c r="D2311" s="23" t="s">
        <v>326</v>
      </c>
      <c r="G2311" s="23">
        <v>3.5</v>
      </c>
      <c r="I2311" s="217" t="s">
        <v>3211</v>
      </c>
    </row>
    <row r="2312" spans="1:9">
      <c r="A2312" s="23">
        <v>2312</v>
      </c>
      <c r="B2312" s="84">
        <v>45869</v>
      </c>
      <c r="C2312" s="23" t="s">
        <v>364</v>
      </c>
      <c r="D2312" s="23" t="s">
        <v>227</v>
      </c>
      <c r="G2312" s="23">
        <v>0</v>
      </c>
      <c r="I2312" s="217" t="s">
        <v>3212</v>
      </c>
    </row>
    <row r="2313" spans="1:9">
      <c r="A2313" s="23">
        <v>2313</v>
      </c>
      <c r="B2313" s="84">
        <v>45869</v>
      </c>
      <c r="C2313" s="23" t="s">
        <v>482</v>
      </c>
      <c r="D2313" s="23" t="s">
        <v>230</v>
      </c>
      <c r="G2313" s="23">
        <v>0</v>
      </c>
      <c r="I2313" s="217" t="s">
        <v>3206</v>
      </c>
    </row>
    <row r="2314" spans="1:9">
      <c r="A2314" s="23">
        <v>2314</v>
      </c>
      <c r="B2314" s="84">
        <v>45869</v>
      </c>
      <c r="C2314" s="23" t="s">
        <v>851</v>
      </c>
      <c r="D2314" s="23" t="s">
        <v>254</v>
      </c>
      <c r="G2314" s="23">
        <v>3.8</v>
      </c>
      <c r="I2314" s="217" t="s">
        <v>3213</v>
      </c>
    </row>
    <row r="2315" spans="1:9">
      <c r="A2315" s="23">
        <v>2315</v>
      </c>
      <c r="B2315" s="84">
        <v>45869</v>
      </c>
      <c r="C2315" s="23" t="s">
        <v>250</v>
      </c>
      <c r="D2315" s="23" t="s">
        <v>227</v>
      </c>
      <c r="G2315" s="23">
        <v>0.8</v>
      </c>
      <c r="I2315" s="217" t="s">
        <v>3205</v>
      </c>
    </row>
    <row r="2316" spans="1:9">
      <c r="A2316" s="23">
        <v>2316</v>
      </c>
      <c r="B2316" s="84">
        <v>45869</v>
      </c>
      <c r="C2316" s="23" t="s">
        <v>304</v>
      </c>
      <c r="D2316" s="23" t="s">
        <v>230</v>
      </c>
      <c r="G2316" s="23">
        <v>0.8</v>
      </c>
      <c r="I2316" s="217" t="s">
        <v>1236</v>
      </c>
    </row>
    <row r="2317" spans="1:9">
      <c r="A2317" s="23">
        <v>2317</v>
      </c>
      <c r="B2317" s="84">
        <v>45869</v>
      </c>
      <c r="C2317" s="23" t="s">
        <v>378</v>
      </c>
      <c r="D2317" s="23" t="s">
        <v>297</v>
      </c>
      <c r="G2317" s="23">
        <v>0.8</v>
      </c>
      <c r="I2317" s="217" t="s">
        <v>3214</v>
      </c>
    </row>
    <row r="2318" spans="1:9">
      <c r="A2318" s="23">
        <v>2318</v>
      </c>
      <c r="B2318" s="84">
        <v>45869</v>
      </c>
      <c r="C2318" s="23" t="s">
        <v>488</v>
      </c>
      <c r="D2318" s="23" t="s">
        <v>312</v>
      </c>
      <c r="G2318" s="23">
        <v>7</v>
      </c>
      <c r="I2318" s="217" t="s">
        <v>3215</v>
      </c>
    </row>
    <row r="2319" spans="1:9">
      <c r="A2319" s="23">
        <v>2319</v>
      </c>
      <c r="B2319" s="84">
        <v>45869</v>
      </c>
      <c r="C2319" s="23" t="s">
        <v>608</v>
      </c>
      <c r="D2319" s="23" t="s">
        <v>297</v>
      </c>
      <c r="G2319" s="23">
        <v>0</v>
      </c>
      <c r="I2319" s="217" t="s">
        <v>3214</v>
      </c>
    </row>
    <row r="2320" spans="1:9">
      <c r="A2320" s="23">
        <v>2320</v>
      </c>
      <c r="B2320" s="84">
        <v>45869</v>
      </c>
      <c r="C2320" s="23" t="s">
        <v>310</v>
      </c>
      <c r="D2320" s="23" t="s">
        <v>240</v>
      </c>
      <c r="G2320" s="23">
        <v>0</v>
      </c>
      <c r="I2320" s="217" t="s">
        <v>3209</v>
      </c>
    </row>
    <row r="2321" spans="1:9">
      <c r="A2321" s="23">
        <v>2321</v>
      </c>
      <c r="B2321" s="84">
        <v>45869</v>
      </c>
      <c r="C2321" s="23" t="s">
        <v>490</v>
      </c>
      <c r="D2321" s="23" t="s">
        <v>243</v>
      </c>
      <c r="G2321" s="23">
        <v>0</v>
      </c>
      <c r="I2321" s="217" t="s">
        <v>3207</v>
      </c>
    </row>
    <row r="2322" spans="1:9">
      <c r="A2322" s="23">
        <v>2322</v>
      </c>
      <c r="B2322" s="84">
        <v>45869</v>
      </c>
      <c r="C2322" s="23" t="s">
        <v>825</v>
      </c>
      <c r="D2322" s="23" t="s">
        <v>246</v>
      </c>
      <c r="G2322" s="23">
        <v>0</v>
      </c>
      <c r="I2322" s="217" t="s">
        <v>3208</v>
      </c>
    </row>
    <row r="2323" spans="1:9">
      <c r="A2323" s="23">
        <v>2323</v>
      </c>
      <c r="B2323" s="84">
        <v>45869</v>
      </c>
      <c r="C2323" s="23" t="s">
        <v>315</v>
      </c>
      <c r="D2323" s="23" t="s">
        <v>227</v>
      </c>
      <c r="G2323" s="23">
        <v>0</v>
      </c>
      <c r="I2323" s="217" t="s">
        <v>3216</v>
      </c>
    </row>
    <row r="2324" spans="1:9">
      <c r="A2324" s="23">
        <v>2324</v>
      </c>
      <c r="B2324" s="84">
        <v>45869</v>
      </c>
      <c r="C2324" s="23" t="s">
        <v>207</v>
      </c>
      <c r="D2324" s="23" t="s">
        <v>240</v>
      </c>
      <c r="G2324" s="23">
        <v>0.75</v>
      </c>
      <c r="I2324" s="217" t="s">
        <v>3217</v>
      </c>
    </row>
    <row r="2325" spans="1:9">
      <c r="A2325" s="23">
        <v>2325</v>
      </c>
      <c r="B2325" s="84">
        <v>45869</v>
      </c>
      <c r="C2325" s="23" t="s">
        <v>1200</v>
      </c>
      <c r="D2325" s="23" t="s">
        <v>243</v>
      </c>
      <c r="G2325" s="23">
        <v>0.75</v>
      </c>
      <c r="I2325" s="217" t="s">
        <v>3218</v>
      </c>
    </row>
    <row r="2326" spans="1:9">
      <c r="A2326" s="23">
        <v>2326</v>
      </c>
      <c r="B2326" s="84">
        <v>45869</v>
      </c>
      <c r="C2326" s="23" t="s">
        <v>730</v>
      </c>
      <c r="D2326" s="23" t="s">
        <v>222</v>
      </c>
      <c r="G2326" s="23">
        <v>0.5</v>
      </c>
      <c r="I2326" s="217" t="s">
        <v>3219</v>
      </c>
    </row>
    <row r="2327" spans="1:9">
      <c r="A2327" s="23">
        <v>2327</v>
      </c>
      <c r="B2327" s="84">
        <v>45869</v>
      </c>
      <c r="C2327" s="23" t="s">
        <v>503</v>
      </c>
      <c r="D2327" s="23" t="s">
        <v>246</v>
      </c>
      <c r="G2327" s="23">
        <v>0.75</v>
      </c>
      <c r="I2327" s="217" t="s">
        <v>3220</v>
      </c>
    </row>
    <row r="2328" spans="1:9">
      <c r="A2328" s="23">
        <v>2328</v>
      </c>
      <c r="B2328" s="84">
        <v>45869</v>
      </c>
      <c r="C2328" s="23" t="s">
        <v>1203</v>
      </c>
      <c r="D2328" s="23" t="s">
        <v>227</v>
      </c>
      <c r="G2328" s="23">
        <v>0.75</v>
      </c>
      <c r="I2328" s="217" t="s">
        <v>3221</v>
      </c>
    </row>
    <row r="2329" spans="1:9">
      <c r="A2329" s="23">
        <v>2329</v>
      </c>
      <c r="B2329" s="84">
        <v>45869</v>
      </c>
      <c r="C2329" s="23" t="s">
        <v>1197</v>
      </c>
      <c r="D2329" s="23" t="s">
        <v>230</v>
      </c>
      <c r="G2329" s="23">
        <v>0</v>
      </c>
      <c r="I2329" s="217" t="s">
        <v>3222</v>
      </c>
    </row>
    <row r="2330" spans="1:9">
      <c r="A2330" s="23">
        <v>2330</v>
      </c>
      <c r="B2330" s="84">
        <v>45869</v>
      </c>
      <c r="C2330" s="23" t="s">
        <v>553</v>
      </c>
      <c r="D2330" s="23" t="s">
        <v>227</v>
      </c>
      <c r="G2330" s="23">
        <v>0</v>
      </c>
      <c r="I2330" s="217" t="s">
        <v>3223</v>
      </c>
    </row>
    <row r="2331" spans="1:9">
      <c r="A2331" s="23">
        <v>2331</v>
      </c>
      <c r="B2331" s="84">
        <v>45869</v>
      </c>
      <c r="C2331" s="23" t="s">
        <v>321</v>
      </c>
      <c r="D2331" s="23" t="s">
        <v>227</v>
      </c>
      <c r="G2331" s="23">
        <v>0.75</v>
      </c>
      <c r="I2331" s="217" t="s">
        <v>1236</v>
      </c>
    </row>
    <row r="2332" spans="1:9">
      <c r="A2332" s="23">
        <v>2332</v>
      </c>
      <c r="B2332" s="84">
        <v>45869</v>
      </c>
      <c r="C2332" s="23" t="s">
        <v>577</v>
      </c>
      <c r="D2332" s="23" t="s">
        <v>230</v>
      </c>
      <c r="G2332" s="23">
        <v>0.75</v>
      </c>
      <c r="I2332" s="217" t="s">
        <v>1236</v>
      </c>
    </row>
    <row r="2333" spans="1:9">
      <c r="A2333" s="23">
        <v>2333</v>
      </c>
      <c r="B2333" s="84">
        <v>45869</v>
      </c>
      <c r="C2333" s="23" t="s">
        <v>186</v>
      </c>
      <c r="D2333" s="23" t="s">
        <v>297</v>
      </c>
      <c r="G2333" s="23">
        <v>0.75</v>
      </c>
      <c r="I2333" s="217" t="s">
        <v>3224</v>
      </c>
    </row>
    <row r="2334" spans="1:9">
      <c r="A2334" s="23">
        <v>2334</v>
      </c>
      <c r="B2334" s="84">
        <v>45869</v>
      </c>
      <c r="C2334" s="23" t="s">
        <v>620</v>
      </c>
      <c r="D2334" s="23" t="s">
        <v>206</v>
      </c>
      <c r="G2334" s="23">
        <v>3.6</v>
      </c>
      <c r="I2334" s="217" t="s">
        <v>3225</v>
      </c>
    </row>
    <row r="2335" spans="1:9">
      <c r="A2335" s="23">
        <v>2335</v>
      </c>
      <c r="B2335" s="84">
        <v>45869</v>
      </c>
      <c r="C2335" s="23" t="s">
        <v>682</v>
      </c>
      <c r="D2335" s="23" t="s">
        <v>233</v>
      </c>
      <c r="G2335" s="23">
        <v>0</v>
      </c>
      <c r="I2335" s="217" t="s">
        <v>3226</v>
      </c>
    </row>
    <row r="2336" spans="1:9">
      <c r="A2336" s="23">
        <v>2336</v>
      </c>
      <c r="B2336" s="84">
        <v>45869</v>
      </c>
      <c r="C2336" s="23" t="s">
        <v>1204</v>
      </c>
      <c r="D2336" s="23" t="s">
        <v>297</v>
      </c>
      <c r="G2336" s="23">
        <v>0</v>
      </c>
      <c r="I2336" s="217" t="s">
        <v>3227</v>
      </c>
    </row>
    <row r="2337" spans="1:9">
      <c r="A2337" s="23">
        <v>2337</v>
      </c>
      <c r="B2337" s="84">
        <v>45869</v>
      </c>
      <c r="C2337" s="23" t="s">
        <v>1199</v>
      </c>
      <c r="D2337" s="23" t="s">
        <v>240</v>
      </c>
      <c r="G2337" s="23">
        <v>0</v>
      </c>
      <c r="I2337" s="217" t="s">
        <v>3228</v>
      </c>
    </row>
    <row r="2338" spans="1:9">
      <c r="A2338" s="23">
        <v>2338</v>
      </c>
      <c r="B2338" s="84">
        <v>45869</v>
      </c>
      <c r="C2338" s="23" t="s">
        <v>1201</v>
      </c>
      <c r="D2338" s="23" t="s">
        <v>243</v>
      </c>
      <c r="G2338" s="23">
        <v>0</v>
      </c>
      <c r="I2338" s="217" t="s">
        <v>3229</v>
      </c>
    </row>
    <row r="2339" spans="1:9">
      <c r="A2339" s="23">
        <v>2339</v>
      </c>
      <c r="B2339" s="84">
        <v>45869</v>
      </c>
      <c r="C2339" s="23" t="s">
        <v>1202</v>
      </c>
      <c r="D2339" s="23" t="s">
        <v>246</v>
      </c>
      <c r="G2339" s="23">
        <v>0</v>
      </c>
      <c r="I2339" s="217" t="s">
        <v>3230</v>
      </c>
    </row>
    <row r="2340" spans="1:9">
      <c r="A2340" s="23">
        <v>2340</v>
      </c>
      <c r="B2340" s="84">
        <v>45869</v>
      </c>
      <c r="C2340" s="23" t="s">
        <v>434</v>
      </c>
      <c r="D2340" s="23" t="s">
        <v>227</v>
      </c>
      <c r="G2340" s="23">
        <v>0</v>
      </c>
      <c r="I2340" s="217" t="s">
        <v>3231</v>
      </c>
    </row>
    <row r="2341" spans="1:9">
      <c r="A2341" s="23">
        <v>2341</v>
      </c>
      <c r="B2341" s="84">
        <v>45869</v>
      </c>
      <c r="C2341" s="23" t="s">
        <v>1178</v>
      </c>
      <c r="D2341" s="23" t="s">
        <v>230</v>
      </c>
      <c r="G2341" s="23">
        <v>0</v>
      </c>
      <c r="I2341" s="217" t="s">
        <v>3232</v>
      </c>
    </row>
    <row r="2342" spans="1:9">
      <c r="A2342" s="23">
        <v>2342</v>
      </c>
      <c r="B2342" s="84">
        <v>45869</v>
      </c>
      <c r="C2342" s="23" t="s">
        <v>220</v>
      </c>
      <c r="D2342" s="23" t="s">
        <v>213</v>
      </c>
      <c r="G2342" s="23">
        <v>0.93</v>
      </c>
      <c r="I2342" s="217" t="s">
        <v>3233</v>
      </c>
    </row>
    <row r="2343" spans="1:9">
      <c r="A2343" s="23">
        <v>2343</v>
      </c>
      <c r="B2343" s="84">
        <v>45869</v>
      </c>
      <c r="C2343" s="23" t="s">
        <v>277</v>
      </c>
      <c r="D2343" s="23" t="s">
        <v>235</v>
      </c>
      <c r="G2343" s="23">
        <v>0</v>
      </c>
      <c r="I2343" s="217" t="s">
        <v>3234</v>
      </c>
    </row>
    <row r="2344" spans="1:9">
      <c r="A2344" s="23">
        <v>2344</v>
      </c>
      <c r="B2344" s="84">
        <v>45869</v>
      </c>
      <c r="C2344" s="23" t="s">
        <v>448</v>
      </c>
      <c r="D2344" s="23" t="s">
        <v>235</v>
      </c>
      <c r="G2344" s="23">
        <v>0.5</v>
      </c>
      <c r="I2344" s="217" t="s">
        <v>3235</v>
      </c>
    </row>
    <row r="2345" spans="1:9">
      <c r="A2345" s="23">
        <v>2347</v>
      </c>
      <c r="B2345" s="84">
        <v>45869</v>
      </c>
      <c r="C2345" s="23" t="s">
        <v>1094</v>
      </c>
      <c r="D2345" s="23" t="s">
        <v>235</v>
      </c>
      <c r="G2345" s="23">
        <v>0</v>
      </c>
      <c r="I2345" s="217" t="s">
        <v>3235</v>
      </c>
    </row>
    <row r="2346" spans="1:9">
      <c r="A2346" s="23">
        <v>2349</v>
      </c>
      <c r="B2346" s="84">
        <v>45869</v>
      </c>
      <c r="C2346" s="23" t="s">
        <v>1198</v>
      </c>
      <c r="D2346" s="23" t="s">
        <v>312</v>
      </c>
      <c r="G2346" s="23">
        <v>0</v>
      </c>
      <c r="I2346" s="217" t="s">
        <v>3236</v>
      </c>
    </row>
    <row r="2347" spans="1:9">
      <c r="A2347" s="23">
        <v>2350</v>
      </c>
      <c r="B2347" s="84">
        <v>45869</v>
      </c>
      <c r="C2347" s="23" t="s">
        <v>453</v>
      </c>
      <c r="D2347" s="23" t="s">
        <v>254</v>
      </c>
      <c r="G2347" s="23">
        <v>0</v>
      </c>
      <c r="I2347" s="217" t="s">
        <v>3237</v>
      </c>
    </row>
    <row r="2348" spans="1:9">
      <c r="A2348" s="23">
        <v>2348</v>
      </c>
      <c r="B2348" s="84">
        <v>45869</v>
      </c>
      <c r="C2348" s="23" t="s">
        <v>890</v>
      </c>
      <c r="D2348" s="23" t="s">
        <v>216</v>
      </c>
      <c r="G2348" s="23">
        <v>0</v>
      </c>
      <c r="I2348" s="217" t="s">
        <v>3238</v>
      </c>
    </row>
    <row r="2349" spans="1:9">
      <c r="A2349" s="23">
        <v>2349</v>
      </c>
      <c r="B2349" s="84">
        <v>45869</v>
      </c>
      <c r="C2349" s="23" t="s">
        <v>552</v>
      </c>
      <c r="D2349" s="23" t="s">
        <v>216</v>
      </c>
      <c r="G2349" s="23">
        <v>0.56333333333333335</v>
      </c>
      <c r="I2349" s="217" t="s">
        <v>3239</v>
      </c>
    </row>
    <row r="2350" spans="1:9">
      <c r="A2350" s="23">
        <v>2349</v>
      </c>
      <c r="B2350" s="84">
        <v>45869</v>
      </c>
      <c r="C2350" s="23" t="s">
        <v>1205</v>
      </c>
      <c r="D2350" s="23" t="s">
        <v>216</v>
      </c>
      <c r="G2350" s="23">
        <v>0</v>
      </c>
      <c r="I2350" s="217" t="s">
        <v>3240</v>
      </c>
    </row>
    <row r="2351" spans="1:9">
      <c r="A2351" s="23">
        <v>2351</v>
      </c>
      <c r="B2351" s="84">
        <v>45869</v>
      </c>
      <c r="C2351" s="23" t="s">
        <v>1195</v>
      </c>
      <c r="D2351" s="23" t="s">
        <v>251</v>
      </c>
      <c r="G2351" s="23">
        <v>0</v>
      </c>
      <c r="I2351" s="217" t="s">
        <v>3241</v>
      </c>
    </row>
    <row r="2352" spans="1:9">
      <c r="A2352" s="23">
        <v>2352</v>
      </c>
      <c r="B2352" s="84">
        <v>45869</v>
      </c>
      <c r="C2352" s="23" t="s">
        <v>839</v>
      </c>
      <c r="D2352" s="23" t="s">
        <v>240</v>
      </c>
      <c r="G2352" s="23">
        <v>0.8</v>
      </c>
      <c r="I2352" s="217" t="s">
        <v>3242</v>
      </c>
    </row>
    <row r="2353" spans="1:9">
      <c r="A2353" s="23">
        <v>2353</v>
      </c>
      <c r="B2353" s="84">
        <v>45869</v>
      </c>
      <c r="C2353" s="23" t="s">
        <v>826</v>
      </c>
      <c r="D2353" s="23" t="s">
        <v>240</v>
      </c>
      <c r="G2353" s="23">
        <v>0</v>
      </c>
      <c r="I2353" s="217" t="s">
        <v>3242</v>
      </c>
    </row>
  </sheetData>
  <autoFilter ref="A1:I2333" xr:uid="{29A9EA11-4B46-49FA-A50C-87FC0CED833C}"/>
  <phoneticPr fontId="19" type="noConversion"/>
  <hyperlinks>
    <hyperlink ref="I16" location="'1'!$F$16" display="$F$16 1" xr:uid="{25D02E3E-C017-4FE1-8071-5018DF666101}"/>
    <hyperlink ref="I17" location="'1'!$G$63" display="$G$63 1" xr:uid="{06498B3C-988A-42EB-9A57-12FBE9D1D189}"/>
    <hyperlink ref="I18" location="'1'!$G$64" display="$G$64 1" xr:uid="{2F0FF65B-BC2A-4D6F-98CB-C26094521B3E}"/>
    <hyperlink ref="I19" location="'1'!$G$28" display="$G$28 1" xr:uid="{062E0BEF-BB08-44D6-814B-E4F210F6534A}"/>
    <hyperlink ref="I20" location="'1'!$I$16" display="$I$16 1" xr:uid="{21D806C5-4289-4E35-B58C-A5472F28AD59}"/>
    <hyperlink ref="I21" location="'1'!$J$14" display="$J$14 1" xr:uid="{8039C109-E83D-4FAC-B5AC-F37F2FCF0059}"/>
    <hyperlink ref="I22" location="'1'!$L$48" display="$L$48 1" xr:uid="{1C140199-77DE-421B-B075-A5EA69C53391}"/>
    <hyperlink ref="I23" location="'1'!$L$51" display="$L$51 1" xr:uid="{6962E565-4702-431E-967A-C6CE121F4494}"/>
    <hyperlink ref="I24" location="'1'!$L$21" display="$L$21 1" xr:uid="{3C8F16F0-45C8-4521-8CCE-645EC6772954}"/>
    <hyperlink ref="I25" location="'1'!$L$27" display="$L$27 1" xr:uid="{5D44904E-0B91-4913-8DB6-C220648D601A}"/>
    <hyperlink ref="I28" location="'1'!$M$78" display="$M$78 1" xr:uid="{EEDF8BB2-5BF7-43F9-8C2C-5EA55B9D6E41}"/>
    <hyperlink ref="I29" location="'1'!$M$79" display="$M$79 1" xr:uid="{49E7832F-2A04-4E8F-9E96-2D0D61734575}"/>
    <hyperlink ref="I30" location="'1'!$N$14" display="$N$14 1" xr:uid="{0656BCD8-1752-48AD-9203-059DC31617D2}"/>
    <hyperlink ref="I31" location="'1'!$N$47" display="$N$47 1" xr:uid="{E08A3EA8-48F0-486A-9928-6B34BEA18ED8}"/>
    <hyperlink ref="I32" location="'1'!$O$50" display="$O$50 1" xr:uid="{E4D91486-E7F5-410B-B597-B285337D939A}"/>
    <hyperlink ref="I33" location="'1'!$O$56" display="$O$56 1" xr:uid="{5ED4D913-98B5-4B5F-A93C-3C9FF3E34CDD}"/>
    <hyperlink ref="I34" location="'1'!$O$47" display="$O$47 1" xr:uid="{C7B05798-E8E6-421D-B509-9A762C0904D7}"/>
    <hyperlink ref="I37" location="'1'!$O$21" display="$O$21 1" xr:uid="{40CEA884-E5F3-4B3A-922F-85900B756AC4}"/>
    <hyperlink ref="I38" location="'1'!$P$64" display="$P$64 1" xr:uid="{6C4E0A0F-A219-42DE-8F3D-621347C59854}"/>
    <hyperlink ref="I39" location="'1'!$P$62" display="$P$62 1" xr:uid="{3FF10468-B857-49D4-88CA-28D21C8CDE14}"/>
    <hyperlink ref="I40" location="'1'!$P$19" display="$P$19 1" xr:uid="{81CE7929-9BA3-48C9-86F2-CC533FA7FAD2}"/>
    <hyperlink ref="I41" location="'1'!$Q$24" display="$Q$24 1" xr:uid="{988CF63F-2B11-434A-BF16-DE040DB1B95C}"/>
    <hyperlink ref="I42" location="'1'!$S$78" display="$S$78 1" xr:uid="{906BD0B6-1521-467F-BF93-DF4AA481B8E2}"/>
    <hyperlink ref="I43" r:id="rId1" location="'1'!$S$78" xr:uid="{D453EF52-5AC8-4EB5-9E22-8FE192011C5F}"/>
    <hyperlink ref="I44" location="'1'!$S$79" display="$S$79 1" xr:uid="{D48E02D3-3484-4914-9B8A-0CAFE06D02FD}"/>
    <hyperlink ref="I46" location="'1'!$T$51" display="$T$51 1" xr:uid="{3382C38B-5F2E-406B-9C36-44A8F66519C7}"/>
    <hyperlink ref="I47" location="'1'!$T$47" display="$T$47 1" xr:uid="{93824D78-90CA-49FA-8D5D-58C95EE37B1D}"/>
    <hyperlink ref="I48" location="'1'!$T$50" display="$T$50 1" xr:uid="{4E76D1C2-2E41-4BCD-9775-B3096A187C22}"/>
    <hyperlink ref="I49" location="'1'!$T$28" display="$T$28 1" xr:uid="{150968C5-C67D-4B47-85CE-A64BD9E7AAE0}"/>
    <hyperlink ref="I50" location="'1'!$T$27" display="$T$27 1" xr:uid="{4D321BCA-E0F4-4737-A09E-72683547F0CF}"/>
    <hyperlink ref="I52" location="'1'!$U$56" display="$U$56 1" xr:uid="{469DF6F9-8B43-4751-8E55-95C47FEFA5F3}"/>
    <hyperlink ref="I53" location="'1'!$U$47" display="$U$47 1" xr:uid="{D089CEAE-5F96-473A-A2CA-CDB4710727B1}"/>
    <hyperlink ref="I54" location="'1'!$V$50" display="$V$50 1" xr:uid="{75A77EE8-8B14-4E55-B58C-C0CE26BB3F7B}"/>
    <hyperlink ref="I55" location="'1'!$V$56" display="$V$56 1" xr:uid="{5EA769E8-A2A7-468E-BE18-15F126F7FFB0}"/>
    <hyperlink ref="I56" location="'1'!$W$62" display="$W$62 1" xr:uid="{A8D0E9A9-8DAC-4049-B05E-8988540DBE3D}"/>
    <hyperlink ref="I57" location="'1'!$W$63" display="$W$63 1" xr:uid="{982E0D10-C36D-4353-96C8-F1582F9AD062}"/>
    <hyperlink ref="I58" location="'1'!$AA$16" display="$AA$16 1" xr:uid="{EEE30A28-2469-46B8-A53A-3DC50EE5E460}"/>
    <hyperlink ref="I59" location="'1'!$AB$24" display="$AB$24 1" xr:uid="{BE2389E7-09E9-4A17-A0D2-29C407711CBB}"/>
    <hyperlink ref="I60" location="'1'!$AB$51" display="$AB$51 1" xr:uid="{5D93784A-E21C-4B92-940D-10FEB13F9131}"/>
    <hyperlink ref="I62" location="'1'!$AC$19" display="$AC$19 1" xr:uid="{75740012-4CAF-474B-8DC3-F6078D025CA6}"/>
    <hyperlink ref="I63" location="'2'!$G$16" display="$G$16 2" xr:uid="{32465F4E-8BC0-441D-9C34-EB52AE63A9DF}"/>
    <hyperlink ref="I64" r:id="rId2" location="'2'!$G$16" xr:uid="{CBEF9207-CB1E-44E6-BB96-004F6D11A5E0}"/>
    <hyperlink ref="I65" location="'2'!$G$21" display="$G$21 2" xr:uid="{337B5AC7-5F56-4E3B-A5CD-B56CCC3AC0D0}"/>
    <hyperlink ref="I66" location="'2'!$G$15" display="$G$15 2" xr:uid="{D8E8FA21-C01C-47EC-B06C-73D4FDA50E8E}"/>
    <hyperlink ref="I67" location="'2'!$G$63" display="$G$63 2" xr:uid="{885CA2BF-EC86-4B56-81F4-0012EB6FC3C7}"/>
    <hyperlink ref="I68" location="'2'!$G$64" display="$G$64 2" xr:uid="{AC463540-8AF3-4B94-8408-20A8AEE5E634}"/>
    <hyperlink ref="I69" location="'2'!$H$28" display="$H$28 2" xr:uid="{837E9BEC-4D82-4D06-BC91-887BA6D13871}"/>
    <hyperlink ref="I70" location="'2'!$I$15" display="$I$15 2" xr:uid="{849B2DB3-1317-4B11-AF9B-B452122CF943}"/>
    <hyperlink ref="I71" location="'2'!$J$14" display="$J$14 2" xr:uid="{3AD8FE0F-F0DB-4107-9073-E1BC7BEB4FC0}"/>
    <hyperlink ref="I72" location="'2'!$L$14" display="$L$14 2" xr:uid="{9A458990-CC49-44C7-BE81-2A777EA0AED1}"/>
    <hyperlink ref="I73" location="'2'!$L$27" display="$L$27 2" xr:uid="{D2F26AA9-3ECD-4D49-8278-062E68DE0A9B}"/>
    <hyperlink ref="I74" location="'2'!$L$19" display="$L$19 2" xr:uid="{11D138AB-D8DC-49BD-BF70-C4E36A4316D9}"/>
    <hyperlink ref="I75" location="'2'!$M$14" display="$M$14 2" xr:uid="{AE789EDA-5BE3-48FD-91ED-96402EDE0F9C}"/>
    <hyperlink ref="I76" location="'2'!$M$78" display="$M$78 2" xr:uid="{CC409A6B-71CA-4DF2-8693-362A4EC6EC9F}"/>
    <hyperlink ref="I77" location="'2'!$M$79" display="$M$79 2" xr:uid="{E219E1F1-C376-4965-B53D-6C11B51E018E}"/>
    <hyperlink ref="I78" location="'2'!$M$47" display="$M$47 2" xr:uid="{BB02FAEC-C184-4F7B-A50A-028D804E02A1}"/>
    <hyperlink ref="I79" location="'2'!$M$50" display="$M$50 2" xr:uid="{DFA5091D-9619-4AE4-AFC7-E4CA264A057A}"/>
    <hyperlink ref="I80" location="'2'!$M$56" display="$M$56 2" xr:uid="{B2F5ADCC-3761-46B8-88F8-77FEB280942A}"/>
    <hyperlink ref="I81" location="'2'!$N$51" display="$N$51 2" xr:uid="{6093EFFE-C2A6-41A4-896B-B47923FEAE8C}"/>
    <hyperlink ref="I82" location="'2'!$O$48" display="$O$48 2" xr:uid="{01978055-4F91-458B-99AE-4D13B5A9979E}"/>
    <hyperlink ref="I83" location="'2'!$O$40" display="$O$40 2" xr:uid="{6CDF9FE4-8308-415A-9D67-1A2C20B749EB}"/>
    <hyperlink ref="I84" location="'2'!$O$14" display="$O$14 2" xr:uid="{9C5F9D8B-03CE-4255-A6C4-1F59187D0865}"/>
    <hyperlink ref="I85" location="'2'!$O$21" display="$O$21 2" xr:uid="{56E31C98-4E37-46CA-BF72-9515A1E98545}"/>
    <hyperlink ref="I87" location="'2'!$O$47" display="$O$47 2" xr:uid="{F05AEE84-87B9-4DF6-81EE-9FA9BFC4AA10}"/>
    <hyperlink ref="I88" location="'2'!$O$50" display="$O$50 2" xr:uid="{4722B861-B215-4E0D-96E7-187F757F52F6}"/>
    <hyperlink ref="I89" location="'2'!$O$56" display="$O$56 2" xr:uid="{54166CE0-1536-4C24-9969-B6BBD29CFC88}"/>
    <hyperlink ref="I91" location="'2'!$O$51" display="$O$51 2" xr:uid="{19A03964-EB04-43F0-ACC6-A54F21915339}"/>
    <hyperlink ref="I92" location="'2'!$O$24" display="$O$24 2" xr:uid="{4F35DC72-A821-49AA-8DD4-1937447E7D18}"/>
    <hyperlink ref="I93" r:id="rId3" location="'2'!$O$24" xr:uid="{0FE91BBD-94D2-4C10-B6AA-F946C8F229DB}"/>
    <hyperlink ref="I94" location="'2'!$P$47" display="$P$47 2" xr:uid="{BEF05441-B3B8-4603-8646-0841C5002BB2}"/>
    <hyperlink ref="I95" location="'2'!$P$50" display="$P$50 2" xr:uid="{96154CDB-CB22-45A8-94CC-91C079C79B51}"/>
    <hyperlink ref="I96" location="'2'!$P$56" display="$P$56 2" xr:uid="{08FBC2D0-6024-4ED5-BBDD-C382E25FE0C5}"/>
    <hyperlink ref="I97" location="'2'!$P$51" display="$P$51 2" xr:uid="{A9507E9D-123A-4B22-9468-EC326E59DCAF}"/>
    <hyperlink ref="I98" location="'2'!$P$48" display="$P$48 2" xr:uid="{709685C7-C5ED-4EAD-AFEF-EFE334028009}"/>
    <hyperlink ref="I99" location="'2'!$P$29" display="$P$29 2" xr:uid="{8931BD0E-3677-45DF-B80B-C9F3EF514658}"/>
    <hyperlink ref="I103" location="'2'!$Q$64" display="$Q$64 2" xr:uid="{002EF0FB-CFC3-4A25-868C-771724CAF9B0}"/>
    <hyperlink ref="I104" location="'2'!$Q$62" display="$Q$62 2" xr:uid="{E808A0DD-9121-4FC7-91EA-734C1AA8D3EC}"/>
    <hyperlink ref="I105" location="'2'!$Q$47" display="$Q$47 2" xr:uid="{0698853E-8205-46AA-93D2-8B21997BB255}"/>
    <hyperlink ref="I106" location="'2'!$Q$50" display="$Q$50 2" xr:uid="{61884EDA-CEAF-42B6-A9D4-AA5676BFAE56}"/>
    <hyperlink ref="I107" location="'2'!$Q$56" display="$Q$56 2" xr:uid="{2B57A568-3EA2-436B-B5D4-055C15B30D81}"/>
    <hyperlink ref="I108" location="'2'!$Q$48" display="$Q$48 2" xr:uid="{77DDA727-990F-423A-80D8-B61A812CCC83}"/>
    <hyperlink ref="I109" location="'2'!$R$40" display="$R$40 2" xr:uid="{87E67767-F501-41FF-9A9D-FF12DF221EEC}"/>
    <hyperlink ref="I110" location="'2'!$R$48" display="$R$48 2" xr:uid="{F06D2FF0-B6F4-4848-8F24-3216FAA7C7E3}"/>
    <hyperlink ref="I111" location="'2'!$S$51" display="$S$51 2" xr:uid="{6CC6E28E-0970-4BB2-A9D6-C05FE57E4A97}"/>
    <hyperlink ref="I112" location="'2'!$S$47" display="$S$47 2" xr:uid="{E5054273-0BC2-4129-B6D6-189E6CF22AE5}"/>
    <hyperlink ref="I113" location="'2'!$S$40" display="$S$40 2" xr:uid="{8838E373-A5DD-4282-811C-2285E938BF87}"/>
    <hyperlink ref="I114" location="'2'!$S$50" display="$S$50 2" xr:uid="{17ABA796-65D4-4A49-8697-3B273D15A2C4}"/>
    <hyperlink ref="I115" location="'2'!$S$56" display="$S$56 2" xr:uid="{2162D76B-20AD-4071-B39C-4C8B634853E4}"/>
    <hyperlink ref="I116" location="'2'!$T$51" display="$T$51 2" xr:uid="{C91AC6B4-8933-4A51-8481-CB2D73BF0579}"/>
    <hyperlink ref="I117" location="'2'!$T$20" display="$T$20 2" xr:uid="{0160875A-D5DE-4919-A66C-3CCC54353022}"/>
    <hyperlink ref="I118" location="'2'!$U$51" display="$U$51 2" xr:uid="{39D7A7F3-34B7-4003-AC2D-637BF4C1D22D}"/>
    <hyperlink ref="I119" location="'2'!$U$20" display="$U$20 2" xr:uid="{633AC9CB-CFE4-4290-8630-3222312288CF}"/>
    <hyperlink ref="I120" location="'2'!$V$29" display="$V$29 2" xr:uid="{3DD125F6-F5CA-432E-9FD4-EC28C2AFECF4}"/>
    <hyperlink ref="I121" location="'2'!$X$20" display="$X$20 2" xr:uid="{4A11079A-06D4-49AD-BDF4-E3658EF89285}"/>
    <hyperlink ref="I122" location="'2'!$Y$79" display="$Y$79 2" xr:uid="{437593A5-7D03-49C1-9E47-85F0E8AE597D}"/>
    <hyperlink ref="I123" location="'2'!$Y$78" display="$Y$78 2" xr:uid="{0713B55B-49D7-4DAA-9023-5B83355A6A84}"/>
    <hyperlink ref="I124" location="'2'!$Y$62" display="$Y$62 2" xr:uid="{972327AB-8385-4EC1-9491-081A518FBE4F}"/>
    <hyperlink ref="I125" location="'2'!$Y$63" display="$Y$63 2" xr:uid="{8198D97B-D8B5-4AFE-8241-4F3C2B31B41A}"/>
    <hyperlink ref="I126" location="'2'!$Y$28" display="$Y$28 2" xr:uid="{3C825A55-81C4-408A-908A-40C40A1B0F7C}"/>
    <hyperlink ref="I127" location="'2'!$Y$27" display="$Y$27 2" xr:uid="{B5834E6D-060E-4933-A53C-8EAC20F871DF}"/>
    <hyperlink ref="I128" location="'2'!$AA$24" display="$AA$24 2" xr:uid="{9432F0DE-2919-4789-946D-0D231FC2CEF6}"/>
    <hyperlink ref="I129" location="'2'!$AA$15" display="$AA$15 2" xr:uid="{42834548-1DFC-4A03-9A65-78155AA42279}"/>
    <hyperlink ref="I130" r:id="rId4" location="'2'!$AA$15" xr:uid="{B5DFAEBA-DE70-46E6-AB3A-FDC190CEC826}"/>
    <hyperlink ref="I132" r:id="rId5" location="'2'!$AA$15" xr:uid="{355D10F1-58BD-4E94-B833-B348F77D5A42}"/>
    <hyperlink ref="I133" location="'2'!$AB$20" display="$AB$20 2" xr:uid="{4DE80E4F-D09C-4073-9258-3040FF3A9A67}"/>
    <hyperlink ref="I134" r:id="rId6" location="'2'!$AB$20" xr:uid="{F1A77407-725B-4CDA-B873-EE9B438ABF5A}"/>
    <hyperlink ref="I135" location="'3'!$F$30" display="$F$30 3" xr:uid="{42295519-764F-460D-8530-7A4DDDABB508}"/>
    <hyperlink ref="I136" location="'3'!$F$14" display="$F$14 3" xr:uid="{97F4C242-CB26-4A05-8EEC-6D89CE267460}"/>
    <hyperlink ref="I137" r:id="rId7" location="'3'!$F$14" xr:uid="{0DEBA80C-C20F-47BF-A46D-49969801FC38}"/>
    <hyperlink ref="I138" location="'3'!$F$48" display="$F$48 3" xr:uid="{3FA04A9F-290D-4E5B-81EA-F84633458FAA}"/>
    <hyperlink ref="I139" location="'3'!$F$47" display="$F$47 3" xr:uid="{8E5800FD-6120-4048-AC42-ED5D6C88AB44}"/>
    <hyperlink ref="I140" r:id="rId8" location="'3'!$F$48" xr:uid="{5AEACC6D-74AC-4DE4-8247-DAC5BEBDE69E}"/>
    <hyperlink ref="I141" location="'3'!$F$50" display="$F$50 3" xr:uid="{B20803E1-E0D1-4DF4-86D0-22C227C984E4}"/>
    <hyperlink ref="I142" location="'3'!$F$51" display="$F$51 3" xr:uid="{02D76DA2-5C66-4B08-A148-8725B37E9F24}"/>
    <hyperlink ref="I143" location="'3'!$F$56" display="$F$56 3" xr:uid="{0543975E-BEE9-47E3-998F-9CE54F4DC150}"/>
    <hyperlink ref="I144" location="'3'!$F$27" display="$F$27 3" xr:uid="{612B55E1-153C-4431-93E6-C79D3A07896E}"/>
    <hyperlink ref="I145" r:id="rId9" location="'3'!$F$30" xr:uid="{27355EB9-109B-4D3B-A7BB-FDCD184500E1}"/>
    <hyperlink ref="I151" location="'3'!$G$63" display="$G$63 3" xr:uid="{4219DCD2-6FA6-436B-9D00-E5025E38FFDC}"/>
    <hyperlink ref="I152" location="'3'!$G$64" display="$G$64 3" xr:uid="{3EF52048-BB88-4C82-A1A6-9A82F3F3D7D2}"/>
    <hyperlink ref="I153" location="'3'!$G$21" display="$G$21 3" xr:uid="{AE647403-7625-4805-BCDA-C01F0CBBC0F3}"/>
    <hyperlink ref="I154" location="'3'!$K$30" display="$K$30 3" xr:uid="{86C9C76B-A970-4196-9F22-472C1E1EC48B}"/>
    <hyperlink ref="I155" r:id="rId10" location="'3'!$K$30" xr:uid="{A594AC18-AD94-4540-8FBB-406BADB35838}"/>
    <hyperlink ref="I156" location="'3'!$L$48" display="$L$48 3" xr:uid="{2922C1B0-366E-4BF8-BE74-CD92652867DB}"/>
    <hyperlink ref="I157" location="'3'!$L$51" display="$L$51 3" xr:uid="{274A41E7-1FC6-4C03-B49C-BDAA9B2697D9}"/>
    <hyperlink ref="I158" location="'3'!$L$47" display="$L$47 3" xr:uid="{AC956696-9ACB-4F83-AB21-0F0DB86EE7DB}"/>
    <hyperlink ref="I159" location="'3'!$L$21" display="$L$21 3" xr:uid="{D425EB0A-1174-40B0-916B-F81379B220DC}"/>
    <hyperlink ref="I160" location="'3'!$M$48" display="$M$48 3" xr:uid="{92655542-D463-4B46-B121-F0B1D7F25A7F}"/>
    <hyperlink ref="I161" location="'3'!$M$64" display="$M$64 3" xr:uid="{3DA22D72-CC97-4F2E-A7C8-E5554B22F7E7}"/>
    <hyperlink ref="I162" location="'3'!$M$62" display="$M$62 3" xr:uid="{9E4F781E-352E-4A9F-B1C3-D5A119EE5C8D}"/>
    <hyperlink ref="I163" location="'3'!$M$14" display="$M$14 3" xr:uid="{B151E69A-C8AB-4A04-BC6B-6FAB75369E3D}"/>
    <hyperlink ref="I165" location="'3'!$M$47" display="$M$47 3" xr:uid="{BE621EBB-283F-4AD3-B331-3EF029EBCDE4}"/>
    <hyperlink ref="I166" location="'3'!$M$51" display="$M$51 3" xr:uid="{A6CEB180-D106-46B1-ABAF-A234CBA8BC73}"/>
    <hyperlink ref="I167" location="'3'!$M$30" display="$M$30 3" xr:uid="{7E46121E-EA38-4491-B68B-48354EDFA392}"/>
    <hyperlink ref="I168" location="'3'!$M$79" display="$M$79 3" xr:uid="{979A45AE-5B6E-4D51-82B4-999617572076}"/>
    <hyperlink ref="I169" location="'3'!$M$63" display="$M$63 3" xr:uid="{9EAE725E-B91C-4557-96CD-860BB2B48282}"/>
    <hyperlink ref="I171" r:id="rId11" location="'3'!$M$30" xr:uid="{7DE92AD0-46BD-4A62-BADC-656787948EB9}"/>
    <hyperlink ref="I172" location="'3'!$N$78" display="$N$78 3" xr:uid="{FB81C1BD-5B06-4BBC-8A53-4A5BBA4A6077}"/>
    <hyperlink ref="I173" location="'3'!$N$15" display="$N$15 3" xr:uid="{84D238C9-689A-4AD7-964E-375CF4BD781B}"/>
    <hyperlink ref="I174" location="'3'!$N$50" display="$N$50 3" xr:uid="{B657DC6F-4FFB-4F6F-B615-C60710CFC7FF}"/>
    <hyperlink ref="I175" location="'3'!$N$56" display="$N$56 3" xr:uid="{8AF5CD5E-7B7C-4E57-874B-63FC1CD4B27E}"/>
    <hyperlink ref="I176" location="'3'!$N$48" display="$N$48 3" xr:uid="{3B0AAAA4-4224-4E3E-A579-BCA09116F30A}"/>
    <hyperlink ref="I177" location="'3'!$N$63" display="$N$63 3" xr:uid="{3639E29A-1A89-484A-A455-2B1608491F57}"/>
    <hyperlink ref="I178" location="'3'!$N$64" display="$N$64 3" xr:uid="{CD2AEBE5-B384-485C-89DC-EDB439A539AF}"/>
    <hyperlink ref="I179" location="'3'!$O$24" display="$O$24 3" xr:uid="{2AFFB1AB-8F8C-4891-8426-F8BDBCB4426A}"/>
    <hyperlink ref="I180" location="'3'!$O$47" display="$O$47 3" xr:uid="{1CC5B17F-994F-483B-8B1A-817812A725B9}"/>
    <hyperlink ref="I181" location="'3'!$O$51" display="$O$51 3" xr:uid="{35AA7763-53B1-4FAA-A302-17AF15303ED6}"/>
    <hyperlink ref="I182" r:id="rId12" location="'3'!$M$14" xr:uid="{7560282B-2809-44CC-B807-771CBCFA095F}"/>
    <hyperlink ref="I184" r:id="rId13" location="'3'!$M$14" xr:uid="{0EAEF30B-7727-4304-B25F-C216D6E37CD3}"/>
    <hyperlink ref="I185" location="'3'!$O$15" display="$O$15 3" xr:uid="{333FCEC5-59A2-45BB-A535-448C8380F1C3}"/>
    <hyperlink ref="I186" location="'3'!$O$50" display="$O$50 3" xr:uid="{14291153-EC97-4D0A-B5F4-F936E4563F2F}"/>
    <hyperlink ref="I187" location="'3'!$O$56" display="$O$56 3" xr:uid="{ACCB4DB0-64DB-490F-B35B-8C17E4ED91C3}"/>
    <hyperlink ref="I188" r:id="rId14" location="'3'!$O$50" xr:uid="{01383B6D-B9DF-4B83-9C4B-51DB311CD636}"/>
    <hyperlink ref="I189" r:id="rId15" location="'3'!$O$56" xr:uid="{59DE986F-7B91-4A13-9C76-2E2E2DE2D126}"/>
    <hyperlink ref="I190" location="'3'!$O$40" display="$O$40 3" xr:uid="{405A0066-6E69-4FFF-BA06-BEB700D72F5C}"/>
    <hyperlink ref="I191" location="'3'!$O$30" display="$O$30 3" xr:uid="{F7CEBB65-2B58-48D3-885E-6B971DB510EE}"/>
    <hyperlink ref="I192" r:id="rId16" location="'3'!$O$30" xr:uid="{28FC1A99-9E38-49F4-85D3-B0F8F1D0116B}"/>
    <hyperlink ref="I194" location="'3'!$O$48" display="$O$48 3" xr:uid="{17E26C41-33B3-4DBB-B380-FFF1FE9408E7}"/>
    <hyperlink ref="I195" location="'3'!$P$47" display="$P$47 3" xr:uid="{2C6E1101-5D16-41F1-9199-D8B9663F0A95}"/>
    <hyperlink ref="I196" location="'3'!$P$51" display="$P$51 3" xr:uid="{3CEFD4D6-AFE9-4A0D-A359-E2632CA49200}"/>
    <hyperlink ref="I197" location="'3'!$P$30" display="$P$30 3" xr:uid="{FF00E8F4-4B07-4757-8F7D-E8D2E5D6D6F5}"/>
    <hyperlink ref="I198" r:id="rId17" location="'3'!$P$30" xr:uid="{C322BF0F-B3AE-4588-A272-428748E8F21F}"/>
    <hyperlink ref="I199" location="'3'!$P$27" display="$P$27 3" xr:uid="{E873947A-0064-4BDD-9712-D95F52ADD44C}"/>
    <hyperlink ref="I200" location="'3'!$P$48" display="$P$48 3" xr:uid="{4FA1AD5B-2352-4CB9-8973-C78066851379}"/>
    <hyperlink ref="I201" r:id="rId18" location="'3'!$P$51" xr:uid="{6FA02EF4-7FD5-48BD-861A-3C775D9E06C7}"/>
    <hyperlink ref="I202" location="'3'!$Q$47" display="$Q$47 3" xr:uid="{62F1EEB8-C695-4D81-A264-D51139881FBD}"/>
    <hyperlink ref="I203" location="'3'!$Q$29" display="$Q$29 3" xr:uid="{4177DDEC-8A7C-40E7-B817-5E8DCDA6FF4D}"/>
    <hyperlink ref="I204" location="'3'!$Q$50" display="$Q$50 3" xr:uid="{BA69F812-6075-4F0E-BD09-5A803E8A15A3}"/>
    <hyperlink ref="I205" location="'3'!$Q$56" display="$Q$56 3" xr:uid="{664C336A-ACA3-45AA-BE6E-501AF0145957}"/>
    <hyperlink ref="I206" location="'3'!$R$48" display="$R$48 3" xr:uid="{2D1E6AFF-6391-455C-9F33-A8D8F58E9FC5}"/>
    <hyperlink ref="I207" location="'3'!$R$51" display="$R$51 3" xr:uid="{46CA3964-27E3-4CD6-8F61-152FF9E1A50E}"/>
    <hyperlink ref="I208" location="'3'!$R$47" display="$R$47 3" xr:uid="{25D535DD-88D1-4D1B-94BE-CB6E0AE91F26}"/>
    <hyperlink ref="I209" location="'3'!$S$62" display="$S$62 3" xr:uid="{E1888689-F64E-45D4-95C2-72A0E4D2C647}"/>
    <hyperlink ref="I210" location="'3'!$S$63" display="$S$63 3" xr:uid="{6B870C89-A191-4614-B036-9E2E4D6AEEFA}"/>
    <hyperlink ref="I211" location="'3'!$S$78" display="$S$78 3" xr:uid="{47DAFF68-C171-461B-9177-5CBD684CA3AC}"/>
    <hyperlink ref="I212" location="'3'!$T$50" display="$T$50 3" xr:uid="{94723E9E-FBCA-40A0-B57D-D7EB961DFD00}"/>
    <hyperlink ref="I213" location="'3'!$T$56" display="$T$56 3" xr:uid="{E15243FD-3CB4-42C2-8B0D-D7FEF5AB988A}"/>
    <hyperlink ref="I214" location="'3'!$U$48" display="$U$48 3" xr:uid="{3E405DAD-21D2-43AC-B997-1A02555BCA78}"/>
    <hyperlink ref="I215" location="'3'!$V$50" display="$V$50 3" xr:uid="{E9E7B4B4-2BBD-4468-B5CC-78CEE71033EC}"/>
    <hyperlink ref="I216" location="'3'!$V$29" display="$V$29 3" xr:uid="{D388057C-E601-44B3-B364-DFEAF1DCD964}"/>
    <hyperlink ref="I217" location="'3'!$V$56" display="$V$56 3" xr:uid="{84C3D468-ED7D-4F79-AEC7-EC636C926149}"/>
    <hyperlink ref="I218" location="'3'!$W$48" display="$W$48 3" xr:uid="{79292CC1-78B1-4FAE-8067-115F9B61D1B5}"/>
    <hyperlink ref="I219" location="'3'!$W$78" display="$W$78 3" xr:uid="{40B8199D-FE2E-43E6-ADBB-3FEB36236408}"/>
    <hyperlink ref="I220" location="'3'!$W$79" display="$W$79 3" xr:uid="{E41E6076-9FCA-46C4-9F46-2539D0BFDA6F}"/>
    <hyperlink ref="I224" location="'3'!$AA$24" display="$AA$24 3" xr:uid="{072B6440-491C-47E7-8FD1-0BA7BB1FCE03}"/>
    <hyperlink ref="I225" location="'3'!$AB$21" display="$AB$21 3" xr:uid="{58944E85-7A54-4FB7-9955-A9B4FE10F48F}"/>
    <hyperlink ref="I226" location="'4'!$F$15" display="$F$15 4" xr:uid="{2D71315F-CED0-4D83-A2CB-91160AFB2EF1}"/>
    <hyperlink ref="I227" location="'4'!$F$27" display="$F$27 4" xr:uid="{A4CAE878-7BFB-4FB4-9212-260C9B1D0A14}"/>
    <hyperlink ref="I228" location="'4'!$F$30" display="$F$30 4" xr:uid="{81837497-4BA2-4211-8A13-BED3A0B79A9C}"/>
    <hyperlink ref="I229" location="'4'!$F$47" display="$F$47 4" xr:uid="{3E71C890-1420-4066-BDA3-EBECFE52AB5C}"/>
    <hyperlink ref="I230" r:id="rId19" location="'4'!$F$30" xr:uid="{1A806B6B-31DD-4F5C-B25D-14F4204313A8}"/>
    <hyperlink ref="I231" location="'4'!$G$47" display="$G$47 4" xr:uid="{CC55DE9F-041F-4AD1-89C6-90E9B780034C}"/>
    <hyperlink ref="I232" location="'4'!$G$30" display="$G$30 4" xr:uid="{C50373CB-7121-4A51-9461-012B567EFFD6}"/>
    <hyperlink ref="I233" r:id="rId20" location="'4'!$G$30" xr:uid="{A7B13C55-9425-49D6-A4DF-673164919B1E}"/>
    <hyperlink ref="I234" location="'4'!$G$27" display="$G$27 4" xr:uid="{A305F630-8B1A-462D-8C27-7F693E2068FA}"/>
    <hyperlink ref="I235" location="'4'!$G$28" display="$G$28 4" xr:uid="{A4CAEF4E-C4E5-4680-9023-7CDFCCCF819C}"/>
    <hyperlink ref="I222" location="'3'!$AA$63" display="$AA$63 3" xr:uid="{BEC68802-2106-4A87-8181-807E6BCA5954}"/>
    <hyperlink ref="I223" location="'3'!$AA$64" display="$AA$64 3" xr:uid="{C0AD78C8-7442-4690-A92E-499308217A3D}"/>
    <hyperlink ref="I236" location="'4'!$K$64" display="$K$64 4" xr:uid="{08126357-F976-4FA2-8B8F-C79487563F75}"/>
    <hyperlink ref="I237" location="'4'!$K$62" display="$K$62 4" xr:uid="{DE24DEDA-55A8-4C68-B866-C58E2CE7A25D}"/>
    <hyperlink ref="I238" location="'4'!$K$15" display="$K$15 4" xr:uid="{468388B4-BB3D-41AC-A8A0-359982E42904}"/>
    <hyperlink ref="I239" location="'4'!$L$28" display="$L$28 4" xr:uid="{6E8D495F-16D6-4554-96B1-EFD2A3893218}"/>
    <hyperlink ref="I240" location="'4'!$L$14" display="$L$14 4" xr:uid="{01151673-BA13-4801-9A46-1B1EF701AC3A}"/>
    <hyperlink ref="I241" location="'3'!$X$79" display="$X$79 3" xr:uid="{2DAC6482-1766-484C-A1AE-21940A75B7CA}"/>
    <hyperlink ref="I242" location="'3'!$Y$78" display="$Y$78 3" xr:uid="{0D40E6F5-9F53-42BD-8DED-07A6DA726974}"/>
    <hyperlink ref="I243" location="'4'!$M$78" display="$M$78 4" xr:uid="{83510B63-74E7-4888-8305-41D3AC91DD11}"/>
    <hyperlink ref="I244" location="'4'!$M$79" display="$M$79 4" xr:uid="{8866AB51-7A31-401D-9483-DB9D34B11AE2}"/>
    <hyperlink ref="I245" location="'4'!$N$14" display="$N$14 4" xr:uid="{264AC8FA-3B2A-44B9-8EFE-A09A5732B534}"/>
    <hyperlink ref="I247" location="'4'!$N$50" display="$N$50 4" xr:uid="{1A1216C5-E236-4DE4-9E41-8E34527D2B16}"/>
    <hyperlink ref="I248" location="'4'!$O$56" display="$O$56 4" xr:uid="{5A0621F2-26F5-4BAF-825B-15ED7EB8BCC3}"/>
    <hyperlink ref="I249" location="'4'!$O$48" display="$O$48 4" xr:uid="{A146FE16-2BEC-46C2-911F-1E49E074FEAD}"/>
    <hyperlink ref="I250" location="'4'!$O$51" display="$O$51 4" xr:uid="{E1994E51-01B1-417A-96D2-B7C50AD634A9}"/>
    <hyperlink ref="I251" location="'4'!$O$47" display="$O$47 4" xr:uid="{9A8E83FB-248E-48D0-A417-EBF7C3C0517B}"/>
    <hyperlink ref="I252" location="'4'!$O$14" display="$O$14 4" xr:uid="{A5AC65A6-1994-4A56-9C97-DAD2A7DBF932}"/>
    <hyperlink ref="I253" location="'4'!$O$40" display="$O$40 4" xr:uid="{030D4986-A2CA-44C5-BCA9-879C63A449E9}"/>
    <hyperlink ref="I254" location="'4'!$O$21" display="$O$21 4" xr:uid="{396A375D-B4FC-447D-9CF2-7BFD0B74B383}"/>
    <hyperlink ref="I255" location="'4'!$O$29" display="$O$29 4" xr:uid="{DB118C28-206B-4504-94A2-32EFAAF671E3}"/>
    <hyperlink ref="I256" location="'4'!$O$15" display="$O$15 4" xr:uid="{A049A8D6-0CEA-4E5C-B378-6C27E57550D1}"/>
    <hyperlink ref="I258" location="'4'!$P$40" display="$P$40 4" xr:uid="{7157D701-A4C7-45A4-8A0D-F9FFC7238979}"/>
    <hyperlink ref="I259" location="'4'!$P$50" display="$P$50 4" xr:uid="{7D6DB29B-A74A-4D93-B1A6-B4B54D820AC3}"/>
    <hyperlink ref="I261" location="'4'!$P$15" display="$P$15 4" xr:uid="{9353C3AF-4861-4D09-8C86-30C5FBCAAFFD}"/>
    <hyperlink ref="I260" location="'4'!$P$15" display="$P$15 4" xr:uid="{DF24F187-1FD6-46A9-A84A-577778F7F60B}"/>
    <hyperlink ref="I257" location="'4'!$P$24" display="$P$24 4" xr:uid="{B0891027-EE19-41AE-A898-ED327E7BE361}"/>
    <hyperlink ref="I262" location="'4'!$P$15" display="$P$15 4" xr:uid="{057AF53E-DDBC-4C61-9E7D-BDA0AE276256}"/>
    <hyperlink ref="I264" r:id="rId21" location="'4'!$P$15" xr:uid="{5F74E110-F1AC-4E51-B952-BF8181C5F643}"/>
    <hyperlink ref="I265" r:id="rId22" location="'4'!$P$50" xr:uid="{D23B550E-201B-47D6-A38A-8AADDCDCF307}"/>
    <hyperlink ref="I267" location="'4'!$P$56" display="$P$56 4" xr:uid="{FEA3C3BC-D51F-4283-8D04-59922735DFA8}"/>
    <hyperlink ref="I268" location="'4'!$P$48" display="$P$48 4" xr:uid="{F549E97F-384D-4449-AAF8-788D2C252D4D}"/>
    <hyperlink ref="I269" location="'4'!$P$51" display="$P$51 4" xr:uid="{E78EA6A1-69B2-4C12-8601-0D33DE6BA050}"/>
    <hyperlink ref="I270" location="'4'!$R$47" display="$R$47 4" xr:uid="{DEB17688-C705-4DAD-875F-688E05F004B5}"/>
    <hyperlink ref="I271" location="'4'!$R$50" display="$R$50 4" xr:uid="{C9AFC947-1EA2-422C-AFDE-F4CA57A92D4D}"/>
    <hyperlink ref="I272" location="'4'!$S$62" display="$S$62 4" xr:uid="{D0BDE1DE-0754-4A96-9961-77817B992794}"/>
    <hyperlink ref="I273" location="'4'!$S$63" display="$S$63 4" xr:uid="{AF8245CA-ADD0-4DFC-A486-6E615CD2BD2A}"/>
    <hyperlink ref="I274" location="'4'!$S$56" display="$S$56 4" xr:uid="{0B40CB77-64FA-4969-930F-41BD9C3F11A6}"/>
    <hyperlink ref="I275" location="'4'!$S$48" display="$S$48 4" xr:uid="{5B0F3C7A-9734-45A6-83A9-93411EDB61C9}"/>
    <hyperlink ref="I276" location="'4'!$U$50" display="$U$50 4" xr:uid="{6001FC93-A77E-484A-9252-AE9040CBF5D4}"/>
    <hyperlink ref="I277" location="'4'!$X$56" display="$X$56 4" xr:uid="{F7BE9E8A-33F4-4F38-BF42-371B7D9378F4}"/>
    <hyperlink ref="I278" location="'4'!$X$48" display="$X$48 4" xr:uid="{8D30F57E-A716-47DC-A355-F763498FA1A3}"/>
    <hyperlink ref="I279" location="'4'!$X$27" display="$X$27 4" xr:uid="{653FD85C-48FE-4A71-8FCA-391982FE0A36}"/>
    <hyperlink ref="I280" location="'4'!$X$28" display="$X$28 4" xr:uid="{9A726171-BF08-4623-AC3E-6658DEF1A36C}"/>
    <hyperlink ref="I281" location="'4'!$X$29" display="$X$29 4" xr:uid="{7A5A4DDA-37C1-4001-9BA9-FB06C1C346A3}"/>
    <hyperlink ref="I282" location="'4'!$Y$79" display="$Y$79 4" xr:uid="{EFE5E3EE-988B-451C-811B-71094B9EE622}"/>
    <hyperlink ref="I283" location="'4'!$Y$78" display="$Y$78 4" xr:uid="{3DB9776F-528F-496B-A1C7-8BAECF72517B}"/>
    <hyperlink ref="I284" location="'4'!$Y$51" display="$Y$51 4" xr:uid="{EF408EB3-2B8F-42E0-9DDD-91DB528F621D}"/>
    <hyperlink ref="I285" location="'4'!$Y$47" display="$Y$47 4" xr:uid="{6F0269DE-5748-460F-B370-32226D14493B}"/>
    <hyperlink ref="I286" location="'4'!$Y$50" display="$Y$50 4" xr:uid="{339F7833-C4E6-4E87-8270-3F8E911A9028}"/>
    <hyperlink ref="I287" location="'4'!$Y$56" display="$Y$56 4" xr:uid="{E1ED0851-54BC-4BB2-B5A6-F5DEB904B118}"/>
    <hyperlink ref="I288" location="'4'!$Y$48" display="$Y$48 4" xr:uid="{B5C3F901-3153-4499-802C-AB51EAA2B42B}"/>
    <hyperlink ref="I289" location="'4'!$Z$51" display="$Z$51 4" xr:uid="{FE8FB5EE-C0C6-4B9E-90DB-D0B74F9CC5A7}"/>
    <hyperlink ref="I290" location="'4'!$Z$40" display="$Z$40 4" xr:uid="{75D64988-A1B1-40F7-BEB7-2CB7C2B7E47D}"/>
    <hyperlink ref="I292" location="'4'!$Z$50" display="$Z$50 4" xr:uid="{4452BD22-C696-4E49-8EB2-0D77CC11D48C}"/>
    <hyperlink ref="I293" location="'4'!$Z$47" display="$Z$47 4" xr:uid="{951C5DA6-D38A-4660-8A68-7CD09053D4BA}"/>
    <hyperlink ref="I294" location="'4'!$Z$56" display="$Z$56 4" xr:uid="{34DBE5F0-0620-4BC4-953A-DFAD1B3DE417}"/>
    <hyperlink ref="I295" location="'4'!$Z$48" display="$Z$48 4" xr:uid="{6D475C30-B787-417F-BB15-46E9DC0DB842}"/>
    <hyperlink ref="I296" location="'4'!$AB$63" display="$AB$63 4" xr:uid="{679886FF-927B-43C4-B786-83FE08676967}"/>
    <hyperlink ref="I297" location="'4'!$AB$64" display="$AB$64 4" xr:uid="{368A39A2-2EFE-4D90-B187-38318EBECB97}"/>
    <hyperlink ref="I298" location="'4'!$AB$56" display="$AB$56 4" xr:uid="{A63C368C-5827-4E70-AF22-4B838D396058}"/>
    <hyperlink ref="I299" location="'4'!$AB$47" display="$AB$47 4" xr:uid="{FD1896C3-D84B-44A3-AE43-F8BBD93F8A3E}"/>
    <hyperlink ref="I300" location="'4'!$AB$48" display="$AB$48 4" xr:uid="{F6CA0EFC-0BA1-41C2-8926-2487174A5BB1}"/>
    <hyperlink ref="I301" location="'4'!$AB$50" display="$AB$50 4" xr:uid="{179F9AD7-AD1F-4A85-BCBA-697868C06D1A}"/>
    <hyperlink ref="I302" location="'4'!$AB$51" display="$AB$51 4" xr:uid="{B8A50BBE-9DBC-42DE-8C0A-40CF93204882}"/>
    <hyperlink ref="I303" location="'4'!$AB$16" display="$AB$16 4" xr:uid="{1DA7BD1D-25EC-474C-A682-8C422F60CC79}"/>
    <hyperlink ref="I307" location="'4'!$AC$48" display="$AC$48 4" xr:uid="{3AB3657B-F093-453B-AADD-402F5111BEE7}"/>
    <hyperlink ref="I308" location="'4'!$AC$51" display="$AC$51 4" xr:uid="{5D4FA6A9-2948-471C-B0F3-BAB9510A3F04}"/>
    <hyperlink ref="I309" location="'5'!$F$24" display="$F$24 5" xr:uid="{07C7BBD9-C291-45D6-BCDD-45E9A444A6CB}"/>
    <hyperlink ref="I310" location="'5'!$G$21" display="$G$21 5" xr:uid="{602B70B5-9BFE-4733-BCB6-D946D9DA6172}"/>
    <hyperlink ref="I311" location="'5'!$H$27" display="$H$27 5" xr:uid="{8AA6F537-ECDB-437F-928E-D42FAF9E6A68}"/>
    <hyperlink ref="I312" location="'5'!$J$47" display="$J$47 5" xr:uid="{30EB143A-5E60-4036-9045-0A3608194A9D}"/>
    <hyperlink ref="I313" location="'5'!$J$48" display="$J$48 5" xr:uid="{97DD3E51-47E3-47B8-9C41-A265EFBB93E5}"/>
    <hyperlink ref="I314" location="'5'!$J$50" display="$J$50 5" xr:uid="{03BB7891-755D-41D2-9A08-DBE3C6298FFE}"/>
    <hyperlink ref="I315" location="'5'!$J$51" display="$J$51 5" xr:uid="{166686EF-2FAD-4CCF-AA99-5914FB589333}"/>
    <hyperlink ref="I316" location="'5'!$J$56" display="$J$56 5" xr:uid="{8AB68242-F963-4B49-AA9A-290B669734EA}"/>
    <hyperlink ref="I317" location="'5'!$J$28" display="$J$28 5" xr:uid="{523C018C-E86F-4FD9-8FF8-05E36044FF88}"/>
    <hyperlink ref="I320" location="'5'!$J$15" display="$J$15 5" xr:uid="{5EA36B0F-C0AC-4D16-B38F-355AF4BE46D4}"/>
    <hyperlink ref="I321" r:id="rId23" location="'5'!$J$15" xr:uid="{996DBEB9-88A1-47E5-9C02-CEA6DDCC746F}"/>
    <hyperlink ref="I324" location="'5'!$K$64" display="$K$64 5" xr:uid="{3EA84EFE-2826-4A11-AE34-8D6FF9EACAB9}"/>
    <hyperlink ref="I325" location="'5'!$K$62" display="$K$62 5" xr:uid="{3CB35AD6-4439-4111-9F91-8989429359EC}"/>
    <hyperlink ref="I326" location="'5'!$K$56" display="$K$56 5" xr:uid="{B2984146-D97A-4C30-94F6-276DB9F9F20E}"/>
    <hyperlink ref="I327" location="'5'!$L$15" display="$L$15 5" xr:uid="{8735B09C-BB52-4089-8064-97FCEC11D8C7}"/>
    <hyperlink ref="I328" r:id="rId24" location="'5'!$L$15" xr:uid="{D1FD6A94-E534-4108-BC79-CC34C8EB3602}"/>
    <hyperlink ref="I329" location="'5'!$L$47" display="$L$47 5" xr:uid="{232BF3A3-7CB1-4C94-85B5-9C9BFDAEB268}"/>
    <hyperlink ref="I331" r:id="rId25" location="'5'!$L$15" xr:uid="{24E0853C-9B89-463C-AA36-1D39FAC33944}"/>
    <hyperlink ref="I332" location="'5'!$L$50" display="$L$50 5" xr:uid="{6775943A-2A6B-4447-A841-2457F93BD7B9}"/>
    <hyperlink ref="I333" location="'5'!$L$48" display="$L$48 5" xr:uid="{D57EBC65-C28A-47D6-8A10-D0FD7709C986}"/>
    <hyperlink ref="I334" location="'5'!$M$51" display="$M$51 5" xr:uid="{2A151F99-0E94-4D47-A9C9-6C45AD57CE38}"/>
    <hyperlink ref="I335" location="'5'!$M$15" display="$M$15 5" xr:uid="{ACCE6EDC-2BB3-4D88-AA1D-5ED4A416427F}"/>
    <hyperlink ref="I336" location="'5'!$M$47" display="$M$47 5" xr:uid="{54EDCAEB-DB1E-4C80-8EFC-3613C27AD1DB}"/>
    <hyperlink ref="I337" location="'5'!$N$21" display="$N$21 5" xr:uid="{247E705F-E4BE-43BC-8A28-B7497A59AD53}"/>
    <hyperlink ref="I338" location="'5'!$N$50" display="$N$50 5" xr:uid="{30FE908C-D3B4-4FFF-BFC5-C231C139BAE2}"/>
    <hyperlink ref="I339" location="'5'!$L$78" display="$L$78 5" xr:uid="{11D6E854-F227-4DA3-8940-5AB1B3EB51B3}"/>
    <hyperlink ref="I340" location="'5'!$L$79" display="$L$79 5" xr:uid="{12135983-B4CE-4E49-AA0E-28E29E1B31B3}"/>
    <hyperlink ref="I341" location="'5'!$N$56" display="$N$56 5" xr:uid="{9EBCA74A-B9FA-4840-91F7-48D34E43CB2D}"/>
    <hyperlink ref="I342" location="'5'!$N$48" display="$N$48 5" xr:uid="{734A63D0-4941-4A8B-B12C-85D291995017}"/>
    <hyperlink ref="I343" location="'5'!$N$15" display="$N$15 5" xr:uid="{54357F24-745B-41F2-B8CB-5AD85437ABEF}"/>
    <hyperlink ref="I344" r:id="rId26" location="'5'!$N$15" xr:uid="{CD1DF3BF-08E4-4094-9882-B59F82B11EA0}"/>
    <hyperlink ref="I345" location="'5'!$O$51" display="$O$51 5" xr:uid="{CD7D0839-441C-4160-8E75-1B87C612182B}"/>
    <hyperlink ref="I346" location="'5'!$O$47" display="$O$47 5" xr:uid="{5BD410BA-DF54-4D10-BEEE-49E348EAA53C}"/>
    <hyperlink ref="I347" location="'5'!$O$16" display="$O$16 5" xr:uid="{37476DA5-8ECF-48A7-8C1C-A4ECEA8521E3}"/>
    <hyperlink ref="I348" location="'5'!$O$20" display="$O$20 5" xr:uid="{9DE64BD1-6F31-4241-867F-EDBCD96B83ED}"/>
    <hyperlink ref="I349" location="'5'!$O$50" display="$O$50 5" xr:uid="{8D170CDE-82B2-47F2-91B3-54B0DD61AF41}"/>
    <hyperlink ref="I350" location="'5'!$O$56" display="$O$56 5" xr:uid="{AFF14903-03D3-4DBF-B1D8-8386C14DE8AF}"/>
    <hyperlink ref="I351" location="'5'!$O$24" display="$O$24 5" xr:uid="{3C0FB6AE-1567-4099-B383-F7F3DE12D989}"/>
    <hyperlink ref="I352" location="'5'!$P$51" display="$P$51 5" xr:uid="{C09115D8-05C0-4DCD-931C-E81644D1B597}"/>
    <hyperlink ref="I353" location="'5'!$P$48" display="$P$48 5" xr:uid="{1C48E6F6-6D2F-42F6-93E6-ECE6896DBF33}"/>
    <hyperlink ref="I354" location="'5'!$P$47" display="$P$47 5" xr:uid="{652DBA3D-7361-4FD1-98D2-DAA83F3C685C}"/>
    <hyperlink ref="I355" r:id="rId27" location="'5'!$P$51" xr:uid="{8D66F829-4D8F-4716-AE97-9E34D52AEDD1}"/>
    <hyperlink ref="I356" location="'5'!$P$20" display="$P$20 5" xr:uid="{DF8E8A85-8F0B-43B0-B328-0348554A7488}"/>
    <hyperlink ref="I357" r:id="rId28" location="'5'!$P$47" xr:uid="{B537FE4F-881B-4674-A752-703C0089E294}"/>
    <hyperlink ref="I358" location="'5'!$P$29" display="$P$29 5" xr:uid="{94518013-2345-4280-BD84-22531EA5CB8D}"/>
    <hyperlink ref="I359" location="'5'!$P$50" display="$P$50 5" xr:uid="{E79C365B-596F-4413-880C-2E46C620AD04}"/>
    <hyperlink ref="I360" location="'5'!$P$56" display="$P$56 5" xr:uid="{1D3EF23A-7035-4FDC-976B-BC28EDB86BB7}"/>
    <hyperlink ref="I363" location="'5'!$Q$50" display="$Q$50 5" xr:uid="{899900AB-7F44-452B-8AAD-203C83F2FB9C}"/>
    <hyperlink ref="I364" location="'5'!$Q$14" display="$Q$14 5" xr:uid="{47ACEEAB-CEC9-4891-A782-06D327853AEB}"/>
    <hyperlink ref="I365" location="'5'!$Q$16" display="$Q$16 5" xr:uid="{5C848124-E8AD-465C-9045-9CFB21FD199C}"/>
    <hyperlink ref="I366" r:id="rId29" location="'5'!$Q$16" xr:uid="{AC9EEB22-FADC-4D1E-AFB8-3A4C44161D70}"/>
    <hyperlink ref="I367" location="'5'!$Q$56" display="$Q$56 5" xr:uid="{EE186158-29C8-4C55-91C0-DB14B5AEB882}"/>
    <hyperlink ref="I368" location="'5'!$Q$48" display="$Q$48 5" xr:uid="{9D22BB19-153E-4830-A249-D1FCBAE168EA}"/>
    <hyperlink ref="I369" location="'5'!$Q$51" display="$Q$51 5" xr:uid="{8202F04D-C6C4-4BED-8927-9C1483AEEABB}"/>
    <hyperlink ref="I370" location="'5'!$Q$47" display="$Q$47 5" xr:uid="{D86FF338-90E9-4699-BC50-0EED82778384}"/>
    <hyperlink ref="I371" r:id="rId30" location="'5'!$Q$14" xr:uid="{1C6B60FC-26EC-428F-BD82-2CD81DD95E39}"/>
    <hyperlink ref="I372" location="'5'!$R$50" display="$R$50 5" xr:uid="{4E9829FC-8F31-4854-B863-11671B12B3CF}"/>
    <hyperlink ref="I373" location="'5'!$R$56" display="$R$56 5" xr:uid="{84056BCC-2217-45BF-B750-104A5F7F5A73}"/>
    <hyperlink ref="I374" location="'5'!$R$47" display="$R$47 5" xr:uid="{61398A32-60B3-41F6-A2D4-F8C404D703C1}"/>
    <hyperlink ref="I375" r:id="rId31" location="'5'!$R$50" xr:uid="{32EA9D62-8517-496E-ADED-15D3BC66CD5D}"/>
    <hyperlink ref="I376" r:id="rId32" location="'5'!$R$56" xr:uid="{2A1916C7-25EE-4094-A409-559EE3CB87EF}"/>
    <hyperlink ref="I377" location="'5'!$R$29" display="$R$29 5" xr:uid="{610BB626-98A9-4835-B41C-9AE0289B80A2}"/>
    <hyperlink ref="I378" location="'5'!$R$14" display="$R$14 5" xr:uid="{DB5FC8AA-257F-4E51-8A61-9F5403278B64}"/>
    <hyperlink ref="I379" r:id="rId33" location="'5'!$R$14" xr:uid="{5269B5ED-3E8B-462D-B02E-38BB06016BA4}"/>
    <hyperlink ref="I380" location="'5'!$S$48" display="$S$48 5" xr:uid="{B1CC378D-BB41-4099-9478-EF4476098785}"/>
    <hyperlink ref="I381" location="'5'!$S$51" display="$S$51 5" xr:uid="{43EC0775-4B81-487C-8C77-5EF3BD99026D}"/>
    <hyperlink ref="I382" location="'5'!$S$47" display="$S$47 5" xr:uid="{2CCD1731-4685-4211-AD5A-D39F43532401}"/>
    <hyperlink ref="I383" location="'5'!$S$50" display="$S$50 5" xr:uid="{ACFE3F9E-B377-4046-A883-A0E636D423BB}"/>
    <hyperlink ref="I384" location="'5'!$S$56" display="$S$56 5" xr:uid="{AC943E9C-6922-4205-99CB-1402BD411753}"/>
    <hyperlink ref="I387" location="'5'!$U$20" display="$U$20 5" xr:uid="{018E01FB-93DF-4FAA-97AC-82F0676A2F95}"/>
    <hyperlink ref="I388" location="'5'!$X$30" display="$X$30 5" xr:uid="{4501396D-8FC4-4217-8CAE-A44DD0589161}"/>
    <hyperlink ref="I389" r:id="rId34" location="'5'!$X$30" xr:uid="{B07E659E-77F9-46D8-8817-71A06B0377B7}"/>
    <hyperlink ref="I390" location="'5'!$X$48" display="$X$48 5" xr:uid="{0C7991A9-8B97-446B-9F6F-95394909A248}"/>
    <hyperlink ref="I391" location="'5'!$X$51" display="$X$51 5" xr:uid="{7EFDF669-4647-413D-9AF3-18D7F6F9FB4D}"/>
    <hyperlink ref="I392" r:id="rId35" location="'5'!$X$30" xr:uid="{2E3C000E-DEB3-43D6-9176-63C8F64546C3}"/>
    <hyperlink ref="I393" location="'5'!$Y$29" display="$Y$29 5" xr:uid="{B01CA769-ED3F-4E50-9DCA-309BF68690A3}"/>
    <hyperlink ref="I394" location="'5'!$Y$79" display="$Y$79 5" xr:uid="{1B3DC116-2A26-4EA4-B2C4-44EB84ED7777}"/>
    <hyperlink ref="I395" location="'5'!$Y$78" display="$Y$78 5" xr:uid="{7BB32CAD-827A-4756-898D-3514D9951346}"/>
    <hyperlink ref="I396" location="'5'!$Y$47" display="$Y$47 5" xr:uid="{88887EC2-6763-4089-A340-25FC84058696}"/>
    <hyperlink ref="I397" location="'5'!$Y$50" display="$Y$50 5" xr:uid="{AA326463-EEA4-45BB-B99F-4DF96773B452}"/>
    <hyperlink ref="I398" location="'5'!$Y$56" display="$Y$56 5" xr:uid="{A852A804-AF7B-46E8-A805-22CCC0AC6AFA}"/>
    <hyperlink ref="I399" location="'5'!$Y$40" display="$Y$40 5" xr:uid="{F349016A-712E-4A90-A482-7C78967F751F}"/>
    <hyperlink ref="I400" location="'5'!$Y$48" display="$Y$48 5" xr:uid="{6DC79AB7-7E8D-4400-AFF2-1A947EE3546B}"/>
    <hyperlink ref="I402" location="'5'!$Y$51" display="$Y$51 5" xr:uid="{B80BEC49-6B9A-4999-8A17-E119552379B0}"/>
    <hyperlink ref="I404" location="'5'!$Z$29" display="$Z$29 5" xr:uid="{8D7D1363-83AE-49EE-A9CF-B1EDC3EAFD88}"/>
    <hyperlink ref="I405" location="'5'!$Z$50" display="$Z$50 5" xr:uid="{5D873321-C504-4827-B362-97FF2C7513CA}"/>
    <hyperlink ref="I406" location="'5'!$Z$56" display="$Z$56 5" xr:uid="{DEEBC274-D659-4182-8603-4DCC6A9E226A}"/>
    <hyperlink ref="I409" location="'5'!$AA$24" display="$AA$24 5" xr:uid="{C5D7B9A4-AFB1-49E6-A641-D906EDAA7759}"/>
    <hyperlink ref="I410" location="'5'!$AC$21" display="$AC$21 5" xr:uid="{06399286-4A9C-47F1-BDA3-A85EA5B0B259}"/>
    <hyperlink ref="I411" location="'6'!$G$15" display="$G$15 6" xr:uid="{BEAB88A2-5E20-43AF-841C-F3E526E0D341}"/>
    <hyperlink ref="I412" location="'6'!$H$28" display="$H$28 6" xr:uid="{D5D86F10-0089-4DE5-9EC4-D19E6C5115BA}"/>
    <hyperlink ref="I385" location="'5'!$T$62" display="$T$62 5" xr:uid="{04BAEF26-8B18-4412-9A34-C40C5831F8C7}"/>
    <hyperlink ref="I386" location="'5'!$T$63" display="$T$63 5" xr:uid="{FC662F88-28B2-403B-B222-D367A027BDD1}"/>
    <hyperlink ref="I407" location="'5'!$AA$63" display="$AA$63 5" xr:uid="{5243AC22-1A38-4520-8D7F-8AB19A7C5D0D}"/>
    <hyperlink ref="I408" location="'5'!$AA$64" display="$AA$64 5" xr:uid="{4D39B81F-AF3D-4D17-A5E8-5380C658F802}"/>
    <hyperlink ref="I413" location="'6'!$J$64" display="$J$64 6" xr:uid="{E8EC3DDD-9C92-4D8A-9C6D-9E89351F58EB}"/>
    <hyperlink ref="I414" location="'6'!$J$62" display="$J$62 6" xr:uid="{E6A787E3-272C-43C9-A20F-DBAD89846406}"/>
    <hyperlink ref="I415" location="'6'!$L$15" display="$L$15 6" xr:uid="{356BABBE-D0C3-4D1A-8BF8-C277B4F905FF}"/>
    <hyperlink ref="I416" location="'6'!$L$16" display="$L$16 6" xr:uid="{D1B488C1-90D4-4C52-BE74-B6B1A413164D}"/>
    <hyperlink ref="I417" location="'6'!$M$78" display="$M$78 6" xr:uid="{C22F80E1-784F-4663-9C7C-C1C01BEC5F99}"/>
    <hyperlink ref="I418" location="'6'!$M$79" display="$M$79 6" xr:uid="{A190F176-42D9-486A-B82F-9EB7805B6CE6}"/>
    <hyperlink ref="I419" location="'6'!$M$48" display="$M$48 6" xr:uid="{723F359D-54FD-49FC-976D-34166DB1146F}"/>
    <hyperlink ref="I421" location="'6'!$M$51" display="$M$51 6" xr:uid="{C5D1A91C-6B72-4BCB-A07C-1125E3CC19C6}"/>
    <hyperlink ref="I422" location="'6'!$M$47" display="$M$47 6" xr:uid="{8DD5776B-5380-4C2D-A844-79DD58826934}"/>
    <hyperlink ref="I423" location="'6'!$O$50" display="$O$50 6" xr:uid="{15608967-D7D3-4185-A741-DE4C5E6F93CC}"/>
    <hyperlink ref="I424" location="'6'!$O$56" display="$O$56 6" xr:uid="{6BC6000B-2D4D-4461-87F0-6F39F1BD6403}"/>
    <hyperlink ref="I425" location="'6'!$O$27" display="$O$27 6" xr:uid="{53A6143F-0F6F-43CB-A75A-7EE52E71B58D}"/>
    <hyperlink ref="I426" location="'6'!$O$51" display="$O$51 6" xr:uid="{40E55129-7B2A-4AAB-B6F3-798F6B31E9D9}"/>
    <hyperlink ref="I427" location="'6'!$O$16" display="$O$16 6" xr:uid="{BE68022B-F948-405C-815A-B38B9832F00E}"/>
    <hyperlink ref="I428" location="'6'!$O$48" display="$O$48 6" xr:uid="{CF62ED03-3A34-4044-A969-5F5B4681FD4B}"/>
    <hyperlink ref="I429" location="'6'!$P$51" display="$P$51 6" xr:uid="{D9BCB27E-16EF-4688-AAF0-5765B12585E0}"/>
    <hyperlink ref="I430" location="'6'!$P$47" display="$P$47 6" xr:uid="{E7FFB93A-88F3-4657-A954-3E79644FABD4}"/>
    <hyperlink ref="I431" location="'6'!$P$50" display="$P$50 6" xr:uid="{BBEF6CAD-D4E7-4CB9-9D03-A4DEBE8E8ABB}"/>
    <hyperlink ref="I432" location="'6'!$P$56" display="$P$56 6" xr:uid="{463458E9-2ABD-4167-B0A3-2A45053C1A9B}"/>
    <hyperlink ref="I433" location="'6'!$P$48" display="$P$48 6" xr:uid="{E3463D11-4B84-4F5A-8FBA-A3645D6432E0}"/>
    <hyperlink ref="I434" location="'6'!$Q$47" display="$Q$47 6" xr:uid="{DC5F5D33-E775-4C56-9D8F-04DBA387728C}"/>
    <hyperlink ref="I435" location="'6'!$Q$51" display="$Q$51 6" xr:uid="{16CD13B4-DF98-4434-A28C-E8E426CD50D0}"/>
    <hyperlink ref="I436" location="'6'!$Q$21" display="$Q$21 6" xr:uid="{B3D96D0C-47CC-4344-8366-F08A84F94291}"/>
    <hyperlink ref="I437" location="'6'!$R$62" display="$R$62 6" xr:uid="{5EC76546-19D0-42F6-993E-8DB6BB4A9D67}"/>
    <hyperlink ref="I438" location="'6'!$R$63" display="$R$63 6" xr:uid="{B321C8A3-470D-425B-832C-251B938A04A1}"/>
    <hyperlink ref="I439" location="'6'!$R$47" display="$R$47 6" xr:uid="{BDF6AE0F-ECDA-46E1-9175-91945DF58B27}"/>
    <hyperlink ref="I440" location="'6'!$R$19" display="$R$19 6" xr:uid="{F3936C8D-FD9F-48F6-8D36-64C9154C74B1}"/>
    <hyperlink ref="I441" r:id="rId36" location="'6'!$R$19" xr:uid="{A2EB2FE9-DDAA-477D-B16B-1F8AD1742987}"/>
    <hyperlink ref="I442" location="'6'!$R$28" display="$R$28 6" xr:uid="{E74BEFDE-3055-453B-99CE-3C750625364C}"/>
    <hyperlink ref="I443" location="'6'!$R$27" display="$R$27 6" xr:uid="{8B191E35-4C14-47C8-89E3-4644C7C4279F}"/>
    <hyperlink ref="I444" location="'6'!$S$19" display="$S$19 6" xr:uid="{4D5C9C8D-05FE-4436-B093-579DD49542F9}"/>
    <hyperlink ref="I445" location="'6'!$S$50" display="$S$50 6" xr:uid="{F7E3890D-7A00-4476-8420-8EF56FF4532C}"/>
    <hyperlink ref="I446" location="'6'!$T$50" display="$T$50 6" xr:uid="{0583DB14-0873-4435-8B4B-E2E726AAC07F}"/>
    <hyperlink ref="I447" r:id="rId37" location="'6'!$T$50" xr:uid="{D942AC74-8101-407E-9124-C4B2097A0298}"/>
    <hyperlink ref="I448" location="'6'!$T$56" display="$T$56 6" xr:uid="{68A46813-1B92-4D7D-8541-0EA8EC3842B1}"/>
    <hyperlink ref="I449" location="'6'!$T$48" display="$T$48 6" xr:uid="{AA158915-F569-4272-9B19-74FC1F400BCB}"/>
    <hyperlink ref="I450" location="'6'!$U$51" display="$U$51 6" xr:uid="{CE7B942E-A626-49F6-8081-CE0741700A85}"/>
    <hyperlink ref="I451" location="'6'!$U$50" display="$U$50 6" xr:uid="{FA49EB22-D26A-4C9F-A332-7A15D5A98844}"/>
    <hyperlink ref="I452" location="'6'!$U$78" display="$U$78 6" xr:uid="{3645337A-3965-45E1-BDA6-3FB72525B275}"/>
    <hyperlink ref="I453" location="'6'!$U$47" display="$U$47 6" xr:uid="{8D41314D-AEFF-4579-A11A-FDDB85E3F79D}"/>
    <hyperlink ref="I454" location="'6'!$V$56" display="$V$56 6" xr:uid="{8A580E6D-1EA0-431A-8E66-CFF5A0A102A2}"/>
    <hyperlink ref="I455" location="'6'!$V$48" display="$V$48 6" xr:uid="{9315AC8E-5ED9-44F8-A4CB-114C3071AC70}"/>
    <hyperlink ref="I456" location="'6'!$W$51" display="$W$51 6" xr:uid="{E1F82DFC-9FB2-4282-835E-BA03C995BDE7}"/>
    <hyperlink ref="I457" location="'6'!$W$47" display="$W$47 6" xr:uid="{747A6488-9F25-40CF-AB80-4AE6CA575377}"/>
    <hyperlink ref="I458" location="'6'!$W$78" display="$W$78 6" xr:uid="{5A055307-DA1E-4238-B3CE-E5AE05A58319}"/>
    <hyperlink ref="I459" location="'6'!$W$79" display="$W$79 6" xr:uid="{47848CB1-62A0-4D54-BA32-0CDF7A226645}"/>
    <hyperlink ref="I461" location="'6'!$Y$50" display="$Y$50 6" xr:uid="{1371B247-CC9D-48AC-80FC-C3572A5B57B5}"/>
    <hyperlink ref="I462" location="'6'!$Y$79" display="$Y$79 6" xr:uid="{D38D743E-8862-467D-996D-FF942DFC722E}"/>
    <hyperlink ref="I463" location="'6'!$Y$78" display="$Y$78 6" xr:uid="{7253439F-E494-4918-8B77-C0B3074F433E}"/>
    <hyperlink ref="I464" location="'6'!$Y$56" display="$Y$56 6" xr:uid="{70696D53-1A85-4B18-9553-0816E5A282F3}"/>
    <hyperlink ref="I465" location="'6'!$Y$48" display="$Y$48 6" xr:uid="{5D75BE76-3D82-4033-86CF-D876424CC226}"/>
    <hyperlink ref="I466" location="'6'!$Y$51" display="$Y$51 6" xr:uid="{34CD2492-B334-41DC-BACB-BFE2C2532EC2}"/>
    <hyperlink ref="I467" location="'6'!$Y$47" display="$Y$47 6" xr:uid="{D79D7F54-78F0-435F-84FB-3CEBAC6CE507}"/>
    <hyperlink ref="I468" location="'6'!$Y$40" display="$Y$40 6" xr:uid="{BA02D3A2-D5CA-49DF-A3C7-F00B362C7DEC}"/>
    <hyperlink ref="I469" location="'6'!$Y$19" display="$Y$19 6" xr:uid="{BA633AB7-948D-4F7B-9BE3-C3DFB65393AD}"/>
    <hyperlink ref="I470" location="'6'!$Z$63" display="$Z$63 6" xr:uid="{524F3AAA-7BE5-4793-AB42-F8A1DB0C8333}"/>
    <hyperlink ref="I471" location="'6'!$Z$40" display="$Z$40 6" xr:uid="{79DB90AB-FEB7-4368-BC9E-AEFF42D4D6A2}"/>
    <hyperlink ref="I472" location="'6'!$Z$50" display="$Z$50 6" xr:uid="{09720273-61F0-4C58-83DC-F5D2FFE583BE}"/>
    <hyperlink ref="I473" location="'6'!$Z$56" display="$Z$56 6" xr:uid="{629C23CE-541E-4F68-AE39-B8B630CD5B54}"/>
    <hyperlink ref="I474" location="'6'!$AA$48" display="$AA$48 6" xr:uid="{01AFD0DA-0941-4582-B714-13BE2BDA5568}"/>
    <hyperlink ref="I475" location="'6'!$AA$64" display="$AA$64 6" xr:uid="{14D53D0B-604C-4ED8-B100-2899E9255B30}"/>
    <hyperlink ref="I476" location="'6'!$AB$51" display="$AB$51 6" xr:uid="{32D7FA9C-9990-4DC8-BB87-0B73F2747F9B}"/>
    <hyperlink ref="I477" location="'6'!$AB$47" display="$AB$47 6" xr:uid="{59E0677E-6484-4A8D-891C-F499C2CC51F1}"/>
    <hyperlink ref="I478" location="'6'!$AC$21" display="$AC$21 6" xr:uid="{DC13C60A-151C-4084-A34B-3C9BB946D1AA}"/>
    <hyperlink ref="I479" location="'6'!$AC$19" display="$AC$19 6" xr:uid="{65BBAECA-6220-49FC-9CB9-DDE76E3D8B4D}"/>
    <hyperlink ref="I480" location="'7'!$G$15" display="$G$15 7" xr:uid="{24367B1F-DDDF-4966-B4F9-81D71F04E422}"/>
    <hyperlink ref="I481" location="'7'!$H$28" display="$H$28 7" xr:uid="{4691910F-C71D-4BF4-8097-1BC15D4AC30C}"/>
    <hyperlink ref="I482" location="'7'!$J$15" display="$J$15 7" xr:uid="{C48A49B0-9E97-4D63-AACC-B58C943BEAE2}"/>
    <hyperlink ref="I483" location="'7'!$J$16" display="$J$16 7" xr:uid="{96F4258E-E274-4F1B-B190-010A05D35638}"/>
    <hyperlink ref="I484" location="'7'!$K$64" display="$K$64 7" xr:uid="{6E47DB18-7CDD-4418-B933-772BEC5B847D}"/>
    <hyperlink ref="I485" location="'7'!$K$62" display="$K$62 7" xr:uid="{554AE412-72F1-4FFB-977F-844C745F3BA6}"/>
    <hyperlink ref="I486" location="'7'!$K$27" display="$K$27 7" xr:uid="{2A01D78B-E3C2-4A8B-B58D-B4FC09C30B18}"/>
    <hyperlink ref="I487" location="'7'!$L$56" display="$L$56 7" xr:uid="{DD7293C6-B7DD-44F2-9C81-1B23664741C9}"/>
    <hyperlink ref="I488" location="'7'!$L$48" display="$L$48 7" xr:uid="{2D82B74C-1521-4815-AD07-012B458EE7D7}"/>
    <hyperlink ref="I489" location="'7'!$M$56" display="$M$56 7" xr:uid="{6B90D8CC-5CC8-4098-BC4B-79A8AAC1779D}"/>
    <hyperlink ref="I490" location="'7'!$M$48" display="$M$48 7" xr:uid="{1DCE1F01-1C6B-42F8-8DA5-D249F4A34220}"/>
    <hyperlink ref="I491" location="'7'!$N$47" display="$N$47 7" xr:uid="{14079CA4-E1E8-4734-8466-A6636A15FA7C}"/>
    <hyperlink ref="I494" location="'7'!$N$50" display="$N$50 7" xr:uid="{2CF58B9B-3C16-4B6E-BB7F-FE17304689A0}"/>
    <hyperlink ref="I495" location="'7'!$N$56" display="$N$56 7" xr:uid="{DD0FE345-F89C-4B29-8FF2-E01B7A212F70}"/>
    <hyperlink ref="I492" location="'7'!$N$21" display="$N$21 7" xr:uid="{03F75D73-4CB4-456B-BB98-1857279B451C}"/>
    <hyperlink ref="I496" location="'7'!$O$78" display="$O$78 7" xr:uid="{7637A2BD-CC56-4846-827F-B1221A05AB66}"/>
    <hyperlink ref="I497" location="'7'!$O$79" display="$O$79 7" xr:uid="{9596B181-C1C9-4B67-8365-ABF893B18F05}"/>
    <hyperlink ref="I498" location="'7'!$O$19" display="$O$19 7" xr:uid="{42D51196-8255-44E6-8E9B-C87A77D231F2}"/>
    <hyperlink ref="I499" location="'7'!$O$51" display="$O$51 7" xr:uid="{67E67F27-8D53-4231-9F05-8DF9999D208F}"/>
    <hyperlink ref="I500" location="'7'!$O$48" display="$O$48 7" xr:uid="{419AC686-C130-4FE6-826A-D9825833A087}"/>
    <hyperlink ref="I501" location="'7'!$O$47" display="$O$47 7" xr:uid="{6282FB72-FFB7-419A-A38F-26BB4F5DE14C}"/>
    <hyperlink ref="I502" location="'7'!$O$16" display="$O$16 7" xr:uid="{15136D9B-3E3F-4214-A5AB-8C7C3721EA6D}"/>
    <hyperlink ref="I503" location="'7'!$O$50" display="$O$50 7" xr:uid="{E0FBD641-91B1-4338-85D3-375FCD8DDCB2}"/>
    <hyperlink ref="I504" location="'7'!$P$56" display="$P$56 7" xr:uid="{9DEFE7D0-F172-442F-9DA6-08E7B4E2D167}"/>
    <hyperlink ref="I505" location="'7'!$P$48" display="$P$48 7" xr:uid="{EBEA0AFF-4B05-43AD-A233-0A4536CB0573}"/>
    <hyperlink ref="I506" r:id="rId38" location="'7'!$P$56" xr:uid="{9969FC61-0A22-4450-83D7-93FDD2D8CF3D}"/>
    <hyperlink ref="I507" location="'7'!$P$24" display="$P$24 7" xr:uid="{F98DB992-8FBC-4AF0-8709-97289AE59086}"/>
    <hyperlink ref="I508" location="'7'!$Q$20" display="$Q$20 7" xr:uid="{0836C66D-5359-4A06-A7B9-8BFDBBA98FF5}"/>
    <hyperlink ref="I509" r:id="rId39" location="'7'!$Q$20" xr:uid="{79D7177E-38C3-4088-A8C6-803592128A72}"/>
    <hyperlink ref="I510" location="'7'!$Q$51" display="$Q$51 7" xr:uid="{31A35A7E-2DF8-40A4-AAE0-3D96F2FE4E51}"/>
    <hyperlink ref="I511" location="'7'!$R$51" display="$R$51 7" xr:uid="{CC619BBC-256D-47B3-9C93-9F7AB8B8C030}"/>
    <hyperlink ref="I512" location="'7'!$R$48" display="$R$48 7" xr:uid="{9B015FDA-9887-4489-A232-72398B03D9A8}"/>
    <hyperlink ref="I513" location="'7'!$R$28" display="$R$28 7" xr:uid="{337CD5B6-DCF0-4761-B788-8122F8945787}"/>
    <hyperlink ref="I514" location="'7'!$R$27" display="$R$27 7" xr:uid="{BE2A6A28-96BF-4C18-B7E5-8C707859B718}"/>
    <hyperlink ref="I515" location="'7'!$S$47" display="$S$47 7" xr:uid="{30BBC0C7-A06B-47D7-BBA5-EE009149C113}"/>
    <hyperlink ref="I516" location="'7'!$S$20" display="$S$20 7" xr:uid="{8D7DF51C-A762-46ED-9C05-04631FD65DBD}"/>
    <hyperlink ref="I517" r:id="rId40" location="'7'!$S$47" xr:uid="{53447CB5-6D6B-45F8-9F95-9BAD88E5F23B}"/>
    <hyperlink ref="I518" location="'7'!$S$50" display="$S$50 7" xr:uid="{FE432AE4-464D-44BF-906A-8E1E57AD73E8}"/>
    <hyperlink ref="I519" location="'7'!$S$40" display="$S$40 7" xr:uid="{F3EAD31E-B64A-4E30-81BF-DC11FC1DFCF6}"/>
    <hyperlink ref="I520" location="'7'!$S$27" display="$S$27 7" xr:uid="{BCC238F7-71A9-4919-89B1-293C31BA1314}"/>
    <hyperlink ref="I521" location="'7'!$S$62" display="$S$62 7" xr:uid="{69CF0C4D-6322-4FB6-941D-DCEEF10C1BA3}"/>
    <hyperlink ref="I522" location="'7'!$S$63" display="$S$63 7" xr:uid="{633CC7F0-D613-4FBC-83F5-18FB4349FA0C}"/>
    <hyperlink ref="I523" location="'7'!$S$29" display="$S$29 7" xr:uid="{0C5A1A58-2B46-4A02-8B88-FFDED88C9AD1}"/>
    <hyperlink ref="I525" r:id="rId41" location="'7'!$S$20" xr:uid="{B970A843-44DB-4329-A984-D6741D8405A0}"/>
    <hyperlink ref="I527" location="'7'!$S$56" display="$S$56 7" xr:uid="{89FC5EC9-8E87-4C6D-887D-3EC6C45B97F0}"/>
    <hyperlink ref="I528" location="'7'!$S$48" display="$S$48 7" xr:uid="{92942E77-3F55-400E-BB53-7B544D0495AA}"/>
    <hyperlink ref="I529" location="'7'!$U$51" display="$U$51 7" xr:uid="{F8D75F3A-B0BB-44E1-A5F7-C6B7E71C3256}"/>
    <hyperlink ref="I530" location="'7'!$U$27" display="$U$27 7" xr:uid="{6C2C3376-3E46-4067-A899-77C9BFE358B2}"/>
    <hyperlink ref="I531" location="'7'!$V$29" display="$V$29 7" xr:uid="{4286BB58-E432-419C-A643-218760FFFAC3}"/>
    <hyperlink ref="I532" location="'7'!$Y$63" display="$Y$63 7" xr:uid="{8B84A092-C10A-4B48-9D03-E546C59B4734}"/>
    <hyperlink ref="I533" location="'7'!$Y$64" display="$Y$64 7" xr:uid="{DCE87F9E-FBC4-4DD3-AE78-CB2ED8A94B6B}"/>
    <hyperlink ref="I534" location="'7'!$Y$79" display="$Y$79 7" xr:uid="{EF586F76-E802-4C86-BB93-391F9D29BDA1}"/>
    <hyperlink ref="I535" location="'7'!$Y$78" display="$Y$78 7" xr:uid="{B0D61CAF-4F92-47ED-B352-628D62101B42}"/>
    <hyperlink ref="I536" location="'7'!$Y$47" display="$Y$47 7" xr:uid="{B3774365-AFFA-44F7-AD6B-A406B6F19874}"/>
    <hyperlink ref="I537" location="'7'!$Y$50" display="$Y$50 7" xr:uid="{F67871BC-8DE7-43C7-836F-51B1818925C9}"/>
    <hyperlink ref="I538" location="'7'!$Z$47" display="$Z$47 7" xr:uid="{FC5B6733-9DD9-457E-9D04-096C8846CA94}"/>
    <hyperlink ref="I539" location="'7'!$Z$50" display="$Z$50 7" xr:uid="{D9C70B81-3088-4CCA-9538-B8100181BB23}"/>
    <hyperlink ref="I540" location="'7'!$AA$19" display="$AA$19 7" xr:uid="{82E9E06C-785D-4A84-BB56-A4FADB95EE9F}"/>
    <hyperlink ref="I541" location="'7'!$AB$24" display="$AB$24 7" xr:uid="{EF87E412-91B2-4B22-95AB-301C2C658F15}"/>
    <hyperlink ref="I542" location="'7'!$AC$21" display="$AC$21 7" xr:uid="{F02F47BC-27A1-44CA-BB50-02160B4AA3DD}"/>
    <hyperlink ref="I543" location="'8'!$G$15" display="$G$15 8" xr:uid="{95B8C00F-C804-42ED-835F-40BC3E5EC7CC}"/>
    <hyperlink ref="I544" location="'8'!$J$15" display="$J$15 8" xr:uid="{2E3526D4-80A1-48B4-82ED-7553178DDC3E}"/>
    <hyperlink ref="I545" location="'8'!$J$16" display="$J$16 8" xr:uid="{0479C163-C1E4-416A-90D3-4D7F9BA4BC65}"/>
    <hyperlink ref="I546" location="'8'!$K$64" display="$K$64 8" xr:uid="{C6E09C4B-4156-443E-B2AD-5EF36CC571E3}"/>
    <hyperlink ref="I547" location="'8'!$K$62" display="$K$62 8" xr:uid="{01773D6E-B410-4661-9ECA-05D67314E3D0}"/>
    <hyperlink ref="I548" location="'8'!$L$16" display="$L$16 8" xr:uid="{C8D518FE-D97D-4883-929E-BCBB21AF5122}"/>
    <hyperlink ref="I549" location="'8'!$L$56" display="$L$56 8" xr:uid="{34F37C9D-8BF5-40FA-BBFB-4ADEC30B8769}"/>
    <hyperlink ref="I550" location="'8'!$L$19" display="$L$19 8" xr:uid="{F15536A6-C2E0-4247-869E-866DB2B53FA8}"/>
    <hyperlink ref="I552" location="'8'!$L$14" display="$L$14 8" xr:uid="{5BE473A3-0525-4C57-BEFB-4D10FBE2E6D9}"/>
    <hyperlink ref="I553" location="'8'!$M$78" display="$M$78 8" xr:uid="{26B92CFD-E087-4817-A7BB-576074EDD21F}"/>
    <hyperlink ref="I554" location="'8'!$M$79" display="$M$79 8" xr:uid="{6FD7D489-6A4E-467A-8A0C-0B5B644415C5}"/>
    <hyperlink ref="I555" location="'8'!$M$27" display="$M$27 8" xr:uid="{CBF2FCDA-3548-4064-8FD8-7C3C859F9F14}"/>
    <hyperlink ref="I556" location="'8'!$M$28" display="$M$28 8" xr:uid="{63E7E5B1-4139-4C64-A24B-516F2521A85D}"/>
    <hyperlink ref="I557" location="'8'!$N$48" display="$N$48 8" xr:uid="{3BB8F317-CBA2-4731-9EC1-D907F6E05F9D}"/>
    <hyperlink ref="I558" location="'8'!$N$51" display="$N$51 8" xr:uid="{147380ED-E8E8-466E-876F-615C98B4DF15}"/>
    <hyperlink ref="I559" location="'8'!$N$47" display="$N$47 8" xr:uid="{8F53C5CA-5807-4B24-B3F9-7276A68EEF3C}"/>
    <hyperlink ref="I560" location="'8'!$N$56" display="$N$56 8" xr:uid="{3B7C33A1-6480-4997-A88A-70B53BC166DA}"/>
    <hyperlink ref="I561" location="'8'!$N$14" display="$N$14 8" xr:uid="{62F41657-381F-4827-AD04-D7D291E84A2A}"/>
    <hyperlink ref="I564" location="'8'!$O$21" display="$O$21 8" xr:uid="{E05AC2FB-B6B1-4349-AEB7-D9014F4A0533}"/>
    <hyperlink ref="I565" location="'8'!$O$48" display="$O$48 8" xr:uid="{3124F61D-AD3B-49BD-B20B-11DD8ADC3181}"/>
    <hyperlink ref="I566" location="'8'!$O$51" display="$O$51 8" xr:uid="{6574D13B-58CE-4F55-8CDD-B2D62B59E027}"/>
    <hyperlink ref="I567" location="'8'!$O$19" display="$O$19 8" xr:uid="{4384DB93-219A-4F05-9380-927795140718}"/>
    <hyperlink ref="I568" location="'8'!$O$47" display="$O$47 8" xr:uid="{53E1443D-457E-4B8E-B458-4BB32908B569}"/>
    <hyperlink ref="I569" location="'8'!$O$56" display="$O$56 8" xr:uid="{373650B9-7ABB-4B6A-B264-98EF1FB20E0B}"/>
    <hyperlink ref="I571" location="'8'!$O$24" display="$O$24 8" xr:uid="{CA704F28-48E8-47E3-9562-F48F2E839C23}"/>
    <hyperlink ref="I573" location="'8'!$P$47" display="$P$47 8" xr:uid="{743F94DF-F1E9-4059-B14F-87162A259C7F}"/>
    <hyperlink ref="I574" location="'8'!$P$56" display="$P$56 8" xr:uid="{D4230583-3C34-4D07-BC40-1CF983283490}"/>
    <hyperlink ref="I575" location="'8'!$P$48" display="$P$48 8" xr:uid="{0F8E0D2C-8414-4A04-9034-53D1F22B9454}"/>
    <hyperlink ref="I576" location="'8'!$P$51" display="$P$51 8" xr:uid="{94D0A5ED-9ED2-44A4-A92E-CEDBD95035CC}"/>
    <hyperlink ref="I577" location="'8'!$L$50" display="$L$50 8" xr:uid="{86C153D7-9CE2-406B-B21B-EEB486B762CB}"/>
    <hyperlink ref="I578" location="'8'!$P$40" display="$P$40 8" xr:uid="{A024124D-492D-462A-ADF8-746EE144AF1E}"/>
    <hyperlink ref="I579" location="'8'!$Q$62" display="$Q$62 8" xr:uid="{0D68CE83-C9E6-476B-A14A-3EDF66719777}"/>
    <hyperlink ref="I580" location="'8'!$Q$63" display="$Q$63 8" xr:uid="{49F635A4-371E-4BDC-BF74-2F851895F832}"/>
    <hyperlink ref="I581" location="'8'!$Q$29" display="$Q$29 8" xr:uid="{C46FA953-698D-4C0D-92D5-ED2BBC46BE54}"/>
    <hyperlink ref="I582" location="'8'!$R$40" display="$R$40 8" xr:uid="{6ABD32A4-D3BF-44B9-A73D-3C80E7750061}"/>
    <hyperlink ref="I583" location="'8'!$R$19" display="$R$19 8" xr:uid="{6A968E74-7C67-4C87-9980-C1C3CE84C8C8}"/>
    <hyperlink ref="I584" r:id="rId42" location="'8'!$R$19" xr:uid="{5F40A4A2-B7FC-44B4-A1A5-89BACB9AC4A0}"/>
    <hyperlink ref="I586" r:id="rId43" location="'8'!$R$19" xr:uid="{B4CB9E18-A96D-4019-92F6-FC89C2FB7AA7}"/>
    <hyperlink ref="I587" location="'8'!$R$51" display="$R$51 8" xr:uid="{879806E0-9608-4D4B-9A96-104C6EDA34AA}"/>
    <hyperlink ref="I588" location="'8'!$R$48" display="$R$48 8" xr:uid="{813EE2DC-04D9-45CD-BE9F-3A1F3F970A9D}"/>
    <hyperlink ref="I589" location="'8'!$R$56" display="$R$56 8" xr:uid="{565F52DB-225A-42B1-9541-7054C9951F8F}"/>
    <hyperlink ref="I590" location="'8'!$R$47" display="$R$47 8" xr:uid="{9650259F-1024-415C-BE5A-DB94C597DF45}"/>
    <hyperlink ref="I591" location="'8'!$S$28" display="$S$28 8" xr:uid="{1533EB5C-3DBB-4EC2-80C5-D472E0EB3BA8}"/>
    <hyperlink ref="I592" location="'8'!$S$27" display="$S$27 8" xr:uid="{7C432187-B5C8-4B36-AE77-6811BE06BFA1}"/>
    <hyperlink ref="I593" location="'8'!$T$47" display="$T$47 8" xr:uid="{0F55D3CE-6D4E-4E20-93EF-C4344DEFD05C}"/>
    <hyperlink ref="I594" location="'8'!$T$56" display="$T$56 8" xr:uid="{353F49A3-5507-45FF-9EED-81658C6A1B30}"/>
    <hyperlink ref="I595" location="'8'!$T$48" display="$T$48 8" xr:uid="{81EEE10D-6C61-422D-9E2F-60C7CEE5E426}"/>
    <hyperlink ref="I596" location="'8'!$U$47" display="$U$47 8" xr:uid="{667742A3-EF1F-4409-B66D-D581572CA8D6}"/>
    <hyperlink ref="I597" r:id="rId44" location="'8'!$U$47" xr:uid="{7CD04E87-BD9D-44D3-99BF-A916B55AF8AB}"/>
    <hyperlink ref="I598" location="'8'!$U$51" display="$U$51 8" xr:uid="{E102CE8C-AB85-4B11-BCCA-0A6E745BE7BF}"/>
    <hyperlink ref="I599" location="'8'!$W$47" display="$W$47 8" xr:uid="{48E001E1-DEFE-452A-A4F7-E94D50D0A47F}"/>
    <hyperlink ref="I600" location="'8'!$W$56" display="$W$56 8" xr:uid="{A8D3D416-51F1-42AA-881C-0DF0614A3A27}"/>
    <hyperlink ref="I601" location="'8'!$W$48" display="$W$48 8" xr:uid="{3662092E-365D-48CB-AC86-1D6884F37F69}"/>
    <hyperlink ref="I602" location="'8'!$X$20" display="$X$20 8" xr:uid="{A37F8AD8-BC9D-4A3C-9A26-FE0645A3BA1A}"/>
    <hyperlink ref="I603" location="'8'!$X$51" display="$X$51 8" xr:uid="{64971202-61A0-45BB-986A-41C331347719}"/>
    <hyperlink ref="I604" location="'8'!$Y$79" display="$Y$79 8" xr:uid="{EA7CDCCB-0165-4F83-BF3D-C836847FD423}"/>
    <hyperlink ref="I605" location="'8'!$Y$78" display="$Y$78 8" xr:uid="{D294F675-8F4D-4000-A835-4D70AEC7C810}"/>
    <hyperlink ref="I606" location="'8'!$Y$63" display="$Y$63 8" xr:uid="{8AE36C02-5A0D-4A38-8738-87DF3B76CDF7}"/>
    <hyperlink ref="I607" location="'8'!$Y$64" display="$Y$64 8" xr:uid="{C10AD651-2D74-42DD-B1C8-0AF0F02E7BF4}"/>
    <hyperlink ref="I608" location="'8'!$Z$64" display="$Z$64 8" xr:uid="{3D721E07-04F2-43AF-A55F-C17CD0409308}"/>
    <hyperlink ref="I609" location="'8'!$Z$29" display="$Z$29 8" xr:uid="{E2E66CF0-BD2B-4AF4-8FC1-09DB7D8FDACF}"/>
    <hyperlink ref="I610" location="'8'!$AA$20" display="$AA$20 8" xr:uid="{580A265F-44E0-4761-B8B9-CBEF44E4B437}"/>
    <hyperlink ref="I611" location="'8'!$AA$64" display="$AA$64 8" xr:uid="{EC304A4D-71D7-4B85-B202-3D9ECA1CE72B}"/>
    <hyperlink ref="I612" location="'8'!$AC$15" display="$AC$15 8" xr:uid="{BF80966D-945A-41A2-A8FA-69A74DE978A4}"/>
    <hyperlink ref="I613" location="'8'!$AC$27" display="$AC$27 8" xr:uid="{81BDEA06-B65B-418C-AF06-930E90C16D08}"/>
    <hyperlink ref="I614" location="'8'!$AC$30" display="$AC$30 8" xr:uid="{032CF034-A0E4-4009-82FA-6AEB07D28E9F}"/>
    <hyperlink ref="I615" r:id="rId45" location="'8'!$AC$30" xr:uid="{00A99E6E-D1CB-42FB-A8F1-9C5B92B2B9D3}"/>
    <hyperlink ref="I616" location="'9'!$F$47" display="$F$47 9" xr:uid="{550B96D9-9F3F-4560-BE95-C07D605A2C5E}"/>
    <hyperlink ref="I617" location="'9'!$F$24" display="$F$24 9" xr:uid="{12CB232C-0526-4C20-90A6-A8C5741ED111}"/>
    <hyperlink ref="I618" location="'9'!$G$47" display="$G$47 9" xr:uid="{334218B4-166C-4DC2-8390-673CF5364E0A}"/>
    <hyperlink ref="I619" location="'9'!$G$30" display="$G$30 9" xr:uid="{BD2D4E16-7080-4B39-8F45-D293D21D440C}"/>
    <hyperlink ref="I620" r:id="rId46" location="'9'!$G$30" xr:uid="{51D21E54-2C30-4DA7-AC75-2B6700A052E9}"/>
    <hyperlink ref="I621" location="'9'!$G$21" display="$G$21 9" xr:uid="{2D35783B-8CF0-4CA0-9B9E-C65909F67E9E}"/>
    <hyperlink ref="I623" location="'9'!$G$27" display="$G$27 9" xr:uid="{C05E62C5-E622-4F89-BF14-CC07AA01F7B5}"/>
    <hyperlink ref="I624" location="'9'!$H$64" display="$H$64 9" xr:uid="{5D5A9708-834B-4D03-B5CB-08823E4A6F82}"/>
    <hyperlink ref="I625" location="'9'!$H$62" display="$H$62 9" xr:uid="{208FB3B5-8F9A-4FB5-9A6F-8A43F75FEF6D}"/>
    <hyperlink ref="I626" location="'9'!$H$19" display="$H$19 9" xr:uid="{DA2ACDFC-D9B3-4437-BF3F-96A6F74BBA39}"/>
    <hyperlink ref="I622" r:id="rId47" location="'9'!$G$21" xr:uid="{18CF464F-FC5F-460D-8A28-3ABE48B01F30}"/>
    <hyperlink ref="I627" location="'9'!$I$15" display="$I$15 9" xr:uid="{DD6D6F27-FA36-4F04-A4ED-0737B4F26799}"/>
    <hyperlink ref="I628" location="'9'!$J$16" display="$J$16 9" xr:uid="{4ED21DE8-E39B-4605-83C2-5F74C7823B64}"/>
    <hyperlink ref="I629" location="'9'!$K$21" display="$K$21 9" xr:uid="{C7D77EC6-3A19-4307-8C75-27F24F660BB2}"/>
    <hyperlink ref="I630" location="'9'!$L$19" display="$L$19 9" xr:uid="{A4758AC2-8CAB-4CD1-A6E4-B5B0E239FE1E}"/>
    <hyperlink ref="I631" location="'9'!$L$21" display="$L$21 9" xr:uid="{CA2B764A-5410-483F-ACAA-39893A04F1BC}"/>
    <hyperlink ref="I632" location="'9'!$L$56" display="$L$56 9" xr:uid="{68DE2914-AFB5-42CB-B80F-5A0312C35FDF}"/>
    <hyperlink ref="I633" location="'9'!$L$16" display="$L$16 9" xr:uid="{32CAE0FB-CA4D-4DB2-840E-2DB819D9D0C6}"/>
    <hyperlink ref="I634" location="'9'!$M$62" display="$M$62 9" xr:uid="{22AAC05A-52CD-4879-AA39-94626A5AC443}"/>
    <hyperlink ref="I635" location="'9'!$M$63" display="$M$63 9" xr:uid="{FA5D6A43-847D-4F43-9352-951437863437}"/>
    <hyperlink ref="I636" location="'9'!$M$78" display="$M$78 9" xr:uid="{C2A8BC6C-8587-4F75-8ED8-E7374BB0CB5C}"/>
    <hyperlink ref="I637" location="'9'!$M$79" display="$M$79 9" xr:uid="{535C4E6A-4DA6-483A-9B45-B6F0BEC53971}"/>
    <hyperlink ref="I638" location="'9'!$M$15" display="$M$15 9" xr:uid="{480C43DF-554B-4024-943A-7AFDED2CDB50}"/>
    <hyperlink ref="I639" location="'9'!$M$56" display="$M$56 9" xr:uid="{8C76DC95-0524-49C2-AAA6-5C4B0CB9BE03}"/>
    <hyperlink ref="I640" location="'9'!$N$15" display="$N$15 9" xr:uid="{D7E15FE0-B46C-4571-9585-490CA1DD4B28}"/>
    <hyperlink ref="I641" location="'9'!$O$48" display="$O$48 9" xr:uid="{A478FB2F-6817-4577-AF47-B63D0AF397A0}"/>
    <hyperlink ref="I642" location="'9'!$P$51" display="$P$51 9" xr:uid="{AB79E781-4154-4990-BAC9-FB40F577BCB8}"/>
    <hyperlink ref="I643" location="'9'!$P$47" display="$P$47 9" xr:uid="{3E3B854F-B205-4AD9-9EBB-40EBA0EFD5F7}"/>
    <hyperlink ref="I644" location="'9'!$P$56" display="$P$56 9" xr:uid="{C322962F-578C-49F4-B290-96FF764A4F1A}"/>
    <hyperlink ref="I645" location="'9'!$P$40" display="$P$40 9" xr:uid="{6592C865-378A-409F-A924-B699A872BAC5}"/>
    <hyperlink ref="I646" location="'9'!$P$20" display="$P$20 9" xr:uid="{FF44573E-1AAF-4841-8E33-A1C0A0D0C608}"/>
    <hyperlink ref="I651" location="'9'!$P$48" display="$P$48 9" xr:uid="{705F10DC-A4CA-4F8B-9571-6A9A515E9A65}"/>
    <hyperlink ref="I652" location="'9'!$Q$48" display="$Q$48 9" xr:uid="{24C86D8A-6C4C-4185-8DE1-6D18D975B6AF}"/>
    <hyperlink ref="I653" location="'9'!$Q$51" display="$Q$51 9" xr:uid="{1F700C43-77D5-440D-90B1-233ED38CC36C}"/>
    <hyperlink ref="I654" location="'9'!$Q$47" display="$Q$47 9" xr:uid="{9E09698F-DAC9-4E0B-A36A-F60CEB9067A0}"/>
    <hyperlink ref="I655" location="'9'!$Q$56" display="$Q$56 9" xr:uid="{165AF2B6-601E-420D-A9B2-B4966547C5CF}"/>
    <hyperlink ref="I656" location="'9'!$Q$48" display="$Q$48 9" xr:uid="{5C40ACB3-8F38-43B2-8B42-2F03AE7DBEE8}"/>
    <hyperlink ref="I657" location="'9'!$R$40" display="$R$40 9" xr:uid="{CE68CB05-FBC3-469D-8E01-408C0EA158BC}"/>
    <hyperlink ref="I658" location="'9'!$R$24" display="$R$24 9" xr:uid="{2626CD9B-A345-412F-9F02-903DED57594A}"/>
    <hyperlink ref="I660" location="'9'!$R$51" display="$R$51 9" xr:uid="{90F1E41B-6607-4A37-B848-52290B681369}"/>
    <hyperlink ref="I661" location="'9'!$R$47" display="$R$47 9" xr:uid="{D797AA24-4250-466D-9A81-247A35756CBD}"/>
    <hyperlink ref="I662" location="'9'!$R$56" display="$R$56 9" xr:uid="{2AF278D9-2ACF-41E8-A88C-F082296BEDA4}"/>
    <hyperlink ref="I663" location="'9'!$S$63" display="$S$63 9" xr:uid="{7519C463-B87B-4E3E-B2BA-F4B11B06E29B}"/>
    <hyperlink ref="I664" location="'9'!$S$64" display="$S$64 9" xr:uid="{571F88B6-4A52-4F8E-AC33-C8B72D5C9801}"/>
    <hyperlink ref="I665" location="'9'!$T$48" display="$T$48 9" xr:uid="{9522BC75-D6F4-410E-AC52-75BDC89E932E}"/>
    <hyperlink ref="I666" r:id="rId48" location="'9'!$T$48" xr:uid="{0437A125-14FD-4B9E-8437-5A0E5D7C064E}"/>
    <hyperlink ref="I667" location="'9'!$T$51" display="$T$51 9" xr:uid="{4241FD91-EEDA-4F63-8933-6BBD5083E606}"/>
    <hyperlink ref="I668" location="'9'!$T$47" display="$T$47 9" xr:uid="{27799CD4-FDA5-405C-B873-D6CD47FB21DA}"/>
    <hyperlink ref="I669" location="'9'!$U$47" display="$U$47 9" xr:uid="{A328908C-6BDA-4C51-AEDB-F4C48981D5AB}"/>
    <hyperlink ref="I670" location="'9'!$U$48" display="$U$48 9" xr:uid="{C487CA7B-E885-4B5C-8C01-C6E2D88455AC}"/>
    <hyperlink ref="I671" location="'9'!$U$51" display="$U$51 9" xr:uid="{B96632E1-6F39-45D8-8280-CA89792D90B9}"/>
    <hyperlink ref="I672" location="'9'!$V$56" display="$V$56 9" xr:uid="{2A7D1FEC-BF74-4CFF-A501-0FB08E9D74F2}"/>
    <hyperlink ref="I673" location="'9'!$X$56" display="$X$56 9" xr:uid="{873D2F26-D868-4FCD-8A93-AA9F7814CAD2}"/>
    <hyperlink ref="I674" location="'9'!$Y$79" display="$Y$79 9" xr:uid="{B98D5018-8508-45FC-8F9F-A71C1CD6D536}"/>
    <hyperlink ref="I675" location="'9'!$Y$78" display="$Y$78 9" xr:uid="{7D8F5BBD-0A02-4353-AF70-B7937EE6F92E}"/>
    <hyperlink ref="I676" location="'9'!$Y$48" display="$Y$48 9" xr:uid="{D8C0917C-07F9-4AC8-92F4-04F0B7F1F021}"/>
    <hyperlink ref="I677" location="'9'!$Y$51" display="$Y$51 9" xr:uid="{9FE5E374-9908-4D09-8513-3E0193E21BBB}"/>
    <hyperlink ref="I678" location="'9'!$Y$56" display="$Y$56 9" xr:uid="{4D49540F-157A-40F6-930E-2F77C20E1AB6}"/>
    <hyperlink ref="I679" location="'9'!$Y$47" display="$Y$47 9" xr:uid="{FC87D03E-312E-476A-B817-52A43F30F8DA}"/>
    <hyperlink ref="I681" r:id="rId49" location="'9'!$Y$48" xr:uid="{CBB2B9A7-78AF-4A22-A349-083153FB60BB}"/>
    <hyperlink ref="I682" location="'9'!$Z$64" display="$Z$64 9" xr:uid="{323E673B-6368-42B2-8281-3C1FC23A9728}"/>
    <hyperlink ref="I683" location="'9'!$Z$48" display="$Z$48 9" xr:uid="{D6F41D10-A9D3-4B10-9D85-0763EFA92787}"/>
    <hyperlink ref="I684" location="'9'!$Z$51" display="$Z$51 9" xr:uid="{07BDBCA8-DF11-4E03-9C86-F96E54F3722B}"/>
    <hyperlink ref="I685" location="'9'!$Z$47" display="$Z$47 9" xr:uid="{4C3272F4-AAFE-4DDF-BB9C-3152CC0BAA3F}"/>
    <hyperlink ref="I686" location="'9'!$AA$56" display="$AA$56 9" xr:uid="{A40B3590-A097-4BE2-978B-8067C28F9F0D}"/>
    <hyperlink ref="I687" location="'9'!$AA$62" display="$AA$62 9" xr:uid="{03A6F528-830B-4A39-8F9D-4A33BDE07971}"/>
    <hyperlink ref="I688" location="'9'!$AA$24" display="$AA$24 9" xr:uid="{F268BC94-C43E-423A-9D78-EA0DEB6A598E}"/>
    <hyperlink ref="I689" location="'9'!$AB$20" display="$AB$20 9" xr:uid="{9D9BE0D4-69C5-4698-8F85-1669B2C5C8C0}"/>
    <hyperlink ref="I690" location="'10'!$F$21" display="$F$21 10" xr:uid="{78039A27-0A32-4AA3-9B0B-94D27A198766}"/>
    <hyperlink ref="I691" location="'10'!$G$15" display="$G$15 10" xr:uid="{145392C2-6115-40C7-B476-1283FA4EC939}"/>
    <hyperlink ref="I692" location="'10'!$H$62" display="$H$62 10" xr:uid="{3958BEA4-C110-40FD-AF86-AB502CF4B42C}"/>
    <hyperlink ref="I693" location="'10'!$H$63" display="$H$63 10" xr:uid="{7EE63762-FF67-4F31-BE21-59AB8888DAD7}"/>
    <hyperlink ref="I694" location="'10'!$L$51" display="$L$51 10" xr:uid="{ECC28B3C-F31B-4EAB-9927-B64BC84BF20F}"/>
    <hyperlink ref="I695" location="'10'!$L$48" display="$L$48 10" xr:uid="{99A58748-3878-43BC-8023-32F7B6D2ACA1}"/>
    <hyperlink ref="I696" location="'10'!$L$15" display="$L$15 10" xr:uid="{EDB6B9C3-6871-42A6-93CA-076D2C51A19B}"/>
    <hyperlink ref="I697" location="'10'!$L$47" display="$L$47 10" xr:uid="{547ED3D5-9D0F-41CA-B4C2-371DFD16C842}"/>
    <hyperlink ref="I698" location="'10'!$L$20" display="$L$20 10" xr:uid="{93EDB1E8-A4E2-4500-B741-FED6C99D5F27}"/>
    <hyperlink ref="I701" location="'10'!$M$78" display="$M$78 10" xr:uid="{101DD905-20AC-46B9-9B1F-338FE9675912}"/>
    <hyperlink ref="I702" location="'10'!$M$79" display="$M$79 10" xr:uid="{1AFFB746-FB84-457F-B238-6E44FD25D4ED}"/>
    <hyperlink ref="I703" location="'10'!$M$63" display="$M$63 10" xr:uid="{1F3DC792-8ECC-4266-B4BF-08CF1C9A479E}"/>
    <hyperlink ref="I704" location="'10'!$M$64" display="$M$64 10" xr:uid="{8B408F6B-6C3F-402D-BD38-E82E8365BA52}"/>
    <hyperlink ref="I705" location="'10'!$M$47" display="$M$47 10" xr:uid="{B979BB57-E911-4C32-92D5-4CBC5BF3D146}"/>
    <hyperlink ref="I706" location="'10'!$M$27" display="$M$27 10" xr:uid="{35EBD356-C68E-4C25-8C88-04EAAA7CE172}"/>
    <hyperlink ref="I707" location="'10'!$M$28" display="$M$28 10" xr:uid="{ABE23E63-F876-4086-956D-099CE44868D5}"/>
    <hyperlink ref="I708" location="'10'!$M$14" display="$M$14 10" xr:uid="{71B2E9C3-25AB-4D67-8B4B-C8A6C757962F}"/>
    <hyperlink ref="I709" location="'10'!$N$14" display="$N$14 10" xr:uid="{A624ED9A-FBBF-4B8D-BEAE-A09EEAAF9545}"/>
    <hyperlink ref="I710" location="'10'!$N$48" display="$N$48 10" xr:uid="{2CFB06F0-7734-482F-9493-DC60483FE9BE}"/>
    <hyperlink ref="I712" location="'10'!$O$21" display="$O$21 10" xr:uid="{0F4C4AC7-288B-4FC5-98B0-B235A6CA868B}"/>
    <hyperlink ref="I713" location="'10'!$O$51" display="$O$51 10" xr:uid="{460ADB0F-A926-483C-91BA-FCF32FD85841}"/>
    <hyperlink ref="I714" location="'10'!$P$24" display="$P$24 10" xr:uid="{2B23BD0A-8C3A-4297-BB1D-2B0FF1A28E8F}"/>
    <hyperlink ref="I715" location="'10'!$P$48" display="$P$48 10" xr:uid="{4A547473-EA9F-44FE-BE77-2A2B64FC54A2}"/>
    <hyperlink ref="I716" location="'10'!$P$51" display="$P$51 10" xr:uid="{01E09A37-EDA4-40BA-BA4C-17C1C2062C24}"/>
    <hyperlink ref="I717" location="'10'!$P$56" display="$P$56 10" xr:uid="{B75B1AE5-3F96-4686-BC72-07FDF2620C3D}"/>
    <hyperlink ref="I718" location="'10'!$Q$51" display="$Q$51 10" xr:uid="{585B5968-0700-4E20-90D8-4F7D9F98622C}"/>
    <hyperlink ref="I719" location="'10'!$Q$47" display="$Q$47 10" xr:uid="{93A347B2-7A95-46EF-813E-EBAB34C2DE0B}"/>
    <hyperlink ref="I720" location="'10'!$Q$48" display="$Q$48 10" xr:uid="{5126FD53-BA1A-432F-ADDF-5F5D0E222C7B}"/>
    <hyperlink ref="I722" location="'10'!$R$78" display="$R$78 10" xr:uid="{1DF673DB-64B0-4BBE-8BB2-CD1EECE1508D}"/>
    <hyperlink ref="I723" location="'10'!$R$48" display="$R$48 10" xr:uid="{D10760FB-EA43-4945-9DAE-40A800121118}"/>
    <hyperlink ref="I724" location="'10'!$R$51" display="$R$51 10" xr:uid="{DBE28F44-2B16-4CCC-8531-CE0796DD4598}"/>
    <hyperlink ref="I725" location="'10'!$R$47" display="$R$47 10" xr:uid="{7A11ABF6-57B9-432C-9E5B-3A9B26D939B3}"/>
    <hyperlink ref="I726" location="'10'!$R$56" display="$R$56 10" xr:uid="{29815334-9AFD-4A8A-8226-17EC91590337}"/>
    <hyperlink ref="I727" location="'10'!$S$64" display="$S$64 10" xr:uid="{8BAD0ADB-A829-4EDA-956E-C77D8F7A5FA7}"/>
    <hyperlink ref="I728" location="'10'!$S$62" display="$S$62 10" xr:uid="{148B6584-0455-45D2-8912-AD5B8229C9EF}"/>
    <hyperlink ref="I729" location="'10'!$S$48" display="$S$48 10" xr:uid="{A2E6CC7F-E9AE-47E6-88B5-DE1A9D44CB46}"/>
    <hyperlink ref="I730" location="'10'!$S$47" display="$S$47 10" xr:uid="{185BC218-310C-43B1-98DF-FD8D2C7C0DC0}"/>
    <hyperlink ref="I731" location="'10'!$S$56" display="$S$56 10" xr:uid="{96B9EC97-F8AD-4A38-BEBD-0DB8908F0A11}"/>
    <hyperlink ref="I732" location="'10'!$S$78" display="$S$78 10" xr:uid="{695700C6-C078-4CA4-93C2-44FE26FF8AA6}"/>
    <hyperlink ref="I733" location="'10'!$T$78" display="$T$78 10" xr:uid="{730D701B-6681-4818-9003-36402A2B4755}"/>
    <hyperlink ref="I734" location="'10'!$T$48" display="$T$48 10" xr:uid="{717348AD-9FFB-42C1-BB20-BB200E066B6A}"/>
    <hyperlink ref="I735" location="'10'!$T$40" display="$T$40 10" xr:uid="{69BC879A-A7C4-4599-A6BE-74392EAEE5E5}"/>
    <hyperlink ref="I736" location="'10'!$T$44" display="$T$44 10" xr:uid="{ED11AB7F-F99E-4C6E-B927-B2CC69170C0E}"/>
    <hyperlink ref="I737" location="'10'!$T$29" display="$T$29 10" xr:uid="{E2C1CE48-75BF-4EBB-88A2-007500C5B2B4}"/>
    <hyperlink ref="I739" location="'10'!$U$40" display="$U$40 10" xr:uid="{C75449B8-9B02-4687-8CF1-19CA37EEFD91}"/>
    <hyperlink ref="I740" location="'10'!$U$51" display="$U$51 10" xr:uid="{84237B9E-DA28-4980-BBBE-792F695BB26C}"/>
    <hyperlink ref="I741" location="'10'!$U$47" display="$U$47 10" xr:uid="{8DD7B2A3-733C-4320-8C9A-9820149FD316}"/>
    <hyperlink ref="I742" location="'10'!$U$28" display="$U$28 10" xr:uid="{0DB00827-55FC-4463-AAAD-C41F90889961}"/>
    <hyperlink ref="I743" location="'10'!$U$56" display="$U$56 10" xr:uid="{F0E0CB6F-DAC1-4B91-8974-6769B1246A11}"/>
    <hyperlink ref="I744" location="'10'!$U$27" display="$U$27 10" xr:uid="{42E9AC30-BA89-4E42-873E-3EDFEE3804F0}"/>
    <hyperlink ref="I745" location="'10'!$V$78" display="$V$78 10" xr:uid="{5A84246E-7408-4285-A7B6-6D130D359916}"/>
    <hyperlink ref="I746" location="'10'!$W$48" display="$W$48 10" xr:uid="{5ED34596-4E3B-41CF-B6DE-97508AD97396}"/>
    <hyperlink ref="I747" location="'10'!$X$29" display="$X$29 10" xr:uid="{BCD228DC-10FC-47C5-82AC-1F1336318BDC}"/>
    <hyperlink ref="I748" location="'10'!$X$78" display="$X$78 10" xr:uid="{B16370CF-E82A-4D77-B670-47FF00266EAE}"/>
    <hyperlink ref="I749" location="'10'!$Y$62" display="$Y$62 10" xr:uid="{B7486664-7ED0-4A8E-85E7-8A32C2C7A0E7}"/>
    <hyperlink ref="I750" location="'10'!$Y$63" display="$Y$63 10" xr:uid="{0AA30938-435F-43B8-861D-592FF92FCC50}"/>
    <hyperlink ref="I751" location="'10'!$Y$79" display="$Y$79 10" xr:uid="{C0B84428-BA2F-4CD5-BAF9-50D5C848703D}"/>
    <hyperlink ref="I752" location="'10'!$Z$63" display="$Z$63 10" xr:uid="{611B4A2F-FF71-4940-AEA6-F089CEF6575F}"/>
    <hyperlink ref="I753" location="'10'!$AA$21" display="$AA$21 10" xr:uid="{F6FAFDD7-7062-428D-AE46-75735A25830B}"/>
    <hyperlink ref="I754" location="'10'!$AA$63" display="$AA$63 10" xr:uid="{319A9442-25D0-4DEB-8F36-B3528A1F3BB9}"/>
    <hyperlink ref="I755" location="'10'!$AB$48" display="$AB$48 10" xr:uid="{D36C564A-3608-485A-A618-114EFC50AB21}"/>
    <hyperlink ref="I756" location="'10'!$AB$50" display="$AB$50 10" xr:uid="{DAA73CF0-E176-4554-B08C-EA54BC959CBE}"/>
    <hyperlink ref="I758" location="'10'!$AB$51" display="$AB$51 10" xr:uid="{6F2FB251-EB76-4FB6-8ABF-50175AEE24F7}"/>
    <hyperlink ref="I759" location="'10'!$AB$24" display="$AB$24 10" xr:uid="{2DCB504E-8329-4BDF-9A0F-3C7281B17721}"/>
    <hyperlink ref="I760" location="'10'!$AC$47" display="$AC$47 10" xr:uid="{FB10BE7A-C612-4444-8C4F-F971B7DF9C77}"/>
    <hyperlink ref="I761" location="'10'!$AC$48" display="$AC$48 10" xr:uid="{6E88EB75-0430-4E08-8B8D-BA72382244F1}"/>
    <hyperlink ref="I762" location="'10'!$AC$51" display="$AC$51 10" xr:uid="{7162B2E3-67E3-4CB1-AA7C-A6D6C36B079A}"/>
    <hyperlink ref="I763" location="'10'!$AC$56" display="$AC$56 10" xr:uid="{6F0D4A9B-7E7F-4B94-9884-9CC85CBAA544}"/>
    <hyperlink ref="I764" location="'10'!$AC$40" display="$AC$40 10" xr:uid="{AB38E852-7266-4B4B-B4B4-6C22A820186D}"/>
    <hyperlink ref="I765" location="'10'!$AC$15" display="$AC$15 10" xr:uid="{D79E35EB-C92D-4C0B-9AC5-CE613ED1833C}"/>
    <hyperlink ref="I766" location="'11'!$F$47" display="$F$47 11" xr:uid="{FD9AF8FC-4ABD-49C6-9D20-963FD7E59825}"/>
    <hyperlink ref="I767" location="'11'!$F$40" display="$F$40 11" xr:uid="{0EAF598D-69F5-47FE-B4B2-AD68912276F4}"/>
    <hyperlink ref="I768" location="'11'!$F$56" display="$F$56 11" xr:uid="{749EE3B9-50FC-48F1-98AF-EDDF267A72B3}"/>
    <hyperlink ref="I769" location="'11'!$F$48" display="$F$48 11" xr:uid="{63B2D05C-1352-452D-95E0-817EF0CBA5C6}"/>
    <hyperlink ref="I770" location="'11'!$F$51" display="$F$51 11" xr:uid="{17B1B595-71F5-477F-98AE-217F0BA38ACA}"/>
    <hyperlink ref="I771" location="'11'!$F$19" display="$F$19 11" xr:uid="{E9537C22-317F-4FC1-910E-E2A21DA6D3AB}"/>
    <hyperlink ref="I772" location="'11'!$G$19" display="$G$19 11" xr:uid="{9A16E746-726C-4DD7-8A2D-7162490A298D}"/>
    <hyperlink ref="I773" location="'11'!$G$47" display="$G$47 11" xr:uid="{A0397E57-5F1B-49CA-8790-D14A9E8E143B}"/>
    <hyperlink ref="I774" location="'11'!$G$20" display="$G$20 11" xr:uid="{BD192459-FA55-41B6-9714-E8507213E4F8}"/>
    <hyperlink ref="I776" location="'11'!$H$63" display="$H$63 11" xr:uid="{804AC074-CD5E-4204-B02E-E09646EB78A0}"/>
    <hyperlink ref="I777" location="'11'!$H$64" display="$H$64 11" xr:uid="{294BE518-ADE0-432B-804D-D7FA0F8D5E60}"/>
    <hyperlink ref="I778" location="'11'!$L$27" display="$L$27 11" xr:uid="{EC4F0884-C690-4E0C-B45F-D8F07A55E623}"/>
    <hyperlink ref="I779" location="'11'!$L$15" display="$L$15 11" xr:uid="{3A99D959-77F7-47A7-926B-DA8F011B7CDC}"/>
    <hyperlink ref="I780" location="'11'!$L$28" display="$L$28 11" xr:uid="{33B6C3FF-7961-4180-A381-58B8D19B8986}"/>
    <hyperlink ref="I781" location="'11'!$L$56" display="$L$56 11" xr:uid="{69E246B5-7FA7-47DE-B8AD-FE5C83C5B22B}"/>
    <hyperlink ref="I782" location="'11'!$L$48" display="$L$48 11" xr:uid="{4223F300-79F1-446C-87EE-10556AF57713}"/>
    <hyperlink ref="I783" location="'11'!$L$20" display="$L$20 11" xr:uid="{BD3208A2-269C-40C4-9887-5EA85C7CCB36}"/>
    <hyperlink ref="I786" location="'11'!$L$14" display="$L$14 11" xr:uid="{C3F59CF2-AB37-447E-9CD7-CA9BEF0DDB5E}"/>
    <hyperlink ref="I787" location="'11'!$M$64" display="$M$64 11" xr:uid="{FE9547A8-D22E-4595-AC18-0B5A0CBED386}"/>
    <hyperlink ref="I788" location="'11'!$M$62" display="$M$62 11" xr:uid="{BC038C38-0020-4E1F-9232-ADF3FB39CAF0}"/>
    <hyperlink ref="I789" location="'11'!$M$78" display="$M$78 11" xr:uid="{6525CB84-1F36-40BE-8991-893729234302}"/>
    <hyperlink ref="I790" location="'11'!$M$79" display="$M$79 11" xr:uid="{F87261D6-D5C4-4DFF-8F57-2AD9CE05014A}"/>
    <hyperlink ref="I791" location="'11'!$N$14" display="$N$14 11" xr:uid="{66DC210D-1186-4AE1-902D-70A3E193D359}"/>
    <hyperlink ref="I792" location="'11'!$O$48" display="$O$48 11" xr:uid="{DE963D65-5087-4469-88BB-11AF2E1E5436}"/>
    <hyperlink ref="I793" location="'11'!$O$51" display="$O$51 11" xr:uid="{39B18E59-4644-49CC-BAEC-234E7E9B8F31}"/>
    <hyperlink ref="I794" location="'11'!$O$47" display="$O$47 11" xr:uid="{7808C31E-2E9F-4F9B-9DC6-D5A4EB7FBE13}"/>
    <hyperlink ref="I795" location="'11'!$O$56" display="$O$56 11" xr:uid="{8F045E1A-F36D-4BFD-93FE-408A29DB3B70}"/>
    <hyperlink ref="I796" location="'11'!$O$40" display="$O$40 11" xr:uid="{AA873C7F-1410-4F39-8573-ABBBE2CD6E41}"/>
    <hyperlink ref="I801" location="'11'!$O$19" display="$O$19 11" xr:uid="{2FC88130-5436-45CE-A072-CEF6A4F2BDA7}"/>
    <hyperlink ref="I803" location="'11'!$O$78" display="$O$78 11" xr:uid="{481300A3-7FC2-4FE6-A05F-F042E96452FB}"/>
    <hyperlink ref="I804" location="'11'!$P$48" display="$P$48 11" xr:uid="{7C44877F-1678-498A-9546-D02BB5F8DECC}"/>
    <hyperlink ref="I805" location="'11'!$P$51" display="$P$51 11" xr:uid="{2977EB55-826A-44AB-B0E3-B8EA8B41209F}"/>
    <hyperlink ref="I806" location="'11'!$Q$47" display="$Q$47 11" xr:uid="{4940923D-E0E9-40A5-9734-CCED25376AF1}"/>
    <hyperlink ref="I807" location="'11'!$Q$56" display="$Q$56 11" xr:uid="{41CEF23B-F791-4146-AB6C-B72C82AE9A56}"/>
    <hyperlink ref="I808" location="'11'!$Q$24" display="$Q$24 11" xr:uid="{E5D30EAE-08C1-467D-9ABA-7C1E96E83596}"/>
    <hyperlink ref="I809" location="'11'!$Q$48" display="$Q$48 11" xr:uid="{F0358B40-F6F4-45AF-B4F6-4818D88228CA}"/>
    <hyperlink ref="I810" location="'11'!$Q$51" display="$Q$51 11" xr:uid="{847B51DF-14EA-4CE0-B25F-0BF35731A3E0}"/>
    <hyperlink ref="I811" location="'11'!$R$78" display="$R$78 11" xr:uid="{4F16A157-A229-4CD6-B8BC-483300D7FCF9}"/>
    <hyperlink ref="I812" location="'11'!$R$21" display="$R$21 11" xr:uid="{6ADBEB46-6AA6-47AD-B7EC-1872F7BC04D8}"/>
    <hyperlink ref="I813" location="'11'!$R$51" display="$R$51 11" xr:uid="{75AE68FB-D05C-4DB7-BA3F-A4F260A3E264}"/>
    <hyperlink ref="I814" location="'11'!$S$47" display="$S$47 11" xr:uid="{96F182DB-6C51-4518-907F-E3F3F14C0F7C}"/>
    <hyperlink ref="I815" location="'11'!$S$56" display="$S$56 11" xr:uid="{0CA15320-0F82-4420-B0EA-307B703355D2}"/>
    <hyperlink ref="I816" location="'11'!$S$48" display="$S$48 11" xr:uid="{AE6CD5BC-F670-43E6-B96F-0590D6D34B7B}"/>
    <hyperlink ref="I817" location="'11'!$S$21" display="$S$21 11" xr:uid="{1C731FAD-4CA5-4826-A468-785A8D16B85A}"/>
    <hyperlink ref="I818" location="'11'!$S$21" display="$S$21 11" xr:uid="{9C8246B0-FBAB-4272-85C6-500DACF37F29}"/>
    <hyperlink ref="I819" location="'11'!$S$51" display="$S$51 11" xr:uid="{C7EA2FD7-660A-470A-9C26-5292F1571A46}"/>
    <hyperlink ref="I821" location="'11'!$S$20" display="$S$20 11" xr:uid="{0BEC41F6-C6F9-4085-AC9B-EE0A3F863673}"/>
    <hyperlink ref="I822" r:id="rId50" location="'11'!$S$47" xr:uid="{F11B1849-A738-42FB-9829-4F285EC92CD2}"/>
    <hyperlink ref="I823" location="'11'!$T$56" display="$T$56 11" xr:uid="{222158A4-8180-4EE2-8801-3C2D3A34A323}"/>
    <hyperlink ref="I824" location="'11'!$T$62" display="$T$62 11" xr:uid="{11123BBF-0BA3-403E-BE2F-9D07858C3CBD}"/>
    <hyperlink ref="I825" location="'11'!$T$63" display="$T$63 11" xr:uid="{3FDD9048-74B8-4FFF-973E-70756E7DCED5}"/>
    <hyperlink ref="I826" location="'11'!$T$48" display="$T$48 11" xr:uid="{743E6337-36F6-4951-998C-7396EB07DA05}"/>
    <hyperlink ref="I827" location="'11'!$T$51" display="$T$51 11" xr:uid="{30BD0411-DD3F-4B90-A2C5-2B206CC2EB2A}"/>
    <hyperlink ref="I828" location="'11'!$U$28" display="$U$28 11" xr:uid="{2D735389-7F6F-420D-A8D7-C615DE1C3181}"/>
    <hyperlink ref="I829" location="'11'!$U$27" display="$U$27 11" xr:uid="{997102CB-9815-4BB4-AA9B-ED2315331E02}"/>
    <hyperlink ref="I830" location="'11'!$V$47" display="$V$47 11" xr:uid="{267D8BEE-6071-455A-BCB1-68C962239085}"/>
    <hyperlink ref="I831" location="'11'!$V$56" display="$V$56 11" xr:uid="{E136713F-DBBA-4BFE-9C80-0A10F3A762AD}"/>
    <hyperlink ref="I832" location="'11'!$W$48" display="$W$48 11" xr:uid="{F230155F-B2C1-4912-B352-5E0E6E6C04DE}"/>
    <hyperlink ref="I833" location="'11'!$W$51" display="$W$51 11" xr:uid="{AEBECDBE-C331-4406-8AE1-8BF2706E4AB6}"/>
    <hyperlink ref="I834" location="'11'!$Y$79" display="$Y$79 11" xr:uid="{753B9096-251A-4C85-8A79-FA5ABD1ABBBB}"/>
    <hyperlink ref="I835" location="'11'!$Y$78" display="$Y$78 11" xr:uid="{3299801E-55B6-4249-9E97-D2BEBFFBF6AE}"/>
    <hyperlink ref="I836" location="'11'!$Y$47" display="$Y$47 11" xr:uid="{4AFB03FB-FD31-4F2B-9A33-168286AADE71}"/>
    <hyperlink ref="I837" location="'11'!$Z$47" display="$Z$47 11" xr:uid="{97F63833-FDF1-465A-B2E1-B76F863D8FCD}"/>
    <hyperlink ref="I838" location="'11'!$Z$63" display="$Z$63 11" xr:uid="{7FD178D5-EB72-4F8E-AD47-AEF35660371D}"/>
    <hyperlink ref="I839" location="'11'!$Z$64" display="$Z$64 11" xr:uid="{7BDB911F-58AC-4861-B79F-79376157543A}"/>
    <hyperlink ref="I840" location="'11'!$Z$19" display="$Z$19 11" xr:uid="{59D73E21-8BEA-4FE4-AFEE-9B7E6D23C43A}"/>
    <hyperlink ref="I841" location="'11'!$AA$24" display="$AA$24 11" xr:uid="{09C8DC62-C7DB-4BCF-9422-29B831948D2B}"/>
    <hyperlink ref="I842" location="'11'!$AB$21" display="$AB$21 11" xr:uid="{F5CD5B6B-10CE-4894-936B-F11857202409}"/>
    <hyperlink ref="I843" location="'12'!$F$14" display="$F$14 12" xr:uid="{116D4FA1-E700-4115-ADFD-F62DAB6B3AD6}"/>
    <hyperlink ref="I844" location="'12'!$G$64" display="$G$64 12" xr:uid="{A9C13B83-4A54-40BB-8B53-2A9ED78FADCC}"/>
    <hyperlink ref="I845" location="'12'!$G$62" display="$G$62 12" xr:uid="{1A2CA575-2670-4343-A181-76BB5E129017}"/>
    <hyperlink ref="I846" location="'12'!$H$14" display="$H$14 12" xr:uid="{CD808D26-634B-4FED-9AAE-D3AFC286E866}"/>
    <hyperlink ref="I847" location="'12'!$H$28" display="$H$28 12" xr:uid="{FF2CE7C6-1386-4FC0-AF46-CC0617D4BA9C}"/>
    <hyperlink ref="I848" location="'12'!$J$14" display="$J$14 12" xr:uid="{AE300955-D22E-4AD1-A6AE-2B02514651C6}"/>
    <hyperlink ref="I849" location="'12'!$J$15" display="$J$15 12" xr:uid="{EB45ADB1-5371-4C70-870C-DC9D7CDF67DC}"/>
    <hyperlink ref="I850" location="'12'!$L$62" display="$L$62 12" xr:uid="{1E590DDE-AABC-40BB-92EF-336AA13ECF61}"/>
    <hyperlink ref="I851" location="'12'!$L$63" display="$L$63 12" xr:uid="{DFD1693B-E3C2-459F-ACFA-4D61315F981A}"/>
    <hyperlink ref="I852" location="'12'!$M$56" display="$M$56 12" xr:uid="{52ABD1BA-582B-4740-BD38-0E5F6A48238A}"/>
    <hyperlink ref="I853" location="'12'!$N$48" display="$N$48 12" xr:uid="{69639C58-BBEC-4CB4-B0A0-C014CC7CB515}"/>
    <hyperlink ref="I854" location="'12'!$N$27" display="$N$27 12" xr:uid="{51E7C1EF-C82A-4D4F-96DE-2400936DA1EB}"/>
    <hyperlink ref="I855" location="'12'!$N$56" display="$N$56 12" xr:uid="{AB82D635-41A7-47DD-9DA7-E875B8B93FC9}"/>
    <hyperlink ref="I857" location="'12'!$N$15" display="$N$15 12" xr:uid="{6B97A570-CF43-4522-B08C-E7B1036C3047}"/>
    <hyperlink ref="I858" location="'12'!$O$51" display="$O$51 12" xr:uid="{2B8007AD-16D8-405B-BD82-0B433232C1A7}"/>
    <hyperlink ref="I859" location="'12'!$O$56" display="$O$56 12" xr:uid="{C9DF1CC6-5FF6-4208-85CF-DD127F993053}"/>
    <hyperlink ref="I860" location="'12'!$O$21" display="$O$21 12" xr:uid="{2182B473-95AA-499E-8592-9D986BE5A81F}"/>
    <hyperlink ref="I862" location="'12'!$O$15" display="$O$15 12" xr:uid="{C9A00488-C618-44F5-B187-D1814F80E3FD}"/>
    <hyperlink ref="I864" location="'12'!$O$47" display="$O$47 12" xr:uid="{444229D9-4E95-4724-B756-51C339FF62DC}"/>
    <hyperlink ref="I865" r:id="rId51" location="'12'!$O$56" xr:uid="{F75B2034-B3D2-45C3-9574-C87D104539BE}"/>
    <hyperlink ref="I866" location="'12'!$O$48" display="$O$48 12" xr:uid="{E997FC78-3D4B-418D-91D8-33D1BF72A293}"/>
    <hyperlink ref="I867" r:id="rId52" location="'12'!$O$51" xr:uid="{104DF6CB-BA92-4AEB-AFF6-A0B50C0505EA}"/>
    <hyperlink ref="I868" location="'12'!$O$15" display="$O$15 12" xr:uid="{C75A9D30-AF90-4776-847C-C4B185DCAE50}"/>
    <hyperlink ref="I869" location="'12'!$O$40" display="$O$40 12" xr:uid="{B779E425-20C2-4DB3-80D4-5ECEF51E6842}"/>
    <hyperlink ref="I870" location="'12'!$P$24" display="$P$24 12" xr:uid="{5290DDD5-4495-49A9-A774-38F530735216}"/>
    <hyperlink ref="I871" location="'12'!$P$19" display="$P$19 12" xr:uid="{66B1E1DA-E783-4A15-B4DF-0D2A642A1316}"/>
    <hyperlink ref="I873" location="'12'!$P$20" display="$P$20 12" xr:uid="{03484A4C-A7F2-4E55-B0F0-279C9C43B354}"/>
    <hyperlink ref="I872" location="'12'!$O$21" display="$O$21 12" xr:uid="{134B1EB2-999C-438B-9858-EE7DC87A4D6A}"/>
    <hyperlink ref="I874" location="'12'!$P$40" display="$P$40 12" xr:uid="{B4862336-90E3-4947-9AA9-24AC1C524694}"/>
    <hyperlink ref="I875" location="'12'!$P$48" display="$P$48 12" xr:uid="{A2A87FF6-EC91-42B5-95DC-46EBE4541E75}"/>
    <hyperlink ref="I876" location="'12'!$P$51" display="$P$51 12" xr:uid="{3A9D1E1F-2392-4546-B67B-1271217BC7B6}"/>
    <hyperlink ref="I877" location="'12'!$P$47" display="$P$47 12" xr:uid="{82DE94E8-E1B4-4972-8346-3FE0B4862664}"/>
    <hyperlink ref="I878" location="'12'!$P$56" display="$P$56 12" xr:uid="{4F957832-23D3-4D20-B96C-917CC8F17171}"/>
    <hyperlink ref="I879" location="'12'!$P$15" display="$P$15 12" xr:uid="{414BDF2E-7A74-4CB0-985F-612E5CA7882C}"/>
    <hyperlink ref="I880" location="'12'!$M$78" display="$M$78 12" xr:uid="{68519D29-C0A7-460A-B1AA-C984765D4D74}"/>
    <hyperlink ref="I881" location="'12'!$M$79" display="$M$79 12" xr:uid="{A696D07B-7F0C-4FBD-9AAF-B7A8A48182CF}"/>
    <hyperlink ref="I882" location="'12'!$Q$48" display="$Q$48 12" xr:uid="{866C7CD5-5190-46FB-9B7D-E57BA1E5BD8B}"/>
    <hyperlink ref="I883" location="'12'!$Q$14" display="$Q$14 12" xr:uid="{7914EF9E-C3C3-4134-95AB-79BA7B07E066}"/>
    <hyperlink ref="I884" location="'12'!$Q$51" display="$Q$51 12" xr:uid="{778A8063-A10E-4CD8-BAA9-551F4579EFE4}"/>
    <hyperlink ref="I885" location="'12'!$Q$47" display="$Q$47 12" xr:uid="{40565F6C-A66B-4FAA-A52E-FF18D006AAC2}"/>
    <hyperlink ref="I887" location="'12'!$R$56" display="$R$56 12" xr:uid="{B1B351C0-471B-4CCC-A795-F3FF9DCBF48A}"/>
    <hyperlink ref="I888" location="'12'!$R$14" display="$R$14 12" xr:uid="{D8D4BCEA-3B1E-4320-A6C5-68AC1E05B6A6}"/>
    <hyperlink ref="I889" location="'12'!$R$51" display="$R$51 12" xr:uid="{C0579AF3-17FB-43F4-A96D-F4533F07811B}"/>
    <hyperlink ref="I890" location="'12'!$R$47" display="$R$47 12" xr:uid="{1EA0B7F4-3FBE-4D10-BB0B-564C8E9C513D}"/>
    <hyperlink ref="I891" location="'12'!$S$56" display="$S$56 12" xr:uid="{DD41D00F-D903-4B4D-B18B-C578669D926F}"/>
    <hyperlink ref="I892" location="'12'!$S$19" display="$S$19 12" xr:uid="{8F1ACB9E-4E06-4C5A-936B-530C2EB04F31}"/>
    <hyperlink ref="I893" location="'12'!$S$63" display="$S$63 12" xr:uid="{98B5D22E-CB91-4CD6-8ABD-199DD22A8B8C}"/>
    <hyperlink ref="I894" location="'12'!$S$64" display="$S$64 12" xr:uid="{705CF059-21F4-47ED-A547-88BA1E139530}"/>
    <hyperlink ref="I895" location="'12'!$U$28" display="$U$28 12" xr:uid="{262D1942-A1FA-43D4-923C-17AD7B5026D9}"/>
    <hyperlink ref="I896" location="'12'!$U$27" display="$U$27 12" xr:uid="{E84A587C-8BC8-4155-9E68-CFD667DCC074}"/>
    <hyperlink ref="I897" location="'12'!$V$56" display="$V$56 12" xr:uid="{C8FB6287-D97B-409C-B9AC-4ADCD31F216F}"/>
    <hyperlink ref="I899" location="'12'!$Y$48" display="$Y$48 12" xr:uid="{E06AE8D8-94A5-4FB8-8676-2EBAE9C4C1A9}"/>
    <hyperlink ref="I900" location="'12'!$Y$51" display="$Y$51 12" xr:uid="{70F7CB2D-A4CB-434F-B79D-EF6B3BE4C92E}"/>
    <hyperlink ref="I901" location="'12'!$Y$47" display="$Y$47 12" xr:uid="{8ACD04B7-BEBB-4549-BEC5-BAB875245370}"/>
    <hyperlink ref="I902" location="'12'!$Y$19" display="$Y$19 12" xr:uid="{DDAFE9E4-8E4C-4C38-B9F2-908E6BC74CF1}"/>
    <hyperlink ref="I903" location="'11'!$Y$56" display="$Y$56 11" xr:uid="{4DB8E818-DA5B-443D-ABDB-0484F3861D63}"/>
    <hyperlink ref="I904" location="'12'!$Z$48" display="$Z$48 12" xr:uid="{7EBDFEE1-19F4-4ABE-AD68-B286CF05C3CE}"/>
    <hyperlink ref="I905" location="'12'!$Z$51" display="$Z$51 12" xr:uid="{429D9D55-144A-4412-9CC2-E7394BCF8761}"/>
    <hyperlink ref="I906" location="'12'!$Z$47" display="$Z$47 12" xr:uid="{13890657-E552-42AB-BC1C-6F22AC6E6967}"/>
    <hyperlink ref="I907" location="'12'!$Z$56" display="$Z$56 12" xr:uid="{1C3D32FD-EE4C-4C9A-A188-0C11142C7CF1}"/>
    <hyperlink ref="I908" location="'12'!$AB$19" display="$AB$19 12" xr:uid="{37139365-C2D2-4659-B872-8B5605B757F2}"/>
    <hyperlink ref="I909" location="'12'!$AB$48" display="$AB$48 12" xr:uid="{271DA484-B50C-4D1E-82E5-48A5EE3E3157}"/>
    <hyperlink ref="I910" location="'12'!$AB$51" display="$AB$51 12" xr:uid="{B42BCEE8-32D8-480A-9CB8-70EBA052FAD2}"/>
    <hyperlink ref="I911" location="'12'!$AB$15" display="$AB$15 12" xr:uid="{7AA509E6-71FC-464F-B982-EFD594623A6B}"/>
    <hyperlink ref="I912" r:id="rId53" location="'12'!$AB$15" xr:uid="{221BBBC0-9454-4BEC-9CC3-E40A727FBD07}"/>
    <hyperlink ref="I915" location="'12'!$AC$24" display="$AC$24 12" xr:uid="{D9AAF158-2441-4D3E-9677-3E93980683DE}"/>
    <hyperlink ref="I916" location="'13'!$F$20" display="$F$20 13" xr:uid="{E067362B-4551-41E3-AF43-CC90576A741E}"/>
    <hyperlink ref="I917" location="'13'!$G$19" display="$G$19 13" xr:uid="{3BBA8892-C65A-459E-9571-B6DB17891CCD}"/>
    <hyperlink ref="I918" location="'12'!$Y$64" display="$Y$64 12" xr:uid="{B8B9563D-6F7B-4A68-ACA7-32DBDC7ADC6E}"/>
    <hyperlink ref="I919" location="'12'!$Y$62" display="$Y$62 12" xr:uid="{8F3977B8-980C-49F7-9168-0777FAF3EC0D}"/>
    <hyperlink ref="I920" location="'13'!$G$62" display="$G$62 13" xr:uid="{71102676-F308-4ED8-B76D-B89B406B26EE}"/>
    <hyperlink ref="I921" location="'13'!$G$63" display="$G$63 13" xr:uid="{A62CD235-19A1-47FD-B4CD-B67FEF8915BB}"/>
    <hyperlink ref="I922" location="'13'!$G$15" display="$G$15 13" xr:uid="{D55DF34E-A41A-4350-B478-39019F4E9055}"/>
    <hyperlink ref="I923" location="'13'!$H$14" display="$H$14 13" xr:uid="{C9EC7EF1-7F3C-4EA2-9756-1121D5AF8B2A}"/>
    <hyperlink ref="I924" location="'13'!$I$28" display="$I$28 13" xr:uid="{7ECD27F8-5B4D-4633-8682-3569B1377F17}"/>
    <hyperlink ref="I925" location="'12'!$X$79" display="$X$79 12" xr:uid="{689759AB-81B5-4984-B41D-9030ECE58A6B}"/>
    <hyperlink ref="I926" location="'12'!$X$78" display="$X$78 12" xr:uid="{1387DE1D-103F-49C0-A191-BEA13D864B95}"/>
    <hyperlink ref="I928" location="'13'!$M$78" display="$M$78 13" xr:uid="{F25252A1-F4FA-496C-A7A2-4F558BF200AF}"/>
    <hyperlink ref="I929" location="'13'!$M$79" display="$M$79 13" xr:uid="{51BA5673-CF5F-43EF-AEBC-FD2ABD56FE71}"/>
    <hyperlink ref="I930" location="'13'!$M$27" display="$M$27 13" xr:uid="{BB29AEC8-FAFE-4F56-9057-600246219E9A}"/>
    <hyperlink ref="I931" location="'13'!$O$48" display="$O$48 13" xr:uid="{3044DA27-858D-4195-819C-00D352A9CF3E}"/>
    <hyperlink ref="I932" location="'13'!$O$51" display="$O$51 13" xr:uid="{E5281E63-DE17-4E2F-972A-7D6087F1D9AB}"/>
    <hyperlink ref="I933" location="'13'!$O$47" display="$O$47 13" xr:uid="{ED8E2087-B578-4BCF-BDBC-7C347012E149}"/>
    <hyperlink ref="I936" location="'13'!$P$56" display="$P$56 13" xr:uid="{35365FDD-ABEF-4CC2-89DF-CB9641177AB0}"/>
    <hyperlink ref="I927" location="'13'!$O$14" display="$O$14 13" xr:uid="{5A9667D9-9E39-48CE-9764-868926E2CFF4}"/>
    <hyperlink ref="I934" location="'13'!$O$14" display="$O$14 13" xr:uid="{4AB69BBC-AAA5-4110-B60C-8A777C9A3421}"/>
    <hyperlink ref="I935" location="'13'!$O$14" display="$O$14 13" xr:uid="{B20BDEB9-B5C8-4916-9B11-26DB678970F0}"/>
    <hyperlink ref="I937" location="'13'!$P$20" display="$P$20 13" xr:uid="{12C317E9-4D60-47D2-AF9A-2A0773730B74}"/>
    <hyperlink ref="I938" location="'13'!$P$40" display="$P$40 13" xr:uid="{295DF17A-983F-4B16-991A-09D5BB8AF417}"/>
    <hyperlink ref="I940" location="'13'!$P$48" display="$P$48 13" xr:uid="{13D6E3ED-5D8A-4B29-A8C1-CFA58E2EEB71}"/>
    <hyperlink ref="I941" location="'13'!$P$51" display="$P$51 13" xr:uid="{C2460511-1F2D-4D0A-A240-F741244929F1}"/>
    <hyperlink ref="I942" r:id="rId54" location="'13'!$P$48" xr:uid="{8B3709FF-216E-44E4-8476-9911BC8516CC}"/>
    <hyperlink ref="I943" location="'13'!$P$19" display="$P$19 13" xr:uid="{EA333046-11D9-406C-B8B9-7E7FC71D4756}"/>
    <hyperlink ref="I945" location="'13'!$P$47" display="$P$47 13" xr:uid="{AB365E99-F9F3-4820-B8CE-E861D9B90EC7}"/>
    <hyperlink ref="I946" location="'13'!$Q$48" display="$Q$48 13" xr:uid="{BC2A3B8C-1683-431C-8D37-B934C6A806DB}"/>
    <hyperlink ref="I947" location="'13'!$Q$51" display="$Q$51 13" xr:uid="{0AE1D7EE-63F3-40BA-B7C5-895620D3313B}"/>
    <hyperlink ref="I948" location="'13'!$R$47" display="$R$47 13" xr:uid="{77A62B62-019F-4D84-83D2-6E7F313BCC05}"/>
    <hyperlink ref="I949" location="'13'!$R$14" display="$R$14 13" xr:uid="{D8C2A422-DA9A-4EF7-AE14-B5F6F44E2CD0}"/>
    <hyperlink ref="I951" r:id="rId55" location="'13'!$R$14" xr:uid="{C4DE5A13-BFA8-4286-8407-D0D33611C752}"/>
    <hyperlink ref="I952" location="'13'!$R$56" display="$R$56 13" xr:uid="{271BDB2D-FADB-4EB0-9D1E-4F5C535A3D11}"/>
    <hyperlink ref="I953" location="'13'!$R$48" display="$R$48 13" xr:uid="{636C84A4-DFF0-4300-853C-A3487ED339A8}"/>
    <hyperlink ref="I954" location="'13'!$M$63" display="$M$63 13" xr:uid="{1760BAAB-87E7-45D0-BF5C-0D5C42523DE6}"/>
    <hyperlink ref="I955" location="'13'!$M$64" display="$M$64 13" xr:uid="{5198ED6E-0A3D-435B-9F86-E4C4B561C932}"/>
    <hyperlink ref="I956" location="'13'!$S$14" display="$S$14 13" xr:uid="{6860E512-2523-4A72-AFBE-4CBC4CFD4E56}"/>
    <hyperlink ref="I957" location="'13'!$S$64" display="$S$64 13" xr:uid="{7197B61F-5E5D-415D-B762-D0F807FF854A}"/>
    <hyperlink ref="I958" location="'13'!$S$62" display="$S$62 13" xr:uid="{C38F0301-F726-4F95-B9FE-FDF408B13B73}"/>
    <hyperlink ref="I959" location="'13'!$S$24" display="$S$24 13" xr:uid="{309336B0-5AA3-4F63-8791-36332B40FAD1}"/>
    <hyperlink ref="I960" location="'13'!$S$56" display="$S$56 13" xr:uid="{FB8048D6-7349-4589-A534-1C845631ECAE}"/>
    <hyperlink ref="I961" location="'13'!$S$51" display="$S$51 13" xr:uid="{64C6F713-7C68-42B3-86C8-552F1AC9884A}"/>
    <hyperlink ref="I962" location="'13'!$S$47" display="$S$47 13" xr:uid="{DF0593DC-BAD6-4DEA-8314-41A12299F0E3}"/>
    <hyperlink ref="I963" location="'13'!$S$48" display="$S$48 13" xr:uid="{4052C7CE-9879-4223-B23B-90A0713488A9}"/>
    <hyperlink ref="I964" location="'13'!$S$20" display="$S$20 13" xr:uid="{D0BD629C-EDD6-4924-B151-DF2F10D3DFCD}"/>
    <hyperlink ref="I966" r:id="rId56" location="'13'!$S$14" xr:uid="{77DD3ED9-D73C-4785-852D-60DD01E08B76}"/>
    <hyperlink ref="I967" location="'13'!$T$28" display="$T$28 13" xr:uid="{3484B539-F2BB-4E2C-864F-90835CD1C9AE}"/>
    <hyperlink ref="I968" location="'13'!$T$27" display="$T$27 13" xr:uid="{BD97C10E-574C-40E8-A000-15BE29554C65}"/>
    <hyperlink ref="I969" location="'13'!$U$19" display="$U$19 13" xr:uid="{5D99CA5D-06E4-4903-B6FF-7D0F7C938170}"/>
    <hyperlink ref="I970" location="'13'!$U$48" display="$U$48 13" xr:uid="{1A716668-93D5-4158-BDCE-4D17D4972055}"/>
    <hyperlink ref="I971" location="'13'!$V$21" display="$V$21 13" xr:uid="{5962E1EC-339B-4C55-B97E-497018509E9E}"/>
    <hyperlink ref="I972" r:id="rId57" location="'13'!$V$21" xr:uid="{732CF74A-1E44-4070-AB9D-000D52611D72}"/>
    <hyperlink ref="I973" location="'13'!$V$48" display="$V$48 13" xr:uid="{184F74DC-B156-4769-87AD-106483E8CEBE}"/>
    <hyperlink ref="I974" location="'13'!$W$21" display="$W$21 13" xr:uid="{97E929BE-1A51-42A6-9B11-AE4288DBAC39}"/>
    <hyperlink ref="I975" r:id="rId58" location="'13'!$W$21" xr:uid="{693AB841-7239-4ECA-885E-8017676ABA19}"/>
    <hyperlink ref="I976" location="'13'!$W$24" display="$W$24 13" xr:uid="{291C25D2-F1A1-4C4C-9436-BEB4E88E8365}"/>
    <hyperlink ref="I977" location="'13'!$Y$51" display="$Y$51 13" xr:uid="{8F71A422-F9DE-488F-A14B-6F18ECAE9F3D}"/>
    <hyperlink ref="I978" location="'13'!$Y$47" display="$Y$47 13" xr:uid="{2D6613A3-7BF3-4A83-8D88-8E90E7AA0677}"/>
    <hyperlink ref="I979" location="'13'!$Y$62" display="$Y$62 13" xr:uid="{776993D7-4192-4DB8-943A-C5C6D208543C}"/>
    <hyperlink ref="I980" location="'13'!$Y$79" display="$Y$79 13" xr:uid="{DF315833-CF1E-4154-8E8A-083E03F397CA}"/>
    <hyperlink ref="I981" location="'13'!$Y$63" display="$Y$63 13" xr:uid="{3741314B-F843-4BEB-AFC1-0014D426B4D2}"/>
    <hyperlink ref="I982" location="'13'!$Y$78" display="$Y$78 13" xr:uid="{F55BF340-4CC3-4F54-A3A6-F85C785AAA3C}"/>
    <hyperlink ref="I983" location="'13'!$Y$56" display="$Y$56 13" xr:uid="{5A6DAC8E-11BA-47B6-86BA-A851977FD5ED}"/>
    <hyperlink ref="I984" location="'13'!$Y$48" display="$Y$48 13" xr:uid="{5FA93238-A8BA-444A-AB86-546D3BCA30AF}"/>
    <hyperlink ref="I985" location="'13'!$Y$40" display="$Y$40 13" xr:uid="{A51CBC1E-0A61-44AE-B5C5-F39E6892C802}"/>
    <hyperlink ref="I986" location="'13'!$Y$19" display="$Y$19 13" xr:uid="{727A46CD-DBEA-4C29-8AC4-6651145F6F20}"/>
    <hyperlink ref="I987" location="'13'!$Z$50" display="$Z$50 13" xr:uid="{2850067F-97C0-41A1-A0F9-BFEDE1C00D99}"/>
    <hyperlink ref="I988" location="'13'!$Z$40" display="$Z$40 13" xr:uid="{7E70B718-82C3-4C43-8878-621BED86229D}"/>
    <hyperlink ref="I989" location="'13'!$AA$50" display="$AA$50 13" xr:uid="{04C35408-0B04-4CDF-A164-0ADCE53B784C}"/>
    <hyperlink ref="I990" location="'13'!$Z$48" display="$Z$48 13" xr:uid="{789C4335-876D-4D87-987D-8A73978D4F38}"/>
    <hyperlink ref="I991" location="'13'!$Z$51" display="$Z$51 13" xr:uid="{8984C073-3258-4A94-93AF-2BBF05DD113E}"/>
    <hyperlink ref="I992" location="'13'!$Z$47" display="$Z$47 13" xr:uid="{EC2FFF97-48F1-443B-B10C-77594B2C2524}"/>
    <hyperlink ref="I993" location="'13'!$AA$56" display="$AA$56 13" xr:uid="{C3992B2D-0FDE-42B2-A180-ABBDA84CD981}"/>
    <hyperlink ref="I994" location="'13'!$AB$40" display="$AB$40 13" xr:uid="{313654B9-6DB4-4FB6-98AB-35840C429F90}"/>
    <hyperlink ref="I995" location="'13'!$AB$47" display="$AB$47 13" xr:uid="{E253C22B-5785-4705-A4F8-DF8AE6959F80}"/>
    <hyperlink ref="I996" location="'13'!$AB$48" display="$AB$48 13" xr:uid="{02DA6215-A5C0-42B2-9062-C624D2E40B6E}"/>
    <hyperlink ref="I997" location="'13'!$AB$51" display="$AB$51 13" xr:uid="{53DB864D-EA68-4378-A2C9-15BE0034459C}"/>
    <hyperlink ref="I998" location="'13'!$AB$56" display="$AB$56 13" xr:uid="{69DB5610-9956-419A-83A8-9AA749A18D4F}"/>
    <hyperlink ref="I999" location="'13'!$AB$15" display="$AB$15 13" xr:uid="{DF1670B2-D404-4053-A59E-06CF88E95C49}"/>
    <hyperlink ref="I1002" location="'13'!$AC$51" display="$AC$51 13" xr:uid="{72B1C5EB-DE4E-45A2-BE2A-7DABD7026D99}"/>
    <hyperlink ref="I1003" location="'13'!$AC$47" display="$AC$47 13" xr:uid="{DA038111-5920-44C6-8838-B13CD6C4828D}"/>
    <hyperlink ref="I1004" location="'13'!$AC$56" display="$AC$56 13" xr:uid="{AC3492FF-9800-413C-B91D-9EA55485F3B8}"/>
    <hyperlink ref="I1005" location="'13'!$AC$15" display="$AC$15 13" xr:uid="{4E444FE3-EF79-41F3-B37E-397835F5601E}"/>
    <hyperlink ref="I1006" location="'13'!$AC$19" display="$AC$19 13" xr:uid="{6898690F-4F43-4DBC-94A6-285F51967E3A}"/>
    <hyperlink ref="I1007" location="'14'!$F$14" display="$F$14 14" xr:uid="{3E18C49E-75C9-4707-A9AD-CF86FB1E6A4B}"/>
    <hyperlink ref="I1008" location="'14'!$F$15" display="$F$15 14" xr:uid="{070C17AC-69AA-4C38-9736-C6BF5AB4248D}"/>
    <hyperlink ref="I1009" r:id="rId59" location="'14'!$F$15" xr:uid="{3DF93CBA-A761-409D-85E0-96F5FF677505}"/>
    <hyperlink ref="I1010" location="'14'!$G$21" display="$G$21 14" xr:uid="{18489C8C-A4C3-4C7F-BDCC-E8A518B8C547}"/>
    <hyperlink ref="I1011" location="'14'!$I$28" display="$I$28 14" xr:uid="{7DB8D173-978B-4E71-A040-24C42AE3E235}"/>
    <hyperlink ref="I1012" location="'14'!$K$48" display="$K$48 14" xr:uid="{0D20C37F-9C09-4E98-AAC7-84B46BAC5D72}"/>
    <hyperlink ref="I1013" location="'14'!$L$51" display="$L$51 14" xr:uid="{F757CB62-C6B8-4330-AC8A-29EDD524B508}"/>
    <hyperlink ref="I1014" location="'14'!$L$27" display="$L$27 14" xr:uid="{25DC669C-AD09-489C-8D9B-BD70A2396B3D}"/>
    <hyperlink ref="I1015" location="'14'!$L$48" display="$L$48 14" xr:uid="{759D6795-BDF1-49F1-81CB-CD10FFACF9FC}"/>
    <hyperlink ref="I1017" location="'14'!$G$63" display="$G$63 14" xr:uid="{764F5EE8-A3BE-4081-93E1-D73DE1807334}"/>
    <hyperlink ref="I1018" location="'14'!$G$64" display="$G$64 14" xr:uid="{DD2FEBA9-B4B6-4338-B801-56D3BD77AA20}"/>
    <hyperlink ref="I1019" location="'14'!$L$19" display="$L$19 14" xr:uid="{2F9C7D25-9348-44CD-A101-98E191E48605}"/>
    <hyperlink ref="I1021" location="'14'!$L$56" display="$L$56 14" xr:uid="{5A922414-9DE3-4B77-BA26-15E9643E1EB0}"/>
    <hyperlink ref="I1022" location="'14'!$L$47" display="$L$47 14" xr:uid="{6C2AC47B-9866-465E-9EC3-D539C3C0A5BE}"/>
    <hyperlink ref="I1023" location="'14'!$L$14" display="$L$14 14" xr:uid="{F43F68E4-7C95-4999-B334-139196E0ADFF}"/>
    <hyperlink ref="I1024" location="'14'!$M$78" display="$M$78 14" xr:uid="{F8A60721-800A-4198-910F-B17497210C02}"/>
    <hyperlink ref="I1025" location="'14'!$M$79" display="$M$79 14" xr:uid="{94C20797-0D69-47E4-B868-437374FB8BE8}"/>
    <hyperlink ref="I1026" location="'14'!$M$64" display="$M$64 14" xr:uid="{60CA4465-E46E-4FAA-8D05-AA858BEB3C1A}"/>
    <hyperlink ref="I1027" location="'14'!$M$62" display="$M$62 14" xr:uid="{A60B6A4B-6EB3-4FA3-AB31-8F83374B3A3B}"/>
    <hyperlink ref="I1028" location="'14'!$M$47" display="$M$47 14" xr:uid="{D55FEB70-F271-400B-BF34-64BC2CD5FA70}"/>
    <hyperlink ref="I1029" location="'14'!$M$56" display="$M$56 14" xr:uid="{048DDA19-1592-4C02-A3D4-5F2F5D5E1158}"/>
    <hyperlink ref="I1030" location="'14'!$M$14" display="$M$14 14" xr:uid="{89E1BCC4-ED2C-463E-88EE-BEEFFC84D96A}"/>
    <hyperlink ref="I1031" location="'14'!$N$48" display="$N$48 14" xr:uid="{010F4AC9-D52E-40C5-83F7-17A5994941DA}"/>
    <hyperlink ref="I1032" location="'14'!$N$51" display="$N$51 14" xr:uid="{1747A40B-A438-4AEF-A8C8-6763FBF88DEF}"/>
    <hyperlink ref="I1033" location="'14'!$N$47" display="$N$47 14" xr:uid="{5DF94BDF-82ED-4376-AA48-EE243581E8E3}"/>
    <hyperlink ref="I1034" location="'14'!$N$56" display="$N$56 14" xr:uid="{CC12E2BF-AC45-4D1A-9AB3-1A90FD21A6D7}"/>
    <hyperlink ref="I1035" location="'14'!$O$40" display="$O$40 14" xr:uid="{AFD8F322-97BD-44BB-955B-C33E3AAF682A}"/>
    <hyperlink ref="I1036" location="'14'!$O$19" display="$O$19 14" xr:uid="{3EE62E7F-42BD-4912-8EA9-15E0BAAFEA7D}"/>
    <hyperlink ref="I1037" location="'14'!$O$21" display="$O$21 14" xr:uid="{80D0F69E-AF40-4477-A9EE-156320235143}"/>
    <hyperlink ref="I1038" location="'14'!$O$24" display="$O$24 14" xr:uid="{9E34CFBE-3650-4AD3-9B9B-F51E52621C28}"/>
    <hyperlink ref="I1039" location="'14'!$O$29" display="$O$29 14" xr:uid="{B4934D4B-3A43-420C-A882-44C2347C1F73}"/>
    <hyperlink ref="I1041" location="'14'!$P$14" display="$P$14 14" xr:uid="{22D7EA34-F394-4617-B8CA-889ED91E0B3F}"/>
    <hyperlink ref="I1042" location="'14'!$P$50" display="$P$50 14" xr:uid="{FF130EF5-0D6D-44F9-A574-6D43FEC74E05}"/>
    <hyperlink ref="I1043" r:id="rId60" location="'14'!$P$50" xr:uid="{E0C8079A-83FE-4CEC-B901-3DFCEE9BAD14}"/>
    <hyperlink ref="I1044" location="'14'!$P$40" display="$P$40 14" xr:uid="{7B3C5AB6-8E46-4F16-8418-B92408A90E16}"/>
    <hyperlink ref="I1047" location="'14'!$Q$42" display="$Q$42 14" xr:uid="{84D30935-7BBD-4596-A39B-D62F352CA218}"/>
    <hyperlink ref="I1048" location="'14'!$Q$28" display="$Q$28 14" xr:uid="{F9D0233C-D7A5-47AE-B844-EFC4FCF39805}"/>
    <hyperlink ref="I1049" location="'14'!$Q$14" display="$Q$14 14" xr:uid="{61C2DCC1-4197-4C7D-852E-5D144B069C31}"/>
    <hyperlink ref="I1050" location="'14'!$R$62" display="$R$62 14" xr:uid="{F4B267C4-389D-4DCE-A337-1BC1C8B372CF}"/>
    <hyperlink ref="I1051" location="'14'!$R$14" display="$R$14 14" xr:uid="{48DD0323-EDF1-4084-8011-7DAAEFE89A1D}"/>
    <hyperlink ref="I1052" location="'14'!$W$63" display="$W$63 14" xr:uid="{A8841D03-A531-4E49-B501-E48F82CAF984}"/>
    <hyperlink ref="I1053" location="'14'!$X$42" display="$X$42 14" xr:uid="{8BDECAAC-846C-46F4-AFF3-FAFC26794CFA}"/>
    <hyperlink ref="I1054" location="'14'!$Y$14" display="$Y$14 14" xr:uid="{A989106C-3A2E-4CEA-BBEF-623587E853C2}"/>
    <hyperlink ref="I1055" r:id="rId61" location="'14'!$Y$14" xr:uid="{62EE4E53-F331-4045-90B9-2F0D1E3B0EF6}"/>
    <hyperlink ref="I1056" location="'14'!$Y$79" display="$Y$79 14" xr:uid="{0C7252C6-31B8-485A-929A-9A5B5353BECF}"/>
    <hyperlink ref="I1057" location="'14'!$Y$78" display="$Y$78 14" xr:uid="{A24D9AFD-A984-4006-8E99-4B2C7ACEBB10}"/>
    <hyperlink ref="I1058" r:id="rId62" location="'14'!$Y$14" xr:uid="{AE11A31C-2735-4FB4-8BF2-2D98816C204A}"/>
    <hyperlink ref="I1059" location="'14'!$Z$63" display="$Z$63 14" xr:uid="{33950161-C2AD-4A59-A721-97870D239AC1}"/>
    <hyperlink ref="I1060" location="'14'!$AA$27" display="$AA$27 14" xr:uid="{76771CC7-C4E5-4AF7-A53D-320E2DCB1067}"/>
    <hyperlink ref="I1061" location="'14'!$AA$40" display="$AA$40 14" xr:uid="{FF6560ED-AE13-463D-AB6A-ADF82E920B72}"/>
    <hyperlink ref="I1062" location="'14'!$AB$63" display="$AB$63 14" xr:uid="{8A1DFF69-38DD-4BBB-882C-61E26307E2D7}"/>
    <hyperlink ref="I1063" location="'14'!$AB$48" display="$AB$48 14" xr:uid="{CA9FAA65-C6F7-4B9C-8DC0-291C0AB12257}"/>
    <hyperlink ref="I1064" r:id="rId63" location="'14'!$AB$48" xr:uid="{9B333602-1ADC-4074-A3BA-C1CB16BEA38C}"/>
    <hyperlink ref="I1065" location="'14'!$AB$40" display="$AB$40 14" xr:uid="{9F2DD71F-BF62-485E-8DC3-403E839795BB}"/>
    <hyperlink ref="I1066" location="'14'!$AB$16" display="$AB$16 14" xr:uid="{BB7C79D7-1471-4B19-9053-ED999A7047E9}"/>
    <hyperlink ref="I1067" location="'14'!$AC$16" display="$AC$16 14" xr:uid="{89AA3BC4-47F7-4207-B05C-309F6438BE32}"/>
    <hyperlink ref="I1068" location="'14'!$AC$40" display="$AC$40 14" xr:uid="{69E7451A-A8C3-4BB9-BF75-A59E357A9646}"/>
    <hyperlink ref="I1069" location="'14'!$AC$48" display="$AC$48 14" xr:uid="{1E3BCBB3-97D8-408F-ADE3-6DC545A0131A}"/>
    <hyperlink ref="I1070" location="'14'!$AC$51" display="$AC$51 14" xr:uid="{7C65BF16-5147-4E49-8DE1-E3BE056777BA}"/>
    <hyperlink ref="I1071" location="'14'!$AC$50" display="$AC$50 14" xr:uid="{B5518A89-81D8-4E1D-BF19-BBA89D1203FE}"/>
    <hyperlink ref="I1072" location="'14'!$AC$47" display="$AC$47 14" xr:uid="{07A2AB83-B593-49E0-9D38-6B615A8BB29F}"/>
    <hyperlink ref="I1073" location="'14'!$AC$56" display="$AC$56 14" xr:uid="{FE204927-5396-4B7F-9D7C-C775D2F32FCC}"/>
    <hyperlink ref="I1074" r:id="rId64" location="'14'!$AC$48" xr:uid="{72EDAA84-4946-48EC-A808-2F1B486D70A3}"/>
    <hyperlink ref="I1075" location="'14'!$AC$29" display="$AC$29 14" xr:uid="{1749CD25-ABA2-499D-BE74-B43C539D52F5}"/>
    <hyperlink ref="I1077" location="'15'!$F$19" display="$F$19 15" xr:uid="{8B86833C-788E-425F-8106-0D5EF580EE08}"/>
    <hyperlink ref="I1078" location="'15'!$G$24" display="$G$24 15" xr:uid="{A01F16A8-6073-4D3A-B124-BF752FA87CBF}"/>
    <hyperlink ref="I1079" location="'15'!$I$28" display="$I$28 15" xr:uid="{B4F739A1-4438-43D1-8A38-FDF5BBD5324F}"/>
    <hyperlink ref="I1080" location="'15'!$K$63" display="$K$63 15" xr:uid="{508D40DD-A546-4FCB-90DF-B6CB3230FE47}"/>
    <hyperlink ref="I1081" location="'15'!$K$64" display="$K$64 15" xr:uid="{6A5ADFA1-3172-470A-85D5-2281816483CE}"/>
    <hyperlink ref="I1082" location="'15'!$K$51" display="$K$51 15" xr:uid="{CD1C6573-DDDC-41D5-966D-7ADB21DF01CA}"/>
    <hyperlink ref="I1084" location="'15'!$K$27" display="$K$27 15" xr:uid="{944355D7-BA9F-47CB-B128-A4369FF3B7EE}"/>
    <hyperlink ref="I1085" location="'15'!$L$50" display="$L$50 15" xr:uid="{68F97EBE-7297-40F9-866D-4152D25C2723}"/>
    <hyperlink ref="I1086" location="'15'!$L$47" display="$L$47 15" xr:uid="{E59B1BB1-20C6-452D-BCF5-AA0EED6DD59C}"/>
    <hyperlink ref="I1087" location="'15'!$L$56" display="$L$56 15" xr:uid="{FD60A11F-984D-42DC-A558-2E2E697A6BDF}"/>
    <hyperlink ref="I1088" location="'15'!$L$19" display="$L$19 15" xr:uid="{D3F6B136-DB08-4821-B901-81774E9F0945}"/>
    <hyperlink ref="I1089" location="'15'!$M$47" display="$M$47 15" xr:uid="{DAA5D842-B858-40EE-A757-C97E19A9B0A0}"/>
    <hyperlink ref="I1090" location="'15'!$M$50" display="$M$50 15" xr:uid="{7C574910-2772-417C-8E82-9DE3AFE2CDC0}"/>
    <hyperlink ref="I1091" location="'15'!$M$78" display="$M$78 15" xr:uid="{904AABA2-45BD-4BD1-AB1D-71B40321545B}"/>
    <hyperlink ref="I1092" location="'15'!$M$79" display="$M$79 15" xr:uid="{9CE9C596-A0B8-45FA-9062-CDD70F4258D2}"/>
    <hyperlink ref="I1093" location="'15'!$M$56" display="$M$56 15" xr:uid="{F0C4BE41-4F81-4762-92A6-841AC8561153}"/>
    <hyperlink ref="I1094" location="'15'!$N$48" display="$N$48 15" xr:uid="{3854CC9D-FDE7-4813-AD0B-E255E90C32A5}"/>
    <hyperlink ref="I1095" location="'15'!$N$51" display="$N$51 15" xr:uid="{49832C69-77A7-4306-82A3-22DE30DD679D}"/>
    <hyperlink ref="I1096" location="'15'!$N$47" display="$N$47 15" xr:uid="{3ACC2F7D-3D69-4612-9B9F-FC49B61E95FC}"/>
    <hyperlink ref="I1097" location="'15'!$N$24" display="$N$24 15" xr:uid="{5C2D1484-1DC7-4A1C-A86A-16367CE69707}"/>
    <hyperlink ref="I1098" location="'15'!$O$50" display="$O$50 15" xr:uid="{092BA094-45B7-43EC-A921-E01728169FF5}"/>
    <hyperlink ref="I1099" location="'15'!$O$56" display="$O$56 15" xr:uid="{6263D3F0-9C59-4689-BBC3-29831760ABA3}"/>
    <hyperlink ref="I1100" location="'15'!$O$40" display="$O$40 15" xr:uid="{934904C7-F725-4F6B-A585-66E426E98C30}"/>
    <hyperlink ref="I1101" location="'15'!$O$42" display="$O$42 15" xr:uid="{C63CAA49-BAFF-43EE-A387-D2953202C150}"/>
    <hyperlink ref="I1102" location="'15'!$O$29" display="$O$29 15" xr:uid="{338FD240-D143-43AC-8999-6A53905294D5}"/>
    <hyperlink ref="I1103" location="'15'!$O$28" display="$O$28 15" xr:uid="{0101995C-C17A-49D5-AA71-3AD8002D7065}"/>
    <hyperlink ref="I1104" location="'15'!$P$14" display="$P$14 15" xr:uid="{F054880E-B1A0-4968-AF2A-33E88477F55A}"/>
    <hyperlink ref="I1105" location="'15'!$P$78" display="$P$78 15" xr:uid="{471AC53D-B321-4D19-8E62-9E2050DDD70D}"/>
    <hyperlink ref="I1106" r:id="rId65" location="'15'!$P$78" xr:uid="{2DBA3300-9CBA-440C-AA86-E42B2BB3E367}"/>
    <hyperlink ref="I1107" location="'15'!$P$79" display="$P$79 15" xr:uid="{02141D3D-29D0-4747-B205-3FBD2E31BC34}"/>
    <hyperlink ref="I1109" location="'15'!$Q$29" display="$Q$29 15" xr:uid="{F1E44D49-E005-47C4-B753-DE40766C977A}"/>
    <hyperlink ref="I1110" location="'15'!$Q$14" display="$Q$14 15" xr:uid="{4D203A91-C52D-4F4F-9541-A4618C96DC9C}"/>
    <hyperlink ref="I1111" r:id="rId66" location="'15'!$Q$14" xr:uid="{5274F18E-AEED-480E-85BF-B943B9FCCFBF}"/>
    <hyperlink ref="I1112" location="'15'!$Q$42" display="$Q$42 15" xr:uid="{32EA2E8E-DF22-4649-98F4-EF4AF097461F}"/>
    <hyperlink ref="I1113" location="'15'!$Q$27" display="$Q$27 15" xr:uid="{B0A662E2-6359-408A-84DE-25DD980FFA24}"/>
    <hyperlink ref="I1114" location="'15'!$Q$40" display="$Q$40 15" xr:uid="{F7E09117-2BBC-4101-A863-09268C752D46}"/>
    <hyperlink ref="I1115" location="'15'!$Q$48" display="$Q$48 15" xr:uid="{4A12747E-AD72-4DA4-ACD9-A00B1FA72D9D}"/>
    <hyperlink ref="I1116" location="'15'!$R$51" display="$R$51 15" xr:uid="{14AA06C3-4921-4852-BB5A-773742315301}"/>
    <hyperlink ref="I1117" location="'15'!$R$47" display="$R$47 15" xr:uid="{5707D4AF-F401-4DA8-BB43-F0C05AB95459}"/>
    <hyperlink ref="I1118" location="'15'!$S$64" display="$S$64 15" xr:uid="{68CB83BE-956E-423F-864D-D79DD61E78CE}"/>
    <hyperlink ref="I1119" location="'15'!$S$62" display="$S$62 15" xr:uid="{CFB2C374-F33F-4817-A481-64FAFF306E06}"/>
    <hyperlink ref="I1120" location="'15'!$S$50" display="$S$50 15" xr:uid="{2674991F-2A82-421B-B3EF-78473EB918DB}"/>
    <hyperlink ref="I1121" location="'15'!$S$56" display="$S$56 15" xr:uid="{C1CAF807-ADFE-409E-83FF-EC2C393C0584}"/>
    <hyperlink ref="I1122" location="'15'!$S$48" display="$S$48 15" xr:uid="{D054384C-0CBE-4DAC-A948-67B04D64A284}"/>
    <hyperlink ref="I1123" location="'15'!$T$51" display="$T$51 15" xr:uid="{27D72AA5-48B8-4FCD-AAB8-509B93FCD6AC}"/>
    <hyperlink ref="I1124" location="'15'!$T$47" display="$T$47 15" xr:uid="{F3C46F2C-EE6E-4E9F-B4F1-07412FF89595}"/>
    <hyperlink ref="I1125" location="'15'!$T$50" display="$T$50 15" xr:uid="{1A3C239A-E7A5-4D64-B316-8ECDD292DFAF}"/>
    <hyperlink ref="I1126" location="'15'!$V$21" display="$V$21 15" xr:uid="{1DCB90B8-85E1-42FC-9AAD-C6BF73108CE4}"/>
    <hyperlink ref="I1127" r:id="rId67" location="'15'!$V$21" xr:uid="{582CADE8-D469-4C79-B96F-9391191346C6}"/>
    <hyperlink ref="I1128" location="'15'!$V$56" display="$V$56 15" xr:uid="{D969E832-23D9-4E52-8867-3C232573793E}"/>
    <hyperlink ref="I1129" location="'15'!$V$27" display="$V$27 15" xr:uid="{C7A88039-8F51-47A5-9AC1-104C2B892646}"/>
    <hyperlink ref="I1130" location="'15'!$V$14" display="$V$14 15" xr:uid="{5939F6D9-AEFF-495D-B861-87B394622CD1}"/>
    <hyperlink ref="I1131" r:id="rId68" location="'15'!$V$14" xr:uid="{83BD9D91-2031-41DC-82B8-FFE1A329D731}"/>
    <hyperlink ref="I1132" location="'15'!$V$40" display="$V$40 15" xr:uid="{0826C8AC-DD6A-4F3B-81E9-D113B765BD61}"/>
    <hyperlink ref="I1133" location="'15'!$W$40" display="$W$40 15" xr:uid="{304807A3-3B07-4540-91D1-D24EF512B47C}"/>
    <hyperlink ref="I1134" location="'15'!$W$21" display="$W$21 15" xr:uid="{ED086F1D-15DE-4CE1-ABA4-1653DCD81D4B}"/>
    <hyperlink ref="I1135" r:id="rId69" location="'15'!$W$21" xr:uid="{506D89C6-B5DA-4F8A-9CC2-B3A814D1DAF5}"/>
    <hyperlink ref="I1136" location="'15'!$X$27" display="$X$27 15" xr:uid="{911AB5B9-3F79-4DD5-A54F-6F0C936C9C90}"/>
    <hyperlink ref="I1137" location="'15'!$X$48" display="$X$48 15" xr:uid="{423E8EAC-ED8E-45AA-BEF6-B70B7A227ACE}"/>
    <hyperlink ref="I1138" location="'15'!$X$51" display="$X$51 15" xr:uid="{069DC0AF-B5F9-46C2-8390-53FDF048E5CD}"/>
    <hyperlink ref="I1139" location="'15'!$X$47" display="$X$47 15" xr:uid="{544094FF-54BE-44C2-A07A-4C5AC83B59ED}"/>
    <hyperlink ref="I1140" location="'15'!$Y$48" display="$Y$48 15" xr:uid="{71A38565-4668-4C91-A4B6-3D25D748D905}"/>
    <hyperlink ref="I1141" location="'15'!$Y$62" display="$Y$62 15" xr:uid="{412EBC53-4BB2-4E0F-AF21-00464D2574AB}"/>
    <hyperlink ref="I1142" location="'15'!$Y$63" display="$Y$63 15" xr:uid="{393CFC1F-2CD5-4603-BE97-C700DD8DDA75}"/>
    <hyperlink ref="I1143" location="'15'!$Y$79" display="$Y$79 15" xr:uid="{A2B0F475-2A1A-4DF5-9A6D-0B317DEDF0F1}"/>
    <hyperlink ref="I1144" location="'15'!$Y$78" display="$Y$78 15" xr:uid="{B1A6C6D9-A864-4499-B449-23A5D943DDCE}"/>
    <hyperlink ref="I1145" location="'15'!$Z$50" display="$Z$50 15" xr:uid="{2303C340-3947-4DFF-8835-3EC71DC44CF5}"/>
    <hyperlink ref="I1146" location="'15'!$AA$56" display="$AA$56 15" xr:uid="{F3ECD9C2-7AE1-451D-B9E6-64FD64BFB0F6}"/>
    <hyperlink ref="I1147" location="'15'!$AA$48" display="$AA$48 15" xr:uid="{969E9068-725B-4D6B-8EB8-AACFC194E6B2}"/>
    <hyperlink ref="I1148" location="'15'!$AB$29" display="$AB$29 15" xr:uid="{3F69E24A-C20C-4C62-B8C5-C5146B4938BC}"/>
    <hyperlink ref="I1149" location="'15'!$AC$19" display="$AC$19 15" xr:uid="{A6C86CC4-8006-480D-B5EB-275F49999C8C}"/>
    <hyperlink ref="I1150" location="'16'!$F$24" display="$F$24 16" xr:uid="{821D17F4-96AB-4AD9-8182-DA298AC89B2A}"/>
    <hyperlink ref="I1151" location="'16'!$F$51" display="$F$51 16" xr:uid="{1A508511-185B-496F-A636-847A8252EB84}"/>
    <hyperlink ref="I1152" location="'16'!$F$21" display="$F$21 16" xr:uid="{8AE896F0-4678-4D4C-84F9-90B2B075A8C9}"/>
    <hyperlink ref="I1153" location="'16'!$F$47" display="$F$47 16" xr:uid="{A344EAD8-DB43-4A3E-9EBA-A329E751DDD9}"/>
    <hyperlink ref="I1154" location="'16'!$G$51" display="$G$51 16" xr:uid="{E1A17F9E-CBA5-4851-A7CF-A4E4B39740A4}"/>
    <hyperlink ref="I1155" location="'16'!$G$47" display="$G$47 16" xr:uid="{D6BD6E46-940E-4E88-9118-B050DAD04BEE}"/>
    <hyperlink ref="I1156" location="'16'!$G$63" display="$G$63 16" xr:uid="{3C23872B-5218-4184-BD9A-81556EF6B121}"/>
    <hyperlink ref="I1157" location="'16'!$G$64" display="$G$64 16" xr:uid="{71837A76-757C-4FF7-8CC3-B46B791333AA}"/>
    <hyperlink ref="I1158" location="'16'!$I$28" display="$I$28 16" xr:uid="{FF5E9D03-6022-4D25-A281-D04C76518638}"/>
    <hyperlink ref="I1159" location="'16'!$K$27" display="$K$27 16" xr:uid="{F1813908-6952-4BC7-9B7A-91745FF9F438}"/>
    <hyperlink ref="I1160" location="'16'!$L$50" display="$L$50 16" xr:uid="{B1E28058-E8BC-4DDA-BD8F-91C799ECBDBE}"/>
    <hyperlink ref="I1161" location="'16'!$L$56" display="$L$56 16" xr:uid="{DCF38D2B-CCF1-4003-8582-36525AE04F7F}"/>
    <hyperlink ref="I1162" location="'16'!$L$48" display="$L$48 16" xr:uid="{B6D3A616-C73D-4A86-852E-23C49DE8855A}"/>
    <hyperlink ref="I1163" location="'16'!$M$64" display="$M$64 16" xr:uid="{B895DFEB-C76F-4C0A-BC12-27D306654CDA}"/>
    <hyperlink ref="I1164" location="'16'!$M$62" display="$M$62 16" xr:uid="{FB1448A8-58DC-4838-ADAB-EA676E5B9E04}"/>
    <hyperlink ref="I1165" location="'16'!$M$78" display="$M$78 16" xr:uid="{4B91EF33-C4F2-48AE-BA64-468EFFCCA340}"/>
    <hyperlink ref="I1166" location="'16'!$M$79" display="$M$79 16" xr:uid="{B0F69850-7A62-4A75-9296-A879497488DC}"/>
    <hyperlink ref="I1167" location="'16'!$M$50" display="$M$50 16" xr:uid="{ABCC4B17-353F-45CF-8578-CC5E9CFC41C0}"/>
    <hyperlink ref="I1168" location="'16'!$M$56" display="$M$56 16" xr:uid="{5BCA0101-42DC-450C-A186-B93E6FF43874}"/>
    <hyperlink ref="I1169" location="'16'!$M$48" display="$M$48 16" xr:uid="{BA849517-7C4C-4073-A75F-03FF96CD564F}"/>
    <hyperlink ref="I1170" location="'16'!$M$14" display="$M$14 16" xr:uid="{4DD3A751-71AA-48CA-89B5-8655571BC5F1}"/>
    <hyperlink ref="I1171" location="'16'!$N$14" display="$N$14 16" xr:uid="{D7DBB9BA-D921-46E5-B5EA-DC6A0A9B10A0}"/>
    <hyperlink ref="I1172" location="'16'!$N$51" display="$N$51 16" xr:uid="{461BEED9-1D0B-4A3E-9BAC-5C864B085CB7}"/>
    <hyperlink ref="I1173" location="'16'!$N$21" display="$N$21 16" xr:uid="{9770738F-27BE-4F15-9A50-2E9A7E284127}"/>
    <hyperlink ref="I1174" location="'16'!$O$50" display="$O$50 16" xr:uid="{0764DFC7-A511-4E47-A678-6F30A83D9BB2}"/>
    <hyperlink ref="I1175" location="'16'!$O$19" display="$O$19 16" xr:uid="{080224BF-6680-48C7-A04A-C8124E2DFC84}"/>
    <hyperlink ref="I1176" location="'16'!$O$14" display="$O$14 16" xr:uid="{DCE2EEA1-DC18-469A-8D6E-521C92FA26C1}"/>
    <hyperlink ref="I1177" r:id="rId70" location="'16'!$O$14" xr:uid="{EBB59F40-4B01-4B4F-8589-BC9320D4767D}"/>
    <hyperlink ref="I1178" location="'16'!$O$51" display="$O$51 16" xr:uid="{C115B8AE-C898-4131-ACD9-91597AEF3FA9}"/>
    <hyperlink ref="I1180" location="'16'!$O$78" display="$O$78 16" xr:uid="{30BF851F-12E2-43FA-908A-48B973F396E1}"/>
    <hyperlink ref="I1181" location="'16'!$O$24" display="$O$24 16" xr:uid="{5883AF71-BCC6-454E-A7A0-AA0A1A7D084A}"/>
    <hyperlink ref="I1182" location="'16'!$P$47" display="$P$47 16" xr:uid="{164BE942-047C-44DB-A546-6AA9F1339442}"/>
    <hyperlink ref="I1183" location="'16'!$P$50" display="$P$50 16" xr:uid="{1A5BA533-B16F-4B12-AECC-FEBC8EA903F7}"/>
    <hyperlink ref="I1184" location="'16'!$P$78" display="$P$78 16" xr:uid="{58DEDC38-5B01-4B3B-9698-6C42DF6B5FDF}"/>
    <hyperlink ref="I1185" location="'16'!$P$56" display="$P$56 16" xr:uid="{87E1126C-2A57-4FAC-A978-10A72312ACF8}"/>
    <hyperlink ref="I1186" location="'16'!$P$48" display="$P$48 16" xr:uid="{A898DA01-EA94-4D8B-B2A1-5C5DD285AD25}"/>
    <hyperlink ref="I1187" location="'16'!$P$51" display="$P$51 16" xr:uid="{E37EC191-76B5-4982-B0D5-7D533405AF75}"/>
    <hyperlink ref="I1188" location="'16'!$P$29" display="$P$29 16" xr:uid="{B33F610F-EE09-48EC-90E4-56426D528133}"/>
    <hyperlink ref="I1190" location="'16'!$Q$63" display="$Q$63 16" xr:uid="{7F130DD6-676C-4A7B-A40C-443118A3D9F3}"/>
    <hyperlink ref="I1191" location="'16'!$Q$64" display="$Q$64 16" xr:uid="{06F48388-D55C-48A0-93D2-689A4EE2085B}"/>
    <hyperlink ref="I1192" location="'16'!$R$62" display="$R$62 16" xr:uid="{5B7D606C-078E-465F-A10C-4E4273FAE3C9}"/>
    <hyperlink ref="I1193" location="'16'!$R$64" display="$R$64 16" xr:uid="{DE9622C9-477F-4B56-AF60-CACAA82EE3A4}"/>
    <hyperlink ref="I1194" location="'16'!$R$50" display="$R$50 16" xr:uid="{03B509DC-6AA6-4678-902C-7608C48A7128}"/>
    <hyperlink ref="I1195" location="'16'!$R$56" display="$R$56 16" xr:uid="{DA5BBBCC-FF69-44FB-B80F-E356FF6619F0}"/>
    <hyperlink ref="I1196" location="'16'!$R$48" display="$R$48 16" xr:uid="{7095A9B8-3308-4C2F-9965-6B6233EA0BD0}"/>
    <hyperlink ref="I1197" location="'16'!$S$51" display="$S$51 16" xr:uid="{D46289BC-69D5-4165-8715-C59381A526D7}"/>
    <hyperlink ref="I1198" location="'16'!$T$47" display="$T$47 16" xr:uid="{AAA81136-EC54-4254-B098-5F937D4AC721}"/>
    <hyperlink ref="I1199" location="'16'!$T$50" display="$T$50 16" xr:uid="{5E331595-71ED-4E88-9BF6-E9F98D4F1062}"/>
    <hyperlink ref="I1200" location="'16'!$T$29" display="$T$29 16" xr:uid="{B176C665-0944-47A9-A44B-A15401B6E82F}"/>
    <hyperlink ref="I1201" location="'16'!$T$56" display="$T$56 16" xr:uid="{4007534D-3FE3-48DD-91BE-FBAB3017EAD0}"/>
    <hyperlink ref="I1203" location="'16'!$V$28" display="$V$28 16" xr:uid="{899FFB07-E770-4C31-AB99-6CA4BDDA28BC}"/>
    <hyperlink ref="I1204" location="'16'!$V$27" display="$V$27 16" xr:uid="{71D8F28B-DB03-476A-9D80-361FB89A9D67}"/>
    <hyperlink ref="I1205" location="'16'!$W$50" display="$W$50 16" xr:uid="{13F4FE73-7B3E-4F4A-AD90-D880742B094F}"/>
    <hyperlink ref="I1206" location="'16'!$W$56" display="$W$56 16" xr:uid="{BF0CB980-46CD-4F40-AC56-E985390DE69A}"/>
    <hyperlink ref="I1207" location="'16'!$Y$14" display="$Y$14 16" xr:uid="{34854D20-EC32-4E5F-8294-D5AB28DC42ED}"/>
    <hyperlink ref="I1208" location="'16'!$Y$79" display="$Y$79 16" xr:uid="{28454BCA-06E6-4A41-8E12-D2B433F94F45}"/>
    <hyperlink ref="I1209" location="'16'!$Y$78" display="$Y$78 16" xr:uid="{378DAC99-C9AB-4570-83FE-F7AE7BB1B7D3}"/>
    <hyperlink ref="I1210" location="'16'!$Y$63" display="$Y$63 16" xr:uid="{B53A5ED8-9064-4FD5-A8E0-8C5D92797C1A}"/>
    <hyperlink ref="I1211" location="'16'!$Y$64" display="$Y$64 16" xr:uid="{032122F1-7908-472B-9582-72B2D361B24C}"/>
    <hyperlink ref="I1212" location="'16'!$Z$21" display="$Z$21 16" xr:uid="{5119AA20-68A9-4D63-80A6-3EBB9AC30E0F}"/>
    <hyperlink ref="I1213" location="'16'!$Z$14" display="$Z$14 16" xr:uid="{81A9D567-FE09-4E29-A3B4-6E41B0F3555C}"/>
    <hyperlink ref="I1214" r:id="rId71" location="'16'!$Z$14" xr:uid="{88A66245-F035-4930-83A6-B1FB5CB251A1}"/>
    <hyperlink ref="I1215" location="'16'!$Z$62" display="$Z$62 16" xr:uid="{25D77FA2-D247-44C4-A5C3-F170B30518BA}"/>
    <hyperlink ref="I1216" location="'16'!$Z$63" display="$Z$63 16" xr:uid="{1BBF9764-551C-44B1-9969-00DB5366976E}"/>
    <hyperlink ref="I1217" location="'16'!$Z$48" display="$Z$48 16" xr:uid="{77EF073B-8336-4D51-9C9C-804A668E0F5C}"/>
    <hyperlink ref="I1218" location="'16'!$Z$51" display="$Z$51 16" xr:uid="{41178E97-ACC9-4B43-A07E-0B95C04642BD}"/>
    <hyperlink ref="I1219" location="'16'!$Z$24" display="$Z$24 16" xr:uid="{06C079E2-7AA4-43D9-B8BD-AAA11EBDC9C0}"/>
    <hyperlink ref="I1220" location="'16'!$AA$48" display="$AA$48 16" xr:uid="{C7F351A3-3550-4F04-A0DF-C830963CFB0B}"/>
    <hyperlink ref="I1221" location="'16'!$AA$51" display="$AA$51 16" xr:uid="{81FE5AF3-7FFF-4A27-B9A2-EB035C898DCA}"/>
    <hyperlink ref="I1222" location="'16'!$AA$62" display="$AA$62 16" xr:uid="{70E7EC3C-6FC6-4B94-8742-1D185FA1E468}"/>
    <hyperlink ref="I1223" location="'16'!$AA$63" display="$AA$63 16" xr:uid="{AE785BEB-1187-4AFC-98E7-F3E148479ACA}"/>
    <hyperlink ref="I1224" location="'16'!$AA$19" display="$AA$19 16" xr:uid="{F1F56380-6677-48E5-8DFC-F89A2767D081}"/>
    <hyperlink ref="I1225" location="'16'!$AB$47" display="$AB$47 16" xr:uid="{B9645E8F-BF34-45F7-ABDA-5B37852C9BE1}"/>
    <hyperlink ref="I1226" location="'16'!$AB$14" display="$AB$14 16" xr:uid="{80810B4E-943A-4E24-9F41-DA00E88DCCB1}"/>
    <hyperlink ref="I1227" location="'16'!$AC$47" display="$AC$47 16" xr:uid="{F62EE8B4-903B-43DB-B720-6AE559E56C2E}"/>
    <hyperlink ref="I1228" location="'17'!$G$63" display="$G$63 17" xr:uid="{FE1BD8B7-45E8-4B73-92B9-B8C44C4A0C74}"/>
    <hyperlink ref="I1229" location="'17'!$G$64" display="$G$64 17" xr:uid="{7816C802-0657-4B64-A5CD-616588C91A3C}"/>
    <hyperlink ref="I1230" location="'17'!$G$62" display="$G$62 17" xr:uid="{D7F62D86-A0BD-4C21-AD57-7E945391FC08}"/>
    <hyperlink ref="I1231" location="'17'!$G$28" display="$G$28 17" xr:uid="{7AD658B2-0DB5-4F67-8483-48412CB36915}"/>
    <hyperlink ref="I1232" location="'17'!$I$79" display="$I$79 17" xr:uid="{41DF7F89-9516-4EC7-BCF5-0A6361A3024B}"/>
    <hyperlink ref="I1233" location="'17'!$I$14" display="$I$14 17" xr:uid="{9E3E73BF-F0DC-4649-A028-F52C536A255B}"/>
    <hyperlink ref="I1234" location="'17'!$I$15" display="$I$15 17" xr:uid="{8F32DA9E-07C6-445C-BD36-8B0739B894B6}"/>
    <hyperlink ref="I1235" location="'17'!$J$79" display="$J$79 17" xr:uid="{E00C6C88-A6FA-4E92-A935-E191D7C1B48D}"/>
    <hyperlink ref="I1236" location="'17'!$K$64" display="$K$64 17" xr:uid="{AE55FB52-8C15-4020-9D2B-EDDBB797BF24}"/>
    <hyperlink ref="I1237" location="'17'!$M$78" display="$M$78 17" xr:uid="{72BBF7CF-C087-471C-8CAC-A202F40E3FE3}"/>
    <hyperlink ref="I1238" location="'17'!$M$79" display="$M$79 17" xr:uid="{42B53DB0-0496-46E8-A801-A970CBC3BD69}"/>
    <hyperlink ref="I1240" location="'17'!$M$15" display="$M$15 17" xr:uid="{6689D699-C8DF-4BF8-B0F2-37A182E9E3FF}"/>
    <hyperlink ref="I1241" location="'17'!$M$62" display="$M$62 17" xr:uid="{47C92AA9-BC66-4810-AC75-63FB3B30A0BD}"/>
    <hyperlink ref="I1242" location="'17'!$M$64" display="$M$64 17" xr:uid="{AD7C44EA-ABB1-4A8D-84BE-1DED503B1434}"/>
    <hyperlink ref="I1243" location="'17'!$N$16" display="$N$16 17" xr:uid="{F09F1C9A-3264-4768-8B3A-932E6EA3FEC3}"/>
    <hyperlink ref="I1244" location="'17'!$N$27" display="$N$27 17" xr:uid="{F1B4D546-2792-4EB0-8FF1-CB4C04D7D36A}"/>
    <hyperlink ref="I1245" location="'17'!$N$78" display="$N$78 17" xr:uid="{492C1657-15C0-471E-AF7A-3E2439E48D4C}"/>
    <hyperlink ref="I1246" location="'17'!$N$79" display="$N$79 17" xr:uid="{06643EC4-0967-4525-BCF1-B7BCB0942B26}"/>
    <hyperlink ref="I1248" location="'17'!$O$16" display="$O$16 17" xr:uid="{71B218C2-3C74-475F-AE2B-9B81AD000075}"/>
    <hyperlink ref="I1249" location="'17'!$O$50" display="$O$50 17" xr:uid="{85BFDDA7-6A90-4141-9F34-C20C23DDAACB}"/>
    <hyperlink ref="I1250" location="'17'!$O$56" display="$O$56 17" xr:uid="{5D453183-83C2-4EA6-A827-0C8891B106A1}"/>
    <hyperlink ref="I1253" location="'17'!$P$48" display="$P$48 17" xr:uid="{73FA0A0C-FE56-4A04-B1F0-C2F48FD4D2DA}"/>
    <hyperlink ref="I1254" location="'17'!$P$21" display="$P$21 17" xr:uid="{7F9812A3-E243-4F26-B8F6-5BD95FECC0A9}"/>
    <hyperlink ref="I1256" location="'17'!$Q$78" display="$Q$78 17" xr:uid="{F2D5F5B1-E0D5-4E1A-ABEC-463C16BEACA8}"/>
    <hyperlink ref="I1257" r:id="rId72" location="'17'!$Q$78" xr:uid="{C204D883-1D3A-47E1-A955-EDF8E72477D0}"/>
    <hyperlink ref="I1258" location="'17'!$Q$79" display="$Q$79 17" xr:uid="{37DFA12A-EA2C-42E8-9030-0F1CEF015027}"/>
    <hyperlink ref="I1260" location="'17'!$R$21" display="$R$21 17" xr:uid="{AC9EFD59-EBD4-4108-94C5-5EEFB3ED4858}"/>
    <hyperlink ref="I1261" location="'17'!$S$63" display="$S$63 17" xr:uid="{952499C0-FE4F-432B-8A64-88737452128F}"/>
    <hyperlink ref="I1262" location="'17'!$S$64" display="$S$64 17" xr:uid="{2A721F62-E64A-4CC3-9964-CA5A9B675660}"/>
    <hyperlink ref="I1263" location="'17'!$T$51" display="$T$51 17" xr:uid="{719F6F40-B168-46A9-9B2A-0DF95A86A15C}"/>
    <hyperlink ref="I1264" location="'17'!$T$47" display="$T$47 17" xr:uid="{CF9ADF83-107A-468F-94DB-C86205E4FCE3}"/>
    <hyperlink ref="I1265" location="'17'!$V$78" display="$V$78 17" xr:uid="{4C543CA2-AFDC-42A4-AF70-DB0EAD407A2F}"/>
    <hyperlink ref="I1266" location="'17'!$W$78" display="$W$78 17" xr:uid="{D3D6BE6B-78C2-43FD-B02B-765559A8C16D}"/>
    <hyperlink ref="I1267" location="'17'!$W$28" display="$W$28 17" xr:uid="{6ECF3C60-7416-41B3-8C80-C3C913AA5A3E}"/>
    <hyperlink ref="I1268" location="'17'!$W$27" display="$W$27 17" xr:uid="{B2BB5AD7-52CD-4BAC-9B85-0C650E81129E}"/>
    <hyperlink ref="I1269" location="'17'!$X$50" display="$X$50 17" xr:uid="{F5CEC5CB-1867-4986-B36F-2FB857AFBDFE}"/>
    <hyperlink ref="I1270" location="'17'!$X$56" display="$X$56 17" xr:uid="{B1202AE0-1EA1-4FA0-91B3-2DEC797EE979}"/>
    <hyperlink ref="I1271" location="'17'!$X$51" display="$X$51 17" xr:uid="{70609464-C0A6-4454-84DC-49225C66BF36}"/>
    <hyperlink ref="I1272" location="'17'!$X$47" display="$X$47 17" xr:uid="{CA6EB6E6-6DC7-40D6-84B0-DFC6549CBBA6}"/>
    <hyperlink ref="I1273" location="'17'!$X$62" display="$X$62 17" xr:uid="{9571FC88-8147-46AF-A2DD-87B2DBD7D1B7}"/>
    <hyperlink ref="I1274" location="'17'!$X$63" display="$X$63 17" xr:uid="{97FFB2DC-DC7C-407D-B1C1-9D02EB1F14B1}"/>
    <hyperlink ref="I1276" location="'17'!$X$48" display="$X$48 17" xr:uid="{55542627-3FAC-45A9-837F-758CF1406EA7}"/>
    <hyperlink ref="I1277" location="'17'!$Y$79" display="$Y$79 17" xr:uid="{8CE4DD70-BE68-4C10-AFE0-E0B62D2C0EDC}"/>
    <hyperlink ref="I1278" location="'17'!$Y$78" display="$Y$78 17" xr:uid="{EC4B4D05-7038-4FDF-BED1-938FE79DA95E}"/>
    <hyperlink ref="I1279" location="'17'!$Y$56" display="$Y$56 17" xr:uid="{BBF70E3C-733E-4D98-867C-FC7277469A9D}"/>
    <hyperlink ref="I1280" location="'17'!$Y$63" display="$Y$63 17" xr:uid="{45B494EF-1723-467D-8B44-019CC0C9F50B}"/>
    <hyperlink ref="I1281" location="'17'!$Y$64" display="$Y$64 17" xr:uid="{F4D5676C-E770-46C7-AC25-8513AC01366A}"/>
    <hyperlink ref="I1282" location="'17'!$Y$47" display="$Y$47 17" xr:uid="{F0CA03F5-01A0-4975-A6DD-D3CE8C184E0F}"/>
    <hyperlink ref="I1283" location="'17'!$Y$51" display="$Y$51 17" xr:uid="{B2ABA3F4-0739-4622-A5A5-DD8284A5F338}"/>
    <hyperlink ref="I1284" location="'17'!$Z$48" display="$Z$48 17" xr:uid="{E6D9F912-6BC8-4574-92C8-E0BF93873573}"/>
    <hyperlink ref="I1285" location="'17'!$Z$51" display="$Z$51 17" xr:uid="{C815458E-28F3-419A-9372-D02547DD371C}"/>
    <hyperlink ref="I1286" location="'17'!$Z$47" display="$Z$47 17" xr:uid="{789980DC-33B5-4BDE-969E-A96F72CE9595}"/>
    <hyperlink ref="I1287" location="'17'!$AA$50" display="$AA$50 17" xr:uid="{A72FD190-D69C-49D9-8F09-D54BDFF73565}"/>
    <hyperlink ref="I1288" location="'17'!$AA$56" display="$AA$56 17" xr:uid="{9445E467-E386-492E-BADE-DCF75CD7DA19}"/>
    <hyperlink ref="I1289" location="'17'!$AB$14" display="$AB$14 17" xr:uid="{EC8B0B19-3DF6-4DEA-8FDC-54F385B2D0A7}"/>
    <hyperlink ref="I1290" location="'17'!$AB$50" display="$AB$50 17" xr:uid="{2002F72D-EDAD-4E66-B7F2-07ACF7490206}"/>
    <hyperlink ref="I1291" location="'17'!$AB$56" display="$AB$56 17" xr:uid="{15E90153-852A-4C87-BDF8-2CA354135246}"/>
    <hyperlink ref="I1292" location="'18'!$G$63" display="$G$63 18" xr:uid="{F68F98AF-2B03-4482-90C1-E20324EAE493}"/>
    <hyperlink ref="I1293" location="'18'!$G$30" display="$G$30 18" xr:uid="{19B112ED-D819-414F-A731-FD890439C6DF}"/>
    <hyperlink ref="I1294" location="'18'!$G$62" display="$G$62 18" xr:uid="{5CD6AA7C-4136-4D26-8DA8-FB9133F4021C}"/>
    <hyperlink ref="I1295" location="'18'!$G$64" display="$G$64 18" xr:uid="{49A32415-F9C9-4C6C-828A-88ADBF5D1720}"/>
    <hyperlink ref="I1296" r:id="rId73" location="'18'!$G$30" xr:uid="{602A3BF5-05B6-412A-8AE4-0E7CE81ABD20}"/>
    <hyperlink ref="I1297" location="'18'!$I$14" display="$I$14 18" xr:uid="{D62BFE2F-94EB-469E-81FC-189AB94750BA}"/>
    <hyperlink ref="I1298" location="'18'!$J$16" display="$J$16 18" xr:uid="{1A18D8D2-4205-4531-9BFE-5CDB32EE9251}"/>
    <hyperlink ref="I1299" location="'18'!$L$63" display="$L$63 18" xr:uid="{86C36F1B-5ACE-486B-9717-A981AB2B82F0}"/>
    <hyperlink ref="I1300" location="'18'!$L$30" display="$L$30 18" xr:uid="{15150B93-36AC-4581-9809-CFCB7BB29142}"/>
    <hyperlink ref="I1301" location="'18'!$M$78" display="$M$78 18" xr:uid="{FB33B7EB-EBA0-40AC-8E3A-17F6847C516C}"/>
    <hyperlink ref="I1302" location="'18'!$M$79" display="$M$79 18" xr:uid="{F49192AD-2825-421A-8048-82E00871B89E}"/>
    <hyperlink ref="I1303" location="'18'!$N$30" display="$N$30 18" xr:uid="{16CEE02B-24E8-4E79-90F3-25FD3EFF0CF2}"/>
    <hyperlink ref="I1304" location="'18'!$N$28" display="$N$28 18" xr:uid="{E128A1D0-FF0C-4C8C-A78D-2E58DFB270D5}"/>
    <hyperlink ref="I1305" location="'18'!$N$62" display="$N$62 18" xr:uid="{EC18FD78-8BC3-4CC6-8EF1-FB5D2C337E28}"/>
    <hyperlink ref="I1306" location="'18'!$N$63" display="$N$63 18" xr:uid="{835B974D-F739-4BD8-B2F2-2661140817FA}"/>
    <hyperlink ref="I1307" location="'18'!$N$27" display="$N$27 18" xr:uid="{753EC815-2A43-4DB1-B805-1924C9FBCEAD}"/>
    <hyperlink ref="I1308" location="'18'!$O$64" display="$O$64 18" xr:uid="{7A7CA567-81BA-4D66-B2D5-F32BE13320FF}"/>
    <hyperlink ref="I1309" location="'18'!$O$63" display="$O$63 18" xr:uid="{DDD8F2C6-3C62-4540-9FAF-1505D9EBD09C}"/>
    <hyperlink ref="I1310" location="'18'!$O$78" display="$O$78 18" xr:uid="{F42F7544-ECC3-4864-9D6C-89B6E584C3B8}"/>
    <hyperlink ref="I1311" r:id="rId74" location="'18'!$O$78" xr:uid="{F20003D3-EC26-47AC-9CF0-8E0601CDC765}"/>
    <hyperlink ref="I1312" location="'18'!$O$79" display="$O$79 18" xr:uid="{5F4F6EE9-6FEE-438E-9201-E38D5AAAE585}"/>
    <hyperlink ref="I1314" location="'18'!$P$48" display="$P$48 18" xr:uid="{550F99AB-7F86-4A2F-AF01-B042FD6C5832}"/>
    <hyperlink ref="I1315" location="'18'!$P$78" display="$P$78 18" xr:uid="{409E4DD3-B6A7-415E-BF81-4A4A979CB0D4}"/>
    <hyperlink ref="I1316" location="'18'!$P$51" display="$P$51 18" xr:uid="{A5A763C4-CA96-4568-A472-0ECB918ECCC3}"/>
    <hyperlink ref="I1318" location="'18'!$P$50" display="$P$50 18" xr:uid="{A7B3EAF6-779C-4E2C-8534-E343BC02D6CE}"/>
    <hyperlink ref="I1319" r:id="rId75" location="'18'!$P$78" xr:uid="{90EA2BB4-355C-4A9A-ABCD-C489B2602D59}"/>
    <hyperlink ref="I1317" location="'18'!$P$47" display="$P$47 18" xr:uid="{88322A1B-8C5F-4173-B8C7-BF7DD4243788}"/>
    <hyperlink ref="I1321" location="'18'!$Q$56" display="$Q$56 18" xr:uid="{AE300AB6-F626-4613-ABC2-9E0CE89C4920}"/>
    <hyperlink ref="I1322" location="'18'!$R$51" display="$R$51 18" xr:uid="{8AE43CC1-8977-43BF-A373-290D065769CF}"/>
    <hyperlink ref="I1323" location="'18'!$R$47" display="$R$47 18" xr:uid="{DDBAB924-CEB4-4921-8F37-8392A51918DC}"/>
    <hyperlink ref="I1324" location="'18'!$R$21" display="$R$21 18" xr:uid="{C345CF41-A308-49CC-B98D-97CDC448C416}"/>
    <hyperlink ref="I1325" location="'18'!$R$50" display="$R$50 18" xr:uid="{4E176FBB-257F-44C8-9439-031B1814FA38}"/>
    <hyperlink ref="I1326" location="'18'!$R$56" display="$R$56 18" xr:uid="{20BA219A-2EF3-47DC-A7BA-3076199E1C5A}"/>
    <hyperlink ref="I1327" location="'18'!$R$63" display="$R$63 18" xr:uid="{C08234E7-5D9B-47FC-9E7E-910ADBEBED9C}"/>
    <hyperlink ref="I1328" location="'18'!$R$64" display="$R$64 18" xr:uid="{213D029F-2AC8-4BDB-82EA-67C1210FE249}"/>
    <hyperlink ref="I1329" location="'18'!$S$63" display="$S$63 18" xr:uid="{59365779-B735-4027-A0B9-F59EF1A5013A}"/>
    <hyperlink ref="I1330" location="'18'!$S$64" display="$S$64 18" xr:uid="{C86246F7-D673-4B53-86E2-684444438BB4}"/>
    <hyperlink ref="I1331" location="'18'!$S$78" display="$S$78 18" xr:uid="{357C2C6D-32CC-4530-8BEF-955FE036A56A}"/>
    <hyperlink ref="I1332" location="'18'!$T$28" display="$T$28 18" xr:uid="{91B0C0B0-B55B-4157-9817-552538658C6D}"/>
    <hyperlink ref="I1333" location="'18'!$T$16" display="$T$16 18" xr:uid="{DBF96EFC-79C1-4814-AB91-DDB549A87605}"/>
    <hyperlink ref="I1334" location="'18'!$T$27" display="$T$27 18" xr:uid="{F5A58196-F8D5-47E9-A3FF-C9AC97E175AA}"/>
    <hyperlink ref="I1335" location="'18'!$T$14" display="$T$14 18" xr:uid="{188D150A-AA0A-412C-BBAE-A188A175C4B2}"/>
    <hyperlink ref="I1336" location="'18'!$T$15" display="$T$15 18" xr:uid="{C613ADC3-52D9-4D83-B89E-AA280AA70EE6}"/>
    <hyperlink ref="I1338" location="'18'!$T$21" display="$T$21 18" xr:uid="{578B3719-609E-4688-A615-78DA1FC6D0B0}"/>
    <hyperlink ref="I1340" location="'18'!$T$30" display="$T$30 18" xr:uid="{BBD1C498-E8E3-4FF0-B735-2135174B952E}"/>
    <hyperlink ref="I1341" location="'18'!$T$33" display="$T$33 18" xr:uid="{271E6760-1588-48CC-8EC6-A2D4C84056CA}"/>
    <hyperlink ref="I1342" location="'18'!$T$78" display="$T$78 18" xr:uid="{9EBF60B9-48D0-4F01-96E1-EE7C49C6FAF1}"/>
    <hyperlink ref="I1343" location="'18'!$U$16" display="$U$16 18" xr:uid="{266AB776-94A1-462C-8F17-D6CBA75144B0}"/>
    <hyperlink ref="I1344" location="'18'!$U$15" display="$U$15 18" xr:uid="{FC031019-5BA2-4620-B46B-76F52442A95E}"/>
    <hyperlink ref="I1345" location="'18'!$V$14" display="$V$14 18" xr:uid="{44948BA0-A459-47F6-A6EB-64361B4AFECB}"/>
    <hyperlink ref="I1346" location="'18'!$V$21" display="$V$21 18" xr:uid="{7090F420-5CBC-4B26-8968-8495E11BD265}"/>
    <hyperlink ref="I1347" location="'18'!$V$28" display="$V$28 18" xr:uid="{AE1911ED-5E72-479B-BA6E-71BED1C66D18}"/>
    <hyperlink ref="I1348" location="'18'!$W$48" display="$W$48 18" xr:uid="{1538F073-7278-4EA3-BB77-F12DCB741475}"/>
    <hyperlink ref="I1349" location="'18'!$W$51" display="$W$51 18" xr:uid="{C4DE1CE6-91D2-4665-8B8A-8700CF03C63B}"/>
    <hyperlink ref="I1350" location="'18'!$W$30" display="$W$30 18" xr:uid="{4837BB00-5012-40C6-A448-4B2BF7825D5B}"/>
    <hyperlink ref="I1351" location="'18'!$W$47" display="$W$47 18" xr:uid="{0E8B5627-C92F-4071-9EEC-31BE1467DEDB}"/>
    <hyperlink ref="I1352" location="'18'!$W$50" display="$W$50 18" xr:uid="{DD4E0F47-DCB2-45B0-9FEB-D5CF8F5A2153}"/>
    <hyperlink ref="I1353" location="'18'!$W$56" display="$W$56 18" xr:uid="{603B7749-7B17-4A48-B693-718E81AE8E94}"/>
    <hyperlink ref="I1359" location="'18'!$X$78" display="$X$78 18" xr:uid="{90DB1850-0BDE-4955-B93D-97E2FEB6B8BD}"/>
    <hyperlink ref="I1360" location="'18'!$Y$21" display="$Y$21 18" xr:uid="{89E37EA9-5A54-44C8-8B56-A4466DE0B9BB}"/>
    <hyperlink ref="I1361" location="'18'!$Y$47" display="$Y$47 18" xr:uid="{D48A285F-E5E4-4C33-A16C-E829A46A4A71}"/>
    <hyperlink ref="I1362" location="'18'!$Y$48" display="$Y$48 18" xr:uid="{062C8133-E2F0-498C-A2FF-B6BDEFB6A980}"/>
    <hyperlink ref="I1363" location="'18'!$Y$51" display="$Y$51 18" xr:uid="{4DE35B0F-327D-4101-8611-CDF36054498A}"/>
    <hyperlink ref="I1364" location="'18'!$Y$50" display="$Y$50 18" xr:uid="{6C68C1CB-BD47-43D0-9606-0CFEDB9DE93F}"/>
    <hyperlink ref="I1365" location="'18'!$Y$56" display="$Y$56 18" xr:uid="{4593EB08-765D-4A5E-82F8-6DA3A141FE72}"/>
    <hyperlink ref="I1366" location="'18'!$Y$40" display="$Y$40 18" xr:uid="{7F666884-C2A0-4ABF-A779-F927424164EF}"/>
    <hyperlink ref="I1367" location="'18'!$Y$19" display="$Y$19 18" xr:uid="{E2ACD0D1-3283-4BCE-BDBE-E4D0D0748CC8}"/>
    <hyperlink ref="I1368" location="'18'!$Z$40" display="$Z$40 18" xr:uid="{824DA2DA-B486-4455-BF90-06A5709D40C1}"/>
    <hyperlink ref="I1369" location="'18'!$Z$48" display="$Z$48 18" xr:uid="{F435B440-A6A1-48AB-A6F1-DD99D0E605EA}"/>
    <hyperlink ref="I1370" location="'18'!$Y$79" display="$Y$79 18" xr:uid="{0D61FCAF-A535-44A2-8335-21DE27A82E62}"/>
    <hyperlink ref="I1371" location="'18'!$Z$50" display="$Z$50 18" xr:uid="{870BF7B4-572E-48FE-939A-CE42D3DD7B73}"/>
    <hyperlink ref="I1372" location="'18'!$Z$51" display="$Z$51 18" xr:uid="{10889BCD-6A23-4981-9993-EC6544D0860F}"/>
    <hyperlink ref="I1373" location="'18'!$Z$47" display="$Z$47 18" xr:uid="{CCAA31FF-1E08-4328-95ED-50731D2133CE}"/>
    <hyperlink ref="I1374" location="'18'!$Z$56" display="$Z$56 18" xr:uid="{4F8045BF-9530-483D-A2E5-2B3E43F5E8A9}"/>
    <hyperlink ref="I1375" location="'18'!$Z$19" display="$Z$19 18" xr:uid="{C9EBC3C0-19BB-4053-A8DD-B1D4799E8F67}"/>
    <hyperlink ref="I1376" location="'18'!$T$63" display="$T$63 18" xr:uid="{FA923B00-1E51-4F77-9A9A-82FBB9120F21}"/>
    <hyperlink ref="I1377" location="'18'!$T$64" display="$T$64 18" xr:uid="{F5E72B0B-1D78-48C2-8568-86C8F389638C}"/>
    <hyperlink ref="I1378" location="'18'!$U$62" display="$U$62 18" xr:uid="{F2726945-1D03-42F5-A3BF-33E6DDFBAD59}"/>
    <hyperlink ref="I1379" location="'18'!$U$64" display="$U$64 18" xr:uid="{B648A769-25B7-4D2A-957D-121F81F8CE29}"/>
    <hyperlink ref="I1382" location="'18'!$Y$62" display="$Y$62 18" xr:uid="{EF29F3E7-0366-4D5E-B12D-34A604416734}"/>
    <hyperlink ref="I1383" location="'18'!$Y$64" display="$Y$64 18" xr:uid="{BFA81FE3-0232-4485-B4B8-49AB71D42B72}"/>
    <hyperlink ref="I1384" location="'18'!$Z$62" display="$Z$62 18" xr:uid="{164A6A9C-0EF8-4C75-8908-D88DAB02E323}"/>
    <hyperlink ref="I1385" location="'18'!$Z$64" display="$Z$64 18" xr:uid="{062AC7CB-4421-4D86-9C03-E13254588818}"/>
    <hyperlink ref="I1386" r:id="rId76" location="'18'!$Z$62" xr:uid="{5B451C38-F620-4C2C-B009-2F79BFB7ED54}"/>
    <hyperlink ref="I1387" r:id="rId77" location="'18'!$Z$64" xr:uid="{358367D8-01C6-4E8D-B0BF-B407264BB4D9}"/>
    <hyperlink ref="I1388" location="'18'!$AA$47" display="$AA$47 18" xr:uid="{920B0056-A3B2-40AF-B7EC-A3270E8F5644}"/>
    <hyperlink ref="I1389" location="'18'!$AA$48" display="$AA$48 18" xr:uid="{3BAA3A52-686C-423B-9F28-02CCA74DB20C}"/>
    <hyperlink ref="I1390" location="'18'!$AA$51" display="$AA$51 18" xr:uid="{B670CB25-5679-4269-846E-54C60A565DAC}"/>
    <hyperlink ref="I1391" location="'18'!$AA$16" display="$AA$16 18" xr:uid="{4138C5C0-4F31-4139-BE58-904BC6E5ECEC}"/>
    <hyperlink ref="I1392" location="'18'!$AB$48" display="$AB$48 18" xr:uid="{19503D86-DB0B-4940-AC25-82C671620C9D}"/>
    <hyperlink ref="I1393" location="'18'!$AB$51" display="$AB$51 18" xr:uid="{22A39164-B607-495C-9736-C9607819A751}"/>
    <hyperlink ref="I1394" location="'18'!$AB$47" display="$AB$47 18" xr:uid="{5FCF6D7F-4380-4935-9970-5A6A749197B9}"/>
    <hyperlink ref="I1395" location="'18'!$Z$33" display="$Z$33 18" xr:uid="{24DFD7FB-065E-4042-B353-A5A81667B249}"/>
    <hyperlink ref="I1396" location="'18'!$AC$28" display="$AC$28 18" xr:uid="{1408D090-4F82-4E18-94EB-5401ABF1D669}"/>
    <hyperlink ref="I1397" location="'19'!$F$64" display="$F$64 19" xr:uid="{54BD9B00-D3EA-4E9A-AFEC-6112AA2A9E52}"/>
    <hyperlink ref="I1398" location="'19'!$H$28" display="$H$28 19" xr:uid="{3317A777-2EF5-4308-8ED6-9A62217E338E}"/>
    <hyperlink ref="I1399" location="'19'!$H$30" display="$H$30 19" xr:uid="{7B94083F-8C18-4150-AE42-37836E808CFA}"/>
    <hyperlink ref="I1400" location="'19'!$H$16" display="$H$16 19" xr:uid="{76C8EF8E-6E14-4976-B9B5-74989CB9EEF5}"/>
    <hyperlink ref="I1401" location="'19'!$I$16" display="$I$16 19" xr:uid="{D1845CFE-6730-4CDB-B337-C0488D80901E}"/>
    <hyperlink ref="I1402" r:id="rId78" location="'19'!$I$16" xr:uid="{4D1E07A1-ED94-4563-9C69-BCC16ED175AE}"/>
    <hyperlink ref="I1403" location="'19'!$I$15" display="$I$15 19" xr:uid="{1083DAC5-0207-475B-9CB9-67C8CD6C519D}"/>
    <hyperlink ref="I1404" location="'19'!$J$28" display="$J$28 19" xr:uid="{E57AB308-55D5-4F9B-B4BF-B27673011C87}"/>
    <hyperlink ref="I1405" location="'19'!$L$50" display="$L$50 19" xr:uid="{06F44783-666C-4586-A43D-C17B72EBE076}"/>
    <hyperlink ref="I1406" location="'19'!$L$56" display="$L$56 19" xr:uid="{5F02FA8F-F75B-412B-8A5F-B7A3E940668D}"/>
    <hyperlink ref="I1407" location="'19'!$M$64" display="$M$64 19" xr:uid="{BA1BC168-EFFE-4078-AE06-307D70CEFFF3}"/>
    <hyperlink ref="I1408" location="'19'!$M$62" display="$M$62 19" xr:uid="{46428BAB-CC8F-4BE6-B6A7-D314A6C80A1D}"/>
    <hyperlink ref="I1409" location="'19'!$M$48" display="$M$48 19" xr:uid="{390BFACF-9830-4555-9A71-A9CD7C0F4772}"/>
    <hyperlink ref="I1410" location="'19'!$M$30" display="$M$30 19" xr:uid="{BBB5CDC0-E2F4-4ED1-A6B9-69A35125BE33}"/>
    <hyperlink ref="I1411" location="'19'!$M$50" display="$M$50 19" xr:uid="{95D1410F-A93F-432A-A290-7A6B9F23C227}"/>
    <hyperlink ref="I1412" location="'19'!$M$56" display="$M$56 19" xr:uid="{5A534F71-EB99-4E54-8309-884949767A8D}"/>
    <hyperlink ref="I1414" location="'19'!$N$63" display="$N$63 19" xr:uid="{D3427869-D29B-463A-B32F-D31004747B95}"/>
    <hyperlink ref="I1415" location="'19'!$O$51" display="$O$51 19" xr:uid="{7CA32F60-DB46-4AB9-A69A-D4E372F57414}"/>
    <hyperlink ref="I1416" location="'19'!$O$27" display="$O$27 19" xr:uid="{7C749028-AB9E-4DCC-8CCE-01BC96BE67B6}"/>
    <hyperlink ref="I1417" location="'19'!$O$78" display="$O$78 19" xr:uid="{0587C450-BBC0-4749-9EB6-5A03865334AB}"/>
    <hyperlink ref="I1418" location="'19'!$O$79" display="$O$79 19" xr:uid="{C3E0470C-3F2E-4875-B1E6-B15473904025}"/>
    <hyperlink ref="I1420" location="'19'!$P$47" display="$P$47 19" xr:uid="{7707BBEC-4B3D-4C55-A4AD-720038612C16}"/>
    <hyperlink ref="I1421" location="'19'!$P$50" display="$P$50 19" xr:uid="{F2078AEA-0857-4955-974D-68A21B034BA7}"/>
    <hyperlink ref="I1422" location="'19'!$P$56" display="$P$56 19" xr:uid="{7A15CD7F-0901-485B-A7E4-4BB688BB078E}"/>
    <hyperlink ref="I1423" location="'19'!$P$63" display="$P$63 19" xr:uid="{1557A539-2C4D-4107-8CE6-385FAF03F5F8}"/>
    <hyperlink ref="I1424" location="'19'!$P$64" display="$P$64 19" xr:uid="{73DC95AC-40A7-4E81-8C17-C5EFA67F507D}"/>
    <hyperlink ref="I1425" location="'19'!$P$48" display="$P$48 19" xr:uid="{F01BDB1E-717D-4C20-B424-5E9FA8AD0CBA}"/>
    <hyperlink ref="I1426" location="'19'!$P$51" display="$P$51 19" xr:uid="{E7D38C53-4356-4C68-B3CC-5953E56B3474}"/>
    <hyperlink ref="I1427" location="'19'!$P$15" display="$P$15 19" xr:uid="{C6629EAA-D709-4E00-8986-BE0950849275}"/>
    <hyperlink ref="I1429" r:id="rId79" location="'19'!$P$63" xr:uid="{DE7299CD-3B4C-41E9-889E-432FB9305AA3}"/>
    <hyperlink ref="I1430" r:id="rId80" location="'19'!$P$64" xr:uid="{47465437-5E73-448D-990E-E72924412B78}"/>
    <hyperlink ref="I1433" location="'19'!$Q$48" display="$Q$48 19" xr:uid="{E92507F2-931A-4B94-99D0-1758F4457DB2}"/>
    <hyperlink ref="I1434" location="'19'!$Q$51" display="$Q$51 19" xr:uid="{1B13EB1B-E19B-43DD-9024-AB92468AF509}"/>
    <hyperlink ref="I1435" location="'19'!$Q$78" display="$Q$78 19" xr:uid="{A2702904-4F45-45C3-865B-EDD7EA49F1B4}"/>
    <hyperlink ref="I1436" location="'19'!$R$78" display="$R$78 19" xr:uid="{4453E6BE-EC19-4134-9D99-15171B677DD0}"/>
    <hyperlink ref="I1437" location="'19'!$S$27" display="$S$27 19" xr:uid="{2DA48ABD-6C8F-4EE3-B4E5-E6249566BECC}"/>
    <hyperlink ref="I1438" location="'19'!$T$48" display="$T$48 19" xr:uid="{C3191E07-2CD4-41EF-AD62-5FBAFDDC8B6C}"/>
    <hyperlink ref="I1439" location="'19'!$T$78" display="$T$78 19" xr:uid="{1A18AB81-D06C-4612-A855-5649E09745D0}"/>
    <hyperlink ref="I1440" location="'19'!$U$51" display="$U$51 19" xr:uid="{A1BD1B90-E13B-4078-8D91-F78648A8A757}"/>
    <hyperlink ref="I1441" location="'19'!$U$78" display="$U$78 19" xr:uid="{FB9FCFEF-DFD3-4963-BF26-2324801F021C}"/>
    <hyperlink ref="I1442" location="'19'!$U$56" display="$U$56 19" xr:uid="{DC2A4FC3-5D2F-460C-B55C-C5A6CFA78B67}"/>
    <hyperlink ref="I1443" location="'19'!$W$47" display="$W$47 19" xr:uid="{556A1BFB-2128-4A14-B581-82C1AB62C9B4}"/>
    <hyperlink ref="I1444" location="'19'!$X$62" display="$X$62 19" xr:uid="{28CEC2AF-6776-4881-9061-BEDE78B47168}"/>
    <hyperlink ref="I1445" location="'19'!$X$64" display="$X$64 19" xr:uid="{597F8CE2-81D3-46B5-A875-B1457B2C25F5}"/>
    <hyperlink ref="I1446" location="'19'!$X$48" display="$X$48 19" xr:uid="{DD0540A8-EACB-415E-8A64-B20A0427BC53}"/>
    <hyperlink ref="I1447" location="'19'!$X$28" display="$X$28 19" xr:uid="{B90BDB9D-8CE6-4871-8362-ABEB240F57AC}"/>
    <hyperlink ref="I1448" location="'19'!$X$51" display="$X$51 19" xr:uid="{3931FDCC-0CD9-4AA8-AA2F-2BD31127CED6}"/>
    <hyperlink ref="I1449" location="'19'!$X$56" display="$X$56 19" xr:uid="{903AE582-D305-49B8-9D32-C68434819927}"/>
    <hyperlink ref="I1450" location="'19'!$Y$48" display="$Y$48 19" xr:uid="{2F5CFAE0-31B8-4923-BC50-EA77CA70B764}"/>
    <hyperlink ref="I1451" location="'19'!$Y$51" display="$Y$51 19" xr:uid="{AC9988E5-1131-4EB2-924F-F4F9E127FEA2}"/>
    <hyperlink ref="I1452" location="'19'!$Y$56" display="$Y$56 19" xr:uid="{34CAA7A7-EF73-4C90-80E2-608B712A55DE}"/>
    <hyperlink ref="I1453" location="'19'!$Y$50" display="$Y$50 19" xr:uid="{CEDF93FD-15E3-4821-ADD1-143DA1EE4840}"/>
    <hyperlink ref="I1454" location="'19'!$Y$40" display="$Y$40 19" xr:uid="{21767D9F-51AD-429B-8F82-75A322EC660A}"/>
    <hyperlink ref="I1455" location="'19'!$Y$79" display="$Y$79 19" xr:uid="{131C7343-EE62-4AFB-9EC9-14F64AE220EF}"/>
    <hyperlink ref="I1456" location="'19'!$Y$78" display="$Y$78 19" xr:uid="{4F52D6F5-54DB-4C4C-8FAA-3A778F21FFD2}"/>
    <hyperlink ref="I1457" location="'19'!$Y$29" display="$Y$29 19" xr:uid="{144DBD14-A49A-437D-85A4-819074D0E947}"/>
    <hyperlink ref="I1459" r:id="rId81" location="'19'!$Y$40" xr:uid="{82C1A77A-DE32-4187-927D-9BEADC04F874}"/>
    <hyperlink ref="I1460" location="'19'!$Z$40" display="$Z$40 19" xr:uid="{055CBFE1-A915-4C1C-831E-9B6E6A8A3259}"/>
    <hyperlink ref="I1461" location="'19'!$Z$48" display="$Z$48 19" xr:uid="{4BD79038-B0FB-4EA3-86D7-A9A2001A5390}"/>
    <hyperlink ref="I1462" location="'19'!$Z$21" display="$Z$21 19" xr:uid="{F51FA752-9828-4F01-B5C5-766D498B832C}"/>
    <hyperlink ref="I1463" location="'19'!$Z$51" display="$Z$51 19" xr:uid="{36453843-4DFB-4A98-BC3A-29F38B1EA067}"/>
    <hyperlink ref="I1464" location="'19'!$Z$50" display="$Z$50 19" xr:uid="{69D2E429-FA80-4C45-B296-14D62BC8F8B4}"/>
    <hyperlink ref="I1465" location="'19'!$Z$47" display="$Z$47 19" xr:uid="{38D358D0-D6C0-43B4-8CAA-4F3FF1D23447}"/>
    <hyperlink ref="I1466" location="'19'!$Z$56" display="$Z$56 19" xr:uid="{3D2BF188-CCE2-4B5A-8D86-5B706B667B11}"/>
    <hyperlink ref="I1467" location="'19'!$AA$19" display="$AA$19 19" xr:uid="{05DF16A4-4060-46C3-91CC-68BE6FF1282B}"/>
    <hyperlink ref="I1468" location="'19'!$AA$21" display="$AA$21 19" xr:uid="{9A77CD56-7DFA-4807-A587-5DD9B3D9893F}"/>
    <hyperlink ref="I1469" location="'19'!$AA$29" display="$AA$29 19" xr:uid="{0FB08EE7-7CBA-4623-B962-C9B1D08E4CE1}"/>
    <hyperlink ref="I1470" location="'19'!$AA$47" display="$AA$47 19" xr:uid="{F62E2A23-0727-4EA3-A623-E888701F8985}"/>
    <hyperlink ref="I1471" location="'19'!$AA$50" display="$AA$50 19" xr:uid="{6E048AE9-6231-4752-9604-21D21AE1DEF5}"/>
    <hyperlink ref="I1472" location="'19'!$AA$56" display="$AA$56 19" xr:uid="{93EA82D1-3766-492D-A4B8-5DA78F02B9D3}"/>
    <hyperlink ref="I1473" r:id="rId82" location="'19'!$AA$21" xr:uid="{C9C53995-EFBC-45B0-82F5-5A5524A4EC31}"/>
    <hyperlink ref="I1477" r:id="rId83" location="'19'!$AA$47" xr:uid="{E5BE1DC2-EC2F-4ADB-8048-4AA469167BD6}"/>
    <hyperlink ref="I1478" location="'19'!$AA$48" display="$AA$48 19" xr:uid="{4CF5C23F-4581-43F4-AB80-84EECEC40724}"/>
    <hyperlink ref="I1479" r:id="rId84" location="'19'!$AA$50" xr:uid="{69C18F8F-03A3-4C1B-852A-A6FD42CC5480}"/>
    <hyperlink ref="I1480" location="'19'!$AA$51" display="$AA$51 19" xr:uid="{CE0804CB-D1FA-4BFF-A56F-549DE3D4B8DD}"/>
    <hyperlink ref="I1481" r:id="rId85" location="'19'!$AA$56" xr:uid="{4E9B90E4-ACC0-43AE-8AE9-14721646FB49}"/>
    <hyperlink ref="I1482" location="'19'!$AA$40" display="$AA$40 19" xr:uid="{410186A3-495A-44BC-8853-B946ACA2E697}"/>
    <hyperlink ref="I1483" location="'19'!$AA$16" display="$AA$16 19" xr:uid="{3C104056-1FC6-4468-9BA8-553FDB5B8458}"/>
    <hyperlink ref="I1484" location="'19'!$AB$48" display="$AB$48 19" xr:uid="{3ECBAB76-31D8-47D3-AD8A-5BAAB15202DD}"/>
    <hyperlink ref="I1485" location="'19'!$AB$40" display="$AB$40 19" xr:uid="{C66D006A-D213-4E3A-9688-58E9F82DE8F7}"/>
    <hyperlink ref="I1486" location="'19'!$AB$51" display="$AB$51 19" xr:uid="{13BE6273-D844-4676-B691-F5192AC64DFC}"/>
    <hyperlink ref="I1487" location="'19'!$AC$50" display="$AC$50 19" xr:uid="{A355BDB7-83D5-4797-B968-73B7C50E3F96}"/>
    <hyperlink ref="I1488" location="'19'!$AC$47" display="$AC$47 19" xr:uid="{8ABB70C1-69D0-47F5-886B-1DB251DF4F04}"/>
    <hyperlink ref="I1489" location="'19'!$AC$56" display="$AC$56 19" xr:uid="{13201A1A-77CF-4294-904E-487A31688369}"/>
    <hyperlink ref="I1490" location="'20'!$F$19" display="$F$19 20" xr:uid="{C94075B0-5E6A-4392-84ED-4065072348AB}"/>
    <hyperlink ref="I1491" location="'20'!$G$28" display="$G$28 20" xr:uid="{1CCCD7D6-8846-48CD-88B5-C3AE407F2C26}"/>
    <hyperlink ref="I1492" location="'20'!$G$64" display="$G$64 20" xr:uid="{40314493-D3C3-4CF0-8996-067C91094590}"/>
    <hyperlink ref="I1493" location="'20'!$G$62" display="$G$62 20" xr:uid="{09D5E54F-E99A-4552-83B2-11F42A43B41D}"/>
    <hyperlink ref="I1494" location="'20'!$M$78" display="$M$78 20" xr:uid="{E61AAC03-44CA-4964-8135-FCEE4A1252D5}"/>
    <hyperlink ref="I1495" location="'20'!$M$79" display="$M$79 20" xr:uid="{6535D4A7-B9E1-442C-A8FE-32357AB8D1D4}"/>
    <hyperlink ref="I1496" location="'20'!$M$62" display="$M$62 20" xr:uid="{350B65E0-DFCA-463D-BC3C-C2778337AC45}"/>
    <hyperlink ref="I1497" location="'20'!$M$63" display="$M$63 20" xr:uid="{BACA22C2-607C-48B9-B58F-C3FB3E335AB1}"/>
    <hyperlink ref="I1498" location="'20'!$M$16" display="$M$16 20" xr:uid="{E9740461-5839-4ABC-BCC7-D8D51B93E981}"/>
    <hyperlink ref="I1499" r:id="rId86" location="'20'!$M$16" xr:uid="{36C2EBD0-08C1-464D-A498-9E209E51C3C1}"/>
    <hyperlink ref="I1500" location="'20'!$M$14" display="$M$14 20" xr:uid="{FA0F20CC-1538-4EEB-AC7F-B913A36AA944}"/>
    <hyperlink ref="I1501" r:id="rId87" location="'20'!$M$14" xr:uid="{76C247D7-84DE-41EF-ACEE-D738A87F5351}"/>
    <hyperlink ref="I1502" location="'20'!$N$14" display="$N$14 20" xr:uid="{83C28CF9-1015-41E3-9754-996A50AEFF47}"/>
    <hyperlink ref="I1503" location="'20'!$N$27" display="$N$27 20" xr:uid="{F9E7E2F9-2F71-4C91-9AE9-7AF35B87620A}"/>
    <hyperlink ref="I1504" location="'20'!$O$48" display="$O$48 20" xr:uid="{9FC74817-9F27-4A9C-A177-C15CB4859899}"/>
    <hyperlink ref="I1505" location="'20'!$O$51" display="$O$51 20" xr:uid="{979B419F-F722-4CED-8999-32124E53FB57}"/>
    <hyperlink ref="I1506" location="'20'!$O$47" display="$O$47 20" xr:uid="{85CA472A-FB3E-4F9F-B628-6685A2BC1320}"/>
    <hyperlink ref="I1507" location="'20'!$O$14" display="$O$14 20" xr:uid="{0F1AB6ED-5AB3-404E-B134-EA0AB49821F0}"/>
    <hyperlink ref="I1508" location="'20'!$O$50" display="$O$50 20" xr:uid="{A00865EC-F29E-4A0F-93DE-676E88118E32}"/>
    <hyperlink ref="I1509" location="'20'!$P$56" display="$P$56 20" xr:uid="{493262D4-DE05-46FE-96A9-659CEA085B72}"/>
    <hyperlink ref="I1510" location="'20'!$P$40" display="$P$40 20" xr:uid="{44A645B3-BDDD-4D63-B998-E662B4DF26F1}"/>
    <hyperlink ref="I1512" location="'20'!$P$48" display="$P$48 20" xr:uid="{3A9C6202-76C4-47CE-BDE6-3EC8CC84A61A}"/>
    <hyperlink ref="I1513" location="'20'!$P$51" display="$P$51 20" xr:uid="{90E2D184-3BB7-406A-9B9C-75F62EC6F600}"/>
    <hyperlink ref="I1514" location="'20'!$P$47" display="$P$47 20" xr:uid="{3DB17837-8194-4CD9-B5B3-8FE02C7C88F8}"/>
    <hyperlink ref="I1515" location="'20'!$P$50" display="$P$50 20" xr:uid="{0CAC4372-D1DB-4C8F-B92C-90FD95BAB266}"/>
    <hyperlink ref="I1517" r:id="rId88" location="'20'!$P$56" xr:uid="{2D7B4E1D-9116-4B0C-81F1-6F6E7B749CF7}"/>
    <hyperlink ref="I1518" location="'20'!$Q$19" display="$Q$19 20" xr:uid="{C8A6BDA1-16F0-4FA7-AA99-24A411ADD7F5}"/>
    <hyperlink ref="I1519" location="'20'!$Q$56" display="$Q$56 20" xr:uid="{EC860251-363A-461C-B20E-0C77479BE39E}"/>
    <hyperlink ref="I1520" location="'20'!$R$78" display="$R$78 20" xr:uid="{0F9219F8-5A24-40D7-A2A7-0C90ED4E97AE}"/>
    <hyperlink ref="I1521" location="'20'!$R$48" display="$R$48 20" xr:uid="{F9D13EF0-AF1A-4051-89B3-BDDED424472A}"/>
    <hyperlink ref="I1522" location="'20'!$R$51" display="$R$51 20" xr:uid="{ECC27737-5AE9-4A60-B272-36D7C8460855}"/>
    <hyperlink ref="I1525" r:id="rId89" location="'20'!$R$78" xr:uid="{54823E60-D838-4EAE-98AC-825430BFC298}"/>
    <hyperlink ref="I1526" location="'20'!$S$63" display="$S$63 20" xr:uid="{BAC111FF-A586-4D51-A2A6-D3BA2D2D792B}"/>
    <hyperlink ref="I1527" location="'20'!$S$64" display="$S$64 20" xr:uid="{34C4D845-1AD4-448E-B53E-DBC677787243}"/>
    <hyperlink ref="I1528" location="'20'!$T$47" display="$T$47 20" xr:uid="{715F59F3-E24B-47D6-AB66-0F5CA30B2D42}"/>
    <hyperlink ref="I1529" location="'20'!$T$50" display="$T$50 20" xr:uid="{8D5E75B9-3844-4EC4-B548-3FA1579376E5}"/>
    <hyperlink ref="I1530" location="'20'!$T$56" display="$T$56 20" xr:uid="{D2BAAFD8-6078-4678-94A7-A8BAD1242392}"/>
    <hyperlink ref="I1532" location="'20'!$U$48" display="$U$48 20" xr:uid="{644A6867-E299-46E2-B320-EF22C249008B}"/>
    <hyperlink ref="I1533" location="'20'!$U$78" display="$U$78 20" xr:uid="{9C0DE7DA-2386-4819-8DC4-D0F0533519F0}"/>
    <hyperlink ref="I1534" location="'20'!$U$28" display="$U$28 20" xr:uid="{22D04B82-CA81-4C92-9751-B09E071F0A6A}"/>
    <hyperlink ref="I1535" location="'20'!$U$27" display="$U$27 20" xr:uid="{A857FA4D-042C-4BA6-BF33-100242B9660D}"/>
    <hyperlink ref="I1536" location="'20'!$U$50" display="$U$50 20" xr:uid="{C4A003D1-7F4E-4502-88B2-47A360B18EAB}"/>
    <hyperlink ref="I1537" location="'20'!$U$56" display="$U$56 20" xr:uid="{367652EC-5F43-456D-8169-F47746DE23A5}"/>
    <hyperlink ref="I1539" r:id="rId90" location="'20'!$U$78" xr:uid="{9D0547F7-D4EA-4225-B3D1-B398C080DFA6}"/>
    <hyperlink ref="I1540" location="'20'!$V$78" display="$V$78 20" xr:uid="{E76DCA92-4A1D-4A48-BA07-618E8A41C07F}"/>
    <hyperlink ref="I1541" location="'20'!$W$78" display="$W$78 20" xr:uid="{1A70F498-9511-45C3-A842-E3E45A97124F}"/>
    <hyperlink ref="I1542" location="'20'!$X$51" display="$X$51 20" xr:uid="{BB3AB5A9-B0A9-40A1-9A35-8F2252CBC65D}"/>
    <hyperlink ref="I1543" location="'20'!$X$21" display="$X$21 20" xr:uid="{079B5F59-E40D-418C-B54B-F320597A791A}"/>
    <hyperlink ref="I1544" location="'20'!$Y$79" display="$Y$79 20" xr:uid="{499669B4-DC88-4B17-8A61-7C64535B638B}"/>
    <hyperlink ref="I1545" location="'20'!$Y$78" display="$Y$78 20" xr:uid="{DE9EDB9C-1057-441E-9D57-E31076515EBA}"/>
    <hyperlink ref="I1546" location="'20'!$Y$64" display="$Y$64 20" xr:uid="{8B2130B4-841F-4A6A-AF64-D43F17F7A093}"/>
    <hyperlink ref="I1547" location="'20'!$Y$62" display="$Y$62 20" xr:uid="{25699FA9-66C9-435F-BE60-2762019D848D}"/>
    <hyperlink ref="I1548" location="'20'!$Y$47" display="$Y$47 20" xr:uid="{BDFCF022-F3D4-4CB5-A2F2-61BB673F955E}"/>
    <hyperlink ref="I1549" location="'20'!$Y$50" display="$Y$50 20" xr:uid="{40504854-1DBB-4910-8154-76314321485E}"/>
    <hyperlink ref="I1550" location="'20'!$Y$51" display="$Y$51 20" xr:uid="{486E62FE-E4A9-4EA8-8E5A-50186F2A8B23}"/>
    <hyperlink ref="I1551" location="'20'!$Y$24" display="$Y$24 20" xr:uid="{7BFB365F-2651-4884-B43A-34CA59CF0055}"/>
    <hyperlink ref="I1553" location="'20'!$Y$21" display="$Y$21 20" xr:uid="{06209CFD-0638-43BD-A9AE-684BCB7B03E2}"/>
    <hyperlink ref="I1554" r:id="rId91" location="'20'!$Y$21" xr:uid="{A02627EE-2E9B-4C75-BFA3-447FA9D2A151}"/>
    <hyperlink ref="I1555" location="'20'!$Z$50" display="$Z$50 20" xr:uid="{226ECB99-2E16-4C0B-A941-D4FE1BA26E2B}"/>
    <hyperlink ref="I1556" location="'20'!$Z$19" display="$Z$19 20" xr:uid="{B1436EE3-B088-4BBF-8353-C41809DFC1F1}"/>
    <hyperlink ref="I1557" location="'20'!$AA$21" display="$AA$21 20" xr:uid="{2CA7E4BB-2D84-4BCF-9C38-BBA5EF15AC8B}"/>
    <hyperlink ref="I1558" location="'20'!$AB$24" display="$AB$24 20" xr:uid="{1766C9D5-C2B4-4EA0-B277-5198B4C4FBA3}"/>
    <hyperlink ref="I1559" location="'21'!$F$15" display="$F$15 21" xr:uid="{8CA3AF16-1537-41E2-9604-66584AC68026}"/>
    <hyperlink ref="I1560" location="'21'!$G$62" display="$G$62 21" xr:uid="{628B75E2-106B-4A11-B629-D5EE8C3AC486}"/>
    <hyperlink ref="I1561" location="'21'!$G$63" display="$G$63 21" xr:uid="{CC80667B-1BD4-45BA-9474-BE1FC300F852}"/>
    <hyperlink ref="I1562" location="'21'!$H$28" display="$H$28 21" xr:uid="{BC665766-A8DA-4D9C-ABFD-930803415699}"/>
    <hyperlink ref="I1563" location="'21'!$J$62" display="$J$62 21" xr:uid="{0D855AE5-44B1-42DE-B02F-97C7F4B2D804}"/>
    <hyperlink ref="I1564" location="'21'!$J$64" display="$J$64 21" xr:uid="{4D57FF48-DA1F-4FFC-BE61-28BB90E2B5E9}"/>
    <hyperlink ref="I1565" location="'21'!$K$62" display="$K$62 21" xr:uid="{C72CC46B-1F9C-40CD-885F-6EF58C3700C9}"/>
    <hyperlink ref="I1566" location="'21'!$K$64" display="$K$64 21" xr:uid="{D41AFEE4-8AEC-4867-A796-B66EBDCB8984}"/>
    <hyperlink ref="I1567" location="'21'!$L$48" display="$L$48 21" xr:uid="{B95AF9A8-E37B-4867-B0E7-55D9078CD96E}"/>
    <hyperlink ref="I1568" location="'21'!$L$51" display="$L$51 21" xr:uid="{07769E1F-7296-4DE8-8E4D-D2ADBA1C3C5C}"/>
    <hyperlink ref="I1569" location="'21'!$L$56" display="$L$56 21" xr:uid="{1C00C829-2421-4CC7-B955-01E383B00C23}"/>
    <hyperlink ref="I1571" location="'21'!$L$27" display="$L$27 21" xr:uid="{E179E26C-F5D4-4948-BFC1-AC144C23D2D4}"/>
    <hyperlink ref="I1572" location="'21'!$L$15" display="$L$15 21" xr:uid="{9258CD78-3104-48C8-8A3A-D1BBD3F3DF54}"/>
    <hyperlink ref="I1574" location="'21'!$L$14" display="$L$14 21" xr:uid="{8CD25CF4-E340-42E7-A72C-DF2FF810AD32}"/>
    <hyperlink ref="I1575" r:id="rId92" location="'21'!$L$47" xr:uid="{D1FA253F-052C-431B-88F9-F5748FAA8C78}"/>
    <hyperlink ref="I1577" location="'21'!$M$63" display="$M$63 21" xr:uid="{B853DA68-097A-4074-97C8-7310881B883D}"/>
    <hyperlink ref="I1578" location="'21'!$M$64" display="$M$64 21" xr:uid="{21CE1FD3-4946-44F7-9C1A-C2D9B8730D7B}"/>
    <hyperlink ref="I1579" location="'21'!$M$47" display="$M$47 21" xr:uid="{9DFFB501-0DCE-45BD-96E9-9FE01F7AAA74}"/>
    <hyperlink ref="I1580" location="'21'!$N$78" display="$N$78 21" xr:uid="{DFD76468-D874-4BD1-8663-46E59227A08A}"/>
    <hyperlink ref="I1581" location="'21'!$N$79" display="$N$79 21" xr:uid="{6C39D8E3-E7A9-43B3-A321-105FF5E2CC4B}"/>
    <hyperlink ref="I1582" location="'21'!$N$21" display="$N$21 21" xr:uid="{06922B9E-3681-4FDC-8E24-92971A93965D}"/>
    <hyperlink ref="I1583" location="'21'!$N$50" display="$N$50 21" xr:uid="{E63A15B8-793C-4452-9508-D80C62A91CEC}"/>
    <hyperlink ref="I1585" location="'21'!$N$14" display="$N$14 21" xr:uid="{44986271-4C4E-40D8-834D-554DDDEB9B08}"/>
    <hyperlink ref="I1586" location="'21'!$O$19" display="$O$19 21" xr:uid="{1647B25A-B831-45CA-BB2C-27067B19D04A}"/>
    <hyperlink ref="I1587" location="'21'!$O$56" display="$O$56 21" xr:uid="{3ECB9DDA-A089-4918-AB1F-B06CF7EC9323}"/>
    <hyperlink ref="I1588" location="'21'!$O$51" display="$O$51 21" xr:uid="{18287937-6493-49C8-8D37-B090F3E01D94}"/>
    <hyperlink ref="I1589" location="'21'!$P$47" display="$P$47 21" xr:uid="{D0DD55B0-3504-4FED-A73A-4785509F2F42}"/>
    <hyperlink ref="I1590" location="'21'!$P$24" display="$P$24 21" xr:uid="{8E6ADFA2-5DBF-4736-AB50-0F7179D9BD10}"/>
    <hyperlink ref="I1591" location="'21'!$Q$56" display="$Q$56 21" xr:uid="{3A532685-E04F-4678-B296-F62C4EEFE1F8}"/>
    <hyperlink ref="I1592" location="'21'!$Q$50" display="$Q$50 21" xr:uid="{91BFC6B4-53D4-4187-9051-C43BE9E58361}"/>
    <hyperlink ref="I1593" r:id="rId93" location="'21'!$Q$56" xr:uid="{A271A603-D03D-439F-BFEB-1D54A13D459B}"/>
    <hyperlink ref="I1594" location="'21'!$Q$48" display="$Q$48 21" xr:uid="{ABF79E2B-C683-42CE-9794-D43BAAE7F4C2}"/>
    <hyperlink ref="I1595" location="'21'!$R$48" display="$R$48 21" xr:uid="{F7880F3D-F878-47FB-B82D-089E9E290CDC}"/>
    <hyperlink ref="I1596" location="'21'!$R$51" display="$R$51 21" xr:uid="{25344F3C-042E-4B93-BFD0-881D13F1FF9A}"/>
    <hyperlink ref="I1597" location="'21'!$R$47" display="$R$47 21" xr:uid="{9711C5AB-F95F-4A73-AA0B-823540BBCA09}"/>
    <hyperlink ref="I1598" location="'21'!$R$50" display="$R$50 21" xr:uid="{8BF3762F-5435-4BCC-8BF0-2E253F3388E3}"/>
    <hyperlink ref="I1599" location="'21'!$R$19" display="$R$19 21" xr:uid="{B90B5748-9501-4F4C-A4F9-E8843C673987}"/>
    <hyperlink ref="I1600" r:id="rId94" location="'21'!$R$19" xr:uid="{958778F7-04DC-466A-8E61-17835415C0E8}"/>
    <hyperlink ref="I1601" location="'21'!$R$56" display="$R$56 21" xr:uid="{9BFF2C98-A34E-4E1E-BD4E-2C6DFBC2DC61}"/>
    <hyperlink ref="I1602" r:id="rId95" location="'21'!$R$51" xr:uid="{2A51941D-69A6-4C65-90D2-5CD34B1F9F29}"/>
    <hyperlink ref="I1603" r:id="rId96" location="'21'!$R$47" xr:uid="{C3830826-74BD-4A18-A5E8-DA54B498F7B4}"/>
    <hyperlink ref="I1604" r:id="rId97" location="'21'!$R$50" xr:uid="{E454C442-3E1E-4AAC-984A-216E83D0F98A}"/>
    <hyperlink ref="I1605" r:id="rId98" location="'21'!$R$56" xr:uid="{3C46C48F-1AE5-4F35-9A59-D62DB588E8B3}"/>
    <hyperlink ref="I1606" location="'21'!$S$48" display="$S$48 21" xr:uid="{FE03BFF7-2586-439F-AB64-06E559C7D7A8}"/>
    <hyperlink ref="I1607" location="'21'!$S$40" display="$S$40 21" xr:uid="{6E7B4CED-13B1-4F86-B797-9C7DD38629E6}"/>
    <hyperlink ref="I1608" location="'21'!$S$64" display="$S$64 21" xr:uid="{5F203E11-70B5-4F79-BADA-D10B187BAFBE}"/>
    <hyperlink ref="I1610" location="'21'!$S$29" display="$S$29 21" xr:uid="{025EA1B0-8553-4C9A-BE80-BFB73390A1AF}"/>
    <hyperlink ref="I1612" location="'21'!$S$28" display="$S$28 21" xr:uid="{E50B43DD-1738-4B8B-B6D1-45031DD42E29}"/>
    <hyperlink ref="I1613" location="'21'!$S$51" display="$S$51 21" xr:uid="{CCF5F3FA-99FC-40A1-BB7E-00CD9A76E590}"/>
    <hyperlink ref="I1614" location="'21'!$S$47" display="$S$47 21" xr:uid="{DD88C4DD-9767-4D84-917A-4DA0A9469D31}"/>
    <hyperlink ref="I1615" location="'21'!$S$27" display="$S$27 21" xr:uid="{6613052D-2E79-4EB1-9545-051CCA4FAC85}"/>
    <hyperlink ref="I1616" location="'21'!$T$51" display="$T$51 21" xr:uid="{93AC401C-A61E-4404-91DF-D47874444D11}"/>
    <hyperlink ref="I1617" location="'21'!$T$47" display="$T$47 21" xr:uid="{70F487B4-1F30-44C5-9014-7CAAF9998511}"/>
    <hyperlink ref="I1618" location="'21'!$T$62" display="$T$62 21" xr:uid="{E68E1F7C-8C9F-482C-8FA2-068B63D6D061}"/>
    <hyperlink ref="I1619" location="'21'!$T$48" display="$T$48 21" xr:uid="{DE064DA2-A5CD-41EC-9B95-B064766FCE74}"/>
    <hyperlink ref="I1620" location="'21'!$U$40" display="$U$40 21" xr:uid="{AA2B52F1-D68E-42C7-A52F-7F52A884B18E}"/>
    <hyperlink ref="I1622" location="'21'!$U$48" display="$U$48 21" xr:uid="{07AABB9A-BD68-4AD0-AC38-15CB8DE52F35}"/>
    <hyperlink ref="I1623" location="'21'!$U$51" display="$U$51 21" xr:uid="{8DB8EB5F-396C-4F0B-9100-7F409A070C61}"/>
    <hyperlink ref="I1624" location="'21'!$U$47" display="$U$47 21" xr:uid="{623B6898-88A2-4037-91C4-84B7175AD522}"/>
    <hyperlink ref="I1625" location="'21'!$U$50" display="$U$50 21" xr:uid="{CA394B1F-4C23-4833-9EDA-98F53764A03A}"/>
    <hyperlink ref="I1626" location="'21'!$U$56" display="$U$56 21" xr:uid="{0E9A81C8-3679-400E-A318-3D07B15A15A1}"/>
    <hyperlink ref="I1627" location="'21'!$V$51" display="$V$51 21" xr:uid="{A826B17D-C975-474D-80E3-FD1A9F689D05}"/>
    <hyperlink ref="I1628" location="'21'!$W$47" display="$W$47 21" xr:uid="{43527476-D6B3-4F69-A509-5BF1812C049E}"/>
    <hyperlink ref="I1629" location="'21'!$W$50" display="$W$50 21" xr:uid="{1E76DA0C-8015-46E8-8BC2-CE25CABA6415}"/>
    <hyperlink ref="I1630" location="'21'!$W$51" display="$W$51 21" xr:uid="{6298B386-7992-46D4-A724-6938AE0252E2}"/>
    <hyperlink ref="I1631" location="'21'!$X$47" display="$X$47 21" xr:uid="{13A86389-C20B-4446-BA28-71ED490A6ACF}"/>
    <hyperlink ref="I1632" location="'21'!$X$50" display="$X$50 21" xr:uid="{11ECF9DF-D8CC-4490-B1AD-1B725B06C590}"/>
    <hyperlink ref="I1633" location="'21'!$X$29" display="$X$29 21" xr:uid="{DCA30F77-A3D9-4B20-9383-E2908C4C3F09}"/>
    <hyperlink ref="I1634" location="'21'!$Y$62" display="$Y$62 21" xr:uid="{8A373309-32F8-4792-AE93-0C2471DCEE37}"/>
    <hyperlink ref="I1635" location="'21'!$Y$63" display="$Y$63 21" xr:uid="{6F6CEF4F-A7C6-4A2F-B4FC-03EDCE843CC2}"/>
    <hyperlink ref="I1636" location="'21'!$Y$79" display="$Y$79 21" xr:uid="{1F0BE2C8-1C75-48F6-81B9-7A9A83C981E1}"/>
    <hyperlink ref="I1637" location="'21'!$Y$78" display="$Y$78 21" xr:uid="{67C550C2-04BB-4E35-B943-1FEF7A5A8C6E}"/>
    <hyperlink ref="I1638" location="'21'!$Z$19" display="$Z$19 21" xr:uid="{53626D24-D3CD-4D8E-AF5D-4992C15B231F}"/>
    <hyperlink ref="I1639" location="'21'!$AA$24" display="$AA$24 21" xr:uid="{C23C7755-1A4F-4977-BAAA-599FA24D4718}"/>
    <hyperlink ref="I1640" location="'21'!$AB$50" display="$AB$50 21" xr:uid="{9001E542-9F16-4955-AC5E-9A77F93F1796}"/>
    <hyperlink ref="I1641" location="'21'!$AB$51" display="$AB$51 21" xr:uid="{D9A75D57-88E1-43C8-AC91-630559FADDBB}"/>
    <hyperlink ref="I1642" location="'21'!$AB$56" display="$AB$56 21" xr:uid="{992DBEC5-10D8-4933-9F7A-DC5A5BB999DC}"/>
    <hyperlink ref="I1643" location="'21'!$AB$14" display="$AB$14 21" xr:uid="{918C8A67-4B70-42E0-ADBE-426F830B4EA0}"/>
    <hyperlink ref="I1644" location="'21'!$AC$50" display="$AC$50 21" xr:uid="{E70B3359-5D18-4C34-BC37-09419598743D}"/>
    <hyperlink ref="I1645" location="'21'!$AC$56" display="$AC$56 21" xr:uid="{06225BA4-5B57-41AB-83B0-D4905F1EF9B7}"/>
    <hyperlink ref="I1646" location="'21'!$AC$51" display="$AC$51 21" xr:uid="{70468407-2FC9-43D3-BDFE-5122E625B027}"/>
    <hyperlink ref="I1647" location="'22'!$G$28" display="$G$28 22" xr:uid="{8B302F55-6E57-4436-B71A-13350C7F8FFE}"/>
    <hyperlink ref="I1648" location="'22'!$I$14" display="$I$14 22" xr:uid="{AA2C9230-BFC1-4ABC-85B8-3FC6B62226DD}"/>
    <hyperlink ref="I1649" location="'22'!$J$15" display="$J$15 22" xr:uid="{F868C7F6-083D-42F3-8697-89CD5A7E5C10}"/>
    <hyperlink ref="I1650" location="'22'!$L$47" display="$L$47 22" xr:uid="{3E34BA44-54F5-4732-91A2-6D30B99AA609}"/>
    <hyperlink ref="I1651" location="'22'!$L$27" display="$L$27 22" xr:uid="{0B4E63DF-6312-416D-B00D-06A3D4369B50}"/>
    <hyperlink ref="I1653" location="'22'!$L$50" display="$L$50 22" xr:uid="{6D5924A0-168D-4D5A-81C9-60A44DB042DC}"/>
    <hyperlink ref="I1654" location="'22'!$M$78" display="$M$78 22" xr:uid="{B7E46B17-ED80-478C-8C28-99EEBE26193C}"/>
    <hyperlink ref="I1655" location="'22'!$M$79" display="$M$79 22" xr:uid="{5961325F-8612-4AE0-80EA-C8A29946AF05}"/>
    <hyperlink ref="I1656" location="'22'!$G$63" display="$G$63 22" xr:uid="{C63F7518-71B0-460F-B0DB-AA6426E5432D}"/>
    <hyperlink ref="I1657" location="'22'!$G$64" display="$G$64 22" xr:uid="{7B849C82-26DD-4AD3-8093-87B79A66E5C4}"/>
    <hyperlink ref="I1658" location="'22'!$M$64" display="$M$64 22" xr:uid="{D7BB7FC8-3E23-441D-940E-756D1DC8BB18}"/>
    <hyperlink ref="I1659" location="'22'!$M$62" display="$M$62 22" xr:uid="{7AB47178-20F3-4E38-B957-2C9A93A7FDFE}"/>
    <hyperlink ref="I1660" location="'22'!$M$56" display="$M$56 22" xr:uid="{FAD82900-B6EE-445E-B565-6C0C7D1B99A4}"/>
    <hyperlink ref="I1661" location="'22'!$M$50" display="$M$50 22" xr:uid="{AC6260C2-6BBB-408B-9E4E-1B65F9A36060}"/>
    <hyperlink ref="I1663" location="'22'!$N$51" display="$N$51 22" xr:uid="{62E8FBC9-6B7A-4112-A519-BA6FF338E6D4}"/>
    <hyperlink ref="I1664" location="'22'!$N$47" display="$N$47 22" xr:uid="{D86D1F1D-9D48-40D5-AF1D-B215041FF711}"/>
    <hyperlink ref="I1665" location="'22'!$N$50" display="$N$50 22" xr:uid="{DDB34509-8CC5-4A06-827A-E85719F6CE1F}"/>
    <hyperlink ref="I1666" location="'22'!$N$15" display="$N$15 22" xr:uid="{DC6BA7B5-49F1-4179-A228-C6F132D01669}"/>
    <hyperlink ref="I1667" location="'22'!$N$56" display="$N$56 22" xr:uid="{1F03651F-9682-4A36-8851-4BE5D9325C4C}"/>
    <hyperlink ref="I1668" location="'22'!$O$48" display="$O$48 22" xr:uid="{228BDBA9-8966-47E6-8F25-04F64775FF8B}"/>
    <hyperlink ref="I1669" location="'22'!$O$19" display="$O$19 22" xr:uid="{118B22D5-7C16-4FE0-841B-257D6BB62E6E}"/>
    <hyperlink ref="I1671" location="'22'!$O$51" display="$O$51 22" xr:uid="{701D813B-3E40-478E-BD42-8A73F07B21F2}"/>
    <hyperlink ref="I1672" location="'22'!$O$47" display="$O$47 22" xr:uid="{DA0CC344-6158-4611-A614-BDD6A2D8318A}"/>
    <hyperlink ref="I1673" location="'22'!$O$50" display="$O$50 22" xr:uid="{612D33BC-CAA4-4D8B-94C0-E87907D7F90C}"/>
    <hyperlink ref="I1674" location="'22'!$O$24" display="$O$24 22" xr:uid="{E6DF6870-8A98-4EDB-8077-029EC1D5E967}"/>
    <hyperlink ref="I1675" location="'22'!$O$56" display="$O$56 22" xr:uid="{2F4DF2BF-CF73-448A-9178-6604CBE2D847}"/>
    <hyperlink ref="I1676" location="'22'!$P$51" display="$P$51 22" xr:uid="{B7862412-DC23-497D-9CE0-EB0E121E4CAF}"/>
    <hyperlink ref="I1677" location="'22'!$P$47" display="$P$47 22" xr:uid="{603C3822-7F99-41AB-A50F-BE69570DFA51}"/>
    <hyperlink ref="I1678" location="'22'!$P$50" display="$P$50 22" xr:uid="{31376424-C556-413F-A959-1E4BCF5D1D36}"/>
    <hyperlink ref="I1679" location="'22'!$P$56" display="$P$56 22" xr:uid="{20AECBF7-9D56-43D2-AC89-60605AFF9B70}"/>
    <hyperlink ref="I1680" location="'22'!$P$48" display="$P$48 22" xr:uid="{A43A3EFB-7666-48AD-BA59-506607BC6540}"/>
    <hyperlink ref="I1681" location="'22'!$Q$40" display="$Q$40 22" xr:uid="{8606BC33-8133-4FE4-88CA-763ACDC133B9}"/>
    <hyperlink ref="I1682" location="'22'!$Q$29" display="$Q$29 22" xr:uid="{B97B1B6B-B0F7-4F2C-A55C-EDC68486097C}"/>
    <hyperlink ref="I1684" location="'22'!$Q$48" display="$Q$48 22" xr:uid="{18B4CC6C-7359-401B-BBC3-07E6F332F286}"/>
    <hyperlink ref="I1685" location="'22'!$Q$51" display="$Q$51 22" xr:uid="{EF02F3F1-955E-4D26-B21C-FD8DA1996BC5}"/>
    <hyperlink ref="I1686" location="'22'!$R$51" display="$R$51 22" xr:uid="{3B0B2F85-FA05-43CB-8463-BE1337A2F4BE}"/>
    <hyperlink ref="I1687" location="'22'!$R$28" display="$R$28 22" xr:uid="{077C4221-A923-46AD-8D14-5C5D1CFE65E5}"/>
    <hyperlink ref="I1688" location="'22'!$S$27" display="$S$27 22" xr:uid="{11B1C9D7-29F6-4B8E-93D0-A4CECC6CD33A}"/>
    <hyperlink ref="I1689" location="'22'!$S$62" display="$S$62 22" xr:uid="{60D73952-D4F2-43CE-8286-3F0993576976}"/>
    <hyperlink ref="I1690" location="'22'!$S$63" display="$S$63 22" xr:uid="{1F12A503-2A07-4671-89B2-DF752A1B8EF7}"/>
    <hyperlink ref="I1691" location="'22'!$T$48" display="$T$48 22" xr:uid="{FFB33BEC-1051-4112-ACFB-83E6B82A6D7C}"/>
    <hyperlink ref="I1692" location="'22'!$T$40" display="$T$40 22" xr:uid="{B3731498-00D1-42AF-8EEA-F7783647290F}"/>
    <hyperlink ref="I1693" location="'22'!$W$40" display="$W$40 22" xr:uid="{588ECCA7-4DE4-4741-B16A-23950EB3D81D}"/>
    <hyperlink ref="I1694" location="'22'!$W$48" display="$W$48 22" xr:uid="{218FD027-9676-45C3-9D0B-F72D12B2DBCB}"/>
    <hyperlink ref="I1695" location="'22'!$X$51" display="$X$51 22" xr:uid="{07BC9D84-8863-4639-9FE2-6F3B2D4D00CB}"/>
    <hyperlink ref="I1696" location="'22'!$X$29" display="$X$29 22" xr:uid="{6F269BBD-F35E-4507-ACDE-2D58538AE728}"/>
    <hyperlink ref="I1697" r:id="rId99" location="'22'!$X$51" xr:uid="{802E9E05-3D89-4146-87E0-53620FBBD458}"/>
    <hyperlink ref="I1698" location="'22'!$X$48" display="$X$48 22" xr:uid="{5DD4AAC0-D3E0-48F4-A92D-7D60548B502A}"/>
    <hyperlink ref="I1699" location="'22'!$Y$79" display="$Y$79 22" xr:uid="{0351C348-5806-4179-ADAF-314375BD3BBF}"/>
    <hyperlink ref="I1700" location="'22'!$Y$78" display="$Y$78 22" xr:uid="{6C993AD8-3179-4054-A53F-5EF21C62DA23}"/>
    <hyperlink ref="I1701" location="'22'!$Y$29" display="$Y$29 22" xr:uid="{DD9418E6-F561-44FA-8B5D-B1A38CC6E5BE}"/>
    <hyperlink ref="I1702" location="'22'!$Y$48" display="$Y$48 22" xr:uid="{5A21390C-B5E2-42CE-A8BB-7001A22A407D}"/>
    <hyperlink ref="I1703" location="'22'!$Y$51" display="$Y$51 22" xr:uid="{4DA2E332-B6FB-4FCA-A5A1-80D67C452255}"/>
    <hyperlink ref="I1704" location="'22'!$Y$47" display="$Y$47 22" xr:uid="{D9A0DB6D-4CDF-4021-96F4-75196D3FBE25}"/>
    <hyperlink ref="I1705" location="'22'!$Z$63" display="$Z$63 22" xr:uid="{0BD637A9-AC49-4681-A211-2690B5C01235}"/>
    <hyperlink ref="I1706" location="'22'!$Z$64" display="$Z$64 22" xr:uid="{5B9EDEFB-78F3-4181-9D03-823DED3CDA61}"/>
    <hyperlink ref="I1707" location="'22'!$Z$50" display="$Z$50 22" xr:uid="{9B6EBA18-00C0-4E6D-9015-FE4D55838EE5}"/>
    <hyperlink ref="I1708" location="'22'!$AA$56" display="$AA$56 22" xr:uid="{7833094F-B442-4F8F-B9A5-A3FDC9D8FA2A}"/>
    <hyperlink ref="I1709" location="'22'!$AA$47" display="$AA$47 22" xr:uid="{889BADDA-01FE-42BC-ADED-8EAE5C5CAC02}"/>
    <hyperlink ref="I1710" location="'22'!$AA$50" display="$AA$50 22" xr:uid="{8D87A1BC-4AD4-425D-AACB-368F323D734A}"/>
    <hyperlink ref="I1711" r:id="rId100" location="'22'!$AA$56" xr:uid="{A2304A68-3004-476B-BB39-297AFA93616E}"/>
    <hyperlink ref="I1712" location="'22'!$AA$29" display="$AA$29 22" xr:uid="{921590EE-6558-4F2E-86F1-2D97127D6D37}"/>
    <hyperlink ref="I1716" location="'22'!$AB$24" display="$AB$24 22" xr:uid="{A734451F-B222-4902-B2D1-4877F706DBB2}"/>
    <hyperlink ref="I1717" location="'22'!$AC$48" display="$AC$48 22" xr:uid="{3CFE0BFA-8C7A-4D7B-82C6-0920E3AC5184}"/>
    <hyperlink ref="I1718" location="'22'!$AC$19" display="$AC$19 22" xr:uid="{02C9F394-75D5-4B6F-89BD-6323332F3AD0}"/>
    <hyperlink ref="I1720" location="'23'!$G$15" display="$G$15 23" xr:uid="{BA6A7329-2EC9-4778-B9F5-74075CEDDA81}"/>
    <hyperlink ref="I1721" location="'23'!$I$15" display="$I$15 23" xr:uid="{AB3DBB02-31F7-413E-BD09-C9A7223F0098}"/>
    <hyperlink ref="I1722" location="'23'!$I$14" display="$I$14 23" xr:uid="{4156A2D2-00C3-4301-AA7B-08F4CA6075E8}"/>
    <hyperlink ref="I1723" r:id="rId101" location="'23'!$I$14" xr:uid="{1F14CF74-571C-40B6-9E02-D238DC07AB84}"/>
    <hyperlink ref="I1724" location="'23'!$M$27" display="$M$27 23" xr:uid="{FD0BD607-152C-417E-85F4-697C1C48E683}"/>
    <hyperlink ref="I1725" location="'23'!$M$28" display="$M$28 23" xr:uid="{54512B07-7DA2-4A21-A5A9-CF7C3DF7AC28}"/>
    <hyperlink ref="I1726" location="'23'!$M$14" display="$M$14 23" xr:uid="{24C25FCB-CCED-4E07-8731-C63D1382EC0D}"/>
    <hyperlink ref="I1727" location="'23'!$N$48" display="$N$48 23" xr:uid="{2271CE20-F443-43C0-94D4-CEBF7EE41003}"/>
    <hyperlink ref="I1728" location="'23'!$N$51" display="$N$51 23" xr:uid="{B599124E-3DAB-4FB8-94C1-43CC686BD25D}"/>
    <hyperlink ref="I1729" location="'23'!$N$50" display="$N$50 23" xr:uid="{3CB0835F-8C09-4A3B-84F7-020C89702FD3}"/>
    <hyperlink ref="I1730" location="'23'!$N$56" display="$N$56 23" xr:uid="{1E017145-0770-4624-AAD9-9E07F2B5E052}"/>
    <hyperlink ref="I1731" location="'23'!$N$14" display="$N$14 23" xr:uid="{8B47824C-1812-406B-881A-77F5FA925780}"/>
    <hyperlink ref="I1732" location="'23'!$O$40" display="$O$40 23" xr:uid="{6D954551-1445-4B17-94EB-837683248BF3}"/>
    <hyperlink ref="I1733" location="'23'!$O$47" display="$O$47 23" xr:uid="{E1037403-4EE1-4BB3-BA86-5EA3E0F3C94C}"/>
    <hyperlink ref="I1734" location="'23'!$O$19" display="$O$19 23" xr:uid="{D4965249-6070-4CF7-BA38-B2C086918963}"/>
    <hyperlink ref="I1735" location="'23'!$H$64" display="$H$64 23" xr:uid="{584B72DF-8F5E-4C48-B060-492A0F4BC64C}"/>
    <hyperlink ref="I1736" location="'23'!$H$62" display="$H$62 23" xr:uid="{F645124F-A29B-42EB-9328-7288FE24A406}"/>
    <hyperlink ref="I1737" location="'23'!$M$62" display="$M$62 23" xr:uid="{E714AED2-CFDF-4CD9-8C44-F15A4E4E3727}"/>
    <hyperlink ref="I1738" location="'23'!$M$63" display="$M$63 23" xr:uid="{D1677524-CBFF-4F60-8CE0-4818F6CD5469}"/>
    <hyperlink ref="I1739" location="'23'!$O$78" display="$O$78 23" xr:uid="{BC26D8A6-2A10-4841-BC02-8E247BCD7C16}"/>
    <hyperlink ref="I1740" location="'23'!$O$79" display="$O$79 23" xr:uid="{574368DC-C08F-4480-A243-C227DD23A35C}"/>
    <hyperlink ref="I1742" location="'23'!$O$50" display="$O$50 23" xr:uid="{5637C458-A91B-4412-B7EA-B53CC61A022C}"/>
    <hyperlink ref="I1743" location="'23'!$O$56" display="$O$56 23" xr:uid="{C9E84913-0F81-440D-8192-1F660BDE3180}"/>
    <hyperlink ref="I1744" location="'23'!$O$48" display="$O$48 23" xr:uid="{9795D900-E035-43DD-A615-9E912583BB58}"/>
    <hyperlink ref="I1745" location="'23'!$O$51" display="$O$51 23" xr:uid="{076136BC-CD8B-410B-B561-0FC50F7650DB}"/>
    <hyperlink ref="I1746" location="'23'!$O$24" display="$O$24 23" xr:uid="{A402DB85-E82D-469E-9DBB-D4B3C512561E}"/>
    <hyperlink ref="I1747" location="'23'!$P$48" display="$P$48 23" xr:uid="{85CD069F-A8A8-4DAF-A07F-08BE4A7F301F}"/>
    <hyperlink ref="I1748" location="'23'!$P$51" display="$P$51 23" xr:uid="{BE9C9C03-BEB1-42FB-89C6-E9F52E79F4D1}"/>
    <hyperlink ref="I1749" location="'23'!$P$56" display="$P$56 23" xr:uid="{208319DC-96FE-46BF-AE5A-A1F434A7B137}"/>
    <hyperlink ref="I1750" location="'23'!$Q$50" display="$Q$50 23" xr:uid="{B7D914FB-AE8D-4CE4-9735-B833D34A2B9A}"/>
    <hyperlink ref="I1751" location="'23'!$S$63" display="$S$63 23" xr:uid="{C53A4C93-705C-4675-8020-8B5256FD2571}"/>
    <hyperlink ref="I1752" location="'23'!$S$64" display="$S$64 23" xr:uid="{DFBB5D56-45E9-4DC9-A4BF-05D409768002}"/>
    <hyperlink ref="I1753" location="'23'!$S$48" display="$S$48 23" xr:uid="{B9D7CFCF-6FD8-4B7C-B086-D99F5FE557AA}"/>
    <hyperlink ref="I1754" location="'23'!$S$51" display="$S$51 23" xr:uid="{7024AA36-4BF4-4B8B-A152-A093A12A1EF3}"/>
    <hyperlink ref="I1755" location="'23'!$S$50" display="$S$50 23" xr:uid="{992A012B-E3B2-432F-9DE9-F7FFE50DA739}"/>
    <hyperlink ref="I1756" location="'23'!$T$48" display="$T$48 23" xr:uid="{F869449B-4019-4F53-A805-6A7815EF3B43}"/>
    <hyperlink ref="I1757" location="'23'!$T$51" display="$T$51 23" xr:uid="{C2ACC313-F995-4D4A-9332-F12AA46D417E}"/>
    <hyperlink ref="I1758" location="'23'!$T$56" display="$T$56 23" xr:uid="{01E71BC3-81A5-480E-931B-7287543270EA}"/>
    <hyperlink ref="I1759" location="'23'!$U$48" display="$U$48 23" xr:uid="{2D7742B6-7820-4EED-A3F7-E2501866E617}"/>
    <hyperlink ref="I1760" location="'23'!$U$28" display="$U$28 23" xr:uid="{FD0B0420-90F3-4622-A260-790CA655BBC0}"/>
    <hyperlink ref="I1761" location="'23'!$U$50" display="$U$50 23" xr:uid="{1D750156-36F0-48E3-9311-02A111D577DA}"/>
    <hyperlink ref="I1762" location="'23'!$U$27" display="$U$27 23" xr:uid="{22361FE4-822D-4038-A92A-3343F8539BFA}"/>
    <hyperlink ref="I1763" location="'23'!$W$51" display="$W$51 23" xr:uid="{2E09071A-D843-42D6-8768-4B6AA9ED4335}"/>
    <hyperlink ref="I1764" location="'23'!$X$50" display="$X$50 23" xr:uid="{79A6630D-A1B3-4075-B6EA-F32C04C9100A}"/>
    <hyperlink ref="I1765" location="'23'!$Y$64" display="$Y$64 23" xr:uid="{DE68CDA9-1733-4725-BDAE-59704F726B59}"/>
    <hyperlink ref="I1766" location="'23'!$Y$62" display="$Y$62 23" xr:uid="{41A7208B-415C-4178-9561-59E5E033478D}"/>
    <hyperlink ref="I1767" location="'23'!$Y$79" display="$Y$79 23" xr:uid="{DEE7E22F-444C-40CF-BFCA-1CF4B9765B46}"/>
    <hyperlink ref="I1768" location="'23'!$Y$78" display="$Y$78 23" xr:uid="{74EAD833-DD3C-4312-B5BD-4CEA3BAD6896}"/>
    <hyperlink ref="I1769" location="'23'!$Y$47" display="$Y$47 23" xr:uid="{15C53372-DA45-4355-9474-37BAA54560A9}"/>
    <hyperlink ref="I1770" location="'23'!$Y$50" display="$Y$50 23" xr:uid="{CAB52C30-9909-4646-A207-40AC1EE130D4}"/>
    <hyperlink ref="I1771" location="'23'!$Y$56" display="$Y$56 23" xr:uid="{ECEF6565-6B3C-4432-ABD3-859E59381EB0}"/>
    <hyperlink ref="I1772" location="'23'!$Y$48" display="$Y$48 23" xr:uid="{C0405448-B502-42FA-8ED4-F110A8DD72D7}"/>
    <hyperlink ref="I1773" location="'23'!$Z$47" display="$Z$47 23" xr:uid="{C6ADF3F0-2861-4759-819D-5838CC6F02E6}"/>
    <hyperlink ref="I1774" location="'23'!$Z$50" display="$Z$50 23" xr:uid="{F738FE40-A4B0-41E7-806C-29D838838CC1}"/>
    <hyperlink ref="I1775" location="'23'!$Z$56" display="$Z$56 23" xr:uid="{196242AF-A7D2-4C05-91C1-EB585598FF58}"/>
    <hyperlink ref="I1776" location="'23'!$Z$48" display="$Z$48 23" xr:uid="{1C71A507-97AC-452E-BDF3-84AE20A8C37F}"/>
    <hyperlink ref="I1777" location="'23'!$AA$29" display="$AA$29 23" xr:uid="{6D433D48-74E8-49D2-A778-1EA6AED0EBA5}"/>
    <hyperlink ref="I1778" location="'23'!$AA$19" display="$AA$19 23" xr:uid="{718DFD6C-471A-488B-B75E-3C03B056833A}"/>
    <hyperlink ref="I1779" location="'23'!$AA$51" display="$AA$51 23" xr:uid="{D1A2A9B9-5514-4929-A027-188C452DC0F6}"/>
    <hyperlink ref="I1780" location="'23'!$AB$51" display="$AB$51 23" xr:uid="{F37995E3-089A-4EC1-BA00-BEF22C1D9BEF}"/>
    <hyperlink ref="I1781" location="'23'!$AB$24" display="$AB$24 23" xr:uid="{601DB1E1-539E-49C8-9980-842A27759392}"/>
    <hyperlink ref="I1782" location="'23'!$AB$47" display="$AB$47 23" xr:uid="{AC4A159F-1C49-46DD-815D-873E341B5D23}"/>
    <hyperlink ref="I1783" location="'23'!$AB$50" display="$AB$50 23" xr:uid="{600B8BD2-4AD8-4F6C-B30F-5BC3899B9DFC}"/>
    <hyperlink ref="I1786" location="'23'!$AC$29" display="$AC$29 23" xr:uid="{54C8776C-406F-41C2-A0A6-D66BE0B01496}"/>
    <hyperlink ref="I1787" location="'24'!$G$62" display="$G$62 24" xr:uid="{B5FA5C2F-5816-4317-82C1-D3C632BBA461}"/>
    <hyperlink ref="I1788" location="'24'!$G$63" display="$G$63 24" xr:uid="{B44DE4B7-598F-4392-B16E-64D655573A2C}"/>
    <hyperlink ref="I1789" location="'24'!$H$15" display="$H$15 24" xr:uid="{BE20B6FB-1066-49FD-A8D8-AA3AD525F340}"/>
    <hyperlink ref="I1790" location="'24'!$K$15" display="$K$15 24" xr:uid="{5AF9912B-E78F-4880-B749-A0B0D98F31F5}"/>
    <hyperlink ref="I1791" location="'24'!$K$16" display="$K$16 24" xr:uid="{211799BE-4845-45B2-BBA0-28FECB2CAC4C}"/>
    <hyperlink ref="I1792" location="'24'!$M$63" display="$M$63 24" xr:uid="{BDF670F9-635B-443E-868E-97A1571162E6}"/>
    <hyperlink ref="I1793" location="'24'!$M$64" display="$M$64 24" xr:uid="{CC30C3BB-FB44-45A2-AB25-AD1E1C6FD51F}"/>
    <hyperlink ref="I1794" location="'24'!$M$27" display="$M$27 24" xr:uid="{00D5C458-8197-4C28-96C1-83CB28CE72E5}"/>
    <hyperlink ref="I1795" location="'24'!$M$28" display="$M$28 24" xr:uid="{97F672D1-726B-4802-8C56-2BE4EEA85D6B}"/>
    <hyperlink ref="I1796" location="'24'!$N$78" display="$N$78 24" xr:uid="{9309C8C8-495D-4E9F-819D-65F8545F8E36}"/>
    <hyperlink ref="I1797" location="'24'!$N$79" display="$N$79 24" xr:uid="{91D20D2C-E6EA-43A9-A679-090221DF9453}"/>
    <hyperlink ref="I1798" location="'24'!$N$16" display="$N$16 24" xr:uid="{0FC6879E-8023-4959-B8C7-FAB3CB9A30CA}"/>
    <hyperlink ref="I1799" location="'24'!$N$50" display="$N$50 24" xr:uid="{B1051E8C-58A7-4AE8-AF04-B9ADEF9DB84F}"/>
    <hyperlink ref="I1800" location="'24'!$N$56" display="$N$56 24" xr:uid="{A14089EF-BAC2-4951-A88F-2016CBD1A5E9}"/>
    <hyperlink ref="I1803" location="'24'!$O$48" display="$O$48 24" xr:uid="{51D1FF55-5EB9-4B60-BAE1-DB4443077047}"/>
    <hyperlink ref="I1804" location="'24'!$O$51" display="$O$51 24" xr:uid="{05E96195-DEBC-4677-BEB8-7F14E31A7D1E}"/>
    <hyperlink ref="I1805" location="'24'!$O$47" display="$O$47 24" xr:uid="{70409D08-E225-4312-8D40-1AD689F78708}"/>
    <hyperlink ref="I1806" location="'24'!$O$19" display="$O$19 24" xr:uid="{014FCE78-3FE4-4473-9AAC-44C1BD971845}"/>
    <hyperlink ref="I1809" location="'24'!$P$50" display="$P$50 24" xr:uid="{DB0625C3-DD91-42B4-93F9-D36C6E4AB415}"/>
    <hyperlink ref="I1810" location="'24'!$P$56" display="$P$56 24" xr:uid="{3664D5C2-28AA-4D62-B5A5-62F89B8C4C66}"/>
    <hyperlink ref="I1811" location="'24'!$P$48" display="$P$48 24" xr:uid="{38BA567A-BDF9-460E-8524-D61E7A9E2946}"/>
    <hyperlink ref="I1812" location="'24'!$P$24" display="$P$24 24" xr:uid="{221C2B22-03E4-4BD8-AE8E-B5BB95A66DC4}"/>
    <hyperlink ref="I1813" location="'24'!$P$47" display="$P$47 24" xr:uid="{715A3E04-C13C-4D0A-BC2E-25CB6E40F8CC}"/>
    <hyperlink ref="I1815" location="'24'!$P$51" display="$P$51 24" xr:uid="{49622034-A01D-4F9D-AFAB-3B64523BB0BF}"/>
    <hyperlink ref="I1816" r:id="rId102" location="'24'!$P$47" xr:uid="{96AAB0F6-A654-47CB-A0B5-9A77C00C53E6}"/>
    <hyperlink ref="I1817" location="'24'!$R$50" display="$R$50 24" xr:uid="{4CE84968-CFDD-472A-B9E9-113855F0D2BA}"/>
    <hyperlink ref="I1818" location="'24'!$R$56" display="$R$56 24" xr:uid="{D0270B03-FCC2-4C15-84A8-C9F0FDEF1CB5}"/>
    <hyperlink ref="I1819" location="'24'!$S$48" display="$S$48 24" xr:uid="{5BBB1010-8344-4B60-99F6-0623A6897770}"/>
    <hyperlink ref="I1820" location="'24'!$S$64" display="$S$64 24" xr:uid="{3D77D017-3C75-4D8B-8396-57DC7BEA4681}"/>
    <hyperlink ref="I1821" location="'24'!$S$62" display="$S$62 24" xr:uid="{DAEA41C5-578D-485D-A48C-F1ACCC16A753}"/>
    <hyperlink ref="I1822" location="'24'!$S$51" display="$S$51 24" xr:uid="{E60F7C00-524E-47EB-BC7C-B88F0D887167}"/>
    <hyperlink ref="I1823" location="'24'!$T$56" display="$T$56 24" xr:uid="{F2B9086E-6B5A-4B93-BFC8-8E4888AE59D4}"/>
    <hyperlink ref="I1824" location="'24'!$T$28" display="$T$28 24" xr:uid="{0D160A32-A2F8-4862-BCF3-668B98BD7FE7}"/>
    <hyperlink ref="I1825" location="'24'!$T$27" display="$T$27 24" xr:uid="{F6ADA9AA-1E0E-43D7-903B-F2322D2E57B3}"/>
    <hyperlink ref="I1826" location="'24'!$U$48" display="$U$48 24" xr:uid="{F49BC67F-AF55-433C-BC96-A654BC7A0442}"/>
    <hyperlink ref="I1827" location="'24'!$V$47" display="$V$47 24" xr:uid="{49B24E13-7467-428B-A907-B384744759A0}"/>
    <hyperlink ref="I1828" location="'24'!$V$50" display="$V$50 24" xr:uid="{45341754-3D3C-4A35-B657-32E3C0A57BB4}"/>
    <hyperlink ref="I1829" location="'24'!$W$56" display="$W$56 24" xr:uid="{BFC5C420-9C17-4E9B-AC64-B990681E9B59}"/>
    <hyperlink ref="I1830" location="'24'!$W$51" display="$W$51 24" xr:uid="{B966F91F-3F31-46B1-BA85-EFE2D09F5CC5}"/>
    <hyperlink ref="I1831" location="'24'!$X$48" display="$X$48 24" xr:uid="{A0675158-76A5-4324-8D23-FDD3D973D1D3}"/>
    <hyperlink ref="I1832" location="'24'!$X$51" display="$X$51 24" xr:uid="{D65C07DB-3708-4691-99DB-DB865F8EF482}"/>
    <hyperlink ref="I1833" location="'24'!$X$47" display="$X$47 24" xr:uid="{413D02A9-BDF5-48E1-917E-0B191141A113}"/>
    <hyperlink ref="I1834" location="'24'!$Y$79" display="$Y$79 24" xr:uid="{C298F3A3-C661-4423-91E5-3B87A3C2C591}"/>
    <hyperlink ref="I1835" location="'24'!$Y$78" display="$Y$78 24" xr:uid="{8A23A4AF-D4C3-44F4-ADE7-589D74255834}"/>
    <hyperlink ref="I1836" location="'24'!$Y$50" display="$Y$50 24" xr:uid="{B217EED3-F608-4825-9BB2-5F0764BC4E2B}"/>
    <hyperlink ref="I1837" location="'24'!$Y$62" display="$Y$62 24" xr:uid="{D5CA40C9-42C4-4251-B0B0-8B812D0E1664}"/>
    <hyperlink ref="I1838" location="'24'!$Y$63" display="$Y$63 24" xr:uid="{6D84B674-5B9D-4A95-A126-EA9EDA1EA20A}"/>
    <hyperlink ref="I1839" location="'24'!$Y$48" display="$Y$48 24" xr:uid="{3DDE4C98-DAA0-4E36-B336-C611655E9941}"/>
    <hyperlink ref="I1840" location="'24'!$Y$40" display="$Y$40 24" xr:uid="{C18D7339-51FF-4F36-833A-8F28A9FA2899}"/>
    <hyperlink ref="I1841" location="'24'!$Z$51" display="$Z$51 24" xr:uid="{99D1E64A-FF19-407D-87D3-17E6E5186938}"/>
    <hyperlink ref="I1842" location="'24'!$Z$40" display="$Z$40 24" xr:uid="{B8B73B1C-45B7-4929-87A7-20A620AB75A4}"/>
    <hyperlink ref="I1843" location="'24'!$Z$47" display="$Z$47 24" xr:uid="{29A00AB6-7234-4C9C-9C2D-4AC2F3C60FD5}"/>
    <hyperlink ref="I1844" location="'24'!$Z$50" display="$Z$50 24" xr:uid="{E95642FD-9248-491B-8470-DFD6272102EB}"/>
    <hyperlink ref="I1845" location="'24'!$Y$56" display="$Y$56 24" xr:uid="{F7C4F9E4-1313-41B6-AF7B-EE8DA4943BBF}"/>
    <hyperlink ref="I1846" location="'24'!$Z$56" display="$Z$56 24" xr:uid="{A4BD2591-AB5E-4103-9324-E5FEF8990C73}"/>
    <hyperlink ref="I1847" location="'24'!$Z$48" display="$Z$48 24" xr:uid="{093082B4-0AC2-4445-A776-F5D7CCB1BCC2}"/>
    <hyperlink ref="I1849" location="'24'!$AA$47" display="$AA$47 24" xr:uid="{E46A0375-61C6-4483-B049-54657EA2E3F8}"/>
    <hyperlink ref="I1850" location="'24'!$AA$48" display="$AA$48 24" xr:uid="{4AD513DE-EF66-49D7-A470-323482DD8A75}"/>
    <hyperlink ref="I1851" location="'24'!$AA$50" display="$AA$50 24" xr:uid="{6A3D9415-A375-4F31-A498-FF4957340066}"/>
    <hyperlink ref="I1852" location="'24'!$AA$51" display="$AA$51 24" xr:uid="{2AAE6BF6-FC4E-4C95-B97A-42BB5B05F14C}"/>
    <hyperlink ref="I1853" location="'24'!$AA$56" display="$AA$56 24" xr:uid="{A6097F81-F5B7-43A7-9C8D-4AF561FB65E0}"/>
    <hyperlink ref="I1854" location="'24'!$AA$40" display="$AA$40 24" xr:uid="{90DE1D48-25DC-4DC0-AE74-794B737C4AD9}"/>
    <hyperlink ref="I1855" location="'24'!$AA$16" display="$AA$16 24" xr:uid="{495C13E5-56DF-4191-B94C-441078E40533}"/>
    <hyperlink ref="I1856" r:id="rId103" location="'24'!$AA$16" xr:uid="{64E72455-2D9D-4F50-9C91-F4010257ABD2}"/>
    <hyperlink ref="I1857" location="'24'!$AB$40" display="$AB$40 24" xr:uid="{E8A4A3A7-A2F3-4427-B5AE-4436EC261168}"/>
    <hyperlink ref="I1858" location="'24'!$AB$47" display="$AB$47 24" xr:uid="{5BF48EDB-1C6B-49E1-89EF-B91BFFA06652}"/>
    <hyperlink ref="I1859" location="'24'!$AB$50" display="$AB$50 24" xr:uid="{DC965817-437E-4417-B223-D6F7DD309CD7}"/>
    <hyperlink ref="I1860" location="'24'!$AB$56" display="$AB$56 24" xr:uid="{4EA3C7D6-2602-4131-9B8D-48BA4C4094A9}"/>
    <hyperlink ref="I1861" location="'24'!$AB$48" display="$AB$48 24" xr:uid="{EA3A2045-1D89-4AE7-A89D-7D33F5A5D90A}"/>
    <hyperlink ref="I1862" location="'24'!$AB$51" display="$AB$51 24" xr:uid="{A6897BA4-BACF-41FA-9623-1104D6163C7D}"/>
    <hyperlink ref="I1863" location="'24'!$AC$47" display="$AC$47 24" xr:uid="{585027B9-7333-4C30-855C-25A517A19E72}"/>
    <hyperlink ref="I1864" location="'24'!$AC$50" display="$AC$50 24" xr:uid="{CE83A65F-2DCE-4A78-9EAD-0FD9E4DD2DCB}"/>
    <hyperlink ref="I1865" location="'24'!$AC$19" display="$AC$19 24" xr:uid="{AD6D0A10-0A7C-442D-8598-5F093A10E85F}"/>
    <hyperlink ref="I1868" location="'25'!$F$24" display="$F$24 25" xr:uid="{B94C5EC1-05FE-48E2-A396-71A1EF07F8B5}"/>
    <hyperlink ref="I1869" location="'25'!$G$63" display="$G$63 25" xr:uid="{CB717CF3-B182-4574-BD0F-8568FF664F66}"/>
    <hyperlink ref="I1870" location="'25'!$G$64" display="$G$64 25" xr:uid="{497A17CD-031D-4BCF-9C6D-E20A300AFB7C}"/>
    <hyperlink ref="I1871" location="'25'!$H$28" display="$H$28 25" xr:uid="{20959BC9-4A2B-4E13-8119-26FEFFD3A848}"/>
    <hyperlink ref="I1872" location="'25'!$L$56" display="$L$56 25" xr:uid="{AC0AB91D-BC6A-4139-BA2C-7B991ABB12F8}"/>
    <hyperlink ref="I1873" location="'25'!$L$50" display="$L$50 25" xr:uid="{DA9C8E74-3699-468C-89B1-6FA824C42DB2}"/>
    <hyperlink ref="I1874" location="'25'!$M$50" display="$M$50 25" xr:uid="{43CF1488-ED27-4790-8DE7-79F5FB592841}"/>
    <hyperlink ref="I1875" location="'25'!$M$19" display="$M$19 25" xr:uid="{6EB90E1A-7B43-4C18-B9EA-49B7F838CC81}"/>
    <hyperlink ref="I1876" location="'25'!$M$56" display="$M$56 25" xr:uid="{ACFA3786-2FCD-44D1-89AB-19D04625A6F3}"/>
    <hyperlink ref="I1877" location="'25'!$M$27" display="$M$27 25" xr:uid="{ACB25C1C-DC35-44D6-BDB4-11ECF9F31745}"/>
    <hyperlink ref="I1878" location="'25'!$N$16" display="$N$16 25" xr:uid="{8CD22748-E4E2-424A-A56B-EB591DB4ACCB}"/>
    <hyperlink ref="I1879" location="'25'!$N$56" display="$N$56 25" xr:uid="{34ECA627-8E1A-43D6-B99D-06112869DBBD}"/>
    <hyperlink ref="I1880" location="'25'!$N$51" display="$N$51 25" xr:uid="{30E3C23F-03C5-4937-883F-9C81AC461282}"/>
    <hyperlink ref="I1881" location="'25'!$N$48" display="$N$48 25" xr:uid="{C21C36CA-45D4-4C07-A794-4410C76B73A5}"/>
    <hyperlink ref="I1882" location="'25'!$N$47" display="$N$47 25" xr:uid="{A03A1352-22D3-478B-8322-937A6029CCEF}"/>
    <hyperlink ref="I1883" location="'25'!$O$50" display="$O$50 25" xr:uid="{DC2E8F04-1805-48F0-B9F5-9CF3D660E976}"/>
    <hyperlink ref="I1884" location="'25'!$O$56" display="$O$56 25" xr:uid="{35C8B9B8-35A6-45F1-A29E-CE9491D19F81}"/>
    <hyperlink ref="I1885" location="'25'!$O$48" display="$O$48 25" xr:uid="{469EE41E-12B4-4D22-A51B-4D081EE740BE}"/>
    <hyperlink ref="I1886" location="'25'!$O$24" display="$O$24 25" xr:uid="{6F3E0D0E-7548-4F0E-B60A-626301CEE3FA}"/>
    <hyperlink ref="I1887" location="'25'!$O$51" display="$O$51 25" xr:uid="{0D41BFAA-6DFC-4A50-B738-F759882473BC}"/>
    <hyperlink ref="I1888" location="'25'!$O$47" display="$O$47 25" xr:uid="{FC32EC27-914D-46D1-B8B3-70871579C4BD}"/>
    <hyperlink ref="I1890" location="'25'!$P$56" display="$P$56 25" xr:uid="{AD418B20-FCC8-4FF7-AE0E-ACAD8842C458}"/>
    <hyperlink ref="I1891" location="'25'!$P$50" display="$P$50 25" xr:uid="{76A0B6B3-F7C3-422E-A1BB-DA9A45ADE0D6}"/>
    <hyperlink ref="I1892" location="'25'!$P$48" display="$P$48 25" xr:uid="{9268E2E6-E0C6-486D-834B-D6C2DEE050F3}"/>
    <hyperlink ref="I1893" location="'25'!$P$51" display="$P$51 25" xr:uid="{F3110D1C-AC27-49AC-A2D6-9A22A0C3D9D2}"/>
    <hyperlink ref="I1894" location="'25'!$P$29" display="$P$29 25" xr:uid="{EBE69C2C-3311-4AE6-86F7-C7C61CF7A629}"/>
    <hyperlink ref="I1898" location="'25'!$M$78" display="$M$78 25" xr:uid="{61D73734-7A2F-4E6C-AABE-E3770EA7904F}"/>
    <hyperlink ref="I1899" location="'25'!$M$79" display="$M$79 25" xr:uid="{7DDBAC1A-B2BA-49F0-A174-304D2EF104EB}"/>
    <hyperlink ref="I1900" location="'25'!$M$64" display="$M$64 25" xr:uid="{97F35527-4D12-4510-8C1B-0BD64F06B702}"/>
    <hyperlink ref="I1901" location="'25'!$M$62" display="$M$62 25" xr:uid="{436E8741-D5B2-40CB-B155-FEE04B4A8E38}"/>
    <hyperlink ref="I1902" location="'25'!$Q$47" display="$Q$47 25" xr:uid="{F8431F6A-0597-44EF-A62F-E458CC07D550}"/>
    <hyperlink ref="I1903" location="'25'!$R$51" display="$R$51 25" xr:uid="{00BEF4B6-0154-4BB5-A6E2-B51C36FE1934}"/>
    <hyperlink ref="I1904" location="'25'!$R$47" display="$R$47 25" xr:uid="{55A46C95-CF1E-47CC-ADDA-834622C3BDBA}"/>
    <hyperlink ref="I1905" location="'25'!$S$62" display="$S$62 25" xr:uid="{E62F8DC2-A4AC-409E-B7BB-CFD40DCCF456}"/>
    <hyperlink ref="I1906" location="'25'!$S$63" display="$S$63 25" xr:uid="{6463F93D-5188-48FF-97CF-B329C51FB449}"/>
    <hyperlink ref="I1907" location="'25'!$S$29" display="$S$29 25" xr:uid="{AECEDB4C-E2B9-4A63-B786-91950B444150}"/>
    <hyperlink ref="I1908" location="'25'!$S$50" display="$S$50 25" xr:uid="{7873C864-AFE4-4D11-A318-79E7D9A74DFA}"/>
    <hyperlink ref="I1909" location="'25'!$S$56" display="$S$56 25" xr:uid="{AC44080A-0216-4036-A52C-0FA35B13E2B9}"/>
    <hyperlink ref="I1910" location="'25'!$S$28" display="$S$28 25" xr:uid="{9E7D243B-31EC-4979-B054-10F2638A46AD}"/>
    <hyperlink ref="I1911" location="'25'!$S$27" display="$S$27 25" xr:uid="{7FE22900-ABFC-477D-9E2A-1DAD07C5CB9E}"/>
    <hyperlink ref="I1912" location="'25'!$S$48" display="$S$48 25" xr:uid="{76313BAD-6D86-4130-B45D-75BA2D343E66}"/>
    <hyperlink ref="I1913" location="'25'!$T$51" display="$T$51 25" xr:uid="{63DA70A2-8031-4DDE-A3C3-CA9BE47908FE}"/>
    <hyperlink ref="I1914" location="'25'!$T$50" display="$T$50 25" xr:uid="{A0700F4D-D385-4EDD-B44B-9BBF8E3D889D}"/>
    <hyperlink ref="I1915" location="'25'!$U$20" display="$U$20 25" xr:uid="{34EAE915-E0BE-444B-A7DA-844AA8196B3C}"/>
    <hyperlink ref="I1916" r:id="rId104" location="'25'!$U$20" xr:uid="{EDAAA7BD-6C5C-46BE-AF8D-EE8B9630345F}"/>
    <hyperlink ref="I1917" location="'25'!$U$56" display="$U$56 25" xr:uid="{F9FF9085-F455-488E-BD29-072AC8F1C8FB}"/>
    <hyperlink ref="I1918" location="'25'!$U$19" display="$U$19 25" xr:uid="{1A384164-FF2D-483A-8819-3388CBCF94B6}"/>
    <hyperlink ref="I1919" r:id="rId105" location="'25'!$U$19" xr:uid="{23C7379D-56D9-46C6-8689-E3D4422F7EDB}"/>
    <hyperlink ref="I1921" r:id="rId106" location="'25'!$U$20" xr:uid="{5D0D6CB0-80C0-4A65-80B6-8AF42E232090}"/>
    <hyperlink ref="I1922" location="'25'!$U$48" display="$U$48 25" xr:uid="{D5D35C52-C65C-431B-A119-DF0FA710DCE1}"/>
    <hyperlink ref="I1923" location="'25'!$U$51" display="$U$51 25" xr:uid="{F889B252-3062-4D19-A2DC-B9659178335B}"/>
    <hyperlink ref="I1925" location="'25'!$W$20" display="$W$20 25" xr:uid="{3108E051-E932-4988-B2DE-91C07F7A1B2A}"/>
    <hyperlink ref="I1926" r:id="rId107" location="'25'!$W$20" xr:uid="{16813390-AAC6-4E68-9E03-0097E70449F4}"/>
    <hyperlink ref="I1927" location="'25'!$Y$79" display="$Y$79 25" xr:uid="{A2A07764-2DD6-40D9-9A55-0D09D40F22D6}"/>
    <hyperlink ref="I1928" location="'25'!$Y$78" display="$Y$78 25" xr:uid="{80DCC33B-50F4-4886-B488-AEA72022E8B7}"/>
    <hyperlink ref="I1929" location="'25'!$Y$63" display="$Y$63 25" xr:uid="{A11E3D28-EC7B-4B4F-91EA-EF409C254491}"/>
    <hyperlink ref="I1930" location="'25'!$Y$64" display="$Y$64 25" xr:uid="{2CDFDAA2-1216-4A4C-80EF-FBA0A589DDE3}"/>
    <hyperlink ref="I1931" location="'25'!$Z$20" display="$Z$20 25" xr:uid="{0B816C63-8DEF-4DF4-AB64-195AB511F619}"/>
    <hyperlink ref="I1932" r:id="rId108" location="'25'!$Z$20" xr:uid="{52BB5358-FEFB-4B4D-B4BB-A891AEA2A551}"/>
    <hyperlink ref="I1933" location="'25'!$AA$24" display="$AA$24 25" xr:uid="{8771F977-C3B6-499B-947E-C845C1DC4ACB}"/>
    <hyperlink ref="I1934" location="'25'!$AC$14" display="$AC$14 25" xr:uid="{323E2BAF-9F6E-4158-9C08-FF570AB32DEF}"/>
    <hyperlink ref="I1935" location="'26'!$F$28" display="$F$28 26" xr:uid="{CF0E4408-827A-4290-8AF8-B13C7390AED2}"/>
    <hyperlink ref="I1936" location="'26'!$H$64" display="$H$64 26" xr:uid="{16BF31F1-FDA2-4652-B1A5-2363452AF110}"/>
    <hyperlink ref="I1937" location="'26'!$H$62" display="$H$62 26" xr:uid="{114BC789-C50C-48F7-9F88-D325D5E70288}"/>
    <hyperlink ref="I1938" location="'26'!$I$14" display="$I$14 26" xr:uid="{D3A27350-FBD7-4E42-AC73-2B9B160E18BE}"/>
    <hyperlink ref="I1939" location="'26'!$I$15" display="$I$15 26" xr:uid="{4D100525-06D8-4F80-8AD1-0DF5E11F18B8}"/>
    <hyperlink ref="I1940" location="'26'!$K$79" display="$K$79 26" xr:uid="{EF2617DA-9139-4ABF-BA2C-D82226B13B9F}"/>
    <hyperlink ref="I1941" location="'26'!$L$15" display="$L$15 26" xr:uid="{BF6C4896-9DCB-41CB-A564-D61FA262B257}"/>
    <hyperlink ref="I1942" location="'26'!$L$78" display="$L$78 26" xr:uid="{8160BF5D-484A-4C4E-BD62-8C72FC060B79}"/>
    <hyperlink ref="I1943" location="'26'!$M$62" display="$M$62 26" xr:uid="{D82C75C3-7E5E-4D4F-8DEB-501480A4FBB6}"/>
    <hyperlink ref="I1944" location="'26'!$M$63" display="$M$63 26" xr:uid="{14931924-C24D-44C1-8D06-E2D4EFD59F3F}"/>
    <hyperlink ref="I1945" location="'26'!$M$15" display="$M$15 26" xr:uid="{E1F82018-E28C-44A6-BB8F-E1B6A1E0884D}"/>
    <hyperlink ref="I1946" location="'26'!$N$27" display="$N$27 26" xr:uid="{B0228F61-FB3D-434A-B711-D8E1B28CE0A0}"/>
    <hyperlink ref="I1947" location="'26'!$O$15" display="$O$15 26" xr:uid="{E606CDDC-4D5D-40BC-8AA5-3A875B2364D8}"/>
    <hyperlink ref="I1948" location="'26'!$O$47" display="$O$47 26" xr:uid="{775C07BF-071D-4C45-87FE-ED7EDE49A015}"/>
    <hyperlink ref="I1949" location="'26'!$O$50" display="$O$50 26" xr:uid="{2F4D5151-1FBA-4335-B078-C7AA85B7A3DF}"/>
    <hyperlink ref="I1950" location="'26'!$P$47" display="$P$47 26" xr:uid="{ED61CF33-BAF6-44CE-A4CD-2281C56ED75B}"/>
    <hyperlink ref="I1951" location="'26'!$P$50" display="$P$50 26" xr:uid="{5C53374B-80A3-4EE4-9783-B788449BA9D5}"/>
    <hyperlink ref="I1952" location="'26'!$Q$56" display="$Q$56 26" xr:uid="{C62AB9CD-4BDA-4352-AD6E-63429731FBDD}"/>
    <hyperlink ref="I1953" location="'26'!$Q$19" display="$Q$19 26" xr:uid="{46C7F592-2363-437D-AF18-066DDFB2D6A9}"/>
    <hyperlink ref="I1955" location="'26'!$R$48" display="$R$48 26" xr:uid="{F1439892-1E9E-4EF2-8395-2EA4E27FD981}"/>
    <hyperlink ref="I1956" location="'26'!$S$51" display="$S$51 26" xr:uid="{CC3EC70C-410A-4293-A29B-A2AE0FE3213A}"/>
    <hyperlink ref="I1957" location="'26'!$S$47" display="$S$47 26" xr:uid="{E16ECCB5-D7AF-43D0-8EF2-F62188F37FB3}"/>
    <hyperlink ref="I1958" location="'26'!$S$50" display="$S$50 26" xr:uid="{FDF9D542-1FFA-49DB-82D2-59090A3272A2}"/>
    <hyperlink ref="I1959" location="'26'!$S$63" display="$S$63 26" xr:uid="{F272BE75-233A-4BAD-B68B-13967C1D03F7}"/>
    <hyperlink ref="I1960" location="'26'!$S$64" display="$S$64 26" xr:uid="{F29412C0-E854-4203-BB6A-70212527DB67}"/>
    <hyperlink ref="I1961" location="'26'!$S$48" display="$S$48 26" xr:uid="{3138A633-F57F-4753-9153-021068391DE6}"/>
    <hyperlink ref="I1964" r:id="rId109" location="'26'!$S$47" xr:uid="{4E9B0F6A-BFFA-4700-890F-80E03D89EDFD}"/>
    <hyperlink ref="I1965" location="'26'!$T$56" display="$T$56 26" xr:uid="{065FA185-11F7-4197-89F0-45F6C9BE32EE}"/>
    <hyperlink ref="I1966" location="'26'!$T$47" display="$T$47 26" xr:uid="{F3C5D02E-802E-4506-BF14-BD0613BAA195}"/>
    <hyperlink ref="I1967" location="'26'!$T$48" display="$T$48 26" xr:uid="{DE7DC61C-643F-4498-A3E6-7EBC43958BC6}"/>
    <hyperlink ref="I1968" location="'26'!$T$50" display="$T$50 26" xr:uid="{0804F7D9-9CBE-406C-9F7F-52F9F1B9D909}"/>
    <hyperlink ref="I1969" location="'26'!$U$28" display="$U$28 26" xr:uid="{CB67160F-1940-4C09-AAC2-09E10E6A1B6C}"/>
    <hyperlink ref="I1970" location="'26'!$U$56" display="$U$56 26" xr:uid="{B9E8EFE1-CC36-4E1E-820D-F3AC767260EE}"/>
    <hyperlink ref="I1971" location="'26'!$U$27" display="$U$27 26" xr:uid="{70E285B5-F109-4D18-AA00-7804936C1FE7}"/>
    <hyperlink ref="I1972" location="'26'!$U$51" display="$U$51 26" xr:uid="{B56601EB-8B59-4D42-91E2-FA0F6AF3B356}"/>
    <hyperlink ref="I1973" location="'26'!$U$47" display="$U$47 26" xr:uid="{C92EF980-F3DB-4289-BF34-B328DEEF209C}"/>
    <hyperlink ref="I1974" location="'26'!$U$50" display="$U$50 26" xr:uid="{2FB1AB9B-D73B-4D2D-9129-BEC0A8A90937}"/>
    <hyperlink ref="I1975" location="'26'!$V$47" display="$V$47 26" xr:uid="{EB50B0B4-1979-44BD-987F-F4109C1441DC}"/>
    <hyperlink ref="I1976" location="'26'!$V$48" display="$V$48 26" xr:uid="{7574D46F-2A73-434E-A6AF-0AFA85D7825C}"/>
    <hyperlink ref="I1977" location="'26'!$V$51" display="$V$51 26" xr:uid="{DA238A8F-C19E-4B4E-B9E8-BCED3B9B4A07}"/>
    <hyperlink ref="I1978" location="'26'!$W$50" display="$W$50 26" xr:uid="{89B5F8F9-3D6B-48BA-BC6E-27815CC13DF1}"/>
    <hyperlink ref="I1979" location="'26'!$X$47" display="$X$47 26" xr:uid="{20836B52-EDB6-48C6-9827-8EE92187FACC}"/>
    <hyperlink ref="I1980" location="'26'!$X$48" display="$X$48 26" xr:uid="{65E5ECFC-3A8C-4E61-A86F-5CF874DF101B}"/>
    <hyperlink ref="I1981" location="'26'!$X$50" display="$X$50 26" xr:uid="{ED258624-98F2-43D3-8246-4E9A9442EBC5}"/>
    <hyperlink ref="I1982" location="'26'!$X$51" display="$X$51 26" xr:uid="{EFA2756D-3426-4FC1-A2FD-D8534005CEF9}"/>
    <hyperlink ref="I1983" location="'26'!$X$56" display="$X$56 26" xr:uid="{4C4171D5-62A9-4AEC-B210-F6749983E5D2}"/>
    <hyperlink ref="I1984" location="'26'!$X$40" display="$X$40 26" xr:uid="{D11EB07E-F77A-4863-AFBC-3BF2FC324797}"/>
    <hyperlink ref="I1985" location="'26'!$X$16" display="$X$16 26" xr:uid="{31BB780D-D3D4-41E4-A766-C529CE6C4995}"/>
    <hyperlink ref="I1986" r:id="rId110" location="'26'!$X$16" xr:uid="{68A6DEB2-24C1-477C-A79C-2D69AEAE13A5}"/>
    <hyperlink ref="I1987" location="'26'!$X$24" display="$X$24 26" xr:uid="{CAB0575E-77FE-4144-97BF-382C59F8C594}"/>
    <hyperlink ref="I1988" location="'26'!$X$19" display="$X$19 26" xr:uid="{D96A40EC-0AE6-42FC-B76B-A116693C7397}"/>
    <hyperlink ref="I1989" r:id="rId111" location="'26'!$X$19" xr:uid="{5B9296E0-7A6C-4188-A036-B10052EA2307}"/>
    <hyperlink ref="I1990" location="'26'!$Y$29" display="$Y$29 26" xr:uid="{1568DB6F-30A1-4091-9696-C0D863742F45}"/>
    <hyperlink ref="I1991" location="'26'!$Y$16" display="$Y$16 26" xr:uid="{7A6CC68B-425F-44EC-A966-7D77BB151D96}"/>
    <hyperlink ref="I1992" location="'26'!$Y$56" display="$Y$56 26" xr:uid="{7FAFEC6F-0AA4-4B3A-9197-F683A5BB36B8}"/>
    <hyperlink ref="I1993" location="'26'!$Y$47" display="$Y$47 26" xr:uid="{D3AC13C4-6E17-4956-B3AD-3D3B321F6B00}"/>
    <hyperlink ref="I1994" location="'26'!$Y$50" display="$Y$50 26" xr:uid="{1FEF4D56-AFC5-44D3-AED5-8CB7DC120DE3}"/>
    <hyperlink ref="I1995" location="'26'!$Y$79" display="$Y$79 26" xr:uid="{0262C8F2-CB0C-4F59-821A-963288E9A774}"/>
    <hyperlink ref="I1996" location="'26'!$Y$78" display="$Y$78 26" xr:uid="{CA45F19C-1D6E-401E-8C04-E7FF6F854412}"/>
    <hyperlink ref="I1997" location="'26'!$Y$64" display="$Y$64 26" xr:uid="{931A3A31-55C9-4D8F-BD17-5E0470144C64}"/>
    <hyperlink ref="I1998" location="'26'!$Y$62" display="$Y$62 26" xr:uid="{C5229604-C0C7-4DCC-9EA5-7B32182E193C}"/>
    <hyperlink ref="I1999" location="'26'!$Z$48" display="$Z$48 26" xr:uid="{109C2433-AC56-47D1-BBF7-C749EFD4EFA3}"/>
    <hyperlink ref="I2000" location="'26'!$Z$40" display="$Z$40 26" xr:uid="{411F1A4B-CD2B-421D-B1CD-1C28CDE7C709}"/>
    <hyperlink ref="I2001" location="'26'!$Z$51" display="$Z$51 26" xr:uid="{8038D29B-6B65-4F00-A9A1-0190D1D7FB54}"/>
    <hyperlink ref="I2002" location="'26'!$AA$29" display="$AA$29 26" xr:uid="{D935EFB6-0ED6-4CFF-BDC8-ADAC3AFEABD0}"/>
    <hyperlink ref="I2003" location="'26'!$AB$24" display="$AB$24 26" xr:uid="{DE7B1B38-065A-432B-9530-8C706AF7F75D}"/>
    <hyperlink ref="I2004" location="'27'!$F$47" display="$F$47 27" xr:uid="{71AADE1A-98C5-4DA6-82DA-ACC927E7B1E4}"/>
    <hyperlink ref="I2005" location="'27'!$F$50" display="$F$50 27" xr:uid="{A1B39C83-AE04-47CC-9DCD-0C7DF9C2F992}"/>
    <hyperlink ref="I2006" location="'27'!$F$15" display="$F$15 27" xr:uid="{FB52B30D-1FF1-4774-B48A-51E92322B120}"/>
    <hyperlink ref="I2009" location="'27'!$F$19" display="$F$19 27" xr:uid="{F34CF9CD-5530-4ACD-BEA2-18E025608664}"/>
    <hyperlink ref="I2010" location="'27'!$G$62" display="$G$62 27" xr:uid="{BFC10D6E-BDEE-4F4B-9A74-4A5DDFD8A976}"/>
    <hyperlink ref="I2011" location="'27'!$G$63" display="$G$63 27" xr:uid="{CCD4176C-B5D7-4559-922C-5E1521391A64}"/>
    <hyperlink ref="I2012" location="'27'!$G$28" display="$G$28 27" xr:uid="{EFE5B849-AE01-4AEB-BFE6-3417A719980F}"/>
    <hyperlink ref="I2013" location="'27'!$L$63" display="$L$63 27" xr:uid="{5B59EF7F-9CDD-4FA1-8F8A-17F811DC7F30}"/>
    <hyperlink ref="I2014" location="'27'!$L$64" display="$L$64 27" xr:uid="{DF19A8E8-CB48-4877-BC2C-F52876FC9A26}"/>
    <hyperlink ref="I2015" location="'27'!$M$78" display="$M$78 27" xr:uid="{E9DC06D3-8733-4523-87E9-9750394B01F7}"/>
    <hyperlink ref="I2016" location="'27'!$M$79" display="$M$79 27" xr:uid="{18A4269C-915B-46A2-B6E6-563CC3CF0032}"/>
    <hyperlink ref="I2017" location="'27'!$M$15" display="$M$15 27" xr:uid="{F34E8514-1E6C-4ACF-ADF1-537E8428EE04}"/>
    <hyperlink ref="I2018" location="'27'!$O$50" display="$O$50 27" xr:uid="{B343CFE6-45D3-4DED-80FC-084FA284D7E7}"/>
    <hyperlink ref="I2019" location="'27'!$O$47" display="$O$47 27" xr:uid="{A43B3A3A-C398-46A6-B31E-DD6D65418561}"/>
    <hyperlink ref="I2020" location="'27'!$O$56" display="$O$56 27" xr:uid="{E0F25A15-1965-497B-8110-9F11C1B55461}"/>
    <hyperlink ref="I2021" location="'27'!$O$27" display="$O$27 27" xr:uid="{0A5E6CB2-7EAE-4B1D-826D-522CD5B9AC24}"/>
    <hyperlink ref="I2024" location="'27'!$O$24" display="$O$24 27" xr:uid="{820AD220-EC1C-4B1D-B4DB-D3CB0B9FC696}"/>
    <hyperlink ref="I2026" location="'27'!$P$48" display="$P$48 27" xr:uid="{7F16590D-B1A5-40FC-9F18-3BB20A13B1CC}"/>
    <hyperlink ref="I2027" location="'27'!$P$51" display="$P$51 27" xr:uid="{3CDECC98-9DE6-43CF-871F-AF054E77197C}"/>
    <hyperlink ref="I2028" location="'27'!$P$20" display="$P$20 27" xr:uid="{ADAE2E87-4B27-47F1-AA92-537C856F516D}"/>
    <hyperlink ref="I2029" location="'27'!$Q$15" display="$Q$15 27" xr:uid="{9D61D17C-D26B-4D4B-AF69-790816E4CABF}"/>
    <hyperlink ref="I2030" location="'27'!$Q$48" display="$Q$48 27" xr:uid="{9A37150A-272C-461C-B0A5-080E2889B880}"/>
    <hyperlink ref="I2031" location="'27'!$Q$51" display="$Q$51 27" xr:uid="{67ED1628-45A3-4B86-854E-62149CFC6DF7}"/>
    <hyperlink ref="I2032" location="'27'!$R$15" display="$R$15 27" xr:uid="{DBF2390F-4BC7-4A82-A81E-AD6D33843EF5}"/>
    <hyperlink ref="I2033" r:id="rId112" location="'27'!$R$15" xr:uid="{EA8367CB-0B58-4366-AF1D-4F5AEC4F70D6}"/>
    <hyperlink ref="I2034" location="'27'!$R$20" display="$R$20 27" xr:uid="{D19C6954-54F4-4811-9FEF-AA99031B868D}"/>
    <hyperlink ref="I2036" location="'27'!$S$64" display="$S$64 27" xr:uid="{1BF121CD-49DB-440C-A3AB-E95036469C60}"/>
    <hyperlink ref="I2037" location="'27'!$S$62" display="$S$62 27" xr:uid="{40CDE4EB-DF6D-490B-ABCD-222881484E47}"/>
    <hyperlink ref="I2038" location="'27'!$U$28" display="$U$28 27" xr:uid="{6E824C5C-AED3-4757-ABDC-328068718E60}"/>
    <hyperlink ref="I2039" location="'27'!$U$27" display="$U$27 27" xr:uid="{AE49F8E2-00B0-4802-BDC7-78726FE314DF}"/>
    <hyperlink ref="I2040" location="'27'!$Y$79" display="$Y$79 27" xr:uid="{CC530F24-8449-4C9E-83A6-736524E44174}"/>
    <hyperlink ref="I2041" location="'27'!$Y$78" display="$Y$78 27" xr:uid="{3C60EE43-2699-414A-B2C4-7C68B8C4F521}"/>
    <hyperlink ref="I2042" location="'27'!$Y$62" display="$Y$62 27" xr:uid="{3A08E74F-4218-4593-B7F6-E6BD531A970E}"/>
    <hyperlink ref="I2043" location="'27'!$Y$63" display="$Y$63 27" xr:uid="{FE545F3E-8601-424E-B0DE-9E60E0A20965}"/>
    <hyperlink ref="I2044" location="'27'!$Y$47" display="$Y$47 27" xr:uid="{02270544-1928-4908-BE01-60C248410906}"/>
    <hyperlink ref="I2045" location="'27'!$Y$50" display="$Y$50 27" xr:uid="{44110D85-C857-4137-979C-C3B6D35840B4}"/>
    <hyperlink ref="I2046" location="'27'!$Y$56" display="$Y$56 27" xr:uid="{140336BB-2011-44A3-99B3-E3A4368F6765}"/>
    <hyperlink ref="I2047" location="'27'!$Y$20" display="$Y$20 27" xr:uid="{85A34F9A-9682-4E99-9430-FFD26F6B98E9}"/>
    <hyperlink ref="I2049" location="'27'!$Z$48" display="$Z$48 27" xr:uid="{4E4B237D-14A1-4003-B827-12D1C7D31E14}"/>
    <hyperlink ref="I2050" location="'27'!$Z$63" display="$Z$63 27" xr:uid="{6C3F74C6-BA01-4D03-B2DD-D24336BB5348}"/>
    <hyperlink ref="I2051" location="'27'!$Z$50" display="$Z$50 27" xr:uid="{CCBAA936-5DF9-42DA-85EC-1F13D6271C53}"/>
    <hyperlink ref="I2052" location="'27'!$Z$56" display="$Z$56 27" xr:uid="{F5D5CC24-86F9-4005-95D0-56049365229D}"/>
    <hyperlink ref="I2054" location="'27'!$AB$24" display="$AB$24 27" xr:uid="{52C66B9F-D397-4B70-93CC-9D9AA437557B}"/>
    <hyperlink ref="I2055" location="'27'!$AC$63" display="$AC$63 27" xr:uid="{02CCF1B3-0AFD-49B6-9B12-8833E3B42306}"/>
    <hyperlink ref="I2056" location="'27'!$AC$20" display="$AC$20 27" xr:uid="{6DB40E1A-BB2A-454E-9FCD-DDC60EDD5278}"/>
    <hyperlink ref="I2057" location="'28'!$F$27" display="$F$27 28" xr:uid="{7FBD6379-329A-4A9E-B64D-D6DD53B7EC17}"/>
    <hyperlink ref="I2058" location="'28'!$F$30" display="$F$30 28" xr:uid="{952DFBA9-EFFB-47D6-949D-076ABF6A5A7C}"/>
    <hyperlink ref="I2059" location="'28'!$G$15" display="$G$15 28" xr:uid="{A20DE632-689C-4E19-B2EC-4BB031085F3D}"/>
    <hyperlink ref="I2060" location="'28'!$J$15" display="$J$15 28" xr:uid="{B9052F09-4A67-44C5-BD3B-66189CE32714}"/>
    <hyperlink ref="I2061" location="'28'!$K$15" display="$K$15 28" xr:uid="{951C6989-422A-406F-B0D2-5C164872E361}"/>
    <hyperlink ref="I2062" location="'28'!$L$51" display="$L$51 28" xr:uid="{1AC4B89A-CE95-4E95-BA8A-94CC27BEAF73}"/>
    <hyperlink ref="I2063" location="'28'!$L$15" display="$L$15 28" xr:uid="{83148B7D-9866-4C63-91D2-D792ADFD8917}"/>
    <hyperlink ref="I2064" location="'28'!$L$47" display="$L$47 28" xr:uid="{7A34325C-1129-4B88-B8C3-83327812A2EC}"/>
    <hyperlink ref="I2065" location="'28'!$L$30" display="$L$30 28" xr:uid="{9FA128AC-15A4-418B-A279-FF055FB90238}"/>
    <hyperlink ref="I2066" location="'28'!$L$50" display="$L$50 28" xr:uid="{0A416D55-572D-4AF9-91EF-D7C1566624D5}"/>
    <hyperlink ref="I2067" location="'28'!$L$20" display="$L$20 28" xr:uid="{EC9AEACA-EC4C-4B90-8BFB-D4D7C737F024}"/>
    <hyperlink ref="I2068" location="'28'!$L$56" display="$L$56 28" xr:uid="{5183AC44-9181-49B5-9C90-570CC3324BAD}"/>
    <hyperlink ref="I2069" location="'28'!$L$48" display="$L$48 28" xr:uid="{1DFE3633-9C31-4F3C-B649-C903BD85365D}"/>
    <hyperlink ref="I2070" location="'28'!$M$30" display="$M$30 28" xr:uid="{0368F9CC-4BFD-4EB6-9245-283B4ACDE1A9}"/>
    <hyperlink ref="I2071" location="'28'!$M$51" display="$M$51 28" xr:uid="{F01CAD2F-03B1-4787-97D0-F905813BD115}"/>
    <hyperlink ref="I2072" location="'28'!$M$47" display="$M$47 28" xr:uid="{63A495D5-A800-4443-A770-1820C1E009F0}"/>
    <hyperlink ref="I2073" location="'28'!$M$24" display="$M$24 28" xr:uid="{F3A0ACE9-F6F0-4DD1-BA15-87BCD4DF9283}"/>
    <hyperlink ref="I2074" location="'28'!$M$50" display="$M$50 28" xr:uid="{91D67C43-7BEF-4103-AA72-2567A6EAE096}"/>
    <hyperlink ref="I2075" location="'28'!$M$56" display="$M$56 28" xr:uid="{E0F9A874-E138-4A57-AA97-D0B1B0AE22B5}"/>
    <hyperlink ref="I2076" location="'28'!$M$48" display="$M$48 28" xr:uid="{1CE0EAE0-930A-4D7B-87C0-29257DECD958}"/>
    <hyperlink ref="I2077" r:id="rId113" location="'28'!$M$30" xr:uid="{343895D1-FD74-48F6-B82D-966295A70459}"/>
    <hyperlink ref="I2078" location="'28'!$M$15" display="$M$15 28" xr:uid="{FF91FBFE-1BAA-44AC-B78E-BF86A93AA861}"/>
    <hyperlink ref="I2080" location="'28'!$N$27" display="$N$27 28" xr:uid="{2793E7FF-469D-43D4-89CD-C1DED6C528D2}"/>
    <hyperlink ref="I2081" location="'28'!$N$16" display="$N$16 28" xr:uid="{20F2797A-FA86-4AFA-8A8B-DC3DDD817B52}"/>
    <hyperlink ref="I2082" location="'28'!$N$30" display="$N$30 28" xr:uid="{C288E988-0A84-45A0-9345-3C68AF66DEE2}"/>
    <hyperlink ref="I2083" r:id="rId114" location="'28'!$N$30" xr:uid="{36F36B41-5A90-4721-BFB2-C110F71C5790}"/>
    <hyperlink ref="I2084" location="'28'!$N$15" display="$N$15 28" xr:uid="{B7DFA2B7-3CF4-442B-98AC-6A1B1CDD30B4}"/>
    <hyperlink ref="I2085" r:id="rId115" location="'28'!$N$15" xr:uid="{78AA6004-D2DF-4622-AD4E-F49516FA7C29}"/>
    <hyperlink ref="I2086" location="'28'!$O$47" display="$O$47 28" xr:uid="{0E3E734A-8D26-4AD8-A3A5-9CE8FEDEEF32}"/>
    <hyperlink ref="I2087" location="'28'!$O$51" display="$O$51 28" xr:uid="{A96E1AC4-99AC-48F0-BEB0-ABC6DA783627}"/>
    <hyperlink ref="I2088" location="'28'!$O$50" display="$O$50 28" xr:uid="{7341A0F5-4728-4A10-A94B-3D12FCFE977F}"/>
    <hyperlink ref="I2089" location="'28'!$O$16" display="$O$16 28" xr:uid="{37E1CDE9-B09F-4FD8-8439-12021DE59C67}"/>
    <hyperlink ref="I2090" location="'28'!$O$56" display="$O$56 28" xr:uid="{368334B4-79C4-4326-8C38-FD55BDA08DC3}"/>
    <hyperlink ref="I2091" location="'28'!$O$78" display="$O$78 28" xr:uid="{75A1E918-642C-4EAD-BC75-E37E5F145C17}"/>
    <hyperlink ref="I2092" location="'28'!$O$79" display="$O$79 28" xr:uid="{D7B0EDF5-7CD9-4BCD-8E0C-373714419AF3}"/>
    <hyperlink ref="I2093" location="'28'!$O$48" display="$O$48 28" xr:uid="{A2758519-45E7-4755-BD01-AA758E7F894B}"/>
    <hyperlink ref="I2094" location="'28'!$O$40" display="$O$40 28" xr:uid="{4AED79E5-6010-4021-9BE5-369865AC6BE8}"/>
    <hyperlink ref="I2098" location="'28'!$P$51" display="$P$51 28" xr:uid="{0AA6898B-D13C-4AFD-BF09-FB7DC44F96A9}"/>
    <hyperlink ref="I2099" location="'28'!$P$47" display="$P$47 28" xr:uid="{B03356EB-9D64-4F25-B246-43117EEAF29C}"/>
    <hyperlink ref="I2100" location="'28'!$H$63" display="$H$63 28" xr:uid="{FAF64C59-406F-4DBE-B2F7-AEC4585E5761}"/>
    <hyperlink ref="I2101" location="'28'!$H$64" display="$H$64 28" xr:uid="{1FB66FEE-418D-46E7-9DB1-05BD871A278C}"/>
    <hyperlink ref="I2102" location="'28'!$P$29" display="$P$29 28" xr:uid="{E8EABE56-36CB-4045-90A1-9A6D8C3411FE}"/>
    <hyperlink ref="I2103" location="'28'!$P$50" display="$P$50 28" xr:uid="{A0A4B6F6-8852-4AC7-9643-BCB117AA849D}"/>
    <hyperlink ref="I2104" location="'28'!$P$56" display="$P$56 28" xr:uid="{39DB2711-B69C-4C14-ACCD-2B104236A131}"/>
    <hyperlink ref="I2105" r:id="rId116" location="'28'!$P$50" xr:uid="{CC58B1EA-351C-4736-929C-C8E3C970D679}"/>
    <hyperlink ref="I2106" location="'28'!$Q$64" display="$Q$64 28" xr:uid="{BE25D3D8-7E7D-4122-9D7D-AAB6C226A45A}"/>
    <hyperlink ref="I2107" location="'28'!$Q$62" display="$Q$62 28" xr:uid="{A8009CD8-0B0B-44D0-B847-C41BC27E630B}"/>
    <hyperlink ref="I2108" location="'28'!$Q$56" display="$Q$56 28" xr:uid="{2E22ECBB-7280-4108-BD6A-B500BE3A675D}"/>
    <hyperlink ref="I2109" location="'28'!$Q$40" display="$Q$40 28" xr:uid="{FCD5A8BC-2306-4EEA-BDC6-508AB29851D0}"/>
    <hyperlink ref="I2110" location="'28'!$R$62" display="$R$62 28" xr:uid="{E29E8E24-8FDB-4CE2-8300-76CFCAD0EEFF}"/>
    <hyperlink ref="I2111" location="'28'!$T$20" display="$T$20 28" xr:uid="{D2D2270E-9EAB-49FE-B66E-26E886EC64EB}"/>
    <hyperlink ref="I2112" location="'28'!$W$40" display="$W$40 28" xr:uid="{ADED7D83-2FE4-45AB-B498-C2EBFC5D2ECD}"/>
    <hyperlink ref="I2113" location="'28'!$W$62" display="$W$62 28" xr:uid="{A0CB45B4-B50D-428D-9B7A-6779CF5CF6B7}"/>
    <hyperlink ref="I2114" location="'28'!$W$48" display="$W$48 28" xr:uid="{EE825269-0F9C-479D-B015-19158F588107}"/>
    <hyperlink ref="I2115" location="'28'!$X$51" display="$X$51 28" xr:uid="{FCF63592-24EA-4ED9-AE20-97F2DAABBFBD}"/>
    <hyperlink ref="I2116" location="'28'!$X$47" display="$X$47 28" xr:uid="{C68BE744-0614-4464-B704-7B809B2CC858}"/>
    <hyperlink ref="I2117" location="'28'!$X$50" display="$X$50 28" xr:uid="{0348D936-6473-4862-A301-DD14DA7D9986}"/>
    <hyperlink ref="I2118" location="'28'!$X$56" display="$X$56 28" xr:uid="{53D2F865-DAC2-4537-A676-10FB74DF2573}"/>
    <hyperlink ref="I2119" location="'28'!$Y$79" display="$Y$79 28" xr:uid="{2A59CFD2-F5AA-4F72-A40A-29EC079E784C}"/>
    <hyperlink ref="I2120" location="'28'!$Y$78" display="$Y$78 28" xr:uid="{5E12317F-D619-47F1-807B-8D41820284E6}"/>
    <hyperlink ref="I2121" location="'28'!$Y$51" display="$Y$51 28" xr:uid="{F6E2E29E-1DDB-4BF6-9461-8ADDC8E84748}"/>
    <hyperlink ref="I2122" location="'28'!$Y$48" display="$Y$48 28" xr:uid="{6E0FC3B3-81C2-4BA7-9779-A5A2ADDCCCFA}"/>
    <hyperlink ref="I2123" location="'28'!$Y$47" display="$Y$47 28" xr:uid="{6B7C0D35-6BC6-4175-80B2-357F64F08EA5}"/>
    <hyperlink ref="I2124" location="'28'!$Y$62" display="$Y$62 28" xr:uid="{2BC58C50-A9EF-419A-94DB-D55289950133}"/>
    <hyperlink ref="I2125" location="'28'!$Z$48" display="$Z$48 28" xr:uid="{E19F9E68-A4E3-4354-97C0-E81D169FAE3D}"/>
    <hyperlink ref="I2126" location="'28'!$Z$51" display="$Z$51 28" xr:uid="{DCFFA8D2-3263-4C84-B764-F60FB6D82DB4}"/>
    <hyperlink ref="I2127" location="'28'!$Z$47" display="$Z$47 28" xr:uid="{B0B74BD1-8721-4304-97D0-27D28029B2C3}"/>
    <hyperlink ref="I2128" location="'28'!$AB$29" display="$AB$29 28" xr:uid="{CFA39A39-6E12-4C40-9F51-65BE83B26D4F}"/>
    <hyperlink ref="I2129" location="'28'!$AB$50" display="$AB$50 28" xr:uid="{09731D45-D38D-418A-B91F-2816F55A00CE}"/>
    <hyperlink ref="I2130" location="'28'!$AB$24" display="$AB$24 28" xr:uid="{5DB150E5-3D5F-4A2A-9C1D-2F59DEF31723}"/>
    <hyperlink ref="I2131" location="'28'!$AC$63" display="$AC$63 28" xr:uid="{F8EDEAC1-2BA9-4B6E-BADB-EB47622883DE}"/>
    <hyperlink ref="I2132" location="'28'!$AC$50" display="$AC$50 28" xr:uid="{D0E3E27E-34CD-4191-9848-FB589C55022C}"/>
    <hyperlink ref="I2133" location="'28'!$AC$20" display="$AC$20 28" xr:uid="{83C1BC08-21E3-41DF-86AA-91CE06EAE861}"/>
    <hyperlink ref="I2134" location="'29'!$F$50" display="$F$50 29" xr:uid="{72EDC23B-1B35-4BF3-850B-ED1DAAC2FDAA}"/>
    <hyperlink ref="I2135" location="'29'!$F$56" display="$F$56 29" xr:uid="{5FBB1198-B5C4-4304-8B9E-B1275849C1CF}"/>
    <hyperlink ref="I2136" location="'29'!$F$48" display="$F$48 29" xr:uid="{58D475F4-94D1-41DA-8118-AC0EAC7E5ACC}"/>
    <hyperlink ref="I2137" location="'29'!$F$51" display="$F$51 29" xr:uid="{14F440FD-9366-4F5F-849D-62DECAF3EE25}"/>
    <hyperlink ref="I2138" location="'29'!$F$47" display="$F$47 29" xr:uid="{9A3E53A2-8C0A-4AD6-B166-2EC639B0A570}"/>
    <hyperlink ref="I2139" location="'29'!$F$14" display="$F$14 29" xr:uid="{1540207E-7CAC-4B99-8F03-EF89832E1BA0}"/>
    <hyperlink ref="I2143" location="'29'!$G$50" display="$G$50 29" xr:uid="{6B2A4C16-684A-44DD-94FA-16D34450FB92}"/>
    <hyperlink ref="I2144" location="'29'!$G$56" display="$G$56 29" xr:uid="{8532661B-19B5-4E0C-8620-656B4C7F6190}"/>
    <hyperlink ref="I2145" location="'29'!$I$14" display="$I$14 29" xr:uid="{CF1F459E-C745-4BC3-9AB0-6AC2DD4AAA41}"/>
    <hyperlink ref="I2146" location="'29'!$J$16" display="$J$16 29" xr:uid="{6609FB0F-B1D9-41D3-8EC6-05BF1E4ECC3B}"/>
    <hyperlink ref="I2147" location="'29'!$J$28" display="$J$28 29" xr:uid="{92FF1BA5-EA09-4CFC-BE96-2FDAEF9B5549}"/>
    <hyperlink ref="I2148" location="'29'!$K$63" display="$K$63 29" xr:uid="{341469D6-013D-4981-84D8-DB0A120D86C9}"/>
    <hyperlink ref="I2149" location="'29'!$K$64" display="$K$64 29" xr:uid="{3F4473C1-3F61-4296-A318-D08335FFF249}"/>
    <hyperlink ref="I2150" location="'29'!$L$47" display="$L$47 29" xr:uid="{1E8A2964-3561-43E8-A4DE-A28417739103}"/>
    <hyperlink ref="I2151" location="'29'!$L$27" display="$L$27 29" xr:uid="{C4621526-7284-4F85-BDE5-69261D0A5904}"/>
    <hyperlink ref="I2153" location="'29'!$L$50" display="$L$50 29" xr:uid="{C7DE45DB-848C-4433-B03B-BB54D5F2114A}"/>
    <hyperlink ref="I2154" location="'29'!$L$48" display="$L$48 29" xr:uid="{D90D07BD-B97B-4FD0-9DC9-0B3D6DE281CD}"/>
    <hyperlink ref="I2155" location="'29'!$M$78" display="$M$78 29" xr:uid="{6661353D-D95E-4CCE-B1B3-1AAED9D55CC8}"/>
    <hyperlink ref="I2156" location="'29'!$M$79" display="$M$79 29" xr:uid="{7DEF1DB9-E9BA-48C6-A7A1-8E009A731AB3}"/>
    <hyperlink ref="I2157" location="'29'!$M$51" display="$M$51 29" xr:uid="{4C18CF90-5606-488C-B64E-A06308386BD0}"/>
    <hyperlink ref="I2158" location="'29'!$M$50" display="$M$50 29" xr:uid="{D6A7C3B5-1562-42D0-8B13-49258B58DBE7}"/>
    <hyperlink ref="I2159" location="'29'!$M$48" display="$M$48 29" xr:uid="{2AB76110-A0E4-42BB-BB3D-AF07B600DBCB}"/>
    <hyperlink ref="I2161" location="'29'!$N$16" display="$N$16 29" xr:uid="{45896E6D-E2D0-4E30-97A3-E0C8A5620DE7}"/>
    <hyperlink ref="I2163" location="'29'!$N$50" display="$N$50 29" xr:uid="{D8769E2C-E03C-4F1A-9D78-82B6BD3841DC}"/>
    <hyperlink ref="I2164" location="'29'!$N$56" display="$N$56 29" xr:uid="{08B58550-CBEA-48B5-A807-B5E63147B97E}"/>
    <hyperlink ref="I2165" location="'29'!$N$48" display="$N$48 29" xr:uid="{91FD8354-507A-4B65-A7D5-4F5EAAB5686B}"/>
    <hyperlink ref="I2166" location="'29'!$N$51" display="$N$51 29" xr:uid="{D18E01E7-DEC8-4F98-955C-5E7FA449183E}"/>
    <hyperlink ref="I2167" r:id="rId117" location="'29'!$N$16" xr:uid="{5A8D7773-EF6F-4460-9E1A-A45D0CB8D565}"/>
    <hyperlink ref="I2168" location="'29'!$O$50" display="$O$50 29" xr:uid="{A866F744-53F8-4C1C-8766-049D5FB93421}"/>
    <hyperlink ref="I2169" location="'29'!$O$56" display="$O$56 29" xr:uid="{EF260AA3-2B92-4102-AA78-624AE80AA884}"/>
    <hyperlink ref="I2170" location="'29'!$O$20" display="$O$20 29" xr:uid="{26A6FFD2-0B91-434B-A2F4-33E2D39A5816}"/>
    <hyperlink ref="I2171" location="'29'!$O$48" display="$O$48 29" xr:uid="{9E842F0A-6BFF-4093-95A3-80265F7BC867}"/>
    <hyperlink ref="I2172" location="'29'!$O$51" display="$O$51 29" xr:uid="{244913BE-0913-4290-AFE2-EEFB1D8243A7}"/>
    <hyperlink ref="I2173" r:id="rId118" location="'29'!$O$50" xr:uid="{C903D17A-1D17-4A19-BE99-A12A05EFFE00}"/>
    <hyperlink ref="I2174" location="'29'!$O$24" display="$O$24 29" xr:uid="{E06F79B4-A469-4FE9-9AD8-82E8F400543B}"/>
    <hyperlink ref="I2176" location="'29'!$P$56" display="$P$56 29" xr:uid="{80BC809A-3AB2-4C06-B432-37A15F12CDD0}"/>
    <hyperlink ref="I2177" location="'29'!$P$48" display="$P$48 29" xr:uid="{2582753F-C881-4739-AF47-FDD99D1FB14E}"/>
    <hyperlink ref="I2178" location="'29'!$P$51" display="$P$51 29" xr:uid="{854C4C0B-62BF-4436-B36D-CDD34D9E94F8}"/>
    <hyperlink ref="I2179" location="'29'!$P$50" display="$P$50 29" xr:uid="{1AB9A02A-C48A-4FF7-AFC4-610E9BF66C3C}"/>
    <hyperlink ref="I2180" location="'29'!$P$47" display="$P$47 29" xr:uid="{B75F04CF-A8B1-4E41-B0D5-E6289B6B62CF}"/>
    <hyperlink ref="I2181" location="'29'!$P$29" display="$P$29 29" xr:uid="{9EBEBBDA-BF4E-49B1-9EF5-C881AFF68991}"/>
    <hyperlink ref="I2184" location="'29'!$R$64" display="$R$64 29" xr:uid="{48203C09-AAE1-43EC-B8CC-B35843C06746}"/>
    <hyperlink ref="I2185" location="'29'!$R$28" display="$R$28 29" xr:uid="{3453C69D-799E-439C-AA16-76CAFA24FAD9}"/>
    <hyperlink ref="I2186" location="'29'!$R$27" display="$R$27 29" xr:uid="{15E7E77C-D1CD-4BC7-A051-41D88A2F13FD}"/>
    <hyperlink ref="I2187" location="'29'!$T$56" display="$T$56 29" xr:uid="{68A9F93B-A98F-49C3-A10A-FB4A09F48DA2}"/>
    <hyperlink ref="I2188" location="'29'!$T$48" display="$T$48 29" xr:uid="{351E45AE-4E18-41A9-A67E-7D0864531944}"/>
    <hyperlink ref="I2189" location="'29'!$U$40" display="$U$40 29" xr:uid="{CF310E9D-5625-45F1-81F3-0833A9C7D977}"/>
    <hyperlink ref="I2190" location="'29'!$W$62" display="$W$62 29" xr:uid="{5479071A-F3EE-4E89-BB32-C20B01D205A2}"/>
    <hyperlink ref="I2191" location="'29'!$W$40" display="$W$40 29" xr:uid="{EDFF6312-1BD6-4943-9A31-5A367A9E7588}"/>
    <hyperlink ref="I2192" location="'29'!$W$51" display="$W$51 29" xr:uid="{B184024B-9C02-4A84-83BD-7D4A14B324D8}"/>
    <hyperlink ref="I2193" location="'29'!$W$47" display="$W$47 29" xr:uid="{F78E39C1-D712-489E-B159-2C6B02032DF7}"/>
    <hyperlink ref="I2194" location="'29'!$W$50" display="$W$50 29" xr:uid="{066B8E30-B189-4C20-B10C-73BF1F19E540}"/>
    <hyperlink ref="I2195" location="'29'!$X$56" display="$X$56 29" xr:uid="{389315E1-2A4F-490F-BA92-A699C2CE8987}"/>
    <hyperlink ref="I2196" location="'29'!$X$48" display="$X$48 29" xr:uid="{40DC091E-6194-48CF-80D3-805FFABA4EEE}"/>
    <hyperlink ref="I2197" location="'29'!$Y$79" display="$Y$79 29" xr:uid="{D9D1CC03-BA75-496A-BEB7-11C2B7E56455}"/>
    <hyperlink ref="I2198" location="'29'!$Y$78" display="$Y$78 29" xr:uid="{1A0DAAA3-E5AA-4256-801E-F1F3101C2463}"/>
    <hyperlink ref="I2199" location="'29'!$Y$62" display="$Y$62 29" xr:uid="{4116ED22-DA01-48FD-B9DB-E3CBAF8FF61E}"/>
    <hyperlink ref="I2200" location="'29'!$AA$15" display="$AA$15 29" xr:uid="{85660F6C-3DCF-4452-AF7F-A34CB315543C}"/>
    <hyperlink ref="I2201" r:id="rId119" location="'29'!$AA$15" xr:uid="{F035A7BD-E434-476F-AC13-FD1594BF03A8}"/>
    <hyperlink ref="I2202" location="'29'!$AA$47" display="$AA$47 29" xr:uid="{ADB586E2-BD26-4B37-B85D-83F765A7F24D}"/>
    <hyperlink ref="I2203" location="'29'!$AA$48" display="$AA$48 29" xr:uid="{F285FBC1-0658-462A-8582-D2BC1E321B5C}"/>
    <hyperlink ref="I2204" location="'29'!$AA$51" display="$AA$51 29" xr:uid="{D10DDCF7-FE82-4C0E-BCD7-05013826F6C6}"/>
    <hyperlink ref="I2208" location="'29'!$AB$62" display="$AB$62 29" xr:uid="{BC9748A8-271F-4B55-812C-FD7B8A262357}"/>
    <hyperlink ref="I2209" location="'29'!$AC$29" display="$AC$29 29" xr:uid="{794F87AE-C77E-42EC-B6EC-D35D68648BAF}"/>
    <hyperlink ref="I2210" location="'30'!$F$24" display="$F$24 30" xr:uid="{6591058E-B343-44AD-840C-7D8EABB2BB40}"/>
    <hyperlink ref="I2211" location="'30'!$G$20" display="$G$20 30" xr:uid="{9A8D466A-1372-44FA-8077-644F989E07A7}"/>
    <hyperlink ref="I2212" location="'30'!$I$62" display="$I$62 30" xr:uid="{16F978C2-F717-428D-A95E-27A22D173DF2}"/>
    <hyperlink ref="I2213" location="'30'!$I$63" display="$I$63 30" xr:uid="{4DD7B6EF-4C11-4AFB-9F9A-4483F7A15066}"/>
    <hyperlink ref="I2214" location="'30'!$J$28" display="$J$28 30" xr:uid="{29692E3A-887B-4D9A-8EB9-A5ED6B981F4C}"/>
    <hyperlink ref="I2215" location="'30'!$K$56" display="$K$56 30" xr:uid="{3417D51B-A5F2-42DC-9B1F-7035820A4549}"/>
    <hyperlink ref="I2216" location="'30'!$L$56" display="$L$56 30" xr:uid="{C9D65492-5D92-415D-ACC8-B6F97139655A}"/>
    <hyperlink ref="I2217" location="'30'!$L$50" display="$L$50 30" xr:uid="{25E895FF-A6B5-4F2B-8736-C45698D7637D}"/>
    <hyperlink ref="I2218" r:id="rId120" location="'30'!$L$56" xr:uid="{DCEE8F71-E5B1-400B-9FCD-AB21ECD1E865}"/>
    <hyperlink ref="I2220" r:id="rId121" location="'30'!$L$50" xr:uid="{53ECDC76-33B4-4734-92B1-CA50A9054C57}"/>
    <hyperlink ref="I2221" location="'30'!$L$48" display="$L$48 30" xr:uid="{94CA68AA-2079-4975-BDEC-CB14BFB51EBF}"/>
    <hyperlink ref="I2222" location="'30'!$L$27" display="$L$27 30" xr:uid="{D1187BDC-7169-4055-909F-1C862D5123F1}"/>
    <hyperlink ref="I2223" location="'30'!$M$50" display="$M$50 30" xr:uid="{82160E3C-1BC0-44F9-ACB7-F85DD2D9B4FC}"/>
    <hyperlink ref="I2224" location="'30'!$M$56" display="$M$56 30" xr:uid="{E6B9B250-4F6B-4F16-B492-6BA0E2265890}"/>
    <hyperlink ref="I2225" location="'30'!$M$48" display="$M$48 30" xr:uid="{1650BB3F-E5C4-4A8D-B824-B20F5B5A7644}"/>
    <hyperlink ref="I2226" location="'30'!$N$51" display="$N$51 30" xr:uid="{2494A095-355E-4EC8-8355-10169BC580B0}"/>
    <hyperlink ref="I2227" location="'30'!$N$20" display="$N$20 30" xr:uid="{2ECED7B8-E207-440D-B5F4-B3852E074EC8}"/>
    <hyperlink ref="I2229" location="'30'!$N$24" display="$N$24 30" xr:uid="{8C5E241D-0961-4D4F-B1A1-56C29F3420D0}"/>
    <hyperlink ref="I2230" location="'30'!$O$50" display="$O$50 30" xr:uid="{5A8E9313-FC2E-4954-BCC1-9824F863DB77}"/>
    <hyperlink ref="I2231" location="'30'!$O$56" display="$O$56 30" xr:uid="{0B7296E5-3518-4337-B6FE-4CA5C54FCE2A}"/>
    <hyperlink ref="I2232" location="'30'!$O$48" display="$O$48 30" xr:uid="{27C3521C-BAAF-4122-AAD3-26CA2BEF7574}"/>
    <hyperlink ref="I2233" location="'30'!$O$29" display="$O$29 30" xr:uid="{189E4287-B8C3-4508-BE96-5FD6BAE0E6E0}"/>
    <hyperlink ref="I2234" location="'30'!$P$47" display="$P$47 30" xr:uid="{182966F3-18C1-4661-B300-AD473383DA5F}"/>
    <hyperlink ref="I2235" location="'30'!$P$40" display="$P$40 30" xr:uid="{B3D599C1-BA89-4B65-A343-CF3A28ECA20E}"/>
    <hyperlink ref="I2236" location="'30'!$P$28" display="$P$28 30" xr:uid="{FD486692-A888-49A3-BD28-8721AE7582B5}"/>
    <hyperlink ref="I2237" location="'30'!$P$51" display="$P$51 30" xr:uid="{7B24EAA0-80DF-4A2D-B334-9BC7A0EBEF95}"/>
    <hyperlink ref="I2238" location="'30'!$O$64" display="$O$64 30" xr:uid="{4DD54B1E-E760-4284-B324-1A803FD3A563}"/>
    <hyperlink ref="I2239" location="'30'!$O$63" display="$O$63 30" xr:uid="{E086A593-AAEA-401A-9A9A-3FF10E1B0E20}"/>
    <hyperlink ref="I2240" location="'30'!$Q$64" display="$Q$64 30" xr:uid="{E5CC80C6-D57A-4F72-ACCC-375322339A74}"/>
    <hyperlink ref="I2241" location="'30'!$R$42" display="$R$42 30" xr:uid="{565015CA-5D7D-4F51-A410-6AD91CCC8715}"/>
    <hyperlink ref="I2242" location="'30'!$S$15" display="$S$15 30" xr:uid="{AA8CE237-69A2-4757-A402-40863D8D1A34}"/>
    <hyperlink ref="I2243" location="'30'!$T$42" display="$T$42 30" xr:uid="{823BF9CB-7B85-4323-BF96-1D00F00343F3}"/>
    <hyperlink ref="I2244" location="'30'!$T$16" display="$T$16 30" xr:uid="{2958A0A5-BF53-40BD-A647-6B07E05164A0}"/>
    <hyperlink ref="I2245" location="'30'!$U$19" display="$U$19 30" xr:uid="{8F5D6D6E-B2DE-4232-88D1-F6865BCADC11}"/>
    <hyperlink ref="I2246" r:id="rId122" location="'30'!$U$19" xr:uid="{F821DE4D-2CE7-4C55-A138-1AA3C485AD14}"/>
    <hyperlink ref="I2247" location="'30'!$U$16" display="$U$16 30" xr:uid="{2C06CCF0-81A5-4897-AD1C-8036D59D1DE8}"/>
    <hyperlink ref="I2248" r:id="rId123" location="'30'!$U$16" xr:uid="{56BB77BA-7EDD-4EE1-AD17-1DF92BFB92F4}"/>
    <hyperlink ref="I2250" r:id="rId124" location="'30'!$U$19" xr:uid="{DCDE3151-497C-4117-9975-0F46F9CE9FBA}"/>
    <hyperlink ref="I2252" r:id="rId125" location="'30'!$U$16" xr:uid="{64F29AB0-F647-482D-A1EA-ACC712EAFE11}"/>
    <hyperlink ref="I2253" location="'30'!$V$19" display="$V$19 30" xr:uid="{354451FE-050C-481E-B666-2B5130C19220}"/>
    <hyperlink ref="I2254" r:id="rId126" location="'30'!$V$19" xr:uid="{FED442D4-219A-4DCE-89B6-D5E767CE43F8}"/>
    <hyperlink ref="I2255" location="'30'!$W$16" display="$W$16 30" xr:uid="{4FCCE362-220D-469A-AACE-F4CA4C6AD71B}"/>
    <hyperlink ref="I2256" r:id="rId127" location="'30'!$W$16" xr:uid="{A5746AE9-4957-4602-A1A1-5C705FAEB3C4}"/>
    <hyperlink ref="I2257" location="'30'!$W$64" display="$W$64 30" xr:uid="{1C85565A-484A-43BD-961F-3100A11813FB}"/>
    <hyperlink ref="I2258" location="'30'!$X$27" display="$X$27 30" xr:uid="{3140BC08-5373-4C8F-9B34-E866343054D6}"/>
    <hyperlink ref="I2259" location="'30'!$X$40" display="$X$40 30" xr:uid="{304A44BD-FA5E-4231-908A-FE8F9AA93767}"/>
    <hyperlink ref="I2260" location="'30'!$X$47" display="$X$47 30" xr:uid="{A8009ECC-F6CF-4EB0-9ED7-DB7394D3B33D}"/>
    <hyperlink ref="I2261" location="'30'!$X$50" display="$X$50 30" xr:uid="{5280D15A-2915-485D-9D67-5D26630D7286}"/>
    <hyperlink ref="I2262" location="'30'!$X$56" display="$X$56 30" xr:uid="{BF47DC99-534E-48B3-9F27-E776CD291137}"/>
    <hyperlink ref="I2263" location="'30'!$X$48" display="$X$48 30" xr:uid="{C5AA338B-BA43-4C38-BC61-91AEFDB51CDE}"/>
    <hyperlink ref="I2264" location="'30'!$X$51" display="$X$51 30" xr:uid="{827E6914-5B54-4644-822B-20CF161F03E9}"/>
    <hyperlink ref="I2265" location="'30'!$O$78" display="$O$78 30" xr:uid="{57BB32F5-DFD7-41F3-89E1-A0D37A08CB57}"/>
    <hyperlink ref="I2266" location="'30'!$O$79" display="$O$79 30" xr:uid="{1BF9C90C-FE42-4A27-9FB2-329AEE738A2D}"/>
    <hyperlink ref="I2267" location="'30'!$Y$79" display="$Y$79 30" xr:uid="{31706ABD-5D08-4D7A-80DC-F587D9123746}"/>
    <hyperlink ref="I2268" location="'30'!$Y$78" display="$Y$78 30" xr:uid="{5C71A79C-CE79-45DF-9DA6-3AD3D4075D92}"/>
    <hyperlink ref="I2269" location="'30'!$Z$64" display="$Z$64 30" xr:uid="{6D221E1D-08A4-404D-902F-E746F80ABEE8}"/>
    <hyperlink ref="I2270" location="'30'!$AA$47" display="$AA$47 30" xr:uid="{E3AF0CC9-5277-4A69-9795-E7B488003BDA}"/>
    <hyperlink ref="I2272" location="'30'!$AB$62" display="$AB$62 30" xr:uid="{4D559B9E-09D2-4A15-A842-6B8BDC8D93C0}"/>
    <hyperlink ref="I2273" location="'30'!$AB$29" display="$AB$29 30" xr:uid="{1FA1A379-38F1-4033-BCB7-FD9984C56BE2}"/>
    <hyperlink ref="I2274" location="'30'!$AB$24" display="$AB$24 30" xr:uid="{317048AE-A860-4782-B3A6-E7403A0BE84D}"/>
    <hyperlink ref="I2275" location="'30'!$AC$19" display="$AC$19 30" xr:uid="{738AA626-BEC0-4596-816C-05239BB3A6CE}"/>
    <hyperlink ref="I2276" location="'30'!$AC$20" display="$AC$20 30" xr:uid="{C7206EC1-78B5-4006-AE84-6C0EEC09F1E3}"/>
    <hyperlink ref="I2277" location="'31'!$G$14" display="$G$14 31" xr:uid="{59F6BC50-E127-4679-8558-5E39B2968B69}"/>
    <hyperlink ref="I2278" location="'31'!$G$50" display="$G$50 31" xr:uid="{71F904E5-DB36-48BC-9B07-9C0FEBAFD974}"/>
    <hyperlink ref="I2279" location="'31'!$G$56" display="$G$56 31" xr:uid="{83C617A4-AA51-4F99-A9B6-CA049F365BEF}"/>
    <hyperlink ref="I2282" location="'31'!$I$14" display="$I$14 31" xr:uid="{DC558352-B9B2-44B8-BA01-0C24688F376C}"/>
    <hyperlink ref="I2283" location="'31'!$I$16" display="$I$16 31" xr:uid="{0B591021-8571-4494-BAAC-D7D6F91540ED}"/>
    <hyperlink ref="I2284" location="'31'!$K$62" display="$K$62 31" xr:uid="{A0DA16B7-FDA0-420E-91D4-48538E2DEFB3}"/>
    <hyperlink ref="I2285" location="'31'!$K$63" display="$K$63 31" xr:uid="{DE37494A-A004-47B5-8700-116ACAA0176E}"/>
    <hyperlink ref="I2286" location="'31'!$L$78" display="$L$78 31" xr:uid="{48ADAA45-36F8-4E2B-9AE3-1A502BDEB06D}"/>
    <hyperlink ref="I2287" location="'31'!$L$79" display="$L$79 31" xr:uid="{4925B485-B720-40B9-A971-09A6EA294C2B}"/>
    <hyperlink ref="I2288" location="'31'!$L$51" display="$L$51 31" xr:uid="{17838550-2E07-4BCA-94BA-C130C1B479FF}"/>
    <hyperlink ref="I2289" location="'31'!$L$48" display="$L$48 31" xr:uid="{16413CC7-F90E-45F5-846E-E02F7AFCC308}"/>
    <hyperlink ref="I2290" location="'31'!$L$56" display="$L$56 31" xr:uid="{A6A1E405-7D02-4D61-8298-92877852B7B5}"/>
    <hyperlink ref="I2291" location="'31'!$L$50" display="$L$50 31" xr:uid="{25C3BF88-549E-45C3-99FA-8BAFDA564B52}"/>
    <hyperlink ref="I2292" location="'31'!$L$47" display="$L$47 31" xr:uid="{017255F1-398C-47AD-9CBF-486D471DB177}"/>
    <hyperlink ref="I2294" location="'31'!$M$50" display="$M$50 31" xr:uid="{3416F4DF-64DB-42B0-BB38-DB210F732FA0}"/>
    <hyperlink ref="I2295" location="'31'!$M$27" display="$M$27 31" xr:uid="{DEA7491C-602A-4234-A223-75AA72C057E6}"/>
    <hyperlink ref="I2296" location="'31'!$M$48" display="$M$48 31" xr:uid="{7B8E2937-53E0-4CAE-ACE6-E52CB3973C66}"/>
    <hyperlink ref="I2297" location="'31'!$M$28" display="$M$28 31" xr:uid="{2B9DCC66-5CB9-4C04-BD5D-81B095E8A0A0}"/>
    <hyperlink ref="I2298" location="'31'!$M$51" display="$M$51 31" xr:uid="{2CFB9128-D61A-4DB8-A3AD-4F17EECEE377}"/>
    <hyperlink ref="I2299" location="'31'!$M$56" display="$M$56 31" xr:uid="{269EDA04-5EF5-444A-AE93-4F8831F5696E}"/>
    <hyperlink ref="I2300" location="'31'!$N$16" display="$N$16 31" xr:uid="{D23F1849-34CF-48BF-8582-91180C439634}"/>
    <hyperlink ref="I2301" location="'31'!$N$50" display="$N$50 31" xr:uid="{2CC3AAF0-D7E1-4064-BE03-2B71DCB5F487}"/>
    <hyperlink ref="I2302" location="'31'!$N$56" display="$N$56 31" xr:uid="{9E6ADE07-6063-4E8F-A743-9D9625CE8EEA}"/>
    <hyperlink ref="I2305" location="'31'!$P$48" display="$P$48 31" xr:uid="{44B2DDB7-9183-4755-AC0D-40DC98F383C0}"/>
    <hyperlink ref="I2306" location="'31'!$P$51" display="$P$51 31" xr:uid="{97EC758F-214D-4607-B160-3BFB081DE22F}"/>
    <hyperlink ref="I2307" location="'31'!$P$50" display="$P$50 31" xr:uid="{57DB3475-1F04-4D1D-987D-EEB0034CF890}"/>
    <hyperlink ref="I2308" location="'31'!$P$56" display="$P$56 31" xr:uid="{37FEEE02-68FE-4752-A8F8-E965BF355373}"/>
    <hyperlink ref="I2309" location="'31'!$P$47" display="$P$47 31" xr:uid="{7D9241FE-184A-4265-845E-8CE648CCCC70}"/>
    <hyperlink ref="I2310" location="'31'!$O$19" display="$O$19 31" xr:uid="{F831AAEC-DE89-46F3-AACD-CCFE09E81DA2}"/>
    <hyperlink ref="I2311" location="'31'!$O$20" display="$O$20 31" xr:uid="{15D878C4-5146-4B24-A4AB-2EE0870CD0FE}"/>
    <hyperlink ref="I2312" location="'31'!$O$48" display="$O$48 31" xr:uid="{3E847361-F86D-4686-AF16-9BA057DEB0A2}"/>
    <hyperlink ref="I2314" location="'31'!$P$24" display="$P$24 31" xr:uid="{D5BB3A3E-1234-4B71-8D59-BB96E2F62F61}"/>
    <hyperlink ref="I2316" r:id="rId128" location="'31'!$P$51" xr:uid="{EA480826-B336-4C59-93FB-2F8A8941C81A}"/>
    <hyperlink ref="I2317" location="'31'!$P$40" display="$P$40 31" xr:uid="{CD721526-E954-41B4-8E50-5E3E511B45EF}"/>
    <hyperlink ref="I2318" location="'31'!$P$29" display="$P$29 31" xr:uid="{A073209F-DA4C-487E-91C5-883F1AABF528}"/>
    <hyperlink ref="I2323" location="'31'!$Q$48" display="$Q$48 31" xr:uid="{5ABDF51E-4A89-44C8-8C3E-912AF73B1D45}"/>
    <hyperlink ref="I2324" location="'31'!$Q$47" display="$Q$47 31" xr:uid="{1A6A4906-3A1E-4DF3-8E02-AE572D7D1474}"/>
    <hyperlink ref="I2325" location="'31'!$Q$50" display="$Q$50 31" xr:uid="{21A7C74D-34A2-49C8-9F6E-D3D200716777}"/>
    <hyperlink ref="I2326" location="'31'!$Q$63" display="$Q$63 31" xr:uid="{B11287AD-DE2C-4F41-B211-CA3402391D29}"/>
    <hyperlink ref="I2327" location="'31'!$Q$56" display="$Q$56 31" xr:uid="{9F369227-8334-4589-8604-0774714431D9}"/>
    <hyperlink ref="I2328" location="'31'!$R$48" display="$R$48 31" xr:uid="{F515CFEF-D54C-4BA7-B0C9-DAFDB67E956C}"/>
    <hyperlink ref="I2329" location="'31'!$S$51" display="$S$51 31" xr:uid="{BC2A8960-2EFC-4B8C-8EBA-7B5A100EB92F}"/>
    <hyperlink ref="I2330" location="'31'!$S$48" display="$S$48 31" xr:uid="{866E8168-0A2F-4573-AE24-91613DCFA617}"/>
    <hyperlink ref="I2331" r:id="rId129" location="'31'!$S$48" xr:uid="{7574A754-4CCE-487C-B85F-1A8ACDF48F2F}"/>
    <hyperlink ref="I2332" r:id="rId130" location="'31'!$S$51" xr:uid="{4962CF86-8A04-42A0-B67C-8EE37936F951}"/>
    <hyperlink ref="I2333" location="'31'!$T$40" display="$T$40 31" xr:uid="{1EE00821-A597-4CA5-A0E5-5EDA1BC31099}"/>
    <hyperlink ref="I2334" location="'31'!$U$28" display="$U$28 31" xr:uid="{449F268E-20EC-4BD6-8049-C3EE0972726A}"/>
    <hyperlink ref="I2335" location="'31'!$U$27" display="$U$27 31" xr:uid="{7C3B313D-E803-4258-A6C9-4894BBF0CE5B}"/>
    <hyperlink ref="I2336" location="'31'!$W$40" display="$W$40 31" xr:uid="{E404ACA7-F3B0-4213-90B2-DFA2E25E30B5}"/>
    <hyperlink ref="I2337" location="'31'!$W$47" display="$W$47 31" xr:uid="{9A580557-5C6D-4D93-B044-DB11F38B3BA8}"/>
    <hyperlink ref="I2338" location="'31'!$X$50" display="$X$50 31" xr:uid="{A4A74D79-134B-4FA8-A392-7B40D0D7B983}"/>
    <hyperlink ref="I2339" location="'31'!$X$56" display="$X$56 31" xr:uid="{A4B9934A-6483-4A1C-AC51-5255D6FEEAB0}"/>
    <hyperlink ref="I2340" location="'31'!$X$48" display="$X$48 31" xr:uid="{DF32950C-C34E-4704-9065-55D6F5DB9F7C}"/>
    <hyperlink ref="I2341" location="'31'!$X$51" display="$X$51 31" xr:uid="{28316D02-881D-421B-B155-538AA6DF9E85}"/>
    <hyperlink ref="I2342" location="'31'!$Y$79" display="$Y$79 31" xr:uid="{56FB9463-5E0D-452B-8AD3-6F042F5EA0ED}"/>
    <hyperlink ref="I2343" location="'31'!$Y$78" display="$Y$78 31" xr:uid="{C9461000-56FC-4708-89C0-0CC9519F6B37}"/>
    <hyperlink ref="I2344" location="'31'!$Z$78" display="$Z$78 31" xr:uid="{D7980230-5BCC-48B1-A75E-831AC3323497}"/>
    <hyperlink ref="I2346" location="'31'!$AB$29" display="$AB$29 31" xr:uid="{72ADE954-FF05-4BA3-9778-6D27B2FCAD03}"/>
    <hyperlink ref="I2347" location="'31'!$AB$24" display="$AB$24 31" xr:uid="{2218FFA5-00DC-4D01-8DAE-BA0AE6A6BEDA}"/>
    <hyperlink ref="I2348" location="'31'!$W$64" display="$W$64 31" xr:uid="{AD43373B-737A-4209-9EBD-881284EEFC90}"/>
    <hyperlink ref="I2349" location="'31'!$Z$64" display="$Z$64 31" xr:uid="{32C7F426-7A4D-4254-8C3B-A2E16EF614DE}"/>
    <hyperlink ref="I2350" location="'31'!$Z$64" display="$Z$64 31" xr:uid="{3E0BB3B5-A712-404C-B7DB-9493F3544CBF}"/>
    <hyperlink ref="I2351" location="'31'!$AC$19" display="$AC$19 31" xr:uid="{AB9BB093-F0EB-4F22-B869-832F9CAC4CFB}"/>
    <hyperlink ref="I2352" location="'31'!$AC$47" display="$AC$47 31" xr:uid="{1D0B3773-42F2-435E-B07F-27544820092D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P678"/>
  <sheetViews>
    <sheetView zoomScale="85" zoomScaleNormal="85" workbookViewId="0">
      <pane xSplit="3" ySplit="2" topLeftCell="D618" activePane="bottomRight" state="frozen"/>
      <selection pane="bottomRight" activeCell="AL628" sqref="AL628"/>
      <selection pane="bottomLeft" activeCell="A3" sqref="A3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21.5703125" style="23" hidden="1" customWidth="1"/>
    <col min="4" max="4" width="12.7109375" style="117" bestFit="1" customWidth="1"/>
    <col min="5" max="5" width="10.28515625" style="117" bestFit="1" customWidth="1"/>
    <col min="6" max="6" width="11" style="117" bestFit="1" customWidth="1"/>
    <col min="7" max="7" width="9" style="117" customWidth="1"/>
    <col min="8" max="8" width="15.7109375" style="117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28515625" style="117" customWidth="1"/>
    <col min="13" max="13" width="9" style="117" customWidth="1"/>
    <col min="14" max="14" width="11.85546875" style="117" customWidth="1"/>
    <col min="15" max="15" width="9" style="117" customWidth="1"/>
    <col min="16" max="16" width="10.28515625" style="117" bestFit="1" customWidth="1"/>
    <col min="17" max="17" width="11.5703125" style="117" bestFit="1" customWidth="1"/>
    <col min="18" max="18" width="12.8554687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117" hidden="1" customWidth="1"/>
    <col min="29" max="29" width="8.85546875" style="117" hidden="1" customWidth="1"/>
    <col min="30" max="30" width="11.7109375" style="117" hidden="1" customWidth="1"/>
    <col min="31" max="31" width="8.85546875" style="117" hidden="1" customWidth="1"/>
    <col min="32" max="32" width="11.7109375" style="104" bestFit="1" customWidth="1"/>
    <col min="33" max="33" width="8.85546875" style="104"/>
    <col min="34" max="34" width="11.5703125" style="104" bestFit="1" customWidth="1"/>
    <col min="35" max="35" width="9" style="104" bestFit="1" customWidth="1"/>
    <col min="36" max="36" width="11.5703125" style="104" bestFit="1" customWidth="1"/>
    <col min="37" max="37" width="9" style="104" bestFit="1" customWidth="1"/>
    <col min="38" max="38" width="8.85546875" style="23"/>
    <col min="39" max="39" width="15.7109375" style="23" customWidth="1"/>
    <col min="40" max="40" width="16.28515625" style="23" customWidth="1"/>
    <col min="41" max="41" width="15.28515625" style="23" customWidth="1"/>
    <col min="42" max="45" width="8.85546875" style="23"/>
    <col min="46" max="46" width="9.85546875" style="23" bestFit="1" customWidth="1"/>
    <col min="47" max="16384" width="8.85546875" style="23"/>
  </cols>
  <sheetData>
    <row r="1" spans="1:42" ht="16.149999999999999" thickBot="1">
      <c r="A1" s="628" t="s">
        <v>119</v>
      </c>
      <c r="B1" s="628" t="s">
        <v>73</v>
      </c>
      <c r="C1" s="108"/>
      <c r="D1" s="645" t="s">
        <v>3243</v>
      </c>
      <c r="E1" s="647"/>
      <c r="F1" s="645" t="s">
        <v>3244</v>
      </c>
      <c r="G1" s="647"/>
      <c r="H1" s="645" t="s">
        <v>27</v>
      </c>
      <c r="I1" s="645"/>
      <c r="J1" s="645"/>
      <c r="K1" s="646"/>
      <c r="L1" s="641" t="s">
        <v>3245</v>
      </c>
      <c r="M1" s="644"/>
      <c r="N1" s="644"/>
      <c r="O1" s="644"/>
      <c r="P1" s="644"/>
      <c r="Q1" s="644"/>
      <c r="R1" s="644"/>
      <c r="S1" s="644"/>
      <c r="T1" s="644"/>
      <c r="U1" s="644"/>
      <c r="V1" s="644"/>
      <c r="W1" s="644"/>
      <c r="X1" s="644"/>
      <c r="Y1" s="644"/>
      <c r="Z1" s="644"/>
      <c r="AA1" s="644"/>
      <c r="AB1" s="644"/>
      <c r="AC1" s="644"/>
      <c r="AD1" s="644"/>
      <c r="AE1" s="644"/>
      <c r="AF1" s="644"/>
      <c r="AG1" s="644"/>
      <c r="AH1" s="644"/>
      <c r="AI1" s="644"/>
      <c r="AJ1" s="644"/>
      <c r="AK1" s="644"/>
      <c r="AM1" s="529" t="s">
        <v>3246</v>
      </c>
      <c r="AN1" s="529" t="s">
        <v>30</v>
      </c>
      <c r="AO1" s="529" t="s">
        <v>31</v>
      </c>
      <c r="AP1" s="529" t="s">
        <v>3247</v>
      </c>
    </row>
    <row r="2" spans="1:42" ht="14.65" customHeight="1" thickBot="1">
      <c r="A2" s="628"/>
      <c r="B2" s="628"/>
      <c r="C2" s="109" t="s">
        <v>3248</v>
      </c>
      <c r="D2" s="641"/>
      <c r="E2" s="643"/>
      <c r="F2" s="641"/>
      <c r="G2" s="643"/>
      <c r="H2" s="641" t="s">
        <v>3249</v>
      </c>
      <c r="I2" s="641"/>
      <c r="J2" s="641" t="s">
        <v>124</v>
      </c>
      <c r="K2" s="642"/>
      <c r="L2" s="641" t="s">
        <v>3250</v>
      </c>
      <c r="M2" s="641"/>
      <c r="N2" s="641" t="s">
        <v>3251</v>
      </c>
      <c r="O2" s="641"/>
      <c r="P2" s="641" t="s">
        <v>3252</v>
      </c>
      <c r="Q2" s="641"/>
      <c r="R2" s="641" t="s">
        <v>3253</v>
      </c>
      <c r="S2" s="641"/>
      <c r="T2" s="641" t="s">
        <v>126</v>
      </c>
      <c r="U2" s="641"/>
      <c r="V2" s="641" t="s">
        <v>3254</v>
      </c>
      <c r="W2" s="641"/>
      <c r="X2" s="641" t="s">
        <v>127</v>
      </c>
      <c r="Y2" s="641"/>
      <c r="Z2" s="641" t="s">
        <v>3255</v>
      </c>
      <c r="AA2" s="642"/>
      <c r="AB2" s="641" t="s">
        <v>3256</v>
      </c>
      <c r="AC2" s="641"/>
      <c r="AD2" s="641" t="s">
        <v>3257</v>
      </c>
      <c r="AE2" s="642"/>
      <c r="AF2" s="641" t="s">
        <v>3258</v>
      </c>
      <c r="AG2" s="643"/>
      <c r="AH2" s="641" t="s">
        <v>3259</v>
      </c>
      <c r="AI2" s="643"/>
      <c r="AJ2" s="641" t="s">
        <v>3260</v>
      </c>
      <c r="AK2" s="643"/>
      <c r="AM2" s="529" t="s">
        <v>3261</v>
      </c>
      <c r="AN2" s="529" t="s">
        <v>3262</v>
      </c>
      <c r="AO2" s="529" t="s">
        <v>3262</v>
      </c>
      <c r="AP2" s="531" t="s">
        <v>3263</v>
      </c>
    </row>
    <row r="3" spans="1:42" ht="15" customHeight="1" thickBot="1">
      <c r="A3" s="628"/>
      <c r="B3" s="628"/>
      <c r="C3" s="109" t="s">
        <v>3264</v>
      </c>
      <c r="D3" s="98" t="s">
        <v>3265</v>
      </c>
      <c r="E3" s="115" t="s">
        <v>3266</v>
      </c>
      <c r="F3" s="98" t="s">
        <v>3265</v>
      </c>
      <c r="G3" s="115" t="s">
        <v>3266</v>
      </c>
      <c r="H3" s="98" t="s">
        <v>3265</v>
      </c>
      <c r="I3" s="98" t="s">
        <v>3266</v>
      </c>
      <c r="J3" s="98" t="s">
        <v>3265</v>
      </c>
      <c r="K3" s="115" t="s">
        <v>3266</v>
      </c>
      <c r="L3" s="98" t="s">
        <v>3265</v>
      </c>
      <c r="M3" s="98" t="s">
        <v>3266</v>
      </c>
      <c r="N3" s="98" t="s">
        <v>3265</v>
      </c>
      <c r="O3" s="98" t="s">
        <v>3266</v>
      </c>
      <c r="P3" s="98" t="s">
        <v>3265</v>
      </c>
      <c r="Q3" s="98" t="s">
        <v>3266</v>
      </c>
      <c r="R3" s="98" t="s">
        <v>3265</v>
      </c>
      <c r="S3" s="98" t="s">
        <v>3266</v>
      </c>
      <c r="T3" s="98" t="s">
        <v>3265</v>
      </c>
      <c r="U3" s="98" t="s">
        <v>3266</v>
      </c>
      <c r="V3" s="98" t="s">
        <v>3265</v>
      </c>
      <c r="W3" s="98" t="s">
        <v>3266</v>
      </c>
      <c r="X3" s="98" t="s">
        <v>3265</v>
      </c>
      <c r="Y3" s="98" t="s">
        <v>3266</v>
      </c>
      <c r="Z3" s="98" t="s">
        <v>3265</v>
      </c>
      <c r="AA3" s="115" t="s">
        <v>3266</v>
      </c>
      <c r="AB3" s="341" t="s">
        <v>3265</v>
      </c>
      <c r="AC3" s="115" t="s">
        <v>3266</v>
      </c>
      <c r="AD3" s="98" t="s">
        <v>3265</v>
      </c>
      <c r="AE3" s="115" t="s">
        <v>3266</v>
      </c>
      <c r="AF3" s="410" t="s">
        <v>3265</v>
      </c>
      <c r="AG3" s="409" t="s">
        <v>3266</v>
      </c>
      <c r="AH3" s="410" t="s">
        <v>3265</v>
      </c>
      <c r="AI3" s="409" t="s">
        <v>3266</v>
      </c>
      <c r="AJ3" s="410" t="s">
        <v>3265</v>
      </c>
      <c r="AK3" s="409" t="s">
        <v>3266</v>
      </c>
    </row>
    <row r="4" spans="1:42" ht="15" hidden="1" customHeight="1">
      <c r="A4" s="102">
        <v>45566</v>
      </c>
      <c r="B4" s="102" t="s">
        <v>3267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  <c r="AF4" s="111"/>
      <c r="AG4" s="112"/>
      <c r="AH4" s="111"/>
      <c r="AI4" s="112"/>
      <c r="AJ4" s="111"/>
      <c r="AK4" s="112"/>
    </row>
    <row r="5" spans="1:42" ht="15" hidden="1" customHeight="1">
      <c r="A5" s="102">
        <v>45566</v>
      </c>
      <c r="B5" s="102" t="s">
        <v>1197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  <c r="AF5" s="111"/>
      <c r="AG5" s="112"/>
      <c r="AH5" s="111"/>
      <c r="AI5" s="112"/>
      <c r="AJ5" s="111"/>
      <c r="AK5" s="112"/>
    </row>
    <row r="6" spans="1:42" ht="14.25" hidden="1" customHeight="1">
      <c r="A6" s="104"/>
      <c r="D6" s="113"/>
      <c r="F6" s="113"/>
      <c r="G6" s="104"/>
      <c r="H6" s="113"/>
      <c r="L6" s="113"/>
      <c r="AB6" s="342"/>
      <c r="AC6" s="114"/>
      <c r="AD6" s="342"/>
      <c r="AF6" s="111"/>
      <c r="AG6" s="112"/>
      <c r="AH6" s="111"/>
      <c r="AI6" s="112"/>
      <c r="AJ6" s="111"/>
      <c r="AK6" s="112"/>
    </row>
    <row r="7" spans="1:42" ht="15" hidden="1" customHeight="1">
      <c r="A7" s="102">
        <f>A4+1</f>
        <v>45567</v>
      </c>
      <c r="B7" s="102" t="s">
        <v>3267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  <c r="AF7" s="111"/>
      <c r="AG7" s="112"/>
      <c r="AH7" s="111"/>
      <c r="AI7" s="112"/>
      <c r="AJ7" s="111"/>
      <c r="AK7" s="112"/>
    </row>
    <row r="8" spans="1:42" ht="15" hidden="1" customHeight="1">
      <c r="A8" s="102">
        <f>A5+1</f>
        <v>45567</v>
      </c>
      <c r="B8" s="102" t="s">
        <v>1197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  <c r="AF8" s="111"/>
      <c r="AG8" s="112"/>
      <c r="AH8" s="111"/>
      <c r="AI8" s="112"/>
      <c r="AJ8" s="111"/>
      <c r="AK8" s="112"/>
    </row>
    <row r="9" spans="1:42" ht="14.25" hidden="1" customHeight="1">
      <c r="D9" s="113"/>
      <c r="F9" s="113"/>
      <c r="G9" s="104"/>
      <c r="H9" s="113"/>
      <c r="L9" s="113"/>
      <c r="AB9" s="342"/>
      <c r="AC9" s="114"/>
      <c r="AD9" s="342"/>
      <c r="AF9" s="111"/>
      <c r="AG9" s="112"/>
      <c r="AH9" s="111"/>
      <c r="AI9" s="112"/>
      <c r="AJ9" s="111"/>
      <c r="AK9" s="112"/>
    </row>
    <row r="10" spans="1:42" ht="15" hidden="1" customHeight="1">
      <c r="A10" s="102">
        <f>A7+1</f>
        <v>45568</v>
      </c>
      <c r="B10" s="102" t="s">
        <v>3267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  <c r="AF10" s="111"/>
      <c r="AG10" s="112"/>
      <c r="AH10" s="111"/>
      <c r="AI10" s="112"/>
      <c r="AJ10" s="111"/>
      <c r="AK10" s="112"/>
    </row>
    <row r="11" spans="1:42" ht="15" hidden="1" customHeight="1">
      <c r="A11" s="102">
        <f>A8+1</f>
        <v>45568</v>
      </c>
      <c r="B11" s="102" t="s">
        <v>1197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  <c r="AF11" s="111"/>
      <c r="AG11" s="112"/>
      <c r="AH11" s="111"/>
      <c r="AI11" s="112"/>
      <c r="AJ11" s="111"/>
      <c r="AK11" s="112"/>
    </row>
    <row r="12" spans="1:42" ht="14.25" hidden="1" customHeight="1">
      <c r="D12" s="113"/>
      <c r="F12" s="113"/>
      <c r="G12" s="104"/>
      <c r="H12" s="113"/>
      <c r="L12" s="113"/>
      <c r="AB12" s="342"/>
      <c r="AC12" s="114"/>
      <c r="AD12" s="342"/>
      <c r="AF12" s="111"/>
      <c r="AG12" s="112"/>
      <c r="AH12" s="111"/>
      <c r="AI12" s="112"/>
      <c r="AJ12" s="111"/>
      <c r="AK12" s="112"/>
    </row>
    <row r="13" spans="1:42" ht="15" hidden="1" customHeight="1">
      <c r="A13" s="102">
        <f>A10+1</f>
        <v>45569</v>
      </c>
      <c r="B13" s="102" t="s">
        <v>3267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  <c r="AF13" s="111"/>
      <c r="AG13" s="112"/>
      <c r="AH13" s="111"/>
      <c r="AI13" s="112"/>
      <c r="AJ13" s="111"/>
      <c r="AK13" s="112"/>
    </row>
    <row r="14" spans="1:42" ht="15" hidden="1" customHeight="1">
      <c r="A14" s="102">
        <f>A11+1</f>
        <v>45569</v>
      </c>
      <c r="B14" s="102" t="s">
        <v>1197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  <c r="AF14" s="111"/>
      <c r="AG14" s="112"/>
      <c r="AH14" s="111"/>
      <c r="AI14" s="112"/>
      <c r="AJ14" s="111"/>
      <c r="AK14" s="112"/>
    </row>
    <row r="15" spans="1:42" ht="14.25" hidden="1" customHeight="1">
      <c r="D15" s="113"/>
      <c r="F15" s="113"/>
      <c r="G15" s="104"/>
      <c r="H15" s="113"/>
      <c r="L15" s="113"/>
      <c r="AB15" s="342"/>
      <c r="AC15" s="114"/>
      <c r="AD15" s="342"/>
      <c r="AF15" s="111"/>
      <c r="AG15" s="112"/>
      <c r="AH15" s="111"/>
      <c r="AI15" s="112"/>
      <c r="AJ15" s="111"/>
      <c r="AK15" s="112"/>
    </row>
    <row r="16" spans="1:42">
      <c r="A16" s="173">
        <v>45292</v>
      </c>
      <c r="B16" s="173" t="s">
        <v>3267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40"/>
      <c r="AB16" s="179"/>
      <c r="AC16" s="202"/>
      <c r="AD16" s="179"/>
      <c r="AE16" s="340"/>
      <c r="AF16" s="111"/>
      <c r="AG16" s="112"/>
      <c r="AH16" s="111"/>
      <c r="AI16" s="112"/>
      <c r="AJ16" s="111"/>
      <c r="AK16" s="112"/>
    </row>
    <row r="17" spans="1:37">
      <c r="A17" s="173" t="s">
        <v>3268</v>
      </c>
      <c r="B17" s="173" t="s">
        <v>3267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40"/>
      <c r="AB17" s="179"/>
      <c r="AC17" s="202"/>
      <c r="AD17" s="179"/>
      <c r="AE17" s="340"/>
      <c r="AF17" s="111"/>
      <c r="AG17" s="112"/>
      <c r="AH17" s="111"/>
      <c r="AI17" s="112"/>
      <c r="AJ17" s="111"/>
      <c r="AK17" s="112"/>
    </row>
    <row r="18" spans="1:37" ht="14.45" thickBot="1">
      <c r="A18" s="480" t="s">
        <v>3269</v>
      </c>
      <c r="B18" s="480" t="s">
        <v>3267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481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482"/>
      <c r="AA18" s="483"/>
      <c r="AB18" s="482"/>
      <c r="AC18" s="484"/>
      <c r="AD18" s="482"/>
      <c r="AE18" s="483"/>
      <c r="AF18" s="507"/>
      <c r="AG18" s="508"/>
      <c r="AH18" s="507"/>
      <c r="AI18" s="508"/>
      <c r="AJ18" s="507"/>
      <c r="AK18" s="508"/>
    </row>
    <row r="19" spans="1:37">
      <c r="A19" s="485">
        <f>A13+1</f>
        <v>45570</v>
      </c>
      <c r="B19" s="486" t="s">
        <v>3267</v>
      </c>
      <c r="C19" s="487" t="str">
        <f t="shared" ref="C19:C60" si="0">A19 &amp; " " &amp;B19</f>
        <v>45570 0000H</v>
      </c>
      <c r="D19" s="488"/>
      <c r="E19" s="489"/>
      <c r="F19" s="488"/>
      <c r="G19" s="489"/>
      <c r="H19" s="488"/>
      <c r="I19" s="490"/>
      <c r="J19" s="490"/>
      <c r="K19" s="489"/>
      <c r="L19" s="488"/>
      <c r="M19" s="490"/>
      <c r="N19" s="490"/>
      <c r="O19" s="490"/>
      <c r="P19" s="490"/>
      <c r="Q19" s="490"/>
      <c r="R19" s="490"/>
      <c r="S19" s="490"/>
      <c r="T19" s="490"/>
      <c r="U19" s="490"/>
      <c r="V19" s="490"/>
      <c r="W19" s="490"/>
      <c r="X19" s="490"/>
      <c r="Y19" s="490"/>
      <c r="Z19" s="490"/>
      <c r="AA19" s="489"/>
      <c r="AB19" s="490"/>
      <c r="AC19" s="491"/>
      <c r="AD19" s="490"/>
      <c r="AE19" s="489"/>
      <c r="AF19" s="509"/>
      <c r="AG19" s="491"/>
      <c r="AH19" s="509"/>
      <c r="AI19" s="491"/>
      <c r="AJ19" s="509"/>
      <c r="AK19" s="491"/>
    </row>
    <row r="20" spans="1:37">
      <c r="A20" s="492">
        <f>A14+1</f>
        <v>45570</v>
      </c>
      <c r="B20" s="102" t="s">
        <v>1197</v>
      </c>
      <c r="C20" s="110" t="str">
        <f t="shared" si="0"/>
        <v>45570 1200H</v>
      </c>
      <c r="D20" s="471">
        <v>305.39999999999998</v>
      </c>
      <c r="E20" s="472">
        <v>49.65</v>
      </c>
      <c r="F20" s="471"/>
      <c r="G20" s="472"/>
      <c r="H20" s="471"/>
      <c r="I20" s="473"/>
      <c r="J20" s="473">
        <v>32714.82</v>
      </c>
      <c r="K20" s="472">
        <v>99.31</v>
      </c>
      <c r="L20" s="471">
        <v>4732.96</v>
      </c>
      <c r="M20" s="473">
        <v>15.77</v>
      </c>
      <c r="N20" s="473">
        <v>32084.400000000001</v>
      </c>
      <c r="O20" s="473">
        <v>28.4</v>
      </c>
      <c r="P20" s="473">
        <v>473.34</v>
      </c>
      <c r="Q20" s="473">
        <v>573.37</v>
      </c>
      <c r="R20" s="473"/>
      <c r="S20" s="473"/>
      <c r="T20" s="473">
        <v>34864</v>
      </c>
      <c r="U20" s="473">
        <v>69</v>
      </c>
      <c r="V20" s="473"/>
      <c r="W20" s="473"/>
      <c r="X20" s="473">
        <v>5528</v>
      </c>
      <c r="Y20" s="473">
        <v>0</v>
      </c>
      <c r="Z20" s="473"/>
      <c r="AA20" s="472"/>
      <c r="AB20" s="473"/>
      <c r="AC20" s="474"/>
      <c r="AD20" s="473"/>
      <c r="AE20" s="472"/>
      <c r="AF20" s="506"/>
      <c r="AG20" s="474"/>
      <c r="AH20" s="506"/>
      <c r="AI20" s="474"/>
      <c r="AJ20" s="506"/>
      <c r="AK20" s="474"/>
    </row>
    <row r="21" spans="1:37">
      <c r="A21" s="492">
        <f t="shared" ref="A21:A60" si="1">A19+1</f>
        <v>45571</v>
      </c>
      <c r="B21" s="102" t="s">
        <v>3267</v>
      </c>
      <c r="C21" s="110" t="str">
        <f t="shared" si="0"/>
        <v>45571 0000H</v>
      </c>
      <c r="D21" s="337">
        <v>310.86</v>
      </c>
      <c r="E21" s="338">
        <v>49.65</v>
      </c>
      <c r="F21" s="337"/>
      <c r="G21" s="338"/>
      <c r="H21" s="337">
        <v>72764.59</v>
      </c>
      <c r="I21" s="475">
        <v>882.91700000000003</v>
      </c>
      <c r="J21" s="475">
        <v>32718.63</v>
      </c>
      <c r="K21" s="338">
        <v>99.31</v>
      </c>
      <c r="L21" s="337">
        <v>4738.42</v>
      </c>
      <c r="M21" s="475">
        <v>15.77</v>
      </c>
      <c r="N21" s="475">
        <v>32091</v>
      </c>
      <c r="O21" s="475">
        <v>28.4</v>
      </c>
      <c r="P21" s="475">
        <v>478.27</v>
      </c>
      <c r="Q21" s="475">
        <v>573.37</v>
      </c>
      <c r="R21" s="475"/>
      <c r="S21" s="475"/>
      <c r="T21" s="475">
        <v>34871</v>
      </c>
      <c r="U21" s="475">
        <v>69</v>
      </c>
      <c r="V21" s="475"/>
      <c r="W21" s="475"/>
      <c r="X21" s="475">
        <v>5534.05</v>
      </c>
      <c r="Y21" s="475">
        <v>0</v>
      </c>
      <c r="Z21" s="475"/>
      <c r="AA21" s="338"/>
      <c r="AB21" s="475"/>
      <c r="AC21" s="476"/>
      <c r="AD21" s="475"/>
      <c r="AE21" s="338"/>
      <c r="AF21" s="505">
        <v>42000</v>
      </c>
      <c r="AG21" s="476"/>
      <c r="AH21" s="505">
        <v>42000</v>
      </c>
      <c r="AI21" s="476"/>
      <c r="AJ21" s="505">
        <v>42000</v>
      </c>
      <c r="AK21" s="476"/>
    </row>
    <row r="22" spans="1:37">
      <c r="A22" s="492">
        <f t="shared" si="1"/>
        <v>45571</v>
      </c>
      <c r="B22" s="102" t="s">
        <v>1197</v>
      </c>
      <c r="C22" s="110" t="str">
        <f t="shared" si="0"/>
        <v>45571 1200H</v>
      </c>
      <c r="D22" s="471">
        <v>314.33999999999997</v>
      </c>
      <c r="E22" s="472">
        <v>49.65</v>
      </c>
      <c r="F22" s="471"/>
      <c r="G22" s="472"/>
      <c r="H22" s="471">
        <v>72764.59</v>
      </c>
      <c r="I22" s="473">
        <v>882.82</v>
      </c>
      <c r="J22" s="473">
        <v>32722.48</v>
      </c>
      <c r="K22" s="472">
        <v>99.31</v>
      </c>
      <c r="L22" s="471">
        <v>4744.01</v>
      </c>
      <c r="M22" s="473">
        <v>15.97</v>
      </c>
      <c r="N22" s="473">
        <v>32097.5</v>
      </c>
      <c r="O22" s="473">
        <v>28.4</v>
      </c>
      <c r="P22" s="473">
        <v>478.31</v>
      </c>
      <c r="Q22" s="473">
        <v>575.5</v>
      </c>
      <c r="R22" s="473"/>
      <c r="S22" s="473"/>
      <c r="T22" s="473">
        <v>34875</v>
      </c>
      <c r="U22" s="473">
        <v>69</v>
      </c>
      <c r="V22" s="473"/>
      <c r="W22" s="473"/>
      <c r="X22" s="473">
        <v>5540.44</v>
      </c>
      <c r="Y22" s="473">
        <v>0</v>
      </c>
      <c r="Z22" s="473"/>
      <c r="AA22" s="472"/>
      <c r="AB22" s="473"/>
      <c r="AC22" s="474"/>
      <c r="AD22" s="473"/>
      <c r="AE22" s="472"/>
      <c r="AF22" s="506">
        <v>48000</v>
      </c>
      <c r="AG22" s="474"/>
      <c r="AH22" s="506">
        <v>48000</v>
      </c>
      <c r="AI22" s="474"/>
      <c r="AJ22" s="506">
        <v>48000</v>
      </c>
      <c r="AK22" s="474"/>
    </row>
    <row r="23" spans="1:37">
      <c r="A23" s="492">
        <f t="shared" si="1"/>
        <v>45572</v>
      </c>
      <c r="B23" s="102" t="s">
        <v>3267</v>
      </c>
      <c r="C23" s="110" t="str">
        <f t="shared" si="0"/>
        <v>45572 0000H</v>
      </c>
      <c r="D23" s="337">
        <v>318.82</v>
      </c>
      <c r="E23" s="338">
        <v>49.65</v>
      </c>
      <c r="F23" s="337"/>
      <c r="G23" s="338"/>
      <c r="H23" s="337">
        <v>72769.63</v>
      </c>
      <c r="I23" s="475">
        <v>882.85</v>
      </c>
      <c r="J23" s="475">
        <v>32726.3</v>
      </c>
      <c r="K23" s="338">
        <v>99.31</v>
      </c>
      <c r="L23" s="337">
        <v>4749.72</v>
      </c>
      <c r="M23" s="475">
        <v>15.77</v>
      </c>
      <c r="N23" s="475">
        <v>32104.5</v>
      </c>
      <c r="O23" s="475">
        <v>28.4</v>
      </c>
      <c r="P23" s="475">
        <v>478.32</v>
      </c>
      <c r="Q23" s="475">
        <v>577</v>
      </c>
      <c r="R23" s="475"/>
      <c r="S23" s="475"/>
      <c r="T23" s="475">
        <v>34883</v>
      </c>
      <c r="U23" s="475">
        <v>69</v>
      </c>
      <c r="V23" s="475"/>
      <c r="W23" s="475"/>
      <c r="X23" s="475">
        <v>5546.36</v>
      </c>
      <c r="Y23" s="475"/>
      <c r="Z23" s="475"/>
      <c r="AA23" s="338"/>
      <c r="AB23" s="475"/>
      <c r="AC23" s="476"/>
      <c r="AD23" s="475"/>
      <c r="AE23" s="338"/>
      <c r="AF23" s="505">
        <v>21000</v>
      </c>
      <c r="AG23" s="476"/>
      <c r="AH23" s="505">
        <v>21000</v>
      </c>
      <c r="AI23" s="476"/>
      <c r="AJ23" s="505">
        <v>21000</v>
      </c>
      <c r="AK23" s="476"/>
    </row>
    <row r="24" spans="1:37">
      <c r="A24" s="492">
        <f t="shared" si="1"/>
        <v>45572</v>
      </c>
      <c r="B24" s="102" t="s">
        <v>1197</v>
      </c>
      <c r="C24" s="110" t="str">
        <f t="shared" si="0"/>
        <v>45572 1200H</v>
      </c>
      <c r="D24" s="471">
        <v>322.64999999999998</v>
      </c>
      <c r="E24" s="472">
        <v>49.65</v>
      </c>
      <c r="F24" s="471"/>
      <c r="G24" s="472"/>
      <c r="H24" s="471">
        <v>72779.56</v>
      </c>
      <c r="I24" s="473">
        <v>882.25</v>
      </c>
      <c r="J24" s="473">
        <v>32728.84</v>
      </c>
      <c r="K24" s="472">
        <v>99.33</v>
      </c>
      <c r="L24" s="471">
        <v>4755.25</v>
      </c>
      <c r="M24" s="473">
        <v>15.77</v>
      </c>
      <c r="N24" s="473">
        <v>32109.200000000001</v>
      </c>
      <c r="O24" s="473">
        <v>28.4</v>
      </c>
      <c r="P24" s="473">
        <v>478.48</v>
      </c>
      <c r="Q24" s="473">
        <v>577</v>
      </c>
      <c r="R24" s="473"/>
      <c r="S24" s="473"/>
      <c r="T24" s="473">
        <v>34889.019999999997</v>
      </c>
      <c r="U24" s="473">
        <v>69</v>
      </c>
      <c r="V24" s="473"/>
      <c r="W24" s="473"/>
      <c r="X24" s="473">
        <v>5552.76</v>
      </c>
      <c r="Y24" s="473">
        <v>0</v>
      </c>
      <c r="Z24" s="473"/>
      <c r="AA24" s="472"/>
      <c r="AB24" s="473"/>
      <c r="AC24" s="474"/>
      <c r="AD24" s="473"/>
      <c r="AE24" s="472"/>
      <c r="AF24" s="506">
        <v>8400</v>
      </c>
      <c r="AG24" s="474"/>
      <c r="AH24" s="506">
        <v>8400</v>
      </c>
      <c r="AI24" s="474"/>
      <c r="AJ24" s="506">
        <v>8400</v>
      </c>
      <c r="AK24" s="474"/>
    </row>
    <row r="25" spans="1:37">
      <c r="A25" s="492">
        <f t="shared" si="1"/>
        <v>45573</v>
      </c>
      <c r="B25" s="102" t="s">
        <v>3267</v>
      </c>
      <c r="C25" s="110" t="str">
        <f t="shared" si="0"/>
        <v>45573 0000H</v>
      </c>
      <c r="D25" s="337">
        <v>327.91</v>
      </c>
      <c r="E25" s="338">
        <v>49.65</v>
      </c>
      <c r="F25" s="337"/>
      <c r="G25" s="338"/>
      <c r="H25" s="337">
        <v>72789.97</v>
      </c>
      <c r="I25" s="475">
        <v>882.25</v>
      </c>
      <c r="J25" s="475">
        <v>32732.04</v>
      </c>
      <c r="K25" s="338">
        <v>99.33</v>
      </c>
      <c r="L25" s="337">
        <v>4760.96</v>
      </c>
      <c r="M25" s="475">
        <v>15.77</v>
      </c>
      <c r="N25" s="475">
        <v>32116</v>
      </c>
      <c r="O25" s="475">
        <v>28.4</v>
      </c>
      <c r="P25" s="475">
        <v>478.48</v>
      </c>
      <c r="Q25" s="475">
        <v>579.63</v>
      </c>
      <c r="R25" s="475"/>
      <c r="S25" s="475"/>
      <c r="T25" s="475">
        <v>34897</v>
      </c>
      <c r="U25" s="475">
        <v>69</v>
      </c>
      <c r="V25" s="475"/>
      <c r="W25" s="475"/>
      <c r="X25" s="475">
        <v>5559.15</v>
      </c>
      <c r="Y25" s="475">
        <v>0</v>
      </c>
      <c r="Z25" s="475"/>
      <c r="AA25" s="338"/>
      <c r="AB25" s="475"/>
      <c r="AC25" s="476"/>
      <c r="AD25" s="475"/>
      <c r="AE25" s="338"/>
      <c r="AF25" s="505">
        <v>1400</v>
      </c>
      <c r="AG25" s="476"/>
      <c r="AH25" s="505">
        <v>1400</v>
      </c>
      <c r="AI25" s="476"/>
      <c r="AJ25" s="505">
        <v>1400</v>
      </c>
      <c r="AK25" s="476"/>
    </row>
    <row r="26" spans="1:37">
      <c r="A26" s="492">
        <f t="shared" si="1"/>
        <v>45573</v>
      </c>
      <c r="B26" s="102" t="s">
        <v>1197</v>
      </c>
      <c r="C26" s="110" t="str">
        <f t="shared" si="0"/>
        <v>45573 1200H</v>
      </c>
      <c r="D26" s="471">
        <v>331.62</v>
      </c>
      <c r="E26" s="472">
        <v>49.65</v>
      </c>
      <c r="F26" s="471"/>
      <c r="G26" s="472"/>
      <c r="H26" s="471">
        <v>72799.56</v>
      </c>
      <c r="I26" s="473">
        <v>882.25</v>
      </c>
      <c r="J26" s="473">
        <v>32734.080000000002</v>
      </c>
      <c r="K26" s="472">
        <v>99.35</v>
      </c>
      <c r="L26" s="471">
        <v>4766.41</v>
      </c>
      <c r="M26" s="473">
        <v>15.77</v>
      </c>
      <c r="N26" s="473">
        <v>32120.9</v>
      </c>
      <c r="O26" s="473">
        <v>28.4</v>
      </c>
      <c r="P26" s="473">
        <v>478.87</v>
      </c>
      <c r="Q26" s="473">
        <v>581.52</v>
      </c>
      <c r="R26" s="473"/>
      <c r="S26" s="473"/>
      <c r="T26" s="473">
        <v>3490</v>
      </c>
      <c r="U26" s="473">
        <v>69</v>
      </c>
      <c r="V26" s="473"/>
      <c r="W26" s="473"/>
      <c r="X26" s="473">
        <v>5564.07</v>
      </c>
      <c r="Y26" s="473">
        <v>0</v>
      </c>
      <c r="Z26" s="473"/>
      <c r="AA26" s="472"/>
      <c r="AB26" s="473"/>
      <c r="AC26" s="474"/>
      <c r="AD26" s="473"/>
      <c r="AE26" s="472"/>
      <c r="AF26" s="506">
        <v>30000</v>
      </c>
      <c r="AG26" s="474"/>
      <c r="AH26" s="506">
        <v>30000</v>
      </c>
      <c r="AI26" s="474"/>
      <c r="AJ26" s="506">
        <v>30000</v>
      </c>
      <c r="AK26" s="474"/>
    </row>
    <row r="27" spans="1:37">
      <c r="A27" s="492">
        <f t="shared" si="1"/>
        <v>45574</v>
      </c>
      <c r="B27" s="102" t="s">
        <v>3267</v>
      </c>
      <c r="C27" s="110" t="str">
        <f t="shared" si="0"/>
        <v>45574 0000H</v>
      </c>
      <c r="D27" s="337">
        <v>337.11</v>
      </c>
      <c r="E27" s="338">
        <v>49.65</v>
      </c>
      <c r="F27" s="337">
        <v>1102.8</v>
      </c>
      <c r="G27" s="338">
        <v>6.2</v>
      </c>
      <c r="H27" s="337">
        <v>72810.02</v>
      </c>
      <c r="I27" s="475">
        <v>882.25</v>
      </c>
      <c r="J27" s="475">
        <v>32737.86</v>
      </c>
      <c r="K27" s="338">
        <v>99.35</v>
      </c>
      <c r="L27" s="337">
        <v>4772.13</v>
      </c>
      <c r="M27" s="475">
        <v>15.77</v>
      </c>
      <c r="N27" s="475">
        <v>32127.7</v>
      </c>
      <c r="O27" s="475">
        <v>28.4</v>
      </c>
      <c r="P27" s="475">
        <v>478.88</v>
      </c>
      <c r="Q27" s="475">
        <v>581.84</v>
      </c>
      <c r="R27" s="475">
        <v>9358.1200000000008</v>
      </c>
      <c r="S27" s="475">
        <v>9.0399999999999991</v>
      </c>
      <c r="T27" s="475">
        <v>34910</v>
      </c>
      <c r="U27" s="475">
        <v>69</v>
      </c>
      <c r="V27" s="475"/>
      <c r="W27" s="475"/>
      <c r="X27" s="475">
        <v>5570.35</v>
      </c>
      <c r="Y27" s="475"/>
      <c r="Z27" s="475"/>
      <c r="AA27" s="338"/>
      <c r="AB27" s="475"/>
      <c r="AC27" s="476"/>
      <c r="AD27" s="475"/>
      <c r="AE27" s="338"/>
      <c r="AF27" s="505"/>
      <c r="AG27" s="476"/>
      <c r="AH27" s="505"/>
      <c r="AI27" s="476"/>
      <c r="AJ27" s="505"/>
      <c r="AK27" s="476"/>
    </row>
    <row r="28" spans="1:37">
      <c r="A28" s="492">
        <f t="shared" si="1"/>
        <v>45574</v>
      </c>
      <c r="B28" s="102" t="s">
        <v>1197</v>
      </c>
      <c r="C28" s="110" t="str">
        <f t="shared" si="0"/>
        <v>45574 1200H</v>
      </c>
      <c r="D28" s="471">
        <v>340.75</v>
      </c>
      <c r="E28" s="472">
        <v>49.65</v>
      </c>
      <c r="F28" s="471">
        <v>1102.8</v>
      </c>
      <c r="G28" s="472">
        <v>6.2</v>
      </c>
      <c r="H28" s="471">
        <v>72819.86</v>
      </c>
      <c r="I28" s="473">
        <v>882.25</v>
      </c>
      <c r="J28" s="473">
        <v>32739.18</v>
      </c>
      <c r="K28" s="472">
        <v>99.41</v>
      </c>
      <c r="L28" s="471">
        <v>4777.8100000000004</v>
      </c>
      <c r="M28" s="473">
        <v>15.77</v>
      </c>
      <c r="N28" s="473">
        <v>32132.5</v>
      </c>
      <c r="O28" s="473">
        <v>28.4</v>
      </c>
      <c r="P28" s="473">
        <v>479.27</v>
      </c>
      <c r="Q28" s="473">
        <v>582.49</v>
      </c>
      <c r="R28" s="473">
        <v>9361.48</v>
      </c>
      <c r="S28" s="473">
        <v>9.0399999999999991</v>
      </c>
      <c r="T28" s="473">
        <v>34916</v>
      </c>
      <c r="U28" s="473">
        <v>69</v>
      </c>
      <c r="V28" s="473"/>
      <c r="W28" s="473"/>
      <c r="X28" s="473">
        <v>5576.68</v>
      </c>
      <c r="Y28" s="473">
        <v>0</v>
      </c>
      <c r="Z28" s="473"/>
      <c r="AA28" s="472"/>
      <c r="AB28" s="473"/>
      <c r="AC28" s="474"/>
      <c r="AD28" s="473"/>
      <c r="AE28" s="472"/>
      <c r="AF28" s="506"/>
      <c r="AG28" s="474"/>
      <c r="AH28" s="506"/>
      <c r="AI28" s="474"/>
      <c r="AJ28" s="506"/>
      <c r="AK28" s="474"/>
    </row>
    <row r="29" spans="1:37">
      <c r="A29" s="492">
        <f t="shared" si="1"/>
        <v>45575</v>
      </c>
      <c r="B29" s="102" t="s">
        <v>3267</v>
      </c>
      <c r="C29" s="110" t="str">
        <f t="shared" si="0"/>
        <v>45575 0000H</v>
      </c>
      <c r="D29" s="337">
        <v>346.55</v>
      </c>
      <c r="E29" s="338">
        <v>49.65</v>
      </c>
      <c r="F29" s="337">
        <v>1102.8</v>
      </c>
      <c r="G29" s="338">
        <v>6.2</v>
      </c>
      <c r="H29" s="337">
        <v>72830.429999999993</v>
      </c>
      <c r="I29" s="475">
        <v>882.25</v>
      </c>
      <c r="J29" s="475">
        <v>32743.040000000001</v>
      </c>
      <c r="K29" s="338">
        <v>99.41</v>
      </c>
      <c r="L29" s="337">
        <v>4783.63</v>
      </c>
      <c r="M29" s="475">
        <v>15.77</v>
      </c>
      <c r="N29" s="475">
        <v>32139.5</v>
      </c>
      <c r="O29" s="475">
        <v>28.4</v>
      </c>
      <c r="P29" s="475">
        <v>479.35</v>
      </c>
      <c r="Q29" s="475">
        <v>583.48</v>
      </c>
      <c r="R29" s="475">
        <v>9365.77</v>
      </c>
      <c r="S29" s="475">
        <v>9.0399999999999991</v>
      </c>
      <c r="T29" s="475">
        <v>34924</v>
      </c>
      <c r="U29" s="475">
        <v>69</v>
      </c>
      <c r="V29" s="475"/>
      <c r="W29" s="475"/>
      <c r="X29" s="475">
        <v>5583.19</v>
      </c>
      <c r="Y29" s="475">
        <v>0</v>
      </c>
      <c r="Z29" s="475"/>
      <c r="AA29" s="338"/>
      <c r="AB29" s="475"/>
      <c r="AC29" s="476"/>
      <c r="AD29" s="475"/>
      <c r="AE29" s="338"/>
      <c r="AF29" s="505"/>
      <c r="AG29" s="476"/>
      <c r="AH29" s="505"/>
      <c r="AI29" s="476"/>
      <c r="AJ29" s="505"/>
      <c r="AK29" s="476"/>
    </row>
    <row r="30" spans="1:37">
      <c r="A30" s="492">
        <f t="shared" si="1"/>
        <v>45575</v>
      </c>
      <c r="B30" s="102" t="s">
        <v>1197</v>
      </c>
      <c r="C30" s="110" t="str">
        <f t="shared" si="0"/>
        <v>45575 1200H</v>
      </c>
      <c r="D30" s="471">
        <v>349.85</v>
      </c>
      <c r="E30" s="472">
        <v>49.65</v>
      </c>
      <c r="F30" s="471">
        <v>1102.8</v>
      </c>
      <c r="G30" s="472">
        <v>6.2</v>
      </c>
      <c r="H30" s="471">
        <v>72840.59</v>
      </c>
      <c r="I30" s="473">
        <v>882.25</v>
      </c>
      <c r="J30" s="473">
        <v>32745.57</v>
      </c>
      <c r="K30" s="472">
        <v>99.42</v>
      </c>
      <c r="L30" s="471">
        <v>4789.34</v>
      </c>
      <c r="M30" s="473">
        <v>15.77</v>
      </c>
      <c r="N30" s="473">
        <v>32144.1</v>
      </c>
      <c r="O30" s="473">
        <v>28.4</v>
      </c>
      <c r="P30" s="473">
        <v>479.96</v>
      </c>
      <c r="Q30" s="473">
        <v>584.32000000000005</v>
      </c>
      <c r="R30" s="473">
        <v>9369.2999999999993</v>
      </c>
      <c r="S30" s="473">
        <v>9.0399999999999991</v>
      </c>
      <c r="T30" s="473">
        <v>34930</v>
      </c>
      <c r="U30" s="473">
        <v>69</v>
      </c>
      <c r="V30" s="473"/>
      <c r="W30" s="473"/>
      <c r="X30" s="473">
        <v>5588.47</v>
      </c>
      <c r="Y30" s="473"/>
      <c r="Z30" s="473"/>
      <c r="AA30" s="472"/>
      <c r="AB30" s="473"/>
      <c r="AC30" s="474"/>
      <c r="AD30" s="473"/>
      <c r="AE30" s="472"/>
      <c r="AF30" s="506"/>
      <c r="AG30" s="474"/>
      <c r="AH30" s="506"/>
      <c r="AI30" s="474"/>
      <c r="AJ30" s="506"/>
      <c r="AK30" s="474"/>
    </row>
    <row r="31" spans="1:37">
      <c r="A31" s="492">
        <f t="shared" si="1"/>
        <v>45576</v>
      </c>
      <c r="B31" s="102" t="s">
        <v>3267</v>
      </c>
      <c r="C31" s="110" t="str">
        <f t="shared" si="0"/>
        <v>45576 0000H</v>
      </c>
      <c r="D31" s="337">
        <v>355.78</v>
      </c>
      <c r="E31" s="338">
        <v>49.65</v>
      </c>
      <c r="F31" s="337">
        <v>1102.8</v>
      </c>
      <c r="G31" s="338">
        <v>6.2</v>
      </c>
      <c r="H31" s="337">
        <v>72851.22</v>
      </c>
      <c r="I31" s="475">
        <v>882.25</v>
      </c>
      <c r="J31" s="475">
        <v>32749.39</v>
      </c>
      <c r="K31" s="338">
        <v>99.42</v>
      </c>
      <c r="L31" s="337">
        <v>4795.17</v>
      </c>
      <c r="M31" s="475">
        <v>15.77</v>
      </c>
      <c r="N31" s="475">
        <v>32150.1</v>
      </c>
      <c r="O31" s="475">
        <v>28.4</v>
      </c>
      <c r="P31" s="475">
        <v>480.19</v>
      </c>
      <c r="Q31" s="475">
        <v>585.20000000000005</v>
      </c>
      <c r="R31" s="475">
        <v>9373.67</v>
      </c>
      <c r="S31" s="475">
        <v>9.0399999999999991</v>
      </c>
      <c r="T31" s="475">
        <v>34938</v>
      </c>
      <c r="U31" s="475">
        <v>69</v>
      </c>
      <c r="V31" s="475"/>
      <c r="W31" s="475"/>
      <c r="X31" s="475">
        <v>5593.94</v>
      </c>
      <c r="Y31" s="475">
        <v>0</v>
      </c>
      <c r="Z31" s="475"/>
      <c r="AA31" s="338"/>
      <c r="AB31" s="475"/>
      <c r="AC31" s="476"/>
      <c r="AD31" s="475"/>
      <c r="AE31" s="338"/>
      <c r="AF31" s="505"/>
      <c r="AG31" s="476"/>
      <c r="AH31" s="505"/>
      <c r="AI31" s="476"/>
      <c r="AJ31" s="505"/>
      <c r="AK31" s="476"/>
    </row>
    <row r="32" spans="1:37">
      <c r="A32" s="492">
        <f t="shared" si="1"/>
        <v>45576</v>
      </c>
      <c r="B32" s="102" t="s">
        <v>1197</v>
      </c>
      <c r="C32" s="110" t="str">
        <f t="shared" si="0"/>
        <v>45576 1200H</v>
      </c>
      <c r="D32" s="471">
        <v>359.63</v>
      </c>
      <c r="E32" s="472">
        <v>49.65</v>
      </c>
      <c r="F32" s="471">
        <v>1102.8</v>
      </c>
      <c r="G32" s="472">
        <v>6.2</v>
      </c>
      <c r="H32" s="471">
        <v>72861.460000000006</v>
      </c>
      <c r="I32" s="473">
        <v>882.25</v>
      </c>
      <c r="J32" s="473">
        <v>32749.72</v>
      </c>
      <c r="K32" s="472">
        <v>99.4</v>
      </c>
      <c r="L32" s="471">
        <v>4800.8999999999996</v>
      </c>
      <c r="M32" s="473">
        <v>15.77</v>
      </c>
      <c r="N32" s="473">
        <v>32155.3</v>
      </c>
      <c r="O32" s="473">
        <v>28.4</v>
      </c>
      <c r="P32" s="473">
        <v>480.79</v>
      </c>
      <c r="Q32" s="473">
        <v>585.72</v>
      </c>
      <c r="R32" s="473">
        <v>9377.3700000000008</v>
      </c>
      <c r="S32" s="473">
        <v>9.0399999999999991</v>
      </c>
      <c r="T32" s="473">
        <v>34944</v>
      </c>
      <c r="U32" s="473">
        <v>69</v>
      </c>
      <c r="V32" s="473"/>
      <c r="W32" s="473"/>
      <c r="X32" s="473">
        <v>5600.3</v>
      </c>
      <c r="Y32" s="473">
        <v>0</v>
      </c>
      <c r="Z32" s="473"/>
      <c r="AA32" s="472"/>
      <c r="AB32" s="473"/>
      <c r="AC32" s="474"/>
      <c r="AD32" s="473"/>
      <c r="AE32" s="472"/>
      <c r="AF32" s="506"/>
      <c r="AG32" s="474"/>
      <c r="AH32" s="506"/>
      <c r="AI32" s="474"/>
      <c r="AJ32" s="506"/>
      <c r="AK32" s="474"/>
    </row>
    <row r="33" spans="1:37">
      <c r="A33" s="492">
        <f t="shared" si="1"/>
        <v>45577</v>
      </c>
      <c r="B33" s="102" t="s">
        <v>3267</v>
      </c>
      <c r="C33" s="110" t="str">
        <f t="shared" si="0"/>
        <v>45577 0000H</v>
      </c>
      <c r="D33" s="337">
        <v>365.81</v>
      </c>
      <c r="E33" s="338">
        <v>49.65</v>
      </c>
      <c r="F33" s="337">
        <v>1102.8</v>
      </c>
      <c r="G33" s="338">
        <v>6.2</v>
      </c>
      <c r="H33" s="337">
        <v>72875.56</v>
      </c>
      <c r="I33" s="475">
        <v>882.25</v>
      </c>
      <c r="J33" s="475">
        <v>32749.72</v>
      </c>
      <c r="K33" s="338">
        <v>99.47</v>
      </c>
      <c r="L33" s="337">
        <v>4806.82</v>
      </c>
      <c r="M33" s="475">
        <v>15.77</v>
      </c>
      <c r="N33" s="475">
        <v>32161.599999999999</v>
      </c>
      <c r="O33" s="475">
        <v>28.4</v>
      </c>
      <c r="P33" s="475">
        <v>481.82</v>
      </c>
      <c r="Q33" s="475">
        <v>586.30999999999995</v>
      </c>
      <c r="R33" s="475">
        <v>9381.91</v>
      </c>
      <c r="S33" s="475">
        <v>9.0399999999999991</v>
      </c>
      <c r="T33" s="475">
        <v>34952</v>
      </c>
      <c r="U33" s="475">
        <v>69</v>
      </c>
      <c r="V33" s="475"/>
      <c r="W33" s="475"/>
      <c r="X33" s="475">
        <v>5607.79</v>
      </c>
      <c r="Y33" s="475">
        <v>0</v>
      </c>
      <c r="Z33" s="475"/>
      <c r="AA33" s="338"/>
      <c r="AB33" s="475"/>
      <c r="AC33" s="476"/>
      <c r="AD33" s="475"/>
      <c r="AE33" s="338"/>
      <c r="AF33" s="505"/>
      <c r="AG33" s="476"/>
      <c r="AH33" s="505"/>
      <c r="AI33" s="476"/>
      <c r="AJ33" s="505"/>
      <c r="AK33" s="476"/>
    </row>
    <row r="34" spans="1:37">
      <c r="A34" s="492">
        <f t="shared" si="1"/>
        <v>45577</v>
      </c>
      <c r="B34" s="102" t="s">
        <v>1197</v>
      </c>
      <c r="C34" s="110" t="str">
        <f t="shared" si="0"/>
        <v>45577 1200H</v>
      </c>
      <c r="D34" s="471">
        <v>369.42</v>
      </c>
      <c r="E34" s="472">
        <v>49.65</v>
      </c>
      <c r="F34" s="471">
        <v>1102.8</v>
      </c>
      <c r="G34" s="472">
        <v>6.2</v>
      </c>
      <c r="H34" s="471">
        <v>72882.92</v>
      </c>
      <c r="I34" s="473">
        <v>882.38</v>
      </c>
      <c r="J34" s="473">
        <v>32749.72</v>
      </c>
      <c r="K34" s="472">
        <v>99.47</v>
      </c>
      <c r="L34" s="471">
        <v>4812.6899999999996</v>
      </c>
      <c r="M34" s="473">
        <v>15.77</v>
      </c>
      <c r="N34" s="473">
        <v>32167.1</v>
      </c>
      <c r="O34" s="473">
        <v>28.4</v>
      </c>
      <c r="P34" s="473">
        <v>481.93</v>
      </c>
      <c r="Q34" s="473">
        <v>587.12</v>
      </c>
      <c r="R34" s="473">
        <v>9385.86</v>
      </c>
      <c r="S34" s="473">
        <v>9.0399999999999991</v>
      </c>
      <c r="T34" s="473">
        <v>34958</v>
      </c>
      <c r="U34" s="473">
        <v>69</v>
      </c>
      <c r="V34" s="473"/>
      <c r="W34" s="473"/>
      <c r="X34" s="473">
        <v>5613.74</v>
      </c>
      <c r="Y34" s="473">
        <v>0</v>
      </c>
      <c r="Z34" s="473"/>
      <c r="AA34" s="472"/>
      <c r="AB34" s="473"/>
      <c r="AC34" s="474"/>
      <c r="AD34" s="473"/>
      <c r="AE34" s="472"/>
      <c r="AF34" s="506"/>
      <c r="AG34" s="474"/>
      <c r="AH34" s="506"/>
      <c r="AI34" s="474"/>
      <c r="AJ34" s="506"/>
      <c r="AK34" s="474"/>
    </row>
    <row r="35" spans="1:37">
      <c r="A35" s="492">
        <f t="shared" si="1"/>
        <v>45578</v>
      </c>
      <c r="B35" s="102" t="s">
        <v>3267</v>
      </c>
      <c r="C35" s="110" t="str">
        <f t="shared" si="0"/>
        <v>45578 0000H</v>
      </c>
      <c r="D35" s="337">
        <v>374.3</v>
      </c>
      <c r="E35" s="338">
        <v>49.65</v>
      </c>
      <c r="F35" s="337">
        <v>1102.8</v>
      </c>
      <c r="G35" s="338">
        <v>6.2</v>
      </c>
      <c r="H35" s="337">
        <v>72891.149999999994</v>
      </c>
      <c r="I35" s="475">
        <v>882.47</v>
      </c>
      <c r="J35" s="475">
        <v>32749.72</v>
      </c>
      <c r="K35" s="338">
        <v>99.55</v>
      </c>
      <c r="L35" s="337">
        <v>4818.59</v>
      </c>
      <c r="M35" s="475">
        <v>15.77</v>
      </c>
      <c r="N35" s="475">
        <v>32174.1</v>
      </c>
      <c r="O35" s="475">
        <v>28.4</v>
      </c>
      <c r="P35" s="475">
        <v>483.77</v>
      </c>
      <c r="Q35" s="475">
        <v>587.29</v>
      </c>
      <c r="R35" s="475">
        <v>9390.4699999999993</v>
      </c>
      <c r="S35" s="475">
        <v>9.0399999999999991</v>
      </c>
      <c r="T35" s="475">
        <v>34964</v>
      </c>
      <c r="U35" s="475">
        <v>69</v>
      </c>
      <c r="V35" s="475"/>
      <c r="W35" s="475"/>
      <c r="X35" s="475">
        <v>5621.54</v>
      </c>
      <c r="Y35" s="475">
        <v>0</v>
      </c>
      <c r="Z35" s="475"/>
      <c r="AA35" s="338"/>
      <c r="AB35" s="475"/>
      <c r="AC35" s="476"/>
      <c r="AD35" s="475"/>
      <c r="AE35" s="338"/>
      <c r="AF35" s="505"/>
      <c r="AG35" s="476"/>
      <c r="AH35" s="505"/>
      <c r="AI35" s="476"/>
      <c r="AJ35" s="505"/>
      <c r="AK35" s="476"/>
    </row>
    <row r="36" spans="1:37">
      <c r="A36" s="492">
        <f t="shared" si="1"/>
        <v>45578</v>
      </c>
      <c r="B36" s="102" t="s">
        <v>1197</v>
      </c>
      <c r="C36" s="110" t="str">
        <f t="shared" si="0"/>
        <v>45578 1200H</v>
      </c>
      <c r="D36" s="471">
        <v>377.86</v>
      </c>
      <c r="E36" s="472">
        <v>49.65</v>
      </c>
      <c r="F36" s="471">
        <v>1102.8</v>
      </c>
      <c r="G36" s="472">
        <v>6.2</v>
      </c>
      <c r="H36" s="471">
        <v>72889.039999999994</v>
      </c>
      <c r="I36" s="473">
        <v>882.54</v>
      </c>
      <c r="J36" s="473">
        <v>32749.72</v>
      </c>
      <c r="K36" s="472">
        <v>99.55</v>
      </c>
      <c r="L36" s="471">
        <v>4824.32</v>
      </c>
      <c r="M36" s="473">
        <v>15.77</v>
      </c>
      <c r="N36" s="473">
        <v>32179.200000000001</v>
      </c>
      <c r="O36" s="473">
        <v>28.4</v>
      </c>
      <c r="P36" s="473">
        <v>484.07</v>
      </c>
      <c r="Q36" s="473">
        <v>588.04999999999995</v>
      </c>
      <c r="R36" s="473">
        <v>9393.94</v>
      </c>
      <c r="S36" s="473">
        <v>9.0399999999999991</v>
      </c>
      <c r="T36" s="473">
        <v>34970</v>
      </c>
      <c r="U36" s="473">
        <v>69</v>
      </c>
      <c r="V36" s="473"/>
      <c r="W36" s="473"/>
      <c r="X36" s="473">
        <v>5628.31</v>
      </c>
      <c r="Y36" s="473">
        <v>0</v>
      </c>
      <c r="Z36" s="473"/>
      <c r="AA36" s="472"/>
      <c r="AB36" s="473"/>
      <c r="AC36" s="474"/>
      <c r="AD36" s="473"/>
      <c r="AE36" s="472"/>
      <c r="AF36" s="506"/>
      <c r="AG36" s="474"/>
      <c r="AH36" s="506"/>
      <c r="AI36" s="474"/>
      <c r="AJ36" s="506"/>
      <c r="AK36" s="474"/>
    </row>
    <row r="37" spans="1:37">
      <c r="A37" s="492">
        <f t="shared" si="1"/>
        <v>45579</v>
      </c>
      <c r="B37" s="102" t="s">
        <v>3267</v>
      </c>
      <c r="C37" s="110" t="str">
        <f t="shared" si="0"/>
        <v>45579 0000H</v>
      </c>
      <c r="D37" s="337">
        <v>382.59</v>
      </c>
      <c r="E37" s="338">
        <v>49.65</v>
      </c>
      <c r="F37" s="337">
        <v>1102.8</v>
      </c>
      <c r="G37" s="338">
        <v>6.2</v>
      </c>
      <c r="H37" s="337">
        <v>72906.899999999994</v>
      </c>
      <c r="I37" s="475">
        <v>882.62</v>
      </c>
      <c r="J37" s="475">
        <v>32752.32</v>
      </c>
      <c r="K37" s="338">
        <v>99.69</v>
      </c>
      <c r="L37" s="337">
        <v>4830.1899999999996</v>
      </c>
      <c r="M37" s="475">
        <v>15.77</v>
      </c>
      <c r="N37" s="475">
        <v>32186.2</v>
      </c>
      <c r="O37" s="475">
        <v>28.4</v>
      </c>
      <c r="P37" s="475">
        <v>485.23</v>
      </c>
      <c r="Q37" s="475">
        <v>588.48</v>
      </c>
      <c r="R37" s="475">
        <v>9398.7199999999993</v>
      </c>
      <c r="S37" s="475">
        <v>9.0399999999999991</v>
      </c>
      <c r="T37" s="475">
        <v>34977</v>
      </c>
      <c r="U37" s="475">
        <v>69</v>
      </c>
      <c r="V37" s="475"/>
      <c r="W37" s="475"/>
      <c r="X37" s="475">
        <v>5635.8</v>
      </c>
      <c r="Y37" s="475">
        <v>0</v>
      </c>
      <c r="Z37" s="475"/>
      <c r="AA37" s="338"/>
      <c r="AB37" s="475"/>
      <c r="AC37" s="476"/>
      <c r="AD37" s="475"/>
      <c r="AE37" s="338"/>
      <c r="AF37" s="505"/>
      <c r="AG37" s="476"/>
      <c r="AH37" s="505"/>
      <c r="AI37" s="476"/>
      <c r="AJ37" s="505"/>
      <c r="AK37" s="476"/>
    </row>
    <row r="38" spans="1:37">
      <c r="A38" s="492">
        <f t="shared" si="1"/>
        <v>45579</v>
      </c>
      <c r="B38" s="102" t="s">
        <v>1197</v>
      </c>
      <c r="C38" s="110" t="str">
        <f t="shared" si="0"/>
        <v>45579 1200H</v>
      </c>
      <c r="D38" s="471">
        <v>386.16</v>
      </c>
      <c r="E38" s="472">
        <v>49.65</v>
      </c>
      <c r="F38" s="471">
        <v>1102.8</v>
      </c>
      <c r="G38" s="472">
        <v>6.2</v>
      </c>
      <c r="H38" s="471">
        <v>72917.179999999993</v>
      </c>
      <c r="I38" s="473">
        <v>882.62</v>
      </c>
      <c r="J38" s="473">
        <v>32754.720000000001</v>
      </c>
      <c r="K38" s="472">
        <v>99.72</v>
      </c>
      <c r="L38" s="471">
        <v>4835.88</v>
      </c>
      <c r="M38" s="473">
        <v>15.77</v>
      </c>
      <c r="N38" s="473">
        <v>32190</v>
      </c>
      <c r="O38" s="473">
        <v>28.4</v>
      </c>
      <c r="P38" s="473">
        <v>486.33</v>
      </c>
      <c r="Q38" s="473">
        <v>589.20000000000005</v>
      </c>
      <c r="R38" s="473">
        <v>9402.56</v>
      </c>
      <c r="S38" s="473">
        <v>9.0399999999999991</v>
      </c>
      <c r="T38" s="473">
        <v>34984</v>
      </c>
      <c r="U38" s="473">
        <v>69</v>
      </c>
      <c r="V38" s="473">
        <v>176.84</v>
      </c>
      <c r="W38" s="473">
        <v>0.14000000000000001</v>
      </c>
      <c r="X38" s="473">
        <v>5642.35</v>
      </c>
      <c r="Y38" s="473">
        <v>0</v>
      </c>
      <c r="Z38" s="473"/>
      <c r="AA38" s="472"/>
      <c r="AB38" s="473"/>
      <c r="AC38" s="474"/>
      <c r="AD38" s="473"/>
      <c r="AE38" s="472"/>
      <c r="AF38" s="506"/>
      <c r="AG38" s="474"/>
      <c r="AH38" s="506"/>
      <c r="AI38" s="474"/>
      <c r="AJ38" s="506"/>
      <c r="AK38" s="474"/>
    </row>
    <row r="39" spans="1:37">
      <c r="A39" s="492">
        <f t="shared" si="1"/>
        <v>45580</v>
      </c>
      <c r="B39" s="102" t="s">
        <v>3267</v>
      </c>
      <c r="C39" s="110" t="str">
        <f t="shared" si="0"/>
        <v>45580 0000H</v>
      </c>
      <c r="D39" s="337">
        <v>391.41</v>
      </c>
      <c r="E39" s="338">
        <v>49.65</v>
      </c>
      <c r="F39" s="337">
        <v>1102.8</v>
      </c>
      <c r="G39" s="338">
        <v>6.2</v>
      </c>
      <c r="H39" s="337">
        <v>72927.47</v>
      </c>
      <c r="I39" s="475">
        <v>882.62</v>
      </c>
      <c r="J39" s="475">
        <v>32758.6</v>
      </c>
      <c r="K39" s="338">
        <v>99.72</v>
      </c>
      <c r="L39" s="337">
        <v>4841.7</v>
      </c>
      <c r="M39" s="475">
        <v>15.77</v>
      </c>
      <c r="N39" s="475">
        <v>32195.8</v>
      </c>
      <c r="O39" s="475">
        <v>28.4</v>
      </c>
      <c r="P39" s="475">
        <v>487.72</v>
      </c>
      <c r="Q39" s="475">
        <v>589.55999999999995</v>
      </c>
      <c r="R39" s="475">
        <v>9407.1299999999992</v>
      </c>
      <c r="S39" s="475">
        <v>9.0399999999999991</v>
      </c>
      <c r="T39" s="475">
        <v>34999</v>
      </c>
      <c r="U39" s="475">
        <v>69</v>
      </c>
      <c r="V39" s="475">
        <v>180.09</v>
      </c>
      <c r="W39" s="475">
        <v>0.14000000000000001</v>
      </c>
      <c r="X39" s="475">
        <v>5650.35</v>
      </c>
      <c r="Y39" s="475">
        <v>0</v>
      </c>
      <c r="Z39" s="475"/>
      <c r="AA39" s="338"/>
      <c r="AB39" s="475"/>
      <c r="AC39" s="476"/>
      <c r="AD39" s="475"/>
      <c r="AE39" s="338"/>
      <c r="AF39" s="505"/>
      <c r="AG39" s="476"/>
      <c r="AH39" s="505"/>
      <c r="AI39" s="476"/>
      <c r="AJ39" s="505"/>
      <c r="AK39" s="476"/>
    </row>
    <row r="40" spans="1:37">
      <c r="A40" s="492">
        <f t="shared" si="1"/>
        <v>45580</v>
      </c>
      <c r="B40" s="102" t="s">
        <v>1197</v>
      </c>
      <c r="C40" s="110" t="str">
        <f t="shared" si="0"/>
        <v>45580 1200H</v>
      </c>
      <c r="D40" s="471">
        <v>395</v>
      </c>
      <c r="E40" s="472">
        <v>49.65</v>
      </c>
      <c r="F40" s="471">
        <v>1102.8</v>
      </c>
      <c r="G40" s="472">
        <v>6.2</v>
      </c>
      <c r="H40" s="471">
        <v>72937.850000000006</v>
      </c>
      <c r="I40" s="473">
        <v>882.62</v>
      </c>
      <c r="J40" s="473">
        <v>32761.22</v>
      </c>
      <c r="K40" s="472">
        <v>99.75</v>
      </c>
      <c r="L40" s="471">
        <v>4847.4799999999996</v>
      </c>
      <c r="M40" s="473">
        <v>15.77</v>
      </c>
      <c r="N40" s="473">
        <v>32200.400000000001</v>
      </c>
      <c r="O40" s="473">
        <v>28.4</v>
      </c>
      <c r="P40" s="473">
        <v>488.43</v>
      </c>
      <c r="Q40" s="473">
        <v>590.20000000000005</v>
      </c>
      <c r="R40" s="473">
        <v>9410.7900000000009</v>
      </c>
      <c r="S40" s="473">
        <v>9.0399999999999991</v>
      </c>
      <c r="T40" s="473">
        <v>34997</v>
      </c>
      <c r="U40" s="473">
        <v>69</v>
      </c>
      <c r="V40" s="473">
        <v>180.09</v>
      </c>
      <c r="W40" s="473">
        <v>0.14000000000000001</v>
      </c>
      <c r="X40" s="473">
        <v>5656.77</v>
      </c>
      <c r="Y40" s="473">
        <v>0</v>
      </c>
      <c r="Z40" s="473"/>
      <c r="AA40" s="472"/>
      <c r="AB40" s="473"/>
      <c r="AC40" s="474"/>
      <c r="AD40" s="473"/>
      <c r="AE40" s="472"/>
      <c r="AF40" s="506"/>
      <c r="AG40" s="474"/>
      <c r="AH40" s="506"/>
      <c r="AI40" s="474"/>
      <c r="AJ40" s="506"/>
      <c r="AK40" s="474"/>
    </row>
    <row r="41" spans="1:37">
      <c r="A41" s="492">
        <f t="shared" si="1"/>
        <v>45581</v>
      </c>
      <c r="B41" s="102" t="s">
        <v>3267</v>
      </c>
      <c r="C41" s="110" t="str">
        <f t="shared" si="0"/>
        <v>45581 0000H</v>
      </c>
      <c r="D41" s="337">
        <v>399.54</v>
      </c>
      <c r="E41" s="338">
        <v>49.65</v>
      </c>
      <c r="F41" s="337">
        <v>1102.8</v>
      </c>
      <c r="G41" s="338">
        <v>6.2</v>
      </c>
      <c r="H41" s="337">
        <v>72948.22</v>
      </c>
      <c r="I41" s="475">
        <v>882.62</v>
      </c>
      <c r="J41" s="475">
        <v>32765.08</v>
      </c>
      <c r="K41" s="338">
        <v>99.75</v>
      </c>
      <c r="L41" s="337">
        <v>4853.2700000000004</v>
      </c>
      <c r="M41" s="475">
        <v>15.77</v>
      </c>
      <c r="N41" s="475">
        <v>32208.2</v>
      </c>
      <c r="O41" s="475">
        <v>28.4</v>
      </c>
      <c r="P41" s="475">
        <v>490.35</v>
      </c>
      <c r="Q41" s="475">
        <v>590.47</v>
      </c>
      <c r="R41" s="475">
        <v>9415.25</v>
      </c>
      <c r="S41" s="475">
        <v>9.0399999999999991</v>
      </c>
      <c r="T41" s="475">
        <v>35005</v>
      </c>
      <c r="U41" s="475">
        <v>69</v>
      </c>
      <c r="V41" s="475">
        <v>180.09</v>
      </c>
      <c r="W41" s="475">
        <v>0.14000000000000001</v>
      </c>
      <c r="X41" s="475">
        <v>5664.11</v>
      </c>
      <c r="Y41" s="475">
        <v>0</v>
      </c>
      <c r="Z41" s="475"/>
      <c r="AA41" s="338"/>
      <c r="AB41" s="475"/>
      <c r="AC41" s="476"/>
      <c r="AD41" s="475"/>
      <c r="AE41" s="338"/>
      <c r="AF41" s="505"/>
      <c r="AG41" s="476"/>
      <c r="AH41" s="505"/>
      <c r="AI41" s="476"/>
      <c r="AJ41" s="505"/>
      <c r="AK41" s="476"/>
    </row>
    <row r="42" spans="1:37">
      <c r="A42" s="492">
        <f t="shared" si="1"/>
        <v>45581</v>
      </c>
      <c r="B42" s="102" t="s">
        <v>1197</v>
      </c>
      <c r="C42" s="110" t="str">
        <f t="shared" si="0"/>
        <v>45581 1200H</v>
      </c>
      <c r="D42" s="471">
        <v>403.12</v>
      </c>
      <c r="E42" s="472">
        <v>49.65</v>
      </c>
      <c r="F42" s="471">
        <v>1102.8</v>
      </c>
      <c r="G42" s="472">
        <v>6.2</v>
      </c>
      <c r="H42" s="471">
        <v>72958.679999999993</v>
      </c>
      <c r="I42" s="473">
        <v>882.62</v>
      </c>
      <c r="J42" s="473"/>
      <c r="K42" s="472"/>
      <c r="L42" s="471">
        <v>4859.01</v>
      </c>
      <c r="M42" s="473">
        <v>15.77</v>
      </c>
      <c r="N42" s="473">
        <v>32213.200000000001</v>
      </c>
      <c r="O42" s="473">
        <v>28.4</v>
      </c>
      <c r="P42" s="473">
        <v>490.8</v>
      </c>
      <c r="Q42" s="473">
        <v>591.29</v>
      </c>
      <c r="R42" s="473">
        <v>9418.7800000000007</v>
      </c>
      <c r="S42" s="473">
        <v>9.0399999999999991</v>
      </c>
      <c r="T42" s="473">
        <v>35011</v>
      </c>
      <c r="U42" s="473">
        <v>69</v>
      </c>
      <c r="V42" s="473">
        <v>180.09</v>
      </c>
      <c r="W42" s="473">
        <v>0.14000000000000001</v>
      </c>
      <c r="X42" s="473">
        <v>5670.39</v>
      </c>
      <c r="Y42" s="473"/>
      <c r="Z42" s="473"/>
      <c r="AA42" s="472"/>
      <c r="AB42" s="473"/>
      <c r="AC42" s="474"/>
      <c r="AD42" s="473"/>
      <c r="AE42" s="472"/>
      <c r="AF42" s="506"/>
      <c r="AG42" s="474"/>
      <c r="AH42" s="506"/>
      <c r="AI42" s="474"/>
      <c r="AJ42" s="506"/>
      <c r="AK42" s="474"/>
    </row>
    <row r="43" spans="1:37">
      <c r="A43" s="492">
        <f t="shared" si="1"/>
        <v>45582</v>
      </c>
      <c r="B43" s="102" t="s">
        <v>3267</v>
      </c>
      <c r="C43" s="110" t="str">
        <f t="shared" si="0"/>
        <v>45582 0000H</v>
      </c>
      <c r="D43" s="337">
        <v>404.58</v>
      </c>
      <c r="E43" s="338">
        <v>49.65</v>
      </c>
      <c r="F43" s="337">
        <v>1102.8</v>
      </c>
      <c r="G43" s="338">
        <v>6.2</v>
      </c>
      <c r="H43" s="337">
        <v>72967.11</v>
      </c>
      <c r="I43" s="475">
        <v>882.7</v>
      </c>
      <c r="J43" s="475">
        <v>32771.25</v>
      </c>
      <c r="K43" s="338">
        <v>99.79</v>
      </c>
      <c r="L43" s="337">
        <v>4864.8</v>
      </c>
      <c r="M43" s="475">
        <v>15.77</v>
      </c>
      <c r="N43" s="475">
        <v>32221.1</v>
      </c>
      <c r="O43" s="475">
        <v>28.4</v>
      </c>
      <c r="P43" s="475">
        <v>492.17</v>
      </c>
      <c r="Q43" s="475">
        <v>591.71</v>
      </c>
      <c r="R43" s="475">
        <v>9422.84</v>
      </c>
      <c r="S43" s="475">
        <v>9.0399999999999991</v>
      </c>
      <c r="T43" s="475">
        <v>35018</v>
      </c>
      <c r="U43" s="475">
        <v>69</v>
      </c>
      <c r="V43" s="475">
        <v>180.09</v>
      </c>
      <c r="W43" s="475">
        <v>0.14000000000000001</v>
      </c>
      <c r="X43" s="475">
        <v>5677.56</v>
      </c>
      <c r="Y43" s="475">
        <v>0</v>
      </c>
      <c r="Z43" s="475"/>
      <c r="AA43" s="338"/>
      <c r="AB43" s="475"/>
      <c r="AC43" s="476"/>
      <c r="AD43" s="475"/>
      <c r="AE43" s="338"/>
      <c r="AF43" s="505"/>
      <c r="AG43" s="476"/>
      <c r="AH43" s="505"/>
      <c r="AI43" s="476"/>
      <c r="AJ43" s="505"/>
      <c r="AK43" s="476"/>
    </row>
    <row r="44" spans="1:37">
      <c r="A44" s="492">
        <f t="shared" si="1"/>
        <v>45582</v>
      </c>
      <c r="B44" s="102" t="s">
        <v>1197</v>
      </c>
      <c r="C44" s="110" t="str">
        <f t="shared" si="0"/>
        <v>45582 1200H</v>
      </c>
      <c r="D44" s="471">
        <v>411.52</v>
      </c>
      <c r="E44" s="472">
        <v>49.65</v>
      </c>
      <c r="F44" s="471">
        <v>1102.8</v>
      </c>
      <c r="G44" s="472">
        <v>6.2</v>
      </c>
      <c r="H44" s="471">
        <v>72974.429999999993</v>
      </c>
      <c r="I44" s="473">
        <v>882.8</v>
      </c>
      <c r="J44" s="473">
        <v>32773.440000000002</v>
      </c>
      <c r="K44" s="472">
        <v>99.82</v>
      </c>
      <c r="L44" s="471">
        <v>4870.6099999999997</v>
      </c>
      <c r="M44" s="473">
        <v>15.77</v>
      </c>
      <c r="N44" s="473">
        <v>32224.9</v>
      </c>
      <c r="O44" s="473">
        <v>28.4</v>
      </c>
      <c r="P44" s="473">
        <v>493.37</v>
      </c>
      <c r="Q44" s="473">
        <v>592.27</v>
      </c>
      <c r="R44" s="473">
        <v>9426.4500000000007</v>
      </c>
      <c r="S44" s="473">
        <v>9.0399999999999991</v>
      </c>
      <c r="T44" s="473">
        <v>35024</v>
      </c>
      <c r="U44" s="473">
        <v>69</v>
      </c>
      <c r="V44" s="473">
        <v>181.43</v>
      </c>
      <c r="W44" s="473">
        <v>0.14000000000000001</v>
      </c>
      <c r="X44" s="473">
        <v>5683.81</v>
      </c>
      <c r="Y44" s="473">
        <v>0</v>
      </c>
      <c r="Z44" s="473"/>
      <c r="AA44" s="472"/>
      <c r="AB44" s="473"/>
      <c r="AC44" s="474"/>
      <c r="AD44" s="473"/>
      <c r="AE44" s="472"/>
      <c r="AF44" s="506"/>
      <c r="AG44" s="474"/>
      <c r="AH44" s="506"/>
      <c r="AI44" s="474"/>
      <c r="AJ44" s="506"/>
      <c r="AK44" s="474"/>
    </row>
    <row r="45" spans="1:37">
      <c r="A45" s="492">
        <f t="shared" si="1"/>
        <v>45583</v>
      </c>
      <c r="B45" s="102" t="s">
        <v>3267</v>
      </c>
      <c r="C45" s="110" t="str">
        <f t="shared" si="0"/>
        <v>45583 0000H</v>
      </c>
      <c r="D45" s="337">
        <v>416.09</v>
      </c>
      <c r="E45" s="338">
        <v>49.65</v>
      </c>
      <c r="F45" s="337">
        <v>1102.8</v>
      </c>
      <c r="G45" s="338">
        <v>6.2</v>
      </c>
      <c r="H45" s="337">
        <v>72984.600000000006</v>
      </c>
      <c r="I45" s="475">
        <v>882.8</v>
      </c>
      <c r="J45" s="475">
        <v>32775.440000000002</v>
      </c>
      <c r="K45" s="338">
        <v>99.85</v>
      </c>
      <c r="L45" s="337">
        <v>4876.38</v>
      </c>
      <c r="M45" s="475">
        <v>15.77</v>
      </c>
      <c r="N45" s="475">
        <v>32230.7</v>
      </c>
      <c r="O45" s="475">
        <v>28.4</v>
      </c>
      <c r="P45" s="475">
        <v>495.92</v>
      </c>
      <c r="Q45" s="475">
        <v>592.35</v>
      </c>
      <c r="R45" s="475">
        <v>9430.7199999999993</v>
      </c>
      <c r="S45" s="475">
        <v>9.0399999999999991</v>
      </c>
      <c r="T45" s="475">
        <v>35032</v>
      </c>
      <c r="U45" s="475">
        <v>69</v>
      </c>
      <c r="V45" s="475">
        <v>184.34</v>
      </c>
      <c r="W45" s="475">
        <v>0.14000000000000001</v>
      </c>
      <c r="X45" s="475">
        <v>5691.1</v>
      </c>
      <c r="Y45" s="475">
        <v>0</v>
      </c>
      <c r="Z45" s="475"/>
      <c r="AA45" s="338"/>
      <c r="AB45" s="475"/>
      <c r="AC45" s="476"/>
      <c r="AD45" s="475"/>
      <c r="AE45" s="338"/>
      <c r="AF45" s="505"/>
      <c r="AG45" s="476"/>
      <c r="AH45" s="505"/>
      <c r="AI45" s="476"/>
      <c r="AJ45" s="505"/>
      <c r="AK45" s="476"/>
    </row>
    <row r="46" spans="1:37">
      <c r="A46" s="492">
        <f t="shared" si="1"/>
        <v>45583</v>
      </c>
      <c r="B46" s="102" t="s">
        <v>1197</v>
      </c>
      <c r="C46" s="110" t="str">
        <f t="shared" si="0"/>
        <v>45583 1200H</v>
      </c>
      <c r="D46" s="471">
        <v>419.71</v>
      </c>
      <c r="E46" s="472">
        <v>49.65</v>
      </c>
      <c r="F46" s="471">
        <v>1102.8</v>
      </c>
      <c r="G46" s="472">
        <v>6.2</v>
      </c>
      <c r="H46" s="471">
        <v>72989.259999999995</v>
      </c>
      <c r="I46" s="473">
        <v>883.07</v>
      </c>
      <c r="J46" s="473">
        <v>32777.31</v>
      </c>
      <c r="K46" s="472">
        <v>99.89</v>
      </c>
      <c r="L46" s="471">
        <v>4882.2</v>
      </c>
      <c r="M46" s="473">
        <v>15.77</v>
      </c>
      <c r="N46" s="473">
        <v>32232.5</v>
      </c>
      <c r="O46" s="473">
        <v>28.4</v>
      </c>
      <c r="P46" s="473">
        <v>497.11</v>
      </c>
      <c r="Q46" s="473">
        <v>592.41</v>
      </c>
      <c r="R46" s="473">
        <v>9434.31</v>
      </c>
      <c r="S46" s="473">
        <v>9.0399999999999991</v>
      </c>
      <c r="T46" s="473">
        <v>35038</v>
      </c>
      <c r="U46" s="473">
        <v>69</v>
      </c>
      <c r="V46" s="473">
        <v>185.96</v>
      </c>
      <c r="W46" s="473">
        <v>0.14000000000000001</v>
      </c>
      <c r="X46" s="473">
        <v>5697.37</v>
      </c>
      <c r="Y46" s="473">
        <v>0</v>
      </c>
      <c r="Z46" s="473"/>
      <c r="AA46" s="472"/>
      <c r="AB46" s="473"/>
      <c r="AC46" s="474"/>
      <c r="AD46" s="473"/>
      <c r="AE46" s="472"/>
      <c r="AF46" s="506"/>
      <c r="AG46" s="474"/>
      <c r="AH46" s="506"/>
      <c r="AI46" s="474"/>
      <c r="AJ46" s="506"/>
      <c r="AK46" s="474"/>
    </row>
    <row r="47" spans="1:37">
      <c r="A47" s="492">
        <f t="shared" si="1"/>
        <v>45584</v>
      </c>
      <c r="B47" s="102" t="s">
        <v>3267</v>
      </c>
      <c r="C47" s="110" t="str">
        <f t="shared" si="0"/>
        <v>45584 0000H</v>
      </c>
      <c r="D47" s="337">
        <v>424.35</v>
      </c>
      <c r="E47" s="338">
        <v>49.65</v>
      </c>
      <c r="F47" s="337">
        <v>1102.8</v>
      </c>
      <c r="G47" s="338">
        <v>6.2</v>
      </c>
      <c r="H47" s="337">
        <v>72999.7</v>
      </c>
      <c r="I47" s="475">
        <v>883.07</v>
      </c>
      <c r="J47" s="475">
        <v>32781.01</v>
      </c>
      <c r="K47" s="338">
        <v>99.89</v>
      </c>
      <c r="L47" s="337">
        <v>4887.95</v>
      </c>
      <c r="M47" s="475">
        <v>15.77</v>
      </c>
      <c r="N47" s="475">
        <v>32236.400000000001</v>
      </c>
      <c r="O47" s="475">
        <v>28.4</v>
      </c>
      <c r="P47" s="475">
        <v>498.88</v>
      </c>
      <c r="Q47" s="475">
        <v>592.46</v>
      </c>
      <c r="R47" s="475">
        <v>9438.59</v>
      </c>
      <c r="S47" s="475">
        <v>9.0399999999999991</v>
      </c>
      <c r="T47" s="475">
        <v>35046</v>
      </c>
      <c r="U47" s="475">
        <v>69</v>
      </c>
      <c r="V47" s="475">
        <v>189.96</v>
      </c>
      <c r="W47" s="475">
        <v>0.14000000000000001</v>
      </c>
      <c r="X47" s="475">
        <v>5704.5</v>
      </c>
      <c r="Y47" s="475">
        <v>0</v>
      </c>
      <c r="Z47" s="475"/>
      <c r="AA47" s="338"/>
      <c r="AB47" s="475"/>
      <c r="AC47" s="476"/>
      <c r="AD47" s="475"/>
      <c r="AE47" s="338"/>
      <c r="AF47" s="505"/>
      <c r="AG47" s="476"/>
      <c r="AH47" s="505"/>
      <c r="AI47" s="476"/>
      <c r="AJ47" s="505"/>
      <c r="AK47" s="476"/>
    </row>
    <row r="48" spans="1:37">
      <c r="A48" s="492">
        <f t="shared" si="1"/>
        <v>45584</v>
      </c>
      <c r="B48" s="102" t="s">
        <v>1197</v>
      </c>
      <c r="C48" s="110" t="str">
        <f t="shared" si="0"/>
        <v>45584 1200H</v>
      </c>
      <c r="D48" s="471">
        <v>427.75</v>
      </c>
      <c r="E48" s="472">
        <v>49.65</v>
      </c>
      <c r="F48" s="471">
        <v>1102.8</v>
      </c>
      <c r="G48" s="472">
        <v>6.2</v>
      </c>
      <c r="H48" s="471">
        <v>73010.179999999993</v>
      </c>
      <c r="I48" s="473">
        <v>883.07</v>
      </c>
      <c r="J48" s="473">
        <v>32782.300000000003</v>
      </c>
      <c r="K48" s="472">
        <v>99.97</v>
      </c>
      <c r="L48" s="471">
        <v>4893.5600000000004</v>
      </c>
      <c r="M48" s="473">
        <v>15.77</v>
      </c>
      <c r="N48" s="473">
        <v>32240.3</v>
      </c>
      <c r="O48" s="473">
        <v>28.4</v>
      </c>
      <c r="P48" s="473">
        <v>499.3</v>
      </c>
      <c r="Q48" s="473">
        <v>593.30999999999995</v>
      </c>
      <c r="R48" s="473">
        <v>9442.31</v>
      </c>
      <c r="S48" s="473">
        <v>9.0399999999999991</v>
      </c>
      <c r="T48" s="473">
        <v>35052</v>
      </c>
      <c r="U48" s="473">
        <v>69</v>
      </c>
      <c r="V48" s="473">
        <v>190.47</v>
      </c>
      <c r="W48" s="473">
        <v>0.14000000000000001</v>
      </c>
      <c r="X48" s="473">
        <v>5710.23</v>
      </c>
      <c r="Y48" s="473">
        <v>0</v>
      </c>
      <c r="Z48" s="473"/>
      <c r="AA48" s="472"/>
      <c r="AB48" s="473"/>
      <c r="AC48" s="474"/>
      <c r="AD48" s="473"/>
      <c r="AE48" s="472"/>
      <c r="AF48" s="506"/>
      <c r="AG48" s="474"/>
      <c r="AH48" s="506"/>
      <c r="AI48" s="474"/>
      <c r="AJ48" s="506"/>
      <c r="AK48" s="474"/>
    </row>
    <row r="49" spans="1:37">
      <c r="A49" s="492">
        <f t="shared" si="1"/>
        <v>45585</v>
      </c>
      <c r="B49" s="102" t="s">
        <v>3267</v>
      </c>
      <c r="C49" s="110" t="str">
        <f t="shared" si="0"/>
        <v>45585 0000H</v>
      </c>
      <c r="D49" s="337">
        <v>432.56</v>
      </c>
      <c r="E49" s="338">
        <v>49.65</v>
      </c>
      <c r="F49" s="337">
        <v>1102.8</v>
      </c>
      <c r="G49" s="338">
        <v>6.2</v>
      </c>
      <c r="H49" s="337">
        <v>73020.679999999993</v>
      </c>
      <c r="I49" s="475">
        <v>883.07</v>
      </c>
      <c r="J49" s="475">
        <v>32785.46</v>
      </c>
      <c r="K49" s="338">
        <v>99.99</v>
      </c>
      <c r="L49" s="337">
        <v>4899.3599999999997</v>
      </c>
      <c r="M49" s="475">
        <v>15.77</v>
      </c>
      <c r="N49" s="475">
        <v>32244.1</v>
      </c>
      <c r="O49" s="475">
        <v>28.4</v>
      </c>
      <c r="P49" s="475">
        <v>501.05</v>
      </c>
      <c r="Q49" s="475">
        <v>593.58000000000004</v>
      </c>
      <c r="R49" s="475">
        <v>9446.85</v>
      </c>
      <c r="S49" s="475">
        <v>9.0399999999999991</v>
      </c>
      <c r="T49" s="475">
        <v>35059</v>
      </c>
      <c r="U49" s="475">
        <v>69</v>
      </c>
      <c r="V49" s="475">
        <v>191.61</v>
      </c>
      <c r="W49" s="475">
        <v>0.14000000000000001</v>
      </c>
      <c r="X49" s="475">
        <v>5717</v>
      </c>
      <c r="Y49" s="475">
        <v>0</v>
      </c>
      <c r="Z49" s="475"/>
      <c r="AA49" s="338"/>
      <c r="AB49" s="475"/>
      <c r="AC49" s="476"/>
      <c r="AD49" s="475"/>
      <c r="AE49" s="338"/>
      <c r="AF49" s="505"/>
      <c r="AG49" s="476"/>
      <c r="AH49" s="505"/>
      <c r="AI49" s="476"/>
      <c r="AJ49" s="505"/>
      <c r="AK49" s="476"/>
    </row>
    <row r="50" spans="1:37">
      <c r="A50" s="492">
        <f t="shared" si="1"/>
        <v>45585</v>
      </c>
      <c r="B50" s="102" t="s">
        <v>1197</v>
      </c>
      <c r="C50" s="110" t="str">
        <f t="shared" si="0"/>
        <v>45585 1200H</v>
      </c>
      <c r="D50" s="471">
        <v>435.7</v>
      </c>
      <c r="E50" s="472">
        <v>49.65</v>
      </c>
      <c r="F50" s="471">
        <v>1102.8</v>
      </c>
      <c r="G50" s="472">
        <v>6.2</v>
      </c>
      <c r="H50" s="471">
        <v>73029.919999999998</v>
      </c>
      <c r="I50" s="473">
        <v>883.08</v>
      </c>
      <c r="J50" s="473">
        <v>32786.379999999997</v>
      </c>
      <c r="K50" s="472">
        <v>100.04</v>
      </c>
      <c r="L50" s="471">
        <v>4904.84</v>
      </c>
      <c r="M50" s="473">
        <v>15.77</v>
      </c>
      <c r="N50" s="473">
        <v>32247.7</v>
      </c>
      <c r="O50" s="473">
        <v>28.4</v>
      </c>
      <c r="P50" s="473">
        <v>501.07</v>
      </c>
      <c r="Q50" s="473">
        <v>594.71</v>
      </c>
      <c r="R50" s="473">
        <v>9450.4599999999991</v>
      </c>
      <c r="S50" s="473">
        <v>9.0399999999999991</v>
      </c>
      <c r="T50" s="473">
        <v>35065</v>
      </c>
      <c r="U50" s="473">
        <v>69</v>
      </c>
      <c r="V50" s="473">
        <v>192.24</v>
      </c>
      <c r="W50" s="473">
        <v>0.14000000000000001</v>
      </c>
      <c r="X50" s="473">
        <v>5723.03</v>
      </c>
      <c r="Y50" s="473">
        <v>0</v>
      </c>
      <c r="Z50" s="473"/>
      <c r="AA50" s="472"/>
      <c r="AB50" s="473"/>
      <c r="AC50" s="474"/>
      <c r="AD50" s="473"/>
      <c r="AE50" s="472"/>
      <c r="AF50" s="506"/>
      <c r="AG50" s="474"/>
      <c r="AH50" s="506"/>
      <c r="AI50" s="474"/>
      <c r="AJ50" s="506"/>
      <c r="AK50" s="474"/>
    </row>
    <row r="51" spans="1:37">
      <c r="A51" s="492">
        <f t="shared" si="1"/>
        <v>45586</v>
      </c>
      <c r="B51" s="102" t="s">
        <v>3267</v>
      </c>
      <c r="C51" s="110" t="str">
        <f t="shared" si="0"/>
        <v>45586 0000H</v>
      </c>
      <c r="D51" s="337">
        <v>440.26</v>
      </c>
      <c r="E51" s="338">
        <v>49.65</v>
      </c>
      <c r="F51" s="337">
        <v>1102.8</v>
      </c>
      <c r="G51" s="338">
        <v>6.2</v>
      </c>
      <c r="H51" s="337">
        <v>73039.94</v>
      </c>
      <c r="I51" s="475">
        <v>883.03</v>
      </c>
      <c r="J51" s="475">
        <v>32790.01</v>
      </c>
      <c r="K51" s="338">
        <v>100.04</v>
      </c>
      <c r="L51" s="337">
        <v>4910.62</v>
      </c>
      <c r="M51" s="475">
        <v>15.77</v>
      </c>
      <c r="N51" s="475">
        <v>32251.200000000001</v>
      </c>
      <c r="O51" s="475">
        <v>28.4</v>
      </c>
      <c r="P51" s="475">
        <v>501.32</v>
      </c>
      <c r="Q51" s="475">
        <v>595.63</v>
      </c>
      <c r="R51" s="475">
        <v>9455.0400000000009</v>
      </c>
      <c r="S51" s="475">
        <v>9.0399999999999991</v>
      </c>
      <c r="T51" s="475">
        <v>35071</v>
      </c>
      <c r="U51" s="475">
        <v>69</v>
      </c>
      <c r="V51" s="475">
        <v>194.15</v>
      </c>
      <c r="W51" s="475">
        <v>0.14000000000000001</v>
      </c>
      <c r="X51" s="475">
        <v>5728.81</v>
      </c>
      <c r="Y51" s="475">
        <v>0</v>
      </c>
      <c r="Z51" s="475"/>
      <c r="AA51" s="338"/>
      <c r="AB51" s="475"/>
      <c r="AC51" s="476"/>
      <c r="AD51" s="475"/>
      <c r="AE51" s="338"/>
      <c r="AF51" s="505"/>
      <c r="AG51" s="476"/>
      <c r="AH51" s="505"/>
      <c r="AI51" s="476"/>
      <c r="AJ51" s="505"/>
      <c r="AK51" s="476"/>
    </row>
    <row r="52" spans="1:37">
      <c r="A52" s="492">
        <f t="shared" si="1"/>
        <v>45586</v>
      </c>
      <c r="B52" s="102" t="s">
        <v>1197</v>
      </c>
      <c r="C52" s="110" t="str">
        <f t="shared" si="0"/>
        <v>45586 1200H</v>
      </c>
      <c r="D52" s="471">
        <v>443.75</v>
      </c>
      <c r="E52" s="472">
        <v>49.65</v>
      </c>
      <c r="F52" s="471">
        <v>1102.8</v>
      </c>
      <c r="G52" s="472">
        <v>6.2</v>
      </c>
      <c r="H52" s="471">
        <v>73049.77</v>
      </c>
      <c r="I52" s="473">
        <v>883.08</v>
      </c>
      <c r="J52" s="473">
        <v>32791.269999999997</v>
      </c>
      <c r="K52" s="472">
        <v>100.1</v>
      </c>
      <c r="L52" s="471">
        <v>4916.29</v>
      </c>
      <c r="M52" s="473">
        <v>15.77</v>
      </c>
      <c r="N52" s="473">
        <v>32254.799999999999</v>
      </c>
      <c r="O52" s="473">
        <v>28.4</v>
      </c>
      <c r="P52" s="473">
        <v>501.57</v>
      </c>
      <c r="Q52" s="473">
        <v>596</v>
      </c>
      <c r="R52" s="473">
        <v>9458</v>
      </c>
      <c r="S52" s="473">
        <v>9.0399999999999991</v>
      </c>
      <c r="T52" s="473">
        <v>35077</v>
      </c>
      <c r="U52" s="473">
        <v>69</v>
      </c>
      <c r="V52" s="473">
        <v>195.44</v>
      </c>
      <c r="W52" s="473">
        <v>0.14000000000000001</v>
      </c>
      <c r="X52" s="473">
        <v>5733.93</v>
      </c>
      <c r="Y52" s="473">
        <v>0</v>
      </c>
      <c r="Z52" s="473"/>
      <c r="AA52" s="472"/>
      <c r="AB52" s="473"/>
      <c r="AC52" s="474"/>
      <c r="AD52" s="473"/>
      <c r="AE52" s="472"/>
      <c r="AF52" s="506"/>
      <c r="AG52" s="474"/>
      <c r="AH52" s="506"/>
      <c r="AI52" s="474"/>
      <c r="AJ52" s="506"/>
      <c r="AK52" s="474"/>
    </row>
    <row r="53" spans="1:37">
      <c r="A53" s="492">
        <f t="shared" si="1"/>
        <v>45587</v>
      </c>
      <c r="B53" s="102" t="s">
        <v>3267</v>
      </c>
      <c r="C53" s="110" t="str">
        <f t="shared" si="0"/>
        <v>45587 0000H</v>
      </c>
      <c r="D53" s="337">
        <v>448.39</v>
      </c>
      <c r="E53" s="338">
        <v>49.65</v>
      </c>
      <c r="F53" s="337">
        <v>1102.8</v>
      </c>
      <c r="G53" s="338">
        <v>6.2</v>
      </c>
      <c r="H53" s="337">
        <v>73056.13</v>
      </c>
      <c r="I53" s="475">
        <v>883.35</v>
      </c>
      <c r="J53" s="475">
        <v>32794.99</v>
      </c>
      <c r="K53" s="338">
        <v>100.1</v>
      </c>
      <c r="L53" s="337">
        <v>4922.13</v>
      </c>
      <c r="M53" s="475">
        <v>15.77</v>
      </c>
      <c r="N53" s="475">
        <v>32258.6</v>
      </c>
      <c r="O53" s="475">
        <v>28.4</v>
      </c>
      <c r="P53" s="475">
        <v>502.52</v>
      </c>
      <c r="Q53" s="475">
        <v>596.87</v>
      </c>
      <c r="R53" s="475">
        <v>9462.89</v>
      </c>
      <c r="S53" s="475">
        <v>9.0399999999999991</v>
      </c>
      <c r="T53" s="475">
        <v>35083</v>
      </c>
      <c r="U53" s="475">
        <v>69</v>
      </c>
      <c r="V53" s="475">
        <v>198.44</v>
      </c>
      <c r="W53" s="475">
        <v>0.14000000000000001</v>
      </c>
      <c r="X53" s="475">
        <v>5740.26</v>
      </c>
      <c r="Y53" s="475">
        <v>0</v>
      </c>
      <c r="Z53" s="475"/>
      <c r="AA53" s="338"/>
      <c r="AB53" s="475"/>
      <c r="AC53" s="476"/>
      <c r="AD53" s="475"/>
      <c r="AE53" s="338"/>
      <c r="AF53" s="505"/>
      <c r="AG53" s="476"/>
      <c r="AH53" s="505"/>
      <c r="AI53" s="476"/>
      <c r="AJ53" s="505"/>
      <c r="AK53" s="476"/>
    </row>
    <row r="54" spans="1:37">
      <c r="A54" s="492">
        <f t="shared" si="1"/>
        <v>45587</v>
      </c>
      <c r="B54" s="102" t="s">
        <v>1197</v>
      </c>
      <c r="C54" s="110" t="str">
        <f t="shared" si="0"/>
        <v>45587 1200H</v>
      </c>
      <c r="D54" s="471">
        <v>451.91</v>
      </c>
      <c r="E54" s="472">
        <v>49.65</v>
      </c>
      <c r="F54" s="471">
        <v>1102.8</v>
      </c>
      <c r="G54" s="472">
        <v>6.2</v>
      </c>
      <c r="H54" s="471">
        <v>73064.92</v>
      </c>
      <c r="I54" s="473">
        <v>883.39</v>
      </c>
      <c r="J54" s="473">
        <v>32796.32</v>
      </c>
      <c r="K54" s="472">
        <v>100.13</v>
      </c>
      <c r="L54" s="471">
        <v>4927.6400000000003</v>
      </c>
      <c r="M54" s="473">
        <v>15.77</v>
      </c>
      <c r="N54" s="473">
        <v>32262.3</v>
      </c>
      <c r="O54" s="473">
        <v>28.4</v>
      </c>
      <c r="P54" s="473">
        <v>502.9</v>
      </c>
      <c r="Q54" s="473">
        <v>597.69000000000005</v>
      </c>
      <c r="R54" s="473">
        <v>9466.3799999999992</v>
      </c>
      <c r="S54" s="473">
        <v>9.0399999999999991</v>
      </c>
      <c r="T54" s="473">
        <v>35087</v>
      </c>
      <c r="U54" s="473">
        <v>69</v>
      </c>
      <c r="V54" s="473">
        <v>200.51</v>
      </c>
      <c r="W54" s="473">
        <v>0.14000000000000001</v>
      </c>
      <c r="X54" s="473">
        <v>5745.1</v>
      </c>
      <c r="Y54" s="473">
        <v>0</v>
      </c>
      <c r="Z54" s="473"/>
      <c r="AA54" s="472"/>
      <c r="AB54" s="473"/>
      <c r="AC54" s="474"/>
      <c r="AD54" s="473"/>
      <c r="AE54" s="472"/>
      <c r="AF54" s="506"/>
      <c r="AG54" s="474"/>
      <c r="AH54" s="506"/>
      <c r="AI54" s="474"/>
      <c r="AJ54" s="506"/>
      <c r="AK54" s="474"/>
    </row>
    <row r="55" spans="1:37">
      <c r="A55" s="492">
        <f t="shared" si="1"/>
        <v>45588</v>
      </c>
      <c r="B55" s="102" t="s">
        <v>3267</v>
      </c>
      <c r="C55" s="110" t="str">
        <f t="shared" si="0"/>
        <v>45588 0000H</v>
      </c>
      <c r="D55" s="337">
        <v>456.36</v>
      </c>
      <c r="E55" s="338">
        <v>49.65</v>
      </c>
      <c r="F55" s="337">
        <v>1102.8</v>
      </c>
      <c r="G55" s="338">
        <v>6.2</v>
      </c>
      <c r="H55" s="337">
        <v>73075.16</v>
      </c>
      <c r="I55" s="475">
        <v>883.29</v>
      </c>
      <c r="J55" s="475">
        <v>32800.01</v>
      </c>
      <c r="K55" s="338">
        <v>100.13</v>
      </c>
      <c r="L55" s="337">
        <v>4933.47</v>
      </c>
      <c r="M55" s="475">
        <v>15.77</v>
      </c>
      <c r="N55" s="475">
        <v>32266.1</v>
      </c>
      <c r="O55" s="475">
        <v>28.4</v>
      </c>
      <c r="P55" s="475">
        <v>503.82</v>
      </c>
      <c r="Q55" s="475">
        <v>598.08000000000004</v>
      </c>
      <c r="R55" s="475">
        <v>9470.56</v>
      </c>
      <c r="S55" s="475">
        <v>9.0399999999999991</v>
      </c>
      <c r="T55" s="475">
        <v>35093</v>
      </c>
      <c r="U55" s="475">
        <v>69</v>
      </c>
      <c r="V55" s="475">
        <v>202.84</v>
      </c>
      <c r="W55" s="475">
        <v>0.14000000000000001</v>
      </c>
      <c r="X55" s="475">
        <v>5751.24</v>
      </c>
      <c r="Y55" s="475">
        <v>0</v>
      </c>
      <c r="Z55" s="475"/>
      <c r="AA55" s="338"/>
      <c r="AB55" s="475"/>
      <c r="AC55" s="476"/>
      <c r="AD55" s="475"/>
      <c r="AE55" s="338"/>
      <c r="AF55" s="505"/>
      <c r="AG55" s="476"/>
      <c r="AH55" s="505"/>
      <c r="AI55" s="476"/>
      <c r="AJ55" s="505"/>
      <c r="AK55" s="476"/>
    </row>
    <row r="56" spans="1:37">
      <c r="A56" s="492">
        <f t="shared" si="1"/>
        <v>45588</v>
      </c>
      <c r="B56" s="102" t="s">
        <v>1197</v>
      </c>
      <c r="C56" s="110" t="str">
        <f t="shared" si="0"/>
        <v>45588 1200H</v>
      </c>
      <c r="D56" s="471">
        <v>460.25</v>
      </c>
      <c r="E56" s="472">
        <v>49.65</v>
      </c>
      <c r="F56" s="471">
        <v>1102.8</v>
      </c>
      <c r="G56" s="472">
        <v>6.2</v>
      </c>
      <c r="H56" s="471">
        <v>73085.23</v>
      </c>
      <c r="I56" s="473">
        <v>883.29</v>
      </c>
      <c r="J56" s="473">
        <v>32801.08</v>
      </c>
      <c r="K56" s="472">
        <v>100.19</v>
      </c>
      <c r="L56" s="471">
        <v>4939.07</v>
      </c>
      <c r="M56" s="473">
        <v>15.77</v>
      </c>
      <c r="N56" s="473">
        <v>32269.5</v>
      </c>
      <c r="O56" s="473">
        <v>28.4</v>
      </c>
      <c r="P56" s="473">
        <v>504.06</v>
      </c>
      <c r="Q56" s="473">
        <v>599</v>
      </c>
      <c r="R56" s="473">
        <v>9474.0400000000009</v>
      </c>
      <c r="S56" s="473">
        <v>9.0399999999999991</v>
      </c>
      <c r="T56" s="473">
        <v>35099</v>
      </c>
      <c r="U56" s="473">
        <v>69</v>
      </c>
      <c r="V56" s="473">
        <v>204.01</v>
      </c>
      <c r="W56" s="473">
        <v>0.14000000000000001</v>
      </c>
      <c r="X56" s="473">
        <v>5756.71</v>
      </c>
      <c r="Y56" s="473">
        <v>0</v>
      </c>
      <c r="Z56" s="473"/>
      <c r="AA56" s="472"/>
      <c r="AB56" s="473"/>
      <c r="AC56" s="474"/>
      <c r="AD56" s="473"/>
      <c r="AE56" s="472"/>
      <c r="AF56" s="506"/>
      <c r="AG56" s="474"/>
      <c r="AH56" s="506"/>
      <c r="AI56" s="474"/>
      <c r="AJ56" s="506"/>
      <c r="AK56" s="474"/>
    </row>
    <row r="57" spans="1:37">
      <c r="A57" s="492">
        <f t="shared" si="1"/>
        <v>45589</v>
      </c>
      <c r="B57" s="102" t="s">
        <v>3267</v>
      </c>
      <c r="C57" s="110" t="str">
        <f t="shared" si="0"/>
        <v>45589 0000H</v>
      </c>
      <c r="D57" s="337">
        <v>464.1</v>
      </c>
      <c r="E57" s="338">
        <v>49.65</v>
      </c>
      <c r="F57" s="337">
        <v>1102.8</v>
      </c>
      <c r="G57" s="338">
        <v>6.2</v>
      </c>
      <c r="H57" s="337">
        <v>73091.509999999995</v>
      </c>
      <c r="I57" s="475">
        <v>883.5</v>
      </c>
      <c r="J57" s="475">
        <v>32804.44</v>
      </c>
      <c r="K57" s="338">
        <v>100.19</v>
      </c>
      <c r="L57" s="337">
        <v>4944.72</v>
      </c>
      <c r="M57" s="475">
        <v>15.77</v>
      </c>
      <c r="N57" s="475">
        <v>32273.200000000001</v>
      </c>
      <c r="O57" s="475">
        <v>28.4</v>
      </c>
      <c r="P57" s="475">
        <v>504.11</v>
      </c>
      <c r="Q57" s="475">
        <v>599.99</v>
      </c>
      <c r="R57" s="475">
        <v>9478.1200000000008</v>
      </c>
      <c r="S57" s="475">
        <v>9.0399999999999991</v>
      </c>
      <c r="T57" s="475">
        <v>35104</v>
      </c>
      <c r="U57" s="475">
        <v>69</v>
      </c>
      <c r="V57" s="475">
        <v>204.25</v>
      </c>
      <c r="W57" s="475">
        <v>0.14000000000000001</v>
      </c>
      <c r="X57" s="475">
        <v>5760.84</v>
      </c>
      <c r="Y57" s="475">
        <v>0</v>
      </c>
      <c r="Z57" s="475"/>
      <c r="AA57" s="338"/>
      <c r="AB57" s="475"/>
      <c r="AC57" s="476"/>
      <c r="AD57" s="475"/>
      <c r="AE57" s="338"/>
      <c r="AF57" s="505"/>
      <c r="AG57" s="476"/>
      <c r="AH57" s="505"/>
      <c r="AI57" s="476"/>
      <c r="AJ57" s="505"/>
      <c r="AK57" s="476"/>
    </row>
    <row r="58" spans="1:37">
      <c r="A58" s="492">
        <f t="shared" si="1"/>
        <v>45589</v>
      </c>
      <c r="B58" s="102" t="s">
        <v>1197</v>
      </c>
      <c r="C58" s="110" t="str">
        <f t="shared" si="0"/>
        <v>45589 1200H</v>
      </c>
      <c r="D58" s="471">
        <v>467.84</v>
      </c>
      <c r="E58" s="472">
        <v>49.65</v>
      </c>
      <c r="F58" s="471">
        <v>1102.8</v>
      </c>
      <c r="G58" s="472">
        <v>6.2</v>
      </c>
      <c r="H58" s="471">
        <v>73091.899999999994</v>
      </c>
      <c r="I58" s="473">
        <v>883.97</v>
      </c>
      <c r="J58" s="473">
        <v>32805</v>
      </c>
      <c r="K58" s="472">
        <v>100.25</v>
      </c>
      <c r="L58" s="471">
        <v>4950.37</v>
      </c>
      <c r="M58" s="473">
        <v>15.77</v>
      </c>
      <c r="N58" s="473">
        <v>32275.8</v>
      </c>
      <c r="O58" s="473">
        <v>29.4</v>
      </c>
      <c r="P58" s="473">
        <v>504.23</v>
      </c>
      <c r="Q58" s="473">
        <v>600.84</v>
      </c>
      <c r="R58" s="473">
        <v>9481.66</v>
      </c>
      <c r="S58" s="473">
        <v>9.0399999999999991</v>
      </c>
      <c r="T58" s="473">
        <v>35109</v>
      </c>
      <c r="U58" s="473">
        <v>69</v>
      </c>
      <c r="V58" s="473">
        <v>204.41</v>
      </c>
      <c r="W58" s="473">
        <v>0.15</v>
      </c>
      <c r="X58" s="473">
        <v>5764.25</v>
      </c>
      <c r="Y58" s="473">
        <v>0</v>
      </c>
      <c r="Z58" s="473"/>
      <c r="AA58" s="472"/>
      <c r="AB58" s="473"/>
      <c r="AC58" s="474"/>
      <c r="AD58" s="473"/>
      <c r="AE58" s="472"/>
      <c r="AF58" s="506"/>
      <c r="AG58" s="474"/>
      <c r="AH58" s="506"/>
      <c r="AI58" s="474"/>
      <c r="AJ58" s="506"/>
      <c r="AK58" s="474"/>
    </row>
    <row r="59" spans="1:37">
      <c r="A59" s="492">
        <f t="shared" si="1"/>
        <v>45590</v>
      </c>
      <c r="B59" s="102" t="s">
        <v>3267</v>
      </c>
      <c r="C59" s="110" t="str">
        <f t="shared" si="0"/>
        <v>45590 0000H</v>
      </c>
      <c r="D59" s="337">
        <v>472.07</v>
      </c>
      <c r="E59" s="338">
        <v>49.65</v>
      </c>
      <c r="F59" s="337">
        <v>1102.8</v>
      </c>
      <c r="G59" s="338">
        <v>6.2</v>
      </c>
      <c r="H59" s="337">
        <v>73101.740000000005</v>
      </c>
      <c r="I59" s="475">
        <v>883.97</v>
      </c>
      <c r="J59" s="475">
        <v>32808.15</v>
      </c>
      <c r="K59" s="338">
        <v>100.28</v>
      </c>
      <c r="L59" s="337">
        <v>4955.9399999999996</v>
      </c>
      <c r="M59" s="475">
        <v>15.77</v>
      </c>
      <c r="N59" s="475">
        <v>32279.4</v>
      </c>
      <c r="O59" s="475">
        <v>28.4</v>
      </c>
      <c r="P59" s="475">
        <v>504.27</v>
      </c>
      <c r="Q59" s="475">
        <v>601.99</v>
      </c>
      <c r="R59" s="475">
        <v>9485.7999999999993</v>
      </c>
      <c r="S59" s="475">
        <v>9.0399999999999991</v>
      </c>
      <c r="T59" s="475">
        <v>35115</v>
      </c>
      <c r="U59" s="475">
        <v>69</v>
      </c>
      <c r="V59" s="475">
        <v>204.41</v>
      </c>
      <c r="W59" s="475">
        <v>0.15</v>
      </c>
      <c r="X59" s="475">
        <v>5768.48</v>
      </c>
      <c r="Y59" s="475">
        <v>0</v>
      </c>
      <c r="Z59" s="475">
        <v>54150</v>
      </c>
      <c r="AA59" s="338">
        <v>78</v>
      </c>
      <c r="AB59" s="475"/>
      <c r="AC59" s="476"/>
      <c r="AD59" s="475"/>
      <c r="AE59" s="338"/>
      <c r="AF59" s="505"/>
      <c r="AG59" s="476"/>
      <c r="AH59" s="505"/>
      <c r="AI59" s="476"/>
      <c r="AJ59" s="505"/>
      <c r="AK59" s="476"/>
    </row>
    <row r="60" spans="1:37" ht="14.45" thickBot="1">
      <c r="A60" s="498">
        <f t="shared" si="1"/>
        <v>45590</v>
      </c>
      <c r="B60" s="499" t="s">
        <v>1197</v>
      </c>
      <c r="C60" s="493" t="str">
        <f t="shared" si="0"/>
        <v>45590 1200H</v>
      </c>
      <c r="D60" s="494">
        <v>475.53</v>
      </c>
      <c r="E60" s="495">
        <v>49.65</v>
      </c>
      <c r="F60" s="494">
        <v>1102.8</v>
      </c>
      <c r="G60" s="495">
        <v>6.2</v>
      </c>
      <c r="H60" s="494">
        <v>73111.7</v>
      </c>
      <c r="I60" s="496">
        <v>883.97</v>
      </c>
      <c r="J60" s="496">
        <v>32809.199999999997</v>
      </c>
      <c r="K60" s="495">
        <v>100.31</v>
      </c>
      <c r="L60" s="494">
        <v>4961.59</v>
      </c>
      <c r="M60" s="496">
        <v>15.77</v>
      </c>
      <c r="N60" s="496">
        <v>32281.3</v>
      </c>
      <c r="O60" s="496">
        <v>28.5</v>
      </c>
      <c r="P60" s="496">
        <v>504.3</v>
      </c>
      <c r="Q60" s="496">
        <v>603.05999999999995</v>
      </c>
      <c r="R60" s="496">
        <v>9489.31</v>
      </c>
      <c r="S60" s="496">
        <v>9.0399999999999991</v>
      </c>
      <c r="T60" s="496">
        <v>35120</v>
      </c>
      <c r="U60" s="496">
        <v>69</v>
      </c>
      <c r="V60" s="496">
        <v>204.73</v>
      </c>
      <c r="W60" s="496">
        <v>0.15</v>
      </c>
      <c r="X60" s="496">
        <v>5773.06</v>
      </c>
      <c r="Y60" s="496">
        <v>0</v>
      </c>
      <c r="Z60" s="496">
        <v>54150</v>
      </c>
      <c r="AA60" s="495">
        <v>78</v>
      </c>
      <c r="AB60" s="496"/>
      <c r="AC60" s="497"/>
      <c r="AD60" s="496"/>
      <c r="AE60" s="495"/>
      <c r="AF60" s="510"/>
      <c r="AG60" s="497"/>
      <c r="AH60" s="510"/>
      <c r="AI60" s="497"/>
      <c r="AJ60" s="510"/>
      <c r="AK60" s="497"/>
    </row>
    <row r="61" spans="1:37" s="479" customFormat="1" ht="14.45" thickBot="1">
      <c r="A61" s="477"/>
      <c r="B61" s="477"/>
      <c r="C61" s="477"/>
      <c r="D61" s="478"/>
      <c r="E61" s="478"/>
      <c r="F61" s="478"/>
      <c r="G61" s="478"/>
      <c r="H61" s="478"/>
      <c r="I61" s="478"/>
      <c r="J61" s="478"/>
      <c r="K61" s="478"/>
      <c r="L61" s="478"/>
      <c r="M61" s="478"/>
      <c r="N61" s="478"/>
      <c r="O61" s="478"/>
      <c r="P61" s="478"/>
      <c r="Q61" s="478"/>
      <c r="R61" s="478"/>
      <c r="S61" s="478"/>
      <c r="T61" s="478"/>
      <c r="U61" s="478"/>
      <c r="V61" s="478"/>
      <c r="W61" s="478"/>
      <c r="X61" s="478"/>
      <c r="Y61" s="478"/>
      <c r="Z61" s="478"/>
      <c r="AA61" s="478"/>
      <c r="AB61" s="478"/>
      <c r="AC61" s="478"/>
      <c r="AD61" s="478"/>
      <c r="AE61" s="478"/>
      <c r="AF61" s="511"/>
      <c r="AG61" s="512"/>
      <c r="AH61" s="511"/>
      <c r="AI61" s="512"/>
      <c r="AJ61" s="511"/>
      <c r="AK61" s="512"/>
    </row>
    <row r="62" spans="1:37">
      <c r="A62" s="485">
        <f>A59+1</f>
        <v>45591</v>
      </c>
      <c r="B62" s="486" t="s">
        <v>3267</v>
      </c>
      <c r="C62" s="487" t="str">
        <f t="shared" ref="C62:C93" si="2">A62 &amp; " " &amp;B62</f>
        <v>45591 0000H</v>
      </c>
      <c r="D62" s="488">
        <v>480.04</v>
      </c>
      <c r="E62" s="489">
        <v>49.65</v>
      </c>
      <c r="F62" s="488">
        <v>1102.8</v>
      </c>
      <c r="G62" s="489">
        <v>6.2</v>
      </c>
      <c r="H62" s="488">
        <v>73121.66</v>
      </c>
      <c r="I62" s="490">
        <v>883.97</v>
      </c>
      <c r="J62" s="490">
        <v>32809.75</v>
      </c>
      <c r="K62" s="489">
        <v>100.44</v>
      </c>
      <c r="L62" s="488">
        <v>4967.33</v>
      </c>
      <c r="M62" s="490">
        <v>15.77</v>
      </c>
      <c r="N62" s="490">
        <v>32285</v>
      </c>
      <c r="O62" s="490">
        <v>28.5</v>
      </c>
      <c r="P62" s="490">
        <v>504.75</v>
      </c>
      <c r="Q62" s="490">
        <v>603.66999999999996</v>
      </c>
      <c r="R62" s="490">
        <v>9493.25</v>
      </c>
      <c r="S62" s="490">
        <v>9.0399999999999991</v>
      </c>
      <c r="T62" s="490">
        <v>35126</v>
      </c>
      <c r="U62" s="490">
        <v>69</v>
      </c>
      <c r="V62" s="490">
        <v>204.73</v>
      </c>
      <c r="W62" s="490">
        <v>0.15</v>
      </c>
      <c r="X62" s="490">
        <v>5776.45</v>
      </c>
      <c r="Y62" s="490">
        <v>0</v>
      </c>
      <c r="Z62" s="490">
        <v>54150</v>
      </c>
      <c r="AA62" s="489">
        <v>78</v>
      </c>
      <c r="AB62" s="490"/>
      <c r="AC62" s="491"/>
      <c r="AD62" s="490"/>
      <c r="AE62" s="489"/>
      <c r="AF62" s="509"/>
      <c r="AG62" s="491"/>
      <c r="AH62" s="509"/>
      <c r="AI62" s="491"/>
      <c r="AJ62" s="509"/>
      <c r="AK62" s="491"/>
    </row>
    <row r="63" spans="1:37">
      <c r="A63" s="492">
        <f>A60+1</f>
        <v>45591</v>
      </c>
      <c r="B63" s="102" t="s">
        <v>1197</v>
      </c>
      <c r="C63" s="110" t="str">
        <f t="shared" si="2"/>
        <v>45591 1200H</v>
      </c>
      <c r="D63" s="471">
        <v>483.38</v>
      </c>
      <c r="E63" s="472">
        <v>49.66</v>
      </c>
      <c r="F63" s="471">
        <v>1102.8</v>
      </c>
      <c r="G63" s="472">
        <v>6.2</v>
      </c>
      <c r="H63" s="471">
        <v>73129</v>
      </c>
      <c r="I63" s="473">
        <v>884.03</v>
      </c>
      <c r="J63" s="473">
        <v>32809.75</v>
      </c>
      <c r="K63" s="472">
        <v>100.44</v>
      </c>
      <c r="L63" s="471">
        <v>4971.5200000000004</v>
      </c>
      <c r="M63" s="473">
        <v>15.77</v>
      </c>
      <c r="N63" s="473">
        <v>32287.8</v>
      </c>
      <c r="O63" s="473">
        <v>28.5</v>
      </c>
      <c r="P63" s="473">
        <v>504.79</v>
      </c>
      <c r="Q63" s="473">
        <v>604.4</v>
      </c>
      <c r="R63" s="473">
        <v>9495.91</v>
      </c>
      <c r="S63" s="473">
        <v>9.0399999999999991</v>
      </c>
      <c r="T63" s="473">
        <v>35131</v>
      </c>
      <c r="U63" s="473">
        <v>69</v>
      </c>
      <c r="V63" s="473">
        <v>205.96</v>
      </c>
      <c r="W63" s="473">
        <v>0.15</v>
      </c>
      <c r="X63" s="473">
        <v>5781.43</v>
      </c>
      <c r="Y63" s="473">
        <v>0</v>
      </c>
      <c r="Z63" s="473">
        <v>54150</v>
      </c>
      <c r="AA63" s="472">
        <v>78</v>
      </c>
      <c r="AB63" s="473"/>
      <c r="AC63" s="474"/>
      <c r="AD63" s="473"/>
      <c r="AE63" s="472"/>
      <c r="AF63" s="506"/>
      <c r="AG63" s="474"/>
      <c r="AH63" s="506"/>
      <c r="AI63" s="474"/>
      <c r="AJ63" s="506"/>
      <c r="AK63" s="474"/>
    </row>
    <row r="64" spans="1:37">
      <c r="A64" s="492">
        <f t="shared" ref="A64:A95" si="3">A62+1</f>
        <v>45592</v>
      </c>
      <c r="B64" s="102" t="s">
        <v>3267</v>
      </c>
      <c r="C64" s="110" t="str">
        <f t="shared" si="2"/>
        <v>45592 0000H</v>
      </c>
      <c r="D64" s="337">
        <v>487.23</v>
      </c>
      <c r="E64" s="338">
        <v>49.66</v>
      </c>
      <c r="F64" s="337">
        <v>1102.8</v>
      </c>
      <c r="G64" s="338">
        <v>6.2</v>
      </c>
      <c r="H64" s="337">
        <v>73139.22</v>
      </c>
      <c r="I64" s="475">
        <v>884.03</v>
      </c>
      <c r="J64" s="475">
        <v>32809.75</v>
      </c>
      <c r="K64" s="338">
        <v>100.44</v>
      </c>
      <c r="L64" s="337">
        <v>4976.8999999999996</v>
      </c>
      <c r="M64" s="475">
        <v>15.77</v>
      </c>
      <c r="N64" s="475">
        <v>32293.5</v>
      </c>
      <c r="O64" s="475">
        <v>28.5</v>
      </c>
      <c r="P64" s="475">
        <v>504.87</v>
      </c>
      <c r="Q64" s="475">
        <v>605.47</v>
      </c>
      <c r="R64" s="475">
        <v>9499.92</v>
      </c>
      <c r="S64" s="475">
        <v>9.0399999999999991</v>
      </c>
      <c r="T64" s="475">
        <v>35136</v>
      </c>
      <c r="U64" s="475">
        <v>69</v>
      </c>
      <c r="V64" s="475">
        <v>205.96</v>
      </c>
      <c r="W64" s="475">
        <v>0.15</v>
      </c>
      <c r="X64" s="475">
        <v>5785.37</v>
      </c>
      <c r="Y64" s="475">
        <v>0</v>
      </c>
      <c r="Z64" s="475">
        <v>54150</v>
      </c>
      <c r="AA64" s="338">
        <v>78</v>
      </c>
      <c r="AB64" s="475"/>
      <c r="AC64" s="476"/>
      <c r="AD64" s="475"/>
      <c r="AE64" s="338"/>
      <c r="AF64" s="505"/>
      <c r="AG64" s="476"/>
      <c r="AH64" s="505"/>
      <c r="AI64" s="476"/>
      <c r="AJ64" s="505"/>
      <c r="AK64" s="476"/>
    </row>
    <row r="65" spans="1:37">
      <c r="A65" s="492">
        <f t="shared" si="3"/>
        <v>45592</v>
      </c>
      <c r="B65" s="102" t="s">
        <v>1197</v>
      </c>
      <c r="C65" s="110" t="str">
        <f t="shared" si="2"/>
        <v>45592 1200H</v>
      </c>
      <c r="D65" s="471">
        <v>490.59</v>
      </c>
      <c r="E65" s="472">
        <v>49.66</v>
      </c>
      <c r="F65" s="471">
        <v>1102.8</v>
      </c>
      <c r="G65" s="472">
        <v>6.2</v>
      </c>
      <c r="H65" s="471">
        <v>73149</v>
      </c>
      <c r="I65" s="473">
        <v>884.00300000000004</v>
      </c>
      <c r="J65" s="473">
        <v>32809.75</v>
      </c>
      <c r="K65" s="472">
        <v>100.57</v>
      </c>
      <c r="L65" s="471">
        <v>4982.0600000000004</v>
      </c>
      <c r="M65" s="473">
        <v>15.77</v>
      </c>
      <c r="N65" s="473">
        <v>32295.7</v>
      </c>
      <c r="O65" s="473">
        <v>28.6</v>
      </c>
      <c r="P65" s="473">
        <v>505.09</v>
      </c>
      <c r="Q65" s="473">
        <v>606.36</v>
      </c>
      <c r="R65" s="473">
        <v>9502.75</v>
      </c>
      <c r="S65" s="473">
        <v>9.0399999999999991</v>
      </c>
      <c r="T65" s="473">
        <v>35140</v>
      </c>
      <c r="U65" s="473">
        <v>69</v>
      </c>
      <c r="V65" s="473">
        <v>205.96</v>
      </c>
      <c r="W65" s="473">
        <v>0.15</v>
      </c>
      <c r="X65" s="473">
        <v>5789.43</v>
      </c>
      <c r="Y65" s="473">
        <v>0</v>
      </c>
      <c r="Z65" s="473">
        <v>54150</v>
      </c>
      <c r="AA65" s="472">
        <v>78</v>
      </c>
      <c r="AB65" s="473"/>
      <c r="AC65" s="474"/>
      <c r="AD65" s="473"/>
      <c r="AE65" s="472"/>
      <c r="AF65" s="506"/>
      <c r="AG65" s="474"/>
      <c r="AH65" s="506"/>
      <c r="AI65" s="474"/>
      <c r="AJ65" s="506"/>
      <c r="AK65" s="474"/>
    </row>
    <row r="66" spans="1:37">
      <c r="A66" s="492">
        <f t="shared" si="3"/>
        <v>45593</v>
      </c>
      <c r="B66" s="102" t="s">
        <v>3267</v>
      </c>
      <c r="C66" s="110" t="str">
        <f t="shared" si="2"/>
        <v>45593 0000H</v>
      </c>
      <c r="D66" s="337">
        <v>495.33</v>
      </c>
      <c r="E66" s="338">
        <v>49.66</v>
      </c>
      <c r="F66" s="337">
        <v>1102.8</v>
      </c>
      <c r="G66" s="338">
        <v>6.2</v>
      </c>
      <c r="H66" s="337">
        <v>73157.759999999995</v>
      </c>
      <c r="I66" s="475">
        <v>884.11</v>
      </c>
      <c r="J66" s="475">
        <v>32809.949999999997</v>
      </c>
      <c r="K66" s="338">
        <v>100.65</v>
      </c>
      <c r="L66" s="337">
        <v>4987.41</v>
      </c>
      <c r="M66" s="475">
        <v>15.77</v>
      </c>
      <c r="N66" s="475">
        <v>32302.5</v>
      </c>
      <c r="O66" s="475">
        <v>28.6</v>
      </c>
      <c r="P66" s="475">
        <v>505.48</v>
      </c>
      <c r="Q66" s="475">
        <v>607.02</v>
      </c>
      <c r="R66" s="475">
        <v>9506.91</v>
      </c>
      <c r="S66" s="475">
        <v>9.0399999999999991</v>
      </c>
      <c r="T66" s="475">
        <v>35147</v>
      </c>
      <c r="U66" s="475">
        <v>69</v>
      </c>
      <c r="V66" s="475">
        <v>205.96</v>
      </c>
      <c r="W66" s="475">
        <v>0.15</v>
      </c>
      <c r="X66" s="475">
        <v>5796.29</v>
      </c>
      <c r="Y66" s="475">
        <v>0</v>
      </c>
      <c r="Z66" s="475">
        <v>54150</v>
      </c>
      <c r="AA66" s="338">
        <v>78</v>
      </c>
      <c r="AB66" s="475"/>
      <c r="AC66" s="476"/>
      <c r="AD66" s="475"/>
      <c r="AE66" s="338"/>
      <c r="AF66" s="505"/>
      <c r="AG66" s="476"/>
      <c r="AH66" s="505"/>
      <c r="AI66" s="476"/>
      <c r="AJ66" s="505"/>
      <c r="AK66" s="476"/>
    </row>
    <row r="67" spans="1:37">
      <c r="A67" s="492">
        <f t="shared" si="3"/>
        <v>45593</v>
      </c>
      <c r="B67" s="102" t="s">
        <v>1197</v>
      </c>
      <c r="C67" s="110" t="str">
        <f t="shared" si="2"/>
        <v>45593 1200H</v>
      </c>
      <c r="D67" s="471">
        <v>498.89</v>
      </c>
      <c r="E67" s="472">
        <v>49.66</v>
      </c>
      <c r="F67" s="471">
        <v>1102.8</v>
      </c>
      <c r="G67" s="472">
        <v>6.2</v>
      </c>
      <c r="H67" s="471">
        <v>73160.42</v>
      </c>
      <c r="I67" s="473">
        <v>884.43</v>
      </c>
      <c r="J67" s="473">
        <v>32812.83</v>
      </c>
      <c r="K67" s="472">
        <v>100.67</v>
      </c>
      <c r="L67" s="471">
        <v>4992.8</v>
      </c>
      <c r="M67" s="473">
        <v>15.77</v>
      </c>
      <c r="N67" s="473">
        <v>32307.5</v>
      </c>
      <c r="O67" s="473">
        <v>28.6</v>
      </c>
      <c r="P67" s="473">
        <v>506.38</v>
      </c>
      <c r="Q67" s="473">
        <v>607.67999999999995</v>
      </c>
      <c r="R67" s="473">
        <v>9510.4500000000007</v>
      </c>
      <c r="S67" s="473">
        <v>9.0399999999999991</v>
      </c>
      <c r="T67" s="473">
        <v>35153</v>
      </c>
      <c r="U67" s="473">
        <v>69</v>
      </c>
      <c r="V67" s="473">
        <v>205.96</v>
      </c>
      <c r="W67" s="473">
        <v>0.15</v>
      </c>
      <c r="X67" s="473">
        <v>5802.17</v>
      </c>
      <c r="Y67" s="473"/>
      <c r="Z67" s="473">
        <v>54150</v>
      </c>
      <c r="AA67" s="472">
        <v>78</v>
      </c>
      <c r="AB67" s="473"/>
      <c r="AC67" s="474"/>
      <c r="AD67" s="473"/>
      <c r="AE67" s="472"/>
      <c r="AF67" s="506"/>
      <c r="AG67" s="474"/>
      <c r="AH67" s="506"/>
      <c r="AI67" s="474"/>
      <c r="AJ67" s="506"/>
      <c r="AK67" s="474"/>
    </row>
    <row r="68" spans="1:37">
      <c r="A68" s="492">
        <f t="shared" si="3"/>
        <v>45594</v>
      </c>
      <c r="B68" s="102" t="s">
        <v>3267</v>
      </c>
      <c r="C68" s="110" t="str">
        <f t="shared" si="2"/>
        <v>45594 0000H</v>
      </c>
      <c r="D68" s="337">
        <v>503.46</v>
      </c>
      <c r="E68" s="338">
        <v>49.66</v>
      </c>
      <c r="F68" s="337">
        <v>1102.8</v>
      </c>
      <c r="G68" s="338">
        <v>6.2</v>
      </c>
      <c r="H68" s="337">
        <v>73168.95</v>
      </c>
      <c r="I68" s="475">
        <v>884.51</v>
      </c>
      <c r="J68" s="475">
        <v>32816.35</v>
      </c>
      <c r="K68" s="338">
        <v>100.67</v>
      </c>
      <c r="L68" s="337">
        <v>4998.3500000000004</v>
      </c>
      <c r="M68" s="475">
        <v>15.77</v>
      </c>
      <c r="N68" s="475">
        <v>32315.1</v>
      </c>
      <c r="O68" s="475">
        <v>28.6</v>
      </c>
      <c r="P68" s="475">
        <v>507.91</v>
      </c>
      <c r="Q68" s="475">
        <v>608.16999999999996</v>
      </c>
      <c r="R68" s="475">
        <v>9514.85</v>
      </c>
      <c r="S68" s="475">
        <v>9.0399999999999991</v>
      </c>
      <c r="T68" s="475">
        <v>35160</v>
      </c>
      <c r="U68" s="475">
        <v>69</v>
      </c>
      <c r="V68" s="475">
        <v>205.96</v>
      </c>
      <c r="W68" s="475">
        <v>0.15</v>
      </c>
      <c r="X68" s="475">
        <v>5809.3</v>
      </c>
      <c r="Y68" s="475">
        <v>0</v>
      </c>
      <c r="Z68" s="475">
        <v>54150</v>
      </c>
      <c r="AA68" s="338">
        <v>78</v>
      </c>
      <c r="AB68" s="475"/>
      <c r="AC68" s="476"/>
      <c r="AD68" s="475"/>
      <c r="AE68" s="338"/>
      <c r="AF68" s="505"/>
      <c r="AG68" s="476"/>
      <c r="AH68" s="505"/>
      <c r="AI68" s="476"/>
      <c r="AJ68" s="505"/>
      <c r="AK68" s="476"/>
    </row>
    <row r="69" spans="1:37">
      <c r="A69" s="492">
        <f t="shared" si="3"/>
        <v>45594</v>
      </c>
      <c r="B69" s="102" t="s">
        <v>1197</v>
      </c>
      <c r="C69" s="110" t="str">
        <f t="shared" si="2"/>
        <v>45594 1200H</v>
      </c>
      <c r="D69" s="471">
        <v>506.95</v>
      </c>
      <c r="E69" s="472">
        <v>49.66</v>
      </c>
      <c r="F69" s="471">
        <v>1102.8</v>
      </c>
      <c r="G69" s="472">
        <v>6.2</v>
      </c>
      <c r="H69" s="471">
        <v>73175.3</v>
      </c>
      <c r="I69" s="473">
        <v>884.65</v>
      </c>
      <c r="J69" s="473">
        <v>32818.43</v>
      </c>
      <c r="K69" s="472">
        <v>100.7</v>
      </c>
      <c r="L69" s="471">
        <v>5003.87</v>
      </c>
      <c r="M69" s="473">
        <v>15.77</v>
      </c>
      <c r="N69" s="473">
        <v>32319.599999999999</v>
      </c>
      <c r="O69" s="473">
        <v>28.6</v>
      </c>
      <c r="P69" s="473">
        <v>508.25</v>
      </c>
      <c r="Q69" s="473">
        <v>608.86</v>
      </c>
      <c r="R69" s="473">
        <v>9518.35</v>
      </c>
      <c r="S69" s="473">
        <v>9.0399999999999991</v>
      </c>
      <c r="T69" s="473">
        <v>35167</v>
      </c>
      <c r="U69" s="473">
        <v>69</v>
      </c>
      <c r="V69" s="473">
        <v>205.96</v>
      </c>
      <c r="W69" s="473">
        <v>0.15</v>
      </c>
      <c r="X69" s="473">
        <v>5815.29</v>
      </c>
      <c r="Y69" s="473">
        <v>0</v>
      </c>
      <c r="Z69" s="473">
        <v>54150</v>
      </c>
      <c r="AA69" s="472">
        <v>78</v>
      </c>
      <c r="AB69" s="473"/>
      <c r="AC69" s="474"/>
      <c r="AD69" s="473"/>
      <c r="AE69" s="472"/>
      <c r="AF69" s="506"/>
      <c r="AG69" s="474"/>
      <c r="AH69" s="506"/>
      <c r="AI69" s="474"/>
      <c r="AJ69" s="506"/>
      <c r="AK69" s="474"/>
    </row>
    <row r="70" spans="1:37">
      <c r="A70" s="492">
        <f t="shared" si="3"/>
        <v>45595</v>
      </c>
      <c r="B70" s="102" t="s">
        <v>3267</v>
      </c>
      <c r="C70" s="110" t="str">
        <f t="shared" si="2"/>
        <v>45595 0000H</v>
      </c>
      <c r="D70" s="337">
        <v>511.52</v>
      </c>
      <c r="E70" s="338">
        <v>49.66</v>
      </c>
      <c r="F70" s="337">
        <v>1102.8</v>
      </c>
      <c r="G70" s="338">
        <v>6.2</v>
      </c>
      <c r="H70" s="337">
        <v>73185.8</v>
      </c>
      <c r="I70" s="475">
        <v>884.68</v>
      </c>
      <c r="J70" s="475">
        <v>32821.949999999997</v>
      </c>
      <c r="K70" s="338">
        <v>100.71</v>
      </c>
      <c r="L70" s="337">
        <v>5009.45</v>
      </c>
      <c r="M70" s="475">
        <v>15.77</v>
      </c>
      <c r="N70" s="475">
        <v>32327.1</v>
      </c>
      <c r="O70" s="475">
        <v>28.6</v>
      </c>
      <c r="P70" s="475">
        <v>509.85</v>
      </c>
      <c r="Q70" s="475">
        <v>609.21</v>
      </c>
      <c r="R70" s="475">
        <v>9522.77</v>
      </c>
      <c r="S70" s="475">
        <v>9.0399999999999991</v>
      </c>
      <c r="T70" s="475">
        <v>35174</v>
      </c>
      <c r="U70" s="475">
        <v>69</v>
      </c>
      <c r="V70" s="475">
        <v>205.96</v>
      </c>
      <c r="W70" s="475">
        <v>0.15</v>
      </c>
      <c r="X70" s="475">
        <v>5822.7</v>
      </c>
      <c r="Y70" s="475">
        <v>0</v>
      </c>
      <c r="Z70" s="475">
        <v>54150</v>
      </c>
      <c r="AA70" s="338">
        <v>78</v>
      </c>
      <c r="AB70" s="475"/>
      <c r="AC70" s="476"/>
      <c r="AD70" s="475"/>
      <c r="AE70" s="338"/>
      <c r="AF70" s="505"/>
      <c r="AG70" s="476"/>
      <c r="AH70" s="505"/>
      <c r="AI70" s="476"/>
      <c r="AJ70" s="505"/>
      <c r="AK70" s="476"/>
    </row>
    <row r="71" spans="1:37">
      <c r="A71" s="492">
        <f t="shared" si="3"/>
        <v>45595</v>
      </c>
      <c r="B71" s="102" t="s">
        <v>1197</v>
      </c>
      <c r="C71" s="110" t="str">
        <f t="shared" si="2"/>
        <v>45595 1200H</v>
      </c>
      <c r="D71" s="471">
        <v>515.05999999999995</v>
      </c>
      <c r="E71" s="472">
        <v>49.66</v>
      </c>
      <c r="F71" s="471">
        <v>1102.8</v>
      </c>
      <c r="G71" s="472">
        <v>6.2</v>
      </c>
      <c r="H71" s="471">
        <v>73195.97</v>
      </c>
      <c r="I71" s="473">
        <v>884.68</v>
      </c>
      <c r="J71" s="473">
        <v>32823.22</v>
      </c>
      <c r="K71" s="472">
        <v>100.76</v>
      </c>
      <c r="L71" s="471">
        <v>5014.99</v>
      </c>
      <c r="M71" s="473">
        <v>15.77</v>
      </c>
      <c r="N71" s="473">
        <v>32332.6</v>
      </c>
      <c r="O71" s="473">
        <v>28.6</v>
      </c>
      <c r="P71" s="473">
        <v>510.62</v>
      </c>
      <c r="Q71" s="473">
        <v>609.96</v>
      </c>
      <c r="R71" s="473">
        <v>9526.44</v>
      </c>
      <c r="S71" s="473">
        <v>9.0399999999999991</v>
      </c>
      <c r="T71" s="473">
        <v>35181</v>
      </c>
      <c r="U71" s="473">
        <v>69</v>
      </c>
      <c r="V71" s="473">
        <v>205.96</v>
      </c>
      <c r="W71" s="473">
        <v>0.15</v>
      </c>
      <c r="X71" s="473">
        <v>5828.89</v>
      </c>
      <c r="Y71" s="473">
        <v>0</v>
      </c>
      <c r="Z71" s="473">
        <v>54150</v>
      </c>
      <c r="AA71" s="472">
        <v>78</v>
      </c>
      <c r="AB71" s="473"/>
      <c r="AC71" s="474"/>
      <c r="AD71" s="473"/>
      <c r="AE71" s="472"/>
      <c r="AF71" s="506"/>
      <c r="AG71" s="474"/>
      <c r="AH71" s="506"/>
      <c r="AI71" s="474"/>
      <c r="AJ71" s="506"/>
      <c r="AK71" s="474"/>
    </row>
    <row r="72" spans="1:37">
      <c r="A72" s="492">
        <f t="shared" si="3"/>
        <v>45596</v>
      </c>
      <c r="B72" s="102" t="s">
        <v>3267</v>
      </c>
      <c r="C72" s="110" t="str">
        <f t="shared" si="2"/>
        <v>45596 0000H</v>
      </c>
      <c r="D72" s="337">
        <v>519.67999999999995</v>
      </c>
      <c r="E72" s="338">
        <v>49.66</v>
      </c>
      <c r="F72" s="337">
        <v>1102.8</v>
      </c>
      <c r="G72" s="338">
        <v>6.2</v>
      </c>
      <c r="H72" s="337">
        <v>73206.240000000005</v>
      </c>
      <c r="I72" s="475">
        <v>884.69</v>
      </c>
      <c r="J72" s="475">
        <v>32826.83</v>
      </c>
      <c r="K72" s="338">
        <v>100.76</v>
      </c>
      <c r="L72" s="337">
        <v>5020.78</v>
      </c>
      <c r="M72" s="475">
        <v>15.77</v>
      </c>
      <c r="N72" s="475">
        <v>32340</v>
      </c>
      <c r="O72" s="475">
        <v>28.6</v>
      </c>
      <c r="P72" s="475">
        <v>512.61</v>
      </c>
      <c r="Q72" s="475">
        <v>610.27</v>
      </c>
      <c r="R72" s="475">
        <v>9530.9699999999993</v>
      </c>
      <c r="S72" s="475">
        <v>9.0399999999999991</v>
      </c>
      <c r="T72" s="475">
        <v>35189</v>
      </c>
      <c r="U72" s="475">
        <v>69</v>
      </c>
      <c r="V72" s="475">
        <v>205.96</v>
      </c>
      <c r="W72" s="475">
        <v>0.15</v>
      </c>
      <c r="X72" s="475">
        <v>5835.65</v>
      </c>
      <c r="Y72" s="475">
        <v>0</v>
      </c>
      <c r="Z72" s="475">
        <v>54150</v>
      </c>
      <c r="AA72" s="338">
        <v>78</v>
      </c>
      <c r="AB72" s="475"/>
      <c r="AC72" s="476"/>
      <c r="AD72" s="475"/>
      <c r="AE72" s="338"/>
      <c r="AF72" s="505"/>
      <c r="AG72" s="476"/>
      <c r="AH72" s="505"/>
      <c r="AI72" s="476"/>
      <c r="AJ72" s="505"/>
      <c r="AK72" s="476"/>
    </row>
    <row r="73" spans="1:37">
      <c r="A73" s="492">
        <f t="shared" si="3"/>
        <v>45596</v>
      </c>
      <c r="B73" s="102" t="s">
        <v>1197</v>
      </c>
      <c r="C73" s="110" t="str">
        <f t="shared" si="2"/>
        <v>45596 1200H</v>
      </c>
      <c r="D73" s="471">
        <v>523.33000000000004</v>
      </c>
      <c r="E73" s="472">
        <v>49.66</v>
      </c>
      <c r="F73" s="471">
        <v>1102.8</v>
      </c>
      <c r="G73" s="472">
        <v>6.2</v>
      </c>
      <c r="H73" s="471">
        <v>73211.210000000006</v>
      </c>
      <c r="I73" s="473">
        <v>884.9</v>
      </c>
      <c r="J73" s="473">
        <v>32830.480000000003</v>
      </c>
      <c r="K73" s="472">
        <v>100.76</v>
      </c>
      <c r="L73" s="471">
        <v>5026.53</v>
      </c>
      <c r="M73" s="473">
        <v>15.77</v>
      </c>
      <c r="N73" s="473">
        <v>32345.1</v>
      </c>
      <c r="O73" s="473">
        <v>28.6</v>
      </c>
      <c r="P73" s="473">
        <v>513.34</v>
      </c>
      <c r="Q73" s="473">
        <v>611.03</v>
      </c>
      <c r="R73" s="473">
        <v>9534.66</v>
      </c>
      <c r="S73" s="473">
        <v>9.0399999999999991</v>
      </c>
      <c r="T73" s="473">
        <v>35195</v>
      </c>
      <c r="U73" s="473">
        <v>69</v>
      </c>
      <c r="V73" s="473">
        <v>205.96</v>
      </c>
      <c r="W73" s="473">
        <v>0.15</v>
      </c>
      <c r="X73" s="473">
        <v>5840.71</v>
      </c>
      <c r="Y73" s="473">
        <v>0</v>
      </c>
      <c r="Z73" s="473">
        <v>54150</v>
      </c>
      <c r="AA73" s="472">
        <v>78</v>
      </c>
      <c r="AB73" s="473"/>
      <c r="AC73" s="474"/>
      <c r="AD73" s="473"/>
      <c r="AE73" s="472"/>
      <c r="AF73" s="506"/>
      <c r="AG73" s="474"/>
      <c r="AH73" s="506"/>
      <c r="AI73" s="474"/>
      <c r="AJ73" s="506"/>
      <c r="AK73" s="474"/>
    </row>
    <row r="74" spans="1:37">
      <c r="A74" s="492">
        <f t="shared" si="3"/>
        <v>45597</v>
      </c>
      <c r="B74" s="102" t="s">
        <v>3267</v>
      </c>
      <c r="C74" s="110" t="str">
        <f t="shared" si="2"/>
        <v>45597 0000H</v>
      </c>
      <c r="D74" s="337">
        <v>527.79</v>
      </c>
      <c r="E74" s="338">
        <v>49.66</v>
      </c>
      <c r="F74" s="337">
        <v>1102.8</v>
      </c>
      <c r="G74" s="338">
        <v>6.2</v>
      </c>
      <c r="H74" s="337">
        <v>73221.649999999994</v>
      </c>
      <c r="I74" s="475">
        <v>884.9</v>
      </c>
      <c r="J74" s="475">
        <v>32834</v>
      </c>
      <c r="K74" s="338">
        <v>100.76</v>
      </c>
      <c r="L74" s="337">
        <v>5032.3</v>
      </c>
      <c r="M74" s="475">
        <v>15.77</v>
      </c>
      <c r="N74" s="475">
        <v>32352.5</v>
      </c>
      <c r="O74" s="475">
        <v>28.6</v>
      </c>
      <c r="P74" s="475">
        <v>514.29</v>
      </c>
      <c r="Q74" s="475">
        <v>611.29</v>
      </c>
      <c r="R74" s="475">
        <v>9539.08</v>
      </c>
      <c r="S74" s="475">
        <v>9.0399999999999991</v>
      </c>
      <c r="T74" s="475">
        <v>35202</v>
      </c>
      <c r="U74" s="475">
        <v>69</v>
      </c>
      <c r="V74" s="475">
        <v>205.96</v>
      </c>
      <c r="W74" s="475">
        <v>0.15</v>
      </c>
      <c r="X74" s="475">
        <v>5847.89</v>
      </c>
      <c r="Y74" s="475">
        <v>0</v>
      </c>
      <c r="Z74" s="475">
        <v>54150</v>
      </c>
      <c r="AA74" s="338">
        <v>78</v>
      </c>
      <c r="AB74" s="475"/>
      <c r="AC74" s="476"/>
      <c r="AD74" s="475"/>
      <c r="AE74" s="338"/>
      <c r="AF74" s="505"/>
      <c r="AG74" s="476"/>
      <c r="AH74" s="505"/>
      <c r="AI74" s="476"/>
      <c r="AJ74" s="505"/>
      <c r="AK74" s="476"/>
    </row>
    <row r="75" spans="1:37">
      <c r="A75" s="492">
        <f t="shared" si="3"/>
        <v>45597</v>
      </c>
      <c r="B75" s="102" t="s">
        <v>1197</v>
      </c>
      <c r="C75" s="110" t="str">
        <f t="shared" si="2"/>
        <v>45597 1200H</v>
      </c>
      <c r="D75" s="471">
        <v>531.29999999999995</v>
      </c>
      <c r="E75" s="472">
        <v>49.66</v>
      </c>
      <c r="F75" s="471">
        <v>1102.8</v>
      </c>
      <c r="G75" s="472">
        <v>6.2</v>
      </c>
      <c r="H75" s="471">
        <v>73231.78</v>
      </c>
      <c r="I75" s="473">
        <v>884.9</v>
      </c>
      <c r="J75" s="473">
        <v>32835.870000000003</v>
      </c>
      <c r="K75" s="472">
        <v>100.8</v>
      </c>
      <c r="L75" s="471">
        <v>5037.87</v>
      </c>
      <c r="M75" s="473">
        <v>15.77</v>
      </c>
      <c r="N75" s="473">
        <v>32356.7</v>
      </c>
      <c r="O75" s="473">
        <v>28.6</v>
      </c>
      <c r="P75" s="473">
        <v>514.37</v>
      </c>
      <c r="Q75" s="473">
        <v>612.52</v>
      </c>
      <c r="R75" s="473">
        <v>9542.57</v>
      </c>
      <c r="S75" s="473">
        <v>9.0399999999999991</v>
      </c>
      <c r="T75" s="473">
        <v>35208</v>
      </c>
      <c r="U75" s="473">
        <v>69</v>
      </c>
      <c r="V75" s="473">
        <v>205.96</v>
      </c>
      <c r="W75" s="473">
        <v>0.15</v>
      </c>
      <c r="X75" s="473">
        <v>5853.86</v>
      </c>
      <c r="Y75" s="473">
        <v>0</v>
      </c>
      <c r="Z75" s="473">
        <v>54150</v>
      </c>
      <c r="AA75" s="472">
        <v>78</v>
      </c>
      <c r="AB75" s="473"/>
      <c r="AC75" s="474"/>
      <c r="AD75" s="473"/>
      <c r="AE75" s="472"/>
      <c r="AF75" s="506"/>
      <c r="AG75" s="474"/>
      <c r="AH75" s="506"/>
      <c r="AI75" s="474"/>
      <c r="AJ75" s="506"/>
      <c r="AK75" s="474"/>
    </row>
    <row r="76" spans="1:37">
      <c r="A76" s="492">
        <f t="shared" si="3"/>
        <v>45598</v>
      </c>
      <c r="B76" s="102" t="s">
        <v>3267</v>
      </c>
      <c r="C76" s="110" t="str">
        <f t="shared" si="2"/>
        <v>45598 0000H</v>
      </c>
      <c r="D76" s="337">
        <v>535.55999999999995</v>
      </c>
      <c r="E76" s="338">
        <v>49.66</v>
      </c>
      <c r="F76" s="337">
        <v>1102.8</v>
      </c>
      <c r="G76" s="338">
        <v>6.2</v>
      </c>
      <c r="H76" s="337">
        <v>73241.179999999993</v>
      </c>
      <c r="I76" s="475">
        <v>884.9</v>
      </c>
      <c r="J76" s="475">
        <v>32838.93</v>
      </c>
      <c r="K76" s="338">
        <v>100.81</v>
      </c>
      <c r="L76" s="337">
        <v>5043.4399999999996</v>
      </c>
      <c r="M76" s="475">
        <v>15.77</v>
      </c>
      <c r="N76" s="475">
        <v>32361.8</v>
      </c>
      <c r="O76" s="475">
        <v>28.6</v>
      </c>
      <c r="P76" s="475">
        <v>514.42999999999995</v>
      </c>
      <c r="Q76" s="475">
        <v>613.71</v>
      </c>
      <c r="R76" s="475">
        <v>9546.3799999999992</v>
      </c>
      <c r="S76" s="475">
        <v>9.0399999999999991</v>
      </c>
      <c r="T76" s="475">
        <v>35214</v>
      </c>
      <c r="U76" s="475">
        <v>69</v>
      </c>
      <c r="V76" s="475">
        <v>205.96</v>
      </c>
      <c r="W76" s="475">
        <v>0.15</v>
      </c>
      <c r="X76" s="475">
        <v>5860.34</v>
      </c>
      <c r="Y76" s="475">
        <v>0</v>
      </c>
      <c r="Z76" s="475">
        <v>54150</v>
      </c>
      <c r="AA76" s="338">
        <v>78</v>
      </c>
      <c r="AB76" s="475"/>
      <c r="AC76" s="476"/>
      <c r="AD76" s="475"/>
      <c r="AE76" s="338"/>
      <c r="AF76" s="505"/>
      <c r="AG76" s="476"/>
      <c r="AH76" s="505"/>
      <c r="AI76" s="476"/>
      <c r="AJ76" s="505"/>
      <c r="AK76" s="476"/>
    </row>
    <row r="77" spans="1:37">
      <c r="A77" s="492">
        <f t="shared" si="3"/>
        <v>45598</v>
      </c>
      <c r="B77" s="102" t="s">
        <v>1197</v>
      </c>
      <c r="C77" s="110" t="str">
        <f t="shared" si="2"/>
        <v>45598 1200H</v>
      </c>
      <c r="D77" s="471">
        <v>539.03</v>
      </c>
      <c r="E77" s="472">
        <v>49.66</v>
      </c>
      <c r="F77" s="471">
        <v>1102.8</v>
      </c>
      <c r="G77" s="472">
        <v>6.2</v>
      </c>
      <c r="H77" s="471">
        <v>73247.289999999994</v>
      </c>
      <c r="I77" s="473">
        <v>885.08</v>
      </c>
      <c r="J77" s="473">
        <v>32838.93</v>
      </c>
      <c r="K77" s="472">
        <v>100.81</v>
      </c>
      <c r="L77" s="471">
        <v>5049</v>
      </c>
      <c r="M77" s="473">
        <v>15.97</v>
      </c>
      <c r="N77" s="473">
        <v>32366.1</v>
      </c>
      <c r="O77" s="473">
        <v>28.6</v>
      </c>
      <c r="P77" s="473">
        <v>514.54999999999995</v>
      </c>
      <c r="Q77" s="473">
        <v>614.58000000000004</v>
      </c>
      <c r="R77" s="473">
        <v>9549.2800000000007</v>
      </c>
      <c r="S77" s="473">
        <v>9.0399999999999991</v>
      </c>
      <c r="T77" s="473">
        <v>35220</v>
      </c>
      <c r="U77" s="473">
        <v>69</v>
      </c>
      <c r="V77" s="473">
        <v>205.96</v>
      </c>
      <c r="W77" s="473">
        <v>0.15</v>
      </c>
      <c r="X77" s="473">
        <v>5865.72</v>
      </c>
      <c r="Y77" s="473">
        <v>0</v>
      </c>
      <c r="Z77" s="473">
        <v>54150</v>
      </c>
      <c r="AA77" s="472">
        <v>78</v>
      </c>
      <c r="AB77" s="473"/>
      <c r="AC77" s="474"/>
      <c r="AD77" s="473"/>
      <c r="AE77" s="472"/>
      <c r="AF77" s="506"/>
      <c r="AG77" s="474"/>
      <c r="AH77" s="506"/>
      <c r="AI77" s="474"/>
      <c r="AJ77" s="506"/>
      <c r="AK77" s="474"/>
    </row>
    <row r="78" spans="1:37">
      <c r="A78" s="492">
        <f t="shared" si="3"/>
        <v>45599</v>
      </c>
      <c r="B78" s="102" t="s">
        <v>3267</v>
      </c>
      <c r="C78" s="110" t="str">
        <f t="shared" si="2"/>
        <v>45599 0000H</v>
      </c>
      <c r="D78" s="337">
        <v>543.85</v>
      </c>
      <c r="E78" s="338">
        <v>49.66</v>
      </c>
      <c r="F78" s="337">
        <v>1102.8</v>
      </c>
      <c r="G78" s="338">
        <v>6.2</v>
      </c>
      <c r="H78" s="337">
        <v>73255.42</v>
      </c>
      <c r="I78" s="475">
        <v>885.14</v>
      </c>
      <c r="J78" s="475">
        <v>32838.93</v>
      </c>
      <c r="K78" s="338">
        <v>100.88</v>
      </c>
      <c r="L78" s="337">
        <v>5054.8500000000004</v>
      </c>
      <c r="M78" s="475">
        <v>15.77</v>
      </c>
      <c r="N78" s="475">
        <v>32374.1</v>
      </c>
      <c r="O78" s="475">
        <v>28.6</v>
      </c>
      <c r="P78" s="475">
        <v>515.01</v>
      </c>
      <c r="Q78" s="475">
        <v>614.96</v>
      </c>
      <c r="R78" s="475">
        <v>9554.09</v>
      </c>
      <c r="S78" s="475">
        <v>9.0399999999999991</v>
      </c>
      <c r="T78" s="475">
        <v>35227.69</v>
      </c>
      <c r="U78" s="475">
        <v>69</v>
      </c>
      <c r="V78" s="475">
        <v>205.96</v>
      </c>
      <c r="W78" s="475">
        <v>0.15</v>
      </c>
      <c r="X78" s="475">
        <v>5872.06</v>
      </c>
      <c r="Y78" s="475">
        <v>0</v>
      </c>
      <c r="Z78" s="475">
        <v>54150</v>
      </c>
      <c r="AA78" s="338">
        <v>78</v>
      </c>
      <c r="AB78" s="475"/>
      <c r="AC78" s="476"/>
      <c r="AD78" s="475"/>
      <c r="AE78" s="338"/>
      <c r="AF78" s="505"/>
      <c r="AG78" s="476"/>
      <c r="AH78" s="505"/>
      <c r="AI78" s="476"/>
      <c r="AJ78" s="505"/>
      <c r="AK78" s="476"/>
    </row>
    <row r="79" spans="1:37">
      <c r="A79" s="492">
        <f t="shared" si="3"/>
        <v>45599</v>
      </c>
      <c r="B79" s="102" t="s">
        <v>1197</v>
      </c>
      <c r="C79" s="110" t="str">
        <f t="shared" si="2"/>
        <v>45599 1200H</v>
      </c>
      <c r="D79" s="471">
        <v>546.95000000000005</v>
      </c>
      <c r="E79" s="472">
        <v>49.66</v>
      </c>
      <c r="F79" s="471">
        <v>1102.8</v>
      </c>
      <c r="G79" s="472">
        <v>6.2</v>
      </c>
      <c r="H79" s="471">
        <v>73257.100000000006</v>
      </c>
      <c r="I79" s="473">
        <v>885.43</v>
      </c>
      <c r="J79" s="473">
        <v>32838.93</v>
      </c>
      <c r="K79" s="472">
        <v>100.99</v>
      </c>
      <c r="L79" s="471">
        <v>5060.3900000000003</v>
      </c>
      <c r="M79" s="473">
        <v>15.77</v>
      </c>
      <c r="N79" s="473">
        <v>32379</v>
      </c>
      <c r="O79" s="473">
        <v>28.6</v>
      </c>
      <c r="P79" s="473">
        <v>515.04</v>
      </c>
      <c r="Q79" s="473">
        <v>615.89</v>
      </c>
      <c r="R79" s="473">
        <v>9557.66</v>
      </c>
      <c r="S79" s="473">
        <v>9.0399999999999991</v>
      </c>
      <c r="T79" s="473">
        <v>35233</v>
      </c>
      <c r="U79" s="473">
        <v>69</v>
      </c>
      <c r="V79" s="473">
        <v>205.96</v>
      </c>
      <c r="W79" s="473">
        <v>0.15</v>
      </c>
      <c r="X79" s="473">
        <v>5869.2</v>
      </c>
      <c r="Y79" s="473">
        <v>0</v>
      </c>
      <c r="Z79" s="473">
        <v>54150</v>
      </c>
      <c r="AA79" s="472">
        <v>78</v>
      </c>
      <c r="AB79" s="473"/>
      <c r="AC79" s="474"/>
      <c r="AD79" s="473"/>
      <c r="AE79" s="472"/>
      <c r="AF79" s="506"/>
      <c r="AG79" s="474"/>
      <c r="AH79" s="506"/>
      <c r="AI79" s="474"/>
      <c r="AJ79" s="506"/>
      <c r="AK79" s="474"/>
    </row>
    <row r="80" spans="1:37">
      <c r="A80" s="492">
        <f t="shared" si="3"/>
        <v>45600</v>
      </c>
      <c r="B80" s="102" t="s">
        <v>3267</v>
      </c>
      <c r="C80" s="110" t="str">
        <f t="shared" si="2"/>
        <v>45600 0000H</v>
      </c>
      <c r="D80" s="337">
        <v>551.36</v>
      </c>
      <c r="E80" s="338">
        <v>49.66</v>
      </c>
      <c r="F80" s="337">
        <v>1102.8</v>
      </c>
      <c r="G80" s="338">
        <v>6.2</v>
      </c>
      <c r="H80" s="337">
        <v>73268.149999999994</v>
      </c>
      <c r="I80" s="475">
        <v>885.43</v>
      </c>
      <c r="J80" s="475">
        <v>32841.58</v>
      </c>
      <c r="K80" s="338">
        <v>101.03</v>
      </c>
      <c r="L80" s="337">
        <v>5066.2</v>
      </c>
      <c r="M80" s="475">
        <v>15.77</v>
      </c>
      <c r="N80" s="475">
        <v>32386.400000000001</v>
      </c>
      <c r="O80" s="475">
        <v>28.6</v>
      </c>
      <c r="P80" s="475">
        <v>515.13</v>
      </c>
      <c r="Q80" s="475">
        <v>616.74</v>
      </c>
      <c r="R80" s="475">
        <v>9562.2999999999993</v>
      </c>
      <c r="S80" s="475">
        <v>9.0399999999999991</v>
      </c>
      <c r="T80" s="475">
        <v>35240</v>
      </c>
      <c r="U80" s="475">
        <v>69</v>
      </c>
      <c r="V80" s="475">
        <v>205.96</v>
      </c>
      <c r="W80" s="475">
        <v>0.15</v>
      </c>
      <c r="X80" s="475">
        <v>5884.76</v>
      </c>
      <c r="Y80" s="475">
        <v>0</v>
      </c>
      <c r="Z80" s="475">
        <v>54150</v>
      </c>
      <c r="AA80" s="338">
        <v>78</v>
      </c>
      <c r="AB80" s="475"/>
      <c r="AC80" s="476"/>
      <c r="AD80" s="475"/>
      <c r="AE80" s="338"/>
      <c r="AF80" s="505"/>
      <c r="AG80" s="476"/>
      <c r="AH80" s="505"/>
      <c r="AI80" s="476"/>
      <c r="AJ80" s="505"/>
      <c r="AK80" s="476"/>
    </row>
    <row r="81" spans="1:37">
      <c r="A81" s="492">
        <f t="shared" si="3"/>
        <v>45600</v>
      </c>
      <c r="B81" s="102" t="s">
        <v>1197</v>
      </c>
      <c r="C81" s="110" t="str">
        <f t="shared" si="2"/>
        <v>45600 1200H</v>
      </c>
      <c r="D81" s="471">
        <v>554.77800000000002</v>
      </c>
      <c r="E81" s="472">
        <v>49.96</v>
      </c>
      <c r="F81" s="471">
        <v>1102.8</v>
      </c>
      <c r="G81" s="472">
        <v>6.2</v>
      </c>
      <c r="H81" s="471">
        <v>73278.399999999994</v>
      </c>
      <c r="I81" s="473">
        <v>885.43</v>
      </c>
      <c r="J81" s="473">
        <v>32842.730000000003</v>
      </c>
      <c r="K81" s="472">
        <v>101.07</v>
      </c>
      <c r="L81" s="471">
        <v>5071.8100000000004</v>
      </c>
      <c r="M81" s="473">
        <v>15.77</v>
      </c>
      <c r="N81" s="473">
        <v>32391.4</v>
      </c>
      <c r="O81" s="473">
        <v>28.6</v>
      </c>
      <c r="P81" s="473">
        <v>515.53</v>
      </c>
      <c r="Q81" s="473">
        <v>617.39</v>
      </c>
      <c r="R81" s="473">
        <v>9556.9699999999993</v>
      </c>
      <c r="S81" s="473">
        <v>9.0399999999999991</v>
      </c>
      <c r="T81" s="473">
        <v>35246</v>
      </c>
      <c r="U81" s="473">
        <v>69</v>
      </c>
      <c r="V81" s="473">
        <v>205.96</v>
      </c>
      <c r="W81" s="473">
        <v>0.15</v>
      </c>
      <c r="X81" s="473">
        <v>5890.65</v>
      </c>
      <c r="Y81" s="473">
        <v>0</v>
      </c>
      <c r="Z81" s="473">
        <v>54150</v>
      </c>
      <c r="AA81" s="472">
        <v>78</v>
      </c>
      <c r="AB81" s="473"/>
      <c r="AC81" s="474"/>
      <c r="AD81" s="473"/>
      <c r="AE81" s="472"/>
      <c r="AF81" s="506"/>
      <c r="AG81" s="474"/>
      <c r="AH81" s="506"/>
      <c r="AI81" s="474"/>
      <c r="AJ81" s="506"/>
      <c r="AK81" s="474"/>
    </row>
    <row r="82" spans="1:37">
      <c r="A82" s="492">
        <f t="shared" si="3"/>
        <v>45601</v>
      </c>
      <c r="B82" s="102" t="s">
        <v>3267</v>
      </c>
      <c r="C82" s="110" t="str">
        <f t="shared" si="2"/>
        <v>45601 0000H</v>
      </c>
      <c r="D82" s="337">
        <v>559.37</v>
      </c>
      <c r="E82" s="338">
        <v>49.66</v>
      </c>
      <c r="F82" s="337">
        <v>1102.8</v>
      </c>
      <c r="G82" s="338">
        <v>6.2</v>
      </c>
      <c r="H82" s="337">
        <v>73288.679999999993</v>
      </c>
      <c r="I82" s="475">
        <v>885.43</v>
      </c>
      <c r="J82" s="475">
        <v>32846.120000000003</v>
      </c>
      <c r="K82" s="338">
        <v>101.08</v>
      </c>
      <c r="L82" s="337">
        <v>5077.58</v>
      </c>
      <c r="M82" s="475">
        <v>15.77</v>
      </c>
      <c r="N82" s="475">
        <v>32398.9</v>
      </c>
      <c r="O82" s="475">
        <v>28.6</v>
      </c>
      <c r="P82" s="475">
        <v>515.77</v>
      </c>
      <c r="Q82" s="475">
        <v>618.17999999999995</v>
      </c>
      <c r="R82" s="475">
        <v>9570.19</v>
      </c>
      <c r="S82" s="475">
        <v>9.0399999999999991</v>
      </c>
      <c r="T82" s="475">
        <v>35254</v>
      </c>
      <c r="U82" s="475">
        <v>69</v>
      </c>
      <c r="V82" s="475">
        <v>205.96</v>
      </c>
      <c r="W82" s="475">
        <v>0.15</v>
      </c>
      <c r="X82" s="475">
        <v>5897.64</v>
      </c>
      <c r="Y82" s="475">
        <v>0</v>
      </c>
      <c r="Z82" s="475">
        <v>54150</v>
      </c>
      <c r="AA82" s="338">
        <v>78</v>
      </c>
      <c r="AB82" s="475"/>
      <c r="AC82" s="476"/>
      <c r="AD82" s="475"/>
      <c r="AE82" s="338"/>
      <c r="AF82" s="505"/>
      <c r="AG82" s="476"/>
      <c r="AH82" s="505"/>
      <c r="AI82" s="476"/>
      <c r="AJ82" s="505"/>
      <c r="AK82" s="476"/>
    </row>
    <row r="83" spans="1:37">
      <c r="A83" s="492">
        <f t="shared" si="3"/>
        <v>45601</v>
      </c>
      <c r="B83" s="102" t="s">
        <v>1197</v>
      </c>
      <c r="C83" s="110" t="str">
        <f t="shared" si="2"/>
        <v>45601 1200H</v>
      </c>
      <c r="D83" s="471">
        <v>562.91999999999996</v>
      </c>
      <c r="E83" s="472">
        <v>49.66</v>
      </c>
      <c r="F83" s="471">
        <v>1102.8</v>
      </c>
      <c r="G83" s="472">
        <v>6.2</v>
      </c>
      <c r="H83" s="471">
        <v>73298.929999999993</v>
      </c>
      <c r="I83" s="473">
        <v>885.43</v>
      </c>
      <c r="J83" s="473">
        <v>32847.39</v>
      </c>
      <c r="K83" s="472">
        <v>101.13</v>
      </c>
      <c r="L83" s="471">
        <v>5083.03</v>
      </c>
      <c r="M83" s="473">
        <v>15.77</v>
      </c>
      <c r="N83" s="473">
        <v>32403</v>
      </c>
      <c r="O83" s="473">
        <v>28.6</v>
      </c>
      <c r="P83" s="473">
        <v>515.97</v>
      </c>
      <c r="Q83" s="473">
        <v>618.91999999999996</v>
      </c>
      <c r="R83" s="473">
        <v>9573.81</v>
      </c>
      <c r="S83" s="473">
        <v>9.0399999999999991</v>
      </c>
      <c r="T83" s="473">
        <v>35260</v>
      </c>
      <c r="U83" s="473">
        <v>69</v>
      </c>
      <c r="V83" s="473">
        <v>205.96</v>
      </c>
      <c r="W83" s="473">
        <v>0.15</v>
      </c>
      <c r="X83" s="473">
        <v>5903.78</v>
      </c>
      <c r="Y83" s="473">
        <v>0</v>
      </c>
      <c r="Z83" s="473">
        <v>54150</v>
      </c>
      <c r="AA83" s="472">
        <v>78</v>
      </c>
      <c r="AB83" s="473"/>
      <c r="AC83" s="474"/>
      <c r="AD83" s="473"/>
      <c r="AE83" s="472"/>
      <c r="AF83" s="506"/>
      <c r="AG83" s="474"/>
      <c r="AH83" s="506"/>
      <c r="AI83" s="474"/>
      <c r="AJ83" s="506"/>
      <c r="AK83" s="474"/>
    </row>
    <row r="84" spans="1:37">
      <c r="A84" s="492">
        <f t="shared" si="3"/>
        <v>45602</v>
      </c>
      <c r="B84" s="102" t="s">
        <v>3267</v>
      </c>
      <c r="C84" s="110" t="str">
        <f t="shared" si="2"/>
        <v>45602 0000H</v>
      </c>
      <c r="D84" s="337">
        <v>567.36</v>
      </c>
      <c r="E84" s="338">
        <v>49.66</v>
      </c>
      <c r="F84" s="337">
        <v>1102.8</v>
      </c>
      <c r="G84" s="338">
        <v>6.2</v>
      </c>
      <c r="H84" s="337">
        <v>73308.63</v>
      </c>
      <c r="I84" s="475">
        <v>885.43</v>
      </c>
      <c r="J84" s="475">
        <v>32850.92</v>
      </c>
      <c r="K84" s="338">
        <v>101.14</v>
      </c>
      <c r="L84" s="337">
        <v>5088.8500000000004</v>
      </c>
      <c r="M84" s="475">
        <v>15.77</v>
      </c>
      <c r="N84" s="475">
        <v>32411</v>
      </c>
      <c r="O84" s="475">
        <v>28.6</v>
      </c>
      <c r="P84" s="475">
        <v>516.04999999999995</v>
      </c>
      <c r="Q84" s="475">
        <v>619.91</v>
      </c>
      <c r="R84" s="475">
        <v>9578.15</v>
      </c>
      <c r="S84" s="475">
        <v>9.0399999999999991</v>
      </c>
      <c r="T84" s="475">
        <v>35267</v>
      </c>
      <c r="U84" s="475">
        <v>69</v>
      </c>
      <c r="V84" s="475">
        <v>205.96</v>
      </c>
      <c r="W84" s="475">
        <v>0.15</v>
      </c>
      <c r="X84" s="475">
        <v>5911.13</v>
      </c>
      <c r="Y84" s="475">
        <v>0</v>
      </c>
      <c r="Z84" s="475">
        <v>54150</v>
      </c>
      <c r="AA84" s="338">
        <v>78</v>
      </c>
      <c r="AB84" s="475"/>
      <c r="AC84" s="476"/>
      <c r="AD84" s="475"/>
      <c r="AE84" s="338"/>
      <c r="AF84" s="505"/>
      <c r="AG84" s="476"/>
      <c r="AH84" s="505"/>
      <c r="AI84" s="476"/>
      <c r="AJ84" s="505"/>
      <c r="AK84" s="476"/>
    </row>
    <row r="85" spans="1:37">
      <c r="A85" s="492">
        <f t="shared" si="3"/>
        <v>45602</v>
      </c>
      <c r="B85" s="102" t="s">
        <v>1197</v>
      </c>
      <c r="C85" s="110" t="str">
        <f t="shared" si="2"/>
        <v>45602 1200H</v>
      </c>
      <c r="D85" s="471">
        <v>570.86</v>
      </c>
      <c r="E85" s="472">
        <v>49.66</v>
      </c>
      <c r="F85" s="471">
        <v>1102.8</v>
      </c>
      <c r="G85" s="472">
        <v>6.2</v>
      </c>
      <c r="H85" s="471">
        <v>73318.009999999995</v>
      </c>
      <c r="I85" s="473">
        <v>885.43</v>
      </c>
      <c r="J85" s="473">
        <v>32852.26</v>
      </c>
      <c r="K85" s="472">
        <v>101.18</v>
      </c>
      <c r="L85" s="471">
        <v>5094.5</v>
      </c>
      <c r="M85" s="473">
        <v>15.77</v>
      </c>
      <c r="N85" s="473">
        <v>32416.1</v>
      </c>
      <c r="O85" s="473">
        <v>28.6</v>
      </c>
      <c r="P85" s="473">
        <v>516.58000000000004</v>
      </c>
      <c r="Q85" s="473">
        <v>620.54999999999995</v>
      </c>
      <c r="R85" s="473">
        <v>9581.7199999999993</v>
      </c>
      <c r="S85" s="473">
        <v>9.0399999999999991</v>
      </c>
      <c r="T85" s="473">
        <v>35273</v>
      </c>
      <c r="U85" s="473">
        <v>69</v>
      </c>
      <c r="V85" s="473">
        <v>205.96</v>
      </c>
      <c r="W85" s="473">
        <v>0.15</v>
      </c>
      <c r="X85" s="473">
        <v>5917.12</v>
      </c>
      <c r="Y85" s="473">
        <v>0</v>
      </c>
      <c r="Z85" s="473">
        <v>54150</v>
      </c>
      <c r="AA85" s="472">
        <v>78</v>
      </c>
      <c r="AB85" s="473"/>
      <c r="AC85" s="474"/>
      <c r="AD85" s="473"/>
      <c r="AE85" s="472"/>
      <c r="AF85" s="506"/>
      <c r="AG85" s="474"/>
      <c r="AH85" s="506"/>
      <c r="AI85" s="474"/>
      <c r="AJ85" s="506"/>
      <c r="AK85" s="474"/>
    </row>
    <row r="86" spans="1:37">
      <c r="A86" s="492">
        <f t="shared" si="3"/>
        <v>45603</v>
      </c>
      <c r="B86" s="102" t="s">
        <v>3267</v>
      </c>
      <c r="C86" s="110" t="str">
        <f t="shared" si="2"/>
        <v>45603 0000H</v>
      </c>
      <c r="D86" s="337">
        <v>575.76</v>
      </c>
      <c r="E86" s="338">
        <v>49.66</v>
      </c>
      <c r="F86" s="337">
        <v>1102.8</v>
      </c>
      <c r="G86" s="338">
        <v>6.2</v>
      </c>
      <c r="H86" s="337">
        <v>73326.33</v>
      </c>
      <c r="I86" s="475">
        <v>885.45</v>
      </c>
      <c r="J86" s="475">
        <v>32856</v>
      </c>
      <c r="K86" s="338">
        <v>101.18</v>
      </c>
      <c r="L86" s="337">
        <v>5100.22</v>
      </c>
      <c r="M86" s="475">
        <v>15.77</v>
      </c>
      <c r="N86" s="475">
        <v>32423.5</v>
      </c>
      <c r="O86" s="475">
        <v>28.6</v>
      </c>
      <c r="P86" s="475">
        <v>518.33000000000004</v>
      </c>
      <c r="Q86" s="475">
        <v>621</v>
      </c>
      <c r="R86" s="475">
        <v>9586.19</v>
      </c>
      <c r="S86" s="475">
        <v>9.0399999999999991</v>
      </c>
      <c r="T86" s="475">
        <v>35281</v>
      </c>
      <c r="U86" s="475">
        <v>69</v>
      </c>
      <c r="V86" s="475">
        <v>205.96</v>
      </c>
      <c r="W86" s="475">
        <v>0.15</v>
      </c>
      <c r="X86" s="475">
        <v>5924</v>
      </c>
      <c r="Y86" s="475">
        <v>0</v>
      </c>
      <c r="Z86" s="475">
        <v>54150</v>
      </c>
      <c r="AA86" s="338">
        <v>78</v>
      </c>
      <c r="AB86" s="475"/>
      <c r="AC86" s="476"/>
      <c r="AD86" s="475"/>
      <c r="AE86" s="338"/>
      <c r="AF86" s="505"/>
      <c r="AG86" s="476"/>
      <c r="AH86" s="505"/>
      <c r="AI86" s="476"/>
      <c r="AJ86" s="505"/>
      <c r="AK86" s="476"/>
    </row>
    <row r="87" spans="1:37">
      <c r="A87" s="492">
        <f t="shared" si="3"/>
        <v>45603</v>
      </c>
      <c r="B87" s="102" t="s">
        <v>1197</v>
      </c>
      <c r="C87" s="110" t="str">
        <f t="shared" si="2"/>
        <v>45603 1200H</v>
      </c>
      <c r="D87" s="471">
        <v>579.57000000000005</v>
      </c>
      <c r="E87" s="472">
        <v>49.66</v>
      </c>
      <c r="F87" s="471">
        <v>1102.8</v>
      </c>
      <c r="G87" s="472">
        <v>6.2</v>
      </c>
      <c r="H87" s="471">
        <v>73328.84</v>
      </c>
      <c r="I87" s="473">
        <v>885.8</v>
      </c>
      <c r="J87" s="473">
        <v>32859.72</v>
      </c>
      <c r="K87" s="472">
        <v>101.18</v>
      </c>
      <c r="L87" s="471">
        <v>5105.88</v>
      </c>
      <c r="M87" s="473">
        <v>15.77</v>
      </c>
      <c r="N87" s="473">
        <v>32428</v>
      </c>
      <c r="O87" s="473">
        <v>28.6</v>
      </c>
      <c r="P87" s="473">
        <v>528.85</v>
      </c>
      <c r="Q87" s="473">
        <v>621</v>
      </c>
      <c r="R87" s="473">
        <v>9589.8799999999992</v>
      </c>
      <c r="S87" s="473">
        <v>9.0399999999999991</v>
      </c>
      <c r="T87" s="473">
        <v>35287</v>
      </c>
      <c r="U87" s="473">
        <v>69</v>
      </c>
      <c r="V87" s="473">
        <v>205.92</v>
      </c>
      <c r="W87" s="473">
        <v>0.15</v>
      </c>
      <c r="X87" s="473">
        <v>5930.15</v>
      </c>
      <c r="Y87" s="473">
        <v>0</v>
      </c>
      <c r="Z87" s="473">
        <v>54150</v>
      </c>
      <c r="AA87" s="472">
        <v>78</v>
      </c>
      <c r="AB87" s="473"/>
      <c r="AC87" s="474"/>
      <c r="AD87" s="473"/>
      <c r="AE87" s="472"/>
      <c r="AF87" s="506"/>
      <c r="AG87" s="474"/>
      <c r="AH87" s="506"/>
      <c r="AI87" s="474"/>
      <c r="AJ87" s="506"/>
      <c r="AK87" s="474"/>
    </row>
    <row r="88" spans="1:37">
      <c r="A88" s="492">
        <f t="shared" si="3"/>
        <v>45604</v>
      </c>
      <c r="B88" s="102" t="s">
        <v>3267</v>
      </c>
      <c r="C88" s="110" t="str">
        <f t="shared" si="2"/>
        <v>45604 0000H</v>
      </c>
      <c r="D88" s="337">
        <v>585.6</v>
      </c>
      <c r="E88" s="338">
        <v>49.66</v>
      </c>
      <c r="F88" s="337">
        <v>1102.8</v>
      </c>
      <c r="G88" s="338">
        <v>6.2</v>
      </c>
      <c r="H88" s="337">
        <v>73337.740000000005</v>
      </c>
      <c r="I88" s="475">
        <v>885.85</v>
      </c>
      <c r="J88" s="475">
        <v>32863.480000000003</v>
      </c>
      <c r="K88" s="338">
        <v>101.18</v>
      </c>
      <c r="L88" s="337">
        <v>5111.7</v>
      </c>
      <c r="M88" s="475">
        <v>15.77</v>
      </c>
      <c r="N88" s="475">
        <v>32431.599999999999</v>
      </c>
      <c r="O88" s="475">
        <v>28.6</v>
      </c>
      <c r="P88" s="475">
        <v>519.69000000000005</v>
      </c>
      <c r="Q88" s="475">
        <v>621.89</v>
      </c>
      <c r="R88" s="475">
        <v>9594.33</v>
      </c>
      <c r="S88" s="475">
        <v>9.0399999999999991</v>
      </c>
      <c r="T88" s="475">
        <v>35295</v>
      </c>
      <c r="U88" s="475">
        <v>69</v>
      </c>
      <c r="V88" s="475">
        <v>209</v>
      </c>
      <c r="W88" s="475">
        <v>0.15</v>
      </c>
      <c r="X88" s="475">
        <v>5936.98</v>
      </c>
      <c r="Y88" s="475">
        <v>0</v>
      </c>
      <c r="Z88" s="475">
        <v>54150</v>
      </c>
      <c r="AA88" s="338">
        <v>78</v>
      </c>
      <c r="AB88" s="475"/>
      <c r="AC88" s="476"/>
      <c r="AD88" s="475"/>
      <c r="AE88" s="338"/>
      <c r="AF88" s="505"/>
      <c r="AG88" s="476"/>
      <c r="AH88" s="505"/>
      <c r="AI88" s="476"/>
      <c r="AJ88" s="505"/>
      <c r="AK88" s="476"/>
    </row>
    <row r="89" spans="1:37">
      <c r="A89" s="492">
        <f t="shared" si="3"/>
        <v>45604</v>
      </c>
      <c r="B89" s="102" t="s">
        <v>1197</v>
      </c>
      <c r="C89" s="110" t="str">
        <f t="shared" si="2"/>
        <v>45604 1200H</v>
      </c>
      <c r="D89" s="471">
        <v>585.6</v>
      </c>
      <c r="E89" s="472">
        <v>49.66</v>
      </c>
      <c r="F89" s="471">
        <v>1102.8</v>
      </c>
      <c r="G89" s="472">
        <v>6.2</v>
      </c>
      <c r="H89" s="471">
        <v>73346.58</v>
      </c>
      <c r="I89" s="473">
        <v>885.92</v>
      </c>
      <c r="J89" s="473">
        <v>32856.019999999997</v>
      </c>
      <c r="K89" s="472">
        <v>101.23</v>
      </c>
      <c r="L89" s="471">
        <v>5117.38</v>
      </c>
      <c r="M89" s="473">
        <v>15.77</v>
      </c>
      <c r="N89" s="473">
        <v>32435.5</v>
      </c>
      <c r="O89" s="473">
        <v>28.6</v>
      </c>
      <c r="P89" s="473">
        <v>520.41999999999996</v>
      </c>
      <c r="Q89" s="473">
        <v>622.51</v>
      </c>
      <c r="R89" s="473">
        <v>9598.14</v>
      </c>
      <c r="S89" s="473">
        <v>9.0399999999999991</v>
      </c>
      <c r="T89" s="473">
        <v>35300</v>
      </c>
      <c r="U89" s="473">
        <v>69</v>
      </c>
      <c r="V89" s="473">
        <v>210.42</v>
      </c>
      <c r="W89" s="473">
        <v>0.15</v>
      </c>
      <c r="X89" s="473">
        <v>5943.06</v>
      </c>
      <c r="Y89" s="473" t="s">
        <v>1</v>
      </c>
      <c r="Z89" s="473">
        <v>54150</v>
      </c>
      <c r="AA89" s="472">
        <v>78</v>
      </c>
      <c r="AB89" s="473"/>
      <c r="AC89" s="474"/>
      <c r="AD89" s="473"/>
      <c r="AE89" s="472"/>
      <c r="AF89" s="506"/>
      <c r="AG89" s="474"/>
      <c r="AH89" s="506"/>
      <c r="AI89" s="474"/>
      <c r="AJ89" s="506"/>
      <c r="AK89" s="474"/>
    </row>
    <row r="90" spans="1:37">
      <c r="A90" s="492">
        <f t="shared" si="3"/>
        <v>45605</v>
      </c>
      <c r="B90" s="102" t="s">
        <v>3267</v>
      </c>
      <c r="C90" s="110" t="str">
        <f t="shared" si="2"/>
        <v>45605 0000H</v>
      </c>
      <c r="D90" s="337">
        <v>595.33000000000004</v>
      </c>
      <c r="E90" s="338">
        <v>49.66</v>
      </c>
      <c r="F90" s="337">
        <v>1102.8</v>
      </c>
      <c r="G90" s="338">
        <v>6.2</v>
      </c>
      <c r="H90" s="337">
        <v>73356.66</v>
      </c>
      <c r="I90" s="475">
        <v>885.92</v>
      </c>
      <c r="J90" s="475">
        <v>32867.519999999997</v>
      </c>
      <c r="K90" s="338">
        <v>101.25</v>
      </c>
      <c r="L90" s="337">
        <v>5123.18</v>
      </c>
      <c r="M90" s="475">
        <v>15.77</v>
      </c>
      <c r="N90" s="475">
        <v>32439.200000000001</v>
      </c>
      <c r="O90" s="475">
        <v>28.6</v>
      </c>
      <c r="P90" s="475">
        <v>522.39</v>
      </c>
      <c r="Q90" s="475">
        <v>622.98</v>
      </c>
      <c r="R90" s="475">
        <v>9602.66</v>
      </c>
      <c r="S90" s="475">
        <v>9.0399999999999991</v>
      </c>
      <c r="T90" s="475">
        <v>35308</v>
      </c>
      <c r="U90" s="475">
        <v>69</v>
      </c>
      <c r="V90" s="475">
        <v>214.87</v>
      </c>
      <c r="W90" s="475">
        <v>0.15</v>
      </c>
      <c r="X90" s="475">
        <v>5950.26</v>
      </c>
      <c r="Y90" s="475">
        <v>0</v>
      </c>
      <c r="Z90" s="475">
        <v>54150</v>
      </c>
      <c r="AA90" s="338">
        <v>78</v>
      </c>
      <c r="AB90" s="475"/>
      <c r="AC90" s="476"/>
      <c r="AD90" s="475"/>
      <c r="AE90" s="338"/>
      <c r="AF90" s="505"/>
      <c r="AG90" s="476"/>
      <c r="AH90" s="505"/>
      <c r="AI90" s="476"/>
      <c r="AJ90" s="505"/>
      <c r="AK90" s="476"/>
    </row>
    <row r="91" spans="1:37">
      <c r="A91" s="492">
        <f t="shared" si="3"/>
        <v>45605</v>
      </c>
      <c r="B91" s="102" t="s">
        <v>1197</v>
      </c>
      <c r="C91" s="110" t="str">
        <f t="shared" si="2"/>
        <v>45605 1200H</v>
      </c>
      <c r="D91" s="471">
        <v>598.92999999999995</v>
      </c>
      <c r="E91" s="472">
        <v>49.66</v>
      </c>
      <c r="F91" s="471">
        <v>1102.8</v>
      </c>
      <c r="G91" s="472">
        <v>6.2</v>
      </c>
      <c r="H91" s="471">
        <v>73366.95</v>
      </c>
      <c r="I91" s="473">
        <v>885.92</v>
      </c>
      <c r="J91" s="473">
        <v>32869.99</v>
      </c>
      <c r="K91" s="472">
        <v>101.28</v>
      </c>
      <c r="L91" s="471">
        <v>5128.8</v>
      </c>
      <c r="M91" s="473">
        <v>15.77</v>
      </c>
      <c r="N91" s="473">
        <v>32443</v>
      </c>
      <c r="O91" s="473">
        <v>28.6</v>
      </c>
      <c r="P91" s="473">
        <v>522.66</v>
      </c>
      <c r="Q91" s="473">
        <v>623.67999999999995</v>
      </c>
      <c r="R91" s="473">
        <v>9606.58</v>
      </c>
      <c r="S91" s="473">
        <v>9.0399999999999991</v>
      </c>
      <c r="T91" s="473">
        <v>35314</v>
      </c>
      <c r="U91" s="473">
        <v>69</v>
      </c>
      <c r="V91" s="473">
        <v>215.99</v>
      </c>
      <c r="W91" s="473">
        <v>0.15</v>
      </c>
      <c r="X91" s="473">
        <v>5955.94</v>
      </c>
      <c r="Y91" s="473">
        <v>0</v>
      </c>
      <c r="Z91" s="473">
        <v>54150</v>
      </c>
      <c r="AA91" s="472">
        <v>78</v>
      </c>
      <c r="AB91" s="473"/>
      <c r="AC91" s="474"/>
      <c r="AD91" s="473"/>
      <c r="AE91" s="472"/>
      <c r="AF91" s="506"/>
      <c r="AG91" s="474"/>
      <c r="AH91" s="506"/>
      <c r="AI91" s="474"/>
      <c r="AJ91" s="506"/>
      <c r="AK91" s="474"/>
    </row>
    <row r="92" spans="1:37">
      <c r="A92" s="492">
        <f t="shared" si="3"/>
        <v>45606</v>
      </c>
      <c r="B92" s="102" t="s">
        <v>3267</v>
      </c>
      <c r="C92" s="110" t="str">
        <f t="shared" si="2"/>
        <v>45606 0000H</v>
      </c>
      <c r="D92" s="337">
        <v>603.84</v>
      </c>
      <c r="E92" s="338">
        <v>49.66</v>
      </c>
      <c r="F92" s="337">
        <v>1102.8</v>
      </c>
      <c r="G92" s="338">
        <v>6.2</v>
      </c>
      <c r="H92" s="337">
        <v>73377.100000000006</v>
      </c>
      <c r="I92" s="475">
        <v>885.92</v>
      </c>
      <c r="J92" s="475">
        <v>32873.75</v>
      </c>
      <c r="K92" s="338">
        <v>101.28</v>
      </c>
      <c r="L92" s="337">
        <v>5134.58</v>
      </c>
      <c r="M92" s="475">
        <v>15.77</v>
      </c>
      <c r="N92" s="475">
        <v>32446.6</v>
      </c>
      <c r="O92" s="475">
        <v>28.6</v>
      </c>
      <c r="P92" s="475">
        <v>524.61</v>
      </c>
      <c r="Q92" s="475">
        <v>623.98</v>
      </c>
      <c r="R92" s="475">
        <v>9611.19</v>
      </c>
      <c r="S92" s="475">
        <v>9.0399999999999991</v>
      </c>
      <c r="T92" s="475">
        <v>35322</v>
      </c>
      <c r="U92" s="475">
        <v>69</v>
      </c>
      <c r="V92" s="475">
        <v>219.68</v>
      </c>
      <c r="W92" s="475">
        <v>0.15</v>
      </c>
      <c r="X92" s="475">
        <v>5963.05</v>
      </c>
      <c r="Y92" s="475">
        <v>0</v>
      </c>
      <c r="Z92" s="475">
        <v>54150</v>
      </c>
      <c r="AA92" s="338">
        <v>78</v>
      </c>
      <c r="AB92" s="475"/>
      <c r="AC92" s="476"/>
      <c r="AD92" s="475"/>
      <c r="AE92" s="338"/>
      <c r="AF92" s="505"/>
      <c r="AG92" s="476"/>
      <c r="AH92" s="505"/>
      <c r="AI92" s="476"/>
      <c r="AJ92" s="505"/>
      <c r="AK92" s="476"/>
    </row>
    <row r="93" spans="1:37">
      <c r="A93" s="492">
        <f t="shared" si="3"/>
        <v>45606</v>
      </c>
      <c r="B93" s="102" t="s">
        <v>1197</v>
      </c>
      <c r="C93" s="110" t="str">
        <f t="shared" si="2"/>
        <v>45606 1200H</v>
      </c>
      <c r="D93" s="471">
        <v>607.29</v>
      </c>
      <c r="E93" s="472">
        <v>49.66</v>
      </c>
      <c r="F93" s="471">
        <v>1102.8</v>
      </c>
      <c r="G93" s="472">
        <v>6.2</v>
      </c>
      <c r="H93" s="471">
        <v>73387.38</v>
      </c>
      <c r="I93" s="473">
        <v>885.92</v>
      </c>
      <c r="J93" s="473">
        <v>32875.620000000003</v>
      </c>
      <c r="K93" s="472">
        <v>101.32</v>
      </c>
      <c r="L93" s="471">
        <v>5140.2</v>
      </c>
      <c r="M93" s="473">
        <v>15.77</v>
      </c>
      <c r="N93" s="473">
        <v>32450.3</v>
      </c>
      <c r="O93" s="473">
        <v>28.6</v>
      </c>
      <c r="P93" s="473">
        <v>524.67999999999995</v>
      </c>
      <c r="Q93" s="473">
        <v>624.99</v>
      </c>
      <c r="R93" s="473">
        <v>9614.9699999999993</v>
      </c>
      <c r="S93" s="473">
        <v>9.0399999999999991</v>
      </c>
      <c r="T93" s="473">
        <v>35327</v>
      </c>
      <c r="U93" s="473">
        <v>69</v>
      </c>
      <c r="V93" s="473">
        <v>221.21</v>
      </c>
      <c r="W93" s="473">
        <v>0.15</v>
      </c>
      <c r="X93" s="473">
        <v>5969.37</v>
      </c>
      <c r="Y93" s="473">
        <v>0</v>
      </c>
      <c r="Z93" s="473">
        <v>54150</v>
      </c>
      <c r="AA93" s="472">
        <v>78</v>
      </c>
      <c r="AB93" s="473"/>
      <c r="AC93" s="474"/>
      <c r="AD93" s="473"/>
      <c r="AE93" s="472"/>
      <c r="AF93" s="506"/>
      <c r="AG93" s="474"/>
      <c r="AH93" s="506"/>
      <c r="AI93" s="474"/>
      <c r="AJ93" s="506"/>
      <c r="AK93" s="474"/>
    </row>
    <row r="94" spans="1:37">
      <c r="A94" s="492">
        <f t="shared" si="3"/>
        <v>45607</v>
      </c>
      <c r="B94" s="102" t="s">
        <v>3267</v>
      </c>
      <c r="C94" s="110" t="str">
        <f t="shared" ref="C94:C123" si="4">A94 &amp; " " &amp;B94</f>
        <v>45607 0000H</v>
      </c>
      <c r="D94" s="337">
        <v>612.02</v>
      </c>
      <c r="E94" s="338">
        <v>49.66</v>
      </c>
      <c r="F94" s="337">
        <v>1102.8</v>
      </c>
      <c r="G94" s="338">
        <v>6.2</v>
      </c>
      <c r="H94" s="337">
        <v>73397.429999999993</v>
      </c>
      <c r="I94" s="475">
        <v>885.92</v>
      </c>
      <c r="J94" s="475">
        <v>32879.42</v>
      </c>
      <c r="K94" s="338">
        <v>101.32</v>
      </c>
      <c r="L94" s="337">
        <v>5145.97</v>
      </c>
      <c r="M94" s="475">
        <v>15.77</v>
      </c>
      <c r="N94" s="475">
        <v>32454</v>
      </c>
      <c r="O94" s="475">
        <v>28.6</v>
      </c>
      <c r="P94" s="475">
        <v>525.16999999999996</v>
      </c>
      <c r="Q94" s="475">
        <v>625.41</v>
      </c>
      <c r="R94" s="475">
        <v>9619.67</v>
      </c>
      <c r="S94" s="475">
        <v>9.0399999999999991</v>
      </c>
      <c r="T94" s="475">
        <v>35335</v>
      </c>
      <c r="U94" s="475">
        <v>69</v>
      </c>
      <c r="V94" s="475">
        <v>224.59</v>
      </c>
      <c r="W94" s="475">
        <v>0.15</v>
      </c>
      <c r="X94" s="475">
        <v>5976.65</v>
      </c>
      <c r="Y94" s="475">
        <v>0</v>
      </c>
      <c r="Z94" s="475">
        <v>54150</v>
      </c>
      <c r="AA94" s="338">
        <v>78</v>
      </c>
      <c r="AB94" s="475"/>
      <c r="AC94" s="476"/>
      <c r="AD94" s="475"/>
      <c r="AE94" s="338"/>
      <c r="AF94" s="505"/>
      <c r="AG94" s="476"/>
      <c r="AH94" s="505"/>
      <c r="AI94" s="476"/>
      <c r="AJ94" s="505"/>
      <c r="AK94" s="476"/>
    </row>
    <row r="95" spans="1:37">
      <c r="A95" s="492">
        <f t="shared" si="3"/>
        <v>45607</v>
      </c>
      <c r="B95" s="102" t="s">
        <v>1197</v>
      </c>
      <c r="C95" s="110" t="str">
        <f t="shared" si="4"/>
        <v>45607 1200H</v>
      </c>
      <c r="D95" s="471">
        <v>615.51</v>
      </c>
      <c r="E95" s="472">
        <v>49.66</v>
      </c>
      <c r="F95" s="471">
        <v>1102.8</v>
      </c>
      <c r="G95" s="472">
        <v>6.2</v>
      </c>
      <c r="H95" s="471">
        <v>73406.7</v>
      </c>
      <c r="I95" s="473">
        <v>881.95</v>
      </c>
      <c r="J95" s="473">
        <v>32881.800000000003</v>
      </c>
      <c r="K95" s="472">
        <v>101.35</v>
      </c>
      <c r="L95" s="471">
        <v>5151.6099999999997</v>
      </c>
      <c r="M95" s="473">
        <v>15.77</v>
      </c>
      <c r="N95" s="473">
        <v>32457.9</v>
      </c>
      <c r="O95" s="473">
        <v>28.6</v>
      </c>
      <c r="P95" s="473">
        <v>526.01</v>
      </c>
      <c r="Q95" s="473">
        <v>626.29</v>
      </c>
      <c r="R95" s="473">
        <v>9623.3700000000008</v>
      </c>
      <c r="S95" s="473">
        <v>9.0399999999999991</v>
      </c>
      <c r="T95" s="473">
        <v>35341</v>
      </c>
      <c r="U95" s="473">
        <v>69</v>
      </c>
      <c r="V95" s="473">
        <v>225.62</v>
      </c>
      <c r="W95" s="473">
        <v>0.15</v>
      </c>
      <c r="X95" s="473">
        <v>5982.83</v>
      </c>
      <c r="Y95" s="473">
        <v>0</v>
      </c>
      <c r="Z95" s="473">
        <v>54150</v>
      </c>
      <c r="AA95" s="472">
        <v>78</v>
      </c>
      <c r="AB95" s="473"/>
      <c r="AC95" s="474"/>
      <c r="AD95" s="473"/>
      <c r="AE95" s="472"/>
      <c r="AF95" s="506"/>
      <c r="AG95" s="474"/>
      <c r="AH95" s="506"/>
      <c r="AI95" s="474"/>
      <c r="AJ95" s="506"/>
      <c r="AK95" s="474"/>
    </row>
    <row r="96" spans="1:37">
      <c r="A96" s="492">
        <f t="shared" ref="A96:A123" si="5">A94+1</f>
        <v>45608</v>
      </c>
      <c r="B96" s="102" t="s">
        <v>3267</v>
      </c>
      <c r="C96" s="110" t="str">
        <f t="shared" si="4"/>
        <v>45608 0000H</v>
      </c>
      <c r="D96" s="337">
        <v>620.73</v>
      </c>
      <c r="E96" s="338">
        <v>49.66</v>
      </c>
      <c r="F96" s="337">
        <v>1102.8</v>
      </c>
      <c r="G96" s="338">
        <v>6.2</v>
      </c>
      <c r="H96" s="337">
        <v>73416.899999999994</v>
      </c>
      <c r="I96" s="475">
        <v>885.94</v>
      </c>
      <c r="J96" s="475">
        <v>32885</v>
      </c>
      <c r="K96" s="338">
        <v>101.35</v>
      </c>
      <c r="L96" s="337">
        <v>5157.41</v>
      </c>
      <c r="M96" s="475">
        <v>15.77</v>
      </c>
      <c r="N96" s="475">
        <v>32461.4</v>
      </c>
      <c r="O96" s="475">
        <v>28.6</v>
      </c>
      <c r="P96" s="475">
        <v>527.45000000000005</v>
      </c>
      <c r="Q96" s="475">
        <v>626.63</v>
      </c>
      <c r="R96" s="475">
        <v>9627.58</v>
      </c>
      <c r="S96" s="475">
        <v>9.0399999999999991</v>
      </c>
      <c r="T96" s="475">
        <v>35350</v>
      </c>
      <c r="U96" s="475">
        <v>69</v>
      </c>
      <c r="V96" s="475">
        <v>227.93</v>
      </c>
      <c r="W96" s="475">
        <v>0.15</v>
      </c>
      <c r="X96" s="475">
        <v>5990</v>
      </c>
      <c r="Y96" s="475">
        <v>0</v>
      </c>
      <c r="Z96" s="475">
        <v>54150</v>
      </c>
      <c r="AA96" s="338">
        <v>78</v>
      </c>
      <c r="AB96" s="475"/>
      <c r="AC96" s="476"/>
      <c r="AD96" s="475"/>
      <c r="AE96" s="338"/>
      <c r="AF96" s="505"/>
      <c r="AG96" s="476"/>
      <c r="AH96" s="505"/>
      <c r="AI96" s="476"/>
      <c r="AJ96" s="505"/>
      <c r="AK96" s="476"/>
    </row>
    <row r="97" spans="1:37">
      <c r="A97" s="492">
        <f t="shared" si="5"/>
        <v>45608</v>
      </c>
      <c r="B97" s="102" t="s">
        <v>1197</v>
      </c>
      <c r="C97" s="110" t="str">
        <f t="shared" si="4"/>
        <v>45608 1200H</v>
      </c>
      <c r="D97" s="471">
        <v>624.46</v>
      </c>
      <c r="E97" s="472">
        <v>49.66</v>
      </c>
      <c r="F97" s="471">
        <v>1102.8</v>
      </c>
      <c r="G97" s="472">
        <v>6.2</v>
      </c>
      <c r="H97" s="471">
        <v>73426.83</v>
      </c>
      <c r="I97" s="473">
        <v>885.94</v>
      </c>
      <c r="J97" s="473">
        <v>32887.26</v>
      </c>
      <c r="K97" s="472">
        <v>101.39</v>
      </c>
      <c r="L97" s="471">
        <v>5162.9799999999996</v>
      </c>
      <c r="M97" s="473">
        <v>15.77</v>
      </c>
      <c r="N97" s="473">
        <v>32465</v>
      </c>
      <c r="O97" s="473">
        <v>28.6</v>
      </c>
      <c r="P97" s="473">
        <v>528</v>
      </c>
      <c r="Q97" s="473">
        <v>627.54</v>
      </c>
      <c r="R97" s="473">
        <v>9631.9</v>
      </c>
      <c r="S97" s="473">
        <v>9.0399999999999991</v>
      </c>
      <c r="T97" s="473">
        <v>35356</v>
      </c>
      <c r="U97" s="473">
        <v>69</v>
      </c>
      <c r="V97" s="473">
        <v>227.4</v>
      </c>
      <c r="W97" s="473">
        <v>0.15</v>
      </c>
      <c r="X97" s="473">
        <v>5996.3</v>
      </c>
      <c r="Y97" s="473" t="s">
        <v>1</v>
      </c>
      <c r="Z97" s="473">
        <v>54150</v>
      </c>
      <c r="AA97" s="472">
        <v>78</v>
      </c>
      <c r="AB97" s="473"/>
      <c r="AC97" s="474"/>
      <c r="AD97" s="473"/>
      <c r="AE97" s="472"/>
      <c r="AF97" s="506"/>
      <c r="AG97" s="474"/>
      <c r="AH97" s="506"/>
      <c r="AI97" s="474"/>
      <c r="AJ97" s="506"/>
      <c r="AK97" s="474"/>
    </row>
    <row r="98" spans="1:37">
      <c r="A98" s="492">
        <f t="shared" si="5"/>
        <v>45609</v>
      </c>
      <c r="B98" s="102" t="s">
        <v>3267</v>
      </c>
      <c r="C98" s="110" t="str">
        <f t="shared" si="4"/>
        <v>45609 0000H</v>
      </c>
      <c r="D98" s="337">
        <v>629.17999999999995</v>
      </c>
      <c r="E98" s="338">
        <v>49.66</v>
      </c>
      <c r="F98" s="337">
        <v>1102.8</v>
      </c>
      <c r="G98" s="338">
        <v>6.2</v>
      </c>
      <c r="H98" s="337">
        <v>73434.600000000006</v>
      </c>
      <c r="I98" s="475">
        <v>886.02</v>
      </c>
      <c r="J98" s="475">
        <v>32891.07</v>
      </c>
      <c r="K98" s="338">
        <v>101.39</v>
      </c>
      <c r="L98" s="337">
        <v>5168.75</v>
      </c>
      <c r="M98" s="475">
        <v>15.77</v>
      </c>
      <c r="N98" s="475">
        <v>32468.7</v>
      </c>
      <c r="O98" s="475">
        <v>28.6</v>
      </c>
      <c r="P98" s="475">
        <v>530.54999999999995</v>
      </c>
      <c r="Q98" s="475">
        <v>627.63</v>
      </c>
      <c r="R98" s="475">
        <v>9635.5300000000007</v>
      </c>
      <c r="S98" s="475">
        <v>9.0399999999999991</v>
      </c>
      <c r="T98" s="475">
        <v>35365</v>
      </c>
      <c r="U98" s="475">
        <v>69</v>
      </c>
      <c r="V98" s="475">
        <v>230.01</v>
      </c>
      <c r="W98" s="475">
        <v>0.15</v>
      </c>
      <c r="X98" s="475">
        <v>6003.95</v>
      </c>
      <c r="Y98" s="475">
        <v>0</v>
      </c>
      <c r="Z98" s="475">
        <v>54150</v>
      </c>
      <c r="AA98" s="338">
        <v>78</v>
      </c>
      <c r="AB98" s="475"/>
      <c r="AC98" s="476"/>
      <c r="AD98" s="475"/>
      <c r="AE98" s="338"/>
      <c r="AF98" s="505"/>
      <c r="AG98" s="476"/>
      <c r="AH98" s="505"/>
      <c r="AI98" s="476"/>
      <c r="AJ98" s="505"/>
      <c r="AK98" s="476"/>
    </row>
    <row r="99" spans="1:37">
      <c r="A99" s="492">
        <f t="shared" si="5"/>
        <v>45609</v>
      </c>
      <c r="B99" s="102" t="s">
        <v>1197</v>
      </c>
      <c r="C99" s="110" t="str">
        <f t="shared" si="4"/>
        <v>45609 1200H</v>
      </c>
      <c r="D99" s="471">
        <v>632.83000000000004</v>
      </c>
      <c r="E99" s="472">
        <v>49.66</v>
      </c>
      <c r="F99" s="471">
        <v>1102.8</v>
      </c>
      <c r="G99" s="472">
        <v>6.2</v>
      </c>
      <c r="H99" s="471">
        <v>73438.070000000007</v>
      </c>
      <c r="I99" s="473">
        <v>886.36</v>
      </c>
      <c r="J99" s="473">
        <v>32894.85</v>
      </c>
      <c r="K99" s="472">
        <v>101.39</v>
      </c>
      <c r="L99" s="471">
        <v>5174.54</v>
      </c>
      <c r="M99" s="473">
        <v>15.77</v>
      </c>
      <c r="N99" s="473">
        <v>32473.4</v>
      </c>
      <c r="O99" s="473">
        <v>28.6</v>
      </c>
      <c r="P99" s="473">
        <v>531.4</v>
      </c>
      <c r="Q99" s="473">
        <v>628.03</v>
      </c>
      <c r="R99" s="473">
        <v>9639.1</v>
      </c>
      <c r="S99" s="473">
        <v>9.0399999999999991</v>
      </c>
      <c r="T99" s="473">
        <v>35371</v>
      </c>
      <c r="U99" s="473">
        <v>69</v>
      </c>
      <c r="V99" s="473">
        <v>230.01</v>
      </c>
      <c r="W99" s="473">
        <v>0.15</v>
      </c>
      <c r="X99" s="473">
        <v>6009</v>
      </c>
      <c r="Y99" s="473" t="s">
        <v>1</v>
      </c>
      <c r="Z99" s="473">
        <v>54150</v>
      </c>
      <c r="AA99" s="472">
        <v>78</v>
      </c>
      <c r="AB99" s="473"/>
      <c r="AC99" s="474"/>
      <c r="AD99" s="473"/>
      <c r="AE99" s="472"/>
      <c r="AF99" s="506"/>
      <c r="AG99" s="474"/>
      <c r="AH99" s="506"/>
      <c r="AI99" s="474"/>
      <c r="AJ99" s="506"/>
      <c r="AK99" s="474"/>
    </row>
    <row r="100" spans="1:37">
      <c r="A100" s="492">
        <f t="shared" si="5"/>
        <v>45610</v>
      </c>
      <c r="B100" s="102" t="s">
        <v>3267</v>
      </c>
      <c r="C100" s="110" t="str">
        <f t="shared" si="4"/>
        <v>45610 0000H</v>
      </c>
      <c r="D100" s="337">
        <v>637.48</v>
      </c>
      <c r="E100" s="338">
        <v>49.66</v>
      </c>
      <c r="F100" s="337">
        <v>1102.8</v>
      </c>
      <c r="G100" s="338">
        <v>6.2</v>
      </c>
      <c r="H100" s="337">
        <v>73442.22</v>
      </c>
      <c r="I100" s="475">
        <v>886.32</v>
      </c>
      <c r="J100" s="475">
        <v>32898.57</v>
      </c>
      <c r="K100" s="338">
        <v>101.39</v>
      </c>
      <c r="L100" s="337">
        <v>5180.32</v>
      </c>
      <c r="M100" s="475">
        <v>15.77</v>
      </c>
      <c r="N100" s="475">
        <v>32481.200000000001</v>
      </c>
      <c r="O100" s="475">
        <v>28.6</v>
      </c>
      <c r="P100" s="475">
        <v>534.19000000000005</v>
      </c>
      <c r="Q100" s="475">
        <v>628.32000000000005</v>
      </c>
      <c r="R100" s="475">
        <v>9643.59</v>
      </c>
      <c r="S100" s="475">
        <v>9.0399999999999991</v>
      </c>
      <c r="T100" s="475">
        <v>35380</v>
      </c>
      <c r="U100" s="475">
        <v>69</v>
      </c>
      <c r="V100" s="475">
        <v>230.01</v>
      </c>
      <c r="W100" s="475">
        <v>0.15</v>
      </c>
      <c r="X100" s="475">
        <v>6017.27</v>
      </c>
      <c r="Y100" s="475" t="s">
        <v>1</v>
      </c>
      <c r="Z100" s="475">
        <v>54150</v>
      </c>
      <c r="AA100" s="338">
        <v>78</v>
      </c>
      <c r="AB100" s="475"/>
      <c r="AC100" s="476"/>
      <c r="AD100" s="475"/>
      <c r="AE100" s="338"/>
      <c r="AF100" s="505"/>
      <c r="AG100" s="476"/>
      <c r="AH100" s="505"/>
      <c r="AI100" s="476"/>
      <c r="AJ100" s="505"/>
      <c r="AK100" s="476"/>
    </row>
    <row r="101" spans="1:37">
      <c r="A101" s="492">
        <f t="shared" si="5"/>
        <v>45610</v>
      </c>
      <c r="B101" s="102" t="s">
        <v>1197</v>
      </c>
      <c r="C101" s="110" t="str">
        <f t="shared" si="4"/>
        <v>45610 1200H</v>
      </c>
      <c r="D101" s="471">
        <v>641.29</v>
      </c>
      <c r="E101" s="472">
        <v>49.66</v>
      </c>
      <c r="F101" s="471">
        <v>1102.8</v>
      </c>
      <c r="G101" s="472">
        <v>6.2</v>
      </c>
      <c r="H101" s="471">
        <v>73458.039999999994</v>
      </c>
      <c r="I101" s="473">
        <v>886.36</v>
      </c>
      <c r="J101" s="473">
        <v>32899.18</v>
      </c>
      <c r="K101" s="472">
        <v>101.47</v>
      </c>
      <c r="L101" s="471">
        <v>5186.04</v>
      </c>
      <c r="M101" s="473">
        <v>15.77</v>
      </c>
      <c r="N101" s="473">
        <v>32486.799999999999</v>
      </c>
      <c r="O101" s="473">
        <v>28.6</v>
      </c>
      <c r="P101" s="473">
        <v>535.52</v>
      </c>
      <c r="Q101" s="473">
        <v>628.97</v>
      </c>
      <c r="R101" s="473">
        <v>9647.23</v>
      </c>
      <c r="S101" s="473">
        <v>9.0399999999999991</v>
      </c>
      <c r="T101" s="473">
        <v>35386</v>
      </c>
      <c r="U101" s="473">
        <v>69</v>
      </c>
      <c r="V101" s="473">
        <v>230.13</v>
      </c>
      <c r="W101" s="473">
        <v>0.15</v>
      </c>
      <c r="X101" s="473">
        <v>6023.74</v>
      </c>
      <c r="Y101" s="473" t="s">
        <v>1</v>
      </c>
      <c r="Z101" s="473">
        <v>54150</v>
      </c>
      <c r="AA101" s="472">
        <v>78</v>
      </c>
      <c r="AB101" s="473"/>
      <c r="AC101" s="474"/>
      <c r="AD101" s="473"/>
      <c r="AE101" s="472"/>
      <c r="AF101" s="506"/>
      <c r="AG101" s="474"/>
      <c r="AH101" s="506"/>
      <c r="AI101" s="474"/>
      <c r="AJ101" s="506"/>
      <c r="AK101" s="474"/>
    </row>
    <row r="102" spans="1:37">
      <c r="A102" s="492">
        <f t="shared" si="5"/>
        <v>45611</v>
      </c>
      <c r="B102" s="102" t="s">
        <v>3267</v>
      </c>
      <c r="C102" s="110" t="str">
        <f t="shared" si="4"/>
        <v>45611 0000H</v>
      </c>
      <c r="D102" s="337">
        <v>645.79999999999995</v>
      </c>
      <c r="E102" s="338">
        <v>49.66</v>
      </c>
      <c r="F102" s="337">
        <v>1102.8</v>
      </c>
      <c r="G102" s="338">
        <v>6.2</v>
      </c>
      <c r="H102" s="337">
        <v>73468.210000000006</v>
      </c>
      <c r="I102" s="475">
        <v>886.32</v>
      </c>
      <c r="J102" s="475">
        <v>32902.769999999997</v>
      </c>
      <c r="K102" s="338">
        <v>101.47</v>
      </c>
      <c r="L102" s="337">
        <v>5191.54</v>
      </c>
      <c r="M102" s="475">
        <v>15.77</v>
      </c>
      <c r="N102" s="475">
        <v>32493</v>
      </c>
      <c r="O102" s="475">
        <v>28.6</v>
      </c>
      <c r="P102" s="475">
        <v>538.67999999999995</v>
      </c>
      <c r="Q102" s="475">
        <v>629.15</v>
      </c>
      <c r="R102" s="475">
        <v>9651.8799999999992</v>
      </c>
      <c r="S102" s="475">
        <v>9.0399999999999991</v>
      </c>
      <c r="T102" s="475">
        <v>35395</v>
      </c>
      <c r="U102" s="475">
        <v>69</v>
      </c>
      <c r="V102" s="475">
        <v>232.25</v>
      </c>
      <c r="W102" s="475">
        <v>0.15</v>
      </c>
      <c r="X102" s="475">
        <v>6031.29</v>
      </c>
      <c r="Y102" s="475">
        <v>0</v>
      </c>
      <c r="Z102" s="475">
        <v>54150</v>
      </c>
      <c r="AA102" s="338">
        <v>78</v>
      </c>
      <c r="AB102" s="475"/>
      <c r="AC102" s="476"/>
      <c r="AD102" s="475"/>
      <c r="AE102" s="338"/>
      <c r="AF102" s="505"/>
      <c r="AG102" s="476"/>
      <c r="AH102" s="505"/>
      <c r="AI102" s="476"/>
      <c r="AJ102" s="505"/>
      <c r="AK102" s="476"/>
    </row>
    <row r="103" spans="1:37">
      <c r="A103" s="492">
        <f t="shared" si="5"/>
        <v>45611</v>
      </c>
      <c r="B103" s="102" t="s">
        <v>1197</v>
      </c>
      <c r="C103" s="110" t="str">
        <f t="shared" si="4"/>
        <v>45611 1200H</v>
      </c>
      <c r="D103" s="471">
        <v>649.6</v>
      </c>
      <c r="E103" s="472">
        <v>49.66</v>
      </c>
      <c r="F103" s="471">
        <v>1102.8</v>
      </c>
      <c r="G103" s="472">
        <v>6.2</v>
      </c>
      <c r="H103" s="471">
        <v>73478.460000000006</v>
      </c>
      <c r="I103" s="473">
        <v>886.33</v>
      </c>
      <c r="J103" s="473">
        <v>32904.74</v>
      </c>
      <c r="K103" s="472">
        <v>101.51</v>
      </c>
      <c r="L103" s="471">
        <v>5197.3500000000004</v>
      </c>
      <c r="M103" s="473">
        <v>15.77</v>
      </c>
      <c r="N103" s="473">
        <v>32498.799999999999</v>
      </c>
      <c r="O103" s="473">
        <v>28.6</v>
      </c>
      <c r="P103" s="473">
        <v>539.58000000000004</v>
      </c>
      <c r="Q103" s="473">
        <v>629.87</v>
      </c>
      <c r="R103" s="473">
        <v>9655.49</v>
      </c>
      <c r="S103" s="473">
        <v>9.0399999999999991</v>
      </c>
      <c r="T103" s="473">
        <v>35401</v>
      </c>
      <c r="U103" s="473">
        <v>69</v>
      </c>
      <c r="V103" s="473">
        <v>232.25</v>
      </c>
      <c r="W103" s="473">
        <v>0.15</v>
      </c>
      <c r="X103" s="473">
        <v>6037.63</v>
      </c>
      <c r="Y103" s="473">
        <v>0</v>
      </c>
      <c r="Z103" s="473">
        <v>54150</v>
      </c>
      <c r="AA103" s="472">
        <v>78</v>
      </c>
      <c r="AB103" s="473"/>
      <c r="AC103" s="474"/>
      <c r="AD103" s="473"/>
      <c r="AE103" s="472"/>
      <c r="AF103" s="506"/>
      <c r="AG103" s="474"/>
      <c r="AH103" s="506"/>
      <c r="AI103" s="474"/>
      <c r="AJ103" s="506"/>
      <c r="AK103" s="474"/>
    </row>
    <row r="104" spans="1:37">
      <c r="A104" s="492">
        <f t="shared" si="5"/>
        <v>45612</v>
      </c>
      <c r="B104" s="102" t="s">
        <v>3267</v>
      </c>
      <c r="C104" s="110" t="str">
        <f t="shared" si="4"/>
        <v>45612 0000H</v>
      </c>
      <c r="D104" s="337">
        <v>654.78</v>
      </c>
      <c r="E104" s="338">
        <v>49.66</v>
      </c>
      <c r="F104" s="337">
        <v>1102.8</v>
      </c>
      <c r="G104" s="338">
        <v>6.2</v>
      </c>
      <c r="H104" s="337">
        <v>73486.929999999993</v>
      </c>
      <c r="I104" s="475">
        <v>886.39</v>
      </c>
      <c r="J104" s="475">
        <v>32907.71</v>
      </c>
      <c r="K104" s="338">
        <v>101.54</v>
      </c>
      <c r="L104" s="337">
        <v>5203.1400000000003</v>
      </c>
      <c r="M104" s="475">
        <v>15.77</v>
      </c>
      <c r="N104" s="475">
        <v>32506.1</v>
      </c>
      <c r="O104" s="475">
        <v>28.6</v>
      </c>
      <c r="P104" s="475">
        <v>542.19000000000005</v>
      </c>
      <c r="Q104" s="475">
        <v>630.01</v>
      </c>
      <c r="R104" s="475">
        <v>9660.11</v>
      </c>
      <c r="S104" s="475">
        <v>9.0399999999999991</v>
      </c>
      <c r="T104" s="475">
        <v>35410</v>
      </c>
      <c r="U104" s="475">
        <v>69</v>
      </c>
      <c r="V104" s="475">
        <v>232.25</v>
      </c>
      <c r="W104" s="475">
        <v>0.15</v>
      </c>
      <c r="X104" s="475">
        <v>6045.2</v>
      </c>
      <c r="Y104" s="475">
        <v>0</v>
      </c>
      <c r="Z104" s="475">
        <v>54150</v>
      </c>
      <c r="AA104" s="338">
        <v>78</v>
      </c>
      <c r="AB104" s="475"/>
      <c r="AC104" s="476"/>
      <c r="AD104" s="475"/>
      <c r="AE104" s="338"/>
      <c r="AF104" s="505"/>
      <c r="AG104" s="476"/>
      <c r="AH104" s="505"/>
      <c r="AI104" s="476"/>
      <c r="AJ104" s="505"/>
      <c r="AK104" s="476"/>
    </row>
    <row r="105" spans="1:37">
      <c r="A105" s="492">
        <f t="shared" si="5"/>
        <v>45612</v>
      </c>
      <c r="B105" s="102" t="s">
        <v>1197</v>
      </c>
      <c r="C105" s="110" t="str">
        <f t="shared" si="4"/>
        <v>45612 1200H</v>
      </c>
      <c r="D105" s="471">
        <v>658.31</v>
      </c>
      <c r="E105" s="472">
        <v>49.66</v>
      </c>
      <c r="F105" s="471">
        <v>1102.8</v>
      </c>
      <c r="G105" s="472">
        <v>6.2</v>
      </c>
      <c r="H105" s="471">
        <v>73490.350000000006</v>
      </c>
      <c r="I105" s="473">
        <v>886.72</v>
      </c>
      <c r="J105" s="473">
        <v>32910.93</v>
      </c>
      <c r="K105" s="472">
        <v>101.56</v>
      </c>
      <c r="L105" s="471">
        <v>5208.9399999999996</v>
      </c>
      <c r="M105" s="473">
        <v>15.77</v>
      </c>
      <c r="N105" s="473">
        <v>32511.7</v>
      </c>
      <c r="O105" s="473">
        <v>28.6</v>
      </c>
      <c r="P105" s="473">
        <v>542.25</v>
      </c>
      <c r="Q105" s="473">
        <v>630.01</v>
      </c>
      <c r="R105" s="473">
        <v>9663.82</v>
      </c>
      <c r="S105" s="473">
        <v>9.0399999999999991</v>
      </c>
      <c r="T105" s="473">
        <v>35416</v>
      </c>
      <c r="U105" s="473">
        <v>69</v>
      </c>
      <c r="V105" s="473">
        <v>232.25</v>
      </c>
      <c r="W105" s="473">
        <v>0.15</v>
      </c>
      <c r="X105" s="473">
        <v>6051.57</v>
      </c>
      <c r="Y105" s="473">
        <v>0</v>
      </c>
      <c r="Z105" s="473">
        <v>54150</v>
      </c>
      <c r="AA105" s="472">
        <v>78</v>
      </c>
      <c r="AB105" s="473"/>
      <c r="AC105" s="474"/>
      <c r="AD105" s="473"/>
      <c r="AE105" s="472"/>
      <c r="AF105" s="506"/>
      <c r="AG105" s="474"/>
      <c r="AH105" s="506"/>
      <c r="AI105" s="474"/>
      <c r="AJ105" s="506"/>
      <c r="AK105" s="474"/>
    </row>
    <row r="106" spans="1:37">
      <c r="A106" s="492">
        <f t="shared" si="5"/>
        <v>45613</v>
      </c>
      <c r="B106" s="102" t="s">
        <v>3267</v>
      </c>
      <c r="C106" s="110" t="str">
        <f t="shared" si="4"/>
        <v>45613 0000H</v>
      </c>
      <c r="D106" s="337">
        <v>663.31</v>
      </c>
      <c r="E106" s="338">
        <v>49.66</v>
      </c>
      <c r="F106" s="337">
        <v>1102.8</v>
      </c>
      <c r="G106" s="338">
        <v>6.2</v>
      </c>
      <c r="H106" s="337">
        <v>73499.44</v>
      </c>
      <c r="I106" s="475">
        <v>886.77</v>
      </c>
      <c r="J106" s="475">
        <v>32914.65</v>
      </c>
      <c r="K106" s="338">
        <v>101.556</v>
      </c>
      <c r="L106" s="337">
        <v>5214.6899999999996</v>
      </c>
      <c r="M106" s="475">
        <v>15.77</v>
      </c>
      <c r="N106" s="475">
        <v>32519.8</v>
      </c>
      <c r="O106" s="475">
        <v>28.6</v>
      </c>
      <c r="P106" s="475">
        <v>543.61</v>
      </c>
      <c r="Q106" s="475">
        <v>631.07000000000005</v>
      </c>
      <c r="R106" s="475">
        <v>9668.9599999999991</v>
      </c>
      <c r="S106" s="475">
        <v>9.0399999999999991</v>
      </c>
      <c r="T106" s="475">
        <v>35422</v>
      </c>
      <c r="U106" s="475">
        <v>69</v>
      </c>
      <c r="V106" s="475">
        <v>232.25</v>
      </c>
      <c r="W106" s="475">
        <v>0.15</v>
      </c>
      <c r="X106" s="475">
        <v>6059.13</v>
      </c>
      <c r="Y106" s="475">
        <v>0</v>
      </c>
      <c r="Z106" s="475">
        <v>54150</v>
      </c>
      <c r="AA106" s="338">
        <v>78</v>
      </c>
      <c r="AB106" s="475"/>
      <c r="AC106" s="476"/>
      <c r="AD106" s="475"/>
      <c r="AE106" s="338"/>
      <c r="AF106" s="505"/>
      <c r="AG106" s="476"/>
      <c r="AH106" s="505"/>
      <c r="AI106" s="476"/>
      <c r="AJ106" s="505"/>
      <c r="AK106" s="476"/>
    </row>
    <row r="107" spans="1:37">
      <c r="A107" s="492">
        <f t="shared" si="5"/>
        <v>45613</v>
      </c>
      <c r="B107" s="102" t="s">
        <v>1197</v>
      </c>
      <c r="C107" s="110" t="str">
        <f t="shared" si="4"/>
        <v>45613 1200H</v>
      </c>
      <c r="D107" s="471">
        <v>666.7</v>
      </c>
      <c r="E107" s="472">
        <v>49.66</v>
      </c>
      <c r="F107" s="471">
        <v>1102.8</v>
      </c>
      <c r="G107" s="472">
        <v>6.2</v>
      </c>
      <c r="H107" s="471">
        <v>73503.350000000006</v>
      </c>
      <c r="I107" s="473">
        <v>887.01</v>
      </c>
      <c r="J107" s="473">
        <v>32918.400000000001</v>
      </c>
      <c r="K107" s="472">
        <v>101.56</v>
      </c>
      <c r="L107" s="471">
        <v>5220.47</v>
      </c>
      <c r="M107" s="473">
        <v>15.77</v>
      </c>
      <c r="N107" s="473">
        <v>32525.1</v>
      </c>
      <c r="O107" s="473">
        <v>28.6</v>
      </c>
      <c r="P107" s="473">
        <v>543.63</v>
      </c>
      <c r="Q107" s="473">
        <v>632.21</v>
      </c>
      <c r="R107" s="473">
        <v>9672.26</v>
      </c>
      <c r="S107" s="473">
        <v>9.0399999999999991</v>
      </c>
      <c r="T107" s="473">
        <v>35430</v>
      </c>
      <c r="U107" s="473">
        <v>69</v>
      </c>
      <c r="V107" s="473">
        <v>232.25</v>
      </c>
      <c r="W107" s="473">
        <v>0.15</v>
      </c>
      <c r="X107" s="473">
        <v>6065.31</v>
      </c>
      <c r="Y107" s="473">
        <v>0</v>
      </c>
      <c r="Z107" s="473">
        <v>54150</v>
      </c>
      <c r="AA107" s="472">
        <v>78</v>
      </c>
      <c r="AB107" s="473"/>
      <c r="AC107" s="474"/>
      <c r="AD107" s="473"/>
      <c r="AE107" s="472"/>
      <c r="AF107" s="506"/>
      <c r="AG107" s="474"/>
      <c r="AH107" s="506"/>
      <c r="AI107" s="474"/>
      <c r="AJ107" s="506"/>
      <c r="AK107" s="474"/>
    </row>
    <row r="108" spans="1:37">
      <c r="A108" s="492">
        <f t="shared" si="5"/>
        <v>45614</v>
      </c>
      <c r="B108" s="102" t="s">
        <v>3267</v>
      </c>
      <c r="C108" s="110" t="str">
        <f t="shared" si="4"/>
        <v>45614 0000H</v>
      </c>
      <c r="D108" s="337">
        <v>671.56</v>
      </c>
      <c r="E108" s="338">
        <v>49.66</v>
      </c>
      <c r="F108" s="337">
        <v>1102.8</v>
      </c>
      <c r="G108" s="338">
        <v>6.2</v>
      </c>
      <c r="H108" s="337">
        <v>73512.3</v>
      </c>
      <c r="I108" s="475">
        <v>887.07</v>
      </c>
      <c r="J108" s="475">
        <v>32922.080000000002</v>
      </c>
      <c r="K108" s="338">
        <v>101.56</v>
      </c>
      <c r="L108" s="337">
        <v>5226.25</v>
      </c>
      <c r="M108" s="475">
        <v>15.77</v>
      </c>
      <c r="N108" s="475">
        <v>32532.6</v>
      </c>
      <c r="O108" s="475">
        <v>28.6</v>
      </c>
      <c r="P108" s="475">
        <v>543.91999999999996</v>
      </c>
      <c r="Q108" s="475">
        <v>632.88</v>
      </c>
      <c r="R108" s="475">
        <v>9676.85</v>
      </c>
      <c r="S108" s="475">
        <v>9.0399999999999991</v>
      </c>
      <c r="T108" s="475">
        <v>35437</v>
      </c>
      <c r="U108" s="475">
        <v>69</v>
      </c>
      <c r="V108" s="475">
        <v>232.25</v>
      </c>
      <c r="W108" s="475">
        <v>0.15</v>
      </c>
      <c r="X108" s="475">
        <v>6072.78</v>
      </c>
      <c r="Y108" s="475">
        <v>0</v>
      </c>
      <c r="Z108" s="475">
        <v>54150</v>
      </c>
      <c r="AA108" s="338">
        <v>78</v>
      </c>
      <c r="AB108" s="475"/>
      <c r="AC108" s="476"/>
      <c r="AD108" s="475"/>
      <c r="AE108" s="338"/>
      <c r="AF108" s="505"/>
      <c r="AG108" s="476"/>
      <c r="AH108" s="505"/>
      <c r="AI108" s="476"/>
      <c r="AJ108" s="505"/>
      <c r="AK108" s="476"/>
    </row>
    <row r="109" spans="1:37">
      <c r="A109" s="492">
        <f t="shared" si="5"/>
        <v>45614</v>
      </c>
      <c r="B109" s="102" t="s">
        <v>1197</v>
      </c>
      <c r="C109" s="110" t="str">
        <f t="shared" si="4"/>
        <v>45614 1200H</v>
      </c>
      <c r="D109" s="471">
        <v>674.96</v>
      </c>
      <c r="E109" s="472">
        <v>49.66</v>
      </c>
      <c r="F109" s="471">
        <v>1102.8</v>
      </c>
      <c r="G109" s="472">
        <v>6.2</v>
      </c>
      <c r="H109" s="471">
        <v>73515.490000000005</v>
      </c>
      <c r="I109" s="473">
        <v>887.37</v>
      </c>
      <c r="J109" s="473">
        <v>32925.919999999998</v>
      </c>
      <c r="K109" s="472">
        <v>101.56</v>
      </c>
      <c r="L109" s="471">
        <v>5231.95</v>
      </c>
      <c r="M109" s="473">
        <v>15.77</v>
      </c>
      <c r="N109" s="473">
        <v>32537.7</v>
      </c>
      <c r="O109" s="473">
        <v>28.6</v>
      </c>
      <c r="P109" s="473">
        <v>544.83000000000004</v>
      </c>
      <c r="Q109" s="473">
        <v>633.54</v>
      </c>
      <c r="R109" s="473">
        <v>9680.5499999999993</v>
      </c>
      <c r="S109" s="473">
        <v>9.0399999999999991</v>
      </c>
      <c r="T109" s="473">
        <v>35444</v>
      </c>
      <c r="U109" s="473">
        <v>69</v>
      </c>
      <c r="V109" s="473">
        <v>232.25</v>
      </c>
      <c r="W109" s="473">
        <v>0.15</v>
      </c>
      <c r="X109" s="473">
        <v>6078.89</v>
      </c>
      <c r="Y109" s="473">
        <v>0</v>
      </c>
      <c r="Z109" s="473">
        <v>54150</v>
      </c>
      <c r="AA109" s="472">
        <v>78</v>
      </c>
      <c r="AB109" s="473"/>
      <c r="AC109" s="474"/>
      <c r="AD109" s="473"/>
      <c r="AE109" s="472"/>
      <c r="AF109" s="506"/>
      <c r="AG109" s="474"/>
      <c r="AH109" s="506"/>
      <c r="AI109" s="474"/>
      <c r="AJ109" s="506"/>
      <c r="AK109" s="474"/>
    </row>
    <row r="110" spans="1:37">
      <c r="A110" s="492">
        <f t="shared" si="5"/>
        <v>45615</v>
      </c>
      <c r="B110" s="102" t="s">
        <v>3267</v>
      </c>
      <c r="C110" s="110" t="str">
        <f t="shared" si="4"/>
        <v>45615 0000H</v>
      </c>
      <c r="D110" s="337">
        <v>680.06</v>
      </c>
      <c r="E110" s="338">
        <v>49.66</v>
      </c>
      <c r="F110" s="337">
        <v>1102.8</v>
      </c>
      <c r="G110" s="338">
        <v>6.2</v>
      </c>
      <c r="H110" s="337">
        <v>73525.240000000005</v>
      </c>
      <c r="I110" s="475">
        <v>887.37</v>
      </c>
      <c r="J110" s="475">
        <v>32929.26</v>
      </c>
      <c r="K110" s="338">
        <v>101.57</v>
      </c>
      <c r="L110" s="337">
        <v>5237.01</v>
      </c>
      <c r="M110" s="475">
        <v>15.77</v>
      </c>
      <c r="N110" s="475">
        <v>32544.799999999999</v>
      </c>
      <c r="O110" s="475">
        <v>28.6</v>
      </c>
      <c r="P110" s="475">
        <v>546.67999999999995</v>
      </c>
      <c r="Q110" s="475">
        <v>633.69000000000005</v>
      </c>
      <c r="R110" s="475">
        <v>9684.77</v>
      </c>
      <c r="S110" s="475">
        <v>9.0399999999999991</v>
      </c>
      <c r="T110" s="475">
        <v>35452</v>
      </c>
      <c r="U110" s="475">
        <v>69</v>
      </c>
      <c r="V110" s="475">
        <v>232.25</v>
      </c>
      <c r="W110" s="475">
        <v>0.15</v>
      </c>
      <c r="X110" s="475">
        <v>6085.3</v>
      </c>
      <c r="Y110" s="475">
        <v>0</v>
      </c>
      <c r="Z110" s="475">
        <v>54150</v>
      </c>
      <c r="AA110" s="338">
        <v>78</v>
      </c>
      <c r="AB110" s="475"/>
      <c r="AC110" s="476"/>
      <c r="AD110" s="475"/>
      <c r="AE110" s="338"/>
      <c r="AF110" s="505"/>
      <c r="AG110" s="476"/>
      <c r="AH110" s="505"/>
      <c r="AI110" s="476"/>
      <c r="AJ110" s="505"/>
      <c r="AK110" s="476"/>
    </row>
    <row r="111" spans="1:37">
      <c r="A111" s="492">
        <f t="shared" si="5"/>
        <v>45615</v>
      </c>
      <c r="B111" s="102" t="s">
        <v>1197</v>
      </c>
      <c r="C111" s="110" t="str">
        <f t="shared" si="4"/>
        <v>45615 1200H</v>
      </c>
      <c r="D111" s="471">
        <v>684.53</v>
      </c>
      <c r="E111" s="472">
        <v>49.66</v>
      </c>
      <c r="F111" s="471">
        <v>1102.8</v>
      </c>
      <c r="G111" s="472">
        <v>6.2</v>
      </c>
      <c r="H111" s="471">
        <v>73533.740000000005</v>
      </c>
      <c r="I111" s="473">
        <v>887.4</v>
      </c>
      <c r="J111" s="473">
        <v>32929.57</v>
      </c>
      <c r="K111" s="472">
        <v>101.61</v>
      </c>
      <c r="L111" s="471">
        <v>5239.58</v>
      </c>
      <c r="M111" s="473">
        <v>15.77</v>
      </c>
      <c r="N111" s="473">
        <v>32545.4</v>
      </c>
      <c r="O111" s="473">
        <v>28.7</v>
      </c>
      <c r="P111" s="473">
        <v>546.89</v>
      </c>
      <c r="Q111" s="473">
        <v>633.94000000000005</v>
      </c>
      <c r="R111" s="473">
        <v>9687.58</v>
      </c>
      <c r="S111" s="473">
        <v>9.0399999999999991</v>
      </c>
      <c r="T111" s="473">
        <v>35459</v>
      </c>
      <c r="U111" s="473">
        <v>69</v>
      </c>
      <c r="V111" s="473">
        <v>232.25</v>
      </c>
      <c r="W111" s="473">
        <v>0.15</v>
      </c>
      <c r="X111" s="473">
        <v>6091.9</v>
      </c>
      <c r="Y111" s="473"/>
      <c r="Z111" s="473">
        <v>54150</v>
      </c>
      <c r="AA111" s="472">
        <v>78</v>
      </c>
      <c r="AB111" s="473"/>
      <c r="AC111" s="474"/>
      <c r="AD111" s="473"/>
      <c r="AE111" s="472"/>
      <c r="AF111" s="506"/>
      <c r="AG111" s="474"/>
      <c r="AH111" s="506"/>
      <c r="AI111" s="474"/>
      <c r="AJ111" s="506"/>
      <c r="AK111" s="474"/>
    </row>
    <row r="112" spans="1:37">
      <c r="A112" s="492">
        <f t="shared" si="5"/>
        <v>45616</v>
      </c>
      <c r="B112" s="102" t="s">
        <v>3267</v>
      </c>
      <c r="C112" s="110" t="str">
        <f t="shared" si="4"/>
        <v>45616 0000H</v>
      </c>
      <c r="D112" s="337">
        <v>689.11</v>
      </c>
      <c r="E112" s="338">
        <v>49.66</v>
      </c>
      <c r="F112" s="337">
        <v>1102.8</v>
      </c>
      <c r="G112" s="338">
        <v>6.2</v>
      </c>
      <c r="H112" s="337">
        <v>73543.53</v>
      </c>
      <c r="I112" s="475">
        <v>887.4</v>
      </c>
      <c r="J112" s="475">
        <v>32933.33</v>
      </c>
      <c r="K112" s="338">
        <v>101.61</v>
      </c>
      <c r="L112" s="337">
        <v>5245.22</v>
      </c>
      <c r="M112" s="475">
        <v>15.77</v>
      </c>
      <c r="N112" s="475">
        <v>32552.7</v>
      </c>
      <c r="O112" s="475">
        <v>28.7</v>
      </c>
      <c r="P112" s="475">
        <v>547.63</v>
      </c>
      <c r="Q112" s="475">
        <v>634.22</v>
      </c>
      <c r="R112" s="475">
        <v>9692.02</v>
      </c>
      <c r="S112" s="475">
        <v>9.0399999999999991</v>
      </c>
      <c r="T112" s="475">
        <v>35466</v>
      </c>
      <c r="U112" s="475">
        <v>69</v>
      </c>
      <c r="V112" s="475">
        <v>234.51</v>
      </c>
      <c r="W112" s="475">
        <v>0.15</v>
      </c>
      <c r="X112" s="475">
        <v>6098.7</v>
      </c>
      <c r="Y112" s="475">
        <v>0</v>
      </c>
      <c r="Z112" s="475">
        <v>54150</v>
      </c>
      <c r="AA112" s="338">
        <v>78</v>
      </c>
      <c r="AB112" s="475"/>
      <c r="AC112" s="476"/>
      <c r="AD112" s="475"/>
      <c r="AE112" s="338"/>
      <c r="AF112" s="505"/>
      <c r="AG112" s="476"/>
      <c r="AH112" s="505"/>
      <c r="AI112" s="476"/>
      <c r="AJ112" s="505"/>
      <c r="AK112" s="476"/>
    </row>
    <row r="113" spans="1:37">
      <c r="A113" s="492">
        <f t="shared" si="5"/>
        <v>45616</v>
      </c>
      <c r="B113" s="102" t="s">
        <v>1197</v>
      </c>
      <c r="C113" s="110" t="str">
        <f t="shared" si="4"/>
        <v>45616 1200H</v>
      </c>
      <c r="D113" s="471">
        <v>693.16</v>
      </c>
      <c r="E113" s="472">
        <v>49.66</v>
      </c>
      <c r="F113" s="471">
        <v>1102.8</v>
      </c>
      <c r="G113" s="472">
        <v>6.2</v>
      </c>
      <c r="H113" s="471">
        <v>73553.210000000006</v>
      </c>
      <c r="I113" s="473">
        <v>887.4</v>
      </c>
      <c r="J113" s="473">
        <v>32935.800000000003</v>
      </c>
      <c r="K113" s="472">
        <v>101.64</v>
      </c>
      <c r="L113" s="471">
        <v>5250.78</v>
      </c>
      <c r="M113" s="473">
        <v>15.77</v>
      </c>
      <c r="N113" s="473">
        <v>32557.7</v>
      </c>
      <c r="O113" s="473">
        <v>28.7</v>
      </c>
      <c r="P113" s="473">
        <v>548.84</v>
      </c>
      <c r="Q113" s="473">
        <v>634.66999999999996</v>
      </c>
      <c r="R113" s="473">
        <v>9695.73</v>
      </c>
      <c r="S113" s="473">
        <v>9.0399999999999991</v>
      </c>
      <c r="T113" s="473">
        <v>35472</v>
      </c>
      <c r="U113" s="473">
        <v>69</v>
      </c>
      <c r="V113" s="473">
        <v>234.51</v>
      </c>
      <c r="W113" s="473">
        <v>0.15</v>
      </c>
      <c r="X113" s="473">
        <v>6104.74</v>
      </c>
      <c r="Y113" s="473"/>
      <c r="Z113" s="473">
        <v>54151</v>
      </c>
      <c r="AA113" s="472">
        <v>78</v>
      </c>
      <c r="AB113" s="473"/>
      <c r="AC113" s="474"/>
      <c r="AD113" s="473"/>
      <c r="AE113" s="472"/>
      <c r="AF113" s="506"/>
      <c r="AG113" s="474"/>
      <c r="AH113" s="506"/>
      <c r="AI113" s="474"/>
      <c r="AJ113" s="506"/>
      <c r="AK113" s="474"/>
    </row>
    <row r="114" spans="1:37">
      <c r="A114" s="492">
        <f t="shared" si="5"/>
        <v>45617</v>
      </c>
      <c r="B114" s="102" t="s">
        <v>3267</v>
      </c>
      <c r="C114" s="110" t="str">
        <f t="shared" si="4"/>
        <v>45617 0000H</v>
      </c>
      <c r="D114" s="337">
        <v>698.14</v>
      </c>
      <c r="E114" s="338">
        <v>49.66</v>
      </c>
      <c r="F114" s="337">
        <v>1102.8</v>
      </c>
      <c r="G114" s="338">
        <v>6.2</v>
      </c>
      <c r="H114" s="337">
        <v>73559.3</v>
      </c>
      <c r="I114" s="475">
        <v>887.2</v>
      </c>
      <c r="J114" s="475">
        <v>32939.519999999997</v>
      </c>
      <c r="K114" s="338">
        <v>101.64</v>
      </c>
      <c r="L114" s="337">
        <v>5256.58</v>
      </c>
      <c r="M114" s="475">
        <v>15.77</v>
      </c>
      <c r="N114" s="475">
        <v>32565.3</v>
      </c>
      <c r="O114" s="475">
        <v>28.7</v>
      </c>
      <c r="P114" s="475">
        <v>551.21</v>
      </c>
      <c r="Q114" s="475">
        <v>634.84</v>
      </c>
      <c r="R114" s="475">
        <v>9700.23</v>
      </c>
      <c r="S114" s="475">
        <v>9.0399999999999991</v>
      </c>
      <c r="T114" s="475">
        <v>35479</v>
      </c>
      <c r="U114" s="475">
        <v>69</v>
      </c>
      <c r="V114" s="475">
        <v>234.51</v>
      </c>
      <c r="W114" s="475">
        <v>0.15</v>
      </c>
      <c r="X114" s="475">
        <v>6111.34</v>
      </c>
      <c r="Y114" s="475">
        <v>0</v>
      </c>
      <c r="Z114" s="475">
        <v>54151</v>
      </c>
      <c r="AA114" s="338">
        <v>78</v>
      </c>
      <c r="AB114" s="475"/>
      <c r="AC114" s="476"/>
      <c r="AD114" s="475"/>
      <c r="AE114" s="338"/>
      <c r="AF114" s="505"/>
      <c r="AG114" s="476"/>
      <c r="AH114" s="505"/>
      <c r="AI114" s="476"/>
      <c r="AJ114" s="505"/>
      <c r="AK114" s="476"/>
    </row>
    <row r="115" spans="1:37">
      <c r="A115" s="492">
        <f t="shared" si="5"/>
        <v>45617</v>
      </c>
      <c r="B115" s="102" t="s">
        <v>1197</v>
      </c>
      <c r="C115" s="110" t="str">
        <f t="shared" si="4"/>
        <v>45617 1200H</v>
      </c>
      <c r="D115" s="471">
        <v>701.89</v>
      </c>
      <c r="E115" s="472">
        <v>49.66</v>
      </c>
      <c r="F115" s="471">
        <v>1102.8</v>
      </c>
      <c r="G115" s="472">
        <v>6.2</v>
      </c>
      <c r="H115" s="471">
        <v>73565.509999999995</v>
      </c>
      <c r="I115" s="473">
        <v>887.68</v>
      </c>
      <c r="J115" s="473">
        <v>32941.22</v>
      </c>
      <c r="K115" s="472">
        <v>101.69</v>
      </c>
      <c r="L115" s="471">
        <v>5262.38</v>
      </c>
      <c r="M115" s="473">
        <v>15.77</v>
      </c>
      <c r="N115" s="473">
        <v>32571.599999999999</v>
      </c>
      <c r="O115" s="473">
        <v>28.7</v>
      </c>
      <c r="P115" s="473">
        <v>552.04999999999995</v>
      </c>
      <c r="Q115" s="473">
        <v>635.44000000000005</v>
      </c>
      <c r="R115" s="473">
        <v>9703.8799999999992</v>
      </c>
      <c r="S115" s="473">
        <v>9.0399999999999991</v>
      </c>
      <c r="T115" s="473">
        <v>35486</v>
      </c>
      <c r="U115" s="473">
        <v>69</v>
      </c>
      <c r="V115" s="473">
        <v>234.51</v>
      </c>
      <c r="W115" s="473">
        <v>0.15</v>
      </c>
      <c r="X115" s="473">
        <v>6116.9</v>
      </c>
      <c r="Y115" s="473">
        <v>0</v>
      </c>
      <c r="Z115" s="473">
        <v>54151</v>
      </c>
      <c r="AA115" s="472">
        <v>79</v>
      </c>
      <c r="AB115" s="473"/>
      <c r="AC115" s="474"/>
      <c r="AD115" s="473"/>
      <c r="AE115" s="472"/>
      <c r="AF115" s="506"/>
      <c r="AG115" s="474"/>
      <c r="AH115" s="506"/>
      <c r="AI115" s="474"/>
      <c r="AJ115" s="506"/>
      <c r="AK115" s="474"/>
    </row>
    <row r="116" spans="1:37">
      <c r="A116" s="492">
        <f t="shared" si="5"/>
        <v>45618</v>
      </c>
      <c r="B116" s="102" t="s">
        <v>3267</v>
      </c>
      <c r="C116" s="110" t="str">
        <f t="shared" si="4"/>
        <v>45618 0000H</v>
      </c>
      <c r="D116" s="337">
        <v>707.39</v>
      </c>
      <c r="E116" s="338">
        <v>49.66</v>
      </c>
      <c r="F116" s="337">
        <v>1102.8</v>
      </c>
      <c r="G116" s="338">
        <v>6.2</v>
      </c>
      <c r="H116" s="337">
        <v>73575.94</v>
      </c>
      <c r="I116" s="475">
        <v>887.68</v>
      </c>
      <c r="J116" s="475">
        <v>32944.93</v>
      </c>
      <c r="K116" s="338">
        <v>101.69</v>
      </c>
      <c r="L116" s="337">
        <v>5268.18</v>
      </c>
      <c r="M116" s="475">
        <v>15.77</v>
      </c>
      <c r="N116" s="475">
        <v>32578.3</v>
      </c>
      <c r="O116" s="475">
        <v>28.7</v>
      </c>
      <c r="P116" s="475">
        <v>554.02</v>
      </c>
      <c r="Q116" s="475">
        <v>635.67999999999995</v>
      </c>
      <c r="R116" s="475">
        <v>9708.5499999999993</v>
      </c>
      <c r="S116" s="475">
        <v>9.0399999999999991</v>
      </c>
      <c r="T116" s="475">
        <v>35494</v>
      </c>
      <c r="U116" s="475">
        <v>69</v>
      </c>
      <c r="V116" s="475">
        <v>234.51</v>
      </c>
      <c r="W116" s="475">
        <v>0.15</v>
      </c>
      <c r="X116" s="475">
        <v>6123.62</v>
      </c>
      <c r="Y116" s="475">
        <v>0</v>
      </c>
      <c r="Z116" s="475">
        <v>54151</v>
      </c>
      <c r="AA116" s="338">
        <v>79</v>
      </c>
      <c r="AB116" s="475"/>
      <c r="AC116" s="476"/>
      <c r="AD116" s="475"/>
      <c r="AE116" s="338"/>
      <c r="AF116" s="505"/>
      <c r="AG116" s="476"/>
      <c r="AH116" s="505"/>
      <c r="AI116" s="476"/>
      <c r="AJ116" s="505"/>
      <c r="AK116" s="476"/>
    </row>
    <row r="117" spans="1:37">
      <c r="A117" s="492">
        <f t="shared" si="5"/>
        <v>45618</v>
      </c>
      <c r="B117" s="102" t="s">
        <v>1197</v>
      </c>
      <c r="C117" s="110" t="str">
        <f t="shared" si="4"/>
        <v>45618 1200H</v>
      </c>
      <c r="D117" s="471">
        <v>709.6</v>
      </c>
      <c r="E117" s="472">
        <v>49.66</v>
      </c>
      <c r="F117" s="471">
        <v>1102.8</v>
      </c>
      <c r="G117" s="472">
        <v>6.2</v>
      </c>
      <c r="H117" s="471">
        <v>73586.080000000002</v>
      </c>
      <c r="I117" s="473">
        <v>887.68</v>
      </c>
      <c r="J117" s="473">
        <v>32946.94</v>
      </c>
      <c r="K117" s="472">
        <v>101.73</v>
      </c>
      <c r="L117" s="471">
        <v>5273.94</v>
      </c>
      <c r="M117" s="473">
        <v>15.77</v>
      </c>
      <c r="N117" s="473">
        <v>32584</v>
      </c>
      <c r="O117" s="473">
        <v>28.7</v>
      </c>
      <c r="P117" s="473">
        <v>555.19000000000005</v>
      </c>
      <c r="Q117" s="473">
        <v>636.42999999999995</v>
      </c>
      <c r="R117" s="473">
        <v>9712.27</v>
      </c>
      <c r="S117" s="473">
        <v>9.0399999999999991</v>
      </c>
      <c r="T117" s="473">
        <v>35500</v>
      </c>
      <c r="U117" s="473">
        <v>69</v>
      </c>
      <c r="V117" s="473">
        <v>234.51</v>
      </c>
      <c r="W117" s="473">
        <v>0.15</v>
      </c>
      <c r="X117" s="473">
        <v>6129.32</v>
      </c>
      <c r="Y117" s="473">
        <v>0</v>
      </c>
      <c r="Z117" s="473">
        <v>54152</v>
      </c>
      <c r="AA117" s="472">
        <v>79</v>
      </c>
      <c r="AB117" s="473"/>
      <c r="AC117" s="474"/>
      <c r="AD117" s="473"/>
      <c r="AE117" s="472"/>
      <c r="AF117" s="506"/>
      <c r="AG117" s="474"/>
      <c r="AH117" s="506"/>
      <c r="AI117" s="474"/>
      <c r="AJ117" s="506"/>
      <c r="AK117" s="474"/>
    </row>
    <row r="118" spans="1:37">
      <c r="A118" s="492">
        <f t="shared" si="5"/>
        <v>45619</v>
      </c>
      <c r="B118" s="102" t="s">
        <v>3267</v>
      </c>
      <c r="C118" s="110" t="str">
        <f t="shared" si="4"/>
        <v>45619 0000H</v>
      </c>
      <c r="D118" s="337">
        <v>716.23</v>
      </c>
      <c r="E118" s="338">
        <v>49.66</v>
      </c>
      <c r="F118" s="337">
        <v>1102.8</v>
      </c>
      <c r="G118" s="338">
        <v>6.2</v>
      </c>
      <c r="H118" s="337">
        <v>73596.100000000006</v>
      </c>
      <c r="I118" s="475">
        <v>887.68</v>
      </c>
      <c r="J118" s="475">
        <v>32950.519999999997</v>
      </c>
      <c r="K118" s="338">
        <v>101.73</v>
      </c>
      <c r="L118" s="337">
        <v>5279.79</v>
      </c>
      <c r="M118" s="475">
        <v>15.77</v>
      </c>
      <c r="N118" s="475">
        <v>32591.7</v>
      </c>
      <c r="O118" s="475">
        <v>28.7</v>
      </c>
      <c r="P118" s="475">
        <v>557.78</v>
      </c>
      <c r="Q118" s="475">
        <v>636.29</v>
      </c>
      <c r="R118" s="475">
        <v>9717.02</v>
      </c>
      <c r="S118" s="475">
        <v>9.0399999999999991</v>
      </c>
      <c r="T118" s="475">
        <v>35508</v>
      </c>
      <c r="U118" s="475">
        <v>69</v>
      </c>
      <c r="V118" s="475">
        <v>234.51</v>
      </c>
      <c r="W118" s="475">
        <v>0.15</v>
      </c>
      <c r="X118" s="475">
        <v>6136.4</v>
      </c>
      <c r="Y118" s="475">
        <v>0</v>
      </c>
      <c r="Z118" s="475">
        <v>54152</v>
      </c>
      <c r="AA118" s="338">
        <v>79</v>
      </c>
      <c r="AB118" s="475"/>
      <c r="AC118" s="476"/>
      <c r="AD118" s="475"/>
      <c r="AE118" s="338"/>
      <c r="AF118" s="505"/>
      <c r="AG118" s="476"/>
      <c r="AH118" s="505"/>
      <c r="AI118" s="476"/>
      <c r="AJ118" s="505"/>
      <c r="AK118" s="476"/>
    </row>
    <row r="119" spans="1:37">
      <c r="A119" s="492">
        <f t="shared" si="5"/>
        <v>45619</v>
      </c>
      <c r="B119" s="102" t="s">
        <v>1197</v>
      </c>
      <c r="C119" s="110" t="str">
        <f t="shared" si="4"/>
        <v>45619 1200H</v>
      </c>
      <c r="D119" s="471">
        <v>720.17</v>
      </c>
      <c r="E119" s="472">
        <v>49.66</v>
      </c>
      <c r="F119" s="471">
        <v>1102.8</v>
      </c>
      <c r="G119" s="472">
        <v>6.2</v>
      </c>
      <c r="H119" s="471">
        <v>73606.350000000006</v>
      </c>
      <c r="I119" s="473">
        <v>887.68</v>
      </c>
      <c r="J119" s="473">
        <v>32950.519999999997</v>
      </c>
      <c r="K119" s="472">
        <v>101.79</v>
      </c>
      <c r="L119" s="471">
        <v>5285.47</v>
      </c>
      <c r="M119" s="473">
        <v>15.77</v>
      </c>
      <c r="N119" s="473">
        <v>32599.4</v>
      </c>
      <c r="O119" s="473">
        <v>28.7</v>
      </c>
      <c r="P119" s="473">
        <v>558.61</v>
      </c>
      <c r="Q119" s="473">
        <v>637.05999999999995</v>
      </c>
      <c r="R119" s="473">
        <v>9721.02</v>
      </c>
      <c r="S119" s="473">
        <v>9.0399999999999991</v>
      </c>
      <c r="T119" s="473">
        <v>35515</v>
      </c>
      <c r="U119" s="473">
        <v>69</v>
      </c>
      <c r="V119" s="473">
        <v>234.51</v>
      </c>
      <c r="W119" s="473">
        <v>0.15</v>
      </c>
      <c r="X119" s="473">
        <v>6141.44</v>
      </c>
      <c r="Y119" s="473">
        <v>0</v>
      </c>
      <c r="Z119" s="473">
        <v>54152</v>
      </c>
      <c r="AA119" s="472">
        <v>79</v>
      </c>
      <c r="AB119" s="473"/>
      <c r="AC119" s="474"/>
      <c r="AD119" s="473"/>
      <c r="AE119" s="472"/>
      <c r="AF119" s="506"/>
      <c r="AG119" s="474"/>
      <c r="AH119" s="506"/>
      <c r="AI119" s="474"/>
      <c r="AJ119" s="506"/>
      <c r="AK119" s="474"/>
    </row>
    <row r="120" spans="1:37">
      <c r="A120" s="492">
        <f t="shared" si="5"/>
        <v>45620</v>
      </c>
      <c r="B120" s="102" t="s">
        <v>3267</v>
      </c>
      <c r="C120" s="110" t="str">
        <f t="shared" si="4"/>
        <v>45620 0000H</v>
      </c>
      <c r="D120" s="337">
        <v>725.19</v>
      </c>
      <c r="E120" s="338">
        <v>49.66</v>
      </c>
      <c r="F120" s="337">
        <v>1102.8</v>
      </c>
      <c r="G120" s="338">
        <v>6.2</v>
      </c>
      <c r="H120" s="337">
        <v>73616.41</v>
      </c>
      <c r="I120" s="475">
        <v>887.68</v>
      </c>
      <c r="J120" s="475">
        <v>32950.519999999997</v>
      </c>
      <c r="K120" s="338">
        <v>101.79</v>
      </c>
      <c r="L120" s="337">
        <v>5291.33</v>
      </c>
      <c r="M120" s="475">
        <v>15.77</v>
      </c>
      <c r="N120" s="475">
        <v>32606.799999999999</v>
      </c>
      <c r="O120" s="475">
        <v>28.7</v>
      </c>
      <c r="P120" s="475">
        <v>560.70000000000005</v>
      </c>
      <c r="Q120" s="475">
        <v>637.16</v>
      </c>
      <c r="R120" s="475">
        <v>9726.2199999999993</v>
      </c>
      <c r="S120" s="475">
        <v>9.0399999999999991</v>
      </c>
      <c r="T120" s="475">
        <v>35521</v>
      </c>
      <c r="U120" s="475">
        <v>69</v>
      </c>
      <c r="V120" s="475">
        <v>234.51</v>
      </c>
      <c r="W120" s="475">
        <v>0.15</v>
      </c>
      <c r="X120" s="475">
        <v>6148.08</v>
      </c>
      <c r="Y120" s="475">
        <v>0</v>
      </c>
      <c r="Z120" s="475">
        <v>54152</v>
      </c>
      <c r="AA120" s="338">
        <v>79</v>
      </c>
      <c r="AB120" s="475"/>
      <c r="AC120" s="476"/>
      <c r="AD120" s="475"/>
      <c r="AE120" s="338"/>
      <c r="AF120" s="505"/>
      <c r="AG120" s="476"/>
      <c r="AH120" s="505"/>
      <c r="AI120" s="476"/>
      <c r="AJ120" s="505"/>
      <c r="AK120" s="476"/>
    </row>
    <row r="121" spans="1:37">
      <c r="A121" s="492">
        <f t="shared" si="5"/>
        <v>45620</v>
      </c>
      <c r="B121" s="102" t="s">
        <v>1197</v>
      </c>
      <c r="C121" s="110" t="str">
        <f t="shared" si="4"/>
        <v>45620 1200H</v>
      </c>
      <c r="D121" s="471">
        <v>729.28</v>
      </c>
      <c r="E121" s="472">
        <v>49.66</v>
      </c>
      <c r="F121" s="471">
        <v>1102.8</v>
      </c>
      <c r="G121" s="472">
        <v>6.2</v>
      </c>
      <c r="H121" s="471">
        <v>73626.539999999994</v>
      </c>
      <c r="I121" s="473">
        <v>887.68</v>
      </c>
      <c r="J121" s="473">
        <v>32950.519999999997</v>
      </c>
      <c r="K121" s="472">
        <v>101.84</v>
      </c>
      <c r="L121" s="471">
        <v>5297.03</v>
      </c>
      <c r="M121" s="473">
        <v>15.77</v>
      </c>
      <c r="N121" s="473">
        <v>32610.799999999999</v>
      </c>
      <c r="O121" s="473">
        <v>28.7</v>
      </c>
      <c r="P121" s="473">
        <v>561.49</v>
      </c>
      <c r="Q121" s="473">
        <v>637.67999999999995</v>
      </c>
      <c r="R121" s="473">
        <v>9730.9</v>
      </c>
      <c r="S121" s="473">
        <v>9.0399999999999991</v>
      </c>
      <c r="T121" s="473">
        <v>35527</v>
      </c>
      <c r="U121" s="473">
        <v>69</v>
      </c>
      <c r="V121" s="473">
        <v>234.51</v>
      </c>
      <c r="W121" s="473">
        <v>0.15</v>
      </c>
      <c r="X121" s="473">
        <v>6153.12</v>
      </c>
      <c r="Y121" s="473">
        <v>0</v>
      </c>
      <c r="Z121" s="473">
        <v>54152</v>
      </c>
      <c r="AA121" s="472">
        <v>79</v>
      </c>
      <c r="AB121" s="473"/>
      <c r="AC121" s="474"/>
      <c r="AD121" s="473"/>
      <c r="AE121" s="472"/>
      <c r="AF121" s="506"/>
      <c r="AG121" s="474"/>
      <c r="AH121" s="506"/>
      <c r="AI121" s="474"/>
      <c r="AJ121" s="506"/>
      <c r="AK121" s="474"/>
    </row>
    <row r="122" spans="1:37">
      <c r="A122" s="492">
        <f t="shared" si="5"/>
        <v>45621</v>
      </c>
      <c r="B122" s="102" t="s">
        <v>3267</v>
      </c>
      <c r="C122" s="110" t="str">
        <f t="shared" si="4"/>
        <v>45621 0000H</v>
      </c>
      <c r="D122" s="337">
        <v>734.34</v>
      </c>
      <c r="E122" s="338">
        <v>49.66</v>
      </c>
      <c r="F122" s="337">
        <v>1102.8</v>
      </c>
      <c r="G122" s="338">
        <v>6.2</v>
      </c>
      <c r="H122" s="337">
        <v>73636.490000000005</v>
      </c>
      <c r="I122" s="475">
        <v>887.68</v>
      </c>
      <c r="J122" s="475">
        <v>32950.519999999997</v>
      </c>
      <c r="K122" s="338">
        <v>101.9</v>
      </c>
      <c r="L122" s="337">
        <v>5302.78</v>
      </c>
      <c r="M122" s="475">
        <v>15.77</v>
      </c>
      <c r="N122" s="475">
        <v>32618.1</v>
      </c>
      <c r="O122" s="475">
        <v>28.7</v>
      </c>
      <c r="P122" s="475">
        <v>562.96</v>
      </c>
      <c r="Q122" s="475">
        <v>637.87</v>
      </c>
      <c r="R122" s="475">
        <v>9736.59</v>
      </c>
      <c r="S122" s="475">
        <v>9.0399999999999991</v>
      </c>
      <c r="T122" s="475">
        <v>35534</v>
      </c>
      <c r="U122" s="475">
        <v>69</v>
      </c>
      <c r="V122" s="475">
        <v>234.51</v>
      </c>
      <c r="W122" s="475">
        <v>0.15</v>
      </c>
      <c r="X122" s="475">
        <v>6159.99</v>
      </c>
      <c r="Y122" s="475">
        <v>0</v>
      </c>
      <c r="Z122" s="475">
        <v>54153.4</v>
      </c>
      <c r="AA122" s="338">
        <v>78</v>
      </c>
      <c r="AB122" s="475"/>
      <c r="AC122" s="476"/>
      <c r="AD122" s="475"/>
      <c r="AE122" s="338"/>
      <c r="AF122" s="505"/>
      <c r="AG122" s="476"/>
      <c r="AH122" s="505"/>
      <c r="AI122" s="476"/>
      <c r="AJ122" s="505"/>
      <c r="AK122" s="476"/>
    </row>
    <row r="123" spans="1:37" ht="14.45" thickBot="1">
      <c r="A123" s="498">
        <f t="shared" si="5"/>
        <v>45621</v>
      </c>
      <c r="B123" s="499" t="s">
        <v>1197</v>
      </c>
      <c r="C123" s="500" t="str">
        <f t="shared" si="4"/>
        <v>45621 1200H</v>
      </c>
      <c r="D123" s="501">
        <v>738.51</v>
      </c>
      <c r="E123" s="502">
        <v>49.66</v>
      </c>
      <c r="F123" s="501">
        <v>1102.8</v>
      </c>
      <c r="G123" s="502">
        <v>6.2</v>
      </c>
      <c r="H123" s="501">
        <v>73646.7</v>
      </c>
      <c r="I123" s="503">
        <v>887.68</v>
      </c>
      <c r="J123" s="503">
        <v>32950.519999999997</v>
      </c>
      <c r="K123" s="502">
        <v>101.9</v>
      </c>
      <c r="L123" s="501">
        <v>5308.49</v>
      </c>
      <c r="M123" s="503">
        <v>15.77</v>
      </c>
      <c r="N123" s="503">
        <v>32625.3</v>
      </c>
      <c r="O123" s="503">
        <v>28.7</v>
      </c>
      <c r="P123" s="503">
        <v>564</v>
      </c>
      <c r="Q123" s="503">
        <v>638.63</v>
      </c>
      <c r="R123" s="503">
        <v>9741.16</v>
      </c>
      <c r="S123" s="503">
        <v>9.0399999999999991</v>
      </c>
      <c r="T123" s="503">
        <v>35539</v>
      </c>
      <c r="U123" s="503">
        <v>69</v>
      </c>
      <c r="V123" s="503">
        <v>234.51</v>
      </c>
      <c r="W123" s="503">
        <v>0.15</v>
      </c>
      <c r="X123" s="503">
        <v>6165.94</v>
      </c>
      <c r="Y123" s="503">
        <v>0</v>
      </c>
      <c r="Z123" s="503">
        <v>54153</v>
      </c>
      <c r="AA123" s="502">
        <v>78</v>
      </c>
      <c r="AB123" s="503"/>
      <c r="AC123" s="504"/>
      <c r="AD123" s="503"/>
      <c r="AE123" s="502"/>
      <c r="AF123" s="513"/>
      <c r="AG123" s="504"/>
      <c r="AH123" s="513"/>
      <c r="AI123" s="504"/>
      <c r="AJ123" s="513"/>
      <c r="AK123" s="504"/>
    </row>
    <row r="124" spans="1:37" s="479" customFormat="1" ht="14.45" thickBot="1">
      <c r="A124" s="477"/>
      <c r="B124" s="477"/>
      <c r="C124" s="477"/>
      <c r="D124" s="478"/>
      <c r="E124" s="478"/>
      <c r="F124" s="478"/>
      <c r="G124" s="478"/>
      <c r="H124" s="478"/>
      <c r="I124" s="478"/>
      <c r="J124" s="478"/>
      <c r="K124" s="478"/>
      <c r="L124" s="478"/>
      <c r="M124" s="478"/>
      <c r="N124" s="478"/>
      <c r="O124" s="478"/>
      <c r="P124" s="478"/>
      <c r="Q124" s="478"/>
      <c r="R124" s="478"/>
      <c r="S124" s="478"/>
      <c r="T124" s="478"/>
      <c r="U124" s="478"/>
      <c r="V124" s="478"/>
      <c r="W124" s="478"/>
      <c r="X124" s="478"/>
      <c r="Y124" s="478"/>
      <c r="Z124" s="478"/>
      <c r="AA124" s="478"/>
      <c r="AB124" s="478"/>
      <c r="AC124" s="478"/>
      <c r="AD124" s="478"/>
      <c r="AE124" s="478"/>
      <c r="AF124" s="511"/>
      <c r="AG124" s="512"/>
      <c r="AH124" s="511"/>
      <c r="AI124" s="512"/>
      <c r="AJ124" s="511"/>
      <c r="AK124" s="512"/>
    </row>
    <row r="125" spans="1:37">
      <c r="A125" s="485">
        <f>A122+1</f>
        <v>45622</v>
      </c>
      <c r="B125" s="486" t="s">
        <v>3267</v>
      </c>
      <c r="C125" s="487" t="str">
        <f t="shared" ref="C125:C156" si="6">A125 &amp; " " &amp;B125</f>
        <v>45622 0000H</v>
      </c>
      <c r="D125" s="488">
        <v>744.35</v>
      </c>
      <c r="E125" s="489">
        <v>49.66</v>
      </c>
      <c r="F125" s="488">
        <v>1102.8</v>
      </c>
      <c r="G125" s="489">
        <v>6.2</v>
      </c>
      <c r="H125" s="488">
        <v>73656.850000000006</v>
      </c>
      <c r="I125" s="490">
        <v>887.68</v>
      </c>
      <c r="J125" s="490">
        <v>32950.519999999997</v>
      </c>
      <c r="K125" s="489">
        <v>101.9</v>
      </c>
      <c r="L125" s="488">
        <v>5314.22</v>
      </c>
      <c r="M125" s="490">
        <v>15.77</v>
      </c>
      <c r="N125" s="490">
        <v>32632.9</v>
      </c>
      <c r="O125" s="490">
        <v>28.7</v>
      </c>
      <c r="P125" s="490">
        <v>566.59</v>
      </c>
      <c r="Q125" s="490">
        <v>638.67999999999995</v>
      </c>
      <c r="R125" s="490">
        <v>9746.65</v>
      </c>
      <c r="S125" s="490">
        <v>9.0399999999999991</v>
      </c>
      <c r="T125" s="490">
        <v>35547</v>
      </c>
      <c r="U125" s="490">
        <v>69</v>
      </c>
      <c r="V125" s="490">
        <v>234.51</v>
      </c>
      <c r="W125" s="490">
        <v>0.15</v>
      </c>
      <c r="X125" s="490">
        <v>6173.04</v>
      </c>
      <c r="Y125" s="490">
        <v>0</v>
      </c>
      <c r="Z125" s="490">
        <v>54153</v>
      </c>
      <c r="AA125" s="489">
        <v>78</v>
      </c>
      <c r="AB125" s="490"/>
      <c r="AC125" s="491"/>
      <c r="AD125" s="490"/>
      <c r="AE125" s="489"/>
      <c r="AF125" s="509"/>
      <c r="AG125" s="491"/>
      <c r="AH125" s="509"/>
      <c r="AI125" s="491"/>
      <c r="AJ125" s="509"/>
      <c r="AK125" s="491"/>
    </row>
    <row r="126" spans="1:37">
      <c r="A126" s="492">
        <f>A123+1</f>
        <v>45622</v>
      </c>
      <c r="B126" s="102" t="s">
        <v>1197</v>
      </c>
      <c r="C126" s="110" t="str">
        <f t="shared" si="6"/>
        <v>45622 1200H</v>
      </c>
      <c r="D126" s="471">
        <v>748.6</v>
      </c>
      <c r="E126" s="472">
        <v>49.66</v>
      </c>
      <c r="F126" s="471">
        <v>1102.8</v>
      </c>
      <c r="G126" s="472">
        <v>6.2</v>
      </c>
      <c r="H126" s="471">
        <v>73666.77</v>
      </c>
      <c r="I126" s="473">
        <v>887.69</v>
      </c>
      <c r="J126" s="473">
        <v>32950.519999999997</v>
      </c>
      <c r="K126" s="472">
        <v>101.9</v>
      </c>
      <c r="L126" s="471">
        <v>5319.94</v>
      </c>
      <c r="M126" s="473">
        <v>15.77</v>
      </c>
      <c r="N126" s="473">
        <v>32640.3</v>
      </c>
      <c r="O126" s="473">
        <v>28.7</v>
      </c>
      <c r="P126" s="473">
        <v>567.44000000000005</v>
      </c>
      <c r="Q126" s="473">
        <v>639.55999999999995</v>
      </c>
      <c r="R126" s="473">
        <v>9751.06</v>
      </c>
      <c r="S126" s="473">
        <v>9.0399999999999991</v>
      </c>
      <c r="T126" s="473">
        <v>35553</v>
      </c>
      <c r="U126" s="473">
        <v>69</v>
      </c>
      <c r="V126" s="473">
        <v>234.51</v>
      </c>
      <c r="W126" s="473">
        <v>0.15</v>
      </c>
      <c r="X126" s="473">
        <v>6179.15</v>
      </c>
      <c r="Y126" s="473">
        <v>0</v>
      </c>
      <c r="Z126" s="473">
        <v>54153</v>
      </c>
      <c r="AA126" s="472">
        <v>78</v>
      </c>
      <c r="AB126" s="473"/>
      <c r="AC126" s="474"/>
      <c r="AD126" s="473"/>
      <c r="AE126" s="472"/>
      <c r="AF126" s="506"/>
      <c r="AG126" s="474"/>
      <c r="AH126" s="506"/>
      <c r="AI126" s="474"/>
      <c r="AJ126" s="506"/>
      <c r="AK126" s="474"/>
    </row>
    <row r="127" spans="1:37">
      <c r="A127" s="492">
        <f t="shared" ref="A127:A158" si="7">A125+1</f>
        <v>45623</v>
      </c>
      <c r="B127" s="102" t="s">
        <v>3267</v>
      </c>
      <c r="C127" s="110" t="str">
        <f t="shared" si="6"/>
        <v>45623 0000H</v>
      </c>
      <c r="D127" s="337">
        <v>754.46</v>
      </c>
      <c r="E127" s="338">
        <v>49.66</v>
      </c>
      <c r="F127" s="337">
        <v>1102.8</v>
      </c>
      <c r="G127" s="338">
        <v>6.2</v>
      </c>
      <c r="H127" s="337">
        <v>73676.960000000006</v>
      </c>
      <c r="I127" s="475">
        <v>887.69</v>
      </c>
      <c r="J127" s="475">
        <v>32950.519999999997</v>
      </c>
      <c r="K127" s="338">
        <v>101.9</v>
      </c>
      <c r="L127" s="337">
        <v>5325.75</v>
      </c>
      <c r="M127" s="475">
        <v>15.77</v>
      </c>
      <c r="N127" s="475">
        <v>32647.9</v>
      </c>
      <c r="O127" s="475">
        <v>28.7</v>
      </c>
      <c r="P127" s="475">
        <v>570.77</v>
      </c>
      <c r="Q127" s="475">
        <v>639.6</v>
      </c>
      <c r="R127" s="475">
        <v>9756.49</v>
      </c>
      <c r="S127" s="475">
        <v>9.0399999999999991</v>
      </c>
      <c r="T127" s="475">
        <v>35561</v>
      </c>
      <c r="U127" s="475">
        <v>69</v>
      </c>
      <c r="V127" s="475">
        <v>234.51</v>
      </c>
      <c r="W127" s="475">
        <v>0.15</v>
      </c>
      <c r="X127" s="475">
        <v>6186.32</v>
      </c>
      <c r="Y127" s="475">
        <v>0</v>
      </c>
      <c r="Z127" s="475">
        <v>54153</v>
      </c>
      <c r="AA127" s="338">
        <v>78</v>
      </c>
      <c r="AB127" s="475"/>
      <c r="AC127" s="476"/>
      <c r="AD127" s="475"/>
      <c r="AE127" s="338"/>
      <c r="AF127" s="505"/>
      <c r="AG127" s="476"/>
      <c r="AH127" s="505"/>
      <c r="AI127" s="476"/>
      <c r="AJ127" s="505"/>
      <c r="AK127" s="476"/>
    </row>
    <row r="128" spans="1:37">
      <c r="A128" s="492">
        <f t="shared" si="7"/>
        <v>45623</v>
      </c>
      <c r="B128" s="102" t="s">
        <v>1197</v>
      </c>
      <c r="C128" s="110" t="str">
        <f t="shared" si="6"/>
        <v>45623 1200H</v>
      </c>
      <c r="D128" s="471">
        <v>758.53</v>
      </c>
      <c r="E128" s="472">
        <v>49.66</v>
      </c>
      <c r="F128" s="471">
        <v>1102.8</v>
      </c>
      <c r="G128" s="472">
        <v>6.2</v>
      </c>
      <c r="H128" s="471">
        <v>73687.11</v>
      </c>
      <c r="I128" s="473">
        <v>887.69</v>
      </c>
      <c r="J128" s="473">
        <v>32950.519999999997</v>
      </c>
      <c r="K128" s="472">
        <v>101.9</v>
      </c>
      <c r="L128" s="471">
        <v>5331.54</v>
      </c>
      <c r="M128" s="473">
        <v>15.77</v>
      </c>
      <c r="N128" s="473">
        <v>32655.5</v>
      </c>
      <c r="O128" s="473">
        <v>28.7</v>
      </c>
      <c r="P128" s="473">
        <v>572.1</v>
      </c>
      <c r="Q128" s="473">
        <v>640.12</v>
      </c>
      <c r="R128" s="473">
        <v>9760.8700000000008</v>
      </c>
      <c r="S128" s="473">
        <v>9.0399999999999991</v>
      </c>
      <c r="T128" s="473">
        <v>35567</v>
      </c>
      <c r="U128" s="473">
        <v>69</v>
      </c>
      <c r="V128" s="473">
        <v>234.51</v>
      </c>
      <c r="W128" s="473">
        <v>0.15</v>
      </c>
      <c r="X128" s="473">
        <v>6192.3</v>
      </c>
      <c r="Y128" s="473">
        <v>0</v>
      </c>
      <c r="Z128" s="473">
        <v>54153</v>
      </c>
      <c r="AA128" s="472">
        <v>78</v>
      </c>
      <c r="AB128" s="473"/>
      <c r="AC128" s="474"/>
      <c r="AD128" s="473"/>
      <c r="AE128" s="472"/>
      <c r="AF128" s="506"/>
      <c r="AG128" s="474"/>
      <c r="AH128" s="506"/>
      <c r="AI128" s="474"/>
      <c r="AJ128" s="506"/>
      <c r="AK128" s="474"/>
    </row>
    <row r="129" spans="1:37">
      <c r="A129" s="492">
        <f t="shared" si="7"/>
        <v>45624</v>
      </c>
      <c r="B129" s="102" t="s">
        <v>3267</v>
      </c>
      <c r="C129" s="110" t="str">
        <f t="shared" si="6"/>
        <v>45624 0000H</v>
      </c>
      <c r="D129" s="337">
        <v>764.59</v>
      </c>
      <c r="E129" s="338">
        <v>49.66</v>
      </c>
      <c r="F129" s="337">
        <v>1102.8</v>
      </c>
      <c r="G129" s="338">
        <v>6.2</v>
      </c>
      <c r="H129" s="337">
        <v>73697.36</v>
      </c>
      <c r="I129" s="475">
        <v>887.69</v>
      </c>
      <c r="J129" s="475">
        <v>32950.519999999997</v>
      </c>
      <c r="K129" s="338">
        <v>101.9</v>
      </c>
      <c r="L129" s="337">
        <v>5337.28</v>
      </c>
      <c r="M129" s="475">
        <v>15.77</v>
      </c>
      <c r="N129" s="475">
        <v>32663.3</v>
      </c>
      <c r="O129" s="475">
        <v>28.7</v>
      </c>
      <c r="P129" s="475">
        <v>574.73</v>
      </c>
      <c r="Q129" s="475">
        <v>640.20000000000005</v>
      </c>
      <c r="R129" s="475">
        <v>9766.39</v>
      </c>
      <c r="S129" s="475">
        <v>9.0399999999999991</v>
      </c>
      <c r="T129" s="475">
        <v>35574</v>
      </c>
      <c r="U129" s="475">
        <v>69</v>
      </c>
      <c r="V129" s="475">
        <v>234.51</v>
      </c>
      <c r="W129" s="475">
        <v>0.15</v>
      </c>
      <c r="X129" s="475">
        <v>6199.71</v>
      </c>
      <c r="Y129" s="475">
        <v>0</v>
      </c>
      <c r="Z129" s="475">
        <v>54153</v>
      </c>
      <c r="AA129" s="338">
        <v>78</v>
      </c>
      <c r="AB129" s="475"/>
      <c r="AC129" s="476"/>
      <c r="AD129" s="475"/>
      <c r="AE129" s="338"/>
      <c r="AF129" s="505"/>
      <c r="AG129" s="476"/>
      <c r="AH129" s="505"/>
      <c r="AI129" s="476"/>
      <c r="AJ129" s="505"/>
      <c r="AK129" s="476"/>
    </row>
    <row r="130" spans="1:37">
      <c r="A130" s="492">
        <f t="shared" si="7"/>
        <v>45624</v>
      </c>
      <c r="B130" s="102" t="s">
        <v>1197</v>
      </c>
      <c r="C130" s="110" t="str">
        <f t="shared" si="6"/>
        <v>45624 1200H</v>
      </c>
      <c r="D130" s="471">
        <v>769.2</v>
      </c>
      <c r="E130" s="472">
        <v>49.66</v>
      </c>
      <c r="F130" s="471">
        <v>1102.8</v>
      </c>
      <c r="G130" s="472">
        <v>6.2</v>
      </c>
      <c r="H130" s="471">
        <v>73702.649999999994</v>
      </c>
      <c r="I130" s="473">
        <v>887.91</v>
      </c>
      <c r="J130" s="473">
        <v>32950.519999999997</v>
      </c>
      <c r="K130" s="472">
        <v>101.9</v>
      </c>
      <c r="L130" s="471">
        <v>5343.04</v>
      </c>
      <c r="M130" s="473">
        <v>15.77</v>
      </c>
      <c r="N130" s="473">
        <v>32670.5</v>
      </c>
      <c r="O130" s="473">
        <v>28.7</v>
      </c>
      <c r="P130" s="473">
        <v>575.9</v>
      </c>
      <c r="Q130" s="473">
        <v>640.80999999999995</v>
      </c>
      <c r="R130" s="473">
        <v>9770.86</v>
      </c>
      <c r="S130" s="473">
        <v>9.0399999999999991</v>
      </c>
      <c r="T130" s="473">
        <v>35580</v>
      </c>
      <c r="U130" s="473">
        <v>69</v>
      </c>
      <c r="V130" s="473">
        <v>234.51</v>
      </c>
      <c r="W130" s="473">
        <v>0.15</v>
      </c>
      <c r="X130" s="473">
        <v>6205.9</v>
      </c>
      <c r="Y130" s="473">
        <v>0</v>
      </c>
      <c r="Z130" s="473">
        <v>54153</v>
      </c>
      <c r="AA130" s="472">
        <v>78</v>
      </c>
      <c r="AB130" s="473"/>
      <c r="AC130" s="474"/>
      <c r="AD130" s="473"/>
      <c r="AE130" s="472"/>
      <c r="AF130" s="506"/>
      <c r="AG130" s="474"/>
      <c r="AH130" s="506"/>
      <c r="AI130" s="474"/>
      <c r="AJ130" s="506"/>
      <c r="AK130" s="474"/>
    </row>
    <row r="131" spans="1:37">
      <c r="A131" s="492">
        <f t="shared" si="7"/>
        <v>45625</v>
      </c>
      <c r="B131" s="102" t="s">
        <v>3267</v>
      </c>
      <c r="C131" s="110" t="str">
        <f t="shared" si="6"/>
        <v>45625 0000H</v>
      </c>
      <c r="D131" s="337">
        <v>775.11</v>
      </c>
      <c r="E131" s="338">
        <v>49.66</v>
      </c>
      <c r="F131" s="337">
        <v>1102.8</v>
      </c>
      <c r="G131" s="338">
        <v>6.2</v>
      </c>
      <c r="H131" s="337">
        <v>73712.62</v>
      </c>
      <c r="I131" s="475">
        <v>887.91</v>
      </c>
      <c r="J131" s="475">
        <v>32950.519999999997</v>
      </c>
      <c r="K131" s="338">
        <v>101.9</v>
      </c>
      <c r="L131" s="337">
        <v>5348.8</v>
      </c>
      <c r="M131" s="475">
        <v>15.77</v>
      </c>
      <c r="N131" s="475">
        <v>32678.5</v>
      </c>
      <c r="O131" s="475">
        <v>28.7</v>
      </c>
      <c r="P131" s="475">
        <v>579.26</v>
      </c>
      <c r="Q131" s="475">
        <v>640.91</v>
      </c>
      <c r="R131" s="475">
        <v>9776.36</v>
      </c>
      <c r="S131" s="475">
        <v>9.0399999999999991</v>
      </c>
      <c r="T131" s="475">
        <v>35588</v>
      </c>
      <c r="U131" s="475">
        <v>69</v>
      </c>
      <c r="V131" s="475">
        <v>234.51</v>
      </c>
      <c r="W131" s="475">
        <v>0.15</v>
      </c>
      <c r="X131" s="475">
        <v>6213.24</v>
      </c>
      <c r="Y131" s="475">
        <v>0</v>
      </c>
      <c r="Z131" s="475">
        <v>54153</v>
      </c>
      <c r="AA131" s="338">
        <v>78</v>
      </c>
      <c r="AB131" s="475"/>
      <c r="AC131" s="476"/>
      <c r="AD131" s="475"/>
      <c r="AE131" s="338"/>
      <c r="AF131" s="505"/>
      <c r="AG131" s="476"/>
      <c r="AH131" s="505"/>
      <c r="AI131" s="476"/>
      <c r="AJ131" s="505"/>
      <c r="AK131" s="476"/>
    </row>
    <row r="132" spans="1:37">
      <c r="A132" s="492">
        <f t="shared" si="7"/>
        <v>45625</v>
      </c>
      <c r="B132" s="102" t="s">
        <v>1197</v>
      </c>
      <c r="C132" s="110" t="str">
        <f t="shared" si="6"/>
        <v>45625 1200H</v>
      </c>
      <c r="D132" s="471">
        <v>779.21</v>
      </c>
      <c r="E132" s="472">
        <v>49.66</v>
      </c>
      <c r="F132" s="471">
        <v>1102.8</v>
      </c>
      <c r="G132" s="472">
        <v>6.2</v>
      </c>
      <c r="H132" s="471">
        <v>73717.94</v>
      </c>
      <c r="I132" s="473">
        <v>888.11</v>
      </c>
      <c r="J132" s="473">
        <v>32950.519999999997</v>
      </c>
      <c r="K132" s="472">
        <v>101.9</v>
      </c>
      <c r="L132" s="471">
        <v>5354.6</v>
      </c>
      <c r="M132" s="473">
        <v>15.77</v>
      </c>
      <c r="N132" s="473">
        <v>32685.8</v>
      </c>
      <c r="O132" s="473">
        <v>28.7</v>
      </c>
      <c r="P132" s="473">
        <v>580.15</v>
      </c>
      <c r="Q132" s="473">
        <v>641.41</v>
      </c>
      <c r="R132" s="473">
        <v>9780</v>
      </c>
      <c r="S132" s="473">
        <v>9.0399999999999991</v>
      </c>
      <c r="T132" s="473">
        <v>35594</v>
      </c>
      <c r="U132" s="473">
        <v>69</v>
      </c>
      <c r="V132" s="473">
        <v>234.89</v>
      </c>
      <c r="W132" s="473">
        <v>0.15</v>
      </c>
      <c r="X132" s="473">
        <v>6219.27</v>
      </c>
      <c r="Y132" s="473">
        <v>0</v>
      </c>
      <c r="Z132" s="473">
        <v>54153</v>
      </c>
      <c r="AA132" s="472">
        <v>78</v>
      </c>
      <c r="AB132" s="473"/>
      <c r="AC132" s="474"/>
      <c r="AD132" s="473"/>
      <c r="AE132" s="472"/>
      <c r="AF132" s="506"/>
      <c r="AG132" s="474"/>
      <c r="AH132" s="506"/>
      <c r="AI132" s="474"/>
      <c r="AJ132" s="506"/>
      <c r="AK132" s="474"/>
    </row>
    <row r="133" spans="1:37">
      <c r="A133" s="492">
        <f t="shared" si="7"/>
        <v>45626</v>
      </c>
      <c r="B133" s="102" t="s">
        <v>3267</v>
      </c>
      <c r="C133" s="110" t="str">
        <f t="shared" si="6"/>
        <v>45626 0000H</v>
      </c>
      <c r="D133" s="337">
        <v>781.94</v>
      </c>
      <c r="E133" s="338">
        <v>49.66</v>
      </c>
      <c r="F133" s="337">
        <v>1102.8</v>
      </c>
      <c r="G133" s="338">
        <v>6.2</v>
      </c>
      <c r="H133" s="337">
        <v>73723.92</v>
      </c>
      <c r="I133" s="475">
        <v>888.16</v>
      </c>
      <c r="J133" s="475">
        <v>32950.519999999997</v>
      </c>
      <c r="K133" s="338">
        <v>101.9</v>
      </c>
      <c r="L133" s="337">
        <v>5358.42</v>
      </c>
      <c r="M133" s="475">
        <v>15.77</v>
      </c>
      <c r="N133" s="475">
        <v>32690.7</v>
      </c>
      <c r="O133" s="475">
        <v>28.7</v>
      </c>
      <c r="P133" s="475">
        <v>581.66</v>
      </c>
      <c r="Q133" s="475">
        <v>641.42999999999995</v>
      </c>
      <c r="R133" s="475">
        <v>9783.85</v>
      </c>
      <c r="S133" s="475">
        <v>9.0399999999999991</v>
      </c>
      <c r="T133" s="475">
        <v>35602</v>
      </c>
      <c r="U133" s="475">
        <v>69</v>
      </c>
      <c r="V133" s="475">
        <v>234.89</v>
      </c>
      <c r="W133" s="475">
        <v>0.15</v>
      </c>
      <c r="X133" s="475">
        <v>6226.38</v>
      </c>
      <c r="Y133" s="475">
        <v>0</v>
      </c>
      <c r="Z133" s="475">
        <v>54153</v>
      </c>
      <c r="AA133" s="338">
        <v>78</v>
      </c>
      <c r="AB133" s="475"/>
      <c r="AC133" s="476"/>
      <c r="AD133" s="475"/>
      <c r="AE133" s="338"/>
      <c r="AF133" s="505"/>
      <c r="AG133" s="476"/>
      <c r="AH133" s="505"/>
      <c r="AI133" s="476"/>
      <c r="AJ133" s="505"/>
      <c r="AK133" s="476"/>
    </row>
    <row r="134" spans="1:37">
      <c r="A134" s="492">
        <f t="shared" si="7"/>
        <v>45626</v>
      </c>
      <c r="B134" s="102" t="s">
        <v>1197</v>
      </c>
      <c r="C134" s="110" t="str">
        <f t="shared" si="6"/>
        <v>45626 1200H</v>
      </c>
      <c r="D134" s="471">
        <v>786.01</v>
      </c>
      <c r="E134" s="472">
        <v>49.66</v>
      </c>
      <c r="F134" s="471">
        <v>1102.8</v>
      </c>
      <c r="G134" s="472">
        <v>6.2</v>
      </c>
      <c r="H134" s="471">
        <v>73730.13</v>
      </c>
      <c r="I134" s="473">
        <v>888.36</v>
      </c>
      <c r="J134" s="473">
        <v>32950.519999999997</v>
      </c>
      <c r="K134" s="472">
        <v>101.9</v>
      </c>
      <c r="L134" s="471">
        <v>5364.24</v>
      </c>
      <c r="M134" s="473">
        <v>15.77</v>
      </c>
      <c r="N134" s="473">
        <v>32695.3</v>
      </c>
      <c r="O134" s="473">
        <v>28.7</v>
      </c>
      <c r="P134" s="473">
        <v>582.25</v>
      </c>
      <c r="Q134" s="473">
        <v>641.79</v>
      </c>
      <c r="R134" s="473">
        <v>9788.23</v>
      </c>
      <c r="S134" s="473">
        <v>9.0399999999999991</v>
      </c>
      <c r="T134" s="473">
        <v>35607.07</v>
      </c>
      <c r="U134" s="473">
        <v>69</v>
      </c>
      <c r="V134" s="473">
        <v>234.89</v>
      </c>
      <c r="W134" s="473">
        <v>0.15</v>
      </c>
      <c r="X134" s="473">
        <v>6231.14</v>
      </c>
      <c r="Y134" s="473">
        <v>0</v>
      </c>
      <c r="Z134" s="473">
        <v>54153</v>
      </c>
      <c r="AA134" s="472">
        <v>78</v>
      </c>
      <c r="AB134" s="473"/>
      <c r="AC134" s="474"/>
      <c r="AD134" s="473"/>
      <c r="AE134" s="472"/>
      <c r="AF134" s="506"/>
      <c r="AG134" s="474"/>
      <c r="AH134" s="506"/>
      <c r="AI134" s="474"/>
      <c r="AJ134" s="506"/>
      <c r="AK134" s="474"/>
    </row>
    <row r="135" spans="1:37">
      <c r="A135" s="492">
        <f t="shared" si="7"/>
        <v>45627</v>
      </c>
      <c r="B135" s="102" t="s">
        <v>3267</v>
      </c>
      <c r="C135" s="110" t="str">
        <f t="shared" si="6"/>
        <v>45627 0000H</v>
      </c>
      <c r="D135" s="337">
        <v>791.35</v>
      </c>
      <c r="E135" s="338">
        <v>49.66</v>
      </c>
      <c r="F135" s="337">
        <v>1102.8</v>
      </c>
      <c r="G135" s="338">
        <v>6.2</v>
      </c>
      <c r="H135" s="337">
        <v>73740.34</v>
      </c>
      <c r="I135" s="475">
        <v>888.36</v>
      </c>
      <c r="J135" s="475">
        <v>32950.519999999997</v>
      </c>
      <c r="K135" s="338">
        <v>101.9</v>
      </c>
      <c r="L135" s="337">
        <v>5369.98</v>
      </c>
      <c r="M135" s="475">
        <v>15.77</v>
      </c>
      <c r="N135" s="475">
        <v>32702.9</v>
      </c>
      <c r="O135" s="475">
        <v>28.7</v>
      </c>
      <c r="P135" s="475">
        <v>583.12</v>
      </c>
      <c r="Q135" s="475">
        <v>642.35</v>
      </c>
      <c r="R135" s="475">
        <v>9793.51</v>
      </c>
      <c r="S135" s="475">
        <v>9.0399999999999991</v>
      </c>
      <c r="T135" s="475">
        <v>35614</v>
      </c>
      <c r="U135" s="475">
        <v>69</v>
      </c>
      <c r="V135" s="475">
        <v>234.89</v>
      </c>
      <c r="W135" s="475">
        <v>0.15</v>
      </c>
      <c r="X135" s="475">
        <v>6237.57</v>
      </c>
      <c r="Y135" s="475">
        <v>0</v>
      </c>
      <c r="Z135" s="475">
        <v>54153</v>
      </c>
      <c r="AA135" s="338">
        <v>78</v>
      </c>
      <c r="AB135" s="475"/>
      <c r="AC135" s="476"/>
      <c r="AD135" s="475"/>
      <c r="AE135" s="338"/>
      <c r="AF135" s="505"/>
      <c r="AG135" s="476"/>
      <c r="AH135" s="505"/>
      <c r="AI135" s="476"/>
      <c r="AJ135" s="505"/>
      <c r="AK135" s="476"/>
    </row>
    <row r="136" spans="1:37">
      <c r="A136" s="492">
        <f t="shared" si="7"/>
        <v>45627</v>
      </c>
      <c r="B136" s="102" t="s">
        <v>1197</v>
      </c>
      <c r="C136" s="110" t="str">
        <f t="shared" si="6"/>
        <v>45627 1200H</v>
      </c>
      <c r="D136" s="471">
        <v>794.64</v>
      </c>
      <c r="E136" s="472">
        <v>49.66</v>
      </c>
      <c r="F136" s="471">
        <v>1102.8</v>
      </c>
      <c r="G136" s="472">
        <v>6.2</v>
      </c>
      <c r="H136" s="471">
        <v>73748.17</v>
      </c>
      <c r="I136" s="473">
        <v>888.48</v>
      </c>
      <c r="J136" s="473">
        <v>32950.519999999997</v>
      </c>
      <c r="K136" s="472">
        <v>101.9</v>
      </c>
      <c r="L136" s="471">
        <v>5375.66</v>
      </c>
      <c r="M136" s="473">
        <v>15.77</v>
      </c>
      <c r="N136" s="473">
        <v>32708</v>
      </c>
      <c r="O136" s="473">
        <v>28.7</v>
      </c>
      <c r="P136" s="473">
        <v>583.15</v>
      </c>
      <c r="Q136" s="473">
        <v>643.54999999999995</v>
      </c>
      <c r="R136" s="473">
        <v>9797.85</v>
      </c>
      <c r="S136" s="473">
        <v>9.0399999999999991</v>
      </c>
      <c r="T136" s="473">
        <v>35620</v>
      </c>
      <c r="U136" s="473">
        <v>69</v>
      </c>
      <c r="V136" s="473">
        <v>237.93</v>
      </c>
      <c r="W136" s="473">
        <v>0.15</v>
      </c>
      <c r="X136" s="473">
        <v>6243.22</v>
      </c>
      <c r="Y136" s="473">
        <v>0</v>
      </c>
      <c r="Z136" s="473">
        <v>54153</v>
      </c>
      <c r="AA136" s="472">
        <v>78</v>
      </c>
      <c r="AB136" s="473"/>
      <c r="AC136" s="474"/>
      <c r="AD136" s="473"/>
      <c r="AE136" s="472"/>
      <c r="AF136" s="506"/>
      <c r="AG136" s="474"/>
      <c r="AH136" s="506"/>
      <c r="AI136" s="474"/>
      <c r="AJ136" s="506"/>
      <c r="AK136" s="474"/>
    </row>
    <row r="137" spans="1:37">
      <c r="A137" s="492">
        <f t="shared" si="7"/>
        <v>45628</v>
      </c>
      <c r="B137" s="102" t="s">
        <v>3267</v>
      </c>
      <c r="C137" s="110" t="str">
        <f t="shared" si="6"/>
        <v>45628 0000H</v>
      </c>
      <c r="D137" s="337">
        <v>799.54</v>
      </c>
      <c r="E137" s="338">
        <v>49.66</v>
      </c>
      <c r="F137" s="337">
        <v>1102.8</v>
      </c>
      <c r="G137" s="338">
        <v>6.2</v>
      </c>
      <c r="H137" s="337">
        <v>73756.850000000006</v>
      </c>
      <c r="I137" s="475">
        <v>888.52</v>
      </c>
      <c r="J137" s="475">
        <v>32950.519999999997</v>
      </c>
      <c r="K137" s="338">
        <v>101.9</v>
      </c>
      <c r="L137" s="337">
        <v>5381.05</v>
      </c>
      <c r="M137" s="475">
        <v>15.77</v>
      </c>
      <c r="N137" s="475">
        <v>32714.799999999999</v>
      </c>
      <c r="O137" s="475">
        <v>28.7</v>
      </c>
      <c r="P137" s="475">
        <v>583.13</v>
      </c>
      <c r="Q137" s="475">
        <v>645.27</v>
      </c>
      <c r="R137" s="475">
        <v>9802.7000000000007</v>
      </c>
      <c r="S137" s="475">
        <v>9.0399999999999991</v>
      </c>
      <c r="T137" s="475">
        <v>35626</v>
      </c>
      <c r="U137" s="475">
        <v>69</v>
      </c>
      <c r="V137" s="475">
        <v>240.95</v>
      </c>
      <c r="W137" s="475">
        <v>0.15</v>
      </c>
      <c r="X137" s="475">
        <v>6250.07</v>
      </c>
      <c r="Y137" s="475">
        <v>0</v>
      </c>
      <c r="Z137" s="475">
        <v>54153</v>
      </c>
      <c r="AA137" s="338">
        <v>78</v>
      </c>
      <c r="AB137" s="475"/>
      <c r="AC137" s="476"/>
      <c r="AD137" s="475"/>
      <c r="AE137" s="338"/>
      <c r="AF137" s="505"/>
      <c r="AG137" s="476"/>
      <c r="AH137" s="505"/>
      <c r="AI137" s="476"/>
      <c r="AJ137" s="505"/>
      <c r="AK137" s="476"/>
    </row>
    <row r="138" spans="1:37">
      <c r="A138" s="492">
        <f t="shared" si="7"/>
        <v>45628</v>
      </c>
      <c r="B138" s="102" t="s">
        <v>1197</v>
      </c>
      <c r="C138" s="110" t="str">
        <f t="shared" si="6"/>
        <v>45628 1200H</v>
      </c>
      <c r="D138" s="471">
        <v>803.38</v>
      </c>
      <c r="E138" s="472">
        <v>49.66</v>
      </c>
      <c r="F138" s="471">
        <v>1102.8</v>
      </c>
      <c r="G138" s="472">
        <v>6.2</v>
      </c>
      <c r="H138" s="471">
        <v>73760.39</v>
      </c>
      <c r="I138" s="473">
        <v>888.8</v>
      </c>
      <c r="J138" s="473">
        <v>32950.54</v>
      </c>
      <c r="K138" s="472">
        <v>102.51</v>
      </c>
      <c r="L138" s="471">
        <v>5386.66</v>
      </c>
      <c r="M138" s="473">
        <v>15.77</v>
      </c>
      <c r="N138" s="473">
        <v>32721.8</v>
      </c>
      <c r="O138" s="473">
        <v>28.7</v>
      </c>
      <c r="P138" s="473">
        <v>583.46</v>
      </c>
      <c r="Q138" s="473">
        <v>646.11</v>
      </c>
      <c r="R138" s="473">
        <v>9806.76</v>
      </c>
      <c r="S138" s="473">
        <v>9.0399999999999991</v>
      </c>
      <c r="T138" s="473">
        <v>35632</v>
      </c>
      <c r="U138" s="473">
        <v>69</v>
      </c>
      <c r="V138" s="473">
        <v>240.95</v>
      </c>
      <c r="W138" s="473">
        <v>0.15</v>
      </c>
      <c r="X138" s="473">
        <v>6256.06</v>
      </c>
      <c r="Y138" s="473">
        <v>0</v>
      </c>
      <c r="Z138" s="473">
        <v>54153</v>
      </c>
      <c r="AA138" s="472">
        <v>78</v>
      </c>
      <c r="AB138" s="473"/>
      <c r="AC138" s="474"/>
      <c r="AD138" s="473"/>
      <c r="AE138" s="472"/>
      <c r="AF138" s="506"/>
      <c r="AG138" s="474"/>
      <c r="AH138" s="506"/>
      <c r="AI138" s="474"/>
      <c r="AJ138" s="506"/>
      <c r="AK138" s="474"/>
    </row>
    <row r="139" spans="1:37">
      <c r="A139" s="492">
        <f t="shared" si="7"/>
        <v>45629</v>
      </c>
      <c r="B139" s="102" t="s">
        <v>3267</v>
      </c>
      <c r="C139" s="110" t="str">
        <f t="shared" si="6"/>
        <v>45629 0000H</v>
      </c>
      <c r="D139" s="337">
        <v>809.47</v>
      </c>
      <c r="E139" s="338">
        <v>49.66</v>
      </c>
      <c r="F139" s="337">
        <v>1102.8</v>
      </c>
      <c r="G139" s="338">
        <v>6.2</v>
      </c>
      <c r="H139" s="337">
        <v>73767.69</v>
      </c>
      <c r="I139" s="475">
        <v>888.8</v>
      </c>
      <c r="J139" s="475">
        <v>32951.730000000003</v>
      </c>
      <c r="K139" s="338">
        <v>102.56</v>
      </c>
      <c r="L139" s="337">
        <v>5391.77</v>
      </c>
      <c r="M139" s="475">
        <v>15.77</v>
      </c>
      <c r="N139" s="475">
        <v>32729.5</v>
      </c>
      <c r="O139" s="475">
        <v>28.7</v>
      </c>
      <c r="P139" s="475">
        <v>585.23</v>
      </c>
      <c r="Q139" s="475">
        <v>646.65</v>
      </c>
      <c r="R139" s="475">
        <v>9811.68</v>
      </c>
      <c r="S139" s="475">
        <v>9.0399999999999991</v>
      </c>
      <c r="T139" s="475">
        <v>35640</v>
      </c>
      <c r="U139" s="475">
        <v>69</v>
      </c>
      <c r="V139" s="475">
        <v>241.3</v>
      </c>
      <c r="W139" s="475">
        <v>0.15</v>
      </c>
      <c r="X139" s="475">
        <v>6263.6</v>
      </c>
      <c r="Y139" s="475">
        <v>0</v>
      </c>
      <c r="Z139" s="475">
        <v>54154</v>
      </c>
      <c r="AA139" s="338">
        <v>79</v>
      </c>
      <c r="AB139" s="475"/>
      <c r="AC139" s="476"/>
      <c r="AD139" s="475"/>
      <c r="AE139" s="338"/>
      <c r="AF139" s="505"/>
      <c r="AG139" s="476"/>
      <c r="AH139" s="505"/>
      <c r="AI139" s="476"/>
      <c r="AJ139" s="505"/>
      <c r="AK139" s="476"/>
    </row>
    <row r="140" spans="1:37">
      <c r="A140" s="492">
        <f t="shared" si="7"/>
        <v>45629</v>
      </c>
      <c r="B140" s="102" t="s">
        <v>1197</v>
      </c>
      <c r="C140" s="110" t="str">
        <f t="shared" si="6"/>
        <v>45629 1200H</v>
      </c>
      <c r="D140" s="471"/>
      <c r="E140" s="472"/>
      <c r="F140" s="471">
        <v>1102.8</v>
      </c>
      <c r="G140" s="472">
        <v>6.2</v>
      </c>
      <c r="H140" s="471">
        <v>73771.25</v>
      </c>
      <c r="I140" s="473">
        <v>889.01</v>
      </c>
      <c r="J140" s="473">
        <v>32954.67</v>
      </c>
      <c r="K140" s="472">
        <v>102.59</v>
      </c>
      <c r="L140" s="471">
        <v>5396.93</v>
      </c>
      <c r="M140" s="473">
        <v>15.77</v>
      </c>
      <c r="N140" s="473">
        <v>32733.599999999999</v>
      </c>
      <c r="O140" s="473">
        <v>28.7</v>
      </c>
      <c r="P140" s="473">
        <v>585.44000000000005</v>
      </c>
      <c r="Q140" s="473">
        <v>647.47</v>
      </c>
      <c r="R140" s="473">
        <v>9815.25</v>
      </c>
      <c r="S140" s="473">
        <v>9.0399999999999991</v>
      </c>
      <c r="T140" s="473">
        <v>35647</v>
      </c>
      <c r="U140" s="473">
        <v>69</v>
      </c>
      <c r="V140" s="473">
        <v>241.3</v>
      </c>
      <c r="W140" s="473">
        <v>0.15</v>
      </c>
      <c r="X140" s="473">
        <v>6268.97</v>
      </c>
      <c r="Y140" s="473">
        <v>0</v>
      </c>
      <c r="Z140" s="473">
        <v>54154</v>
      </c>
      <c r="AA140" s="472">
        <v>79</v>
      </c>
      <c r="AB140" s="473"/>
      <c r="AC140" s="474"/>
      <c r="AD140" s="473"/>
      <c r="AE140" s="472"/>
      <c r="AF140" s="506"/>
      <c r="AG140" s="474"/>
      <c r="AH140" s="506"/>
      <c r="AI140" s="474"/>
      <c r="AJ140" s="506"/>
      <c r="AK140" s="474"/>
    </row>
    <row r="141" spans="1:37">
      <c r="A141" s="492">
        <f t="shared" si="7"/>
        <v>45630</v>
      </c>
      <c r="B141" s="102" t="s">
        <v>3267</v>
      </c>
      <c r="C141" s="110" t="str">
        <f t="shared" si="6"/>
        <v>45630 0000H</v>
      </c>
      <c r="D141" s="337">
        <v>812.68</v>
      </c>
      <c r="E141" s="338">
        <v>49.67</v>
      </c>
      <c r="F141" s="337">
        <v>1107.8900000000001</v>
      </c>
      <c r="G141" s="338">
        <v>6.2</v>
      </c>
      <c r="H141" s="337">
        <v>73780.42</v>
      </c>
      <c r="I141" s="475">
        <v>889.03</v>
      </c>
      <c r="J141" s="475">
        <v>32958.019999999997</v>
      </c>
      <c r="K141" s="338">
        <v>102.59</v>
      </c>
      <c r="L141" s="337">
        <v>5402.49</v>
      </c>
      <c r="M141" s="475">
        <v>15.77</v>
      </c>
      <c r="N141" s="475">
        <v>32741.1</v>
      </c>
      <c r="O141" s="475">
        <v>28.7</v>
      </c>
      <c r="P141" s="475">
        <v>588.55999999999995</v>
      </c>
      <c r="Q141" s="475">
        <v>647.53</v>
      </c>
      <c r="R141" s="475">
        <v>9819.7099999999991</v>
      </c>
      <c r="S141" s="475">
        <v>9.0399999999999991</v>
      </c>
      <c r="T141" s="475">
        <v>35655</v>
      </c>
      <c r="U141" s="475">
        <v>69</v>
      </c>
      <c r="V141" s="475">
        <v>241.3</v>
      </c>
      <c r="W141" s="475">
        <v>0.15</v>
      </c>
      <c r="X141" s="475">
        <v>6276.68</v>
      </c>
      <c r="Y141" s="475">
        <v>0</v>
      </c>
      <c r="Z141" s="475">
        <v>54154</v>
      </c>
      <c r="AA141" s="338">
        <v>79</v>
      </c>
      <c r="AB141" s="475"/>
      <c r="AC141" s="476"/>
      <c r="AD141" s="475"/>
      <c r="AE141" s="338"/>
      <c r="AF141" s="505"/>
      <c r="AG141" s="476"/>
      <c r="AH141" s="505"/>
      <c r="AI141" s="476"/>
      <c r="AJ141" s="505"/>
      <c r="AK141" s="476"/>
    </row>
    <row r="142" spans="1:37">
      <c r="A142" s="492">
        <f t="shared" si="7"/>
        <v>45630</v>
      </c>
      <c r="B142" s="102" t="s">
        <v>1197</v>
      </c>
      <c r="C142" s="110" t="str">
        <f t="shared" si="6"/>
        <v>45630 1200H</v>
      </c>
      <c r="D142" s="471">
        <v>815.52</v>
      </c>
      <c r="E142" s="472">
        <v>49.67</v>
      </c>
      <c r="F142" s="471">
        <v>1108.67</v>
      </c>
      <c r="G142" s="472">
        <v>6.2</v>
      </c>
      <c r="H142" s="471">
        <v>73787.77</v>
      </c>
      <c r="I142" s="473">
        <v>889.13</v>
      </c>
      <c r="J142" s="473">
        <v>32960.32</v>
      </c>
      <c r="K142" s="472">
        <v>102.63</v>
      </c>
      <c r="L142" s="471">
        <v>5408.28</v>
      </c>
      <c r="M142" s="473">
        <v>15.77</v>
      </c>
      <c r="N142" s="473">
        <v>32748.1</v>
      </c>
      <c r="O142" s="473">
        <v>28.7</v>
      </c>
      <c r="P142" s="473">
        <v>589.34</v>
      </c>
      <c r="Q142" s="473">
        <v>648.16999999999996</v>
      </c>
      <c r="R142" s="473">
        <v>9823.82</v>
      </c>
      <c r="S142" s="473">
        <v>9.0399999999999991</v>
      </c>
      <c r="T142" s="473">
        <v>35662</v>
      </c>
      <c r="U142" s="473">
        <v>69</v>
      </c>
      <c r="V142" s="473">
        <v>241.3</v>
      </c>
      <c r="W142" s="473">
        <v>0.15</v>
      </c>
      <c r="X142" s="473">
        <v>6283.05</v>
      </c>
      <c r="Y142" s="473">
        <v>0</v>
      </c>
      <c r="Z142" s="473">
        <v>54154</v>
      </c>
      <c r="AA142" s="472">
        <v>79</v>
      </c>
      <c r="AB142" s="473"/>
      <c r="AC142" s="474"/>
      <c r="AD142" s="473"/>
      <c r="AE142" s="472"/>
      <c r="AF142" s="506"/>
      <c r="AG142" s="474"/>
      <c r="AH142" s="506"/>
      <c r="AI142" s="474"/>
      <c r="AJ142" s="506"/>
      <c r="AK142" s="474"/>
    </row>
    <row r="143" spans="1:37">
      <c r="A143" s="492">
        <f t="shared" si="7"/>
        <v>45631</v>
      </c>
      <c r="B143" s="102" t="s">
        <v>3267</v>
      </c>
      <c r="C143" s="110" t="str">
        <f t="shared" si="6"/>
        <v>45631 0000H</v>
      </c>
      <c r="D143" s="337">
        <v>821.35</v>
      </c>
      <c r="E143" s="338">
        <v>49.67</v>
      </c>
      <c r="F143" s="337">
        <v>1108.67</v>
      </c>
      <c r="G143" s="338">
        <v>6.2</v>
      </c>
      <c r="H143" s="337">
        <v>73788.759999999995</v>
      </c>
      <c r="I143" s="475">
        <v>889.61</v>
      </c>
      <c r="J143" s="475">
        <v>32963.919999999998</v>
      </c>
      <c r="K143" s="338">
        <v>102.63</v>
      </c>
      <c r="L143" s="337">
        <v>5414.06</v>
      </c>
      <c r="M143" s="475">
        <v>15.77</v>
      </c>
      <c r="N143" s="475">
        <v>32755.5</v>
      </c>
      <c r="O143" s="475">
        <v>28.7</v>
      </c>
      <c r="P143" s="475">
        <v>591.99</v>
      </c>
      <c r="Q143" s="475">
        <v>648.27</v>
      </c>
      <c r="R143" s="475">
        <v>9829.02</v>
      </c>
      <c r="S143" s="475">
        <v>9.0399999999999991</v>
      </c>
      <c r="T143" s="475">
        <v>35670</v>
      </c>
      <c r="U143" s="475">
        <v>69</v>
      </c>
      <c r="V143" s="475">
        <v>241.3</v>
      </c>
      <c r="W143" s="475">
        <v>0.15</v>
      </c>
      <c r="X143" s="475">
        <v>6290.65</v>
      </c>
      <c r="Y143" s="475">
        <v>0</v>
      </c>
      <c r="Z143" s="475">
        <v>54154</v>
      </c>
      <c r="AA143" s="338">
        <v>79</v>
      </c>
      <c r="AB143" s="475"/>
      <c r="AC143" s="476"/>
      <c r="AD143" s="475"/>
      <c r="AE143" s="338"/>
      <c r="AF143" s="505"/>
      <c r="AG143" s="476"/>
      <c r="AH143" s="505"/>
      <c r="AI143" s="476"/>
      <c r="AJ143" s="505"/>
      <c r="AK143" s="476"/>
    </row>
    <row r="144" spans="1:37">
      <c r="A144" s="492">
        <f t="shared" si="7"/>
        <v>45631</v>
      </c>
      <c r="B144" s="102" t="s">
        <v>1197</v>
      </c>
      <c r="C144" s="110" t="str">
        <f t="shared" si="6"/>
        <v>45631 1200H</v>
      </c>
      <c r="D144" s="471">
        <v>825.17</v>
      </c>
      <c r="E144" s="472">
        <v>49.67</v>
      </c>
      <c r="F144" s="471">
        <v>1108.67</v>
      </c>
      <c r="G144" s="472">
        <v>6.2</v>
      </c>
      <c r="H144" s="471">
        <v>73792.850000000006</v>
      </c>
      <c r="I144" s="473">
        <v>889.82</v>
      </c>
      <c r="J144" s="473">
        <v>32967.54</v>
      </c>
      <c r="K144" s="472">
        <v>102.63</v>
      </c>
      <c r="L144" s="471">
        <v>5419.7</v>
      </c>
      <c r="M144" s="473">
        <v>15.77</v>
      </c>
      <c r="N144" s="473">
        <v>32762.7</v>
      </c>
      <c r="O144" s="473">
        <v>28.7</v>
      </c>
      <c r="P144" s="473">
        <v>592.28</v>
      </c>
      <c r="Q144" s="473">
        <v>649.09</v>
      </c>
      <c r="R144" s="473">
        <v>9833.2000000000007</v>
      </c>
      <c r="S144" s="473">
        <v>9.0399999999999991</v>
      </c>
      <c r="T144" s="473">
        <v>35677</v>
      </c>
      <c r="U144" s="473">
        <v>69</v>
      </c>
      <c r="V144" s="473">
        <v>241.3</v>
      </c>
      <c r="W144" s="473">
        <v>0.15</v>
      </c>
      <c r="X144" s="473">
        <v>6297</v>
      </c>
      <c r="Y144" s="473">
        <v>0</v>
      </c>
      <c r="Z144" s="473">
        <v>54154</v>
      </c>
      <c r="AA144" s="472">
        <v>79</v>
      </c>
      <c r="AB144" s="473"/>
      <c r="AC144" s="474"/>
      <c r="AD144" s="473"/>
      <c r="AE144" s="472"/>
      <c r="AF144" s="506"/>
      <c r="AG144" s="474"/>
      <c r="AH144" s="506"/>
      <c r="AI144" s="474"/>
      <c r="AJ144" s="506"/>
      <c r="AK144" s="474"/>
    </row>
    <row r="145" spans="1:37">
      <c r="A145" s="492">
        <f t="shared" si="7"/>
        <v>45632</v>
      </c>
      <c r="B145" s="102" t="s">
        <v>3267</v>
      </c>
      <c r="C145" s="110" t="str">
        <f t="shared" si="6"/>
        <v>45632 0000H</v>
      </c>
      <c r="D145" s="337">
        <v>831.04</v>
      </c>
      <c r="E145" s="338">
        <v>49.67</v>
      </c>
      <c r="F145" s="337">
        <v>1108.67</v>
      </c>
      <c r="G145" s="338">
        <v>6.2</v>
      </c>
      <c r="H145" s="337">
        <v>73803.25</v>
      </c>
      <c r="I145" s="475">
        <v>889.82</v>
      </c>
      <c r="J145" s="475">
        <v>32971.040000000001</v>
      </c>
      <c r="K145" s="338">
        <v>102.63</v>
      </c>
      <c r="L145" s="337">
        <v>5425.44</v>
      </c>
      <c r="M145" s="475">
        <v>15.77</v>
      </c>
      <c r="N145" s="475">
        <v>32770</v>
      </c>
      <c r="O145" s="475">
        <v>28.7</v>
      </c>
      <c r="P145" s="475">
        <v>592.57000000000005</v>
      </c>
      <c r="Q145" s="475">
        <v>649.91999999999996</v>
      </c>
      <c r="R145" s="475">
        <v>9838.64</v>
      </c>
      <c r="S145" s="475">
        <v>9.0399999999999991</v>
      </c>
      <c r="T145" s="475">
        <v>35684</v>
      </c>
      <c r="U145" s="475">
        <v>69</v>
      </c>
      <c r="V145" s="475">
        <v>241.3</v>
      </c>
      <c r="W145" s="475">
        <v>0.15</v>
      </c>
      <c r="X145" s="475">
        <v>6304.07</v>
      </c>
      <c r="Y145" s="475">
        <v>0</v>
      </c>
      <c r="Z145" s="475">
        <v>54154</v>
      </c>
      <c r="AA145" s="338">
        <v>79</v>
      </c>
      <c r="AB145" s="475"/>
      <c r="AC145" s="476"/>
      <c r="AD145" s="475"/>
      <c r="AE145" s="338"/>
      <c r="AF145" s="505"/>
      <c r="AG145" s="476"/>
      <c r="AH145" s="505"/>
      <c r="AI145" s="476"/>
      <c r="AJ145" s="505"/>
      <c r="AK145" s="476"/>
    </row>
    <row r="146" spans="1:37">
      <c r="A146" s="492">
        <f t="shared" si="7"/>
        <v>45632</v>
      </c>
      <c r="B146" s="102" t="s">
        <v>1197</v>
      </c>
      <c r="C146" s="110" t="str">
        <f t="shared" si="6"/>
        <v>45632 1200H</v>
      </c>
      <c r="D146" s="471">
        <v>835.24</v>
      </c>
      <c r="E146" s="472">
        <v>49.67</v>
      </c>
      <c r="F146" s="471">
        <v>1108.67</v>
      </c>
      <c r="G146" s="472">
        <v>6.2</v>
      </c>
      <c r="H146" s="471">
        <v>73813.53</v>
      </c>
      <c r="I146" s="473">
        <v>889.82</v>
      </c>
      <c r="J146" s="473">
        <v>32972.129999999997</v>
      </c>
      <c r="K146" s="472">
        <v>102.69</v>
      </c>
      <c r="L146" s="471">
        <v>5430.99</v>
      </c>
      <c r="M146" s="473">
        <v>15.77</v>
      </c>
      <c r="N146" s="473">
        <v>32775.199999999997</v>
      </c>
      <c r="O146" s="473">
        <v>28.7</v>
      </c>
      <c r="P146" s="473">
        <v>592.70000000000005</v>
      </c>
      <c r="Q146" s="473">
        <v>651.07000000000005</v>
      </c>
      <c r="R146" s="473">
        <v>9842.9</v>
      </c>
      <c r="S146" s="473">
        <v>9.0399999999999991</v>
      </c>
      <c r="T146" s="473">
        <v>35691</v>
      </c>
      <c r="U146" s="473">
        <v>69</v>
      </c>
      <c r="V146" s="473">
        <v>241.3</v>
      </c>
      <c r="W146" s="473">
        <v>0.15</v>
      </c>
      <c r="X146" s="473">
        <v>6310.5</v>
      </c>
      <c r="Y146" s="473">
        <v>0</v>
      </c>
      <c r="Z146" s="473">
        <v>54154</v>
      </c>
      <c r="AA146" s="472">
        <v>79</v>
      </c>
      <c r="AB146" s="473"/>
      <c r="AC146" s="474"/>
      <c r="AD146" s="473"/>
      <c r="AE146" s="472"/>
      <c r="AF146" s="506"/>
      <c r="AG146" s="474"/>
      <c r="AH146" s="506"/>
      <c r="AI146" s="474"/>
      <c r="AJ146" s="506"/>
      <c r="AK146" s="474"/>
    </row>
    <row r="147" spans="1:37">
      <c r="A147" s="492">
        <f t="shared" si="7"/>
        <v>45633</v>
      </c>
      <c r="B147" s="102" t="s">
        <v>3267</v>
      </c>
      <c r="C147" s="110" t="str">
        <f t="shared" si="6"/>
        <v>45633 0000H</v>
      </c>
      <c r="D147" s="337">
        <v>841.88</v>
      </c>
      <c r="E147" s="338">
        <v>49.67</v>
      </c>
      <c r="F147" s="337">
        <v>1108.67</v>
      </c>
      <c r="G147" s="338">
        <v>6.2</v>
      </c>
      <c r="H147" s="337">
        <v>73822.55</v>
      </c>
      <c r="I147" s="475">
        <v>889.86</v>
      </c>
      <c r="J147" s="475">
        <v>32974.9</v>
      </c>
      <c r="K147" s="338">
        <v>102.71</v>
      </c>
      <c r="L147" s="337">
        <v>5436.65</v>
      </c>
      <c r="M147" s="475">
        <v>15.77</v>
      </c>
      <c r="N147" s="475">
        <v>32781.4</v>
      </c>
      <c r="O147" s="475">
        <v>28.7</v>
      </c>
      <c r="P147" s="475">
        <v>593.04999999999995</v>
      </c>
      <c r="Q147" s="475">
        <v>651.94000000000005</v>
      </c>
      <c r="R147" s="475">
        <v>9847.9699999999993</v>
      </c>
      <c r="S147" s="475">
        <v>9.0399999999999991</v>
      </c>
      <c r="T147" s="475">
        <v>35699</v>
      </c>
      <c r="U147" s="475">
        <v>69</v>
      </c>
      <c r="V147" s="475">
        <v>241.3</v>
      </c>
      <c r="W147" s="475">
        <v>0.15</v>
      </c>
      <c r="X147" s="475">
        <v>6318.06</v>
      </c>
      <c r="Y147" s="475">
        <v>0</v>
      </c>
      <c r="Z147" s="475">
        <v>54154</v>
      </c>
      <c r="AA147" s="338">
        <v>79</v>
      </c>
      <c r="AB147" s="475"/>
      <c r="AC147" s="476"/>
      <c r="AD147" s="475"/>
      <c r="AE147" s="338"/>
      <c r="AF147" s="505"/>
      <c r="AG147" s="476"/>
      <c r="AH147" s="505"/>
      <c r="AI147" s="476"/>
      <c r="AJ147" s="505"/>
      <c r="AK147" s="476"/>
    </row>
    <row r="148" spans="1:37">
      <c r="A148" s="492">
        <f t="shared" si="7"/>
        <v>45633</v>
      </c>
      <c r="B148" s="102" t="s">
        <v>1197</v>
      </c>
      <c r="C148" s="110" t="str">
        <f t="shared" si="6"/>
        <v>45633 1200H</v>
      </c>
      <c r="D148" s="471">
        <v>848.48</v>
      </c>
      <c r="E148" s="472">
        <v>49.67</v>
      </c>
      <c r="F148" s="471">
        <v>1108.67</v>
      </c>
      <c r="G148" s="472">
        <v>6.2</v>
      </c>
      <c r="H148" s="471">
        <v>73822.55</v>
      </c>
      <c r="I148" s="473">
        <v>889.86</v>
      </c>
      <c r="J148" s="473">
        <v>32975.61</v>
      </c>
      <c r="K148" s="472">
        <v>102.75</v>
      </c>
      <c r="L148" s="471">
        <v>5439.65</v>
      </c>
      <c r="M148" s="473">
        <v>15.77</v>
      </c>
      <c r="N148" s="473">
        <v>32781.4</v>
      </c>
      <c r="O148" s="473">
        <v>28.7</v>
      </c>
      <c r="P148" s="473">
        <v>593.62</v>
      </c>
      <c r="Q148" s="473">
        <v>652.6</v>
      </c>
      <c r="R148" s="473">
        <v>9851.7000000000007</v>
      </c>
      <c r="S148" s="473">
        <v>9.0399999999999991</v>
      </c>
      <c r="T148" s="473">
        <v>35706</v>
      </c>
      <c r="U148" s="473">
        <v>69</v>
      </c>
      <c r="V148" s="473">
        <v>244.16</v>
      </c>
      <c r="W148" s="473">
        <v>0.18</v>
      </c>
      <c r="X148" s="473">
        <v>6324.4</v>
      </c>
      <c r="Y148" s="473">
        <v>0</v>
      </c>
      <c r="Z148" s="473">
        <v>54155</v>
      </c>
      <c r="AA148" s="472">
        <v>79</v>
      </c>
      <c r="AB148" s="473"/>
      <c r="AC148" s="474"/>
      <c r="AD148" s="473"/>
      <c r="AE148" s="472"/>
      <c r="AF148" s="506"/>
      <c r="AG148" s="474"/>
      <c r="AH148" s="506"/>
      <c r="AI148" s="474"/>
      <c r="AJ148" s="506"/>
      <c r="AK148" s="474"/>
    </row>
    <row r="149" spans="1:37">
      <c r="A149" s="492">
        <f t="shared" si="7"/>
        <v>45634</v>
      </c>
      <c r="B149" s="102" t="s">
        <v>3267</v>
      </c>
      <c r="C149" s="110" t="str">
        <f t="shared" si="6"/>
        <v>45634 0000H</v>
      </c>
      <c r="D149" s="337">
        <v>854.52</v>
      </c>
      <c r="E149" s="338">
        <v>49.67</v>
      </c>
      <c r="F149" s="337">
        <v>1108.67</v>
      </c>
      <c r="G149" s="338">
        <v>6.2</v>
      </c>
      <c r="H149" s="337">
        <v>73822.55</v>
      </c>
      <c r="I149" s="475">
        <v>890.42</v>
      </c>
      <c r="J149" s="475">
        <v>32975.61</v>
      </c>
      <c r="K149" s="338">
        <v>102.79</v>
      </c>
      <c r="L149" s="337">
        <v>5445.39</v>
      </c>
      <c r="M149" s="475">
        <v>15.77</v>
      </c>
      <c r="N149" s="475">
        <v>32781.4</v>
      </c>
      <c r="O149" s="475">
        <v>28.7</v>
      </c>
      <c r="P149" s="475">
        <v>595.55999999999995</v>
      </c>
      <c r="Q149" s="475">
        <v>652.64</v>
      </c>
      <c r="R149" s="475">
        <v>9856.81</v>
      </c>
      <c r="S149" s="475">
        <v>9.0399999999999991</v>
      </c>
      <c r="T149" s="475">
        <v>35713</v>
      </c>
      <c r="U149" s="475">
        <v>69</v>
      </c>
      <c r="V149" s="475">
        <v>250.46</v>
      </c>
      <c r="W149" s="475">
        <v>0.15</v>
      </c>
      <c r="X149" s="475">
        <v>6331.63</v>
      </c>
      <c r="Y149" s="475">
        <v>0</v>
      </c>
      <c r="Z149" s="475">
        <v>54158</v>
      </c>
      <c r="AA149" s="338">
        <v>79</v>
      </c>
      <c r="AB149" s="475"/>
      <c r="AC149" s="476"/>
      <c r="AD149" s="475"/>
      <c r="AE149" s="338"/>
      <c r="AF149" s="505"/>
      <c r="AG149" s="476"/>
      <c r="AH149" s="505"/>
      <c r="AI149" s="476"/>
      <c r="AJ149" s="505"/>
      <c r="AK149" s="476"/>
    </row>
    <row r="150" spans="1:37">
      <c r="A150" s="492">
        <f t="shared" si="7"/>
        <v>45634</v>
      </c>
      <c r="B150" s="102" t="s">
        <v>1197</v>
      </c>
      <c r="C150" s="110" t="str">
        <f t="shared" si="6"/>
        <v>45634 1200H</v>
      </c>
      <c r="D150" s="471">
        <v>859.74</v>
      </c>
      <c r="E150" s="472">
        <v>49.67</v>
      </c>
      <c r="F150" s="471">
        <v>1108.67</v>
      </c>
      <c r="G150" s="472">
        <v>6.2</v>
      </c>
      <c r="H150" s="471">
        <v>73822.55</v>
      </c>
      <c r="I150" s="473">
        <v>890.68</v>
      </c>
      <c r="J150" s="473">
        <v>32976.43</v>
      </c>
      <c r="K150" s="472">
        <v>102.81</v>
      </c>
      <c r="L150" s="471">
        <v>5450.35</v>
      </c>
      <c r="M150" s="473">
        <v>15.78</v>
      </c>
      <c r="N150" s="473">
        <v>32785.599999999999</v>
      </c>
      <c r="O150" s="473">
        <v>28.7</v>
      </c>
      <c r="P150" s="473">
        <v>596.03</v>
      </c>
      <c r="Q150" s="473">
        <v>652.76</v>
      </c>
      <c r="R150" s="473">
        <v>9860.89</v>
      </c>
      <c r="S150" s="473">
        <v>9.0399999999999991</v>
      </c>
      <c r="T150" s="473">
        <v>35719.69</v>
      </c>
      <c r="U150" s="473">
        <v>69</v>
      </c>
      <c r="V150" s="473">
        <v>250.46</v>
      </c>
      <c r="W150" s="473">
        <v>0.15</v>
      </c>
      <c r="X150" s="473">
        <v>6337.98</v>
      </c>
      <c r="Y150" s="473">
        <v>0</v>
      </c>
      <c r="Z150" s="473">
        <v>54159</v>
      </c>
      <c r="AA150" s="472">
        <v>79</v>
      </c>
      <c r="AB150" s="473"/>
      <c r="AC150" s="474"/>
      <c r="AD150" s="473"/>
      <c r="AE150" s="472"/>
      <c r="AF150" s="506"/>
      <c r="AG150" s="474"/>
      <c r="AH150" s="506"/>
      <c r="AI150" s="474"/>
      <c r="AJ150" s="506"/>
      <c r="AK150" s="474"/>
    </row>
    <row r="151" spans="1:37">
      <c r="A151" s="492">
        <f t="shared" si="7"/>
        <v>45635</v>
      </c>
      <c r="B151" s="102" t="s">
        <v>3267</v>
      </c>
      <c r="C151" s="110" t="str">
        <f t="shared" si="6"/>
        <v>45635 0000H</v>
      </c>
      <c r="D151" s="337">
        <v>863.55</v>
      </c>
      <c r="E151" s="338">
        <v>49.67</v>
      </c>
      <c r="F151" s="337">
        <v>1108.67</v>
      </c>
      <c r="G151" s="338">
        <v>6.2</v>
      </c>
      <c r="H151" s="337">
        <v>73822.55</v>
      </c>
      <c r="I151" s="475">
        <v>890.93</v>
      </c>
      <c r="J151" s="475">
        <v>32979.86</v>
      </c>
      <c r="K151" s="338">
        <v>102.81</v>
      </c>
      <c r="L151" s="337">
        <v>5456.13</v>
      </c>
      <c r="M151" s="475">
        <v>15.78</v>
      </c>
      <c r="N151" s="475">
        <v>32793</v>
      </c>
      <c r="O151" s="475">
        <v>28.7</v>
      </c>
      <c r="P151" s="475">
        <v>596.65</v>
      </c>
      <c r="Q151" s="475">
        <v>653.20000000000005</v>
      </c>
      <c r="R151" s="475">
        <v>9866.02</v>
      </c>
      <c r="S151" s="475">
        <v>9.0399999999999991</v>
      </c>
      <c r="T151" s="475">
        <v>35725</v>
      </c>
      <c r="U151" s="475">
        <v>69</v>
      </c>
      <c r="V151" s="475">
        <v>250.46</v>
      </c>
      <c r="W151" s="475">
        <v>0.15</v>
      </c>
      <c r="X151" s="475">
        <v>6344.1</v>
      </c>
      <c r="Y151" s="475">
        <v>0</v>
      </c>
      <c r="Z151" s="475">
        <v>54159</v>
      </c>
      <c r="AA151" s="338">
        <v>79</v>
      </c>
      <c r="AB151" s="475"/>
      <c r="AC151" s="476"/>
      <c r="AD151" s="475"/>
      <c r="AE151" s="338"/>
      <c r="AF151" s="505"/>
      <c r="AG151" s="476"/>
      <c r="AH151" s="505"/>
      <c r="AI151" s="476"/>
      <c r="AJ151" s="505"/>
      <c r="AK151" s="476"/>
    </row>
    <row r="152" spans="1:37">
      <c r="A152" s="492">
        <f t="shared" si="7"/>
        <v>45635</v>
      </c>
      <c r="B152" s="102" t="s">
        <v>1197</v>
      </c>
      <c r="C152" s="110" t="str">
        <f t="shared" si="6"/>
        <v>45635 1200H</v>
      </c>
      <c r="D152" s="471">
        <v>868.16</v>
      </c>
      <c r="E152" s="472">
        <v>49.67</v>
      </c>
      <c r="F152" s="471">
        <v>1108.67</v>
      </c>
      <c r="G152" s="472">
        <v>6.2</v>
      </c>
      <c r="H152" s="471">
        <v>73822.55</v>
      </c>
      <c r="I152" s="473">
        <v>891.2</v>
      </c>
      <c r="J152" s="473">
        <v>32983.35</v>
      </c>
      <c r="K152" s="472">
        <v>102.81</v>
      </c>
      <c r="L152" s="471">
        <v>5461.81</v>
      </c>
      <c r="M152" s="473">
        <v>15.78</v>
      </c>
      <c r="N152" s="473">
        <v>32798.400000000001</v>
      </c>
      <c r="O152" s="473">
        <v>28.7</v>
      </c>
      <c r="P152" s="473">
        <v>596.95000000000005</v>
      </c>
      <c r="Q152" s="473">
        <v>654.23</v>
      </c>
      <c r="R152" s="473">
        <v>9870.08</v>
      </c>
      <c r="S152" s="473">
        <v>9.0399999999999991</v>
      </c>
      <c r="T152" s="473">
        <v>35731</v>
      </c>
      <c r="U152" s="473">
        <v>69</v>
      </c>
      <c r="V152" s="473">
        <v>250.46</v>
      </c>
      <c r="W152" s="473">
        <v>0.15</v>
      </c>
      <c r="X152" s="473">
        <v>6350.13</v>
      </c>
      <c r="Y152" s="473">
        <v>0</v>
      </c>
      <c r="Z152" s="473">
        <v>54159</v>
      </c>
      <c r="AA152" s="472">
        <v>79</v>
      </c>
      <c r="AB152" s="473"/>
      <c r="AC152" s="474"/>
      <c r="AD152" s="473"/>
      <c r="AE152" s="472"/>
      <c r="AF152" s="506"/>
      <c r="AG152" s="474"/>
      <c r="AH152" s="506"/>
      <c r="AI152" s="474"/>
      <c r="AJ152" s="506"/>
      <c r="AK152" s="474"/>
    </row>
    <row r="153" spans="1:37">
      <c r="A153" s="492">
        <f t="shared" si="7"/>
        <v>45636</v>
      </c>
      <c r="B153" s="102" t="s">
        <v>3267</v>
      </c>
      <c r="C153" s="110" t="str">
        <f t="shared" si="6"/>
        <v>45636 0000H</v>
      </c>
      <c r="D153" s="337">
        <v>873.42</v>
      </c>
      <c r="E153" s="338">
        <v>49.67</v>
      </c>
      <c r="F153" s="337">
        <v>1108.67</v>
      </c>
      <c r="G153" s="338">
        <v>6.2</v>
      </c>
      <c r="H153" s="337">
        <v>73822.55</v>
      </c>
      <c r="I153" s="475">
        <v>891.45</v>
      </c>
      <c r="J153" s="475">
        <v>32986.6</v>
      </c>
      <c r="K153" s="338">
        <v>102.82</v>
      </c>
      <c r="L153" s="337">
        <v>5467.58</v>
      </c>
      <c r="M153" s="475">
        <v>15.78</v>
      </c>
      <c r="N153" s="475">
        <v>32805.800000000003</v>
      </c>
      <c r="O153" s="475">
        <v>28.7</v>
      </c>
      <c r="P153" s="475">
        <v>597.42999999999995</v>
      </c>
      <c r="Q153" s="475">
        <v>654.59</v>
      </c>
      <c r="R153" s="475">
        <v>9874.35</v>
      </c>
      <c r="S153" s="475">
        <v>9.0399999999999991</v>
      </c>
      <c r="T153" s="475">
        <v>35738</v>
      </c>
      <c r="U153" s="475">
        <v>69</v>
      </c>
      <c r="V153" s="475">
        <v>250.46</v>
      </c>
      <c r="W153" s="475">
        <v>0.15</v>
      </c>
      <c r="X153" s="475">
        <v>6356.91</v>
      </c>
      <c r="Y153" s="475">
        <v>0</v>
      </c>
      <c r="Z153" s="475">
        <v>54159</v>
      </c>
      <c r="AA153" s="338">
        <v>79</v>
      </c>
      <c r="AB153" s="475"/>
      <c r="AC153" s="476"/>
      <c r="AD153" s="475"/>
      <c r="AE153" s="338"/>
      <c r="AF153" s="505"/>
      <c r="AG153" s="476"/>
      <c r="AH153" s="505"/>
      <c r="AI153" s="476"/>
      <c r="AJ153" s="505"/>
      <c r="AK153" s="476"/>
    </row>
    <row r="154" spans="1:37">
      <c r="A154" s="492">
        <f t="shared" si="7"/>
        <v>45636</v>
      </c>
      <c r="B154" s="102" t="s">
        <v>1197</v>
      </c>
      <c r="C154" s="110" t="str">
        <f t="shared" si="6"/>
        <v>45636 1200H</v>
      </c>
      <c r="D154" s="471">
        <v>878.37</v>
      </c>
      <c r="E154" s="472">
        <v>49.67</v>
      </c>
      <c r="F154" s="471">
        <v>1108.67</v>
      </c>
      <c r="G154" s="472">
        <v>6.2</v>
      </c>
      <c r="H154" s="471">
        <v>73822.55</v>
      </c>
      <c r="I154" s="473">
        <v>891.72</v>
      </c>
      <c r="J154" s="473">
        <v>32986.6</v>
      </c>
      <c r="K154" s="472">
        <v>102.88</v>
      </c>
      <c r="L154" s="471">
        <v>5469.75</v>
      </c>
      <c r="M154" s="473">
        <v>15.78</v>
      </c>
      <c r="N154" s="473">
        <v>32808.199999999997</v>
      </c>
      <c r="O154" s="473">
        <v>28.8</v>
      </c>
      <c r="P154" s="473">
        <v>598.89</v>
      </c>
      <c r="Q154" s="473">
        <v>654.72</v>
      </c>
      <c r="R154" s="473">
        <v>9877.26</v>
      </c>
      <c r="S154" s="473">
        <v>9.0399999999999991</v>
      </c>
      <c r="T154" s="473">
        <v>35744</v>
      </c>
      <c r="U154" s="473">
        <v>69</v>
      </c>
      <c r="V154" s="473">
        <v>250.46</v>
      </c>
      <c r="W154" s="473">
        <v>0.15</v>
      </c>
      <c r="X154" s="473">
        <v>6363.11</v>
      </c>
      <c r="Y154" s="473">
        <v>0</v>
      </c>
      <c r="Z154" s="473">
        <v>54159</v>
      </c>
      <c r="AA154" s="472">
        <v>79</v>
      </c>
      <c r="AB154" s="473"/>
      <c r="AC154" s="474"/>
      <c r="AD154" s="473"/>
      <c r="AE154" s="472"/>
      <c r="AF154" s="506"/>
      <c r="AG154" s="474"/>
      <c r="AH154" s="506"/>
      <c r="AI154" s="474"/>
      <c r="AJ154" s="506"/>
      <c r="AK154" s="474"/>
    </row>
    <row r="155" spans="1:37">
      <c r="A155" s="492">
        <f t="shared" si="7"/>
        <v>45637</v>
      </c>
      <c r="B155" s="102" t="s">
        <v>3267</v>
      </c>
      <c r="C155" s="110" t="str">
        <f t="shared" si="6"/>
        <v>45637 0000H</v>
      </c>
      <c r="D155" s="337">
        <v>884.17</v>
      </c>
      <c r="E155" s="338">
        <v>49.67</v>
      </c>
      <c r="F155" s="337">
        <v>1108.67</v>
      </c>
      <c r="G155" s="338">
        <v>6.2</v>
      </c>
      <c r="H155" s="337">
        <v>73822.55</v>
      </c>
      <c r="I155" s="475">
        <v>892.02</v>
      </c>
      <c r="J155" s="475">
        <v>32989.910000000003</v>
      </c>
      <c r="K155" s="338">
        <v>102.89</v>
      </c>
      <c r="L155" s="337">
        <v>5475.09</v>
      </c>
      <c r="M155" s="475">
        <v>15.77</v>
      </c>
      <c r="N155" s="475">
        <v>32815.599999999999</v>
      </c>
      <c r="O155" s="475">
        <v>28.8</v>
      </c>
      <c r="P155" s="475">
        <v>599.55999999999995</v>
      </c>
      <c r="Q155" s="475">
        <v>654.94000000000005</v>
      </c>
      <c r="R155" s="475">
        <v>9881.51</v>
      </c>
      <c r="S155" s="475">
        <v>9.0399999999999991</v>
      </c>
      <c r="T155" s="475">
        <v>35752</v>
      </c>
      <c r="U155" s="475">
        <v>69</v>
      </c>
      <c r="V155" s="475">
        <v>250.46</v>
      </c>
      <c r="W155" s="475">
        <v>0.15</v>
      </c>
      <c r="X155" s="475">
        <v>6370.37</v>
      </c>
      <c r="Y155" s="475">
        <v>0</v>
      </c>
      <c r="Z155" s="475">
        <v>54159</v>
      </c>
      <c r="AA155" s="338">
        <v>79</v>
      </c>
      <c r="AB155" s="475"/>
      <c r="AC155" s="476"/>
      <c r="AD155" s="475"/>
      <c r="AE155" s="338"/>
      <c r="AF155" s="505"/>
      <c r="AG155" s="476"/>
      <c r="AH155" s="505"/>
      <c r="AI155" s="476"/>
      <c r="AJ155" s="505"/>
      <c r="AK155" s="476"/>
    </row>
    <row r="156" spans="1:37">
      <c r="A156" s="492">
        <f t="shared" si="7"/>
        <v>45637</v>
      </c>
      <c r="B156" s="102" t="s">
        <v>1197</v>
      </c>
      <c r="C156" s="110" t="str">
        <f t="shared" si="6"/>
        <v>45637 1200H</v>
      </c>
      <c r="D156" s="471">
        <v>888.21</v>
      </c>
      <c r="E156" s="472">
        <v>49.67</v>
      </c>
      <c r="F156" s="471">
        <v>1108.67</v>
      </c>
      <c r="G156" s="472">
        <v>6.2</v>
      </c>
      <c r="H156" s="471">
        <v>73822.55</v>
      </c>
      <c r="I156" s="473">
        <v>892.34</v>
      </c>
      <c r="J156" s="473">
        <v>32991.699999999997</v>
      </c>
      <c r="K156" s="472">
        <v>102.95</v>
      </c>
      <c r="L156" s="471">
        <v>5480.93</v>
      </c>
      <c r="M156" s="473">
        <v>15.78</v>
      </c>
      <c r="N156" s="473">
        <v>32822.9</v>
      </c>
      <c r="O156" s="473">
        <v>28.8</v>
      </c>
      <c r="P156" s="473">
        <v>600.38</v>
      </c>
      <c r="Q156" s="473">
        <v>655.65</v>
      </c>
      <c r="R156" s="473">
        <v>9885.2000000000007</v>
      </c>
      <c r="S156" s="473">
        <v>9.0399999999999991</v>
      </c>
      <c r="T156" s="473">
        <v>35758</v>
      </c>
      <c r="U156" s="473">
        <v>69</v>
      </c>
      <c r="V156" s="473">
        <v>250.46</v>
      </c>
      <c r="W156" s="473">
        <v>0.15</v>
      </c>
      <c r="X156" s="473">
        <v>6375.13</v>
      </c>
      <c r="Y156" s="473">
        <v>0</v>
      </c>
      <c r="Z156" s="473">
        <v>54159</v>
      </c>
      <c r="AA156" s="472">
        <v>79</v>
      </c>
      <c r="AB156" s="473"/>
      <c r="AC156" s="474"/>
      <c r="AD156" s="473"/>
      <c r="AE156" s="472"/>
      <c r="AF156" s="506"/>
      <c r="AG156" s="474"/>
      <c r="AH156" s="506"/>
      <c r="AI156" s="474"/>
      <c r="AJ156" s="506"/>
      <c r="AK156" s="474"/>
    </row>
    <row r="157" spans="1:37">
      <c r="A157" s="492">
        <f t="shared" si="7"/>
        <v>45638</v>
      </c>
      <c r="B157" s="102" t="s">
        <v>3267</v>
      </c>
      <c r="C157" s="110" t="str">
        <f t="shared" ref="C157:C184" si="8">A157 &amp; " " &amp;B157</f>
        <v>45638 0000H</v>
      </c>
      <c r="D157" s="337">
        <v>894.24</v>
      </c>
      <c r="E157" s="338">
        <v>49.67</v>
      </c>
      <c r="F157" s="337">
        <v>1108.67</v>
      </c>
      <c r="G157" s="338">
        <v>6.2</v>
      </c>
      <c r="H157" s="337">
        <v>73822.55</v>
      </c>
      <c r="I157" s="475">
        <v>892.34</v>
      </c>
      <c r="J157" s="475">
        <v>32991.769999999997</v>
      </c>
      <c r="K157" s="338">
        <v>103.02</v>
      </c>
      <c r="L157" s="337">
        <v>5486.73</v>
      </c>
      <c r="M157" s="475">
        <v>15.78</v>
      </c>
      <c r="N157" s="475">
        <v>32830.5</v>
      </c>
      <c r="O157" s="475">
        <v>28.8</v>
      </c>
      <c r="P157" s="475">
        <v>602.79</v>
      </c>
      <c r="Q157" s="475">
        <v>655.71</v>
      </c>
      <c r="R157" s="475">
        <v>9889.73</v>
      </c>
      <c r="S157" s="475">
        <v>9.0399999999999991</v>
      </c>
      <c r="T157" s="475">
        <v>35766</v>
      </c>
      <c r="U157" s="475">
        <v>69</v>
      </c>
      <c r="V157" s="475">
        <v>250.46</v>
      </c>
      <c r="W157" s="475">
        <v>0.15</v>
      </c>
      <c r="X157" s="475">
        <v>6381.68</v>
      </c>
      <c r="Y157" s="475">
        <v>0</v>
      </c>
      <c r="Z157" s="475">
        <v>54159</v>
      </c>
      <c r="AA157" s="338">
        <v>79</v>
      </c>
      <c r="AB157" s="475"/>
      <c r="AC157" s="476"/>
      <c r="AD157" s="475"/>
      <c r="AE157" s="338"/>
      <c r="AF157" s="505"/>
      <c r="AG157" s="476"/>
      <c r="AH157" s="505"/>
      <c r="AI157" s="476"/>
      <c r="AJ157" s="505"/>
      <c r="AK157" s="476"/>
    </row>
    <row r="158" spans="1:37">
      <c r="A158" s="492">
        <f t="shared" si="7"/>
        <v>45638</v>
      </c>
      <c r="B158" s="102" t="s">
        <v>1197</v>
      </c>
      <c r="C158" s="110" t="str">
        <f t="shared" si="8"/>
        <v>45638 1200H</v>
      </c>
      <c r="D158" s="471">
        <v>898.15</v>
      </c>
      <c r="E158" s="472">
        <v>49.67</v>
      </c>
      <c r="F158" s="471">
        <v>1108.67</v>
      </c>
      <c r="G158" s="472">
        <v>6.2</v>
      </c>
      <c r="H158" s="471">
        <v>73822.55</v>
      </c>
      <c r="I158" s="473">
        <v>892.96</v>
      </c>
      <c r="J158" s="473">
        <v>32993</v>
      </c>
      <c r="K158" s="472">
        <v>103.1</v>
      </c>
      <c r="L158" s="471">
        <v>5492.45</v>
      </c>
      <c r="M158" s="473">
        <v>15.78</v>
      </c>
      <c r="N158" s="473">
        <v>32837.800000000003</v>
      </c>
      <c r="O158" s="473">
        <v>28.8</v>
      </c>
      <c r="P158" s="473">
        <v>603.13</v>
      </c>
      <c r="Q158" s="473">
        <v>656.58</v>
      </c>
      <c r="R158" s="473">
        <v>9893.34</v>
      </c>
      <c r="S158" s="473">
        <v>9.0399999999999991</v>
      </c>
      <c r="T158" s="473">
        <v>35771</v>
      </c>
      <c r="U158" s="473">
        <v>69</v>
      </c>
      <c r="V158" s="473">
        <v>250.46</v>
      </c>
      <c r="W158" s="473">
        <v>0.15</v>
      </c>
      <c r="X158" s="473">
        <v>6387.52</v>
      </c>
      <c r="Y158" s="473">
        <v>0</v>
      </c>
      <c r="Z158" s="473">
        <v>54159</v>
      </c>
      <c r="AA158" s="472">
        <v>79</v>
      </c>
      <c r="AB158" s="473"/>
      <c r="AC158" s="474"/>
      <c r="AD158" s="473"/>
      <c r="AE158" s="472"/>
      <c r="AF158" s="506"/>
      <c r="AG158" s="474"/>
      <c r="AH158" s="506"/>
      <c r="AI158" s="474"/>
      <c r="AJ158" s="506"/>
      <c r="AK158" s="474"/>
    </row>
    <row r="159" spans="1:37">
      <c r="A159" s="492">
        <f t="shared" ref="A159:A184" si="9">A157+1</f>
        <v>45639</v>
      </c>
      <c r="B159" s="102" t="s">
        <v>3267</v>
      </c>
      <c r="C159" s="110" t="str">
        <f t="shared" si="8"/>
        <v>45639 0000H</v>
      </c>
      <c r="D159" s="337">
        <v>904.03</v>
      </c>
      <c r="E159" s="338">
        <v>49.67</v>
      </c>
      <c r="F159" s="337">
        <v>1108.67</v>
      </c>
      <c r="G159" s="338">
        <v>6.2</v>
      </c>
      <c r="H159" s="337">
        <v>73822.55</v>
      </c>
      <c r="I159" s="475">
        <v>893.27</v>
      </c>
      <c r="J159" s="475">
        <v>32995.870000000003</v>
      </c>
      <c r="K159" s="338">
        <v>105.13</v>
      </c>
      <c r="L159" s="337">
        <v>5498.28</v>
      </c>
      <c r="M159" s="475">
        <v>15.78</v>
      </c>
      <c r="N159" s="475">
        <v>32845.4</v>
      </c>
      <c r="O159" s="475">
        <v>28.8</v>
      </c>
      <c r="P159" s="475">
        <v>603.99</v>
      </c>
      <c r="Q159" s="475">
        <v>656.92</v>
      </c>
      <c r="R159" s="475">
        <v>9897.67</v>
      </c>
      <c r="S159" s="475">
        <v>9.0399999999999991</v>
      </c>
      <c r="T159" s="475">
        <v>35779</v>
      </c>
      <c r="U159" s="475">
        <v>69</v>
      </c>
      <c r="V159" s="475">
        <v>250.46</v>
      </c>
      <c r="W159" s="475">
        <v>0.15</v>
      </c>
      <c r="X159" s="475">
        <v>6394.3</v>
      </c>
      <c r="Y159" s="475">
        <v>0</v>
      </c>
      <c r="Z159" s="475">
        <v>54159</v>
      </c>
      <c r="AA159" s="338">
        <v>79</v>
      </c>
      <c r="AB159" s="475"/>
      <c r="AC159" s="476"/>
      <c r="AD159" s="475"/>
      <c r="AE159" s="338"/>
      <c r="AF159" s="505"/>
      <c r="AG159" s="476"/>
      <c r="AH159" s="505"/>
      <c r="AI159" s="476"/>
      <c r="AJ159" s="505"/>
      <c r="AK159" s="476"/>
    </row>
    <row r="160" spans="1:37">
      <c r="A160" s="492">
        <f t="shared" si="9"/>
        <v>45639</v>
      </c>
      <c r="B160" s="102" t="s">
        <v>1197</v>
      </c>
      <c r="C160" s="110" t="str">
        <f t="shared" si="8"/>
        <v>45639 1200H</v>
      </c>
      <c r="D160" s="471">
        <v>908.13</v>
      </c>
      <c r="E160" s="472">
        <v>49.67</v>
      </c>
      <c r="F160" s="471">
        <v>1108.67</v>
      </c>
      <c r="G160" s="472">
        <v>6.2</v>
      </c>
      <c r="H160" s="471">
        <v>73822.55</v>
      </c>
      <c r="I160" s="473">
        <v>893.59</v>
      </c>
      <c r="J160" s="473">
        <v>32995.870000000003</v>
      </c>
      <c r="K160" s="472">
        <v>103.17</v>
      </c>
      <c r="L160" s="471">
        <v>5504.02</v>
      </c>
      <c r="M160" s="473">
        <v>15.78</v>
      </c>
      <c r="N160" s="473">
        <v>32853</v>
      </c>
      <c r="O160" s="473">
        <v>28.8</v>
      </c>
      <c r="P160" s="473">
        <v>604.84</v>
      </c>
      <c r="Q160" s="473">
        <v>657.55</v>
      </c>
      <c r="R160" s="473">
        <v>9901.2900000000009</v>
      </c>
      <c r="S160" s="473">
        <v>9.0399999999999991</v>
      </c>
      <c r="T160" s="473">
        <v>35785</v>
      </c>
      <c r="U160" s="473">
        <v>69</v>
      </c>
      <c r="V160" s="473">
        <v>250.46</v>
      </c>
      <c r="W160" s="473">
        <v>0.15</v>
      </c>
      <c r="X160" s="473">
        <v>6400.1</v>
      </c>
      <c r="Y160" s="473">
        <v>0</v>
      </c>
      <c r="Z160" s="473">
        <v>54159</v>
      </c>
      <c r="AA160" s="472">
        <v>79</v>
      </c>
      <c r="AB160" s="473"/>
      <c r="AC160" s="474"/>
      <c r="AD160" s="473"/>
      <c r="AE160" s="472"/>
      <c r="AF160" s="506"/>
      <c r="AG160" s="474"/>
      <c r="AH160" s="506"/>
      <c r="AI160" s="474"/>
      <c r="AJ160" s="506"/>
      <c r="AK160" s="474"/>
    </row>
    <row r="161" spans="1:37">
      <c r="A161" s="492">
        <f t="shared" si="9"/>
        <v>45640</v>
      </c>
      <c r="B161" s="102" t="s">
        <v>3267</v>
      </c>
      <c r="C161" s="110" t="str">
        <f t="shared" si="8"/>
        <v>45640 0000H</v>
      </c>
      <c r="D161" s="337">
        <v>914.26</v>
      </c>
      <c r="E161" s="338">
        <v>49.67</v>
      </c>
      <c r="F161" s="337">
        <v>1108.67</v>
      </c>
      <c r="G161" s="338">
        <v>6.2</v>
      </c>
      <c r="H161" s="337">
        <v>73822.55</v>
      </c>
      <c r="I161" s="475">
        <v>893.87</v>
      </c>
      <c r="J161" s="475">
        <v>32995.879999999997</v>
      </c>
      <c r="K161" s="338">
        <v>103.22</v>
      </c>
      <c r="L161" s="337">
        <v>5509.94</v>
      </c>
      <c r="M161" s="475">
        <v>15.78</v>
      </c>
      <c r="N161" s="475">
        <v>32860.800000000003</v>
      </c>
      <c r="O161" s="475">
        <v>28.8</v>
      </c>
      <c r="P161" s="475">
        <v>607.1</v>
      </c>
      <c r="Q161" s="475">
        <v>657.69</v>
      </c>
      <c r="R161" s="475">
        <v>9905.77</v>
      </c>
      <c r="S161" s="475">
        <v>9.0399999999999991</v>
      </c>
      <c r="T161" s="475">
        <v>35790</v>
      </c>
      <c r="U161" s="475">
        <v>69</v>
      </c>
      <c r="V161" s="475">
        <v>250.46</v>
      </c>
      <c r="W161" s="475">
        <v>0.15</v>
      </c>
      <c r="X161" s="475">
        <v>6406.4</v>
      </c>
      <c r="Y161" s="475">
        <v>0</v>
      </c>
      <c r="Z161" s="475">
        <v>54159</v>
      </c>
      <c r="AA161" s="338">
        <v>79</v>
      </c>
      <c r="AB161" s="475"/>
      <c r="AC161" s="476"/>
      <c r="AD161" s="475"/>
      <c r="AE161" s="338"/>
      <c r="AF161" s="505"/>
      <c r="AG161" s="476"/>
      <c r="AH161" s="505"/>
      <c r="AI161" s="476"/>
      <c r="AJ161" s="505"/>
      <c r="AK161" s="476"/>
    </row>
    <row r="162" spans="1:37">
      <c r="A162" s="492">
        <f t="shared" si="9"/>
        <v>45640</v>
      </c>
      <c r="B162" s="102" t="s">
        <v>1197</v>
      </c>
      <c r="C162" s="110" t="str">
        <f t="shared" si="8"/>
        <v>45640 1200H</v>
      </c>
      <c r="D162" s="471">
        <v>918.06</v>
      </c>
      <c r="E162" s="472">
        <v>49.67</v>
      </c>
      <c r="F162" s="471">
        <v>1108.67</v>
      </c>
      <c r="G162" s="472">
        <v>6.2</v>
      </c>
      <c r="H162" s="471">
        <v>73822.55</v>
      </c>
      <c r="I162" s="473">
        <v>894.21</v>
      </c>
      <c r="J162" s="473">
        <v>32999.39</v>
      </c>
      <c r="K162" s="472">
        <v>103.23</v>
      </c>
      <c r="L162" s="471">
        <v>5515.82</v>
      </c>
      <c r="M162" s="473">
        <v>15.78</v>
      </c>
      <c r="N162" s="473">
        <v>32865.9</v>
      </c>
      <c r="O162" s="473">
        <v>28.8</v>
      </c>
      <c r="P162" s="473">
        <v>607.28</v>
      </c>
      <c r="Q162" s="473">
        <v>658.7</v>
      </c>
      <c r="R162" s="473">
        <v>9909.49</v>
      </c>
      <c r="S162" s="473">
        <v>9.0399999999999991</v>
      </c>
      <c r="T162" s="473">
        <v>35798</v>
      </c>
      <c r="U162" s="473">
        <v>69</v>
      </c>
      <c r="V162" s="473">
        <v>250.46</v>
      </c>
      <c r="W162" s="473">
        <v>0.15</v>
      </c>
      <c r="X162" s="473">
        <v>6411.86</v>
      </c>
      <c r="Y162" s="473">
        <v>0</v>
      </c>
      <c r="Z162" s="473">
        <v>54159</v>
      </c>
      <c r="AA162" s="472">
        <v>79</v>
      </c>
      <c r="AB162" s="473"/>
      <c r="AC162" s="474"/>
      <c r="AD162" s="473"/>
      <c r="AE162" s="472"/>
      <c r="AF162" s="506"/>
      <c r="AG162" s="474"/>
      <c r="AH162" s="506"/>
      <c r="AI162" s="474"/>
      <c r="AJ162" s="506"/>
      <c r="AK162" s="474"/>
    </row>
    <row r="163" spans="1:37">
      <c r="A163" s="492">
        <f t="shared" si="9"/>
        <v>45641</v>
      </c>
      <c r="B163" s="102" t="s">
        <v>3267</v>
      </c>
      <c r="C163" s="110" t="str">
        <f t="shared" si="8"/>
        <v>45641 0000H</v>
      </c>
      <c r="D163" s="337">
        <v>923.93</v>
      </c>
      <c r="E163" s="338">
        <v>49.67</v>
      </c>
      <c r="F163" s="337">
        <v>1108.67</v>
      </c>
      <c r="G163" s="338">
        <v>6.2</v>
      </c>
      <c r="H163" s="337">
        <v>73822.55</v>
      </c>
      <c r="I163" s="475">
        <v>894.56</v>
      </c>
      <c r="J163" s="475">
        <v>33003.050000000003</v>
      </c>
      <c r="K163" s="338">
        <v>103.23</v>
      </c>
      <c r="L163" s="337">
        <v>5521.71</v>
      </c>
      <c r="M163" s="475">
        <v>15.78</v>
      </c>
      <c r="N163" s="475">
        <v>32873.4</v>
      </c>
      <c r="O163" s="475">
        <v>28.8</v>
      </c>
      <c r="P163" s="475">
        <v>607.34</v>
      </c>
      <c r="Q163" s="475">
        <v>659.88</v>
      </c>
      <c r="R163" s="475">
        <v>9914.0300000000007</v>
      </c>
      <c r="S163" s="475">
        <v>9.0399999999999991</v>
      </c>
      <c r="T163" s="475">
        <v>35805</v>
      </c>
      <c r="U163" s="475">
        <v>69</v>
      </c>
      <c r="V163" s="475">
        <v>250.46</v>
      </c>
      <c r="W163" s="475">
        <v>0.15</v>
      </c>
      <c r="X163" s="475">
        <v>6417.71</v>
      </c>
      <c r="Y163" s="475">
        <v>0</v>
      </c>
      <c r="Z163" s="475">
        <v>54159</v>
      </c>
      <c r="AA163" s="338">
        <v>79</v>
      </c>
      <c r="AB163" s="475"/>
      <c r="AC163" s="476"/>
      <c r="AD163" s="475"/>
      <c r="AE163" s="338"/>
      <c r="AF163" s="505"/>
      <c r="AG163" s="476"/>
      <c r="AH163" s="505"/>
      <c r="AI163" s="476"/>
      <c r="AJ163" s="505"/>
      <c r="AK163" s="476"/>
    </row>
    <row r="164" spans="1:37">
      <c r="A164" s="492">
        <f t="shared" si="9"/>
        <v>45641</v>
      </c>
      <c r="B164" s="102" t="s">
        <v>1197</v>
      </c>
      <c r="C164" s="110" t="str">
        <f t="shared" si="8"/>
        <v>45641 1200H</v>
      </c>
      <c r="D164" s="471">
        <v>927.36</v>
      </c>
      <c r="E164" s="472">
        <v>49.67</v>
      </c>
      <c r="F164" s="471">
        <v>1108.67</v>
      </c>
      <c r="G164" s="472">
        <v>6.2</v>
      </c>
      <c r="H164" s="471">
        <v>73822.55</v>
      </c>
      <c r="I164" s="473">
        <v>894.9</v>
      </c>
      <c r="J164" s="473">
        <v>33006.639999999999</v>
      </c>
      <c r="K164" s="472">
        <v>103.23</v>
      </c>
      <c r="L164" s="471">
        <v>5527.35</v>
      </c>
      <c r="M164" s="473">
        <v>15.78</v>
      </c>
      <c r="N164" s="473">
        <v>32878</v>
      </c>
      <c r="O164" s="473">
        <v>28.8</v>
      </c>
      <c r="P164" s="473">
        <v>607.44000000000005</v>
      </c>
      <c r="Q164" s="473">
        <v>660.91</v>
      </c>
      <c r="R164" s="473">
        <v>9917.61</v>
      </c>
      <c r="S164" s="473">
        <v>9.0399999999999991</v>
      </c>
      <c r="T164" s="473">
        <v>35810</v>
      </c>
      <c r="U164" s="473">
        <v>69</v>
      </c>
      <c r="V164" s="473">
        <v>250.46</v>
      </c>
      <c r="W164" s="473">
        <v>0.15</v>
      </c>
      <c r="X164" s="473">
        <v>6422.81</v>
      </c>
      <c r="Y164" s="473">
        <v>0</v>
      </c>
      <c r="Z164" s="473">
        <v>54159</v>
      </c>
      <c r="AA164" s="472">
        <v>79</v>
      </c>
      <c r="AB164" s="473"/>
      <c r="AC164" s="474"/>
      <c r="AD164" s="473"/>
      <c r="AE164" s="472"/>
      <c r="AF164" s="506"/>
      <c r="AG164" s="474"/>
      <c r="AH164" s="506"/>
      <c r="AI164" s="474"/>
      <c r="AJ164" s="506"/>
      <c r="AK164" s="474"/>
    </row>
    <row r="165" spans="1:37">
      <c r="A165" s="492">
        <f t="shared" si="9"/>
        <v>45642</v>
      </c>
      <c r="B165" s="102" t="s">
        <v>3267</v>
      </c>
      <c r="C165" s="110" t="str">
        <f t="shared" si="8"/>
        <v>45642 0000H</v>
      </c>
      <c r="D165" s="337">
        <v>932.33</v>
      </c>
      <c r="E165" s="338">
        <v>49.67</v>
      </c>
      <c r="F165" s="337">
        <v>1108.67</v>
      </c>
      <c r="G165" s="338">
        <v>6.2</v>
      </c>
      <c r="H165" s="337">
        <v>73822.789999999994</v>
      </c>
      <c r="I165" s="475">
        <v>895.34</v>
      </c>
      <c r="J165" s="475">
        <v>33009.99</v>
      </c>
      <c r="K165" s="338">
        <v>103.23</v>
      </c>
      <c r="L165" s="337">
        <v>5533</v>
      </c>
      <c r="M165" s="475">
        <v>15.78</v>
      </c>
      <c r="N165" s="475">
        <v>32885.199999999997</v>
      </c>
      <c r="O165" s="475">
        <v>28.8</v>
      </c>
      <c r="P165" s="475">
        <v>608.27</v>
      </c>
      <c r="Q165" s="475">
        <v>661.27</v>
      </c>
      <c r="R165" s="475">
        <v>9927.1200000000008</v>
      </c>
      <c r="S165" s="475">
        <v>9.0399999999999991</v>
      </c>
      <c r="T165" s="475">
        <v>35818</v>
      </c>
      <c r="U165" s="475">
        <v>69</v>
      </c>
      <c r="V165" s="475">
        <v>250.46</v>
      </c>
      <c r="W165" s="475">
        <v>0.15</v>
      </c>
      <c r="X165" s="475">
        <v>6429.6</v>
      </c>
      <c r="Y165" s="475">
        <v>0</v>
      </c>
      <c r="Z165" s="475">
        <v>54159</v>
      </c>
      <c r="AA165" s="338">
        <v>79</v>
      </c>
      <c r="AB165" s="475"/>
      <c r="AC165" s="476"/>
      <c r="AD165" s="475"/>
      <c r="AE165" s="338"/>
      <c r="AF165" s="505"/>
      <c r="AG165" s="476"/>
      <c r="AH165" s="505"/>
      <c r="AI165" s="476"/>
      <c r="AJ165" s="505"/>
      <c r="AK165" s="476"/>
    </row>
    <row r="166" spans="1:37">
      <c r="A166" s="492">
        <f t="shared" si="9"/>
        <v>45642</v>
      </c>
      <c r="B166" s="102" t="s">
        <v>1197</v>
      </c>
      <c r="C166" s="110" t="str">
        <f t="shared" si="8"/>
        <v>45642 1200H</v>
      </c>
      <c r="D166" s="471">
        <v>936.52</v>
      </c>
      <c r="E166" s="472">
        <v>49.67</v>
      </c>
      <c r="F166" s="471">
        <v>1108.67</v>
      </c>
      <c r="G166" s="472">
        <v>6.2</v>
      </c>
      <c r="H166" s="471">
        <v>73823.13</v>
      </c>
      <c r="I166" s="473">
        <v>895.72</v>
      </c>
      <c r="J166" s="473">
        <v>33009.99</v>
      </c>
      <c r="K166" s="472">
        <v>103.26</v>
      </c>
      <c r="L166" s="471">
        <v>5538.71</v>
      </c>
      <c r="M166" s="473">
        <v>15.78</v>
      </c>
      <c r="N166" s="473">
        <v>32892.5</v>
      </c>
      <c r="O166" s="473">
        <v>28.8</v>
      </c>
      <c r="P166" s="473">
        <v>608.88</v>
      </c>
      <c r="Q166" s="473">
        <v>662.05</v>
      </c>
      <c r="R166" s="473">
        <v>9925.74</v>
      </c>
      <c r="S166" s="473">
        <v>9.0399999999999991</v>
      </c>
      <c r="T166" s="473">
        <v>35824</v>
      </c>
      <c r="U166" s="473">
        <v>69</v>
      </c>
      <c r="V166" s="473">
        <v>250.46</v>
      </c>
      <c r="W166" s="473">
        <v>0.15</v>
      </c>
      <c r="X166" s="473">
        <v>6435.43</v>
      </c>
      <c r="Y166" s="473">
        <v>0</v>
      </c>
      <c r="Z166" s="473">
        <v>54159</v>
      </c>
      <c r="AA166" s="472">
        <v>79</v>
      </c>
      <c r="AB166" s="473"/>
      <c r="AC166" s="474"/>
      <c r="AD166" s="473"/>
      <c r="AE166" s="472"/>
      <c r="AF166" s="506"/>
      <c r="AG166" s="474"/>
      <c r="AH166" s="506"/>
      <c r="AI166" s="474"/>
      <c r="AJ166" s="506"/>
      <c r="AK166" s="474"/>
    </row>
    <row r="167" spans="1:37">
      <c r="A167" s="492">
        <f t="shared" si="9"/>
        <v>45643</v>
      </c>
      <c r="B167" s="102" t="s">
        <v>3267</v>
      </c>
      <c r="C167" s="110" t="str">
        <f t="shared" si="8"/>
        <v>45643 0000H</v>
      </c>
      <c r="D167" s="337">
        <v>942.1</v>
      </c>
      <c r="E167" s="338">
        <v>49.67</v>
      </c>
      <c r="F167" s="337">
        <v>1108.67</v>
      </c>
      <c r="G167" s="338">
        <v>6.2</v>
      </c>
      <c r="H167" s="337">
        <v>73830.080000000002</v>
      </c>
      <c r="I167" s="475">
        <v>895.85</v>
      </c>
      <c r="J167" s="475">
        <v>33012.53</v>
      </c>
      <c r="K167" s="338">
        <v>103.3</v>
      </c>
      <c r="L167" s="337">
        <v>5544.32</v>
      </c>
      <c r="M167" s="475">
        <v>15.78</v>
      </c>
      <c r="N167" s="475">
        <v>32899.800000000003</v>
      </c>
      <c r="O167" s="475">
        <v>28.8</v>
      </c>
      <c r="P167" s="475">
        <v>610.22</v>
      </c>
      <c r="Q167" s="475">
        <v>662.86</v>
      </c>
      <c r="R167" s="475">
        <v>9930.27</v>
      </c>
      <c r="S167" s="475">
        <v>9.0399999999999991</v>
      </c>
      <c r="T167" s="475">
        <v>35832</v>
      </c>
      <c r="U167" s="475">
        <v>69</v>
      </c>
      <c r="V167" s="475">
        <v>250.46</v>
      </c>
      <c r="W167" s="475">
        <v>0.15</v>
      </c>
      <c r="X167" s="475">
        <v>6442.61</v>
      </c>
      <c r="Y167" s="475">
        <v>0</v>
      </c>
      <c r="Z167" s="475">
        <v>54159</v>
      </c>
      <c r="AA167" s="338">
        <v>79</v>
      </c>
      <c r="AB167" s="475"/>
      <c r="AC167" s="476"/>
      <c r="AD167" s="475"/>
      <c r="AE167" s="338"/>
      <c r="AF167" s="505"/>
      <c r="AG167" s="476"/>
      <c r="AH167" s="505"/>
      <c r="AI167" s="476"/>
      <c r="AJ167" s="505"/>
      <c r="AK167" s="476"/>
    </row>
    <row r="168" spans="1:37">
      <c r="A168" s="492">
        <f t="shared" si="9"/>
        <v>45643</v>
      </c>
      <c r="B168" s="102" t="s">
        <v>1197</v>
      </c>
      <c r="C168" s="110" t="str">
        <f t="shared" si="8"/>
        <v>45643 1200H</v>
      </c>
      <c r="D168" s="471">
        <v>945.91</v>
      </c>
      <c r="E168" s="472">
        <v>49.67</v>
      </c>
      <c r="F168" s="471">
        <v>1108.67</v>
      </c>
      <c r="G168" s="472">
        <v>6.2</v>
      </c>
      <c r="H168" s="471">
        <v>73834.39</v>
      </c>
      <c r="I168" s="473">
        <v>896.07</v>
      </c>
      <c r="J168" s="473">
        <v>33016.32</v>
      </c>
      <c r="K168" s="472">
        <v>103.3</v>
      </c>
      <c r="L168" s="471">
        <v>5550.07</v>
      </c>
      <c r="M168" s="473">
        <v>15.78</v>
      </c>
      <c r="N168" s="473">
        <v>32905.1</v>
      </c>
      <c r="O168" s="473">
        <v>28.8</v>
      </c>
      <c r="P168" s="473">
        <v>610.28</v>
      </c>
      <c r="Q168" s="473">
        <v>663.82</v>
      </c>
      <c r="R168" s="473">
        <v>9933.92</v>
      </c>
      <c r="S168" s="473">
        <v>9.0399999999999991</v>
      </c>
      <c r="T168" s="473">
        <v>35838</v>
      </c>
      <c r="U168" s="473">
        <v>69</v>
      </c>
      <c r="V168" s="473">
        <v>250.46</v>
      </c>
      <c r="W168" s="473">
        <v>0.15</v>
      </c>
      <c r="X168" s="473">
        <v>6448.8</v>
      </c>
      <c r="Y168" s="473">
        <v>0</v>
      </c>
      <c r="Z168" s="473">
        <v>54159</v>
      </c>
      <c r="AA168" s="472">
        <v>79</v>
      </c>
      <c r="AB168" s="473"/>
      <c r="AC168" s="474"/>
      <c r="AD168" s="473"/>
      <c r="AE168" s="472"/>
      <c r="AF168" s="506"/>
      <c r="AG168" s="474"/>
      <c r="AH168" s="506"/>
      <c r="AI168" s="474"/>
      <c r="AJ168" s="506"/>
      <c r="AK168" s="474"/>
    </row>
    <row r="169" spans="1:37">
      <c r="A169" s="492">
        <f t="shared" si="9"/>
        <v>45644</v>
      </c>
      <c r="B169" s="102" t="s">
        <v>3267</v>
      </c>
      <c r="C169" s="110" t="str">
        <f t="shared" si="8"/>
        <v>45644 0000H</v>
      </c>
      <c r="D169" s="337">
        <v>951.8</v>
      </c>
      <c r="E169" s="338">
        <v>49.67</v>
      </c>
      <c r="F169" s="337">
        <v>1108.67</v>
      </c>
      <c r="G169" s="338">
        <v>6.2</v>
      </c>
      <c r="H169" s="337">
        <v>73842.81</v>
      </c>
      <c r="I169" s="475">
        <v>896.14</v>
      </c>
      <c r="J169" s="475">
        <v>33020.06</v>
      </c>
      <c r="K169" s="338">
        <v>103.3</v>
      </c>
      <c r="L169" s="337">
        <v>5555.82</v>
      </c>
      <c r="M169" s="475">
        <v>15.78</v>
      </c>
      <c r="N169" s="475">
        <v>32914.199999999997</v>
      </c>
      <c r="O169" s="475">
        <v>28.8</v>
      </c>
      <c r="P169" s="475">
        <v>610.63</v>
      </c>
      <c r="Q169" s="475">
        <v>664.67</v>
      </c>
      <c r="R169" s="475">
        <v>9938.42</v>
      </c>
      <c r="S169" s="475">
        <v>9.0399999999999991</v>
      </c>
      <c r="T169" s="475">
        <v>35846</v>
      </c>
      <c r="U169" s="475">
        <v>69</v>
      </c>
      <c r="V169" s="475">
        <v>250.46</v>
      </c>
      <c r="W169" s="475">
        <v>0.15</v>
      </c>
      <c r="X169" s="475">
        <v>6455.85</v>
      </c>
      <c r="Y169" s="475">
        <v>0</v>
      </c>
      <c r="Z169" s="475">
        <v>54159</v>
      </c>
      <c r="AA169" s="338">
        <v>79</v>
      </c>
      <c r="AB169" s="475"/>
      <c r="AC169" s="476"/>
      <c r="AD169" s="475"/>
      <c r="AE169" s="338"/>
      <c r="AF169" s="505"/>
      <c r="AG169" s="476"/>
      <c r="AH169" s="505"/>
      <c r="AI169" s="476"/>
      <c r="AJ169" s="505"/>
      <c r="AK169" s="476"/>
    </row>
    <row r="170" spans="1:37">
      <c r="A170" s="492">
        <f t="shared" si="9"/>
        <v>45644</v>
      </c>
      <c r="B170" s="102" t="s">
        <v>1197</v>
      </c>
      <c r="C170" s="110" t="str">
        <f t="shared" si="8"/>
        <v>45644 1200H</v>
      </c>
      <c r="D170" s="471">
        <v>955.74</v>
      </c>
      <c r="E170" s="472">
        <v>49.67</v>
      </c>
      <c r="F170" s="471">
        <v>1108.67</v>
      </c>
      <c r="G170" s="472">
        <v>6.2</v>
      </c>
      <c r="H170" s="471">
        <v>73844.789999999994</v>
      </c>
      <c r="I170" s="473">
        <v>896.42</v>
      </c>
      <c r="J170" s="473">
        <v>33023.870000000003</v>
      </c>
      <c r="K170" s="472">
        <v>103.3</v>
      </c>
      <c r="L170" s="471">
        <v>5561.58</v>
      </c>
      <c r="M170" s="473">
        <v>15.78</v>
      </c>
      <c r="N170" s="473">
        <v>32918</v>
      </c>
      <c r="O170" s="473">
        <v>28.8</v>
      </c>
      <c r="P170" s="473">
        <v>610.67999999999995</v>
      </c>
      <c r="Q170" s="473">
        <v>665.65</v>
      </c>
      <c r="R170" s="473">
        <v>9943.07</v>
      </c>
      <c r="S170" s="473">
        <v>9.0399999999999991</v>
      </c>
      <c r="T170" s="473">
        <v>35852</v>
      </c>
      <c r="U170" s="473">
        <v>69</v>
      </c>
      <c r="V170" s="473">
        <v>250.46</v>
      </c>
      <c r="W170" s="473">
        <v>0.15</v>
      </c>
      <c r="X170" s="473">
        <v>6461.44</v>
      </c>
      <c r="Y170" s="473">
        <v>0</v>
      </c>
      <c r="Z170" s="473">
        <v>54159</v>
      </c>
      <c r="AA170" s="472">
        <v>79</v>
      </c>
      <c r="AB170" s="473"/>
      <c r="AC170" s="474"/>
      <c r="AD170" s="473"/>
      <c r="AE170" s="472"/>
      <c r="AF170" s="506"/>
      <c r="AG170" s="474"/>
      <c r="AH170" s="506"/>
      <c r="AI170" s="474"/>
      <c r="AJ170" s="506"/>
      <c r="AK170" s="474"/>
    </row>
    <row r="171" spans="1:37">
      <c r="A171" s="492">
        <f t="shared" si="9"/>
        <v>45645</v>
      </c>
      <c r="B171" s="102" t="s">
        <v>3267</v>
      </c>
      <c r="C171" s="110" t="str">
        <f t="shared" si="8"/>
        <v>45645 0000H</v>
      </c>
      <c r="D171" s="337">
        <v>961.36</v>
      </c>
      <c r="E171" s="338">
        <v>49.67</v>
      </c>
      <c r="F171" s="337">
        <v>1108.67</v>
      </c>
      <c r="G171" s="338">
        <v>6.2</v>
      </c>
      <c r="H171" s="337">
        <v>73856</v>
      </c>
      <c r="I171" s="475">
        <v>896.42</v>
      </c>
      <c r="J171" s="475">
        <v>33027.65</v>
      </c>
      <c r="K171" s="338">
        <v>103.3</v>
      </c>
      <c r="L171" s="337">
        <v>5567.5</v>
      </c>
      <c r="M171" s="475">
        <v>15.78</v>
      </c>
      <c r="N171" s="475">
        <v>32925.4</v>
      </c>
      <c r="O171" s="475">
        <v>28.8</v>
      </c>
      <c r="P171" s="475">
        <v>610.80999999999995</v>
      </c>
      <c r="Q171" s="475">
        <v>666.52</v>
      </c>
      <c r="R171" s="475">
        <v>9946.57</v>
      </c>
      <c r="S171" s="475">
        <v>9.0399999999999991</v>
      </c>
      <c r="T171" s="475">
        <v>35859</v>
      </c>
      <c r="U171" s="475">
        <v>69</v>
      </c>
      <c r="V171" s="475">
        <v>250.46</v>
      </c>
      <c r="W171" s="475">
        <v>0.15</v>
      </c>
      <c r="X171" s="475">
        <v>6468.75</v>
      </c>
      <c r="Y171" s="475">
        <v>0</v>
      </c>
      <c r="Z171" s="475">
        <v>54159</v>
      </c>
      <c r="AA171" s="338">
        <v>79</v>
      </c>
      <c r="AB171" s="475"/>
      <c r="AC171" s="476"/>
      <c r="AD171" s="475"/>
      <c r="AE171" s="338"/>
      <c r="AF171" s="505"/>
      <c r="AG171" s="476"/>
      <c r="AH171" s="505"/>
      <c r="AI171" s="476"/>
      <c r="AJ171" s="505"/>
      <c r="AK171" s="476"/>
    </row>
    <row r="172" spans="1:37">
      <c r="A172" s="492">
        <f t="shared" si="9"/>
        <v>45645</v>
      </c>
      <c r="B172" s="102" t="s">
        <v>1197</v>
      </c>
      <c r="C172" s="110" t="str">
        <f t="shared" si="8"/>
        <v>45645 1200H</v>
      </c>
      <c r="D172" s="471">
        <v>963.99</v>
      </c>
      <c r="E172" s="472">
        <v>49.67</v>
      </c>
      <c r="F172" s="471">
        <v>1108.67</v>
      </c>
      <c r="G172" s="472">
        <v>6.2</v>
      </c>
      <c r="H172" s="471">
        <v>73866.73</v>
      </c>
      <c r="I172" s="473">
        <v>896.42</v>
      </c>
      <c r="J172" s="473">
        <v>33030.03</v>
      </c>
      <c r="K172" s="472">
        <v>103.34</v>
      </c>
      <c r="L172" s="471">
        <v>5573.39</v>
      </c>
      <c r="M172" s="473">
        <v>15.78</v>
      </c>
      <c r="N172" s="473">
        <v>32931.800000000003</v>
      </c>
      <c r="O172" s="473">
        <v>28.8</v>
      </c>
      <c r="P172" s="473">
        <v>611.27</v>
      </c>
      <c r="Q172" s="473">
        <v>666.84</v>
      </c>
      <c r="R172" s="473">
        <v>9950.24</v>
      </c>
      <c r="S172" s="473">
        <v>9.0399999999999991</v>
      </c>
      <c r="T172" s="473">
        <v>35863</v>
      </c>
      <c r="U172" s="473">
        <v>69</v>
      </c>
      <c r="V172" s="473">
        <v>250.46</v>
      </c>
      <c r="W172" s="473">
        <v>0.15</v>
      </c>
      <c r="X172" s="473">
        <v>6474.89</v>
      </c>
      <c r="Y172" s="473">
        <v>0</v>
      </c>
      <c r="Z172" s="473">
        <v>54159</v>
      </c>
      <c r="AA172" s="472">
        <v>79</v>
      </c>
      <c r="AB172" s="473"/>
      <c r="AC172" s="474"/>
      <c r="AD172" s="473"/>
      <c r="AE172" s="472"/>
      <c r="AF172" s="506"/>
      <c r="AG172" s="474"/>
      <c r="AH172" s="506"/>
      <c r="AI172" s="474"/>
      <c r="AJ172" s="506"/>
      <c r="AK172" s="474"/>
    </row>
    <row r="173" spans="1:37">
      <c r="A173" s="492">
        <f t="shared" si="9"/>
        <v>45646</v>
      </c>
      <c r="B173" s="102" t="s">
        <v>3267</v>
      </c>
      <c r="C173" s="110" t="str">
        <f t="shared" si="8"/>
        <v>45646 0000H</v>
      </c>
      <c r="D173" s="337">
        <v>970.19</v>
      </c>
      <c r="E173" s="338">
        <v>49.67</v>
      </c>
      <c r="F173" s="337">
        <v>1108.67</v>
      </c>
      <c r="G173" s="338">
        <v>6.2</v>
      </c>
      <c r="H173" s="337">
        <v>73871.66</v>
      </c>
      <c r="I173" s="475">
        <v>896.68</v>
      </c>
      <c r="J173" s="475">
        <v>33033.800000000003</v>
      </c>
      <c r="K173" s="338">
        <v>103.34</v>
      </c>
      <c r="L173" s="337">
        <v>5579.33</v>
      </c>
      <c r="M173" s="475">
        <v>15.78</v>
      </c>
      <c r="N173" s="475">
        <v>32939.199999999997</v>
      </c>
      <c r="O173" s="475">
        <v>28.8</v>
      </c>
      <c r="P173" s="475">
        <v>611.54</v>
      </c>
      <c r="Q173" s="475">
        <v>667.58</v>
      </c>
      <c r="R173" s="475">
        <v>9954.6</v>
      </c>
      <c r="S173" s="475">
        <v>9.0399999999999991</v>
      </c>
      <c r="T173" s="475">
        <v>35870</v>
      </c>
      <c r="U173" s="475">
        <v>69</v>
      </c>
      <c r="V173" s="475">
        <v>250.46</v>
      </c>
      <c r="W173" s="475">
        <v>0.15</v>
      </c>
      <c r="X173" s="475">
        <v>6482.04</v>
      </c>
      <c r="Y173" s="475">
        <v>0</v>
      </c>
      <c r="Z173" s="475">
        <v>54159</v>
      </c>
      <c r="AA173" s="338">
        <v>79</v>
      </c>
      <c r="AB173" s="475"/>
      <c r="AC173" s="476"/>
      <c r="AD173" s="475"/>
      <c r="AE173" s="338"/>
      <c r="AF173" s="505"/>
      <c r="AG173" s="476"/>
      <c r="AH173" s="505"/>
      <c r="AI173" s="476"/>
      <c r="AJ173" s="505"/>
      <c r="AK173" s="476"/>
    </row>
    <row r="174" spans="1:37">
      <c r="A174" s="492">
        <f t="shared" si="9"/>
        <v>45646</v>
      </c>
      <c r="B174" s="102" t="s">
        <v>1197</v>
      </c>
      <c r="C174" s="110" t="str">
        <f t="shared" si="8"/>
        <v>45646 1200H</v>
      </c>
      <c r="D174" s="471">
        <v>974.82</v>
      </c>
      <c r="E174" s="472">
        <v>49.67</v>
      </c>
      <c r="F174" s="471">
        <v>1108.67</v>
      </c>
      <c r="G174" s="472">
        <v>6.2</v>
      </c>
      <c r="H174" s="471">
        <v>73871.66</v>
      </c>
      <c r="I174" s="473">
        <v>897.05</v>
      </c>
      <c r="J174" s="473">
        <v>33037.58</v>
      </c>
      <c r="K174" s="472">
        <v>103.34</v>
      </c>
      <c r="L174" s="471">
        <v>5585.25</v>
      </c>
      <c r="M174" s="473">
        <v>15.78</v>
      </c>
      <c r="N174" s="473">
        <v>32944.6</v>
      </c>
      <c r="O174" s="473">
        <v>28.8</v>
      </c>
      <c r="P174" s="473">
        <v>611.99</v>
      </c>
      <c r="Q174" s="473">
        <v>668.2</v>
      </c>
      <c r="R174" s="473">
        <v>9958.2999999999993</v>
      </c>
      <c r="S174" s="473">
        <v>9.0399999999999991</v>
      </c>
      <c r="T174" s="473">
        <v>35876</v>
      </c>
      <c r="U174" s="473">
        <v>69</v>
      </c>
      <c r="V174" s="473">
        <v>250.46</v>
      </c>
      <c r="W174" s="473">
        <v>0.15</v>
      </c>
      <c r="X174" s="473">
        <v>6487.28</v>
      </c>
      <c r="Y174" s="473">
        <v>0</v>
      </c>
      <c r="Z174" s="473">
        <v>54159</v>
      </c>
      <c r="AA174" s="472">
        <v>79</v>
      </c>
      <c r="AB174" s="473"/>
      <c r="AC174" s="474"/>
      <c r="AD174" s="473"/>
      <c r="AE174" s="472"/>
      <c r="AF174" s="506"/>
      <c r="AG174" s="474"/>
      <c r="AH174" s="506"/>
      <c r="AI174" s="474"/>
      <c r="AJ174" s="506"/>
      <c r="AK174" s="474"/>
    </row>
    <row r="175" spans="1:37">
      <c r="A175" s="492">
        <f t="shared" si="9"/>
        <v>45647</v>
      </c>
      <c r="B175" s="102" t="s">
        <v>3267</v>
      </c>
      <c r="C175" s="110" t="str">
        <f t="shared" si="8"/>
        <v>45647 0000H</v>
      </c>
      <c r="D175" s="337">
        <v>980.11</v>
      </c>
      <c r="E175" s="338">
        <v>49.67</v>
      </c>
      <c r="F175" s="337">
        <v>1108.67</v>
      </c>
      <c r="G175" s="338">
        <v>6.2</v>
      </c>
      <c r="H175" s="337">
        <v>73871.66</v>
      </c>
      <c r="I175" s="475">
        <v>897.36</v>
      </c>
      <c r="J175" s="475">
        <v>33041.26</v>
      </c>
      <c r="K175" s="338">
        <v>103.34</v>
      </c>
      <c r="L175" s="337">
        <v>5591.2</v>
      </c>
      <c r="M175" s="475">
        <v>15.78</v>
      </c>
      <c r="N175" s="475">
        <v>32952.400000000001</v>
      </c>
      <c r="O175" s="475">
        <v>28.8</v>
      </c>
      <c r="P175" s="475">
        <v>612.86</v>
      </c>
      <c r="Q175" s="475">
        <v>668.66</v>
      </c>
      <c r="R175" s="475">
        <v>9962.8799999999992</v>
      </c>
      <c r="S175" s="475">
        <v>9.0399999999999991</v>
      </c>
      <c r="T175" s="475">
        <v>35884</v>
      </c>
      <c r="U175" s="475">
        <v>69</v>
      </c>
      <c r="V175" s="475">
        <v>250.46</v>
      </c>
      <c r="W175" s="475">
        <v>0.15</v>
      </c>
      <c r="X175" s="475">
        <v>6493.55</v>
      </c>
      <c r="Y175" s="475">
        <v>0</v>
      </c>
      <c r="Z175" s="475">
        <v>54159</v>
      </c>
      <c r="AA175" s="338">
        <v>79</v>
      </c>
      <c r="AB175" s="475"/>
      <c r="AC175" s="476"/>
      <c r="AD175" s="475"/>
      <c r="AE175" s="338"/>
      <c r="AF175" s="505"/>
      <c r="AG175" s="476"/>
      <c r="AH175" s="505"/>
      <c r="AI175" s="476"/>
      <c r="AJ175" s="505"/>
      <c r="AK175" s="476"/>
    </row>
    <row r="176" spans="1:37">
      <c r="A176" s="492">
        <f t="shared" si="9"/>
        <v>45647</v>
      </c>
      <c r="B176" s="102" t="s">
        <v>1197</v>
      </c>
      <c r="C176" s="110" t="str">
        <f t="shared" si="8"/>
        <v>45647 1200H</v>
      </c>
      <c r="D176" s="471">
        <v>983.76</v>
      </c>
      <c r="E176" s="472">
        <v>49.67</v>
      </c>
      <c r="F176" s="471">
        <v>1108.67</v>
      </c>
      <c r="G176" s="472">
        <v>6.2</v>
      </c>
      <c r="H176" s="471">
        <v>73871.66</v>
      </c>
      <c r="I176" s="473">
        <v>897.64</v>
      </c>
      <c r="J176" s="473">
        <v>33042.75</v>
      </c>
      <c r="K176" s="472">
        <v>103.39</v>
      </c>
      <c r="L176" s="471">
        <v>5596.61</v>
      </c>
      <c r="M176" s="473">
        <v>15.78</v>
      </c>
      <c r="N176" s="473">
        <v>32959.599999999999</v>
      </c>
      <c r="O176" s="473">
        <v>28.8</v>
      </c>
      <c r="P176" s="473">
        <v>612.9</v>
      </c>
      <c r="Q176" s="473">
        <v>669.96</v>
      </c>
      <c r="R176" s="473">
        <v>9966.81</v>
      </c>
      <c r="S176" s="473">
        <v>9.0399999999999991</v>
      </c>
      <c r="T176" s="473">
        <v>35890</v>
      </c>
      <c r="U176" s="473">
        <v>69</v>
      </c>
      <c r="V176" s="473">
        <v>256.12</v>
      </c>
      <c r="W176" s="473">
        <v>0.15</v>
      </c>
      <c r="X176" s="473">
        <v>6499.63</v>
      </c>
      <c r="Y176" s="473">
        <v>0</v>
      </c>
      <c r="Z176" s="473">
        <v>54159</v>
      </c>
      <c r="AA176" s="472">
        <v>79</v>
      </c>
      <c r="AB176" s="473"/>
      <c r="AC176" s="474"/>
      <c r="AD176" s="473"/>
      <c r="AE176" s="472"/>
      <c r="AF176" s="506"/>
      <c r="AG176" s="474"/>
      <c r="AH176" s="506"/>
      <c r="AI176" s="474"/>
      <c r="AJ176" s="506"/>
      <c r="AK176" s="474"/>
    </row>
    <row r="177" spans="1:37">
      <c r="A177" s="492">
        <f t="shared" si="9"/>
        <v>45648</v>
      </c>
      <c r="B177" s="102" t="s">
        <v>3267</v>
      </c>
      <c r="C177" s="110" t="str">
        <f t="shared" si="8"/>
        <v>45648 0000H</v>
      </c>
      <c r="D177" s="337">
        <v>988.88</v>
      </c>
      <c r="E177" s="338">
        <v>49.67</v>
      </c>
      <c r="F177" s="337">
        <v>1108.67</v>
      </c>
      <c r="G177" s="338">
        <v>6.2</v>
      </c>
      <c r="H177" s="337">
        <v>73871.66</v>
      </c>
      <c r="I177" s="475">
        <v>897.98</v>
      </c>
      <c r="J177" s="475">
        <v>33046.44</v>
      </c>
      <c r="K177" s="338">
        <v>103.39</v>
      </c>
      <c r="L177" s="337">
        <v>5602.27</v>
      </c>
      <c r="M177" s="475">
        <v>15.78</v>
      </c>
      <c r="N177" s="475">
        <v>32963.4</v>
      </c>
      <c r="O177" s="475">
        <v>28.8</v>
      </c>
      <c r="P177" s="475">
        <v>613.08000000000004</v>
      </c>
      <c r="Q177" s="475">
        <v>670.77</v>
      </c>
      <c r="R177" s="475">
        <v>9971</v>
      </c>
      <c r="S177" s="475">
        <v>9.0399999999999991</v>
      </c>
      <c r="T177" s="475">
        <v>35896</v>
      </c>
      <c r="U177" s="475">
        <v>69</v>
      </c>
      <c r="V177" s="475">
        <v>256.12</v>
      </c>
      <c r="W177" s="475">
        <v>0.15</v>
      </c>
      <c r="X177" s="475">
        <v>6506.14</v>
      </c>
      <c r="Y177" s="475">
        <v>0</v>
      </c>
      <c r="Z177" s="475">
        <v>54159</v>
      </c>
      <c r="AA177" s="338">
        <v>79</v>
      </c>
      <c r="AB177" s="475"/>
      <c r="AC177" s="476"/>
      <c r="AD177" s="475"/>
      <c r="AE177" s="338"/>
      <c r="AF177" s="505"/>
      <c r="AG177" s="476"/>
      <c r="AH177" s="505"/>
      <c r="AI177" s="476"/>
      <c r="AJ177" s="505"/>
      <c r="AK177" s="476"/>
    </row>
    <row r="178" spans="1:37">
      <c r="A178" s="492">
        <f t="shared" si="9"/>
        <v>45648</v>
      </c>
      <c r="B178" s="102" t="s">
        <v>1197</v>
      </c>
      <c r="C178" s="110" t="str">
        <f t="shared" si="8"/>
        <v>45648 1200H</v>
      </c>
      <c r="D178" s="471">
        <v>993.81</v>
      </c>
      <c r="E178" s="472">
        <v>49.67</v>
      </c>
      <c r="F178" s="471">
        <v>1108.67</v>
      </c>
      <c r="G178" s="472">
        <v>6.2</v>
      </c>
      <c r="H178" s="471">
        <v>73871.66</v>
      </c>
      <c r="I178" s="473">
        <v>898.29</v>
      </c>
      <c r="J178" s="473">
        <v>33046.53</v>
      </c>
      <c r="K178" s="472">
        <v>103.43</v>
      </c>
      <c r="L178" s="471">
        <v>5605.11</v>
      </c>
      <c r="M178" s="473">
        <v>15.78</v>
      </c>
      <c r="N178" s="473">
        <v>32967.5</v>
      </c>
      <c r="O178" s="473">
        <v>28.8</v>
      </c>
      <c r="P178" s="473">
        <v>615</v>
      </c>
      <c r="Q178" s="473">
        <v>670.77</v>
      </c>
      <c r="R178" s="473">
        <v>9973.01</v>
      </c>
      <c r="S178" s="473">
        <v>9.0399999999999991</v>
      </c>
      <c r="T178" s="473">
        <v>35901</v>
      </c>
      <c r="U178" s="473">
        <v>69</v>
      </c>
      <c r="V178" s="473">
        <v>256.12</v>
      </c>
      <c r="W178" s="473">
        <v>0.15</v>
      </c>
      <c r="X178" s="473">
        <v>6511.33</v>
      </c>
      <c r="Y178" s="473">
        <v>0</v>
      </c>
      <c r="Z178" s="473">
        <v>54159</v>
      </c>
      <c r="AA178" s="472">
        <v>79</v>
      </c>
      <c r="AB178" s="473"/>
      <c r="AC178" s="474"/>
      <c r="AD178" s="473"/>
      <c r="AE178" s="472"/>
      <c r="AF178" s="506"/>
      <c r="AG178" s="474"/>
      <c r="AH178" s="506"/>
      <c r="AI178" s="474"/>
      <c r="AJ178" s="506"/>
      <c r="AK178" s="474"/>
    </row>
    <row r="179" spans="1:37">
      <c r="A179" s="492">
        <f t="shared" si="9"/>
        <v>45649</v>
      </c>
      <c r="B179" s="102" t="s">
        <v>3267</v>
      </c>
      <c r="C179" s="110" t="str">
        <f t="shared" si="8"/>
        <v>45649 0000H</v>
      </c>
      <c r="D179" s="337">
        <v>997.39</v>
      </c>
      <c r="E179" s="338">
        <v>49.67</v>
      </c>
      <c r="F179" s="337">
        <v>1108.67</v>
      </c>
      <c r="G179" s="338">
        <v>6.2</v>
      </c>
      <c r="H179" s="337">
        <v>73871.66</v>
      </c>
      <c r="I179" s="475">
        <v>898.6</v>
      </c>
      <c r="J179" s="475">
        <v>33050</v>
      </c>
      <c r="K179" s="338">
        <v>103.39</v>
      </c>
      <c r="L179" s="337">
        <v>5610.37</v>
      </c>
      <c r="M179" s="475">
        <v>15.78</v>
      </c>
      <c r="N179" s="475">
        <v>32974.699999999997</v>
      </c>
      <c r="O179" s="475">
        <v>28.8</v>
      </c>
      <c r="P179" s="475">
        <v>615.16</v>
      </c>
      <c r="Q179" s="475">
        <v>672</v>
      </c>
      <c r="R179" s="475">
        <v>9977.1</v>
      </c>
      <c r="S179" s="475">
        <v>9.0399999999999991</v>
      </c>
      <c r="T179" s="475">
        <v>35907</v>
      </c>
      <c r="U179" s="475">
        <v>69</v>
      </c>
      <c r="V179" s="475">
        <v>256.12</v>
      </c>
      <c r="W179" s="475">
        <v>0.15</v>
      </c>
      <c r="X179" s="475">
        <v>6516.81</v>
      </c>
      <c r="Y179" s="475">
        <v>0</v>
      </c>
      <c r="Z179" s="475">
        <v>54159</v>
      </c>
      <c r="AA179" s="338">
        <v>79</v>
      </c>
      <c r="AB179" s="475"/>
      <c r="AC179" s="476"/>
      <c r="AD179" s="475"/>
      <c r="AE179" s="338"/>
      <c r="AF179" s="505"/>
      <c r="AG179" s="476"/>
      <c r="AH179" s="505"/>
      <c r="AI179" s="476"/>
      <c r="AJ179" s="505"/>
      <c r="AK179" s="476"/>
    </row>
    <row r="180" spans="1:37">
      <c r="A180" s="492">
        <f t="shared" si="9"/>
        <v>45649</v>
      </c>
      <c r="B180" s="102" t="s">
        <v>1197</v>
      </c>
      <c r="C180" s="110" t="str">
        <f t="shared" si="8"/>
        <v>45649 1200H</v>
      </c>
      <c r="D180" s="471">
        <v>1001.56</v>
      </c>
      <c r="E180" s="472">
        <v>49.67</v>
      </c>
      <c r="F180" s="471">
        <v>1108.67</v>
      </c>
      <c r="G180" s="472">
        <v>6.2</v>
      </c>
      <c r="H180" s="471">
        <v>73871.66</v>
      </c>
      <c r="I180" s="473">
        <v>898.91</v>
      </c>
      <c r="J180" s="473">
        <v>33053.42</v>
      </c>
      <c r="K180" s="472">
        <v>103.43</v>
      </c>
      <c r="L180" s="471">
        <v>5615.87</v>
      </c>
      <c r="M180" s="473">
        <v>15.78</v>
      </c>
      <c r="N180" s="473">
        <v>32979.1</v>
      </c>
      <c r="O180" s="473">
        <v>28.8</v>
      </c>
      <c r="P180" s="473">
        <v>615.35</v>
      </c>
      <c r="Q180" s="473">
        <v>673.02</v>
      </c>
      <c r="R180" s="473">
        <v>9980.68</v>
      </c>
      <c r="S180" s="473">
        <v>9.0399999999999991</v>
      </c>
      <c r="T180" s="473">
        <v>35913</v>
      </c>
      <c r="U180" s="473">
        <v>69</v>
      </c>
      <c r="V180" s="473">
        <v>256.12</v>
      </c>
      <c r="W180" s="473">
        <v>0.15</v>
      </c>
      <c r="X180" s="473">
        <v>6522.5</v>
      </c>
      <c r="Y180" s="473">
        <v>0</v>
      </c>
      <c r="Z180" s="473">
        <v>54159</v>
      </c>
      <c r="AA180" s="472">
        <v>79</v>
      </c>
      <c r="AB180" s="473"/>
      <c r="AC180" s="474"/>
      <c r="AD180" s="473"/>
      <c r="AE180" s="472"/>
      <c r="AF180" s="506"/>
      <c r="AG180" s="474"/>
      <c r="AH180" s="506"/>
      <c r="AI180" s="474"/>
      <c r="AJ180" s="506"/>
      <c r="AK180" s="474"/>
    </row>
    <row r="181" spans="1:37">
      <c r="A181" s="492">
        <f t="shared" si="9"/>
        <v>45650</v>
      </c>
      <c r="B181" s="102" t="s">
        <v>3267</v>
      </c>
      <c r="C181" s="110" t="str">
        <f t="shared" si="8"/>
        <v>45650 0000H</v>
      </c>
      <c r="D181" s="337">
        <v>1005.52</v>
      </c>
      <c r="E181" s="338">
        <v>49.67</v>
      </c>
      <c r="F181" s="337">
        <v>1108.67</v>
      </c>
      <c r="G181" s="338">
        <v>6.2</v>
      </c>
      <c r="H181" s="337">
        <v>73871.66</v>
      </c>
      <c r="I181" s="475">
        <v>899.25</v>
      </c>
      <c r="J181" s="475">
        <v>33057.199999999997</v>
      </c>
      <c r="K181" s="338">
        <v>103.43</v>
      </c>
      <c r="L181" s="337">
        <v>5621.66</v>
      </c>
      <c r="M181" s="475">
        <v>15.78</v>
      </c>
      <c r="N181" s="475">
        <v>32986.400000000001</v>
      </c>
      <c r="O181" s="475">
        <v>28.8</v>
      </c>
      <c r="P181" s="475">
        <v>615.61</v>
      </c>
      <c r="Q181" s="475">
        <v>673.6</v>
      </c>
      <c r="R181" s="475">
        <v>9984.9699999999993</v>
      </c>
      <c r="S181" s="475">
        <v>9.0399999999999991</v>
      </c>
      <c r="T181" s="475">
        <v>35920</v>
      </c>
      <c r="U181" s="475">
        <v>69</v>
      </c>
      <c r="V181" s="475">
        <v>256.12</v>
      </c>
      <c r="W181" s="475">
        <v>0.15</v>
      </c>
      <c r="X181" s="475">
        <v>6529.67</v>
      </c>
      <c r="Y181" s="475">
        <v>0</v>
      </c>
      <c r="Z181" s="475">
        <v>54159</v>
      </c>
      <c r="AA181" s="338">
        <v>79</v>
      </c>
      <c r="AB181" s="475"/>
      <c r="AC181" s="476"/>
      <c r="AD181" s="475"/>
      <c r="AE181" s="338"/>
      <c r="AF181" s="505"/>
      <c r="AG181" s="476"/>
      <c r="AH181" s="505"/>
      <c r="AI181" s="476"/>
      <c r="AJ181" s="505"/>
      <c r="AK181" s="476"/>
    </row>
    <row r="182" spans="1:37">
      <c r="A182" s="492">
        <f t="shared" si="9"/>
        <v>45650</v>
      </c>
      <c r="B182" s="102" t="s">
        <v>1197</v>
      </c>
      <c r="C182" s="110" t="str">
        <f t="shared" si="8"/>
        <v>45650 1200H</v>
      </c>
      <c r="D182" s="471">
        <v>1008.8</v>
      </c>
      <c r="E182" s="472">
        <v>49.67</v>
      </c>
      <c r="F182" s="471">
        <v>1108.67</v>
      </c>
      <c r="G182" s="472">
        <v>6.2</v>
      </c>
      <c r="H182" s="471">
        <v>73872.92</v>
      </c>
      <c r="I182" s="473">
        <v>899.6</v>
      </c>
      <c r="J182" s="473">
        <v>33060.480000000003</v>
      </c>
      <c r="K182" s="472">
        <v>103.43</v>
      </c>
      <c r="L182" s="471">
        <v>5627.01</v>
      </c>
      <c r="M182" s="473">
        <v>15.78</v>
      </c>
      <c r="N182" s="473">
        <v>32990.300000000003</v>
      </c>
      <c r="O182" s="473">
        <v>28.8</v>
      </c>
      <c r="P182" s="473">
        <v>615.71</v>
      </c>
      <c r="Q182" s="473">
        <v>674.92</v>
      </c>
      <c r="R182" s="473">
        <v>9988.69</v>
      </c>
      <c r="S182" s="473">
        <v>9.0399999999999991</v>
      </c>
      <c r="T182" s="473">
        <v>35926</v>
      </c>
      <c r="U182" s="473">
        <v>69</v>
      </c>
      <c r="V182" s="473">
        <v>256.12</v>
      </c>
      <c r="W182" s="473">
        <v>0.15</v>
      </c>
      <c r="X182" s="473">
        <v>6535.59</v>
      </c>
      <c r="Y182" s="473">
        <v>0</v>
      </c>
      <c r="Z182" s="473">
        <v>54159</v>
      </c>
      <c r="AA182" s="472">
        <v>79</v>
      </c>
      <c r="AB182" s="473"/>
      <c r="AC182" s="474"/>
      <c r="AD182" s="473"/>
      <c r="AE182" s="472"/>
      <c r="AF182" s="506"/>
      <c r="AG182" s="474"/>
      <c r="AH182" s="506"/>
      <c r="AI182" s="474"/>
      <c r="AJ182" s="506"/>
      <c r="AK182" s="474"/>
    </row>
    <row r="183" spans="1:37">
      <c r="A183" s="492">
        <f t="shared" si="9"/>
        <v>45651</v>
      </c>
      <c r="B183" s="102" t="s">
        <v>3267</v>
      </c>
      <c r="C183" s="110" t="str">
        <f t="shared" si="8"/>
        <v>45651 0000H</v>
      </c>
      <c r="D183" s="337">
        <v>1013.08</v>
      </c>
      <c r="E183" s="338">
        <v>49.67</v>
      </c>
      <c r="F183" s="337">
        <v>1108.67</v>
      </c>
      <c r="G183" s="338">
        <v>6.2</v>
      </c>
      <c r="H183" s="337">
        <v>73883.14</v>
      </c>
      <c r="I183" s="475">
        <v>899.6</v>
      </c>
      <c r="J183" s="475">
        <v>33064.239999999998</v>
      </c>
      <c r="K183" s="338">
        <v>103.43</v>
      </c>
      <c r="L183" s="337">
        <v>5632.72</v>
      </c>
      <c r="M183" s="475">
        <v>15.78</v>
      </c>
      <c r="N183" s="475">
        <v>32997.599999999999</v>
      </c>
      <c r="O183" s="475">
        <v>28.8</v>
      </c>
      <c r="P183" s="475">
        <v>615.75</v>
      </c>
      <c r="Q183" s="475">
        <v>676.42</v>
      </c>
      <c r="R183" s="475">
        <v>9993.4</v>
      </c>
      <c r="S183" s="475">
        <v>9.0399999999999991</v>
      </c>
      <c r="T183" s="475">
        <v>35933</v>
      </c>
      <c r="U183" s="475">
        <v>69</v>
      </c>
      <c r="V183" s="475">
        <v>256.12</v>
      </c>
      <c r="W183" s="475">
        <v>0.15</v>
      </c>
      <c r="X183" s="475">
        <v>6542.92</v>
      </c>
      <c r="Y183" s="475">
        <v>0</v>
      </c>
      <c r="Z183" s="475">
        <v>54159</v>
      </c>
      <c r="AA183" s="338">
        <v>79</v>
      </c>
      <c r="AB183" s="475"/>
      <c r="AC183" s="476"/>
      <c r="AD183" s="475"/>
      <c r="AE183" s="338"/>
      <c r="AF183" s="505"/>
      <c r="AG183" s="476"/>
      <c r="AH183" s="505"/>
      <c r="AI183" s="476"/>
      <c r="AJ183" s="505"/>
      <c r="AK183" s="476"/>
    </row>
    <row r="184" spans="1:37" ht="14.45" thickBot="1">
      <c r="A184" s="498">
        <f t="shared" si="9"/>
        <v>45651</v>
      </c>
      <c r="B184" s="499" t="s">
        <v>1197</v>
      </c>
      <c r="C184" s="500" t="str">
        <f t="shared" si="8"/>
        <v>45651 1200H</v>
      </c>
      <c r="D184" s="501">
        <v>1016.42</v>
      </c>
      <c r="E184" s="502">
        <v>49.63</v>
      </c>
      <c r="F184" s="501">
        <v>1108.67</v>
      </c>
      <c r="G184" s="502">
        <v>6.2</v>
      </c>
      <c r="H184" s="501">
        <v>73885.84</v>
      </c>
      <c r="I184" s="503">
        <v>899.96</v>
      </c>
      <c r="J184" s="503">
        <v>33067.83</v>
      </c>
      <c r="K184" s="502">
        <v>103.43</v>
      </c>
      <c r="L184" s="501">
        <v>5638.25</v>
      </c>
      <c r="M184" s="503">
        <v>15.78</v>
      </c>
      <c r="N184" s="503">
        <v>33001.4</v>
      </c>
      <c r="O184" s="503">
        <v>28.8</v>
      </c>
      <c r="P184" s="503">
        <v>615.78</v>
      </c>
      <c r="Q184" s="503">
        <v>677.7</v>
      </c>
      <c r="R184" s="503">
        <v>9997.1</v>
      </c>
      <c r="S184" s="503">
        <v>9.0399999999999991</v>
      </c>
      <c r="T184" s="503">
        <v>35939</v>
      </c>
      <c r="U184" s="503">
        <v>69</v>
      </c>
      <c r="V184" s="503">
        <v>256.12</v>
      </c>
      <c r="W184" s="503">
        <v>0.15</v>
      </c>
      <c r="X184" s="503">
        <v>6548.4</v>
      </c>
      <c r="Y184" s="503">
        <v>0</v>
      </c>
      <c r="Z184" s="503">
        <v>54159</v>
      </c>
      <c r="AA184" s="502">
        <v>79</v>
      </c>
      <c r="AB184" s="503"/>
      <c r="AC184" s="504"/>
      <c r="AD184" s="503"/>
      <c r="AE184" s="502"/>
      <c r="AF184" s="513"/>
      <c r="AG184" s="504"/>
      <c r="AH184" s="513"/>
      <c r="AI184" s="504"/>
      <c r="AJ184" s="513"/>
      <c r="AK184" s="504"/>
    </row>
    <row r="185" spans="1:37" s="479" customFormat="1" ht="14.45" thickBot="1">
      <c r="A185" s="477"/>
      <c r="B185" s="477"/>
      <c r="C185" s="477"/>
      <c r="D185" s="478"/>
      <c r="E185" s="478"/>
      <c r="F185" s="478"/>
      <c r="G185" s="478"/>
      <c r="H185" s="478"/>
      <c r="I185" s="478"/>
      <c r="J185" s="478"/>
      <c r="K185" s="478"/>
      <c r="L185" s="478"/>
      <c r="M185" s="478"/>
      <c r="N185" s="478"/>
      <c r="O185" s="478"/>
      <c r="P185" s="478"/>
      <c r="Q185" s="478"/>
      <c r="R185" s="478"/>
      <c r="S185" s="478"/>
      <c r="T185" s="478"/>
      <c r="U185" s="478"/>
      <c r="V185" s="478"/>
      <c r="W185" s="478"/>
      <c r="X185" s="478"/>
      <c r="Y185" s="478"/>
      <c r="Z185" s="478"/>
      <c r="AA185" s="478"/>
      <c r="AB185" s="478"/>
      <c r="AC185" s="478"/>
      <c r="AD185" s="478"/>
      <c r="AE185" s="478"/>
      <c r="AF185" s="512"/>
      <c r="AG185" s="512"/>
      <c r="AH185" s="512"/>
      <c r="AI185" s="512"/>
      <c r="AJ185" s="512"/>
      <c r="AK185" s="512"/>
    </row>
    <row r="186" spans="1:37">
      <c r="A186" s="485">
        <f>A183+1</f>
        <v>45652</v>
      </c>
      <c r="B186" s="486" t="s">
        <v>3267</v>
      </c>
      <c r="C186" s="487" t="str">
        <f t="shared" ref="C186:C217" si="10">A186 &amp; " " &amp;B186</f>
        <v>45652 0000H</v>
      </c>
      <c r="D186" s="488">
        <v>1019.57</v>
      </c>
      <c r="E186" s="489">
        <v>49.63</v>
      </c>
      <c r="F186" s="488">
        <v>1108.67</v>
      </c>
      <c r="G186" s="489">
        <v>6.2</v>
      </c>
      <c r="H186" s="488">
        <v>73895.92</v>
      </c>
      <c r="I186" s="490">
        <v>899.96</v>
      </c>
      <c r="J186" s="490">
        <v>33071.17</v>
      </c>
      <c r="K186" s="489">
        <v>103.44</v>
      </c>
      <c r="L186" s="488">
        <v>5643.98</v>
      </c>
      <c r="M186" s="490">
        <v>15.78</v>
      </c>
      <c r="N186" s="490">
        <v>33008.699999999997</v>
      </c>
      <c r="O186" s="490">
        <v>28.8</v>
      </c>
      <c r="P186" s="490">
        <v>615.91999999999996</v>
      </c>
      <c r="Q186" s="490">
        <v>678.6</v>
      </c>
      <c r="R186" s="490">
        <v>10001.17</v>
      </c>
      <c r="S186" s="490">
        <v>9.0399999999999991</v>
      </c>
      <c r="T186" s="490">
        <v>35946</v>
      </c>
      <c r="U186" s="490">
        <v>69</v>
      </c>
      <c r="V186" s="490">
        <v>256.12</v>
      </c>
      <c r="W186" s="490">
        <v>0.15</v>
      </c>
      <c r="X186" s="490">
        <v>6555.54</v>
      </c>
      <c r="Y186" s="490">
        <v>0</v>
      </c>
      <c r="Z186" s="490">
        <v>54159</v>
      </c>
      <c r="AA186" s="489">
        <v>79</v>
      </c>
      <c r="AB186" s="490"/>
      <c r="AC186" s="491"/>
      <c r="AD186" s="490"/>
      <c r="AE186" s="489"/>
      <c r="AF186" s="509"/>
      <c r="AG186" s="491"/>
      <c r="AH186" s="509"/>
      <c r="AI186" s="491"/>
      <c r="AJ186" s="509"/>
      <c r="AK186" s="491"/>
    </row>
    <row r="187" spans="1:37">
      <c r="A187" s="492">
        <f>A184+1</f>
        <v>45652</v>
      </c>
      <c r="B187" s="102" t="s">
        <v>1197</v>
      </c>
      <c r="C187" s="110" t="str">
        <f t="shared" si="10"/>
        <v>45652 1200H</v>
      </c>
      <c r="D187" s="471">
        <v>1023.26</v>
      </c>
      <c r="E187" s="472">
        <v>49.67</v>
      </c>
      <c r="F187" s="471">
        <v>1108.67</v>
      </c>
      <c r="G187" s="472">
        <v>6.2</v>
      </c>
      <c r="H187" s="471">
        <v>73903.710000000006</v>
      </c>
      <c r="I187" s="473">
        <v>900.06</v>
      </c>
      <c r="J187" s="473">
        <v>33072.1</v>
      </c>
      <c r="K187" s="472">
        <v>103.51</v>
      </c>
      <c r="L187" s="471">
        <v>5649.67</v>
      </c>
      <c r="M187" s="473">
        <v>15.78</v>
      </c>
      <c r="N187" s="473">
        <v>33012.1</v>
      </c>
      <c r="O187" s="473">
        <v>28.8</v>
      </c>
      <c r="P187" s="473">
        <v>616.17999999999995</v>
      </c>
      <c r="Q187" s="473">
        <v>679.46</v>
      </c>
      <c r="R187" s="473">
        <v>10004.879999999999</v>
      </c>
      <c r="S187" s="473">
        <v>9.0399999999999991</v>
      </c>
      <c r="T187" s="473">
        <v>35952</v>
      </c>
      <c r="U187" s="473">
        <v>69</v>
      </c>
      <c r="V187" s="473">
        <v>256.12</v>
      </c>
      <c r="W187" s="473">
        <v>0.15</v>
      </c>
      <c r="X187" s="473">
        <v>6561.38</v>
      </c>
      <c r="Y187" s="473">
        <v>0</v>
      </c>
      <c r="Z187" s="473">
        <v>54159</v>
      </c>
      <c r="AA187" s="472">
        <v>79</v>
      </c>
      <c r="AB187" s="473"/>
      <c r="AC187" s="474"/>
      <c r="AD187" s="473"/>
      <c r="AE187" s="472"/>
      <c r="AF187" s="506"/>
      <c r="AG187" s="474"/>
      <c r="AH187" s="506"/>
      <c r="AI187" s="474"/>
      <c r="AJ187" s="506"/>
      <c r="AK187" s="474"/>
    </row>
    <row r="188" spans="1:37">
      <c r="A188" s="492">
        <f t="shared" ref="A188:A219" si="11">A186+1</f>
        <v>45653</v>
      </c>
      <c r="B188" s="102" t="s">
        <v>3267</v>
      </c>
      <c r="C188" s="110" t="str">
        <f t="shared" si="10"/>
        <v>45653 0000H</v>
      </c>
      <c r="D188" s="337">
        <v>1027.92</v>
      </c>
      <c r="E188" s="338">
        <v>49.67</v>
      </c>
      <c r="F188" s="337">
        <v>1108.67</v>
      </c>
      <c r="G188" s="338">
        <v>6.2</v>
      </c>
      <c r="H188" s="337">
        <v>73989.56</v>
      </c>
      <c r="I188" s="475">
        <v>900.24</v>
      </c>
      <c r="J188" s="475">
        <v>33074.92</v>
      </c>
      <c r="K188" s="338">
        <v>103.53</v>
      </c>
      <c r="L188" s="337">
        <v>5655.43</v>
      </c>
      <c r="M188" s="475">
        <v>15.78</v>
      </c>
      <c r="N188" s="475">
        <v>33019.599999999999</v>
      </c>
      <c r="O188" s="475">
        <v>28.8</v>
      </c>
      <c r="P188" s="475">
        <v>616.62</v>
      </c>
      <c r="Q188" s="475">
        <v>680.47</v>
      </c>
      <c r="R188" s="475">
        <v>10009.16</v>
      </c>
      <c r="S188" s="475">
        <v>9.02</v>
      </c>
      <c r="T188" s="475">
        <v>35960</v>
      </c>
      <c r="U188" s="475">
        <v>69</v>
      </c>
      <c r="V188" s="475">
        <v>256.12</v>
      </c>
      <c r="W188" s="475">
        <v>0.15</v>
      </c>
      <c r="X188" s="475">
        <v>6568.06</v>
      </c>
      <c r="Y188" s="475">
        <v>0</v>
      </c>
      <c r="Z188" s="475">
        <v>54159</v>
      </c>
      <c r="AA188" s="338">
        <v>79</v>
      </c>
      <c r="AB188" s="475"/>
      <c r="AC188" s="476"/>
      <c r="AD188" s="475"/>
      <c r="AE188" s="338"/>
      <c r="AF188" s="505"/>
      <c r="AG188" s="476"/>
      <c r="AH188" s="505"/>
      <c r="AI188" s="476"/>
      <c r="AJ188" s="505"/>
      <c r="AK188" s="476"/>
    </row>
    <row r="189" spans="1:37">
      <c r="A189" s="492">
        <f t="shared" si="11"/>
        <v>45653</v>
      </c>
      <c r="B189" s="102" t="s">
        <v>1197</v>
      </c>
      <c r="C189" s="110" t="str">
        <f t="shared" si="10"/>
        <v>45653 1200H</v>
      </c>
      <c r="D189" s="471"/>
      <c r="E189" s="472"/>
      <c r="F189" s="471">
        <v>1108.67</v>
      </c>
      <c r="G189" s="472">
        <v>6.2</v>
      </c>
      <c r="H189" s="471">
        <v>73916.89</v>
      </c>
      <c r="I189" s="473">
        <v>900.34</v>
      </c>
      <c r="J189" s="473">
        <v>33075.519999999997</v>
      </c>
      <c r="K189" s="472">
        <v>103.58</v>
      </c>
      <c r="L189" s="471">
        <v>5659.33</v>
      </c>
      <c r="M189" s="473">
        <v>15.78</v>
      </c>
      <c r="N189" s="473">
        <v>33024.6</v>
      </c>
      <c r="O189" s="473">
        <v>28.8</v>
      </c>
      <c r="P189" s="473">
        <v>616.70000000000005</v>
      </c>
      <c r="Q189" s="473">
        <v>861.09</v>
      </c>
      <c r="R189" s="473">
        <v>10012.31</v>
      </c>
      <c r="S189" s="473">
        <v>9.0399999999999991</v>
      </c>
      <c r="T189" s="473">
        <v>35966</v>
      </c>
      <c r="U189" s="473">
        <v>69</v>
      </c>
      <c r="V189" s="473">
        <v>256.12</v>
      </c>
      <c r="W189" s="473">
        <v>0.15</v>
      </c>
      <c r="X189" s="473">
        <v>6573.89</v>
      </c>
      <c r="Y189" s="473">
        <v>0</v>
      </c>
      <c r="Z189" s="473">
        <v>54159</v>
      </c>
      <c r="AA189" s="472">
        <v>79</v>
      </c>
      <c r="AB189" s="473"/>
      <c r="AC189" s="474"/>
      <c r="AD189" s="473"/>
      <c r="AE189" s="472"/>
      <c r="AF189" s="506"/>
      <c r="AG189" s="474"/>
      <c r="AH189" s="506"/>
      <c r="AI189" s="474"/>
      <c r="AJ189" s="506"/>
      <c r="AK189" s="474"/>
    </row>
    <row r="190" spans="1:37">
      <c r="A190" s="492">
        <f t="shared" si="11"/>
        <v>45654</v>
      </c>
      <c r="B190" s="102" t="s">
        <v>3267</v>
      </c>
      <c r="C190" s="110" t="str">
        <f t="shared" si="10"/>
        <v>45654 0000H</v>
      </c>
      <c r="D190" s="337">
        <v>1035.8800000000001</v>
      </c>
      <c r="E190" s="338">
        <v>49.67</v>
      </c>
      <c r="F190" s="337">
        <v>1108.67</v>
      </c>
      <c r="G190" s="338">
        <v>6.2</v>
      </c>
      <c r="H190" s="337">
        <v>73926.94</v>
      </c>
      <c r="I190" s="475">
        <v>900.34</v>
      </c>
      <c r="J190" s="475">
        <v>33078.160000000003</v>
      </c>
      <c r="K190" s="338">
        <v>103.61</v>
      </c>
      <c r="L190" s="337">
        <v>5665.21</v>
      </c>
      <c r="M190" s="475">
        <v>15.78</v>
      </c>
      <c r="N190" s="475">
        <v>33032</v>
      </c>
      <c r="O190" s="475">
        <v>28.8</v>
      </c>
      <c r="P190" s="475">
        <v>616.76</v>
      </c>
      <c r="Q190" s="475">
        <v>682.05</v>
      </c>
      <c r="R190" s="475">
        <v>10016.540000000001</v>
      </c>
      <c r="S190" s="475">
        <v>9.0399999999999991</v>
      </c>
      <c r="T190" s="475">
        <v>35973</v>
      </c>
      <c r="U190" s="475">
        <v>69</v>
      </c>
      <c r="V190" s="475">
        <v>256.12</v>
      </c>
      <c r="W190" s="475">
        <v>0.15</v>
      </c>
      <c r="X190" s="475">
        <v>6581.05</v>
      </c>
      <c r="Y190" s="475">
        <v>0</v>
      </c>
      <c r="Z190" s="475">
        <v>54159</v>
      </c>
      <c r="AA190" s="338">
        <v>79</v>
      </c>
      <c r="AB190" s="475"/>
      <c r="AC190" s="476"/>
      <c r="AD190" s="475"/>
      <c r="AE190" s="338"/>
      <c r="AF190" s="505"/>
      <c r="AG190" s="476"/>
      <c r="AH190" s="505"/>
      <c r="AI190" s="476"/>
      <c r="AJ190" s="505"/>
      <c r="AK190" s="476"/>
    </row>
    <row r="191" spans="1:37">
      <c r="A191" s="492">
        <f t="shared" si="11"/>
        <v>45654</v>
      </c>
      <c r="B191" s="102" t="s">
        <v>1197</v>
      </c>
      <c r="C191" s="110" t="str">
        <f t="shared" si="10"/>
        <v>45654 1200H</v>
      </c>
      <c r="D191" s="471">
        <v>1039.1099999999999</v>
      </c>
      <c r="E191" s="472">
        <v>49.67</v>
      </c>
      <c r="F191" s="471">
        <v>1108.67</v>
      </c>
      <c r="G191" s="472">
        <v>6.2</v>
      </c>
      <c r="H191" s="471">
        <v>73931.23</v>
      </c>
      <c r="I191" s="473">
        <v>900.57</v>
      </c>
      <c r="J191" s="473">
        <v>33078.9</v>
      </c>
      <c r="K191" s="472">
        <v>103.68</v>
      </c>
      <c r="L191" s="471">
        <v>5670.96</v>
      </c>
      <c r="M191" s="473">
        <v>15.78</v>
      </c>
      <c r="N191" s="473">
        <v>33036.400000000001</v>
      </c>
      <c r="O191" s="473">
        <v>28.8</v>
      </c>
      <c r="P191" s="473">
        <v>617.41</v>
      </c>
      <c r="Q191" s="473">
        <v>682.73</v>
      </c>
      <c r="R191" s="473">
        <v>10020.049999999999</v>
      </c>
      <c r="S191" s="473">
        <v>9.0399999999999991</v>
      </c>
      <c r="T191" s="473">
        <v>35979</v>
      </c>
      <c r="U191" s="473">
        <v>69</v>
      </c>
      <c r="V191" s="473">
        <v>256.12</v>
      </c>
      <c r="W191" s="473">
        <v>0.15</v>
      </c>
      <c r="X191" s="473">
        <v>6586.96</v>
      </c>
      <c r="Y191" s="473">
        <v>0</v>
      </c>
      <c r="Z191" s="473">
        <v>54159</v>
      </c>
      <c r="AA191" s="472">
        <v>79</v>
      </c>
      <c r="AB191" s="473"/>
      <c r="AC191" s="474"/>
      <c r="AD191" s="473"/>
      <c r="AE191" s="472"/>
      <c r="AF191" s="506"/>
      <c r="AG191" s="474"/>
      <c r="AH191" s="506"/>
      <c r="AI191" s="474"/>
      <c r="AJ191" s="506"/>
      <c r="AK191" s="474"/>
    </row>
    <row r="192" spans="1:37">
      <c r="A192" s="492">
        <f t="shared" si="11"/>
        <v>45655</v>
      </c>
      <c r="B192" s="102" t="s">
        <v>3267</v>
      </c>
      <c r="C192" s="110" t="str">
        <f t="shared" si="10"/>
        <v>45655 0000H</v>
      </c>
      <c r="D192" s="337">
        <v>1042.28</v>
      </c>
      <c r="E192" s="338">
        <v>49.67</v>
      </c>
      <c r="F192" s="337">
        <v>1108.67</v>
      </c>
      <c r="G192" s="338">
        <v>6.2</v>
      </c>
      <c r="H192" s="337">
        <v>73939.23</v>
      </c>
      <c r="I192" s="475">
        <v>900.68</v>
      </c>
      <c r="J192" s="475">
        <v>33082.19</v>
      </c>
      <c r="K192" s="338">
        <v>103.69</v>
      </c>
      <c r="L192" s="337">
        <v>5676.87</v>
      </c>
      <c r="M192" s="475">
        <v>15.78</v>
      </c>
      <c r="N192" s="475">
        <v>33043.9</v>
      </c>
      <c r="O192" s="475">
        <v>28.8</v>
      </c>
      <c r="P192" s="475">
        <v>617.62</v>
      </c>
      <c r="Q192" s="475">
        <v>683.62</v>
      </c>
      <c r="R192" s="475">
        <v>10024.11</v>
      </c>
      <c r="S192" s="475">
        <v>9.0399999999999991</v>
      </c>
      <c r="T192" s="475">
        <v>35985</v>
      </c>
      <c r="U192" s="475">
        <v>69</v>
      </c>
      <c r="V192" s="475">
        <v>256.12</v>
      </c>
      <c r="W192" s="475">
        <v>0.15</v>
      </c>
      <c r="X192" s="475">
        <v>6593.23</v>
      </c>
      <c r="Y192" s="475">
        <v>0</v>
      </c>
      <c r="Z192" s="475">
        <v>54159</v>
      </c>
      <c r="AA192" s="338">
        <v>79</v>
      </c>
      <c r="AB192" s="475"/>
      <c r="AC192" s="476"/>
      <c r="AD192" s="475"/>
      <c r="AE192" s="338"/>
      <c r="AF192" s="505"/>
      <c r="AG192" s="476"/>
      <c r="AH192" s="505"/>
      <c r="AI192" s="476"/>
      <c r="AJ192" s="505"/>
      <c r="AK192" s="476"/>
    </row>
    <row r="193" spans="1:37">
      <c r="A193" s="492">
        <f t="shared" si="11"/>
        <v>45655</v>
      </c>
      <c r="B193" s="102" t="s">
        <v>1197</v>
      </c>
      <c r="C193" s="110" t="str">
        <f t="shared" si="10"/>
        <v>45655 1200H</v>
      </c>
      <c r="D193" s="471">
        <v>1044.8699999999999</v>
      </c>
      <c r="E193" s="472">
        <v>49.67</v>
      </c>
      <c r="F193" s="471">
        <v>1108.67</v>
      </c>
      <c r="G193" s="472">
        <v>6.2</v>
      </c>
      <c r="H193" s="471">
        <v>73947.149999999994</v>
      </c>
      <c r="I193" s="473">
        <v>900.69</v>
      </c>
      <c r="J193" s="473">
        <v>33082.58</v>
      </c>
      <c r="K193" s="472">
        <v>103.74</v>
      </c>
      <c r="L193" s="471">
        <v>5681.01</v>
      </c>
      <c r="M193" s="473">
        <v>15.78</v>
      </c>
      <c r="N193" s="473">
        <v>33045.4</v>
      </c>
      <c r="O193" s="473">
        <v>28.9</v>
      </c>
      <c r="P193" s="473">
        <v>617.65</v>
      </c>
      <c r="Q193" s="473">
        <v>684.46</v>
      </c>
      <c r="R193" s="473">
        <v>10026.620000000001</v>
      </c>
      <c r="S193" s="473">
        <v>9.0399999999999991</v>
      </c>
      <c r="T193" s="473">
        <v>35990</v>
      </c>
      <c r="U193" s="473">
        <v>69</v>
      </c>
      <c r="V193" s="473">
        <v>256.12</v>
      </c>
      <c r="W193" s="473">
        <v>0.15</v>
      </c>
      <c r="X193" s="473">
        <v>6598.6</v>
      </c>
      <c r="Y193" s="473">
        <v>0</v>
      </c>
      <c r="Z193" s="473">
        <v>54159</v>
      </c>
      <c r="AA193" s="472">
        <v>79</v>
      </c>
      <c r="AB193" s="473"/>
      <c r="AC193" s="474"/>
      <c r="AD193" s="473"/>
      <c r="AE193" s="472"/>
      <c r="AF193" s="506"/>
      <c r="AG193" s="474"/>
      <c r="AH193" s="506"/>
      <c r="AI193" s="474"/>
      <c r="AJ193" s="506"/>
      <c r="AK193" s="474"/>
    </row>
    <row r="194" spans="1:37">
      <c r="A194" s="492">
        <f t="shared" si="11"/>
        <v>45656</v>
      </c>
      <c r="B194" s="102" t="s">
        <v>3267</v>
      </c>
      <c r="C194" s="110" t="str">
        <f t="shared" si="10"/>
        <v>45656 0000H</v>
      </c>
      <c r="D194" s="337">
        <v>1048.21</v>
      </c>
      <c r="E194" s="338">
        <v>49.67</v>
      </c>
      <c r="F194" s="337">
        <v>1108.67</v>
      </c>
      <c r="G194" s="338">
        <v>6.2</v>
      </c>
      <c r="H194" s="337">
        <v>73957.41</v>
      </c>
      <c r="I194" s="475">
        <v>900.69</v>
      </c>
      <c r="J194" s="475">
        <v>33086.239999999998</v>
      </c>
      <c r="K194" s="338">
        <v>103.74</v>
      </c>
      <c r="L194" s="337">
        <v>5686.24</v>
      </c>
      <c r="M194" s="475">
        <v>15.78</v>
      </c>
      <c r="N194" s="475">
        <v>33086.239999999998</v>
      </c>
      <c r="O194" s="475">
        <v>28.9</v>
      </c>
      <c r="P194" s="475">
        <v>617.92999999999995</v>
      </c>
      <c r="Q194" s="475">
        <v>685.2</v>
      </c>
      <c r="R194" s="475">
        <v>10030.950000000001</v>
      </c>
      <c r="S194" s="475">
        <v>9.0399999999999991</v>
      </c>
      <c r="T194" s="475">
        <v>35997</v>
      </c>
      <c r="U194" s="475">
        <v>69</v>
      </c>
      <c r="V194" s="475">
        <v>256.12</v>
      </c>
      <c r="W194" s="475">
        <v>0.15</v>
      </c>
      <c r="X194" s="475">
        <v>6605.22</v>
      </c>
      <c r="Y194" s="475">
        <v>0</v>
      </c>
      <c r="Z194" s="475">
        <v>54159</v>
      </c>
      <c r="AA194" s="338">
        <v>79</v>
      </c>
      <c r="AB194" s="475"/>
      <c r="AC194" s="476"/>
      <c r="AD194" s="475"/>
      <c r="AE194" s="338"/>
      <c r="AF194" s="505"/>
      <c r="AG194" s="476"/>
      <c r="AH194" s="505"/>
      <c r="AI194" s="476"/>
      <c r="AJ194" s="505"/>
      <c r="AK194" s="476"/>
    </row>
    <row r="195" spans="1:37">
      <c r="A195" s="492">
        <f t="shared" si="11"/>
        <v>45656</v>
      </c>
      <c r="B195" s="102" t="s">
        <v>1197</v>
      </c>
      <c r="C195" s="110" t="str">
        <f t="shared" si="10"/>
        <v>45656 1200H</v>
      </c>
      <c r="D195" s="471">
        <v>1051.29</v>
      </c>
      <c r="E195" s="472">
        <v>49.67</v>
      </c>
      <c r="F195" s="471">
        <v>1108.67</v>
      </c>
      <c r="G195" s="472">
        <v>6.2</v>
      </c>
      <c r="H195" s="471">
        <v>73962.58</v>
      </c>
      <c r="I195" s="473">
        <v>900.94</v>
      </c>
      <c r="J195" s="473">
        <v>33087</v>
      </c>
      <c r="K195" s="472">
        <v>103.78</v>
      </c>
      <c r="L195" s="471">
        <v>5692.45</v>
      </c>
      <c r="M195" s="473">
        <v>15.78</v>
      </c>
      <c r="N195" s="473">
        <v>33056.5</v>
      </c>
      <c r="O195" s="473">
        <v>28.9</v>
      </c>
      <c r="P195" s="473">
        <v>617.98</v>
      </c>
      <c r="Q195" s="473">
        <v>686.12</v>
      </c>
      <c r="R195" s="473">
        <v>10034.58</v>
      </c>
      <c r="S195" s="473">
        <v>9.0399999999999991</v>
      </c>
      <c r="T195" s="473">
        <v>36002</v>
      </c>
      <c r="U195" s="473">
        <v>69</v>
      </c>
      <c r="V195" s="473">
        <v>256.12</v>
      </c>
      <c r="W195" s="473">
        <v>0.15</v>
      </c>
      <c r="X195" s="473">
        <v>6610.74</v>
      </c>
      <c r="Y195" s="473">
        <v>0</v>
      </c>
      <c r="Z195" s="473">
        <v>54159</v>
      </c>
      <c r="AA195" s="472">
        <v>79</v>
      </c>
      <c r="AB195" s="473"/>
      <c r="AC195" s="474"/>
      <c r="AD195" s="473"/>
      <c r="AE195" s="472"/>
      <c r="AF195" s="506"/>
      <c r="AG195" s="474"/>
      <c r="AH195" s="506"/>
      <c r="AI195" s="474"/>
      <c r="AJ195" s="506"/>
      <c r="AK195" s="474"/>
    </row>
    <row r="196" spans="1:37">
      <c r="A196" s="492">
        <f t="shared" si="11"/>
        <v>45657</v>
      </c>
      <c r="B196" s="102" t="s">
        <v>3267</v>
      </c>
      <c r="C196" s="110" t="str">
        <f t="shared" si="10"/>
        <v>45657 0000H</v>
      </c>
      <c r="D196" s="337">
        <v>1055.69</v>
      </c>
      <c r="E196" s="338">
        <v>49.67</v>
      </c>
      <c r="F196" s="337">
        <v>1108.67</v>
      </c>
      <c r="G196" s="338">
        <v>6.2</v>
      </c>
      <c r="H196" s="337">
        <v>73972.899999999994</v>
      </c>
      <c r="I196" s="475">
        <v>900.94</v>
      </c>
      <c r="J196" s="475">
        <v>33088.19</v>
      </c>
      <c r="K196" s="338">
        <v>103.83</v>
      </c>
      <c r="L196" s="337">
        <v>5698.17</v>
      </c>
      <c r="M196" s="475">
        <v>15.78</v>
      </c>
      <c r="N196" s="475">
        <v>33063.699999999997</v>
      </c>
      <c r="O196" s="475">
        <v>28.9</v>
      </c>
      <c r="P196" s="475">
        <v>618.36</v>
      </c>
      <c r="Q196" s="475">
        <v>686.72</v>
      </c>
      <c r="R196" s="475">
        <v>10039.040000000001</v>
      </c>
      <c r="S196" s="475">
        <v>9.0399999999999991</v>
      </c>
      <c r="T196" s="475">
        <v>36009</v>
      </c>
      <c r="U196" s="475">
        <v>69</v>
      </c>
      <c r="V196" s="475">
        <v>256.12</v>
      </c>
      <c r="W196" s="475">
        <v>0.15</v>
      </c>
      <c r="X196" s="475">
        <v>6617.69</v>
      </c>
      <c r="Y196" s="475">
        <v>0</v>
      </c>
      <c r="Z196" s="475">
        <v>54159</v>
      </c>
      <c r="AA196" s="338">
        <v>79</v>
      </c>
      <c r="AB196" s="475"/>
      <c r="AC196" s="476"/>
      <c r="AD196" s="475"/>
      <c r="AE196" s="338"/>
      <c r="AF196" s="505"/>
      <c r="AG196" s="476"/>
      <c r="AH196" s="505"/>
      <c r="AI196" s="476"/>
      <c r="AJ196" s="505"/>
      <c r="AK196" s="476"/>
    </row>
    <row r="197" spans="1:37">
      <c r="A197" s="492">
        <f t="shared" si="11"/>
        <v>45657</v>
      </c>
      <c r="B197" s="102" t="s">
        <v>1197</v>
      </c>
      <c r="C197" s="110" t="str">
        <f t="shared" si="10"/>
        <v>45657 1200H</v>
      </c>
      <c r="D197" s="471">
        <v>1058.8</v>
      </c>
      <c r="E197" s="472">
        <v>49.67</v>
      </c>
      <c r="F197" s="471">
        <v>1108.67</v>
      </c>
      <c r="G197" s="472">
        <v>6.2</v>
      </c>
      <c r="H197" s="471">
        <v>73982.710000000006</v>
      </c>
      <c r="I197" s="473">
        <v>900.94</v>
      </c>
      <c r="J197" s="473">
        <v>33088.97</v>
      </c>
      <c r="K197" s="472">
        <v>103.9</v>
      </c>
      <c r="L197" s="471">
        <v>5703.68</v>
      </c>
      <c r="M197" s="473">
        <v>15.78</v>
      </c>
      <c r="N197" s="473">
        <v>33068.300000000003</v>
      </c>
      <c r="O197" s="473">
        <v>28.9</v>
      </c>
      <c r="P197" s="473">
        <v>618.37</v>
      </c>
      <c r="Q197" s="473">
        <v>687.93</v>
      </c>
      <c r="R197" s="473">
        <v>10042.790000000001</v>
      </c>
      <c r="S197" s="473">
        <v>9.0399999999999991</v>
      </c>
      <c r="T197" s="473">
        <v>36015</v>
      </c>
      <c r="U197" s="473">
        <v>69</v>
      </c>
      <c r="V197" s="473">
        <v>256.12</v>
      </c>
      <c r="W197" s="473">
        <v>0.15</v>
      </c>
      <c r="X197" s="473">
        <v>6623.6</v>
      </c>
      <c r="Y197" s="473">
        <v>0</v>
      </c>
      <c r="Z197" s="473">
        <v>54159</v>
      </c>
      <c r="AA197" s="472">
        <v>79</v>
      </c>
      <c r="AB197" s="473"/>
      <c r="AC197" s="474"/>
      <c r="AD197" s="473"/>
      <c r="AE197" s="472"/>
      <c r="AF197" s="506"/>
      <c r="AG197" s="474"/>
      <c r="AH197" s="506"/>
      <c r="AI197" s="474"/>
      <c r="AJ197" s="506"/>
      <c r="AK197" s="474"/>
    </row>
    <row r="198" spans="1:37">
      <c r="A198" s="492">
        <f t="shared" si="11"/>
        <v>45658</v>
      </c>
      <c r="B198" s="102" t="s">
        <v>3267</v>
      </c>
      <c r="C198" s="110" t="str">
        <f t="shared" si="10"/>
        <v>45658 0000H</v>
      </c>
      <c r="D198" s="337">
        <v>1063.1199999999999</v>
      </c>
      <c r="E198" s="338">
        <v>49.67</v>
      </c>
      <c r="F198" s="337">
        <v>1108.67</v>
      </c>
      <c r="G198" s="338">
        <v>6.2</v>
      </c>
      <c r="H198" s="337">
        <v>73992.59</v>
      </c>
      <c r="I198" s="475">
        <v>900.94</v>
      </c>
      <c r="J198" s="475">
        <v>33090.400000000001</v>
      </c>
      <c r="K198" s="338">
        <v>103.96</v>
      </c>
      <c r="L198" s="337">
        <v>5709.37</v>
      </c>
      <c r="M198" s="475">
        <v>15.78</v>
      </c>
      <c r="N198" s="475">
        <v>33075.1</v>
      </c>
      <c r="O198" s="475">
        <v>28.9</v>
      </c>
      <c r="P198" s="475">
        <v>618.5</v>
      </c>
      <c r="Q198" s="475">
        <v>688.85</v>
      </c>
      <c r="R198" s="475">
        <v>10047.370000000001</v>
      </c>
      <c r="S198" s="475">
        <v>9.0399999999999991</v>
      </c>
      <c r="T198" s="475">
        <v>36023</v>
      </c>
      <c r="U198" s="475">
        <v>69</v>
      </c>
      <c r="V198" s="475">
        <v>256.12</v>
      </c>
      <c r="W198" s="475">
        <v>0.15</v>
      </c>
      <c r="X198" s="475">
        <v>6630.58</v>
      </c>
      <c r="Y198" s="475">
        <v>0</v>
      </c>
      <c r="Z198" s="475">
        <v>54159</v>
      </c>
      <c r="AA198" s="338">
        <v>79</v>
      </c>
      <c r="AB198" s="475"/>
      <c r="AC198" s="476"/>
      <c r="AD198" s="475"/>
      <c r="AE198" s="338"/>
      <c r="AF198" s="505"/>
      <c r="AG198" s="476"/>
      <c r="AH198" s="505"/>
      <c r="AI198" s="476"/>
      <c r="AJ198" s="505"/>
      <c r="AK198" s="476"/>
    </row>
    <row r="199" spans="1:37">
      <c r="A199" s="492">
        <f t="shared" si="11"/>
        <v>45658</v>
      </c>
      <c r="B199" s="102" t="s">
        <v>1197</v>
      </c>
      <c r="C199" s="110" t="str">
        <f t="shared" si="10"/>
        <v>45658 1200H</v>
      </c>
      <c r="D199" s="471">
        <v>1066.04</v>
      </c>
      <c r="E199" s="472">
        <v>49.67</v>
      </c>
      <c r="F199" s="471">
        <v>1108.67</v>
      </c>
      <c r="G199" s="472">
        <v>6.2</v>
      </c>
      <c r="H199" s="471">
        <v>73997.59</v>
      </c>
      <c r="I199" s="473">
        <v>901.18</v>
      </c>
      <c r="J199" s="473">
        <v>33090.730000000003</v>
      </c>
      <c r="K199" s="472">
        <v>104.01</v>
      </c>
      <c r="L199" s="471">
        <v>5715.03</v>
      </c>
      <c r="M199" s="473">
        <v>15.78</v>
      </c>
      <c r="N199" s="473">
        <v>33080.6</v>
      </c>
      <c r="O199" s="473">
        <v>28.9</v>
      </c>
      <c r="P199" s="473">
        <v>618.5</v>
      </c>
      <c r="Q199" s="473">
        <v>690.33</v>
      </c>
      <c r="R199" s="473">
        <v>10051.18</v>
      </c>
      <c r="S199" s="473">
        <v>9.0399999999999991</v>
      </c>
      <c r="T199" s="473">
        <v>36029.69</v>
      </c>
      <c r="U199" s="473">
        <v>69</v>
      </c>
      <c r="V199" s="473">
        <v>256.12</v>
      </c>
      <c r="W199" s="473">
        <v>0.15</v>
      </c>
      <c r="X199" s="473">
        <v>6636.53</v>
      </c>
      <c r="Y199" s="473">
        <v>0</v>
      </c>
      <c r="Z199" s="473">
        <v>54159</v>
      </c>
      <c r="AA199" s="472">
        <v>79</v>
      </c>
      <c r="AB199" s="473"/>
      <c r="AC199" s="474"/>
      <c r="AD199" s="473"/>
      <c r="AE199" s="472"/>
      <c r="AF199" s="506"/>
      <c r="AG199" s="474"/>
      <c r="AH199" s="506"/>
      <c r="AI199" s="474"/>
      <c r="AJ199" s="506"/>
      <c r="AK199" s="474"/>
    </row>
    <row r="200" spans="1:37">
      <c r="A200" s="492">
        <f t="shared" si="11"/>
        <v>45659</v>
      </c>
      <c r="B200" s="102" t="s">
        <v>3267</v>
      </c>
      <c r="C200" s="110" t="str">
        <f t="shared" si="10"/>
        <v>45659 0000H</v>
      </c>
      <c r="D200" s="337">
        <v>1069.3800000000001</v>
      </c>
      <c r="E200" s="338">
        <v>49.67</v>
      </c>
      <c r="F200" s="337">
        <v>1108.67</v>
      </c>
      <c r="G200" s="338">
        <v>6.2</v>
      </c>
      <c r="H200" s="337">
        <v>74005.149999999994</v>
      </c>
      <c r="I200" s="475">
        <v>901.26</v>
      </c>
      <c r="J200" s="475">
        <v>33091.699999999997</v>
      </c>
      <c r="K200" s="338">
        <v>104.08</v>
      </c>
      <c r="L200" s="337">
        <v>5720.05</v>
      </c>
      <c r="M200" s="475">
        <v>15.78</v>
      </c>
      <c r="N200" s="475">
        <v>33086.300000000003</v>
      </c>
      <c r="O200" s="475">
        <v>28.9</v>
      </c>
      <c r="P200" s="475">
        <v>619.14</v>
      </c>
      <c r="Q200" s="475">
        <v>691.07</v>
      </c>
      <c r="R200" s="475">
        <v>10055.459999999999</v>
      </c>
      <c r="S200" s="475">
        <v>9.0399999999999991</v>
      </c>
      <c r="T200" s="475">
        <v>36036</v>
      </c>
      <c r="U200" s="475">
        <v>69</v>
      </c>
      <c r="V200" s="475">
        <v>256.12</v>
      </c>
      <c r="W200" s="475">
        <v>0.15</v>
      </c>
      <c r="X200" s="475">
        <v>6641.62</v>
      </c>
      <c r="Y200" s="475">
        <v>0</v>
      </c>
      <c r="Z200" s="475">
        <v>54159</v>
      </c>
      <c r="AA200" s="338">
        <v>79</v>
      </c>
      <c r="AB200" s="475"/>
      <c r="AC200" s="476"/>
      <c r="AD200" s="475"/>
      <c r="AE200" s="338"/>
      <c r="AF200" s="505"/>
      <c r="AG200" s="476"/>
      <c r="AH200" s="505"/>
      <c r="AI200" s="476"/>
      <c r="AJ200" s="505"/>
      <c r="AK200" s="476"/>
    </row>
    <row r="201" spans="1:37">
      <c r="A201" s="492">
        <f t="shared" si="11"/>
        <v>45659</v>
      </c>
      <c r="B201" s="102" t="s">
        <v>1197</v>
      </c>
      <c r="C201" s="110" t="str">
        <f t="shared" si="10"/>
        <v>45659 1200H</v>
      </c>
      <c r="D201" s="471">
        <v>1072.8499999999999</v>
      </c>
      <c r="E201" s="472">
        <v>49.67</v>
      </c>
      <c r="F201" s="471">
        <v>1108.67</v>
      </c>
      <c r="G201" s="472">
        <v>6.2</v>
      </c>
      <c r="H201" s="471">
        <v>74015.39</v>
      </c>
      <c r="I201" s="473">
        <v>901.26</v>
      </c>
      <c r="J201" s="473">
        <v>33093.129999999997</v>
      </c>
      <c r="K201" s="472">
        <v>104.12</v>
      </c>
      <c r="L201" s="471">
        <v>5726.6</v>
      </c>
      <c r="M201" s="473">
        <v>15.78</v>
      </c>
      <c r="N201" s="473">
        <v>33089</v>
      </c>
      <c r="O201" s="473">
        <v>29</v>
      </c>
      <c r="P201" s="473">
        <v>619.27</v>
      </c>
      <c r="Q201" s="473">
        <v>692.13</v>
      </c>
      <c r="R201" s="473">
        <v>10059.15</v>
      </c>
      <c r="S201" s="473">
        <v>9.0399999999999991</v>
      </c>
      <c r="T201" s="473">
        <v>36042</v>
      </c>
      <c r="U201" s="473">
        <v>69</v>
      </c>
      <c r="V201" s="473">
        <v>256.12</v>
      </c>
      <c r="W201" s="473">
        <v>0.15</v>
      </c>
      <c r="X201" s="473">
        <v>6646.62</v>
      </c>
      <c r="Y201" s="473">
        <v>0</v>
      </c>
      <c r="Z201" s="473">
        <v>54159</v>
      </c>
      <c r="AA201" s="472">
        <v>79</v>
      </c>
      <c r="AB201" s="473"/>
      <c r="AC201" s="474"/>
      <c r="AD201" s="473"/>
      <c r="AE201" s="472"/>
      <c r="AF201" s="506"/>
      <c r="AG201" s="474"/>
      <c r="AH201" s="506"/>
      <c r="AI201" s="474"/>
      <c r="AJ201" s="506"/>
      <c r="AK201" s="474"/>
    </row>
    <row r="202" spans="1:37">
      <c r="A202" s="492">
        <f t="shared" si="11"/>
        <v>45660</v>
      </c>
      <c r="B202" s="102" t="s">
        <v>3267</v>
      </c>
      <c r="C202" s="110" t="str">
        <f t="shared" si="10"/>
        <v>45660 0000H</v>
      </c>
      <c r="D202" s="337">
        <v>1077.3699999999999</v>
      </c>
      <c r="E202" s="338">
        <v>49.67</v>
      </c>
      <c r="F202" s="337">
        <v>1108.67</v>
      </c>
      <c r="G202" s="338">
        <v>6.2</v>
      </c>
      <c r="H202" s="337">
        <v>74025.509999999995</v>
      </c>
      <c r="I202" s="475">
        <v>901.26</v>
      </c>
      <c r="J202" s="475">
        <v>33096.800000000003</v>
      </c>
      <c r="K202" s="338">
        <v>104.12</v>
      </c>
      <c r="L202" s="337">
        <v>5732.57</v>
      </c>
      <c r="M202" s="475">
        <v>15.78</v>
      </c>
      <c r="N202" s="475">
        <v>33096.1</v>
      </c>
      <c r="O202" s="475">
        <v>29</v>
      </c>
      <c r="P202" s="475">
        <v>619.37</v>
      </c>
      <c r="Q202" s="475">
        <v>693.03</v>
      </c>
      <c r="R202" s="475">
        <v>10063.75</v>
      </c>
      <c r="S202" s="475">
        <v>9.0399999999999991</v>
      </c>
      <c r="T202" s="475">
        <v>36050</v>
      </c>
      <c r="U202" s="475">
        <v>69</v>
      </c>
      <c r="V202" s="475">
        <v>256.12</v>
      </c>
      <c r="W202" s="475">
        <v>0.15</v>
      </c>
      <c r="X202" s="475">
        <v>6653.81</v>
      </c>
      <c r="Y202" s="475">
        <v>0</v>
      </c>
      <c r="Z202" s="475">
        <v>54159</v>
      </c>
      <c r="AA202" s="338">
        <v>79</v>
      </c>
      <c r="AB202" s="475"/>
      <c r="AC202" s="476"/>
      <c r="AD202" s="475"/>
      <c r="AE202" s="338"/>
      <c r="AF202" s="505"/>
      <c r="AG202" s="476"/>
      <c r="AH202" s="505"/>
      <c r="AI202" s="476"/>
      <c r="AJ202" s="505"/>
      <c r="AK202" s="476"/>
    </row>
    <row r="203" spans="1:37">
      <c r="A203" s="492">
        <f t="shared" si="11"/>
        <v>45660</v>
      </c>
      <c r="B203" s="102" t="s">
        <v>1197</v>
      </c>
      <c r="C203" s="110" t="str">
        <f t="shared" si="10"/>
        <v>45660 1200H</v>
      </c>
      <c r="D203" s="471">
        <v>1080.8399999999999</v>
      </c>
      <c r="E203" s="472">
        <v>49.67</v>
      </c>
      <c r="F203" s="471">
        <v>1108.67</v>
      </c>
      <c r="G203" s="472">
        <v>6.2</v>
      </c>
      <c r="H203" s="471">
        <v>74035.539999999994</v>
      </c>
      <c r="I203" s="473">
        <v>901.26</v>
      </c>
      <c r="J203" s="473">
        <v>33097.919999999998</v>
      </c>
      <c r="K203" s="472">
        <v>104.117</v>
      </c>
      <c r="L203" s="471">
        <v>5738.25</v>
      </c>
      <c r="M203" s="473">
        <v>15.78</v>
      </c>
      <c r="N203" s="473">
        <v>33099.1</v>
      </c>
      <c r="O203" s="473">
        <v>29</v>
      </c>
      <c r="P203" s="473">
        <v>619.54999999999995</v>
      </c>
      <c r="Q203" s="473">
        <v>693.9</v>
      </c>
      <c r="R203" s="473">
        <v>10067.56</v>
      </c>
      <c r="S203" s="473">
        <v>9.0399999999999991</v>
      </c>
      <c r="T203" s="473">
        <v>36075</v>
      </c>
      <c r="U203" s="473">
        <v>69</v>
      </c>
      <c r="V203" s="473">
        <v>256.12</v>
      </c>
      <c r="W203" s="473">
        <v>0.15</v>
      </c>
      <c r="X203" s="473">
        <v>6659.09</v>
      </c>
      <c r="Y203" s="473">
        <v>0</v>
      </c>
      <c r="Z203" s="473">
        <v>54159</v>
      </c>
      <c r="AA203" s="472">
        <v>79</v>
      </c>
      <c r="AB203" s="473"/>
      <c r="AC203" s="474"/>
      <c r="AD203" s="473"/>
      <c r="AE203" s="472"/>
      <c r="AF203" s="506"/>
      <c r="AG203" s="474"/>
      <c r="AH203" s="506"/>
      <c r="AI203" s="474"/>
      <c r="AJ203" s="506"/>
      <c r="AK203" s="474"/>
    </row>
    <row r="204" spans="1:37">
      <c r="A204" s="492">
        <f t="shared" si="11"/>
        <v>45661</v>
      </c>
      <c r="B204" s="102" t="s">
        <v>3267</v>
      </c>
      <c r="C204" s="110" t="str">
        <f t="shared" si="10"/>
        <v>45661 0000H</v>
      </c>
      <c r="D204" s="337">
        <v>1085.4100000000001</v>
      </c>
      <c r="E204" s="338">
        <v>49.67</v>
      </c>
      <c r="F204" s="337">
        <v>1108.67</v>
      </c>
      <c r="G204" s="338">
        <v>6.2</v>
      </c>
      <c r="H204" s="337">
        <v>74048.100000000006</v>
      </c>
      <c r="I204" s="475">
        <v>901.26</v>
      </c>
      <c r="J204" s="475">
        <v>33101.57</v>
      </c>
      <c r="K204" s="338">
        <v>104.17</v>
      </c>
      <c r="L204" s="337">
        <v>5744.04</v>
      </c>
      <c r="M204" s="475">
        <v>15.78</v>
      </c>
      <c r="N204" s="475">
        <v>33106.300000000003</v>
      </c>
      <c r="O204" s="475">
        <v>29</v>
      </c>
      <c r="P204" s="475">
        <v>620.34</v>
      </c>
      <c r="Q204" s="475">
        <v>694.46</v>
      </c>
      <c r="R204" s="475">
        <v>10072.120000000001</v>
      </c>
      <c r="S204" s="475">
        <v>9.0399999999999991</v>
      </c>
      <c r="T204" s="475">
        <v>36064</v>
      </c>
      <c r="U204" s="475">
        <v>69</v>
      </c>
      <c r="V204" s="475">
        <v>256.12</v>
      </c>
      <c r="W204" s="475">
        <v>0.15</v>
      </c>
      <c r="X204" s="475">
        <v>6667.21</v>
      </c>
      <c r="Y204" s="475">
        <v>0</v>
      </c>
      <c r="Z204" s="475">
        <v>54159</v>
      </c>
      <c r="AA204" s="338">
        <v>79</v>
      </c>
      <c r="AB204" s="475"/>
      <c r="AC204" s="476"/>
      <c r="AD204" s="475"/>
      <c r="AE204" s="338"/>
      <c r="AF204" s="505"/>
      <c r="AG204" s="476"/>
      <c r="AH204" s="505"/>
      <c r="AI204" s="476"/>
      <c r="AJ204" s="505"/>
      <c r="AK204" s="476"/>
    </row>
    <row r="205" spans="1:37">
      <c r="A205" s="492">
        <f t="shared" si="11"/>
        <v>45661</v>
      </c>
      <c r="B205" s="102" t="s">
        <v>1197</v>
      </c>
      <c r="C205" s="110" t="str">
        <f t="shared" si="10"/>
        <v>45661 1200H</v>
      </c>
      <c r="D205" s="471">
        <v>1088.96</v>
      </c>
      <c r="E205" s="472">
        <v>49.67</v>
      </c>
      <c r="F205" s="471">
        <v>1108.67</v>
      </c>
      <c r="G205" s="472">
        <v>6.2</v>
      </c>
      <c r="H205" s="471">
        <v>74048.97</v>
      </c>
      <c r="I205" s="473">
        <v>901.51</v>
      </c>
      <c r="J205" s="473">
        <v>33105.33</v>
      </c>
      <c r="K205" s="472">
        <v>104.17</v>
      </c>
      <c r="L205" s="471">
        <v>5749.71</v>
      </c>
      <c r="M205" s="473">
        <v>15.78</v>
      </c>
      <c r="N205" s="473">
        <v>33109.5</v>
      </c>
      <c r="O205" s="473">
        <v>29</v>
      </c>
      <c r="P205" s="473">
        <v>620.38</v>
      </c>
      <c r="Q205" s="473">
        <v>695.3</v>
      </c>
      <c r="R205" s="473">
        <v>10075.82</v>
      </c>
      <c r="S205" s="473">
        <v>9.0399999999999991</v>
      </c>
      <c r="T205" s="473">
        <v>36071</v>
      </c>
      <c r="U205" s="473">
        <v>69</v>
      </c>
      <c r="V205" s="473">
        <v>256.12</v>
      </c>
      <c r="W205" s="473">
        <v>0.15</v>
      </c>
      <c r="X205" s="473">
        <v>6672.91</v>
      </c>
      <c r="Y205" s="473">
        <v>0</v>
      </c>
      <c r="Z205" s="473">
        <v>54159</v>
      </c>
      <c r="AA205" s="472">
        <v>79</v>
      </c>
      <c r="AB205" s="473"/>
      <c r="AC205" s="474"/>
      <c r="AD205" s="473"/>
      <c r="AE205" s="472"/>
      <c r="AF205" s="506"/>
      <c r="AG205" s="474"/>
      <c r="AH205" s="506"/>
      <c r="AI205" s="474"/>
      <c r="AJ205" s="506"/>
      <c r="AK205" s="474"/>
    </row>
    <row r="206" spans="1:37">
      <c r="A206" s="492">
        <f t="shared" si="11"/>
        <v>45662</v>
      </c>
      <c r="B206" s="102" t="s">
        <v>3267</v>
      </c>
      <c r="C206" s="110" t="str">
        <f t="shared" si="10"/>
        <v>45662 0000H</v>
      </c>
      <c r="D206" s="337">
        <v>1093.46</v>
      </c>
      <c r="E206" s="338">
        <v>49.67</v>
      </c>
      <c r="F206" s="337">
        <v>1108.67</v>
      </c>
      <c r="G206" s="338">
        <v>6.2</v>
      </c>
      <c r="H206" s="337">
        <v>74059.19</v>
      </c>
      <c r="I206" s="475">
        <v>901.59</v>
      </c>
      <c r="J206" s="475">
        <v>33109.050000000003</v>
      </c>
      <c r="K206" s="338">
        <v>104.17</v>
      </c>
      <c r="L206" s="337">
        <v>5755.39</v>
      </c>
      <c r="M206" s="475">
        <v>15.78</v>
      </c>
      <c r="N206" s="475">
        <v>33116.9</v>
      </c>
      <c r="O206" s="475">
        <v>29</v>
      </c>
      <c r="P206" s="475">
        <v>620.49</v>
      </c>
      <c r="Q206" s="475">
        <v>696.15</v>
      </c>
      <c r="R206" s="475">
        <v>10080.42</v>
      </c>
      <c r="S206" s="475">
        <v>9.0399999999999991</v>
      </c>
      <c r="T206" s="475">
        <v>36078</v>
      </c>
      <c r="U206" s="475">
        <v>69</v>
      </c>
      <c r="V206" s="475">
        <v>256.12</v>
      </c>
      <c r="W206" s="475">
        <v>0.15</v>
      </c>
      <c r="X206" s="475">
        <v>6680.38</v>
      </c>
      <c r="Y206" s="475">
        <v>0</v>
      </c>
      <c r="Z206" s="475">
        <v>54159</v>
      </c>
      <c r="AA206" s="338">
        <v>79</v>
      </c>
      <c r="AB206" s="475"/>
      <c r="AC206" s="476"/>
      <c r="AD206" s="475"/>
      <c r="AE206" s="338"/>
      <c r="AF206" s="505"/>
      <c r="AG206" s="476"/>
      <c r="AH206" s="505"/>
      <c r="AI206" s="476"/>
      <c r="AJ206" s="505"/>
      <c r="AK206" s="476"/>
    </row>
    <row r="207" spans="1:37">
      <c r="A207" s="492">
        <f t="shared" si="11"/>
        <v>45662</v>
      </c>
      <c r="B207" s="102" t="s">
        <v>1197</v>
      </c>
      <c r="C207" s="110" t="str">
        <f t="shared" si="10"/>
        <v>45662 1200H</v>
      </c>
      <c r="D207" s="471">
        <v>1096.8800000000001</v>
      </c>
      <c r="E207" s="472">
        <v>49.67</v>
      </c>
      <c r="F207" s="471">
        <v>1108.67</v>
      </c>
      <c r="G207" s="472">
        <v>6.2</v>
      </c>
      <c r="H207" s="471">
        <v>74061.97</v>
      </c>
      <c r="I207" s="473">
        <v>901.94</v>
      </c>
      <c r="J207" s="473">
        <v>33112.86</v>
      </c>
      <c r="K207" s="472">
        <v>104.17</v>
      </c>
      <c r="L207" s="471">
        <v>5761.05</v>
      </c>
      <c r="M207" s="473">
        <v>15.78</v>
      </c>
      <c r="N207" s="473">
        <v>33121.4</v>
      </c>
      <c r="O207" s="473">
        <v>29</v>
      </c>
      <c r="P207" s="473">
        <v>620.5</v>
      </c>
      <c r="Q207" s="473">
        <v>697.3</v>
      </c>
      <c r="R207" s="473">
        <v>10084.200000000001</v>
      </c>
      <c r="S207" s="473">
        <v>9.0399999999999991</v>
      </c>
      <c r="T207" s="473">
        <v>36083</v>
      </c>
      <c r="U207" s="473">
        <v>69</v>
      </c>
      <c r="V207" s="473">
        <v>256.12</v>
      </c>
      <c r="W207" s="473">
        <v>0.15</v>
      </c>
      <c r="X207" s="473">
        <v>6685.53</v>
      </c>
      <c r="Y207" s="473">
        <v>0</v>
      </c>
      <c r="Z207" s="473">
        <v>54159</v>
      </c>
      <c r="AA207" s="472">
        <v>79</v>
      </c>
      <c r="AB207" s="473"/>
      <c r="AC207" s="474"/>
      <c r="AD207" s="473"/>
      <c r="AE207" s="472"/>
      <c r="AF207" s="506"/>
      <c r="AG207" s="474"/>
      <c r="AH207" s="506"/>
      <c r="AI207" s="474"/>
      <c r="AJ207" s="506"/>
      <c r="AK207" s="474"/>
    </row>
    <row r="208" spans="1:37">
      <c r="A208" s="492">
        <f t="shared" si="11"/>
        <v>45663</v>
      </c>
      <c r="B208" s="102" t="s">
        <v>3267</v>
      </c>
      <c r="C208" s="110" t="str">
        <f t="shared" si="10"/>
        <v>45663 0000H</v>
      </c>
      <c r="D208" s="337">
        <v>1101.2</v>
      </c>
      <c r="E208" s="338">
        <v>49.67</v>
      </c>
      <c r="F208" s="337">
        <v>1108.67</v>
      </c>
      <c r="G208" s="338">
        <v>6.2</v>
      </c>
      <c r="H208" s="337">
        <v>74066.94</v>
      </c>
      <c r="I208" s="475">
        <v>902.1</v>
      </c>
      <c r="J208" s="475">
        <v>33116.620000000003</v>
      </c>
      <c r="K208" s="338">
        <v>104.17</v>
      </c>
      <c r="L208" s="337">
        <v>5766.62</v>
      </c>
      <c r="M208" s="475">
        <v>15.78</v>
      </c>
      <c r="N208" s="475">
        <v>33128.1</v>
      </c>
      <c r="O208" s="475">
        <v>29</v>
      </c>
      <c r="P208" s="475">
        <v>620.5</v>
      </c>
      <c r="Q208" s="475">
        <v>699.02</v>
      </c>
      <c r="R208" s="475">
        <v>10088.69</v>
      </c>
      <c r="S208" s="475">
        <v>9.0399999999999991</v>
      </c>
      <c r="T208" s="475">
        <v>36090</v>
      </c>
      <c r="U208" s="475">
        <v>69</v>
      </c>
      <c r="V208" s="475">
        <v>256.12</v>
      </c>
      <c r="W208" s="475">
        <v>0.15</v>
      </c>
      <c r="X208" s="475">
        <v>6690.26</v>
      </c>
      <c r="Y208" s="475">
        <v>0</v>
      </c>
      <c r="Z208" s="475">
        <v>54159</v>
      </c>
      <c r="AA208" s="338">
        <v>79</v>
      </c>
      <c r="AB208" s="475"/>
      <c r="AC208" s="476"/>
      <c r="AD208" s="475"/>
      <c r="AE208" s="338"/>
      <c r="AF208" s="505"/>
      <c r="AG208" s="476"/>
      <c r="AH208" s="505"/>
      <c r="AI208" s="476"/>
      <c r="AJ208" s="505"/>
      <c r="AK208" s="476"/>
    </row>
    <row r="209" spans="1:37">
      <c r="A209" s="492">
        <f t="shared" si="11"/>
        <v>45663</v>
      </c>
      <c r="B209" s="102" t="s">
        <v>1197</v>
      </c>
      <c r="C209" s="110" t="str">
        <f t="shared" si="10"/>
        <v>45663 1200H</v>
      </c>
      <c r="D209" s="471">
        <v>1104.8800000000001</v>
      </c>
      <c r="E209" s="472">
        <v>49.67</v>
      </c>
      <c r="F209" s="471">
        <v>1108.67</v>
      </c>
      <c r="G209" s="472">
        <v>6.2</v>
      </c>
      <c r="H209" s="471">
        <v>74070.67</v>
      </c>
      <c r="I209" s="473">
        <v>902.4</v>
      </c>
      <c r="J209" s="473">
        <v>33120.199999999997</v>
      </c>
      <c r="K209" s="472">
        <v>104.17</v>
      </c>
      <c r="L209" s="471">
        <v>5772.22</v>
      </c>
      <c r="M209" s="473">
        <v>15.78</v>
      </c>
      <c r="N209" s="473">
        <v>33132.300000000003</v>
      </c>
      <c r="O209" s="473">
        <v>29</v>
      </c>
      <c r="P209" s="473">
        <v>620.83000000000004</v>
      </c>
      <c r="Q209" s="473">
        <v>699.89</v>
      </c>
      <c r="R209" s="473">
        <v>10092.34</v>
      </c>
      <c r="S209" s="473">
        <v>9.0399999999999991</v>
      </c>
      <c r="T209" s="473">
        <v>36096</v>
      </c>
      <c r="U209" s="473">
        <v>69</v>
      </c>
      <c r="V209" s="473">
        <v>256.12</v>
      </c>
      <c r="W209" s="473">
        <v>0.15</v>
      </c>
      <c r="X209" s="473">
        <v>6696.29</v>
      </c>
      <c r="Y209" s="473">
        <v>0</v>
      </c>
      <c r="Z209" s="473">
        <v>54159</v>
      </c>
      <c r="AA209" s="472">
        <v>79</v>
      </c>
      <c r="AB209" s="473"/>
      <c r="AC209" s="474"/>
      <c r="AD209" s="473"/>
      <c r="AE209" s="472"/>
      <c r="AF209" s="506"/>
      <c r="AG209" s="474"/>
      <c r="AH209" s="506"/>
      <c r="AI209" s="474"/>
      <c r="AJ209" s="506"/>
      <c r="AK209" s="474"/>
    </row>
    <row r="210" spans="1:37">
      <c r="A210" s="492">
        <f t="shared" si="11"/>
        <v>45664</v>
      </c>
      <c r="B210" s="102" t="s">
        <v>3267</v>
      </c>
      <c r="C210" s="110" t="str">
        <f t="shared" si="10"/>
        <v>45664 0000H</v>
      </c>
      <c r="D210" s="337">
        <v>1110.25</v>
      </c>
      <c r="E210" s="338">
        <v>49.67</v>
      </c>
      <c r="F210" s="337">
        <v>1108.67</v>
      </c>
      <c r="G210" s="338">
        <v>6.2</v>
      </c>
      <c r="H210" s="337">
        <v>74079.929999999993</v>
      </c>
      <c r="I210" s="475">
        <v>902.4</v>
      </c>
      <c r="J210" s="475">
        <v>33123.980000000003</v>
      </c>
      <c r="K210" s="338">
        <v>104.17</v>
      </c>
      <c r="L210" s="337">
        <v>5777.9</v>
      </c>
      <c r="M210" s="475">
        <v>15.78</v>
      </c>
      <c r="N210" s="475">
        <v>33135.800000000003</v>
      </c>
      <c r="O210" s="475">
        <v>29</v>
      </c>
      <c r="P210" s="475">
        <v>620.87</v>
      </c>
      <c r="Q210" s="475">
        <v>701.16</v>
      </c>
      <c r="R210" s="475">
        <v>10096.84</v>
      </c>
      <c r="S210" s="475">
        <v>9.0399999999999991</v>
      </c>
      <c r="T210" s="475">
        <v>36103</v>
      </c>
      <c r="U210" s="475">
        <v>69</v>
      </c>
      <c r="V210" s="475">
        <v>256.12</v>
      </c>
      <c r="W210" s="475">
        <v>0.15</v>
      </c>
      <c r="X210" s="475">
        <v>6703.51</v>
      </c>
      <c r="Y210" s="475">
        <v>0</v>
      </c>
      <c r="Z210" s="475">
        <v>54159</v>
      </c>
      <c r="AA210" s="338">
        <v>79</v>
      </c>
      <c r="AB210" s="475"/>
      <c r="AC210" s="476"/>
      <c r="AD210" s="475"/>
      <c r="AE210" s="338"/>
      <c r="AF210" s="505"/>
      <c r="AG210" s="476"/>
      <c r="AH210" s="505"/>
      <c r="AI210" s="476"/>
      <c r="AJ210" s="505"/>
      <c r="AK210" s="476"/>
    </row>
    <row r="211" spans="1:37">
      <c r="A211" s="492">
        <f t="shared" si="11"/>
        <v>45664</v>
      </c>
      <c r="B211" s="102" t="s">
        <v>1197</v>
      </c>
      <c r="C211" s="110" t="str">
        <f t="shared" si="10"/>
        <v>45664 1200H</v>
      </c>
      <c r="D211" s="471">
        <v>1114.02</v>
      </c>
      <c r="E211" s="472">
        <v>49.67</v>
      </c>
      <c r="F211" s="471">
        <v>1108.67</v>
      </c>
      <c r="G211" s="472">
        <v>6.2</v>
      </c>
      <c r="H211" s="471">
        <v>74089.56</v>
      </c>
      <c r="I211" s="473">
        <v>902.4</v>
      </c>
      <c r="J211" s="473">
        <v>33125.519999999997</v>
      </c>
      <c r="K211" s="472">
        <v>104.22</v>
      </c>
      <c r="L211" s="471">
        <v>5783.59</v>
      </c>
      <c r="M211" s="473">
        <v>15.78</v>
      </c>
      <c r="N211" s="473">
        <v>33143.1</v>
      </c>
      <c r="O211" s="473">
        <v>29.1</v>
      </c>
      <c r="P211" s="473">
        <v>621.29999999999995</v>
      </c>
      <c r="Q211" s="473">
        <v>702</v>
      </c>
      <c r="R211" s="473">
        <v>10100.56</v>
      </c>
      <c r="S211" s="473">
        <v>9.0399999999999991</v>
      </c>
      <c r="T211" s="473">
        <v>36109</v>
      </c>
      <c r="U211" s="473">
        <v>69</v>
      </c>
      <c r="V211" s="473">
        <v>256.12</v>
      </c>
      <c r="W211" s="473">
        <v>0.15</v>
      </c>
      <c r="X211" s="473">
        <v>6706.36</v>
      </c>
      <c r="Y211" s="473">
        <v>0</v>
      </c>
      <c r="Z211" s="473">
        <v>54159</v>
      </c>
      <c r="AA211" s="472">
        <v>79</v>
      </c>
      <c r="AB211" s="473"/>
      <c r="AC211" s="474"/>
      <c r="AD211" s="473"/>
      <c r="AE211" s="472"/>
      <c r="AF211" s="506"/>
      <c r="AG211" s="474"/>
      <c r="AH211" s="506"/>
      <c r="AI211" s="474"/>
      <c r="AJ211" s="506"/>
      <c r="AK211" s="474"/>
    </row>
    <row r="212" spans="1:37">
      <c r="A212" s="492">
        <f t="shared" si="11"/>
        <v>45665</v>
      </c>
      <c r="B212" s="102" t="s">
        <v>3267</v>
      </c>
      <c r="C212" s="110" t="str">
        <f t="shared" si="10"/>
        <v>45665 0000H</v>
      </c>
      <c r="D212" s="337">
        <v>1119.8</v>
      </c>
      <c r="E212" s="338">
        <v>49.67</v>
      </c>
      <c r="F212" s="337">
        <v>1108.67</v>
      </c>
      <c r="G212" s="338">
        <v>6.2</v>
      </c>
      <c r="H212" s="337">
        <v>74099</v>
      </c>
      <c r="I212" s="475">
        <v>902.4</v>
      </c>
      <c r="J212" s="475">
        <v>33127.949999999997</v>
      </c>
      <c r="K212" s="338">
        <v>104.25</v>
      </c>
      <c r="L212" s="337">
        <v>5788.95</v>
      </c>
      <c r="M212" s="475">
        <v>15.78</v>
      </c>
      <c r="N212" s="475">
        <v>33149.199999999997</v>
      </c>
      <c r="O212" s="475">
        <v>29.1</v>
      </c>
      <c r="P212" s="475">
        <v>621.29999999999995</v>
      </c>
      <c r="Q212" s="475">
        <v>703.71</v>
      </c>
      <c r="R212" s="475">
        <v>10104.92</v>
      </c>
      <c r="S212" s="475">
        <v>9.0399999999999991</v>
      </c>
      <c r="T212" s="475">
        <v>36117</v>
      </c>
      <c r="U212" s="475">
        <v>69</v>
      </c>
      <c r="V212" s="475">
        <v>256.12</v>
      </c>
      <c r="W212" s="475">
        <v>0.15</v>
      </c>
      <c r="X212" s="475">
        <v>6714.45</v>
      </c>
      <c r="Y212" s="475">
        <v>0</v>
      </c>
      <c r="Z212" s="475">
        <v>54159</v>
      </c>
      <c r="AA212" s="338">
        <v>79</v>
      </c>
      <c r="AB212" s="475"/>
      <c r="AC212" s="476"/>
      <c r="AD212" s="475"/>
      <c r="AE212" s="338"/>
      <c r="AF212" s="505"/>
      <c r="AG212" s="476"/>
      <c r="AH212" s="505"/>
      <c r="AI212" s="476"/>
      <c r="AJ212" s="505"/>
      <c r="AK212" s="476"/>
    </row>
    <row r="213" spans="1:37">
      <c r="A213" s="492">
        <f t="shared" si="11"/>
        <v>45665</v>
      </c>
      <c r="B213" s="102" t="s">
        <v>1197</v>
      </c>
      <c r="C213" s="110" t="str">
        <f t="shared" si="10"/>
        <v>45665 1200H</v>
      </c>
      <c r="D213" s="471">
        <v>1123.3699999999999</v>
      </c>
      <c r="E213" s="472">
        <v>49.67</v>
      </c>
      <c r="F213" s="471">
        <v>1108.67</v>
      </c>
      <c r="G213" s="472">
        <v>6.2</v>
      </c>
      <c r="H213" s="471">
        <v>74109.279999999999</v>
      </c>
      <c r="I213" s="473">
        <v>902.4</v>
      </c>
      <c r="J213" s="473">
        <v>33129.35</v>
      </c>
      <c r="K213" s="472">
        <v>104.3</v>
      </c>
      <c r="L213" s="471">
        <v>5794.66</v>
      </c>
      <c r="M213" s="473">
        <v>15.78</v>
      </c>
      <c r="N213" s="473">
        <v>33153</v>
      </c>
      <c r="O213" s="473">
        <v>29.1</v>
      </c>
      <c r="P213" s="473">
        <v>621.44000000000005</v>
      </c>
      <c r="Q213" s="473">
        <v>704.46</v>
      </c>
      <c r="R213" s="473">
        <v>10108.48</v>
      </c>
      <c r="S213" s="473">
        <v>9.0399999999999991</v>
      </c>
      <c r="T213" s="473">
        <v>36123</v>
      </c>
      <c r="U213" s="473">
        <v>69</v>
      </c>
      <c r="V213" s="473">
        <v>256.12</v>
      </c>
      <c r="W213" s="473">
        <v>0.15</v>
      </c>
      <c r="X213" s="473">
        <v>6719.31</v>
      </c>
      <c r="Y213" s="473">
        <v>0</v>
      </c>
      <c r="Z213" s="473">
        <v>54159</v>
      </c>
      <c r="AA213" s="472">
        <v>79</v>
      </c>
      <c r="AB213" s="473"/>
      <c r="AC213" s="474"/>
      <c r="AD213" s="473"/>
      <c r="AE213" s="472"/>
      <c r="AF213" s="506"/>
      <c r="AG213" s="474"/>
      <c r="AH213" s="506"/>
      <c r="AI213" s="474"/>
      <c r="AJ213" s="506"/>
      <c r="AK213" s="474"/>
    </row>
    <row r="214" spans="1:37">
      <c r="A214" s="492">
        <f t="shared" si="11"/>
        <v>45666</v>
      </c>
      <c r="B214" s="102" t="s">
        <v>3267</v>
      </c>
      <c r="C214" s="110" t="str">
        <f t="shared" si="10"/>
        <v>45666 0000H</v>
      </c>
      <c r="D214" s="337">
        <v>1127.79</v>
      </c>
      <c r="E214" s="338">
        <v>49.67</v>
      </c>
      <c r="F214" s="337">
        <v>1108.67</v>
      </c>
      <c r="G214" s="338">
        <v>6.2</v>
      </c>
      <c r="H214" s="337">
        <v>74119.259999999995</v>
      </c>
      <c r="I214" s="475">
        <v>902.4</v>
      </c>
      <c r="J214" s="475">
        <v>33133.1</v>
      </c>
      <c r="K214" s="338">
        <v>104.3</v>
      </c>
      <c r="L214" s="337">
        <v>5800.36</v>
      </c>
      <c r="M214" s="475">
        <v>15.78</v>
      </c>
      <c r="N214" s="475">
        <v>33160.400000000001</v>
      </c>
      <c r="O214" s="475">
        <v>29.1</v>
      </c>
      <c r="P214" s="475">
        <v>621.69000000000005</v>
      </c>
      <c r="Q214" s="475">
        <v>705.1</v>
      </c>
      <c r="R214" s="475">
        <v>10112.74</v>
      </c>
      <c r="S214" s="475">
        <v>9.0399999999999991</v>
      </c>
      <c r="T214" s="475">
        <v>36130</v>
      </c>
      <c r="U214" s="475">
        <v>69</v>
      </c>
      <c r="V214" s="475">
        <v>256.12</v>
      </c>
      <c r="W214" s="475">
        <v>0.15</v>
      </c>
      <c r="X214" s="475">
        <v>6723.88</v>
      </c>
      <c r="Y214" s="475">
        <v>0</v>
      </c>
      <c r="Z214" s="475">
        <v>54159</v>
      </c>
      <c r="AA214" s="338">
        <v>79</v>
      </c>
      <c r="AB214" s="475"/>
      <c r="AC214" s="476"/>
      <c r="AD214" s="475"/>
      <c r="AE214" s="338"/>
      <c r="AF214" s="505"/>
      <c r="AG214" s="476"/>
      <c r="AH214" s="505"/>
      <c r="AI214" s="476"/>
      <c r="AJ214" s="505"/>
      <c r="AK214" s="476"/>
    </row>
    <row r="215" spans="1:37">
      <c r="A215" s="492">
        <f t="shared" si="11"/>
        <v>45666</v>
      </c>
      <c r="B215" s="102" t="s">
        <v>1197</v>
      </c>
      <c r="C215" s="110" t="str">
        <f t="shared" si="10"/>
        <v>45666 1200H</v>
      </c>
      <c r="D215" s="471">
        <v>1131.3900000000001</v>
      </c>
      <c r="E215" s="472">
        <v>49.67</v>
      </c>
      <c r="F215" s="471">
        <v>1108.67</v>
      </c>
      <c r="G215" s="472">
        <v>6.2</v>
      </c>
      <c r="H215" s="471">
        <v>74129.539999999994</v>
      </c>
      <c r="I215" s="473">
        <v>902.4</v>
      </c>
      <c r="J215" s="473">
        <v>33135.1</v>
      </c>
      <c r="K215" s="472">
        <v>104.34</v>
      </c>
      <c r="L215" s="471">
        <v>5806.06</v>
      </c>
      <c r="M215" s="473">
        <v>15.78</v>
      </c>
      <c r="N215" s="473">
        <v>33165.1</v>
      </c>
      <c r="O215" s="473">
        <v>29.1</v>
      </c>
      <c r="P215" s="473">
        <v>621.73</v>
      </c>
      <c r="Q215" s="473">
        <v>706.17</v>
      </c>
      <c r="R215" s="473">
        <v>10116.52</v>
      </c>
      <c r="S215" s="473">
        <v>9.0399999999999991</v>
      </c>
      <c r="T215" s="473">
        <v>36135</v>
      </c>
      <c r="U215" s="473">
        <v>69</v>
      </c>
      <c r="V215" s="473">
        <v>256.12</v>
      </c>
      <c r="W215" s="473">
        <v>0.15</v>
      </c>
      <c r="X215" s="473">
        <v>6730.05</v>
      </c>
      <c r="Y215" s="473">
        <v>0</v>
      </c>
      <c r="Z215" s="473">
        <v>54159</v>
      </c>
      <c r="AA215" s="472">
        <v>79</v>
      </c>
      <c r="AB215" s="473"/>
      <c r="AC215" s="474"/>
      <c r="AD215" s="473"/>
      <c r="AE215" s="472"/>
      <c r="AF215" s="506"/>
      <c r="AG215" s="474"/>
      <c r="AH215" s="506"/>
      <c r="AI215" s="474"/>
      <c r="AJ215" s="506"/>
      <c r="AK215" s="474"/>
    </row>
    <row r="216" spans="1:37">
      <c r="A216" s="492">
        <f t="shared" si="11"/>
        <v>45667</v>
      </c>
      <c r="B216" s="102" t="s">
        <v>3267</v>
      </c>
      <c r="C216" s="110" t="str">
        <f t="shared" si="10"/>
        <v>45667 0000H</v>
      </c>
      <c r="D216" s="337">
        <v>1136.02</v>
      </c>
      <c r="E216" s="338">
        <v>49.67</v>
      </c>
      <c r="F216" s="337">
        <v>1108.67</v>
      </c>
      <c r="G216" s="338">
        <v>6.2</v>
      </c>
      <c r="H216" s="337">
        <v>74139.740000000005</v>
      </c>
      <c r="I216" s="475">
        <v>902.4</v>
      </c>
      <c r="J216" s="475">
        <v>33138.839999999997</v>
      </c>
      <c r="K216" s="338">
        <v>104.34</v>
      </c>
      <c r="L216" s="337">
        <v>5811.83</v>
      </c>
      <c r="M216" s="475">
        <v>15.78</v>
      </c>
      <c r="N216" s="475">
        <v>33172.699999999997</v>
      </c>
      <c r="O216" s="475">
        <v>29.1</v>
      </c>
      <c r="P216" s="475">
        <v>622.23</v>
      </c>
      <c r="Q216" s="475">
        <v>706.74</v>
      </c>
      <c r="R216" s="475">
        <v>10120.81</v>
      </c>
      <c r="S216" s="475">
        <v>9.0399999999999991</v>
      </c>
      <c r="T216" s="475">
        <v>36143</v>
      </c>
      <c r="U216" s="475">
        <v>69</v>
      </c>
      <c r="V216" s="475">
        <v>256.12</v>
      </c>
      <c r="W216" s="475">
        <v>0.15</v>
      </c>
      <c r="X216" s="475">
        <v>6735.73</v>
      </c>
      <c r="Y216" s="475">
        <v>0</v>
      </c>
      <c r="Z216" s="475">
        <v>54159</v>
      </c>
      <c r="AA216" s="338">
        <v>79</v>
      </c>
      <c r="AB216" s="475"/>
      <c r="AC216" s="476"/>
      <c r="AD216" s="475"/>
      <c r="AE216" s="338"/>
      <c r="AF216" s="505"/>
      <c r="AG216" s="476"/>
      <c r="AH216" s="505"/>
      <c r="AI216" s="476"/>
      <c r="AJ216" s="505"/>
      <c r="AK216" s="476"/>
    </row>
    <row r="217" spans="1:37">
      <c r="A217" s="492">
        <f t="shared" si="11"/>
        <v>45667</v>
      </c>
      <c r="B217" s="102" t="s">
        <v>1197</v>
      </c>
      <c r="C217" s="110" t="str">
        <f t="shared" si="10"/>
        <v>45667 1200H</v>
      </c>
      <c r="D217" s="471">
        <v>1139.46</v>
      </c>
      <c r="E217" s="472">
        <v>49.67</v>
      </c>
      <c r="F217" s="471">
        <v>1108.67</v>
      </c>
      <c r="G217" s="472">
        <v>6.2</v>
      </c>
      <c r="H217" s="471">
        <v>74143.899999999994</v>
      </c>
      <c r="I217" s="473">
        <v>902.61</v>
      </c>
      <c r="J217" s="473">
        <v>33142.58</v>
      </c>
      <c r="K217" s="472">
        <v>104.34</v>
      </c>
      <c r="L217" s="471">
        <v>5817.41</v>
      </c>
      <c r="M217" s="473">
        <v>15.78</v>
      </c>
      <c r="N217" s="473">
        <v>33177.800000000003</v>
      </c>
      <c r="O217" s="473">
        <v>29.1</v>
      </c>
      <c r="P217" s="473">
        <v>622.67999999999995</v>
      </c>
      <c r="Q217" s="473">
        <v>707.58</v>
      </c>
      <c r="R217" s="473">
        <v>10124.549999999999</v>
      </c>
      <c r="S217" s="473">
        <v>9.0399999999999991</v>
      </c>
      <c r="T217" s="473">
        <v>36149</v>
      </c>
      <c r="U217" s="473">
        <v>69</v>
      </c>
      <c r="V217" s="473">
        <v>256.12</v>
      </c>
      <c r="W217" s="473">
        <v>0.15</v>
      </c>
      <c r="X217" s="473">
        <v>6741.73</v>
      </c>
      <c r="Y217" s="473">
        <v>0</v>
      </c>
      <c r="Z217" s="473">
        <v>54159</v>
      </c>
      <c r="AA217" s="472">
        <v>79</v>
      </c>
      <c r="AB217" s="473"/>
      <c r="AC217" s="474"/>
      <c r="AD217" s="473"/>
      <c r="AE217" s="472"/>
      <c r="AF217" s="506"/>
      <c r="AG217" s="474"/>
      <c r="AH217" s="506"/>
      <c r="AI217" s="474"/>
      <c r="AJ217" s="506"/>
      <c r="AK217" s="474"/>
    </row>
    <row r="218" spans="1:37">
      <c r="A218" s="492">
        <f t="shared" si="11"/>
        <v>45668</v>
      </c>
      <c r="B218" s="102" t="s">
        <v>3267</v>
      </c>
      <c r="C218" s="110" t="str">
        <f t="shared" ref="C218:C247" si="12">A218 &amp; " " &amp;B218</f>
        <v>45668 0000H</v>
      </c>
      <c r="D218" s="337">
        <v>1144.01</v>
      </c>
      <c r="E218" s="338">
        <v>49.67</v>
      </c>
      <c r="F218" s="337">
        <v>1108.67</v>
      </c>
      <c r="G218" s="338">
        <v>6.2</v>
      </c>
      <c r="H218" s="337">
        <v>74153.919999999998</v>
      </c>
      <c r="I218" s="475">
        <v>902.61</v>
      </c>
      <c r="J218" s="475">
        <v>33146.31</v>
      </c>
      <c r="K218" s="338">
        <v>104.34</v>
      </c>
      <c r="L218" s="337">
        <v>5823.27</v>
      </c>
      <c r="M218" s="475">
        <v>15.78</v>
      </c>
      <c r="N218" s="475">
        <v>33185</v>
      </c>
      <c r="O218" s="475">
        <v>29.1</v>
      </c>
      <c r="P218" s="475">
        <v>623.25</v>
      </c>
      <c r="Q218" s="475">
        <v>708.07</v>
      </c>
      <c r="R218" s="475">
        <v>10128.77</v>
      </c>
      <c r="S218" s="475">
        <v>9.06</v>
      </c>
      <c r="T218" s="475">
        <v>36156</v>
      </c>
      <c r="U218" s="475">
        <v>69</v>
      </c>
      <c r="V218" s="475">
        <v>256.12</v>
      </c>
      <c r="W218" s="475">
        <v>0.15</v>
      </c>
      <c r="X218" s="475">
        <v>6748.62</v>
      </c>
      <c r="Y218" s="475">
        <v>0</v>
      </c>
      <c r="Z218" s="475">
        <v>54159</v>
      </c>
      <c r="AA218" s="338">
        <v>79</v>
      </c>
      <c r="AB218" s="475"/>
      <c r="AC218" s="476"/>
      <c r="AD218" s="475"/>
      <c r="AE218" s="338"/>
      <c r="AF218" s="505"/>
      <c r="AG218" s="476"/>
      <c r="AH218" s="505"/>
      <c r="AI218" s="476"/>
      <c r="AJ218" s="505"/>
      <c r="AK218" s="476"/>
    </row>
    <row r="219" spans="1:37">
      <c r="A219" s="492">
        <f t="shared" si="11"/>
        <v>45668</v>
      </c>
      <c r="B219" s="102" t="s">
        <v>1197</v>
      </c>
      <c r="C219" s="110" t="str">
        <f t="shared" si="12"/>
        <v>45668 1200H</v>
      </c>
      <c r="D219" s="471">
        <v>1147.3699999999999</v>
      </c>
      <c r="E219" s="472">
        <v>49.67</v>
      </c>
      <c r="F219" s="471">
        <v>1108.67</v>
      </c>
      <c r="G219" s="472">
        <v>6.2</v>
      </c>
      <c r="H219" s="471">
        <v>74157.97</v>
      </c>
      <c r="I219" s="473">
        <v>902.86</v>
      </c>
      <c r="J219" s="473">
        <v>33147.480000000003</v>
      </c>
      <c r="K219" s="472">
        <v>104.39</v>
      </c>
      <c r="L219" s="471">
        <v>5828.92</v>
      </c>
      <c r="M219" s="473">
        <v>15.78</v>
      </c>
      <c r="N219" s="473">
        <v>33189.800000000003</v>
      </c>
      <c r="O219" s="473">
        <v>29.1</v>
      </c>
      <c r="P219" s="473">
        <v>623.52</v>
      </c>
      <c r="Q219" s="473">
        <v>709</v>
      </c>
      <c r="R219" s="473">
        <v>10132.52</v>
      </c>
      <c r="S219" s="473">
        <v>9.0399999999999991</v>
      </c>
      <c r="T219" s="473">
        <v>36161</v>
      </c>
      <c r="U219" s="473">
        <v>69</v>
      </c>
      <c r="V219" s="473">
        <v>256.12</v>
      </c>
      <c r="W219" s="473">
        <v>0.15</v>
      </c>
      <c r="X219" s="473">
        <v>6748.62</v>
      </c>
      <c r="Y219" s="473">
        <v>0</v>
      </c>
      <c r="Z219" s="473">
        <v>54159</v>
      </c>
      <c r="AA219" s="472">
        <v>79</v>
      </c>
      <c r="AB219" s="473"/>
      <c r="AC219" s="474"/>
      <c r="AD219" s="473"/>
      <c r="AE219" s="472"/>
      <c r="AF219" s="506"/>
      <c r="AG219" s="474"/>
      <c r="AH219" s="506"/>
      <c r="AI219" s="474"/>
      <c r="AJ219" s="506"/>
      <c r="AK219" s="474"/>
    </row>
    <row r="220" spans="1:37">
      <c r="A220" s="492">
        <f t="shared" ref="A220:A247" si="13">A218+1</f>
        <v>45669</v>
      </c>
      <c r="B220" s="102" t="s">
        <v>3267</v>
      </c>
      <c r="C220" s="110" t="str">
        <f t="shared" si="12"/>
        <v>45669 0000H</v>
      </c>
      <c r="D220" s="337">
        <v>1152.05</v>
      </c>
      <c r="E220" s="338">
        <v>49.67</v>
      </c>
      <c r="F220" s="337">
        <v>1108.67</v>
      </c>
      <c r="G220" s="338">
        <v>6.2</v>
      </c>
      <c r="H220" s="337">
        <v>74168</v>
      </c>
      <c r="I220" s="475">
        <v>902.86</v>
      </c>
      <c r="J220" s="475">
        <v>33147.480000000003</v>
      </c>
      <c r="K220" s="338">
        <v>104.45</v>
      </c>
      <c r="L220" s="337">
        <v>5834.79</v>
      </c>
      <c r="M220" s="475">
        <v>15.78</v>
      </c>
      <c r="N220" s="475">
        <v>33197.300000000003</v>
      </c>
      <c r="O220" s="475">
        <v>29.1</v>
      </c>
      <c r="P220" s="475">
        <v>623.86</v>
      </c>
      <c r="Q220" s="475">
        <v>709.49</v>
      </c>
      <c r="R220" s="475">
        <v>10136.870000000001</v>
      </c>
      <c r="S220" s="475">
        <v>9.0399999999999991</v>
      </c>
      <c r="T220" s="475">
        <v>36168</v>
      </c>
      <c r="U220" s="475">
        <v>69</v>
      </c>
      <c r="V220" s="475">
        <v>256.12</v>
      </c>
      <c r="W220" s="475">
        <v>0.15</v>
      </c>
      <c r="X220" s="475">
        <v>6760.66</v>
      </c>
      <c r="Y220" s="475">
        <v>0</v>
      </c>
      <c r="Z220" s="475">
        <v>54159</v>
      </c>
      <c r="AA220" s="338">
        <v>79</v>
      </c>
      <c r="AB220" s="475"/>
      <c r="AC220" s="476"/>
      <c r="AD220" s="475"/>
      <c r="AE220" s="338"/>
      <c r="AF220" s="505"/>
      <c r="AG220" s="476"/>
      <c r="AH220" s="505"/>
      <c r="AI220" s="476"/>
      <c r="AJ220" s="505"/>
      <c r="AK220" s="476"/>
    </row>
    <row r="221" spans="1:37">
      <c r="A221" s="492">
        <f t="shared" si="13"/>
        <v>45669</v>
      </c>
      <c r="B221" s="102" t="s">
        <v>1197</v>
      </c>
      <c r="C221" s="110" t="str">
        <f t="shared" si="12"/>
        <v>45669 1200H</v>
      </c>
      <c r="D221" s="471">
        <v>1155.0999999999999</v>
      </c>
      <c r="E221" s="472">
        <v>49.67</v>
      </c>
      <c r="F221" s="471">
        <v>1108.67</v>
      </c>
      <c r="G221" s="472">
        <v>6.2</v>
      </c>
      <c r="H221" s="471">
        <v>74173.149999999994</v>
      </c>
      <c r="I221" s="473">
        <v>903.08</v>
      </c>
      <c r="J221" s="473">
        <v>33147.480000000003</v>
      </c>
      <c r="K221" s="472">
        <v>104.5</v>
      </c>
      <c r="L221" s="471">
        <v>5840.53</v>
      </c>
      <c r="M221" s="473">
        <v>15.78</v>
      </c>
      <c r="N221" s="473">
        <v>33201.599999999999</v>
      </c>
      <c r="O221" s="473">
        <v>29.1</v>
      </c>
      <c r="P221" s="473">
        <v>623.92999999999995</v>
      </c>
      <c r="Q221" s="473">
        <v>710.33</v>
      </c>
      <c r="R221" s="473">
        <v>10140.32</v>
      </c>
      <c r="S221" s="473">
        <v>9.0399999999999991</v>
      </c>
      <c r="T221" s="473">
        <v>36173</v>
      </c>
      <c r="U221" s="473">
        <v>69</v>
      </c>
      <c r="V221" s="473">
        <v>256.12</v>
      </c>
      <c r="W221" s="473">
        <v>0.15</v>
      </c>
      <c r="X221" s="473">
        <v>6766.2</v>
      </c>
      <c r="Y221" s="473">
        <v>0</v>
      </c>
      <c r="Z221" s="473">
        <v>54159</v>
      </c>
      <c r="AA221" s="472">
        <v>79</v>
      </c>
      <c r="AB221" s="473"/>
      <c r="AC221" s="474"/>
      <c r="AD221" s="473"/>
      <c r="AE221" s="472"/>
      <c r="AF221" s="506"/>
      <c r="AG221" s="474"/>
      <c r="AH221" s="506"/>
      <c r="AI221" s="474"/>
      <c r="AJ221" s="506"/>
      <c r="AK221" s="474"/>
    </row>
    <row r="222" spans="1:37">
      <c r="A222" s="492">
        <f t="shared" si="13"/>
        <v>45670</v>
      </c>
      <c r="B222" s="102" t="s">
        <v>3267</v>
      </c>
      <c r="C222" s="110" t="str">
        <f t="shared" si="12"/>
        <v>45670 0000H</v>
      </c>
      <c r="D222" s="337">
        <v>1158.4100000000001</v>
      </c>
      <c r="E222" s="338">
        <v>49.67</v>
      </c>
      <c r="F222" s="337">
        <v>1108.67</v>
      </c>
      <c r="G222" s="338">
        <v>6.2</v>
      </c>
      <c r="H222" s="337">
        <v>74183.039999999994</v>
      </c>
      <c r="I222" s="475">
        <v>903.08</v>
      </c>
      <c r="J222" s="475">
        <v>33150.050000000003</v>
      </c>
      <c r="K222" s="338">
        <v>104.52</v>
      </c>
      <c r="L222" s="337">
        <v>5846.32</v>
      </c>
      <c r="M222" s="475">
        <v>15.78</v>
      </c>
      <c r="N222" s="475">
        <v>33208</v>
      </c>
      <c r="O222" s="475">
        <v>29.1</v>
      </c>
      <c r="P222" s="475">
        <v>624.86</v>
      </c>
      <c r="Q222" s="475">
        <v>710.71</v>
      </c>
      <c r="R222" s="475">
        <v>10144.76</v>
      </c>
      <c r="S222" s="475">
        <v>9.0399999999999991</v>
      </c>
      <c r="T222" s="475">
        <v>36179</v>
      </c>
      <c r="U222" s="475">
        <v>69</v>
      </c>
      <c r="V222" s="475">
        <v>256.12</v>
      </c>
      <c r="W222" s="475">
        <v>0.15</v>
      </c>
      <c r="X222" s="475">
        <v>6772.59</v>
      </c>
      <c r="Y222" s="475">
        <v>0</v>
      </c>
      <c r="Z222" s="475">
        <v>54159</v>
      </c>
      <c r="AA222" s="338">
        <v>79</v>
      </c>
      <c r="AB222" s="475"/>
      <c r="AC222" s="476"/>
      <c r="AD222" s="475"/>
      <c r="AE222" s="338"/>
      <c r="AF222" s="505"/>
      <c r="AG222" s="476"/>
      <c r="AH222" s="505"/>
      <c r="AI222" s="476"/>
      <c r="AJ222" s="505"/>
      <c r="AK222" s="476"/>
    </row>
    <row r="223" spans="1:37">
      <c r="A223" s="492">
        <f t="shared" si="13"/>
        <v>45670</v>
      </c>
      <c r="B223" s="102" t="s">
        <v>1197</v>
      </c>
      <c r="C223" s="110" t="str">
        <f t="shared" si="12"/>
        <v>45670 1200H</v>
      </c>
      <c r="D223" s="471">
        <v>1161.78</v>
      </c>
      <c r="E223" s="472">
        <v>49.67</v>
      </c>
      <c r="F223" s="471">
        <v>1108.67</v>
      </c>
      <c r="G223" s="472">
        <v>6.2</v>
      </c>
      <c r="H223" s="471">
        <v>74193.3</v>
      </c>
      <c r="I223" s="473">
        <v>903.08</v>
      </c>
      <c r="J223" s="473">
        <v>33152.36</v>
      </c>
      <c r="K223" s="472">
        <v>104.56</v>
      </c>
      <c r="L223" s="471">
        <v>5851.94</v>
      </c>
      <c r="M223" s="473">
        <v>15.78</v>
      </c>
      <c r="N223" s="473">
        <v>33213.300000000003</v>
      </c>
      <c r="O223" s="473">
        <v>29.1</v>
      </c>
      <c r="P223" s="473">
        <v>625.09</v>
      </c>
      <c r="Q223" s="473">
        <v>711.75</v>
      </c>
      <c r="R223" s="473">
        <v>10148.620000000001</v>
      </c>
      <c r="S223" s="473">
        <v>9.0399999999999991</v>
      </c>
      <c r="T223" s="473">
        <v>36184</v>
      </c>
      <c r="U223" s="473">
        <v>69</v>
      </c>
      <c r="V223" s="473">
        <v>256.12</v>
      </c>
      <c r="W223" s="473">
        <v>0.15</v>
      </c>
      <c r="X223" s="473">
        <v>6778.07</v>
      </c>
      <c r="Y223" s="473">
        <v>0</v>
      </c>
      <c r="Z223" s="473">
        <v>54159</v>
      </c>
      <c r="AA223" s="472">
        <v>79</v>
      </c>
      <c r="AB223" s="473"/>
      <c r="AC223" s="474"/>
      <c r="AD223" s="473"/>
      <c r="AE223" s="472"/>
      <c r="AF223" s="506"/>
      <c r="AG223" s="474"/>
      <c r="AH223" s="506"/>
      <c r="AI223" s="474"/>
      <c r="AJ223" s="506"/>
      <c r="AK223" s="474"/>
    </row>
    <row r="224" spans="1:37">
      <c r="A224" s="492">
        <f t="shared" si="13"/>
        <v>45671</v>
      </c>
      <c r="B224" s="102" t="s">
        <v>3267</v>
      </c>
      <c r="C224" s="110" t="str">
        <f t="shared" si="12"/>
        <v>45671 0000H</v>
      </c>
      <c r="D224" s="337">
        <v>1167.02</v>
      </c>
      <c r="E224" s="338">
        <v>49.67</v>
      </c>
      <c r="F224" s="337">
        <v>1108.67</v>
      </c>
      <c r="G224" s="338">
        <v>6.2</v>
      </c>
      <c r="H224" s="337">
        <v>74203.28</v>
      </c>
      <c r="I224" s="475">
        <v>903.08</v>
      </c>
      <c r="J224" s="475">
        <v>33156.089999999997</v>
      </c>
      <c r="K224" s="338">
        <v>104.56</v>
      </c>
      <c r="L224" s="337">
        <v>5857.58</v>
      </c>
      <c r="M224" s="475">
        <v>15.78</v>
      </c>
      <c r="N224" s="475">
        <v>33220.199999999997</v>
      </c>
      <c r="O224" s="475">
        <v>29.1</v>
      </c>
      <c r="P224" s="475">
        <v>625.12</v>
      </c>
      <c r="Q224" s="475">
        <v>713.09</v>
      </c>
      <c r="R224" s="475">
        <v>10153.11</v>
      </c>
      <c r="S224" s="475">
        <v>9.0399999999999991</v>
      </c>
      <c r="T224" s="475">
        <v>36191</v>
      </c>
      <c r="U224" s="475">
        <v>69</v>
      </c>
      <c r="V224" s="475">
        <v>256.12</v>
      </c>
      <c r="W224" s="475">
        <v>0.15</v>
      </c>
      <c r="X224" s="475">
        <v>6784.05</v>
      </c>
      <c r="Y224" s="475">
        <v>0</v>
      </c>
      <c r="Z224" s="475">
        <v>54159</v>
      </c>
      <c r="AA224" s="338">
        <v>79</v>
      </c>
      <c r="AB224" s="475"/>
      <c r="AC224" s="476"/>
      <c r="AD224" s="475"/>
      <c r="AE224" s="338"/>
      <c r="AF224" s="505"/>
      <c r="AG224" s="476"/>
      <c r="AH224" s="505"/>
      <c r="AI224" s="476"/>
      <c r="AJ224" s="505"/>
      <c r="AK224" s="476"/>
    </row>
    <row r="225" spans="1:37">
      <c r="A225" s="492">
        <f t="shared" si="13"/>
        <v>45671</v>
      </c>
      <c r="B225" s="102" t="s">
        <v>1197</v>
      </c>
      <c r="C225" s="110" t="str">
        <f t="shared" si="12"/>
        <v>45671 1200H</v>
      </c>
      <c r="D225" s="471">
        <v>1170.6099999999999</v>
      </c>
      <c r="E225" s="472">
        <v>49.67</v>
      </c>
      <c r="F225" s="471">
        <v>1108.67</v>
      </c>
      <c r="G225" s="472">
        <v>6.2</v>
      </c>
      <c r="H225" s="471">
        <v>74213.34</v>
      </c>
      <c r="I225" s="473">
        <v>903.08</v>
      </c>
      <c r="J225" s="473">
        <v>33158.400000000001</v>
      </c>
      <c r="K225" s="472">
        <v>104.59</v>
      </c>
      <c r="L225" s="471">
        <v>5863.19</v>
      </c>
      <c r="M225" s="473">
        <v>15.78</v>
      </c>
      <c r="N225" s="473">
        <v>33224.699999999997</v>
      </c>
      <c r="O225" s="473">
        <v>29.1</v>
      </c>
      <c r="P225" s="473">
        <v>625</v>
      </c>
      <c r="Q225" s="473">
        <v>714.06</v>
      </c>
      <c r="R225" s="473">
        <v>10157</v>
      </c>
      <c r="S225" s="473">
        <v>9.0399999999999991</v>
      </c>
      <c r="T225" s="473">
        <v>36196</v>
      </c>
      <c r="U225" s="473">
        <v>69</v>
      </c>
      <c r="V225" s="473">
        <v>256.12</v>
      </c>
      <c r="W225" s="473">
        <v>0.15</v>
      </c>
      <c r="X225" s="473">
        <v>6789.07</v>
      </c>
      <c r="Y225" s="473">
        <v>0</v>
      </c>
      <c r="Z225" s="473">
        <v>54159</v>
      </c>
      <c r="AA225" s="472">
        <v>79</v>
      </c>
      <c r="AB225" s="473"/>
      <c r="AC225" s="474"/>
      <c r="AD225" s="473"/>
      <c r="AE225" s="472"/>
      <c r="AF225" s="506"/>
      <c r="AG225" s="474"/>
      <c r="AH225" s="506"/>
      <c r="AI225" s="474"/>
      <c r="AJ225" s="506"/>
      <c r="AK225" s="474"/>
    </row>
    <row r="226" spans="1:37">
      <c r="A226" s="492">
        <f t="shared" si="13"/>
        <v>45672</v>
      </c>
      <c r="B226" s="102" t="s">
        <v>3267</v>
      </c>
      <c r="C226" s="110" t="str">
        <f t="shared" si="12"/>
        <v>45672 0000H</v>
      </c>
      <c r="D226" s="337">
        <v>1175.1600000000001</v>
      </c>
      <c r="E226" s="338">
        <v>49.67</v>
      </c>
      <c r="F226" s="337">
        <v>1108.67</v>
      </c>
      <c r="G226" s="338">
        <v>6.2</v>
      </c>
      <c r="H226" s="337">
        <v>74223.570000000007</v>
      </c>
      <c r="I226" s="475">
        <v>903.08</v>
      </c>
      <c r="J226" s="475">
        <v>33162.15</v>
      </c>
      <c r="K226" s="338">
        <v>104.59</v>
      </c>
      <c r="L226" s="337">
        <v>5869.01</v>
      </c>
      <c r="M226" s="475">
        <v>15.78</v>
      </c>
      <c r="N226" s="475">
        <v>33231.699999999997</v>
      </c>
      <c r="O226" s="475">
        <v>29.1</v>
      </c>
      <c r="P226" s="475">
        <v>626.87</v>
      </c>
      <c r="Q226" s="475">
        <v>714.51</v>
      </c>
      <c r="R226" s="475">
        <v>10161.36</v>
      </c>
      <c r="S226" s="475">
        <v>9.0399999999999991</v>
      </c>
      <c r="T226" s="475">
        <v>36203</v>
      </c>
      <c r="U226" s="475">
        <v>69</v>
      </c>
      <c r="V226" s="475">
        <v>256.12</v>
      </c>
      <c r="W226" s="475">
        <v>0.15</v>
      </c>
      <c r="X226" s="475">
        <v>6795.54</v>
      </c>
      <c r="Y226" s="475">
        <v>0</v>
      </c>
      <c r="Z226" s="475">
        <v>54159</v>
      </c>
      <c r="AA226" s="338">
        <v>79</v>
      </c>
      <c r="AB226" s="475"/>
      <c r="AC226" s="476"/>
      <c r="AD226" s="475"/>
      <c r="AE226" s="338"/>
      <c r="AF226" s="505"/>
      <c r="AG226" s="476"/>
      <c r="AH226" s="505"/>
      <c r="AI226" s="476"/>
      <c r="AJ226" s="505"/>
      <c r="AK226" s="476"/>
    </row>
    <row r="227" spans="1:37">
      <c r="A227" s="492">
        <f t="shared" si="13"/>
        <v>45672</v>
      </c>
      <c r="B227" s="102" t="s">
        <v>1197</v>
      </c>
      <c r="C227" s="110" t="str">
        <f t="shared" si="12"/>
        <v>45672 1200H</v>
      </c>
      <c r="D227" s="471">
        <v>1178.5999999999999</v>
      </c>
      <c r="E227" s="472">
        <v>49.67</v>
      </c>
      <c r="F227" s="471">
        <v>1108.67</v>
      </c>
      <c r="G227" s="472">
        <v>6.2</v>
      </c>
      <c r="H227" s="471">
        <v>74233.56</v>
      </c>
      <c r="I227" s="473">
        <v>903.08</v>
      </c>
      <c r="J227" s="473">
        <v>33164.1</v>
      </c>
      <c r="K227" s="472">
        <v>104.63</v>
      </c>
      <c r="L227" s="471">
        <v>5874.45</v>
      </c>
      <c r="M227" s="473">
        <v>15.78</v>
      </c>
      <c r="N227" s="473">
        <v>33235.800000000003</v>
      </c>
      <c r="O227" s="473">
        <v>29.1</v>
      </c>
      <c r="P227" s="473">
        <v>627.15</v>
      </c>
      <c r="Q227" s="473">
        <v>715.58</v>
      </c>
      <c r="R227" s="473">
        <v>10164.99</v>
      </c>
      <c r="S227" s="473">
        <v>9.0399999999999991</v>
      </c>
      <c r="T227" s="473">
        <v>36209</v>
      </c>
      <c r="U227" s="473">
        <v>69</v>
      </c>
      <c r="V227" s="473">
        <v>256.12</v>
      </c>
      <c r="W227" s="473">
        <v>0.15</v>
      </c>
      <c r="X227" s="473">
        <v>6801.1</v>
      </c>
      <c r="Y227" s="473">
        <v>0</v>
      </c>
      <c r="Z227" s="473">
        <v>54159</v>
      </c>
      <c r="AA227" s="472">
        <v>79</v>
      </c>
      <c r="AB227" s="473"/>
      <c r="AC227" s="474"/>
      <c r="AD227" s="473"/>
      <c r="AE227" s="472"/>
      <c r="AF227" s="506"/>
      <c r="AG227" s="474"/>
      <c r="AH227" s="506"/>
      <c r="AI227" s="474"/>
      <c r="AJ227" s="506"/>
      <c r="AK227" s="474"/>
    </row>
    <row r="228" spans="1:37">
      <c r="A228" s="492">
        <f t="shared" si="13"/>
        <v>45673</v>
      </c>
      <c r="B228" s="102" t="s">
        <v>3267</v>
      </c>
      <c r="C228" s="110" t="str">
        <f t="shared" si="12"/>
        <v>45673 0000H</v>
      </c>
      <c r="D228" s="337">
        <v>1183.23</v>
      </c>
      <c r="E228" s="338">
        <v>49.67</v>
      </c>
      <c r="F228" s="337">
        <v>1108.67</v>
      </c>
      <c r="G228" s="338">
        <v>6.2</v>
      </c>
      <c r="H228" s="337">
        <v>74243.820000000007</v>
      </c>
      <c r="I228" s="475">
        <v>903.08</v>
      </c>
      <c r="J228" s="475">
        <v>33167.839999999997</v>
      </c>
      <c r="K228" s="338">
        <v>104.63</v>
      </c>
      <c r="L228" s="337">
        <v>5880.16</v>
      </c>
      <c r="M228" s="475">
        <v>15.78</v>
      </c>
      <c r="N228" s="475">
        <v>33242.800000000003</v>
      </c>
      <c r="O228" s="475">
        <v>29.1</v>
      </c>
      <c r="P228" s="475">
        <v>627.39</v>
      </c>
      <c r="Q228" s="475">
        <v>716.19</v>
      </c>
      <c r="R228" s="475">
        <v>10169.34</v>
      </c>
      <c r="S228" s="475">
        <v>9.0399999999999991</v>
      </c>
      <c r="T228" s="475">
        <v>36216</v>
      </c>
      <c r="U228" s="475">
        <v>69</v>
      </c>
      <c r="V228" s="475">
        <v>256.12</v>
      </c>
      <c r="W228" s="475">
        <v>0.15</v>
      </c>
      <c r="X228" s="475">
        <v>6807.84</v>
      </c>
      <c r="Y228" s="475">
        <v>0</v>
      </c>
      <c r="Z228" s="475">
        <v>54159</v>
      </c>
      <c r="AA228" s="338">
        <v>79</v>
      </c>
      <c r="AB228" s="475"/>
      <c r="AC228" s="476"/>
      <c r="AD228" s="475"/>
      <c r="AE228" s="338"/>
      <c r="AF228" s="505"/>
      <c r="AG228" s="476"/>
      <c r="AH228" s="505"/>
      <c r="AI228" s="476"/>
      <c r="AJ228" s="505"/>
      <c r="AK228" s="476"/>
    </row>
    <row r="229" spans="1:37">
      <c r="A229" s="492">
        <f t="shared" si="13"/>
        <v>45673</v>
      </c>
      <c r="B229" s="102" t="s">
        <v>1197</v>
      </c>
      <c r="C229" s="110" t="str">
        <f t="shared" si="12"/>
        <v>45673 1200H</v>
      </c>
      <c r="D229" s="471">
        <v>1187.01</v>
      </c>
      <c r="E229" s="472">
        <v>49.67</v>
      </c>
      <c r="F229" s="471">
        <v>1108.67</v>
      </c>
      <c r="G229" s="472">
        <v>6.2</v>
      </c>
      <c r="H229" s="471">
        <v>74248.08</v>
      </c>
      <c r="I229" s="473">
        <v>903.34</v>
      </c>
      <c r="J229" s="473">
        <v>33171.620000000003</v>
      </c>
      <c r="K229" s="472">
        <v>104.63</v>
      </c>
      <c r="L229" s="471">
        <v>5885.71</v>
      </c>
      <c r="M229" s="473">
        <v>15.78</v>
      </c>
      <c r="N229" s="473">
        <v>33247.4</v>
      </c>
      <c r="O229" s="473">
        <v>29.1</v>
      </c>
      <c r="P229" s="473">
        <v>627.9</v>
      </c>
      <c r="Q229" s="473">
        <v>717.04</v>
      </c>
      <c r="R229" s="473">
        <v>10173.14</v>
      </c>
      <c r="S229" s="473">
        <v>9.0399999999999991</v>
      </c>
      <c r="T229" s="473">
        <v>36223</v>
      </c>
      <c r="U229" s="473">
        <v>69</v>
      </c>
      <c r="V229" s="473">
        <v>256.12</v>
      </c>
      <c r="W229" s="473">
        <v>0.15</v>
      </c>
      <c r="X229" s="473">
        <v>6807.84</v>
      </c>
      <c r="Y229" s="473">
        <v>0</v>
      </c>
      <c r="Z229" s="473">
        <v>54159</v>
      </c>
      <c r="AA229" s="472">
        <v>79</v>
      </c>
      <c r="AB229" s="473"/>
      <c r="AC229" s="474"/>
      <c r="AD229" s="473"/>
      <c r="AE229" s="472"/>
      <c r="AF229" s="506"/>
      <c r="AG229" s="474"/>
      <c r="AH229" s="506"/>
      <c r="AI229" s="474"/>
      <c r="AJ229" s="506"/>
      <c r="AK229" s="474"/>
    </row>
    <row r="230" spans="1:37">
      <c r="A230" s="492">
        <f t="shared" si="13"/>
        <v>45674</v>
      </c>
      <c r="B230" s="102" t="s">
        <v>3267</v>
      </c>
      <c r="C230" s="110" t="str">
        <f t="shared" si="12"/>
        <v>45674 0000H</v>
      </c>
      <c r="D230" s="337">
        <v>1192.55</v>
      </c>
      <c r="E230" s="338">
        <v>49.67</v>
      </c>
      <c r="F230" s="337">
        <v>1108.67</v>
      </c>
      <c r="G230" s="338">
        <v>6.2</v>
      </c>
      <c r="H230" s="337">
        <v>74255.67</v>
      </c>
      <c r="I230" s="475">
        <v>903.42</v>
      </c>
      <c r="J230" s="475">
        <v>33175.410000000003</v>
      </c>
      <c r="K230" s="338">
        <v>104.63</v>
      </c>
      <c r="L230" s="337">
        <v>5891.42</v>
      </c>
      <c r="M230" s="475">
        <v>15.78</v>
      </c>
      <c r="N230" s="475">
        <v>33254.699999999997</v>
      </c>
      <c r="O230" s="475">
        <v>29.1</v>
      </c>
      <c r="P230" s="475">
        <v>628.26</v>
      </c>
      <c r="Q230" s="475">
        <v>717.66</v>
      </c>
      <c r="R230" s="475">
        <v>10177.629999999999</v>
      </c>
      <c r="S230" s="475">
        <v>9.0399999999999991</v>
      </c>
      <c r="T230" s="475">
        <v>36230</v>
      </c>
      <c r="U230" s="475">
        <v>69</v>
      </c>
      <c r="V230" s="475">
        <v>256.12</v>
      </c>
      <c r="W230" s="475">
        <v>0.15</v>
      </c>
      <c r="X230" s="475">
        <v>6819.75</v>
      </c>
      <c r="Y230" s="475">
        <v>0</v>
      </c>
      <c r="Z230" s="475">
        <v>54159</v>
      </c>
      <c r="AA230" s="338">
        <v>79</v>
      </c>
      <c r="AB230" s="475"/>
      <c r="AC230" s="476"/>
      <c r="AD230" s="475"/>
      <c r="AE230" s="338"/>
      <c r="AF230" s="505"/>
      <c r="AG230" s="476"/>
      <c r="AH230" s="505"/>
      <c r="AI230" s="476"/>
      <c r="AJ230" s="505"/>
      <c r="AK230" s="476"/>
    </row>
    <row r="231" spans="1:37">
      <c r="A231" s="492">
        <f t="shared" si="13"/>
        <v>45674</v>
      </c>
      <c r="B231" s="102" t="s">
        <v>1197</v>
      </c>
      <c r="C231" s="110" t="str">
        <f t="shared" si="12"/>
        <v>45674 1200H</v>
      </c>
      <c r="D231" s="471">
        <v>1196.22</v>
      </c>
      <c r="E231" s="472">
        <v>49.67</v>
      </c>
      <c r="F231" s="471">
        <v>1108.67</v>
      </c>
      <c r="G231" s="472">
        <v>6.2</v>
      </c>
      <c r="H231" s="471">
        <v>74256.72</v>
      </c>
      <c r="I231" s="473">
        <v>903.83</v>
      </c>
      <c r="J231" s="473">
        <v>33179.160000000003</v>
      </c>
      <c r="K231" s="472">
        <v>104.63</v>
      </c>
      <c r="L231" s="471">
        <v>5897.16</v>
      </c>
      <c r="M231" s="473">
        <v>15.78</v>
      </c>
      <c r="N231" s="473">
        <v>33260.400000000001</v>
      </c>
      <c r="O231" s="473">
        <v>29.1</v>
      </c>
      <c r="P231" s="473">
        <v>628.79999999999995</v>
      </c>
      <c r="Q231" s="473">
        <v>718.61</v>
      </c>
      <c r="R231" s="473">
        <v>10181.280000000001</v>
      </c>
      <c r="S231" s="473">
        <v>9.0399999999999991</v>
      </c>
      <c r="T231" s="473">
        <v>36236</v>
      </c>
      <c r="U231" s="473">
        <v>69</v>
      </c>
      <c r="V231" s="473">
        <v>256.12</v>
      </c>
      <c r="W231" s="473">
        <v>0.15</v>
      </c>
      <c r="X231" s="473">
        <v>6825.73</v>
      </c>
      <c r="Y231" s="473">
        <v>0</v>
      </c>
      <c r="Z231" s="473">
        <v>54159</v>
      </c>
      <c r="AA231" s="472">
        <v>79</v>
      </c>
      <c r="AB231" s="473"/>
      <c r="AC231" s="474"/>
      <c r="AD231" s="473"/>
      <c r="AE231" s="472"/>
      <c r="AF231" s="506"/>
      <c r="AG231" s="474"/>
      <c r="AH231" s="506"/>
      <c r="AI231" s="474"/>
      <c r="AJ231" s="506"/>
      <c r="AK231" s="474"/>
    </row>
    <row r="232" spans="1:37">
      <c r="A232" s="492">
        <f t="shared" si="13"/>
        <v>45675</v>
      </c>
      <c r="B232" s="102" t="s">
        <v>3267</v>
      </c>
      <c r="C232" s="110" t="str">
        <f t="shared" si="12"/>
        <v>45675 0000H</v>
      </c>
      <c r="D232" s="337">
        <v>1201.6199999999999</v>
      </c>
      <c r="E232" s="338">
        <v>49.67</v>
      </c>
      <c r="F232" s="337">
        <v>1108.67</v>
      </c>
      <c r="G232" s="338">
        <v>6.2</v>
      </c>
      <c r="H232" s="337">
        <v>74266.559999999998</v>
      </c>
      <c r="I232" s="475">
        <v>908.83</v>
      </c>
      <c r="J232" s="475">
        <v>33182.9</v>
      </c>
      <c r="K232" s="338">
        <v>104.63</v>
      </c>
      <c r="L232" s="337">
        <v>5902.96</v>
      </c>
      <c r="M232" s="475">
        <v>15.78</v>
      </c>
      <c r="N232" s="475">
        <v>33267.699999999997</v>
      </c>
      <c r="O232" s="475">
        <v>29.1</v>
      </c>
      <c r="P232" s="475">
        <v>628.98</v>
      </c>
      <c r="Q232" s="475">
        <v>719.95</v>
      </c>
      <c r="R232" s="475">
        <v>10185.82</v>
      </c>
      <c r="S232" s="475">
        <v>9.0399999999999991</v>
      </c>
      <c r="T232" s="475">
        <v>36244</v>
      </c>
      <c r="U232" s="475">
        <v>69</v>
      </c>
      <c r="V232" s="475">
        <v>256.12</v>
      </c>
      <c r="W232" s="475">
        <v>0.15</v>
      </c>
      <c r="X232" s="475">
        <v>6832.97</v>
      </c>
      <c r="Y232" s="475">
        <v>0</v>
      </c>
      <c r="Z232" s="475">
        <v>54159</v>
      </c>
      <c r="AA232" s="338">
        <v>79</v>
      </c>
      <c r="AB232" s="475"/>
      <c r="AC232" s="476"/>
      <c r="AD232" s="475"/>
      <c r="AE232" s="338"/>
      <c r="AF232" s="505"/>
      <c r="AG232" s="476"/>
      <c r="AH232" s="505"/>
      <c r="AI232" s="476"/>
      <c r="AJ232" s="505"/>
      <c r="AK232" s="476"/>
    </row>
    <row r="233" spans="1:37">
      <c r="A233" s="492">
        <f t="shared" si="13"/>
        <v>45675</v>
      </c>
      <c r="B233" s="102" t="s">
        <v>1197</v>
      </c>
      <c r="C233" s="110" t="str">
        <f t="shared" si="12"/>
        <v>45675 1200H</v>
      </c>
      <c r="D233" s="471">
        <v>1204.46</v>
      </c>
      <c r="E233" s="472">
        <v>49.67</v>
      </c>
      <c r="F233" s="471">
        <v>1108.67</v>
      </c>
      <c r="G233" s="472">
        <v>6.2</v>
      </c>
      <c r="H233" s="471">
        <v>74274.05</v>
      </c>
      <c r="I233" s="473">
        <v>903.85</v>
      </c>
      <c r="J233" s="473">
        <v>33182.949999999997</v>
      </c>
      <c r="K233" s="472">
        <v>104.68</v>
      </c>
      <c r="L233" s="471">
        <v>5907.72</v>
      </c>
      <c r="M233" s="473">
        <v>15.78</v>
      </c>
      <c r="N233" s="473">
        <v>33271.599999999999</v>
      </c>
      <c r="O233" s="473">
        <v>29.1</v>
      </c>
      <c r="P233" s="473">
        <v>629</v>
      </c>
      <c r="Q233" s="473">
        <v>720.8</v>
      </c>
      <c r="R233" s="473">
        <v>10188.469999999999</v>
      </c>
      <c r="S233" s="473">
        <v>9.0399999999999991</v>
      </c>
      <c r="T233" s="473">
        <v>36250</v>
      </c>
      <c r="U233" s="473">
        <v>69</v>
      </c>
      <c r="V233" s="473">
        <v>259.31</v>
      </c>
      <c r="W233" s="473">
        <v>0.15</v>
      </c>
      <c r="X233" s="473">
        <v>6839.09</v>
      </c>
      <c r="Y233" s="473">
        <v>0</v>
      </c>
      <c r="Z233" s="473">
        <v>54159</v>
      </c>
      <c r="AA233" s="472">
        <v>79</v>
      </c>
      <c r="AB233" s="473"/>
      <c r="AC233" s="474"/>
      <c r="AD233" s="473"/>
      <c r="AE233" s="472"/>
      <c r="AF233" s="506"/>
      <c r="AG233" s="474"/>
      <c r="AH233" s="506"/>
      <c r="AI233" s="474"/>
      <c r="AJ233" s="506"/>
      <c r="AK233" s="474"/>
    </row>
    <row r="234" spans="1:37">
      <c r="A234" s="492">
        <f t="shared" si="13"/>
        <v>45676</v>
      </c>
      <c r="B234" s="102" t="s">
        <v>3267</v>
      </c>
      <c r="C234" s="110" t="str">
        <f t="shared" si="12"/>
        <v>45676 0000H</v>
      </c>
      <c r="D234" s="337">
        <v>1208.67</v>
      </c>
      <c r="E234" s="338">
        <v>49.67</v>
      </c>
      <c r="F234" s="337">
        <v>1108.67</v>
      </c>
      <c r="G234" s="338">
        <v>6.2</v>
      </c>
      <c r="H234" s="337">
        <v>74284.08</v>
      </c>
      <c r="I234" s="475">
        <v>903.85</v>
      </c>
      <c r="J234" s="475">
        <v>33182.949999999997</v>
      </c>
      <c r="K234" s="338">
        <v>104.73</v>
      </c>
      <c r="L234" s="337">
        <v>5913.37</v>
      </c>
      <c r="M234" s="475">
        <v>15.78</v>
      </c>
      <c r="N234" s="475">
        <v>33278.6</v>
      </c>
      <c r="O234" s="475">
        <v>29.1</v>
      </c>
      <c r="P234" s="475">
        <v>629.11</v>
      </c>
      <c r="Q234" s="475">
        <v>721.69</v>
      </c>
      <c r="R234" s="475">
        <v>10193.120000000001</v>
      </c>
      <c r="S234" s="475">
        <v>9.0399999999999991</v>
      </c>
      <c r="T234" s="475">
        <v>36256</v>
      </c>
      <c r="U234" s="475">
        <v>69</v>
      </c>
      <c r="V234" s="475">
        <v>259.31</v>
      </c>
      <c r="W234" s="475">
        <v>0.15</v>
      </c>
      <c r="X234" s="475">
        <v>6846.3</v>
      </c>
      <c r="Y234" s="475">
        <v>0</v>
      </c>
      <c r="Z234" s="475">
        <v>54159</v>
      </c>
      <c r="AA234" s="338">
        <v>79</v>
      </c>
      <c r="AB234" s="475"/>
      <c r="AC234" s="476"/>
      <c r="AD234" s="475"/>
      <c r="AE234" s="338"/>
      <c r="AF234" s="505"/>
      <c r="AG234" s="476"/>
      <c r="AH234" s="505"/>
      <c r="AI234" s="476"/>
      <c r="AJ234" s="505"/>
      <c r="AK234" s="476"/>
    </row>
    <row r="235" spans="1:37">
      <c r="A235" s="492">
        <f t="shared" si="13"/>
        <v>45676</v>
      </c>
      <c r="B235" s="102" t="s">
        <v>1197</v>
      </c>
      <c r="C235" s="110" t="str">
        <f t="shared" si="12"/>
        <v>45676 1200H</v>
      </c>
      <c r="D235" s="471">
        <v>1218.82</v>
      </c>
      <c r="E235" s="472">
        <v>49.67</v>
      </c>
      <c r="F235" s="471">
        <v>1108.67</v>
      </c>
      <c r="G235" s="472">
        <v>6.2</v>
      </c>
      <c r="H235" s="471">
        <v>74293.62</v>
      </c>
      <c r="I235" s="473">
        <v>903.85</v>
      </c>
      <c r="J235" s="473">
        <v>33182.949999999997</v>
      </c>
      <c r="K235" s="472">
        <v>104.79</v>
      </c>
      <c r="L235" s="471">
        <v>5918.87</v>
      </c>
      <c r="M235" s="473">
        <v>15.78</v>
      </c>
      <c r="N235" s="473">
        <v>33280.300000000003</v>
      </c>
      <c r="O235" s="473">
        <v>29.2</v>
      </c>
      <c r="P235" s="473">
        <v>629.12</v>
      </c>
      <c r="Q235" s="473">
        <v>722.57</v>
      </c>
      <c r="R235" s="473">
        <v>10196.85</v>
      </c>
      <c r="S235" s="473">
        <v>9.0399999999999991</v>
      </c>
      <c r="T235" s="473">
        <v>36262</v>
      </c>
      <c r="U235" s="473">
        <v>69</v>
      </c>
      <c r="V235" s="473">
        <v>263.67</v>
      </c>
      <c r="W235" s="473">
        <v>0.15</v>
      </c>
      <c r="X235" s="473">
        <v>6852.33</v>
      </c>
      <c r="Y235" s="473">
        <v>0</v>
      </c>
      <c r="Z235" s="473">
        <v>54159</v>
      </c>
      <c r="AA235" s="472">
        <v>79</v>
      </c>
      <c r="AB235" s="473"/>
      <c r="AC235" s="474"/>
      <c r="AD235" s="473"/>
      <c r="AE235" s="472"/>
      <c r="AF235" s="506"/>
      <c r="AG235" s="474"/>
      <c r="AH235" s="506"/>
      <c r="AI235" s="474"/>
      <c r="AJ235" s="506"/>
      <c r="AK235" s="474"/>
    </row>
    <row r="236" spans="1:37">
      <c r="A236" s="492">
        <f t="shared" si="13"/>
        <v>45677</v>
      </c>
      <c r="B236" s="102" t="s">
        <v>3267</v>
      </c>
      <c r="C236" s="110" t="str">
        <f t="shared" si="12"/>
        <v>45677 0000H</v>
      </c>
      <c r="D236" s="337">
        <v>1216.3699999999999</v>
      </c>
      <c r="E236" s="338">
        <v>49.67</v>
      </c>
      <c r="F236" s="337">
        <v>1108.67</v>
      </c>
      <c r="G236" s="338">
        <v>6.2</v>
      </c>
      <c r="H236" s="337">
        <v>74302.81</v>
      </c>
      <c r="I236" s="475">
        <v>903.05</v>
      </c>
      <c r="J236" s="475">
        <v>33186.050000000003</v>
      </c>
      <c r="K236" s="338">
        <v>104.8</v>
      </c>
      <c r="L236" s="337">
        <v>5924.57</v>
      </c>
      <c r="M236" s="475">
        <v>15.78</v>
      </c>
      <c r="N236" s="475">
        <v>33287.699999999997</v>
      </c>
      <c r="O236" s="475">
        <v>29.2</v>
      </c>
      <c r="P236" s="475">
        <v>629.23</v>
      </c>
      <c r="Q236" s="475">
        <v>724.22</v>
      </c>
      <c r="R236" s="475">
        <v>10201.26</v>
      </c>
      <c r="S236" s="475">
        <v>9.0399999999999991</v>
      </c>
      <c r="T236" s="475">
        <v>36269</v>
      </c>
      <c r="U236" s="475">
        <v>69</v>
      </c>
      <c r="V236" s="475">
        <v>263.67</v>
      </c>
      <c r="W236" s="475">
        <v>0.15</v>
      </c>
      <c r="X236" s="475">
        <v>6854.21</v>
      </c>
      <c r="Y236" s="475">
        <v>0</v>
      </c>
      <c r="Z236" s="475">
        <v>54159</v>
      </c>
      <c r="AA236" s="338">
        <v>79</v>
      </c>
      <c r="AB236" s="475"/>
      <c r="AC236" s="476"/>
      <c r="AD236" s="475"/>
      <c r="AE236" s="338"/>
      <c r="AF236" s="505"/>
      <c r="AG236" s="476"/>
      <c r="AH236" s="505"/>
      <c r="AI236" s="476"/>
      <c r="AJ236" s="505"/>
      <c r="AK236" s="476"/>
    </row>
    <row r="237" spans="1:37">
      <c r="A237" s="492">
        <f t="shared" si="13"/>
        <v>45677</v>
      </c>
      <c r="B237" s="102" t="s">
        <v>1197</v>
      </c>
      <c r="C237" s="110" t="str">
        <f t="shared" si="12"/>
        <v>45677 1200H</v>
      </c>
      <c r="D237" s="471">
        <v>1220.19</v>
      </c>
      <c r="E237" s="472">
        <v>49.67</v>
      </c>
      <c r="F237" s="471">
        <v>1108.67</v>
      </c>
      <c r="G237" s="472">
        <v>6.2</v>
      </c>
      <c r="H237" s="471">
        <v>74307.22</v>
      </c>
      <c r="I237" s="473">
        <v>904.07</v>
      </c>
      <c r="J237" s="473">
        <v>33188.31</v>
      </c>
      <c r="K237" s="472">
        <v>104.84</v>
      </c>
      <c r="L237" s="471">
        <v>5930.3</v>
      </c>
      <c r="M237" s="473">
        <v>15.78</v>
      </c>
      <c r="N237" s="473">
        <v>33291.199999999997</v>
      </c>
      <c r="O237" s="473">
        <v>29.2</v>
      </c>
      <c r="P237" s="473">
        <v>629.92999999999995</v>
      </c>
      <c r="Q237" s="473">
        <v>724.92</v>
      </c>
      <c r="R237" s="473">
        <v>10204.89</v>
      </c>
      <c r="S237" s="473">
        <v>9.0399999999999991</v>
      </c>
      <c r="T237" s="473">
        <v>36276</v>
      </c>
      <c r="U237" s="473">
        <v>69</v>
      </c>
      <c r="V237" s="473">
        <v>263.67</v>
      </c>
      <c r="W237" s="473">
        <v>0.15</v>
      </c>
      <c r="X237" s="473">
        <v>6860.43</v>
      </c>
      <c r="Y237" s="473">
        <v>0</v>
      </c>
      <c r="Z237" s="473">
        <v>54160</v>
      </c>
      <c r="AA237" s="472">
        <v>79</v>
      </c>
      <c r="AB237" s="473"/>
      <c r="AC237" s="474"/>
      <c r="AD237" s="473"/>
      <c r="AE237" s="472"/>
      <c r="AF237" s="506"/>
      <c r="AG237" s="474"/>
      <c r="AH237" s="506"/>
      <c r="AI237" s="474"/>
      <c r="AJ237" s="506"/>
      <c r="AK237" s="474"/>
    </row>
    <row r="238" spans="1:37">
      <c r="A238" s="492">
        <f t="shared" si="13"/>
        <v>45678</v>
      </c>
      <c r="B238" s="102" t="s">
        <v>3267</v>
      </c>
      <c r="C238" s="110" t="str">
        <f t="shared" si="12"/>
        <v>45678 0000H</v>
      </c>
      <c r="D238" s="337">
        <v>1226.02</v>
      </c>
      <c r="E238" s="338">
        <v>49.67</v>
      </c>
      <c r="F238" s="337">
        <v>1108.67</v>
      </c>
      <c r="G238" s="338">
        <v>6.2</v>
      </c>
      <c r="H238" s="337">
        <v>74315.92</v>
      </c>
      <c r="I238" s="475">
        <v>904.12</v>
      </c>
      <c r="J238" s="475">
        <v>33192.019999999997</v>
      </c>
      <c r="K238" s="338">
        <v>104.84</v>
      </c>
      <c r="L238" s="337">
        <v>5935.96</v>
      </c>
      <c r="M238" s="475">
        <v>15.78</v>
      </c>
      <c r="N238" s="475">
        <v>33296.199999999997</v>
      </c>
      <c r="O238" s="475">
        <v>29.2</v>
      </c>
      <c r="P238" s="475">
        <v>630.62</v>
      </c>
      <c r="Q238" s="475">
        <v>725.86</v>
      </c>
      <c r="R238" s="475">
        <v>10209.43</v>
      </c>
      <c r="S238" s="475">
        <v>9.0399999999999991</v>
      </c>
      <c r="T238" s="475">
        <v>36283</v>
      </c>
      <c r="U238" s="475">
        <v>69</v>
      </c>
      <c r="V238" s="475">
        <v>263.67</v>
      </c>
      <c r="W238" s="475">
        <v>0.15</v>
      </c>
      <c r="X238" s="475">
        <v>6866.17</v>
      </c>
      <c r="Y238" s="475">
        <v>0</v>
      </c>
      <c r="Z238" s="475">
        <v>54162</v>
      </c>
      <c r="AA238" s="338">
        <v>79</v>
      </c>
      <c r="AB238" s="475"/>
      <c r="AC238" s="476"/>
      <c r="AD238" s="475"/>
      <c r="AE238" s="338"/>
      <c r="AF238" s="505"/>
      <c r="AG238" s="476"/>
      <c r="AH238" s="505"/>
      <c r="AI238" s="476"/>
      <c r="AJ238" s="505"/>
      <c r="AK238" s="476"/>
    </row>
    <row r="239" spans="1:37">
      <c r="A239" s="492">
        <f t="shared" si="13"/>
        <v>45678</v>
      </c>
      <c r="B239" s="102" t="s">
        <v>1197</v>
      </c>
      <c r="C239" s="110" t="str">
        <f t="shared" si="12"/>
        <v>45678 1200H</v>
      </c>
      <c r="D239" s="471">
        <v>1229.72</v>
      </c>
      <c r="E239" s="472">
        <v>49.67</v>
      </c>
      <c r="F239" s="471">
        <v>1108.67</v>
      </c>
      <c r="G239" s="472">
        <v>6.2</v>
      </c>
      <c r="H239" s="471">
        <v>74321.39</v>
      </c>
      <c r="I239" s="473">
        <v>904.32</v>
      </c>
      <c r="J239" s="473">
        <v>33195.839999999997</v>
      </c>
      <c r="K239" s="472">
        <v>104.84</v>
      </c>
      <c r="L239" s="471">
        <v>5941.66</v>
      </c>
      <c r="M239" s="473">
        <v>15.78</v>
      </c>
      <c r="N239" s="473">
        <v>33301.1</v>
      </c>
      <c r="O239" s="473">
        <v>29.2</v>
      </c>
      <c r="P239" s="473">
        <v>630.64</v>
      </c>
      <c r="Q239" s="473">
        <v>727.13</v>
      </c>
      <c r="R239" s="473">
        <v>10213.18</v>
      </c>
      <c r="S239" s="473">
        <v>9.0399999999999991</v>
      </c>
      <c r="T239" s="473">
        <v>36289</v>
      </c>
      <c r="U239" s="473">
        <v>69</v>
      </c>
      <c r="V239" s="473">
        <v>263.67</v>
      </c>
      <c r="W239" s="473">
        <v>0.15</v>
      </c>
      <c r="X239" s="473">
        <v>6872.56</v>
      </c>
      <c r="Y239" s="473">
        <v>0</v>
      </c>
      <c r="Z239" s="473">
        <v>54162</v>
      </c>
      <c r="AA239" s="472">
        <v>79</v>
      </c>
      <c r="AB239" s="473"/>
      <c r="AC239" s="474"/>
      <c r="AD239" s="473"/>
      <c r="AE239" s="472"/>
      <c r="AF239" s="506"/>
      <c r="AG239" s="474"/>
      <c r="AH239" s="506"/>
      <c r="AI239" s="474"/>
      <c r="AJ239" s="506"/>
      <c r="AK239" s="474"/>
    </row>
    <row r="240" spans="1:37">
      <c r="A240" s="492">
        <f t="shared" si="13"/>
        <v>45679</v>
      </c>
      <c r="B240" s="102" t="s">
        <v>3267</v>
      </c>
      <c r="C240" s="110" t="str">
        <f t="shared" si="12"/>
        <v>45679 0000H</v>
      </c>
      <c r="D240" s="337">
        <v>1234.06</v>
      </c>
      <c r="E240" s="338">
        <v>49.67</v>
      </c>
      <c r="F240" s="337">
        <v>1108.67</v>
      </c>
      <c r="G240" s="338">
        <v>6.2</v>
      </c>
      <c r="H240" s="337">
        <v>74331.539999999994</v>
      </c>
      <c r="I240" s="475">
        <v>904.32</v>
      </c>
      <c r="J240" s="475">
        <v>33199.550000000003</v>
      </c>
      <c r="K240" s="338">
        <v>104.84</v>
      </c>
      <c r="L240" s="337">
        <v>5947.5</v>
      </c>
      <c r="M240" s="475">
        <v>15.78</v>
      </c>
      <c r="N240" s="475">
        <v>33308.300000000003</v>
      </c>
      <c r="O240" s="475">
        <v>29.2</v>
      </c>
      <c r="P240" s="475">
        <v>631.36</v>
      </c>
      <c r="Q240" s="475">
        <v>727.53</v>
      </c>
      <c r="R240" s="475">
        <v>10217.290000000001</v>
      </c>
      <c r="S240" s="475">
        <v>9.0399999999999991</v>
      </c>
      <c r="T240" s="475">
        <v>36297</v>
      </c>
      <c r="U240" s="475">
        <v>69</v>
      </c>
      <c r="V240" s="475">
        <v>263.67</v>
      </c>
      <c r="W240" s="475">
        <v>0.15</v>
      </c>
      <c r="X240" s="475">
        <v>6879.9</v>
      </c>
      <c r="Y240" s="475">
        <v>0</v>
      </c>
      <c r="Z240" s="475">
        <v>54162</v>
      </c>
      <c r="AA240" s="338">
        <v>79</v>
      </c>
      <c r="AB240" s="475"/>
      <c r="AC240" s="476"/>
      <c r="AD240" s="475"/>
      <c r="AE240" s="338"/>
      <c r="AF240" s="505"/>
      <c r="AG240" s="476"/>
      <c r="AH240" s="505"/>
      <c r="AI240" s="476"/>
      <c r="AJ240" s="505"/>
      <c r="AK240" s="476"/>
    </row>
    <row r="241" spans="1:37">
      <c r="A241" s="492">
        <f t="shared" si="13"/>
        <v>45679</v>
      </c>
      <c r="B241" s="102" t="s">
        <v>1197</v>
      </c>
      <c r="C241" s="110" t="str">
        <f t="shared" si="12"/>
        <v>45679 1200H</v>
      </c>
      <c r="D241" s="471">
        <v>1237.8900000000001</v>
      </c>
      <c r="E241" s="472">
        <v>49.67</v>
      </c>
      <c r="F241" s="471">
        <v>1108.67</v>
      </c>
      <c r="G241" s="472">
        <v>6.2</v>
      </c>
      <c r="H241" s="471">
        <v>74337.460000000006</v>
      </c>
      <c r="I241" s="473">
        <v>904.47</v>
      </c>
      <c r="J241" s="473">
        <v>33203.35</v>
      </c>
      <c r="K241" s="472">
        <v>104.84</v>
      </c>
      <c r="L241" s="471">
        <v>5953.32</v>
      </c>
      <c r="M241" s="473">
        <v>15.78</v>
      </c>
      <c r="N241" s="473">
        <v>33312.800000000003</v>
      </c>
      <c r="O241" s="473">
        <v>29.2</v>
      </c>
      <c r="P241" s="473">
        <v>632.45000000000005</v>
      </c>
      <c r="Q241" s="473">
        <v>728.38</v>
      </c>
      <c r="R241" s="473">
        <v>10221.09</v>
      </c>
      <c r="S241" s="473">
        <v>9.0399999999999991</v>
      </c>
      <c r="T241" s="473">
        <v>36303</v>
      </c>
      <c r="U241" s="473">
        <v>69</v>
      </c>
      <c r="V241" s="473">
        <v>263.67</v>
      </c>
      <c r="W241" s="473">
        <v>0.15</v>
      </c>
      <c r="X241" s="473">
        <v>6885.88</v>
      </c>
      <c r="Y241" s="473">
        <v>0</v>
      </c>
      <c r="Z241" s="473">
        <v>54163</v>
      </c>
      <c r="AA241" s="472">
        <v>79</v>
      </c>
      <c r="AB241" s="473"/>
      <c r="AC241" s="474"/>
      <c r="AD241" s="473"/>
      <c r="AE241" s="472"/>
      <c r="AF241" s="506"/>
      <c r="AG241" s="474"/>
      <c r="AH241" s="506"/>
      <c r="AI241" s="474"/>
      <c r="AJ241" s="506"/>
      <c r="AK241" s="474"/>
    </row>
    <row r="242" spans="1:37">
      <c r="A242" s="492">
        <f t="shared" si="13"/>
        <v>45680</v>
      </c>
      <c r="B242" s="102" t="s">
        <v>3267</v>
      </c>
      <c r="C242" s="110" t="str">
        <f t="shared" si="12"/>
        <v>45680 0000H</v>
      </c>
      <c r="D242" s="337">
        <v>1243.76</v>
      </c>
      <c r="E242" s="338">
        <v>49.67</v>
      </c>
      <c r="F242" s="337">
        <v>1108.67</v>
      </c>
      <c r="G242" s="338">
        <v>6.2</v>
      </c>
      <c r="H242" s="337">
        <v>74347.78</v>
      </c>
      <c r="I242" s="475">
        <v>904.47</v>
      </c>
      <c r="J242" s="475">
        <v>33207.06</v>
      </c>
      <c r="K242" s="338">
        <v>104.84</v>
      </c>
      <c r="L242" s="337">
        <v>5959.15</v>
      </c>
      <c r="M242" s="475">
        <v>15.78</v>
      </c>
      <c r="N242" s="475">
        <v>33319</v>
      </c>
      <c r="O242" s="475">
        <v>29.2</v>
      </c>
      <c r="P242" s="475">
        <v>633.13</v>
      </c>
      <c r="Q242" s="475">
        <v>729.5</v>
      </c>
      <c r="R242" s="475">
        <v>10225.81</v>
      </c>
      <c r="S242" s="475">
        <v>9.0399999999999991</v>
      </c>
      <c r="T242" s="475">
        <v>36311</v>
      </c>
      <c r="U242" s="475">
        <v>69</v>
      </c>
      <c r="V242" s="475">
        <v>263.67</v>
      </c>
      <c r="W242" s="475">
        <v>0.15</v>
      </c>
      <c r="X242" s="475">
        <v>6892.93</v>
      </c>
      <c r="Y242" s="475">
        <v>0</v>
      </c>
      <c r="Z242" s="475">
        <v>54163</v>
      </c>
      <c r="AA242" s="338">
        <v>79</v>
      </c>
      <c r="AB242" s="475"/>
      <c r="AC242" s="476"/>
      <c r="AD242" s="475"/>
      <c r="AE242" s="338"/>
      <c r="AF242" s="505"/>
      <c r="AG242" s="476"/>
      <c r="AH242" s="505"/>
      <c r="AI242" s="476"/>
      <c r="AJ242" s="505"/>
      <c r="AK242" s="476"/>
    </row>
    <row r="243" spans="1:37">
      <c r="A243" s="492">
        <f t="shared" si="13"/>
        <v>45680</v>
      </c>
      <c r="B243" s="102" t="s">
        <v>1197</v>
      </c>
      <c r="C243" s="110" t="str">
        <f t="shared" si="12"/>
        <v>45680 1200H</v>
      </c>
      <c r="D243" s="471">
        <v>1247.97</v>
      </c>
      <c r="E243" s="472">
        <v>49.67</v>
      </c>
      <c r="F243" s="471">
        <v>1108.67</v>
      </c>
      <c r="G243" s="472">
        <v>6.2</v>
      </c>
      <c r="H243" s="471">
        <v>74357.56</v>
      </c>
      <c r="I243" s="473">
        <v>904.47</v>
      </c>
      <c r="J243" s="473">
        <v>33210.82</v>
      </c>
      <c r="K243" s="472">
        <v>104.84</v>
      </c>
      <c r="L243" s="471">
        <v>5964.7</v>
      </c>
      <c r="M243" s="473">
        <v>15.78</v>
      </c>
      <c r="N243" s="473">
        <v>33324.199999999997</v>
      </c>
      <c r="O243" s="473">
        <v>29.2</v>
      </c>
      <c r="P243" s="473">
        <v>633.13</v>
      </c>
      <c r="Q243" s="473">
        <v>730.99</v>
      </c>
      <c r="R243" s="473">
        <v>10229.65</v>
      </c>
      <c r="S243" s="473">
        <v>9.0399999999999991</v>
      </c>
      <c r="T243" s="473">
        <v>36317</v>
      </c>
      <c r="U243" s="473">
        <v>69</v>
      </c>
      <c r="V243" s="473">
        <v>263.67</v>
      </c>
      <c r="W243" s="473">
        <v>0.15</v>
      </c>
      <c r="X243" s="473">
        <v>6899.04</v>
      </c>
      <c r="Y243" s="473">
        <v>0</v>
      </c>
      <c r="Z243" s="473">
        <v>54163</v>
      </c>
      <c r="AA243" s="472">
        <v>79</v>
      </c>
      <c r="AB243" s="473"/>
      <c r="AC243" s="474"/>
      <c r="AD243" s="473"/>
      <c r="AE243" s="472"/>
      <c r="AF243" s="506"/>
      <c r="AG243" s="474"/>
      <c r="AH243" s="506"/>
      <c r="AI243" s="474"/>
      <c r="AJ243" s="506"/>
      <c r="AK243" s="474"/>
    </row>
    <row r="244" spans="1:37">
      <c r="A244" s="492">
        <f t="shared" si="13"/>
        <v>45681</v>
      </c>
      <c r="B244" s="102" t="s">
        <v>3267</v>
      </c>
      <c r="C244" s="110" t="str">
        <f t="shared" si="12"/>
        <v>45681 0000H</v>
      </c>
      <c r="D244" s="337">
        <v>1252.8599999999999</v>
      </c>
      <c r="E244" s="338">
        <v>49.67</v>
      </c>
      <c r="F244" s="337">
        <v>1108.67</v>
      </c>
      <c r="G244" s="338">
        <v>6.2</v>
      </c>
      <c r="H244" s="337">
        <v>74362.22</v>
      </c>
      <c r="I244" s="475">
        <v>904.76</v>
      </c>
      <c r="J244" s="475">
        <v>33213.24</v>
      </c>
      <c r="K244" s="338">
        <v>104.84</v>
      </c>
      <c r="L244" s="337">
        <v>5970.43</v>
      </c>
      <c r="M244" s="475">
        <v>15.78</v>
      </c>
      <c r="N244" s="475">
        <v>33331.5</v>
      </c>
      <c r="O244" s="475">
        <v>29.2</v>
      </c>
      <c r="P244" s="475">
        <v>633.63</v>
      </c>
      <c r="Q244" s="475">
        <v>731.58</v>
      </c>
      <c r="R244" s="475">
        <v>10234.290000000001</v>
      </c>
      <c r="S244" s="475">
        <v>9.0399999999999991</v>
      </c>
      <c r="T244" s="475">
        <v>36325</v>
      </c>
      <c r="U244" s="475">
        <v>69</v>
      </c>
      <c r="V244" s="475">
        <v>263.67</v>
      </c>
      <c r="W244" s="475">
        <v>0.15</v>
      </c>
      <c r="X244" s="475">
        <v>6904.39</v>
      </c>
      <c r="Y244" s="475">
        <v>0</v>
      </c>
      <c r="Z244" s="475">
        <v>54163</v>
      </c>
      <c r="AA244" s="338">
        <v>79</v>
      </c>
      <c r="AB244" s="475"/>
      <c r="AC244" s="476"/>
      <c r="AD244" s="475"/>
      <c r="AE244" s="338"/>
      <c r="AF244" s="505"/>
      <c r="AG244" s="476"/>
      <c r="AH244" s="505"/>
      <c r="AI244" s="476"/>
      <c r="AJ244" s="505"/>
      <c r="AK244" s="476"/>
    </row>
    <row r="245" spans="1:37">
      <c r="A245" s="492">
        <f t="shared" si="13"/>
        <v>45681</v>
      </c>
      <c r="B245" s="102" t="s">
        <v>1197</v>
      </c>
      <c r="C245" s="110" t="str">
        <f t="shared" si="12"/>
        <v>45681 1200H</v>
      </c>
      <c r="D245" s="471">
        <v>1256.95</v>
      </c>
      <c r="E245" s="472">
        <v>49.67</v>
      </c>
      <c r="F245" s="471">
        <v>1108.67</v>
      </c>
      <c r="G245" s="472">
        <v>6.2</v>
      </c>
      <c r="H245" s="471">
        <v>74362.22</v>
      </c>
      <c r="I245" s="473">
        <v>905.12</v>
      </c>
      <c r="J245" s="473">
        <v>33217.07</v>
      </c>
      <c r="K245" s="472">
        <v>104.87</v>
      </c>
      <c r="L245" s="471">
        <v>5976.12</v>
      </c>
      <c r="M245" s="473">
        <v>15.78</v>
      </c>
      <c r="N245" s="473">
        <v>33338.1</v>
      </c>
      <c r="O245" s="473">
        <v>29.2</v>
      </c>
      <c r="P245" s="473">
        <v>633.94000000000005</v>
      </c>
      <c r="Q245" s="473">
        <v>732.53</v>
      </c>
      <c r="R245" s="473">
        <v>10238.15</v>
      </c>
      <c r="S245" s="473">
        <v>9.0399999999999991</v>
      </c>
      <c r="T245" s="473">
        <v>36331</v>
      </c>
      <c r="U245" s="473">
        <v>69</v>
      </c>
      <c r="V245" s="473">
        <v>263.67</v>
      </c>
      <c r="W245" s="473">
        <v>0.15</v>
      </c>
      <c r="X245" s="473">
        <v>6910</v>
      </c>
      <c r="Y245" s="473">
        <v>0</v>
      </c>
      <c r="Z245" s="473">
        <v>54163</v>
      </c>
      <c r="AA245" s="472">
        <v>79</v>
      </c>
      <c r="AB245" s="473"/>
      <c r="AC245" s="474"/>
      <c r="AD245" s="473"/>
      <c r="AE245" s="472"/>
      <c r="AF245" s="506"/>
      <c r="AG245" s="474"/>
      <c r="AH245" s="506"/>
      <c r="AI245" s="474"/>
      <c r="AJ245" s="506"/>
      <c r="AK245" s="474"/>
    </row>
    <row r="246" spans="1:37">
      <c r="A246" s="492">
        <f t="shared" si="13"/>
        <v>45682</v>
      </c>
      <c r="B246" s="102" t="s">
        <v>3267</v>
      </c>
      <c r="C246" s="110" t="str">
        <f t="shared" si="12"/>
        <v>45682 0000H</v>
      </c>
      <c r="D246" s="337">
        <v>1263.3399999999999</v>
      </c>
      <c r="E246" s="338">
        <v>49.67</v>
      </c>
      <c r="F246" s="337">
        <v>1108.67</v>
      </c>
      <c r="G246" s="338">
        <v>6.2</v>
      </c>
      <c r="H246" s="337">
        <v>74362.22</v>
      </c>
      <c r="I246" s="475">
        <v>905.47</v>
      </c>
      <c r="J246" s="475">
        <v>33220.81</v>
      </c>
      <c r="K246" s="338">
        <v>104.87</v>
      </c>
      <c r="L246" s="337">
        <v>5981.9</v>
      </c>
      <c r="M246" s="475">
        <v>15.78</v>
      </c>
      <c r="N246" s="475">
        <v>33345.5</v>
      </c>
      <c r="O246" s="475">
        <v>29.2</v>
      </c>
      <c r="P246" s="475">
        <v>635</v>
      </c>
      <c r="Q246" s="475">
        <v>733.08</v>
      </c>
      <c r="R246" s="475">
        <v>10238.15</v>
      </c>
      <c r="S246" s="475">
        <v>9.0399999999999991</v>
      </c>
      <c r="T246" s="475">
        <v>36339</v>
      </c>
      <c r="U246" s="475">
        <v>69</v>
      </c>
      <c r="V246" s="475">
        <v>263.67</v>
      </c>
      <c r="W246" s="475">
        <v>0.15</v>
      </c>
      <c r="X246" s="475">
        <v>6918.15</v>
      </c>
      <c r="Y246" s="475">
        <v>0</v>
      </c>
      <c r="Z246" s="475">
        <v>54163</v>
      </c>
      <c r="AA246" s="338">
        <v>79</v>
      </c>
      <c r="AB246" s="475"/>
      <c r="AC246" s="476"/>
      <c r="AD246" s="475"/>
      <c r="AE246" s="338"/>
      <c r="AF246" s="505"/>
      <c r="AG246" s="476"/>
      <c r="AH246" s="505"/>
      <c r="AI246" s="476"/>
      <c r="AJ246" s="505"/>
      <c r="AK246" s="476"/>
    </row>
    <row r="247" spans="1:37" ht="14.45" thickBot="1">
      <c r="A247" s="498">
        <f t="shared" si="13"/>
        <v>45682</v>
      </c>
      <c r="B247" s="499" t="s">
        <v>1197</v>
      </c>
      <c r="C247" s="500" t="str">
        <f t="shared" si="12"/>
        <v>45682 1200H</v>
      </c>
      <c r="D247" s="501">
        <v>1267.31</v>
      </c>
      <c r="E247" s="502">
        <v>49.67</v>
      </c>
      <c r="F247" s="501">
        <v>1108.67</v>
      </c>
      <c r="G247" s="502">
        <v>6.2</v>
      </c>
      <c r="H247" s="501">
        <v>74362.22</v>
      </c>
      <c r="I247" s="503">
        <v>905.79</v>
      </c>
      <c r="J247" s="503">
        <v>33224.61</v>
      </c>
      <c r="K247" s="502">
        <v>104.87</v>
      </c>
      <c r="L247" s="501">
        <v>5987.12</v>
      </c>
      <c r="M247" s="503">
        <v>15.78</v>
      </c>
      <c r="N247" s="503">
        <v>33351.300000000003</v>
      </c>
      <c r="O247" s="503">
        <v>29.2</v>
      </c>
      <c r="P247" s="503">
        <v>635.05999999999995</v>
      </c>
      <c r="Q247" s="503">
        <v>734.28</v>
      </c>
      <c r="R247" s="503">
        <v>10246.719999999999</v>
      </c>
      <c r="S247" s="503">
        <v>9.0399999999999991</v>
      </c>
      <c r="T247" s="503">
        <v>36344</v>
      </c>
      <c r="U247" s="503">
        <v>69</v>
      </c>
      <c r="V247" s="503">
        <v>263.67</v>
      </c>
      <c r="W247" s="503">
        <v>0.15</v>
      </c>
      <c r="X247" s="503">
        <v>6924.76</v>
      </c>
      <c r="Y247" s="503">
        <v>0</v>
      </c>
      <c r="Z247" s="503">
        <v>54164</v>
      </c>
      <c r="AA247" s="502">
        <v>79</v>
      </c>
      <c r="AB247" s="503"/>
      <c r="AC247" s="504"/>
      <c r="AD247" s="503"/>
      <c r="AE247" s="502"/>
      <c r="AF247" s="513"/>
      <c r="AG247" s="504"/>
      <c r="AH247" s="513"/>
      <c r="AI247" s="504"/>
      <c r="AJ247" s="513"/>
      <c r="AK247" s="504"/>
    </row>
    <row r="248" spans="1:37" s="479" customFormat="1" ht="14.45" thickBot="1">
      <c r="A248" s="477"/>
      <c r="B248" s="477"/>
      <c r="C248" s="477"/>
      <c r="D248" s="478"/>
      <c r="E248" s="478"/>
      <c r="F248" s="478"/>
      <c r="G248" s="478"/>
      <c r="H248" s="478"/>
      <c r="I248" s="478"/>
      <c r="J248" s="478"/>
      <c r="K248" s="478"/>
      <c r="L248" s="478"/>
      <c r="M248" s="478"/>
      <c r="N248" s="478"/>
      <c r="O248" s="478"/>
      <c r="P248" s="478"/>
      <c r="Q248" s="478"/>
      <c r="R248" s="478"/>
      <c r="S248" s="478"/>
      <c r="T248" s="478"/>
      <c r="U248" s="478"/>
      <c r="V248" s="478"/>
      <c r="W248" s="478"/>
      <c r="X248" s="478"/>
      <c r="Y248" s="478"/>
      <c r="Z248" s="478"/>
      <c r="AA248" s="478"/>
      <c r="AB248" s="478"/>
      <c r="AC248" s="478"/>
      <c r="AD248" s="478"/>
      <c r="AE248" s="478"/>
      <c r="AF248" s="511"/>
      <c r="AG248" s="512"/>
      <c r="AH248" s="511"/>
      <c r="AI248" s="512"/>
      <c r="AJ248" s="511"/>
      <c r="AK248" s="512"/>
    </row>
    <row r="249" spans="1:37">
      <c r="A249" s="485">
        <f>A246+1</f>
        <v>45683</v>
      </c>
      <c r="B249" s="486" t="s">
        <v>3267</v>
      </c>
      <c r="C249" s="487" t="str">
        <f t="shared" ref="C249:C280" si="14">A249 &amp; " " &amp;B249</f>
        <v>45683 0000H</v>
      </c>
      <c r="D249" s="488">
        <v>1273.5899999999999</v>
      </c>
      <c r="E249" s="489">
        <v>49.67</v>
      </c>
      <c r="F249" s="488">
        <v>1108.67</v>
      </c>
      <c r="G249" s="489">
        <v>6.2</v>
      </c>
      <c r="H249" s="488">
        <v>74362.22</v>
      </c>
      <c r="I249" s="490">
        <v>906.03</v>
      </c>
      <c r="J249" s="490">
        <v>33228.33</v>
      </c>
      <c r="K249" s="489">
        <v>104.87</v>
      </c>
      <c r="L249" s="488">
        <v>5991.5</v>
      </c>
      <c r="M249" s="490">
        <v>15.78</v>
      </c>
      <c r="N249" s="490">
        <v>33358.9</v>
      </c>
      <c r="O249" s="490">
        <v>29.2</v>
      </c>
      <c r="P249" s="490">
        <v>635.53</v>
      </c>
      <c r="Q249" s="490">
        <v>734.71</v>
      </c>
      <c r="R249" s="490">
        <v>10251.31</v>
      </c>
      <c r="S249" s="490">
        <v>9.0399999999999991</v>
      </c>
      <c r="T249" s="490">
        <v>36352</v>
      </c>
      <c r="U249" s="490">
        <v>69</v>
      </c>
      <c r="V249" s="490">
        <v>263.67</v>
      </c>
      <c r="W249" s="490">
        <v>0.15</v>
      </c>
      <c r="X249" s="490">
        <v>6931.8</v>
      </c>
      <c r="Y249" s="490">
        <v>0</v>
      </c>
      <c r="Z249" s="490">
        <v>54166</v>
      </c>
      <c r="AA249" s="489">
        <v>79</v>
      </c>
      <c r="AB249" s="490"/>
      <c r="AC249" s="491"/>
      <c r="AD249" s="490"/>
      <c r="AE249" s="489"/>
      <c r="AF249" s="509"/>
      <c r="AG249" s="491"/>
      <c r="AH249" s="509"/>
      <c r="AI249" s="491"/>
      <c r="AJ249" s="509"/>
      <c r="AK249" s="491"/>
    </row>
    <row r="250" spans="1:37">
      <c r="A250" s="492">
        <f>A247+1</f>
        <v>45683</v>
      </c>
      <c r="B250" s="102" t="s">
        <v>1197</v>
      </c>
      <c r="C250" s="110" t="str">
        <f t="shared" si="14"/>
        <v>45683 1200H</v>
      </c>
      <c r="D250" s="471">
        <v>1277.1500000000001</v>
      </c>
      <c r="E250" s="472">
        <v>49.67</v>
      </c>
      <c r="F250" s="471">
        <v>1108.67</v>
      </c>
      <c r="G250" s="472">
        <v>6.2</v>
      </c>
      <c r="H250" s="471">
        <v>74362.22</v>
      </c>
      <c r="I250" s="473">
        <v>906.23</v>
      </c>
      <c r="J250" s="473">
        <v>33232.160000000003</v>
      </c>
      <c r="K250" s="472">
        <v>104.87</v>
      </c>
      <c r="L250" s="471">
        <v>5996.19</v>
      </c>
      <c r="M250" s="473">
        <v>15.78</v>
      </c>
      <c r="N250" s="473">
        <v>33365.9</v>
      </c>
      <c r="O250" s="473">
        <v>29.2</v>
      </c>
      <c r="P250" s="473">
        <v>635.92999999999995</v>
      </c>
      <c r="Q250" s="473">
        <v>735.79</v>
      </c>
      <c r="R250" s="473">
        <v>10255.02</v>
      </c>
      <c r="S250" s="473">
        <v>9.0399999999999991</v>
      </c>
      <c r="T250" s="473">
        <v>36357</v>
      </c>
      <c r="U250" s="473">
        <v>69</v>
      </c>
      <c r="V250" s="473">
        <v>263.67</v>
      </c>
      <c r="W250" s="473">
        <v>0.15</v>
      </c>
      <c r="X250" s="473">
        <v>6928.25</v>
      </c>
      <c r="Y250" s="473">
        <v>0</v>
      </c>
      <c r="Z250" s="473">
        <v>54167</v>
      </c>
      <c r="AA250" s="472">
        <v>79</v>
      </c>
      <c r="AB250" s="473"/>
      <c r="AC250" s="474"/>
      <c r="AD250" s="473"/>
      <c r="AE250" s="472"/>
      <c r="AF250" s="506"/>
      <c r="AG250" s="474"/>
      <c r="AH250" s="506"/>
      <c r="AI250" s="474"/>
      <c r="AJ250" s="506"/>
      <c r="AK250" s="474"/>
    </row>
    <row r="251" spans="1:37">
      <c r="A251" s="492">
        <f t="shared" ref="A251:A282" si="15">A249+1</f>
        <v>45684</v>
      </c>
      <c r="B251" s="102" t="s">
        <v>3267</v>
      </c>
      <c r="C251" s="110" t="str">
        <f t="shared" si="14"/>
        <v>45684 0000H</v>
      </c>
      <c r="D251" s="337">
        <v>1283.29</v>
      </c>
      <c r="E251" s="338">
        <v>49.67</v>
      </c>
      <c r="F251" s="337">
        <v>1108.67</v>
      </c>
      <c r="G251" s="338">
        <v>6.2</v>
      </c>
      <c r="H251" s="337">
        <v>74362.38</v>
      </c>
      <c r="I251" s="475">
        <v>906.65</v>
      </c>
      <c r="J251" s="475">
        <v>33235.800000000003</v>
      </c>
      <c r="K251" s="338">
        <v>104.87</v>
      </c>
      <c r="L251" s="337">
        <v>6000.87</v>
      </c>
      <c r="M251" s="475">
        <v>15.78</v>
      </c>
      <c r="N251" s="475">
        <v>33373</v>
      </c>
      <c r="O251" s="475">
        <v>29.2</v>
      </c>
      <c r="P251" s="475">
        <v>635.95000000000005</v>
      </c>
      <c r="Q251" s="475">
        <v>737.21</v>
      </c>
      <c r="R251" s="475">
        <v>10259.629999999999</v>
      </c>
      <c r="S251" s="475">
        <v>9.0399999999999991</v>
      </c>
      <c r="T251" s="475">
        <v>36364</v>
      </c>
      <c r="U251" s="475">
        <v>69</v>
      </c>
      <c r="V251" s="475">
        <v>263.67</v>
      </c>
      <c r="W251" s="475">
        <v>0.15</v>
      </c>
      <c r="X251" s="475">
        <v>6941.25</v>
      </c>
      <c r="Y251" s="475">
        <v>0</v>
      </c>
      <c r="Z251" s="475">
        <v>54167</v>
      </c>
      <c r="AA251" s="338">
        <v>79</v>
      </c>
      <c r="AB251" s="475"/>
      <c r="AC251" s="476"/>
      <c r="AD251" s="475"/>
      <c r="AE251" s="338"/>
      <c r="AF251" s="505"/>
      <c r="AG251" s="476"/>
      <c r="AH251" s="505"/>
      <c r="AI251" s="476"/>
      <c r="AJ251" s="505"/>
      <c r="AK251" s="476"/>
    </row>
    <row r="252" spans="1:37">
      <c r="A252" s="492">
        <f t="shared" si="15"/>
        <v>45684</v>
      </c>
      <c r="B252" s="102" t="s">
        <v>1197</v>
      </c>
      <c r="C252" s="110" t="str">
        <f t="shared" si="14"/>
        <v>45684 1200H</v>
      </c>
      <c r="D252" s="471">
        <v>1286.98</v>
      </c>
      <c r="E252" s="472">
        <v>49.67</v>
      </c>
      <c r="F252" s="471">
        <v>1108.67</v>
      </c>
      <c r="G252" s="472">
        <v>6.2</v>
      </c>
      <c r="H252" s="471">
        <v>74369.56</v>
      </c>
      <c r="I252" s="473">
        <v>906.65</v>
      </c>
      <c r="J252" s="473">
        <v>33239.519999999997</v>
      </c>
      <c r="K252" s="472">
        <v>104.87</v>
      </c>
      <c r="L252" s="471">
        <v>6005.01</v>
      </c>
      <c r="M252" s="473">
        <v>15.78</v>
      </c>
      <c r="N252" s="473">
        <v>33377.800000000003</v>
      </c>
      <c r="O252" s="473">
        <v>29.2</v>
      </c>
      <c r="P252" s="473">
        <v>636.16999999999996</v>
      </c>
      <c r="Q252" s="473">
        <v>738.04</v>
      </c>
      <c r="R252" s="473">
        <v>10263.280000000001</v>
      </c>
      <c r="S252" s="473">
        <v>9.0399999999999991</v>
      </c>
      <c r="T252" s="473">
        <v>36370</v>
      </c>
      <c r="U252" s="473">
        <v>69</v>
      </c>
      <c r="V252" s="473">
        <v>263.97000000000003</v>
      </c>
      <c r="W252" s="473">
        <v>0.15</v>
      </c>
      <c r="X252" s="473">
        <v>6950.92</v>
      </c>
      <c r="Y252" s="473">
        <v>0</v>
      </c>
      <c r="Z252" s="473">
        <v>54168</v>
      </c>
      <c r="AA252" s="472">
        <v>79</v>
      </c>
      <c r="AB252" s="473"/>
      <c r="AC252" s="474"/>
      <c r="AD252" s="473"/>
      <c r="AE252" s="472"/>
      <c r="AF252" s="506"/>
      <c r="AG252" s="474"/>
      <c r="AH252" s="506"/>
      <c r="AI252" s="474"/>
      <c r="AJ252" s="506"/>
      <c r="AK252" s="474"/>
    </row>
    <row r="253" spans="1:37">
      <c r="A253" s="492">
        <f t="shared" si="15"/>
        <v>45685</v>
      </c>
      <c r="B253" s="102" t="s">
        <v>3267</v>
      </c>
      <c r="C253" s="110" t="str">
        <f t="shared" si="14"/>
        <v>45685 0000H</v>
      </c>
      <c r="D253" s="337">
        <v>1292.94</v>
      </c>
      <c r="E253" s="338">
        <v>49.67</v>
      </c>
      <c r="F253" s="337">
        <v>1108.67</v>
      </c>
      <c r="G253" s="338">
        <v>6.2</v>
      </c>
      <c r="H253" s="337">
        <v>74377.740000000005</v>
      </c>
      <c r="I253" s="475">
        <v>906.65</v>
      </c>
      <c r="J253" s="475">
        <v>33243.269999999997</v>
      </c>
      <c r="K253" s="338">
        <v>104.87</v>
      </c>
      <c r="L253" s="337">
        <v>6010.13</v>
      </c>
      <c r="M253" s="475">
        <v>15.78</v>
      </c>
      <c r="N253" s="475">
        <v>33381.5</v>
      </c>
      <c r="O253" s="475">
        <v>29.2</v>
      </c>
      <c r="P253" s="475">
        <v>636.16999999999996</v>
      </c>
      <c r="Q253" s="475">
        <v>739.54</v>
      </c>
      <c r="R253" s="475">
        <v>10267.41</v>
      </c>
      <c r="S253" s="475">
        <v>9.0399999999999991</v>
      </c>
      <c r="T253" s="475">
        <v>36376</v>
      </c>
      <c r="U253" s="475">
        <v>69</v>
      </c>
      <c r="V253" s="475">
        <v>264.89</v>
      </c>
      <c r="W253" s="475">
        <v>0.16</v>
      </c>
      <c r="X253" s="475">
        <v>6956.06</v>
      </c>
      <c r="Y253" s="475">
        <v>0</v>
      </c>
      <c r="Z253" s="475">
        <v>54169</v>
      </c>
      <c r="AA253" s="338">
        <v>79</v>
      </c>
      <c r="AB253" s="475"/>
      <c r="AC253" s="476"/>
      <c r="AD253" s="475"/>
      <c r="AE253" s="338"/>
      <c r="AF253" s="505"/>
      <c r="AG253" s="476"/>
      <c r="AH253" s="505"/>
      <c r="AI253" s="476"/>
      <c r="AJ253" s="505"/>
      <c r="AK253" s="476"/>
    </row>
    <row r="254" spans="1:37">
      <c r="A254" s="492">
        <f t="shared" si="15"/>
        <v>45685</v>
      </c>
      <c r="B254" s="102" t="s">
        <v>1197</v>
      </c>
      <c r="C254" s="110" t="str">
        <f t="shared" si="14"/>
        <v>45685 1200H</v>
      </c>
      <c r="D254" s="471">
        <v>1296.82</v>
      </c>
      <c r="E254" s="472">
        <v>49.67</v>
      </c>
      <c r="F254" s="471">
        <v>1108.67</v>
      </c>
      <c r="G254" s="472">
        <v>6.2</v>
      </c>
      <c r="H254" s="471">
        <v>74386.13</v>
      </c>
      <c r="I254" s="473">
        <v>906.65</v>
      </c>
      <c r="J254" s="473">
        <v>33244.080000000002</v>
      </c>
      <c r="K254" s="472">
        <v>104.95</v>
      </c>
      <c r="L254" s="471">
        <v>6014.69</v>
      </c>
      <c r="M254" s="473">
        <v>15.78</v>
      </c>
      <c r="N254" s="473">
        <v>33384.080000000002</v>
      </c>
      <c r="O254" s="473">
        <v>29.2</v>
      </c>
      <c r="P254" s="473">
        <v>636.22</v>
      </c>
      <c r="Q254" s="473">
        <v>740.55</v>
      </c>
      <c r="R254" s="473">
        <v>10270.719999999999</v>
      </c>
      <c r="S254" s="473">
        <v>9.0399999999999991</v>
      </c>
      <c r="T254" s="473">
        <v>36381</v>
      </c>
      <c r="U254" s="473">
        <v>69</v>
      </c>
      <c r="V254" s="473">
        <v>266.04000000000002</v>
      </c>
      <c r="W254" s="473">
        <v>0.16</v>
      </c>
      <c r="X254" s="473">
        <v>6962.7</v>
      </c>
      <c r="Y254" s="473">
        <v>0</v>
      </c>
      <c r="Z254" s="473">
        <v>54169</v>
      </c>
      <c r="AA254" s="472">
        <v>79</v>
      </c>
      <c r="AB254" s="473"/>
      <c r="AC254" s="474"/>
      <c r="AD254" s="473"/>
      <c r="AE254" s="472"/>
      <c r="AF254" s="506"/>
      <c r="AG254" s="474"/>
      <c r="AH254" s="506"/>
      <c r="AI254" s="474"/>
      <c r="AJ254" s="506"/>
      <c r="AK254" s="474"/>
    </row>
    <row r="255" spans="1:37">
      <c r="A255" s="492">
        <f t="shared" si="15"/>
        <v>45686</v>
      </c>
      <c r="B255" s="102" t="s">
        <v>3267</v>
      </c>
      <c r="C255" s="110" t="str">
        <f t="shared" si="14"/>
        <v>45686 0000H</v>
      </c>
      <c r="D255" s="337">
        <v>1302.94</v>
      </c>
      <c r="E255" s="338">
        <v>49.67</v>
      </c>
      <c r="F255" s="337">
        <v>1108.67</v>
      </c>
      <c r="G255" s="338">
        <v>6.2</v>
      </c>
      <c r="H255" s="337">
        <v>74394.429999999993</v>
      </c>
      <c r="I255" s="475">
        <v>906.65</v>
      </c>
      <c r="J255" s="475">
        <v>33247.64</v>
      </c>
      <c r="K255" s="338">
        <v>104.95</v>
      </c>
      <c r="L255" s="337">
        <v>6019.25</v>
      </c>
      <c r="M255" s="475">
        <v>15.78</v>
      </c>
      <c r="N255" s="475">
        <v>33388.400000000001</v>
      </c>
      <c r="O255" s="475">
        <v>29.2</v>
      </c>
      <c r="P255" s="475">
        <v>636.26</v>
      </c>
      <c r="Q255" s="475">
        <v>741.4</v>
      </c>
      <c r="R255" s="475">
        <v>10275.030000000001</v>
      </c>
      <c r="S255" s="475">
        <v>9.0399999999999991</v>
      </c>
      <c r="T255" s="475">
        <v>36389</v>
      </c>
      <c r="U255" s="475">
        <v>69</v>
      </c>
      <c r="V255" s="475">
        <v>267.97000000000003</v>
      </c>
      <c r="W255" s="475">
        <v>0.16</v>
      </c>
      <c r="X255" s="475">
        <v>6968.67</v>
      </c>
      <c r="Y255" s="475">
        <v>0</v>
      </c>
      <c r="Z255" s="475">
        <v>54169</v>
      </c>
      <c r="AA255" s="338">
        <v>79</v>
      </c>
      <c r="AB255" s="475">
        <v>1.18</v>
      </c>
      <c r="AC255" s="476">
        <v>0</v>
      </c>
      <c r="AD255" s="475"/>
      <c r="AE255" s="338"/>
      <c r="AF255" s="505"/>
      <c r="AG255" s="476"/>
      <c r="AH255" s="505"/>
      <c r="AI255" s="476"/>
      <c r="AJ255" s="505"/>
      <c r="AK255" s="476"/>
    </row>
    <row r="256" spans="1:37">
      <c r="A256" s="492">
        <f t="shared" si="15"/>
        <v>45686</v>
      </c>
      <c r="B256" s="102" t="s">
        <v>1197</v>
      </c>
      <c r="C256" s="110" t="str">
        <f t="shared" si="14"/>
        <v>45686 1200H</v>
      </c>
      <c r="D256" s="471">
        <v>1306.83</v>
      </c>
      <c r="E256" s="472">
        <v>49.67</v>
      </c>
      <c r="F256" s="471">
        <v>1108.67</v>
      </c>
      <c r="G256" s="472">
        <v>6.2</v>
      </c>
      <c r="H256" s="471">
        <v>74402.990000000005</v>
      </c>
      <c r="I256" s="473">
        <v>906.65</v>
      </c>
      <c r="J256" s="473">
        <v>33248.5</v>
      </c>
      <c r="K256" s="472">
        <v>105.02</v>
      </c>
      <c r="L256" s="471">
        <v>6023.8</v>
      </c>
      <c r="M256" s="473">
        <v>15.78</v>
      </c>
      <c r="N256" s="473">
        <v>33391.800000000003</v>
      </c>
      <c r="O256" s="473">
        <v>29.2</v>
      </c>
      <c r="P256" s="473">
        <v>636.48</v>
      </c>
      <c r="Q256" s="473">
        <v>742.3</v>
      </c>
      <c r="R256" s="473">
        <v>10278.540000000001</v>
      </c>
      <c r="S256" s="473">
        <v>9.0399999999999991</v>
      </c>
      <c r="T256" s="473">
        <v>36394</v>
      </c>
      <c r="U256" s="473">
        <v>69</v>
      </c>
      <c r="V256" s="473">
        <v>268.32</v>
      </c>
      <c r="W256" s="473">
        <v>0.16</v>
      </c>
      <c r="X256" s="473">
        <v>6974.48</v>
      </c>
      <c r="Y256" s="473">
        <v>0</v>
      </c>
      <c r="Z256" s="473">
        <v>54169</v>
      </c>
      <c r="AA256" s="472">
        <v>79</v>
      </c>
      <c r="AB256" s="473">
        <v>1.5</v>
      </c>
      <c r="AC256" s="474">
        <v>0</v>
      </c>
      <c r="AD256" s="473"/>
      <c r="AE256" s="472"/>
      <c r="AF256" s="506"/>
      <c r="AG256" s="474"/>
      <c r="AH256" s="506"/>
      <c r="AI256" s="474"/>
      <c r="AJ256" s="506"/>
      <c r="AK256" s="474"/>
    </row>
    <row r="257" spans="1:37">
      <c r="A257" s="492">
        <f t="shared" si="15"/>
        <v>45687</v>
      </c>
      <c r="B257" s="102" t="s">
        <v>3267</v>
      </c>
      <c r="C257" s="110" t="str">
        <f t="shared" si="14"/>
        <v>45687 0000H</v>
      </c>
      <c r="D257" s="337">
        <v>1312.79</v>
      </c>
      <c r="E257" s="338">
        <v>49.67</v>
      </c>
      <c r="F257" s="337">
        <v>1108.67</v>
      </c>
      <c r="G257" s="338">
        <v>6.2</v>
      </c>
      <c r="H257" s="337">
        <v>74411.19</v>
      </c>
      <c r="I257" s="475">
        <v>906.65</v>
      </c>
      <c r="J257" s="475">
        <v>33249.58</v>
      </c>
      <c r="K257" s="338">
        <v>105.07</v>
      </c>
      <c r="L257" s="337">
        <v>6028.13</v>
      </c>
      <c r="M257" s="475">
        <v>15.78</v>
      </c>
      <c r="N257" s="475">
        <v>33395.5</v>
      </c>
      <c r="O257" s="475">
        <v>29.2</v>
      </c>
      <c r="P257" s="475">
        <v>636.94000000000005</v>
      </c>
      <c r="Q257" s="475">
        <v>742.63</v>
      </c>
      <c r="R257" s="475">
        <v>10283.030000000001</v>
      </c>
      <c r="S257" s="475">
        <v>9.0399999999999991</v>
      </c>
      <c r="T257" s="475">
        <v>36401</v>
      </c>
      <c r="U257" s="475">
        <v>69</v>
      </c>
      <c r="V257" s="475">
        <v>268.32</v>
      </c>
      <c r="W257" s="475">
        <v>0.16</v>
      </c>
      <c r="X257" s="475">
        <v>6981.45</v>
      </c>
      <c r="Y257" s="475">
        <v>0</v>
      </c>
      <c r="Z257" s="475">
        <v>54169</v>
      </c>
      <c r="AA257" s="338">
        <v>79</v>
      </c>
      <c r="AB257" s="475">
        <v>3.76</v>
      </c>
      <c r="AC257" s="476">
        <v>0</v>
      </c>
      <c r="AD257" s="475"/>
      <c r="AE257" s="338"/>
      <c r="AF257" s="505"/>
      <c r="AG257" s="476"/>
      <c r="AH257" s="505"/>
      <c r="AI257" s="476"/>
      <c r="AJ257" s="505"/>
      <c r="AK257" s="476"/>
    </row>
    <row r="258" spans="1:37">
      <c r="A258" s="492">
        <f t="shared" si="15"/>
        <v>45687</v>
      </c>
      <c r="B258" s="102" t="s">
        <v>1197</v>
      </c>
      <c r="C258" s="110" t="str">
        <f t="shared" si="14"/>
        <v>45687 1200H</v>
      </c>
      <c r="D258" s="471">
        <v>1317.03</v>
      </c>
      <c r="E258" s="472">
        <v>49.67</v>
      </c>
      <c r="F258" s="471">
        <v>1108.67</v>
      </c>
      <c r="G258" s="472">
        <v>6.2</v>
      </c>
      <c r="H258" s="471">
        <v>74419.66</v>
      </c>
      <c r="I258" s="473">
        <v>906.65</v>
      </c>
      <c r="J258" s="473">
        <v>33253.379999999997</v>
      </c>
      <c r="K258" s="472">
        <v>105.07</v>
      </c>
      <c r="L258" s="471">
        <v>6028.18</v>
      </c>
      <c r="M258" s="473">
        <v>16.059999999999999</v>
      </c>
      <c r="N258" s="473">
        <v>33402.400000000001</v>
      </c>
      <c r="O258" s="473">
        <v>29.2</v>
      </c>
      <c r="P258" s="473">
        <v>639.53</v>
      </c>
      <c r="Q258" s="473">
        <v>742.63</v>
      </c>
      <c r="R258" s="473">
        <v>10286.73</v>
      </c>
      <c r="S258" s="473">
        <v>9.0399999999999991</v>
      </c>
      <c r="T258" s="473">
        <v>36407</v>
      </c>
      <c r="U258" s="473">
        <v>69</v>
      </c>
      <c r="V258" s="473">
        <v>270.64999999999998</v>
      </c>
      <c r="W258" s="473">
        <v>0.16</v>
      </c>
      <c r="X258" s="473">
        <v>6987.58</v>
      </c>
      <c r="Y258" s="473">
        <v>0</v>
      </c>
      <c r="Z258" s="473">
        <v>54169</v>
      </c>
      <c r="AA258" s="472">
        <v>79</v>
      </c>
      <c r="AB258" s="473">
        <v>6.62</v>
      </c>
      <c r="AC258" s="474">
        <v>0</v>
      </c>
      <c r="AD258" s="473"/>
      <c r="AE258" s="472"/>
      <c r="AF258" s="506"/>
      <c r="AG258" s="474"/>
      <c r="AH258" s="506"/>
      <c r="AI258" s="474"/>
      <c r="AJ258" s="506"/>
      <c r="AK258" s="474"/>
    </row>
    <row r="259" spans="1:37">
      <c r="A259" s="492">
        <f t="shared" si="15"/>
        <v>45688</v>
      </c>
      <c r="B259" s="102" t="s">
        <v>3267</v>
      </c>
      <c r="C259" s="110" t="str">
        <f t="shared" si="14"/>
        <v>45688 0000H</v>
      </c>
      <c r="D259" s="337">
        <v>1323.61</v>
      </c>
      <c r="E259" s="338">
        <v>49.67</v>
      </c>
      <c r="F259" s="337">
        <v>1108.67</v>
      </c>
      <c r="G259" s="338">
        <v>6.2</v>
      </c>
      <c r="H259" s="337">
        <v>74428.06</v>
      </c>
      <c r="I259" s="475">
        <v>906.65</v>
      </c>
      <c r="J259" s="475">
        <v>33257.120000000003</v>
      </c>
      <c r="K259" s="338">
        <v>105.7</v>
      </c>
      <c r="L259" s="337">
        <v>6028.18</v>
      </c>
      <c r="M259" s="475">
        <v>16.3</v>
      </c>
      <c r="N259" s="475">
        <v>33409.199999999997</v>
      </c>
      <c r="O259" s="475">
        <v>29.2</v>
      </c>
      <c r="P259" s="475">
        <v>642.91</v>
      </c>
      <c r="Q259" s="475">
        <v>742.91</v>
      </c>
      <c r="R259" s="475">
        <v>10291.120000000001</v>
      </c>
      <c r="S259" s="475">
        <v>9.0399999999999991</v>
      </c>
      <c r="T259" s="475">
        <v>36414</v>
      </c>
      <c r="U259" s="475">
        <v>69</v>
      </c>
      <c r="V259" s="475">
        <v>273.24</v>
      </c>
      <c r="W259" s="475">
        <v>0.16</v>
      </c>
      <c r="X259" s="475">
        <v>6994.59</v>
      </c>
      <c r="Y259" s="475">
        <v>0</v>
      </c>
      <c r="Z259" s="475">
        <v>54169</v>
      </c>
      <c r="AA259" s="338">
        <v>79</v>
      </c>
      <c r="AB259" s="475">
        <v>7.08</v>
      </c>
      <c r="AC259" s="476">
        <v>0</v>
      </c>
      <c r="AD259" s="475"/>
      <c r="AE259" s="338"/>
      <c r="AF259" s="505"/>
      <c r="AG259" s="476"/>
      <c r="AH259" s="505"/>
      <c r="AI259" s="476"/>
      <c r="AJ259" s="505"/>
      <c r="AK259" s="476"/>
    </row>
    <row r="260" spans="1:37">
      <c r="A260" s="492">
        <f t="shared" si="15"/>
        <v>45688</v>
      </c>
      <c r="B260" s="102" t="s">
        <v>1197</v>
      </c>
      <c r="C260" s="110" t="str">
        <f t="shared" si="14"/>
        <v>45688 1200H</v>
      </c>
      <c r="D260" s="471">
        <v>1328.89</v>
      </c>
      <c r="E260" s="472">
        <v>49.67</v>
      </c>
      <c r="F260" s="471">
        <v>1108.67</v>
      </c>
      <c r="G260" s="472">
        <v>6.2</v>
      </c>
      <c r="H260" s="471">
        <v>74436.47</v>
      </c>
      <c r="I260" s="473">
        <v>906.65</v>
      </c>
      <c r="J260" s="473">
        <v>33260.89</v>
      </c>
      <c r="K260" s="472">
        <v>105.07</v>
      </c>
      <c r="L260" s="471">
        <v>6028.18</v>
      </c>
      <c r="M260" s="473">
        <v>16.5</v>
      </c>
      <c r="N260" s="473">
        <v>33414.9</v>
      </c>
      <c r="O260" s="473">
        <v>29.2</v>
      </c>
      <c r="P260" s="473">
        <v>644.4</v>
      </c>
      <c r="Q260" s="473">
        <v>743.32</v>
      </c>
      <c r="R260" s="473">
        <v>10294.93</v>
      </c>
      <c r="S260" s="473">
        <v>9.0399999999999991</v>
      </c>
      <c r="T260" s="473">
        <v>36421</v>
      </c>
      <c r="U260" s="473">
        <v>69</v>
      </c>
      <c r="V260" s="473">
        <v>276.49</v>
      </c>
      <c r="W260" s="473">
        <v>0.16</v>
      </c>
      <c r="X260" s="473">
        <v>7000.82</v>
      </c>
      <c r="Y260" s="473">
        <v>0</v>
      </c>
      <c r="Z260" s="473">
        <v>54169</v>
      </c>
      <c r="AA260" s="472">
        <v>79</v>
      </c>
      <c r="AB260" s="473">
        <v>7.11</v>
      </c>
      <c r="AC260" s="474">
        <v>0</v>
      </c>
      <c r="AD260" s="473"/>
      <c r="AE260" s="472"/>
      <c r="AF260" s="506"/>
      <c r="AG260" s="474"/>
      <c r="AH260" s="506"/>
      <c r="AI260" s="474"/>
      <c r="AJ260" s="506"/>
      <c r="AK260" s="474"/>
    </row>
    <row r="261" spans="1:37">
      <c r="A261" s="492">
        <f t="shared" si="15"/>
        <v>45689</v>
      </c>
      <c r="B261" s="102" t="s">
        <v>3267</v>
      </c>
      <c r="C261" s="110" t="str">
        <f t="shared" si="14"/>
        <v>45689 0000H</v>
      </c>
      <c r="D261" s="337">
        <v>1335.25</v>
      </c>
      <c r="E261" s="338">
        <v>49.67</v>
      </c>
      <c r="F261" s="337">
        <v>1108.67</v>
      </c>
      <c r="G261" s="338">
        <v>6.2</v>
      </c>
      <c r="H261" s="337">
        <v>74444.91</v>
      </c>
      <c r="I261" s="475">
        <v>906.65</v>
      </c>
      <c r="J261" s="475">
        <v>33264.58</v>
      </c>
      <c r="K261" s="338">
        <v>105.07</v>
      </c>
      <c r="L261" s="337">
        <v>6028.18</v>
      </c>
      <c r="M261" s="475">
        <v>16.760000000000002</v>
      </c>
      <c r="N261" s="475">
        <v>33418.699999999997</v>
      </c>
      <c r="O261" s="475">
        <v>29.2</v>
      </c>
      <c r="P261" s="475">
        <v>649.91</v>
      </c>
      <c r="Q261" s="475">
        <v>743.32</v>
      </c>
      <c r="R261" s="475">
        <v>10299.280000000001</v>
      </c>
      <c r="S261" s="475">
        <v>9.0399999999999991</v>
      </c>
      <c r="T261" s="475">
        <v>36428</v>
      </c>
      <c r="U261" s="475">
        <v>69</v>
      </c>
      <c r="V261" s="475">
        <v>276.86</v>
      </c>
      <c r="W261" s="475">
        <v>0.16</v>
      </c>
      <c r="X261" s="475">
        <v>7007.81</v>
      </c>
      <c r="Y261" s="475">
        <v>0</v>
      </c>
      <c r="Z261" s="475">
        <v>54169</v>
      </c>
      <c r="AA261" s="338">
        <v>79</v>
      </c>
      <c r="AB261" s="475">
        <v>10.06</v>
      </c>
      <c r="AC261" s="476">
        <v>0</v>
      </c>
      <c r="AD261" s="475"/>
      <c r="AE261" s="338"/>
      <c r="AF261" s="505"/>
      <c r="AG261" s="476"/>
      <c r="AH261" s="505"/>
      <c r="AI261" s="476"/>
      <c r="AJ261" s="505"/>
      <c r="AK261" s="476"/>
    </row>
    <row r="262" spans="1:37">
      <c r="A262" s="492">
        <f t="shared" si="15"/>
        <v>45689</v>
      </c>
      <c r="B262" s="102" t="s">
        <v>1197</v>
      </c>
      <c r="C262" s="110" t="str">
        <f t="shared" si="14"/>
        <v>45689 1200H</v>
      </c>
      <c r="D262" s="471">
        <v>1341.54</v>
      </c>
      <c r="E262" s="472">
        <v>49.67</v>
      </c>
      <c r="F262" s="471">
        <v>1108.67</v>
      </c>
      <c r="G262" s="472">
        <v>6.2</v>
      </c>
      <c r="H262" s="471">
        <v>74453.11</v>
      </c>
      <c r="I262" s="473">
        <v>906.65</v>
      </c>
      <c r="J262" s="473">
        <v>33266.050000000003</v>
      </c>
      <c r="K262" s="472">
        <v>105.09</v>
      </c>
      <c r="L262" s="471">
        <v>6028.18</v>
      </c>
      <c r="M262" s="473">
        <v>16.86</v>
      </c>
      <c r="N262" s="473">
        <v>33421.300000000003</v>
      </c>
      <c r="O262" s="473">
        <v>29.2</v>
      </c>
      <c r="P262" s="473">
        <v>651.41</v>
      </c>
      <c r="Q262" s="473">
        <v>744.27</v>
      </c>
      <c r="R262" s="473">
        <v>10302.99</v>
      </c>
      <c r="S262" s="473">
        <v>9.0399999999999991</v>
      </c>
      <c r="T262" s="473">
        <v>36434</v>
      </c>
      <c r="U262" s="473">
        <v>69</v>
      </c>
      <c r="V262" s="473">
        <v>282.74</v>
      </c>
      <c r="W262" s="473">
        <v>0.16</v>
      </c>
      <c r="X262" s="473">
        <v>7013.17</v>
      </c>
      <c r="Y262" s="473">
        <v>0</v>
      </c>
      <c r="Z262" s="473">
        <v>54169</v>
      </c>
      <c r="AA262" s="472">
        <v>79</v>
      </c>
      <c r="AB262" s="473">
        <v>10.64</v>
      </c>
      <c r="AC262" s="474">
        <v>0.03</v>
      </c>
      <c r="AD262" s="473"/>
      <c r="AE262" s="472"/>
      <c r="AF262" s="506"/>
      <c r="AG262" s="474"/>
      <c r="AH262" s="506"/>
      <c r="AI262" s="474"/>
      <c r="AJ262" s="506"/>
      <c r="AK262" s="474"/>
    </row>
    <row r="263" spans="1:37">
      <c r="A263" s="492">
        <f t="shared" si="15"/>
        <v>45690</v>
      </c>
      <c r="B263" s="102" t="s">
        <v>3267</v>
      </c>
      <c r="C263" s="110" t="str">
        <f t="shared" si="14"/>
        <v>45690 0000H</v>
      </c>
      <c r="D263" s="337">
        <v>1347.9</v>
      </c>
      <c r="E263" s="338">
        <v>49.67</v>
      </c>
      <c r="F263" s="337">
        <v>1108.67</v>
      </c>
      <c r="G263" s="338">
        <v>6.2</v>
      </c>
      <c r="H263" s="337">
        <v>74461.27</v>
      </c>
      <c r="I263" s="475">
        <v>906.65</v>
      </c>
      <c r="J263" s="475">
        <v>33266.050000000003</v>
      </c>
      <c r="K263" s="338">
        <v>105.17</v>
      </c>
      <c r="L263" s="337">
        <v>6028.18</v>
      </c>
      <c r="M263" s="475">
        <v>16.93</v>
      </c>
      <c r="N263" s="475">
        <v>33424.9</v>
      </c>
      <c r="O263" s="475">
        <v>29.2</v>
      </c>
      <c r="P263" s="475">
        <v>657.66</v>
      </c>
      <c r="Q263" s="475">
        <v>744.27</v>
      </c>
      <c r="R263" s="475">
        <v>10307.24</v>
      </c>
      <c r="S263" s="475">
        <v>9.0399999999999991</v>
      </c>
      <c r="T263" s="475">
        <v>36441</v>
      </c>
      <c r="U263" s="475">
        <v>69</v>
      </c>
      <c r="V263" s="475">
        <v>287.2</v>
      </c>
      <c r="W263" s="475">
        <v>0.16</v>
      </c>
      <c r="X263" s="475">
        <v>7020.76</v>
      </c>
      <c r="Y263" s="475">
        <v>0</v>
      </c>
      <c r="Z263" s="475">
        <v>54169</v>
      </c>
      <c r="AA263" s="338">
        <v>79</v>
      </c>
      <c r="AB263" s="475">
        <v>16.3</v>
      </c>
      <c r="AC263" s="476">
        <v>0.03</v>
      </c>
      <c r="AD263" s="475"/>
      <c r="AE263" s="338"/>
      <c r="AF263" s="505"/>
      <c r="AG263" s="476"/>
      <c r="AH263" s="505"/>
      <c r="AI263" s="476"/>
      <c r="AJ263" s="505"/>
      <c r="AK263" s="476"/>
    </row>
    <row r="264" spans="1:37">
      <c r="A264" s="492">
        <f t="shared" si="15"/>
        <v>45690</v>
      </c>
      <c r="B264" s="102" t="s">
        <v>1197</v>
      </c>
      <c r="C264" s="110" t="str">
        <f t="shared" si="14"/>
        <v>45690 1200H</v>
      </c>
      <c r="D264" s="471">
        <v>1353.64</v>
      </c>
      <c r="E264" s="472">
        <v>49.67</v>
      </c>
      <c r="F264" s="471">
        <v>1108.67</v>
      </c>
      <c r="G264" s="472">
        <v>6.2</v>
      </c>
      <c r="H264" s="471">
        <v>74269.69</v>
      </c>
      <c r="I264" s="473">
        <v>906.35</v>
      </c>
      <c r="J264" s="473">
        <v>33266.29</v>
      </c>
      <c r="K264" s="472">
        <v>105.27</v>
      </c>
      <c r="L264" s="471">
        <v>6028.18</v>
      </c>
      <c r="M264" s="473">
        <v>16.98</v>
      </c>
      <c r="N264" s="473">
        <v>33428.6</v>
      </c>
      <c r="O264" s="473">
        <v>29.2</v>
      </c>
      <c r="P264" s="473">
        <v>659.24</v>
      </c>
      <c r="Q264" s="473">
        <v>744.68</v>
      </c>
      <c r="R264" s="473">
        <v>10311.02</v>
      </c>
      <c r="S264" s="473">
        <v>9.0399999999999991</v>
      </c>
      <c r="T264" s="473">
        <v>36446</v>
      </c>
      <c r="U264" s="473">
        <v>69</v>
      </c>
      <c r="V264" s="473">
        <v>293.08</v>
      </c>
      <c r="W264" s="473">
        <v>0.16</v>
      </c>
      <c r="X264" s="473">
        <v>7028.68</v>
      </c>
      <c r="Y264" s="473">
        <v>0</v>
      </c>
      <c r="Z264" s="473">
        <v>54169</v>
      </c>
      <c r="AA264" s="472">
        <v>79</v>
      </c>
      <c r="AB264" s="473">
        <v>16.52</v>
      </c>
      <c r="AC264" s="474">
        <v>0.04</v>
      </c>
      <c r="AD264" s="473"/>
      <c r="AE264" s="472"/>
      <c r="AF264" s="506"/>
      <c r="AG264" s="474"/>
      <c r="AH264" s="506"/>
      <c r="AI264" s="474"/>
      <c r="AJ264" s="506"/>
      <c r="AK264" s="474"/>
    </row>
    <row r="265" spans="1:37">
      <c r="A265" s="492">
        <f t="shared" si="15"/>
        <v>45691</v>
      </c>
      <c r="B265" s="102" t="s">
        <v>3267</v>
      </c>
      <c r="C265" s="110" t="str">
        <f t="shared" si="14"/>
        <v>45691 0000H</v>
      </c>
      <c r="D265" s="337">
        <v>1360.08</v>
      </c>
      <c r="E265" s="338">
        <v>49.67</v>
      </c>
      <c r="F265" s="337">
        <v>1108.67</v>
      </c>
      <c r="G265" s="338">
        <v>6.2</v>
      </c>
      <c r="H265" s="337">
        <v>74477.789999999994</v>
      </c>
      <c r="I265" s="475">
        <v>906.65</v>
      </c>
      <c r="J265" s="475">
        <v>33266.519999999997</v>
      </c>
      <c r="K265" s="338">
        <v>105.32</v>
      </c>
      <c r="L265" s="337">
        <v>6028.18</v>
      </c>
      <c r="M265" s="475">
        <v>17.04</v>
      </c>
      <c r="N265" s="475">
        <v>33433.1</v>
      </c>
      <c r="O265" s="475">
        <v>29.2</v>
      </c>
      <c r="P265" s="475">
        <v>663.25</v>
      </c>
      <c r="Q265" s="475">
        <v>744.76</v>
      </c>
      <c r="R265" s="475">
        <v>10315.48</v>
      </c>
      <c r="S265" s="475">
        <v>9.0399999999999991</v>
      </c>
      <c r="T265" s="475">
        <v>36453</v>
      </c>
      <c r="U265" s="475">
        <v>69</v>
      </c>
      <c r="V265" s="475">
        <v>299.39</v>
      </c>
      <c r="W265" s="475">
        <v>0.16</v>
      </c>
      <c r="X265" s="475">
        <v>7032.73</v>
      </c>
      <c r="Y265" s="475">
        <v>0</v>
      </c>
      <c r="Z265" s="475">
        <v>54169</v>
      </c>
      <c r="AA265" s="338">
        <v>79</v>
      </c>
      <c r="AB265" s="475">
        <v>19.95</v>
      </c>
      <c r="AC265" s="476">
        <v>0.05</v>
      </c>
      <c r="AD265" s="475"/>
      <c r="AE265" s="338"/>
      <c r="AF265" s="505"/>
      <c r="AG265" s="476"/>
      <c r="AH265" s="505"/>
      <c r="AI265" s="476"/>
      <c r="AJ265" s="505"/>
      <c r="AK265" s="476"/>
    </row>
    <row r="266" spans="1:37">
      <c r="A266" s="492">
        <f t="shared" si="15"/>
        <v>45691</v>
      </c>
      <c r="B266" s="102" t="s">
        <v>1197</v>
      </c>
      <c r="C266" s="110" t="str">
        <f t="shared" si="14"/>
        <v>45691 1200H</v>
      </c>
      <c r="D266" s="471">
        <v>1365.61</v>
      </c>
      <c r="E266" s="472">
        <v>49.67</v>
      </c>
      <c r="F266" s="471">
        <v>1108.67</v>
      </c>
      <c r="G266" s="472">
        <v>6.2</v>
      </c>
      <c r="H266" s="471">
        <v>74486.2</v>
      </c>
      <c r="I266" s="473">
        <v>906.65</v>
      </c>
      <c r="J266" s="473">
        <v>33266.519999999997</v>
      </c>
      <c r="K266" s="472">
        <v>105.34</v>
      </c>
      <c r="L266" s="471">
        <v>6028.18</v>
      </c>
      <c r="M266" s="473">
        <v>17.09</v>
      </c>
      <c r="N266" s="473">
        <v>33440.699999999997</v>
      </c>
      <c r="O266" s="473">
        <v>29.2</v>
      </c>
      <c r="P266" s="473">
        <v>665.17</v>
      </c>
      <c r="Q266" s="473">
        <v>745.24</v>
      </c>
      <c r="R266" s="473">
        <v>10319.19</v>
      </c>
      <c r="S266" s="473">
        <v>9.0399999999999991</v>
      </c>
      <c r="T266" s="473">
        <v>36459</v>
      </c>
      <c r="U266" s="473">
        <v>69</v>
      </c>
      <c r="V266" s="473">
        <v>303.88</v>
      </c>
      <c r="W266" s="473">
        <v>0.16</v>
      </c>
      <c r="X266" s="473">
        <v>7039.2</v>
      </c>
      <c r="Y266" s="473">
        <v>0</v>
      </c>
      <c r="Z266" s="473">
        <v>54169</v>
      </c>
      <c r="AA266" s="472">
        <v>79</v>
      </c>
      <c r="AB266" s="473">
        <v>21.75</v>
      </c>
      <c r="AC266" s="474">
        <v>0.05</v>
      </c>
      <c r="AD266" s="473"/>
      <c r="AE266" s="472"/>
      <c r="AF266" s="506"/>
      <c r="AG266" s="474"/>
      <c r="AH266" s="506"/>
      <c r="AI266" s="474"/>
      <c r="AJ266" s="506"/>
      <c r="AK266" s="474"/>
    </row>
    <row r="267" spans="1:37">
      <c r="A267" s="492">
        <f t="shared" si="15"/>
        <v>45692</v>
      </c>
      <c r="B267" s="102" t="s">
        <v>3267</v>
      </c>
      <c r="C267" s="110" t="str">
        <f t="shared" si="14"/>
        <v>45692 0000H</v>
      </c>
      <c r="D267" s="337">
        <v>1371.99</v>
      </c>
      <c r="E267" s="338">
        <v>49.67</v>
      </c>
      <c r="F267" s="337">
        <v>1108.67</v>
      </c>
      <c r="G267" s="338">
        <v>6.2</v>
      </c>
      <c r="H267" s="337">
        <v>74494.399999999994</v>
      </c>
      <c r="I267" s="475">
        <v>906.65</v>
      </c>
      <c r="J267" s="475">
        <v>33266.519999999997</v>
      </c>
      <c r="K267" s="338">
        <v>105.41</v>
      </c>
      <c r="L267" s="337">
        <v>6028.18</v>
      </c>
      <c r="M267" s="475">
        <v>17.09</v>
      </c>
      <c r="N267" s="475">
        <v>33447.699999999997</v>
      </c>
      <c r="O267" s="475">
        <v>29.2</v>
      </c>
      <c r="P267" s="475">
        <v>669.9</v>
      </c>
      <c r="Q267" s="475">
        <v>745.29</v>
      </c>
      <c r="R267" s="475">
        <v>10323.73</v>
      </c>
      <c r="S267" s="475">
        <v>9.0399999999999991</v>
      </c>
      <c r="T267" s="475">
        <v>36467</v>
      </c>
      <c r="U267" s="475">
        <v>69</v>
      </c>
      <c r="V267" s="475">
        <v>309.74</v>
      </c>
      <c r="W267" s="475">
        <v>0.16</v>
      </c>
      <c r="X267" s="475">
        <v>7046.81</v>
      </c>
      <c r="Y267" s="475">
        <v>0</v>
      </c>
      <c r="Z267" s="475">
        <v>54169</v>
      </c>
      <c r="AA267" s="338">
        <v>79</v>
      </c>
      <c r="AB267" s="475">
        <v>28.57</v>
      </c>
      <c r="AC267" s="476">
        <v>0.05</v>
      </c>
      <c r="AD267" s="475"/>
      <c r="AE267" s="338"/>
      <c r="AF267" s="505"/>
      <c r="AG267" s="476"/>
      <c r="AH267" s="505"/>
      <c r="AI267" s="476"/>
      <c r="AJ267" s="505"/>
      <c r="AK267" s="476"/>
    </row>
    <row r="268" spans="1:37">
      <c r="A268" s="492">
        <f t="shared" si="15"/>
        <v>45692</v>
      </c>
      <c r="B268" s="102" t="s">
        <v>1197</v>
      </c>
      <c r="C268" s="110" t="str">
        <f t="shared" si="14"/>
        <v>45692 1200H</v>
      </c>
      <c r="D268" s="471">
        <v>1377.4</v>
      </c>
      <c r="E268" s="472">
        <v>49.67</v>
      </c>
      <c r="F268" s="471">
        <v>1108.67</v>
      </c>
      <c r="G268" s="472">
        <v>6.2</v>
      </c>
      <c r="H268" s="471">
        <v>74502.267999999996</v>
      </c>
      <c r="I268" s="473">
        <v>906.65</v>
      </c>
      <c r="J268" s="473">
        <v>33267.53</v>
      </c>
      <c r="K268" s="472">
        <v>105.48</v>
      </c>
      <c r="L268" s="471">
        <v>6028.18</v>
      </c>
      <c r="M268" s="473">
        <v>17.190000000000001</v>
      </c>
      <c r="N268" s="473">
        <v>33455</v>
      </c>
      <c r="O268" s="473">
        <v>29.2</v>
      </c>
      <c r="P268" s="473">
        <v>671.08</v>
      </c>
      <c r="Q268" s="473">
        <v>745.87</v>
      </c>
      <c r="R268" s="473">
        <v>10327.41</v>
      </c>
      <c r="S268" s="473">
        <v>9.0399999999999991</v>
      </c>
      <c r="T268" s="473">
        <v>36473</v>
      </c>
      <c r="U268" s="473">
        <v>69</v>
      </c>
      <c r="V268" s="473">
        <v>315.82</v>
      </c>
      <c r="W268" s="473">
        <v>0.16</v>
      </c>
      <c r="X268" s="473">
        <v>7053.14</v>
      </c>
      <c r="Y268" s="473">
        <v>0</v>
      </c>
      <c r="Z268" s="473">
        <v>54169</v>
      </c>
      <c r="AA268" s="472">
        <v>79</v>
      </c>
      <c r="AB268" s="473">
        <v>31.3</v>
      </c>
      <c r="AC268" s="474">
        <v>0.06</v>
      </c>
      <c r="AD268" s="473">
        <v>62.14</v>
      </c>
      <c r="AE268" s="472">
        <v>0.22</v>
      </c>
      <c r="AF268" s="506"/>
      <c r="AG268" s="474"/>
      <c r="AH268" s="506"/>
      <c r="AI268" s="474"/>
      <c r="AJ268" s="506"/>
      <c r="AK268" s="474"/>
    </row>
    <row r="269" spans="1:37">
      <c r="A269" s="492">
        <f t="shared" si="15"/>
        <v>45693</v>
      </c>
      <c r="B269" s="102" t="s">
        <v>3267</v>
      </c>
      <c r="C269" s="110" t="str">
        <f t="shared" si="14"/>
        <v>45693 0000H</v>
      </c>
      <c r="D269" s="337">
        <v>1383.86</v>
      </c>
      <c r="E269" s="338">
        <v>49.67</v>
      </c>
      <c r="F269" s="337">
        <v>1108.67</v>
      </c>
      <c r="G269" s="338">
        <v>6.2</v>
      </c>
      <c r="H269" s="337">
        <v>74504.73</v>
      </c>
      <c r="I269" s="475">
        <v>906.65</v>
      </c>
      <c r="J269" s="475">
        <v>33271.360000000001</v>
      </c>
      <c r="K269" s="338">
        <v>105.48</v>
      </c>
      <c r="L269" s="337">
        <v>6028.18</v>
      </c>
      <c r="M269" s="475">
        <v>17.28</v>
      </c>
      <c r="N269" s="475">
        <v>33462.400000000001</v>
      </c>
      <c r="O269" s="475">
        <v>29.2</v>
      </c>
      <c r="P269" s="475">
        <v>674.9</v>
      </c>
      <c r="Q269" s="475">
        <v>745.97</v>
      </c>
      <c r="R269" s="475">
        <v>10331.83</v>
      </c>
      <c r="S269" s="475">
        <v>9.0399999999999991</v>
      </c>
      <c r="T269" s="475">
        <v>36481</v>
      </c>
      <c r="U269" s="475">
        <v>69</v>
      </c>
      <c r="V269" s="475">
        <v>323.60000000000002</v>
      </c>
      <c r="W269" s="475">
        <v>0.16</v>
      </c>
      <c r="X269" s="475">
        <v>7065.05</v>
      </c>
      <c r="Y269" s="475">
        <v>0</v>
      </c>
      <c r="Z269" s="475">
        <v>54169</v>
      </c>
      <c r="AA269" s="338">
        <v>79</v>
      </c>
      <c r="AB269" s="475">
        <v>40.61</v>
      </c>
      <c r="AC269" s="476">
        <v>0.06</v>
      </c>
      <c r="AD269" s="475">
        <v>72.400000000000006</v>
      </c>
      <c r="AE269" s="338">
        <v>0.22</v>
      </c>
      <c r="AF269" s="505"/>
      <c r="AG269" s="476"/>
      <c r="AH269" s="505"/>
      <c r="AI269" s="476"/>
      <c r="AJ269" s="505"/>
      <c r="AK269" s="476"/>
    </row>
    <row r="270" spans="1:37">
      <c r="A270" s="492">
        <f t="shared" si="15"/>
        <v>45693</v>
      </c>
      <c r="B270" s="102" t="s">
        <v>1197</v>
      </c>
      <c r="C270" s="110" t="str">
        <f t="shared" si="14"/>
        <v>45693 1200H</v>
      </c>
      <c r="D270" s="471">
        <v>1389.45</v>
      </c>
      <c r="E270" s="472">
        <v>49.67</v>
      </c>
      <c r="F270" s="471">
        <v>1108.67</v>
      </c>
      <c r="G270" s="472">
        <v>6.2</v>
      </c>
      <c r="H270" s="471">
        <v>74504.740000000005</v>
      </c>
      <c r="I270" s="473">
        <v>907.27</v>
      </c>
      <c r="J270" s="473">
        <v>33275.1</v>
      </c>
      <c r="K270" s="472">
        <v>105.48</v>
      </c>
      <c r="L270" s="471">
        <v>6028.18</v>
      </c>
      <c r="M270" s="473">
        <v>17.34</v>
      </c>
      <c r="N270" s="473">
        <v>33469</v>
      </c>
      <c r="O270" s="473">
        <v>29.2</v>
      </c>
      <c r="P270" s="473">
        <v>676.27</v>
      </c>
      <c r="Q270" s="473">
        <v>746.66</v>
      </c>
      <c r="R270" s="473">
        <v>10335.379999999999</v>
      </c>
      <c r="S270" s="473">
        <v>9.0399999999999991</v>
      </c>
      <c r="T270" s="473">
        <v>36487</v>
      </c>
      <c r="U270" s="473">
        <v>69</v>
      </c>
      <c r="V270" s="473">
        <v>330.06</v>
      </c>
      <c r="W270" s="473">
        <v>0.16</v>
      </c>
      <c r="X270" s="473">
        <v>7066.23</v>
      </c>
      <c r="Y270" s="473">
        <v>0</v>
      </c>
      <c r="Z270" s="473">
        <v>54169</v>
      </c>
      <c r="AA270" s="472">
        <v>79</v>
      </c>
      <c r="AB270" s="473">
        <v>45.28</v>
      </c>
      <c r="AC270" s="474">
        <v>0.06</v>
      </c>
      <c r="AD270" s="473"/>
      <c r="AE270" s="472"/>
      <c r="AF270" s="506"/>
      <c r="AG270" s="474"/>
      <c r="AH270" s="506"/>
      <c r="AI270" s="474"/>
      <c r="AJ270" s="506"/>
      <c r="AK270" s="474"/>
    </row>
    <row r="271" spans="1:37">
      <c r="A271" s="492">
        <f t="shared" si="15"/>
        <v>45694</v>
      </c>
      <c r="B271" s="102" t="s">
        <v>3267</v>
      </c>
      <c r="C271" s="110" t="str">
        <f t="shared" si="14"/>
        <v>45694 0000H</v>
      </c>
      <c r="D271" s="337">
        <v>1395.65</v>
      </c>
      <c r="E271" s="338">
        <v>49.67</v>
      </c>
      <c r="F271" s="337">
        <v>1108.67</v>
      </c>
      <c r="G271" s="338">
        <v>6.2</v>
      </c>
      <c r="H271" s="337">
        <v>74504.740000000005</v>
      </c>
      <c r="I271" s="475">
        <v>907.63</v>
      </c>
      <c r="J271" s="475">
        <v>33278.25</v>
      </c>
      <c r="K271" s="338">
        <v>105.51</v>
      </c>
      <c r="L271" s="337">
        <v>6028.18</v>
      </c>
      <c r="M271" s="475">
        <v>17.41</v>
      </c>
      <c r="N271" s="475">
        <v>33474.800000000003</v>
      </c>
      <c r="O271" s="475">
        <v>29.2</v>
      </c>
      <c r="P271" s="475">
        <v>681.46</v>
      </c>
      <c r="Q271" s="475">
        <v>746.66</v>
      </c>
      <c r="R271" s="475">
        <v>10339.73</v>
      </c>
      <c r="S271" s="475">
        <v>9.0399999999999991</v>
      </c>
      <c r="T271" s="475">
        <v>36494</v>
      </c>
      <c r="U271" s="475">
        <v>69</v>
      </c>
      <c r="V271" s="475">
        <v>337.55</v>
      </c>
      <c r="W271" s="475">
        <v>0.16</v>
      </c>
      <c r="X271" s="475">
        <v>7073.75</v>
      </c>
      <c r="Y271" s="475">
        <v>0</v>
      </c>
      <c r="Z271" s="475">
        <v>54169</v>
      </c>
      <c r="AA271" s="338">
        <v>79</v>
      </c>
      <c r="AB271" s="475">
        <v>53.71</v>
      </c>
      <c r="AC271" s="476">
        <v>0.06</v>
      </c>
      <c r="AD271" s="475"/>
      <c r="AE271" s="338"/>
      <c r="AF271" s="505"/>
      <c r="AG271" s="476"/>
      <c r="AH271" s="505"/>
      <c r="AI271" s="476"/>
      <c r="AJ271" s="505"/>
      <c r="AK271" s="476"/>
    </row>
    <row r="272" spans="1:37">
      <c r="A272" s="492">
        <f t="shared" si="15"/>
        <v>45694</v>
      </c>
      <c r="B272" s="102" t="s">
        <v>1197</v>
      </c>
      <c r="C272" s="110" t="str">
        <f t="shared" si="14"/>
        <v>45694 1200H</v>
      </c>
      <c r="D272" s="471">
        <v>1400.96</v>
      </c>
      <c r="E272" s="472">
        <v>49.67</v>
      </c>
      <c r="F272" s="471">
        <v>1108.67</v>
      </c>
      <c r="G272" s="472">
        <v>6.2</v>
      </c>
      <c r="H272" s="471">
        <v>74504.740000000005</v>
      </c>
      <c r="I272" s="473">
        <v>907.96</v>
      </c>
      <c r="J272" s="473">
        <v>33281.82</v>
      </c>
      <c r="K272" s="472">
        <v>105.51</v>
      </c>
      <c r="L272" s="471">
        <v>6028.18</v>
      </c>
      <c r="M272" s="473">
        <v>17.41</v>
      </c>
      <c r="N272" s="473">
        <v>33482.199999999997</v>
      </c>
      <c r="O272" s="473">
        <v>29.2</v>
      </c>
      <c r="P272" s="473">
        <v>683.05</v>
      </c>
      <c r="Q272" s="473">
        <v>747.07</v>
      </c>
      <c r="R272" s="473">
        <v>10343.379999999999</v>
      </c>
      <c r="S272" s="473">
        <v>9.0399999999999991</v>
      </c>
      <c r="T272" s="473">
        <v>36500</v>
      </c>
      <c r="U272" s="473">
        <v>69</v>
      </c>
      <c r="V272" s="473">
        <v>343.93</v>
      </c>
      <c r="W272" s="473">
        <v>0.16</v>
      </c>
      <c r="X272" s="473">
        <v>7079.93</v>
      </c>
      <c r="Y272" s="473">
        <v>0</v>
      </c>
      <c r="Z272" s="473">
        <v>54169</v>
      </c>
      <c r="AA272" s="472">
        <v>79</v>
      </c>
      <c r="AB272" s="473">
        <v>59.77</v>
      </c>
      <c r="AC272" s="474">
        <v>0.06</v>
      </c>
      <c r="AD272" s="473"/>
      <c r="AE272" s="472"/>
      <c r="AF272" s="506"/>
      <c r="AG272" s="474"/>
      <c r="AH272" s="506"/>
      <c r="AI272" s="474"/>
      <c r="AJ272" s="506"/>
      <c r="AK272" s="474"/>
    </row>
    <row r="273" spans="1:37">
      <c r="A273" s="492">
        <f t="shared" si="15"/>
        <v>45695</v>
      </c>
      <c r="B273" s="102" t="s">
        <v>3267</v>
      </c>
      <c r="C273" s="110" t="str">
        <f t="shared" si="14"/>
        <v>45695 0000H</v>
      </c>
      <c r="D273" s="337">
        <v>1407</v>
      </c>
      <c r="E273" s="338">
        <v>49.67</v>
      </c>
      <c r="F273" s="337">
        <v>1108.67</v>
      </c>
      <c r="G273" s="338">
        <v>6.2</v>
      </c>
      <c r="H273" s="337">
        <v>74504.740000000005</v>
      </c>
      <c r="I273" s="475">
        <v>908.34</v>
      </c>
      <c r="J273" s="475">
        <v>33285.660000000003</v>
      </c>
      <c r="K273" s="338">
        <v>105.51</v>
      </c>
      <c r="L273" s="337">
        <v>6028.18</v>
      </c>
      <c r="M273" s="475">
        <v>17.41</v>
      </c>
      <c r="N273" s="475">
        <v>33487.9</v>
      </c>
      <c r="O273" s="475">
        <v>29.2</v>
      </c>
      <c r="P273" s="475">
        <v>687.7</v>
      </c>
      <c r="Q273" s="475">
        <v>747.11</v>
      </c>
      <c r="R273" s="475">
        <v>10347.82</v>
      </c>
      <c r="S273" s="475">
        <v>9.0399999999999991</v>
      </c>
      <c r="T273" s="475">
        <v>36507</v>
      </c>
      <c r="U273" s="475">
        <v>69</v>
      </c>
      <c r="V273" s="475">
        <v>351.65</v>
      </c>
      <c r="W273" s="475">
        <v>0.16</v>
      </c>
      <c r="X273" s="475">
        <v>7087.34</v>
      </c>
      <c r="Y273" s="475">
        <v>0</v>
      </c>
      <c r="Z273" s="475">
        <v>54169</v>
      </c>
      <c r="AA273" s="338">
        <v>79</v>
      </c>
      <c r="AB273" s="475">
        <v>69.23</v>
      </c>
      <c r="AC273" s="476">
        <v>0.06</v>
      </c>
      <c r="AD273" s="475">
        <v>81.319999999999993</v>
      </c>
      <c r="AE273" s="338">
        <v>0.23</v>
      </c>
      <c r="AF273" s="505"/>
      <c r="AG273" s="476"/>
      <c r="AH273" s="505"/>
      <c r="AI273" s="476"/>
      <c r="AJ273" s="505"/>
      <c r="AK273" s="476"/>
    </row>
    <row r="274" spans="1:37">
      <c r="A274" s="492">
        <f t="shared" si="15"/>
        <v>45695</v>
      </c>
      <c r="B274" s="102" t="s">
        <v>1197</v>
      </c>
      <c r="C274" s="110" t="str">
        <f t="shared" si="14"/>
        <v>45695 1200H</v>
      </c>
      <c r="D274" s="471">
        <v>1412.39</v>
      </c>
      <c r="E274" s="472">
        <v>49.67</v>
      </c>
      <c r="F274" s="471">
        <v>1108.67</v>
      </c>
      <c r="G274" s="472">
        <v>6.2</v>
      </c>
      <c r="H274" s="471">
        <v>74504.740000000005</v>
      </c>
      <c r="I274" s="473">
        <v>908.67</v>
      </c>
      <c r="J274" s="473">
        <v>33289.43</v>
      </c>
      <c r="K274" s="472">
        <v>105.51</v>
      </c>
      <c r="L274" s="471">
        <v>6028.18</v>
      </c>
      <c r="M274" s="473">
        <v>17.41</v>
      </c>
      <c r="N274" s="473">
        <v>33495.800000000003</v>
      </c>
      <c r="O274" s="473">
        <v>29.2</v>
      </c>
      <c r="P274" s="473">
        <v>688.74</v>
      </c>
      <c r="Q274" s="473">
        <v>747.46</v>
      </c>
      <c r="R274" s="473">
        <v>10351.49</v>
      </c>
      <c r="S274" s="473">
        <v>9.0399999999999991</v>
      </c>
      <c r="T274" s="473">
        <v>36513</v>
      </c>
      <c r="U274" s="473">
        <v>69</v>
      </c>
      <c r="V274" s="473">
        <v>357.82</v>
      </c>
      <c r="W274" s="473">
        <v>0.16</v>
      </c>
      <c r="X274" s="473">
        <v>7093.71</v>
      </c>
      <c r="Y274" s="473">
        <v>0</v>
      </c>
      <c r="Z274" s="473">
        <v>54169</v>
      </c>
      <c r="AA274" s="472">
        <v>79</v>
      </c>
      <c r="AB274" s="473">
        <v>74.59</v>
      </c>
      <c r="AC274" s="474">
        <v>7.0000000000000007E-2</v>
      </c>
      <c r="AD274" s="473">
        <v>81.319999999999993</v>
      </c>
      <c r="AE274" s="472">
        <v>0.23</v>
      </c>
      <c r="AF274" s="506"/>
      <c r="AG274" s="474"/>
      <c r="AH274" s="506"/>
      <c r="AI274" s="474"/>
      <c r="AJ274" s="506"/>
      <c r="AK274" s="474"/>
    </row>
    <row r="275" spans="1:37">
      <c r="A275" s="492">
        <f t="shared" si="15"/>
        <v>45696</v>
      </c>
      <c r="B275" s="102" t="s">
        <v>3267</v>
      </c>
      <c r="C275" s="110" t="str">
        <f t="shared" si="14"/>
        <v>45696 0000H</v>
      </c>
      <c r="D275" s="337">
        <v>1417.68</v>
      </c>
      <c r="E275" s="338">
        <v>49.67</v>
      </c>
      <c r="F275" s="337">
        <v>1108.67</v>
      </c>
      <c r="G275" s="338">
        <v>6.2</v>
      </c>
      <c r="H275" s="337">
        <v>74509.73</v>
      </c>
      <c r="I275" s="475">
        <v>908.86</v>
      </c>
      <c r="J275" s="475">
        <v>33293.199999999997</v>
      </c>
      <c r="K275" s="338">
        <v>105.51</v>
      </c>
      <c r="L275" s="337">
        <v>6028.18</v>
      </c>
      <c r="M275" s="475">
        <v>17.41</v>
      </c>
      <c r="N275" s="475">
        <v>33502.6</v>
      </c>
      <c r="O275" s="475">
        <v>29.2</v>
      </c>
      <c r="P275" s="475">
        <v>692.8</v>
      </c>
      <c r="Q275" s="475">
        <v>747.49</v>
      </c>
      <c r="R275" s="475">
        <v>10355.879999999999</v>
      </c>
      <c r="S275" s="475">
        <v>9.0399999999999991</v>
      </c>
      <c r="T275" s="475">
        <v>36520</v>
      </c>
      <c r="U275" s="475">
        <v>69</v>
      </c>
      <c r="V275" s="475">
        <v>364.83</v>
      </c>
      <c r="W275" s="475">
        <v>0.16</v>
      </c>
      <c r="X275" s="475">
        <v>7101</v>
      </c>
      <c r="Y275" s="475">
        <v>0</v>
      </c>
      <c r="Z275" s="475">
        <v>54169</v>
      </c>
      <c r="AA275" s="338">
        <v>79</v>
      </c>
      <c r="AB275" s="475">
        <v>84.66</v>
      </c>
      <c r="AC275" s="476">
        <v>7.0000000000000007E-2</v>
      </c>
      <c r="AD275" s="475">
        <v>81.319999999999993</v>
      </c>
      <c r="AE275" s="338">
        <v>0.23</v>
      </c>
      <c r="AF275" s="505"/>
      <c r="AG275" s="476"/>
      <c r="AH275" s="505"/>
      <c r="AI275" s="476"/>
      <c r="AJ275" s="505"/>
      <c r="AK275" s="476"/>
    </row>
    <row r="276" spans="1:37">
      <c r="A276" s="492">
        <f t="shared" si="15"/>
        <v>45696</v>
      </c>
      <c r="B276" s="102" t="s">
        <v>1197</v>
      </c>
      <c r="C276" s="110" t="str">
        <f t="shared" si="14"/>
        <v>45696 1200H</v>
      </c>
      <c r="D276" s="471">
        <v>1421.72</v>
      </c>
      <c r="E276" s="472">
        <v>49.67</v>
      </c>
      <c r="F276" s="471">
        <v>1108.67</v>
      </c>
      <c r="G276" s="472">
        <v>6.2</v>
      </c>
      <c r="H276" s="471">
        <v>74518.5</v>
      </c>
      <c r="I276" s="473">
        <v>908.86</v>
      </c>
      <c r="J276" s="473">
        <v>33296.949999999997</v>
      </c>
      <c r="K276" s="472">
        <v>105.51</v>
      </c>
      <c r="L276" s="471">
        <v>6028.18</v>
      </c>
      <c r="M276" s="473">
        <v>17.41</v>
      </c>
      <c r="N276" s="473">
        <v>33510</v>
      </c>
      <c r="O276" s="473">
        <v>29.2</v>
      </c>
      <c r="P276" s="473">
        <v>693.51</v>
      </c>
      <c r="Q276" s="473">
        <v>747.86</v>
      </c>
      <c r="R276" s="473">
        <v>10359.530000000001</v>
      </c>
      <c r="S276" s="473">
        <v>9.0399999999999991</v>
      </c>
      <c r="T276" s="473">
        <v>36526</v>
      </c>
      <c r="U276" s="473">
        <v>69</v>
      </c>
      <c r="V276" s="473">
        <v>371.05</v>
      </c>
      <c r="W276" s="473">
        <v>0.16</v>
      </c>
      <c r="X276" s="473">
        <v>7106.94</v>
      </c>
      <c r="Y276" s="473">
        <v>0</v>
      </c>
      <c r="Z276" s="473">
        <v>54169</v>
      </c>
      <c r="AA276" s="472">
        <v>79</v>
      </c>
      <c r="AB276" s="473">
        <v>89.95</v>
      </c>
      <c r="AC276" s="474">
        <v>7.0000000000000007E-2</v>
      </c>
      <c r="AD276" s="473">
        <v>81.319999999999993</v>
      </c>
      <c r="AE276" s="472">
        <v>0.23</v>
      </c>
      <c r="AF276" s="506"/>
      <c r="AG276" s="474"/>
      <c r="AH276" s="506"/>
      <c r="AI276" s="474"/>
      <c r="AJ276" s="506"/>
      <c r="AK276" s="474"/>
    </row>
    <row r="277" spans="1:37">
      <c r="A277" s="492">
        <f t="shared" si="15"/>
        <v>45697</v>
      </c>
      <c r="B277" s="102" t="s">
        <v>3267</v>
      </c>
      <c r="C277" s="110" t="str">
        <f t="shared" si="14"/>
        <v>45697 0000H</v>
      </c>
      <c r="D277" s="337">
        <v>1426.76</v>
      </c>
      <c r="E277" s="338">
        <v>49.67</v>
      </c>
      <c r="F277" s="337">
        <v>1108.67</v>
      </c>
      <c r="G277" s="338">
        <v>6.2</v>
      </c>
      <c r="H277" s="337">
        <v>74525.59</v>
      </c>
      <c r="I277" s="475">
        <v>908.93</v>
      </c>
      <c r="J277" s="475">
        <v>33300.699999999997</v>
      </c>
      <c r="K277" s="338">
        <v>105.51</v>
      </c>
      <c r="L277" s="337">
        <v>6028.18</v>
      </c>
      <c r="M277" s="475">
        <v>17.48</v>
      </c>
      <c r="N277" s="475">
        <v>33516.6</v>
      </c>
      <c r="O277" s="475">
        <v>29.2</v>
      </c>
      <c r="P277" s="475">
        <v>695.3</v>
      </c>
      <c r="Q277" s="475">
        <v>748.41</v>
      </c>
      <c r="R277" s="475">
        <v>10363.61</v>
      </c>
      <c r="S277" s="475">
        <v>9.0399999999999991</v>
      </c>
      <c r="T277" s="475">
        <v>36532</v>
      </c>
      <c r="U277" s="475">
        <v>69</v>
      </c>
      <c r="V277" s="475">
        <v>376.9</v>
      </c>
      <c r="W277" s="475">
        <v>0.16</v>
      </c>
      <c r="X277" s="475">
        <v>7113.52</v>
      </c>
      <c r="Y277" s="475">
        <v>0</v>
      </c>
      <c r="Z277" s="475">
        <v>54169</v>
      </c>
      <c r="AA277" s="338">
        <v>79</v>
      </c>
      <c r="AB277" s="475">
        <v>96.45</v>
      </c>
      <c r="AC277" s="476">
        <v>7.0000000000000007E-2</v>
      </c>
      <c r="AD277" s="475">
        <v>81.319999999999993</v>
      </c>
      <c r="AE277" s="338">
        <v>0.23</v>
      </c>
      <c r="AF277" s="505"/>
      <c r="AG277" s="476"/>
      <c r="AH277" s="505"/>
      <c r="AI277" s="476"/>
      <c r="AJ277" s="505"/>
      <c r="AK277" s="476"/>
    </row>
    <row r="278" spans="1:37">
      <c r="A278" s="492">
        <f t="shared" si="15"/>
        <v>45697</v>
      </c>
      <c r="B278" s="102" t="s">
        <v>1197</v>
      </c>
      <c r="C278" s="110" t="str">
        <f t="shared" si="14"/>
        <v>45697 1200H</v>
      </c>
      <c r="D278" s="471"/>
      <c r="E278" s="472"/>
      <c r="F278" s="471">
        <v>1108.67</v>
      </c>
      <c r="G278" s="472">
        <v>6.2</v>
      </c>
      <c r="H278" s="471">
        <v>74528.11</v>
      </c>
      <c r="I278" s="473">
        <v>909.26</v>
      </c>
      <c r="J278" s="473">
        <v>33304.49</v>
      </c>
      <c r="K278" s="472">
        <v>105.51</v>
      </c>
      <c r="L278" s="471">
        <v>6028.18</v>
      </c>
      <c r="M278" s="473">
        <v>17.52</v>
      </c>
      <c r="N278" s="473">
        <v>33523.699999999997</v>
      </c>
      <c r="O278" s="473">
        <v>29.2</v>
      </c>
      <c r="P278" s="473">
        <v>695.76</v>
      </c>
      <c r="Q278" s="473">
        <v>748.95</v>
      </c>
      <c r="R278" s="473">
        <v>10367.07</v>
      </c>
      <c r="S278" s="473">
        <v>9.0399999999999991</v>
      </c>
      <c r="T278" s="473">
        <v>36537</v>
      </c>
      <c r="U278" s="473">
        <v>69</v>
      </c>
      <c r="V278" s="473">
        <v>381.13</v>
      </c>
      <c r="W278" s="473">
        <v>0.16</v>
      </c>
      <c r="X278" s="473">
        <v>7119.15</v>
      </c>
      <c r="Y278" s="473">
        <v>0</v>
      </c>
      <c r="Z278" s="473">
        <v>54169</v>
      </c>
      <c r="AA278" s="472">
        <v>79</v>
      </c>
      <c r="AB278" s="473">
        <v>100.97</v>
      </c>
      <c r="AC278" s="474">
        <v>7.0000000000000007E-2</v>
      </c>
      <c r="AD278" s="473">
        <v>81.319999999999993</v>
      </c>
      <c r="AE278" s="472">
        <v>0.23</v>
      </c>
      <c r="AF278" s="506"/>
      <c r="AG278" s="474"/>
      <c r="AH278" s="506"/>
      <c r="AI278" s="474"/>
      <c r="AJ278" s="506"/>
      <c r="AK278" s="474"/>
    </row>
    <row r="279" spans="1:37">
      <c r="A279" s="492">
        <f t="shared" si="15"/>
        <v>45698</v>
      </c>
      <c r="B279" s="102" t="s">
        <v>3267</v>
      </c>
      <c r="C279" s="110" t="str">
        <f t="shared" si="14"/>
        <v>45698 0000H</v>
      </c>
      <c r="D279" s="337">
        <v>1434.72</v>
      </c>
      <c r="E279" s="338">
        <v>49.67</v>
      </c>
      <c r="F279" s="337">
        <v>1108.67</v>
      </c>
      <c r="G279" s="338">
        <v>6.2</v>
      </c>
      <c r="H279" s="337">
        <v>74535.05</v>
      </c>
      <c r="I279" s="475">
        <v>909.27</v>
      </c>
      <c r="J279" s="475">
        <v>33307.129999999997</v>
      </c>
      <c r="K279" s="338">
        <v>105.55</v>
      </c>
      <c r="L279" s="337">
        <v>6028.18</v>
      </c>
      <c r="M279" s="475">
        <v>17.600000000000001</v>
      </c>
      <c r="N279" s="475">
        <v>33529.5</v>
      </c>
      <c r="O279" s="475">
        <v>29.2</v>
      </c>
      <c r="P279" s="475">
        <v>696</v>
      </c>
      <c r="Q279" s="475">
        <v>749.67</v>
      </c>
      <c r="R279" s="475">
        <v>10370.19</v>
      </c>
      <c r="S279" s="475">
        <v>9.0399999999999991</v>
      </c>
      <c r="T279" s="475">
        <v>36543</v>
      </c>
      <c r="U279" s="475">
        <v>69</v>
      </c>
      <c r="V279" s="475">
        <v>385.82</v>
      </c>
      <c r="W279" s="475">
        <v>0.16</v>
      </c>
      <c r="X279" s="475">
        <v>7126.21</v>
      </c>
      <c r="Y279" s="475">
        <v>0</v>
      </c>
      <c r="Z279" s="475">
        <v>54169</v>
      </c>
      <c r="AA279" s="338">
        <v>79</v>
      </c>
      <c r="AB279" s="475">
        <v>103.08</v>
      </c>
      <c r="AC279" s="476">
        <v>7.0000000000000007E-2</v>
      </c>
      <c r="AD279" s="475">
        <v>81.319999999999993</v>
      </c>
      <c r="AE279" s="338">
        <v>0.23</v>
      </c>
      <c r="AF279" s="505"/>
      <c r="AG279" s="476"/>
      <c r="AH279" s="505"/>
      <c r="AI279" s="476"/>
      <c r="AJ279" s="505"/>
      <c r="AK279" s="476"/>
    </row>
    <row r="280" spans="1:37">
      <c r="A280" s="492">
        <f t="shared" si="15"/>
        <v>45698</v>
      </c>
      <c r="B280" s="102" t="s">
        <v>1197</v>
      </c>
      <c r="C280" s="110" t="str">
        <f t="shared" si="14"/>
        <v>45698 1200H</v>
      </c>
      <c r="D280" s="471">
        <v>1444.32</v>
      </c>
      <c r="E280" s="472">
        <v>49.67</v>
      </c>
      <c r="F280" s="471">
        <v>1108.67</v>
      </c>
      <c r="G280" s="472">
        <v>6.2</v>
      </c>
      <c r="H280" s="471">
        <v>74558.600000000006</v>
      </c>
      <c r="I280" s="473">
        <v>909.27</v>
      </c>
      <c r="J280" s="473">
        <v>33307.75</v>
      </c>
      <c r="K280" s="472">
        <v>105.7</v>
      </c>
      <c r="L280" s="471">
        <v>6028.18</v>
      </c>
      <c r="M280" s="473">
        <v>17.649999999999999</v>
      </c>
      <c r="N280" s="473">
        <v>33538</v>
      </c>
      <c r="O280" s="473">
        <v>29.2</v>
      </c>
      <c r="P280" s="473">
        <v>697.75</v>
      </c>
      <c r="Q280" s="473">
        <v>750.46</v>
      </c>
      <c r="R280" s="473">
        <v>10376.799999999999</v>
      </c>
      <c r="S280" s="473">
        <v>9.0399999999999991</v>
      </c>
      <c r="T280" s="473">
        <v>36554</v>
      </c>
      <c r="U280" s="473">
        <v>69</v>
      </c>
      <c r="V280" s="473">
        <v>392.35</v>
      </c>
      <c r="W280" s="473">
        <v>0.17</v>
      </c>
      <c r="X280" s="473">
        <v>7137.86</v>
      </c>
      <c r="Y280" s="473">
        <v>0</v>
      </c>
      <c r="Z280" s="473">
        <v>54169</v>
      </c>
      <c r="AA280" s="472">
        <v>79</v>
      </c>
      <c r="AB280" s="473">
        <v>112.66</v>
      </c>
      <c r="AC280" s="474">
        <v>0.11</v>
      </c>
      <c r="AD280" s="473">
        <v>81.319999999999993</v>
      </c>
      <c r="AE280" s="472">
        <v>0.23</v>
      </c>
      <c r="AF280" s="506"/>
      <c r="AG280" s="474"/>
      <c r="AH280" s="506"/>
      <c r="AI280" s="474"/>
      <c r="AJ280" s="506"/>
      <c r="AK280" s="474"/>
    </row>
    <row r="281" spans="1:37">
      <c r="A281" s="492">
        <f t="shared" si="15"/>
        <v>45699</v>
      </c>
      <c r="B281" s="102" t="s">
        <v>3267</v>
      </c>
      <c r="C281" s="110" t="str">
        <f t="shared" ref="C281:C310" si="16">A281 &amp; " " &amp;B281</f>
        <v>45699 0000H</v>
      </c>
      <c r="D281" s="337">
        <v>1454.2</v>
      </c>
      <c r="E281" s="338">
        <v>49.67</v>
      </c>
      <c r="F281" s="337">
        <v>1108.67</v>
      </c>
      <c r="G281" s="338">
        <v>6.2</v>
      </c>
      <c r="H281" s="337">
        <v>74568</v>
      </c>
      <c r="I281" s="475">
        <v>909.27</v>
      </c>
      <c r="J281" s="475">
        <v>33312.370000000003</v>
      </c>
      <c r="K281" s="338">
        <v>105.75</v>
      </c>
      <c r="L281" s="337">
        <v>6028.18</v>
      </c>
      <c r="M281" s="475">
        <v>17.91</v>
      </c>
      <c r="N281" s="475">
        <v>33552.300000000003</v>
      </c>
      <c r="O281" s="475">
        <v>29.2</v>
      </c>
      <c r="P281" s="475">
        <v>698.54</v>
      </c>
      <c r="Q281" s="475">
        <v>751.51</v>
      </c>
      <c r="R281" s="475">
        <v>10384.02</v>
      </c>
      <c r="S281" s="475">
        <v>9.0399999999999991</v>
      </c>
      <c r="T281" s="475">
        <v>36565</v>
      </c>
      <c r="U281" s="475">
        <v>69</v>
      </c>
      <c r="V281" s="475">
        <v>404.22</v>
      </c>
      <c r="W281" s="475">
        <v>0.17</v>
      </c>
      <c r="X281" s="475">
        <v>7149.87</v>
      </c>
      <c r="Y281" s="475">
        <v>0</v>
      </c>
      <c r="Z281" s="475">
        <v>54169</v>
      </c>
      <c r="AA281" s="338">
        <v>79</v>
      </c>
      <c r="AB281" s="475">
        <v>122.65</v>
      </c>
      <c r="AC281" s="476">
        <v>0.12</v>
      </c>
      <c r="AD281" s="475">
        <v>81.319999999999993</v>
      </c>
      <c r="AE281" s="338">
        <v>0.23</v>
      </c>
      <c r="AF281" s="505"/>
      <c r="AG281" s="476"/>
      <c r="AH281" s="505"/>
      <c r="AI281" s="476"/>
      <c r="AJ281" s="505"/>
      <c r="AK281" s="476"/>
    </row>
    <row r="282" spans="1:37">
      <c r="A282" s="492">
        <f t="shared" si="15"/>
        <v>45699</v>
      </c>
      <c r="B282" s="102" t="s">
        <v>1197</v>
      </c>
      <c r="C282" s="110" t="str">
        <f t="shared" si="16"/>
        <v>45699 1200H</v>
      </c>
      <c r="D282" s="471">
        <v>1448.28</v>
      </c>
      <c r="E282" s="472">
        <v>49.67</v>
      </c>
      <c r="F282" s="471">
        <v>1108.67</v>
      </c>
      <c r="G282" s="472">
        <v>6.2</v>
      </c>
      <c r="H282" s="471">
        <v>74559.539999999994</v>
      </c>
      <c r="I282" s="473">
        <v>909.27</v>
      </c>
      <c r="J282" s="473">
        <v>33308.620000000003</v>
      </c>
      <c r="K282" s="472">
        <v>105.75</v>
      </c>
      <c r="L282" s="471">
        <v>6028.18</v>
      </c>
      <c r="M282" s="473">
        <v>17.91</v>
      </c>
      <c r="N282" s="473">
        <v>33545</v>
      </c>
      <c r="O282" s="473">
        <v>29</v>
      </c>
      <c r="P282" s="473">
        <v>698.13</v>
      </c>
      <c r="Q282" s="473">
        <v>751.01</v>
      </c>
      <c r="R282" s="473">
        <v>10379.89</v>
      </c>
      <c r="S282" s="473">
        <v>9.0399999999999991</v>
      </c>
      <c r="T282" s="473">
        <v>36559</v>
      </c>
      <c r="U282" s="473">
        <v>69</v>
      </c>
      <c r="V282" s="473">
        <v>397.53</v>
      </c>
      <c r="W282" s="473">
        <v>0.17</v>
      </c>
      <c r="X282" s="473">
        <v>7143.53</v>
      </c>
      <c r="Y282" s="473">
        <v>0</v>
      </c>
      <c r="Z282" s="473">
        <v>54169</v>
      </c>
      <c r="AA282" s="472">
        <v>79</v>
      </c>
      <c r="AB282" s="473">
        <v>116.95</v>
      </c>
      <c r="AC282" s="474">
        <v>0.12</v>
      </c>
      <c r="AD282" s="473">
        <v>81.319999999999993</v>
      </c>
      <c r="AE282" s="472">
        <v>0.23</v>
      </c>
      <c r="AF282" s="506"/>
      <c r="AG282" s="474"/>
      <c r="AH282" s="506"/>
      <c r="AI282" s="474"/>
      <c r="AJ282" s="506"/>
      <c r="AK282" s="474"/>
    </row>
    <row r="283" spans="1:37">
      <c r="A283" s="492">
        <f t="shared" ref="A283:A310" si="17">A281+1</f>
        <v>45700</v>
      </c>
      <c r="B283" s="102" t="s">
        <v>3267</v>
      </c>
      <c r="C283" s="110" t="str">
        <f t="shared" si="16"/>
        <v>45700 0000H</v>
      </c>
      <c r="D283" s="337">
        <v>1454.2</v>
      </c>
      <c r="E283" s="338">
        <v>49.67</v>
      </c>
      <c r="F283" s="337">
        <v>1108.67</v>
      </c>
      <c r="G283" s="338">
        <v>6.2</v>
      </c>
      <c r="H283" s="337">
        <v>74568.66</v>
      </c>
      <c r="I283" s="475">
        <v>909.27</v>
      </c>
      <c r="J283" s="475">
        <v>33312.370000000003</v>
      </c>
      <c r="K283" s="338">
        <v>105.75</v>
      </c>
      <c r="L283" s="337">
        <v>6028.18</v>
      </c>
      <c r="M283" s="475">
        <v>17.91</v>
      </c>
      <c r="N283" s="475">
        <v>33552.300000000003</v>
      </c>
      <c r="O283" s="475">
        <v>29.2</v>
      </c>
      <c r="P283" s="475">
        <v>698.54</v>
      </c>
      <c r="Q283" s="475">
        <v>751.51</v>
      </c>
      <c r="R283" s="475">
        <v>10384.02</v>
      </c>
      <c r="S283" s="475">
        <v>9.0399999999999991</v>
      </c>
      <c r="T283" s="475">
        <v>36565</v>
      </c>
      <c r="U283" s="475">
        <v>69</v>
      </c>
      <c r="V283" s="475">
        <v>404.22</v>
      </c>
      <c r="W283" s="475">
        <v>0.17</v>
      </c>
      <c r="X283" s="475">
        <v>7149.87</v>
      </c>
      <c r="Y283" s="475">
        <v>0</v>
      </c>
      <c r="Z283" s="475">
        <v>54169</v>
      </c>
      <c r="AA283" s="338">
        <v>79</v>
      </c>
      <c r="AB283" s="475">
        <v>122.65</v>
      </c>
      <c r="AC283" s="476">
        <v>0.12</v>
      </c>
      <c r="AD283" s="475">
        <v>81.319999999999993</v>
      </c>
      <c r="AE283" s="338">
        <v>0.23</v>
      </c>
      <c r="AF283" s="505"/>
      <c r="AG283" s="476"/>
      <c r="AH283" s="505"/>
      <c r="AI283" s="476"/>
      <c r="AJ283" s="505"/>
      <c r="AK283" s="476"/>
    </row>
    <row r="284" spans="1:37">
      <c r="A284" s="492">
        <f t="shared" si="17"/>
        <v>45700</v>
      </c>
      <c r="B284" s="102" t="s">
        <v>1197</v>
      </c>
      <c r="C284" s="110" t="str">
        <f t="shared" si="16"/>
        <v>45700 1200H</v>
      </c>
      <c r="D284" s="471">
        <v>1457.93</v>
      </c>
      <c r="E284" s="472">
        <v>49.67</v>
      </c>
      <c r="F284" s="471">
        <v>1108.67</v>
      </c>
      <c r="G284" s="472">
        <v>6.2</v>
      </c>
      <c r="H284" s="471">
        <v>74577.19</v>
      </c>
      <c r="I284" s="473">
        <v>909.27</v>
      </c>
      <c r="J284" s="473">
        <v>33316.120000000003</v>
      </c>
      <c r="K284" s="472">
        <v>105.75</v>
      </c>
      <c r="L284" s="471">
        <v>6028.18</v>
      </c>
      <c r="M284" s="473">
        <v>18.07</v>
      </c>
      <c r="N284" s="473">
        <v>33559.800000000003</v>
      </c>
      <c r="O284" s="473">
        <v>29.2</v>
      </c>
      <c r="P284" s="473">
        <v>699.97</v>
      </c>
      <c r="Q284" s="473">
        <v>752.03</v>
      </c>
      <c r="R284" s="473">
        <v>10387.709999999999</v>
      </c>
      <c r="S284" s="473">
        <v>9.0399999999999991</v>
      </c>
      <c r="T284" s="473">
        <v>36571</v>
      </c>
      <c r="U284" s="473">
        <v>69</v>
      </c>
      <c r="V284" s="473">
        <v>409.51</v>
      </c>
      <c r="W284" s="473">
        <v>0.17</v>
      </c>
      <c r="X284" s="473">
        <v>7155.71</v>
      </c>
      <c r="Y284" s="473">
        <v>0</v>
      </c>
      <c r="Z284" s="473">
        <v>54169</v>
      </c>
      <c r="AA284" s="472">
        <v>79</v>
      </c>
      <c r="AB284" s="473">
        <v>127.2</v>
      </c>
      <c r="AC284" s="474">
        <v>0.14000000000000001</v>
      </c>
      <c r="AD284" s="473">
        <v>81.319999999999993</v>
      </c>
      <c r="AE284" s="472">
        <v>0.23</v>
      </c>
      <c r="AF284" s="506"/>
      <c r="AG284" s="474"/>
      <c r="AH284" s="506"/>
      <c r="AI284" s="474"/>
      <c r="AJ284" s="506"/>
      <c r="AK284" s="474"/>
    </row>
    <row r="285" spans="1:37">
      <c r="A285" s="492">
        <f t="shared" si="17"/>
        <v>45701</v>
      </c>
      <c r="B285" s="102" t="s">
        <v>3267</v>
      </c>
      <c r="C285" s="110" t="str">
        <f t="shared" si="16"/>
        <v>45701 0000H</v>
      </c>
      <c r="D285" s="337">
        <v>1464.7</v>
      </c>
      <c r="E285" s="338">
        <v>49.67</v>
      </c>
      <c r="F285" s="337">
        <v>1108.67</v>
      </c>
      <c r="G285" s="338">
        <v>6.2</v>
      </c>
      <c r="H285" s="337">
        <v>74585.649999999994</v>
      </c>
      <c r="I285" s="475">
        <v>909.27</v>
      </c>
      <c r="J285" s="475">
        <v>33319</v>
      </c>
      <c r="K285" s="338">
        <v>105.75</v>
      </c>
      <c r="L285" s="337">
        <v>6028.18</v>
      </c>
      <c r="M285" s="475">
        <v>18.190000000000001</v>
      </c>
      <c r="N285" s="475">
        <v>33356.699999999997</v>
      </c>
      <c r="O285" s="475">
        <v>29.2</v>
      </c>
      <c r="P285" s="475">
        <v>702.4</v>
      </c>
      <c r="Q285" s="475">
        <v>752.4</v>
      </c>
      <c r="R285" s="475">
        <v>10391.959999999999</v>
      </c>
      <c r="S285" s="475">
        <v>9.0399999999999991</v>
      </c>
      <c r="T285" s="475">
        <v>36578</v>
      </c>
      <c r="U285" s="475">
        <v>69</v>
      </c>
      <c r="V285" s="475">
        <v>416.78</v>
      </c>
      <c r="W285" s="475">
        <v>0.17</v>
      </c>
      <c r="X285" s="475">
        <v>7162.44</v>
      </c>
      <c r="Y285" s="475">
        <v>0</v>
      </c>
      <c r="Z285" s="475">
        <v>54169</v>
      </c>
      <c r="AA285" s="338">
        <v>79</v>
      </c>
      <c r="AB285" s="475">
        <v>134.44</v>
      </c>
      <c r="AC285" s="476">
        <v>0.14000000000000001</v>
      </c>
      <c r="AD285" s="475">
        <v>81.37</v>
      </c>
      <c r="AE285" s="338">
        <v>0.23</v>
      </c>
      <c r="AF285" s="505"/>
      <c r="AG285" s="476"/>
      <c r="AH285" s="505"/>
      <c r="AI285" s="476"/>
      <c r="AJ285" s="505"/>
      <c r="AK285" s="476"/>
    </row>
    <row r="286" spans="1:37">
      <c r="A286" s="492">
        <f t="shared" si="17"/>
        <v>45701</v>
      </c>
      <c r="B286" s="102" t="s">
        <v>1197</v>
      </c>
      <c r="C286" s="110" t="str">
        <f t="shared" si="16"/>
        <v>45701 1200H</v>
      </c>
      <c r="D286" s="471">
        <v>1468.11</v>
      </c>
      <c r="E286" s="472">
        <v>49.67</v>
      </c>
      <c r="F286" s="471">
        <v>1108.67</v>
      </c>
      <c r="G286" s="472">
        <v>6.2</v>
      </c>
      <c r="H286" s="471">
        <v>74594.13</v>
      </c>
      <c r="I286" s="473">
        <v>909.27</v>
      </c>
      <c r="J286" s="473">
        <v>33322.35</v>
      </c>
      <c r="K286" s="472">
        <v>105.77</v>
      </c>
      <c r="L286" s="471">
        <v>6028.18</v>
      </c>
      <c r="M286" s="473">
        <v>18.36</v>
      </c>
      <c r="N286" s="473">
        <v>33572.199999999997</v>
      </c>
      <c r="O286" s="473">
        <v>29.2</v>
      </c>
      <c r="P286" s="473">
        <v>703.24</v>
      </c>
      <c r="Q286" s="473">
        <v>752.86</v>
      </c>
      <c r="R286" s="473">
        <v>10395.59</v>
      </c>
      <c r="S286" s="473">
        <v>9.0399999999999991</v>
      </c>
      <c r="T286" s="473">
        <v>36584</v>
      </c>
      <c r="U286" s="473">
        <v>69</v>
      </c>
      <c r="V286" s="473">
        <v>422.65</v>
      </c>
      <c r="W286" s="473">
        <v>0.17</v>
      </c>
      <c r="X286" s="473">
        <v>7168.2</v>
      </c>
      <c r="Y286" s="473">
        <v>0</v>
      </c>
      <c r="Z286" s="473">
        <v>54169</v>
      </c>
      <c r="AA286" s="472">
        <v>79</v>
      </c>
      <c r="AB286" s="473">
        <v>139.19</v>
      </c>
      <c r="AC286" s="474">
        <v>0.15</v>
      </c>
      <c r="AD286" s="473">
        <v>81.37</v>
      </c>
      <c r="AE286" s="472">
        <v>0.23</v>
      </c>
      <c r="AF286" s="506"/>
      <c r="AG286" s="474"/>
      <c r="AH286" s="506"/>
      <c r="AI286" s="474"/>
      <c r="AJ286" s="506"/>
      <c r="AK286" s="474"/>
    </row>
    <row r="287" spans="1:37">
      <c r="A287" s="492">
        <f t="shared" si="17"/>
        <v>45702</v>
      </c>
      <c r="B287" s="102" t="s">
        <v>3267</v>
      </c>
      <c r="C287" s="110" t="str">
        <f t="shared" si="16"/>
        <v>45702 0000H</v>
      </c>
      <c r="D287" s="337">
        <v>1474.33</v>
      </c>
      <c r="E287" s="338">
        <v>49.67</v>
      </c>
      <c r="F287" s="337">
        <v>1108.67</v>
      </c>
      <c r="G287" s="338">
        <v>6.2</v>
      </c>
      <c r="H287" s="337">
        <v>74602.5</v>
      </c>
      <c r="I287" s="475">
        <v>909.27</v>
      </c>
      <c r="J287" s="475">
        <v>33325.839999999997</v>
      </c>
      <c r="K287" s="338">
        <v>105.78</v>
      </c>
      <c r="L287" s="337">
        <v>6028.18</v>
      </c>
      <c r="M287" s="475">
        <v>18.59</v>
      </c>
      <c r="N287" s="475">
        <v>33579.300000000003</v>
      </c>
      <c r="O287" s="475">
        <v>29.2</v>
      </c>
      <c r="P287" s="475">
        <v>705.17</v>
      </c>
      <c r="Q287" s="475">
        <v>752.91</v>
      </c>
      <c r="R287" s="475">
        <v>10399.94</v>
      </c>
      <c r="S287" s="475">
        <v>9.0399999999999991</v>
      </c>
      <c r="T287" s="475">
        <v>36592</v>
      </c>
      <c r="U287" s="475">
        <v>69</v>
      </c>
      <c r="V287" s="475">
        <v>430.54</v>
      </c>
      <c r="W287" s="475">
        <v>0.17</v>
      </c>
      <c r="X287" s="475">
        <v>7175</v>
      </c>
      <c r="Y287" s="475">
        <v>0</v>
      </c>
      <c r="Z287" s="475">
        <v>54169</v>
      </c>
      <c r="AA287" s="338">
        <v>79</v>
      </c>
      <c r="AB287" s="475">
        <v>146.1</v>
      </c>
      <c r="AC287" s="476">
        <v>0.15</v>
      </c>
      <c r="AD287" s="475">
        <v>81.37</v>
      </c>
      <c r="AE287" s="338">
        <v>0.23</v>
      </c>
      <c r="AF287" s="505"/>
      <c r="AG287" s="476"/>
      <c r="AH287" s="505"/>
      <c r="AI287" s="476"/>
      <c r="AJ287" s="505"/>
      <c r="AK287" s="476"/>
    </row>
    <row r="288" spans="1:37">
      <c r="A288" s="492">
        <f t="shared" si="17"/>
        <v>45702</v>
      </c>
      <c r="B288" s="102" t="s">
        <v>1197</v>
      </c>
      <c r="C288" s="110" t="str">
        <f t="shared" si="16"/>
        <v>45702 1200H</v>
      </c>
      <c r="D288" s="471">
        <v>1479.16</v>
      </c>
      <c r="E288" s="472">
        <v>49.67</v>
      </c>
      <c r="F288" s="471">
        <v>1108.67</v>
      </c>
      <c r="G288" s="472">
        <v>6.2</v>
      </c>
      <c r="H288" s="471">
        <v>74611.259999999995</v>
      </c>
      <c r="I288" s="473">
        <v>909.27</v>
      </c>
      <c r="J288" s="473">
        <v>33326.006000000001</v>
      </c>
      <c r="K288" s="472">
        <v>105.89</v>
      </c>
      <c r="L288" s="471">
        <v>6028.24</v>
      </c>
      <c r="M288" s="473">
        <v>18.98</v>
      </c>
      <c r="N288" s="473">
        <v>33586.300000000003</v>
      </c>
      <c r="O288" s="473">
        <v>29.2</v>
      </c>
      <c r="P288" s="473">
        <v>706.27</v>
      </c>
      <c r="Q288" s="473">
        <v>753.6</v>
      </c>
      <c r="R288" s="473">
        <v>10403.39</v>
      </c>
      <c r="S288" s="473">
        <v>9.0399999999999991</v>
      </c>
      <c r="T288" s="473">
        <v>36598</v>
      </c>
      <c r="U288" s="473">
        <v>69</v>
      </c>
      <c r="V288" s="473">
        <v>436.79</v>
      </c>
      <c r="W288" s="473">
        <v>0.17</v>
      </c>
      <c r="X288" s="473">
        <v>7181.66</v>
      </c>
      <c r="Y288" s="473">
        <v>0</v>
      </c>
      <c r="Z288" s="473">
        <v>54169</v>
      </c>
      <c r="AA288" s="472">
        <v>79</v>
      </c>
      <c r="AB288" s="473">
        <v>149.97999999999999</v>
      </c>
      <c r="AC288" s="474">
        <v>0.16</v>
      </c>
      <c r="AD288" s="473">
        <v>81.37</v>
      </c>
      <c r="AE288" s="472">
        <v>0.23</v>
      </c>
      <c r="AF288" s="506"/>
      <c r="AG288" s="474"/>
      <c r="AH288" s="506"/>
      <c r="AI288" s="474"/>
      <c r="AJ288" s="506"/>
      <c r="AK288" s="474"/>
    </row>
    <row r="289" spans="1:37">
      <c r="A289" s="492">
        <f t="shared" si="17"/>
        <v>45703</v>
      </c>
      <c r="B289" s="102" t="s">
        <v>3267</v>
      </c>
      <c r="C289" s="110" t="str">
        <f t="shared" si="16"/>
        <v>45703 0000H</v>
      </c>
      <c r="D289" s="337">
        <v>1485.33</v>
      </c>
      <c r="E289" s="338">
        <v>49.67</v>
      </c>
      <c r="F289" s="337">
        <v>1108.67</v>
      </c>
      <c r="G289" s="338">
        <v>6.2</v>
      </c>
      <c r="H289" s="337">
        <v>74619.73</v>
      </c>
      <c r="I289" s="475">
        <v>909.27</v>
      </c>
      <c r="J289" s="475">
        <v>33329</v>
      </c>
      <c r="K289" s="338">
        <v>105.78</v>
      </c>
      <c r="L289" s="337">
        <v>6031.26</v>
      </c>
      <c r="M289" s="475">
        <v>18.98</v>
      </c>
      <c r="N289" s="475">
        <v>33592.199999999997</v>
      </c>
      <c r="O289" s="475">
        <v>29.2</v>
      </c>
      <c r="P289" s="475">
        <v>706.72</v>
      </c>
      <c r="Q289" s="475">
        <v>754.72</v>
      </c>
      <c r="R289" s="475">
        <v>10407.75</v>
      </c>
      <c r="S289" s="475">
        <v>9.0399999999999991</v>
      </c>
      <c r="T289" s="475">
        <v>36606</v>
      </c>
      <c r="U289" s="475">
        <v>69</v>
      </c>
      <c r="V289" s="475">
        <v>444.47</v>
      </c>
      <c r="W289" s="475">
        <v>0.17</v>
      </c>
      <c r="X289" s="475">
        <v>7189.2</v>
      </c>
      <c r="Y289" s="475">
        <v>0</v>
      </c>
      <c r="Z289" s="475">
        <v>54169</v>
      </c>
      <c r="AA289" s="338">
        <v>79</v>
      </c>
      <c r="AB289" s="475">
        <v>152.68</v>
      </c>
      <c r="AC289" s="476">
        <v>0.16</v>
      </c>
      <c r="AD289" s="475">
        <v>81.37</v>
      </c>
      <c r="AE289" s="338">
        <v>0.23</v>
      </c>
      <c r="AF289" s="505"/>
      <c r="AG289" s="476"/>
      <c r="AH289" s="505"/>
      <c r="AI289" s="476"/>
      <c r="AJ289" s="505"/>
      <c r="AK289" s="476"/>
    </row>
    <row r="290" spans="1:37">
      <c r="A290" s="492">
        <f t="shared" si="17"/>
        <v>45703</v>
      </c>
      <c r="B290" s="102" t="s">
        <v>1197</v>
      </c>
      <c r="C290" s="110" t="str">
        <f t="shared" si="16"/>
        <v>45703 1200H</v>
      </c>
      <c r="D290" s="471">
        <v>1488.54</v>
      </c>
      <c r="E290" s="472">
        <v>49.67</v>
      </c>
      <c r="F290" s="471">
        <v>1108.67</v>
      </c>
      <c r="G290" s="472">
        <v>6.2</v>
      </c>
      <c r="H290" s="471">
        <v>74622.080000000002</v>
      </c>
      <c r="I290" s="473">
        <v>909.58</v>
      </c>
      <c r="J290" s="473">
        <v>33333.480000000003</v>
      </c>
      <c r="K290" s="472">
        <v>105.89</v>
      </c>
      <c r="L290" s="471">
        <v>6035.83</v>
      </c>
      <c r="M290" s="473">
        <v>18.98</v>
      </c>
      <c r="N290" s="473">
        <v>33596</v>
      </c>
      <c r="O290" s="473">
        <v>29.2</v>
      </c>
      <c r="P290" s="473">
        <v>706.94</v>
      </c>
      <c r="Q290" s="473">
        <v>755.73</v>
      </c>
      <c r="R290" s="473">
        <v>10411.370000000001</v>
      </c>
      <c r="S290" s="473">
        <v>9.0399999999999991</v>
      </c>
      <c r="T290" s="473">
        <v>36612</v>
      </c>
      <c r="U290" s="473">
        <v>69</v>
      </c>
      <c r="V290" s="473">
        <v>450.22</v>
      </c>
      <c r="W290" s="473">
        <v>0.17</v>
      </c>
      <c r="X290" s="473">
        <v>7195.54</v>
      </c>
      <c r="Y290" s="473">
        <v>0</v>
      </c>
      <c r="Z290" s="473">
        <v>54169</v>
      </c>
      <c r="AA290" s="472">
        <v>79</v>
      </c>
      <c r="AB290" s="473">
        <v>152.68</v>
      </c>
      <c r="AC290" s="474">
        <v>0.16</v>
      </c>
      <c r="AD290" s="473">
        <v>81.37</v>
      </c>
      <c r="AE290" s="472">
        <v>0.23</v>
      </c>
      <c r="AF290" s="506"/>
      <c r="AG290" s="474"/>
      <c r="AH290" s="506"/>
      <c r="AI290" s="474"/>
      <c r="AJ290" s="506"/>
      <c r="AK290" s="474"/>
    </row>
    <row r="291" spans="1:37">
      <c r="A291" s="492">
        <f t="shared" si="17"/>
        <v>45704</v>
      </c>
      <c r="B291" s="102" t="s">
        <v>3267</v>
      </c>
      <c r="C291" s="110" t="str">
        <f t="shared" si="16"/>
        <v>45704 0000H</v>
      </c>
      <c r="D291" s="337">
        <v>1493.34</v>
      </c>
      <c r="E291" s="338">
        <v>49.67</v>
      </c>
      <c r="F291" s="337">
        <v>1108.67</v>
      </c>
      <c r="G291" s="338">
        <v>6.2</v>
      </c>
      <c r="H291" s="337">
        <v>74630.350000000006</v>
      </c>
      <c r="I291" s="475">
        <v>909.58</v>
      </c>
      <c r="J291" s="475">
        <v>33337.410000000003</v>
      </c>
      <c r="K291" s="338">
        <v>105.89</v>
      </c>
      <c r="L291" s="337">
        <v>6039.8</v>
      </c>
      <c r="M291" s="475">
        <v>18.98</v>
      </c>
      <c r="N291" s="475">
        <v>33600.6</v>
      </c>
      <c r="O291" s="475">
        <v>29.2</v>
      </c>
      <c r="P291" s="475">
        <v>707.2</v>
      </c>
      <c r="Q291" s="475">
        <v>757.17</v>
      </c>
      <c r="R291" s="475">
        <v>10415.85</v>
      </c>
      <c r="S291" s="475">
        <v>9.0399999999999991</v>
      </c>
      <c r="T291" s="475">
        <v>36619</v>
      </c>
      <c r="U291" s="475">
        <v>69</v>
      </c>
      <c r="V291" s="475">
        <v>457.77</v>
      </c>
      <c r="W291" s="475">
        <v>0.17</v>
      </c>
      <c r="X291" s="475">
        <v>7202.8</v>
      </c>
      <c r="Y291" s="475">
        <v>0</v>
      </c>
      <c r="Z291" s="475">
        <v>54169</v>
      </c>
      <c r="AA291" s="338">
        <v>79</v>
      </c>
      <c r="AB291" s="475">
        <v>152.68</v>
      </c>
      <c r="AC291" s="476">
        <v>0.16</v>
      </c>
      <c r="AD291" s="475">
        <v>81.37</v>
      </c>
      <c r="AE291" s="338">
        <v>0.23</v>
      </c>
      <c r="AF291" s="505"/>
      <c r="AG291" s="476"/>
      <c r="AH291" s="505"/>
      <c r="AI291" s="476"/>
      <c r="AJ291" s="505"/>
      <c r="AK291" s="476"/>
    </row>
    <row r="292" spans="1:37">
      <c r="A292" s="492">
        <f t="shared" si="17"/>
        <v>45704</v>
      </c>
      <c r="B292" s="102" t="s">
        <v>1197</v>
      </c>
      <c r="C292" s="110" t="str">
        <f t="shared" si="16"/>
        <v>45704 1200H</v>
      </c>
      <c r="D292" s="471">
        <v>1496.57</v>
      </c>
      <c r="E292" s="472">
        <v>49.67</v>
      </c>
      <c r="F292" s="471">
        <v>1108.67</v>
      </c>
      <c r="G292" s="472">
        <v>6.2</v>
      </c>
      <c r="H292" s="471">
        <v>74630.539999999994</v>
      </c>
      <c r="I292" s="473">
        <v>909.94</v>
      </c>
      <c r="J292" s="473">
        <v>33341.300000000003</v>
      </c>
      <c r="K292" s="472">
        <v>105.89</v>
      </c>
      <c r="L292" s="471">
        <v>6043.73</v>
      </c>
      <c r="M292" s="473">
        <v>18.98</v>
      </c>
      <c r="N292" s="473">
        <v>33602.5</v>
      </c>
      <c r="O292" s="473">
        <v>29.2</v>
      </c>
      <c r="P292" s="473">
        <v>707.49</v>
      </c>
      <c r="Q292" s="473">
        <v>758.03</v>
      </c>
      <c r="R292" s="473">
        <v>10419.5</v>
      </c>
      <c r="S292" s="473">
        <v>9.0399999999999991</v>
      </c>
      <c r="T292" s="473">
        <v>36625</v>
      </c>
      <c r="U292" s="473">
        <v>69</v>
      </c>
      <c r="V292" s="473">
        <v>462.73</v>
      </c>
      <c r="W292" s="473">
        <v>0.17</v>
      </c>
      <c r="X292" s="473">
        <v>7208</v>
      </c>
      <c r="Y292" s="473">
        <v>0</v>
      </c>
      <c r="Z292" s="473">
        <v>54169</v>
      </c>
      <c r="AA292" s="472">
        <v>79</v>
      </c>
      <c r="AB292" s="473">
        <v>152.68</v>
      </c>
      <c r="AC292" s="474">
        <v>0.16</v>
      </c>
      <c r="AD292" s="473">
        <v>81.37</v>
      </c>
      <c r="AE292" s="472">
        <v>0.23</v>
      </c>
      <c r="AF292" s="506"/>
      <c r="AG292" s="474"/>
      <c r="AH292" s="506"/>
      <c r="AI292" s="474"/>
      <c r="AJ292" s="506"/>
      <c r="AK292" s="474"/>
    </row>
    <row r="293" spans="1:37">
      <c r="A293" s="492">
        <f t="shared" si="17"/>
        <v>45705</v>
      </c>
      <c r="B293" s="102" t="s">
        <v>3267</v>
      </c>
      <c r="C293" s="110" t="str">
        <f t="shared" si="16"/>
        <v>45705 0000H</v>
      </c>
      <c r="D293" s="337">
        <v>1501</v>
      </c>
      <c r="E293" s="338">
        <v>49.67</v>
      </c>
      <c r="F293" s="337">
        <v>1108.67</v>
      </c>
      <c r="G293" s="338">
        <v>6.2</v>
      </c>
      <c r="H293" s="337">
        <v>74635.31</v>
      </c>
      <c r="I293" s="475">
        <v>910.09</v>
      </c>
      <c r="J293" s="475">
        <v>33344.57</v>
      </c>
      <c r="K293" s="338">
        <v>105.91</v>
      </c>
      <c r="L293" s="337">
        <v>6048.3</v>
      </c>
      <c r="M293" s="475">
        <v>18.920000000000002</v>
      </c>
      <c r="N293" s="475">
        <v>33607.5</v>
      </c>
      <c r="O293" s="475">
        <v>29.3</v>
      </c>
      <c r="P293" s="475">
        <v>707.6</v>
      </c>
      <c r="Q293" s="475">
        <v>759.27</v>
      </c>
      <c r="R293" s="475">
        <v>10423.969999999999</v>
      </c>
      <c r="S293" s="475">
        <v>9.0399999999999991</v>
      </c>
      <c r="T293" s="475">
        <v>36632</v>
      </c>
      <c r="U293" s="475">
        <v>69</v>
      </c>
      <c r="V293" s="475">
        <v>469.7</v>
      </c>
      <c r="W293" s="475">
        <v>0.17</v>
      </c>
      <c r="X293" s="475">
        <v>7216.31</v>
      </c>
      <c r="Y293" s="475">
        <v>0</v>
      </c>
      <c r="Z293" s="475">
        <v>54169</v>
      </c>
      <c r="AA293" s="338">
        <v>79</v>
      </c>
      <c r="AB293" s="475">
        <v>152.68</v>
      </c>
      <c r="AC293" s="476">
        <v>0.16</v>
      </c>
      <c r="AD293" s="475">
        <v>81.37</v>
      </c>
      <c r="AE293" s="338">
        <v>0.23</v>
      </c>
      <c r="AF293" s="505"/>
      <c r="AG293" s="476"/>
      <c r="AH293" s="505"/>
      <c r="AI293" s="476"/>
      <c r="AJ293" s="505"/>
      <c r="AK293" s="476"/>
    </row>
    <row r="294" spans="1:37">
      <c r="A294" s="492">
        <f t="shared" si="17"/>
        <v>45705</v>
      </c>
      <c r="B294" s="102" t="s">
        <v>1197</v>
      </c>
      <c r="C294" s="110" t="str">
        <f t="shared" si="16"/>
        <v>45705 1200H</v>
      </c>
      <c r="D294" s="471">
        <v>1504.32</v>
      </c>
      <c r="E294" s="472">
        <v>49.67</v>
      </c>
      <c r="F294" s="471">
        <v>1108.67</v>
      </c>
      <c r="G294" s="472">
        <v>6.2</v>
      </c>
      <c r="H294" s="471">
        <v>74642.960000000006</v>
      </c>
      <c r="I294" s="473">
        <v>910.09</v>
      </c>
      <c r="J294" s="473">
        <v>33345.72</v>
      </c>
      <c r="K294" s="472">
        <v>105.95</v>
      </c>
      <c r="L294" s="471">
        <v>6053.4</v>
      </c>
      <c r="M294" s="473">
        <v>18.98</v>
      </c>
      <c r="N294" s="473">
        <v>33610.9</v>
      </c>
      <c r="O294" s="473">
        <v>29.3</v>
      </c>
      <c r="P294" s="473">
        <v>707.6</v>
      </c>
      <c r="Q294" s="473">
        <v>760.5</v>
      </c>
      <c r="R294" s="473">
        <v>10427.459999999999</v>
      </c>
      <c r="S294" s="473">
        <v>9.0399999999999991</v>
      </c>
      <c r="T294" s="473">
        <v>36638</v>
      </c>
      <c r="U294" s="473">
        <v>69</v>
      </c>
      <c r="V294" s="473">
        <v>474.71</v>
      </c>
      <c r="W294" s="473">
        <v>0.17</v>
      </c>
      <c r="X294" s="473">
        <v>7022.49</v>
      </c>
      <c r="Y294" s="473">
        <v>0</v>
      </c>
      <c r="Z294" s="473">
        <v>54169</v>
      </c>
      <c r="AA294" s="472">
        <v>79</v>
      </c>
      <c r="AB294" s="473">
        <v>152.68</v>
      </c>
      <c r="AC294" s="474">
        <v>0.16</v>
      </c>
      <c r="AD294" s="473">
        <v>81.37</v>
      </c>
      <c r="AE294" s="472">
        <v>0.23</v>
      </c>
      <c r="AF294" s="506"/>
      <c r="AG294" s="474"/>
      <c r="AH294" s="506"/>
      <c r="AI294" s="474"/>
      <c r="AJ294" s="506"/>
      <c r="AK294" s="474"/>
    </row>
    <row r="295" spans="1:37">
      <c r="A295" s="492">
        <f t="shared" si="17"/>
        <v>45706</v>
      </c>
      <c r="B295" s="102" t="s">
        <v>3267</v>
      </c>
      <c r="C295" s="110" t="str">
        <f t="shared" si="16"/>
        <v>45706 0000H</v>
      </c>
      <c r="D295" s="337">
        <v>1509.6</v>
      </c>
      <c r="E295" s="338">
        <v>49.67</v>
      </c>
      <c r="F295" s="337">
        <v>1108.67</v>
      </c>
      <c r="G295" s="338">
        <v>6.2</v>
      </c>
      <c r="H295" s="337">
        <v>74652.36</v>
      </c>
      <c r="I295" s="475">
        <v>910.09</v>
      </c>
      <c r="J295" s="475">
        <v>33349.22</v>
      </c>
      <c r="K295" s="338">
        <v>105.96</v>
      </c>
      <c r="L295" s="337">
        <v>6058.77</v>
      </c>
      <c r="M295" s="475">
        <v>18.98</v>
      </c>
      <c r="N295" s="475">
        <v>33617.800000000003</v>
      </c>
      <c r="O295" s="475">
        <v>29.3</v>
      </c>
      <c r="P295" s="475">
        <v>707.69</v>
      </c>
      <c r="Q295" s="475">
        <v>761.94</v>
      </c>
      <c r="R295" s="475">
        <v>10431.86</v>
      </c>
      <c r="S295" s="475">
        <v>9.0399999999999991</v>
      </c>
      <c r="T295" s="475">
        <v>36646</v>
      </c>
      <c r="U295" s="475">
        <v>69</v>
      </c>
      <c r="V295" s="475">
        <v>479.51</v>
      </c>
      <c r="W295" s="475">
        <v>0.17</v>
      </c>
      <c r="X295" s="475">
        <v>7229.99</v>
      </c>
      <c r="Y295" s="475">
        <v>0</v>
      </c>
      <c r="Z295" s="475">
        <v>54169</v>
      </c>
      <c r="AA295" s="338">
        <v>79</v>
      </c>
      <c r="AB295" s="475">
        <v>152.68</v>
      </c>
      <c r="AC295" s="476">
        <v>0.16</v>
      </c>
      <c r="AD295" s="475">
        <v>81.37</v>
      </c>
      <c r="AE295" s="338">
        <v>0.23</v>
      </c>
      <c r="AF295" s="505"/>
      <c r="AG295" s="476"/>
      <c r="AH295" s="505"/>
      <c r="AI295" s="476"/>
      <c r="AJ295" s="505"/>
      <c r="AK295" s="476"/>
    </row>
    <row r="296" spans="1:37">
      <c r="A296" s="492">
        <f t="shared" si="17"/>
        <v>45706</v>
      </c>
      <c r="B296" s="102" t="s">
        <v>1197</v>
      </c>
      <c r="C296" s="110" t="str">
        <f t="shared" si="16"/>
        <v>45706 1200H</v>
      </c>
      <c r="D296" s="471">
        <v>1513.1</v>
      </c>
      <c r="E296" s="472">
        <v>49.67</v>
      </c>
      <c r="F296" s="471">
        <v>1108.67</v>
      </c>
      <c r="G296" s="472">
        <v>6.2</v>
      </c>
      <c r="H296" s="471">
        <v>74660.78</v>
      </c>
      <c r="I296" s="473">
        <v>910.09</v>
      </c>
      <c r="J296" s="473">
        <v>33350.35</v>
      </c>
      <c r="K296" s="472">
        <v>106.2</v>
      </c>
      <c r="L296" s="471">
        <v>6064.43</v>
      </c>
      <c r="M296" s="473">
        <v>18.98</v>
      </c>
      <c r="N296" s="473">
        <v>33621.599999999999</v>
      </c>
      <c r="O296" s="473">
        <v>29.3</v>
      </c>
      <c r="P296" s="473">
        <v>707.81</v>
      </c>
      <c r="Q296" s="473">
        <v>762.81</v>
      </c>
      <c r="R296" s="473">
        <v>10434.959999999999</v>
      </c>
      <c r="S296" s="473">
        <v>9.0399999999999991</v>
      </c>
      <c r="T296" s="473">
        <v>36653</v>
      </c>
      <c r="U296" s="473">
        <v>69</v>
      </c>
      <c r="V296" s="473">
        <v>486.9</v>
      </c>
      <c r="W296" s="473">
        <v>0.17</v>
      </c>
      <c r="X296" s="473">
        <v>7236.29</v>
      </c>
      <c r="Y296" s="473">
        <v>0</v>
      </c>
      <c r="Z296" s="473">
        <v>54169</v>
      </c>
      <c r="AA296" s="472">
        <v>79</v>
      </c>
      <c r="AB296" s="473">
        <v>152.68</v>
      </c>
      <c r="AC296" s="474">
        <v>0.16</v>
      </c>
      <c r="AD296" s="473">
        <v>81.37</v>
      </c>
      <c r="AE296" s="472">
        <v>0.23</v>
      </c>
      <c r="AF296" s="506"/>
      <c r="AG296" s="474"/>
      <c r="AH296" s="506"/>
      <c r="AI296" s="474"/>
      <c r="AJ296" s="506"/>
      <c r="AK296" s="474"/>
    </row>
    <row r="297" spans="1:37">
      <c r="A297" s="492">
        <f t="shared" si="17"/>
        <v>45707</v>
      </c>
      <c r="B297" s="102" t="s">
        <v>3267</v>
      </c>
      <c r="C297" s="110" t="str">
        <f t="shared" si="16"/>
        <v>45707 0000H</v>
      </c>
      <c r="D297" s="337">
        <v>1518.48</v>
      </c>
      <c r="E297" s="338">
        <v>49.67</v>
      </c>
      <c r="F297" s="337">
        <v>1108.67</v>
      </c>
      <c r="G297" s="338">
        <v>6.2</v>
      </c>
      <c r="H297" s="337">
        <v>74668.800000000003</v>
      </c>
      <c r="I297" s="475">
        <v>910.09</v>
      </c>
      <c r="J297" s="475">
        <v>33353.49</v>
      </c>
      <c r="K297" s="338">
        <v>106.03</v>
      </c>
      <c r="L297" s="337">
        <v>6069.46</v>
      </c>
      <c r="M297" s="475">
        <v>18.98</v>
      </c>
      <c r="N297" s="475">
        <v>33627.1</v>
      </c>
      <c r="O297" s="475">
        <v>29.3</v>
      </c>
      <c r="P297" s="475">
        <v>708.02</v>
      </c>
      <c r="Q297" s="475">
        <v>763.88</v>
      </c>
      <c r="R297" s="475">
        <v>10438.17</v>
      </c>
      <c r="S297" s="475">
        <v>9.0399999999999991</v>
      </c>
      <c r="T297" s="475">
        <v>36660</v>
      </c>
      <c r="U297" s="475">
        <v>69</v>
      </c>
      <c r="V297" s="475">
        <v>495.58100000000002</v>
      </c>
      <c r="W297" s="475">
        <v>0.17</v>
      </c>
      <c r="X297" s="475">
        <v>7243.55</v>
      </c>
      <c r="Y297" s="475">
        <v>0</v>
      </c>
      <c r="Z297" s="475">
        <v>54169</v>
      </c>
      <c r="AA297" s="338">
        <v>79</v>
      </c>
      <c r="AB297" s="475">
        <v>152.68</v>
      </c>
      <c r="AC297" s="476">
        <v>0.16</v>
      </c>
      <c r="AD297" s="475">
        <v>81.37</v>
      </c>
      <c r="AE297" s="338">
        <v>0.23</v>
      </c>
      <c r="AF297" s="505"/>
      <c r="AG297" s="476"/>
      <c r="AH297" s="505"/>
      <c r="AI297" s="476"/>
      <c r="AJ297" s="505"/>
      <c r="AK297" s="476"/>
    </row>
    <row r="298" spans="1:37">
      <c r="A298" s="492">
        <f t="shared" si="17"/>
        <v>45707</v>
      </c>
      <c r="B298" s="102" t="s">
        <v>1197</v>
      </c>
      <c r="C298" s="110" t="str">
        <f t="shared" si="16"/>
        <v>45707 1200H</v>
      </c>
      <c r="D298" s="471">
        <v>1521.94</v>
      </c>
      <c r="E298" s="472">
        <v>49.67</v>
      </c>
      <c r="F298" s="471">
        <v>1108.67</v>
      </c>
      <c r="G298" s="472">
        <v>6.2</v>
      </c>
      <c r="H298" s="471">
        <v>74677.3</v>
      </c>
      <c r="I298" s="473">
        <v>910.09</v>
      </c>
      <c r="J298" s="473">
        <v>33354.92</v>
      </c>
      <c r="K298" s="472">
        <v>106.07</v>
      </c>
      <c r="L298" s="471">
        <v>6074.72</v>
      </c>
      <c r="M298" s="473">
        <v>18.98</v>
      </c>
      <c r="N298" s="473">
        <v>33631.1</v>
      </c>
      <c r="O298" s="473">
        <v>29.3</v>
      </c>
      <c r="P298" s="473">
        <v>708.08</v>
      </c>
      <c r="Q298" s="473">
        <v>765.07</v>
      </c>
      <c r="R298" s="473">
        <v>10441.67</v>
      </c>
      <c r="S298" s="473">
        <v>9.0399999999999991</v>
      </c>
      <c r="T298" s="473">
        <v>36667</v>
      </c>
      <c r="U298" s="473">
        <v>69</v>
      </c>
      <c r="V298" s="473">
        <v>502.88</v>
      </c>
      <c r="W298" s="473">
        <v>0.17</v>
      </c>
      <c r="X298" s="473">
        <v>7249.6</v>
      </c>
      <c r="Y298" s="473">
        <v>0</v>
      </c>
      <c r="Z298" s="473">
        <v>54169</v>
      </c>
      <c r="AA298" s="472">
        <v>79</v>
      </c>
      <c r="AB298" s="473">
        <v>152.68</v>
      </c>
      <c r="AC298" s="474">
        <v>0.16</v>
      </c>
      <c r="AD298" s="473">
        <v>81.37</v>
      </c>
      <c r="AE298" s="472">
        <v>0.23</v>
      </c>
      <c r="AF298" s="506"/>
      <c r="AG298" s="474"/>
      <c r="AH298" s="506"/>
      <c r="AI298" s="474"/>
      <c r="AJ298" s="506"/>
      <c r="AK298" s="474"/>
    </row>
    <row r="299" spans="1:37">
      <c r="A299" s="492">
        <f t="shared" si="17"/>
        <v>45708</v>
      </c>
      <c r="B299" s="102" t="s">
        <v>3267</v>
      </c>
      <c r="C299" s="110" t="str">
        <f t="shared" si="16"/>
        <v>45708 0000H</v>
      </c>
      <c r="D299" s="337">
        <v>1526.4</v>
      </c>
      <c r="E299" s="338">
        <v>49.67</v>
      </c>
      <c r="F299" s="337">
        <v>1108.67</v>
      </c>
      <c r="G299" s="338">
        <v>6.2</v>
      </c>
      <c r="H299" s="337">
        <v>74684.91</v>
      </c>
      <c r="I299" s="475">
        <v>910.15</v>
      </c>
      <c r="J299" s="475">
        <v>33358.519999999997</v>
      </c>
      <c r="K299" s="338">
        <v>106.08</v>
      </c>
      <c r="L299" s="337">
        <v>6080.46</v>
      </c>
      <c r="M299" s="475">
        <v>18.98</v>
      </c>
      <c r="N299" s="475">
        <v>33368.5</v>
      </c>
      <c r="O299" s="475">
        <v>29.3</v>
      </c>
      <c r="P299" s="475">
        <v>708.08</v>
      </c>
      <c r="Q299" s="475">
        <v>766.3</v>
      </c>
      <c r="R299" s="475">
        <v>10445.83</v>
      </c>
      <c r="S299" s="475">
        <v>9.0399999999999991</v>
      </c>
      <c r="T299" s="475">
        <v>36674</v>
      </c>
      <c r="U299" s="475">
        <v>69</v>
      </c>
      <c r="V299" s="475">
        <v>509.46</v>
      </c>
      <c r="W299" s="475">
        <v>0.17</v>
      </c>
      <c r="X299" s="475">
        <v>7256.62</v>
      </c>
      <c r="Y299" s="475">
        <v>0</v>
      </c>
      <c r="Z299" s="475">
        <v>54169</v>
      </c>
      <c r="AA299" s="338">
        <v>79</v>
      </c>
      <c r="AB299" s="475">
        <v>152.68</v>
      </c>
      <c r="AC299" s="476">
        <v>0.16</v>
      </c>
      <c r="AD299" s="475">
        <v>81.37</v>
      </c>
      <c r="AE299" s="338">
        <v>0.23</v>
      </c>
      <c r="AF299" s="505"/>
      <c r="AG299" s="476"/>
      <c r="AH299" s="505"/>
      <c r="AI299" s="476"/>
      <c r="AJ299" s="505"/>
      <c r="AK299" s="476"/>
    </row>
    <row r="300" spans="1:37">
      <c r="A300" s="492">
        <f t="shared" si="17"/>
        <v>45708</v>
      </c>
      <c r="B300" s="102" t="s">
        <v>1197</v>
      </c>
      <c r="C300" s="110" t="str">
        <f t="shared" si="16"/>
        <v>45708 1200H</v>
      </c>
      <c r="D300" s="471">
        <v>1529.88</v>
      </c>
      <c r="E300" s="472">
        <v>49.67</v>
      </c>
      <c r="F300" s="471">
        <v>1108.67</v>
      </c>
      <c r="G300" s="472">
        <v>6.2</v>
      </c>
      <c r="H300" s="471">
        <v>74690.94</v>
      </c>
      <c r="I300" s="473">
        <v>910.15</v>
      </c>
      <c r="J300" s="473">
        <v>33358.99</v>
      </c>
      <c r="K300" s="472">
        <v>106.13</v>
      </c>
      <c r="L300" s="471">
        <v>6086.03</v>
      </c>
      <c r="M300" s="473">
        <v>18.98</v>
      </c>
      <c r="N300" s="473">
        <v>33642.6</v>
      </c>
      <c r="O300" s="473">
        <v>29.3</v>
      </c>
      <c r="P300" s="473">
        <v>708.62</v>
      </c>
      <c r="Q300" s="473">
        <v>767.24</v>
      </c>
      <c r="R300" s="473">
        <v>10449.42</v>
      </c>
      <c r="S300" s="473">
        <v>9.0399999999999991</v>
      </c>
      <c r="T300" s="473">
        <v>36680</v>
      </c>
      <c r="U300" s="473">
        <v>69</v>
      </c>
      <c r="V300" s="473">
        <v>515.48</v>
      </c>
      <c r="W300" s="473">
        <v>0.17</v>
      </c>
      <c r="X300" s="473">
        <v>7262.84</v>
      </c>
      <c r="Y300" s="473">
        <v>0</v>
      </c>
      <c r="Z300" s="473">
        <v>54169</v>
      </c>
      <c r="AA300" s="472">
        <v>79</v>
      </c>
      <c r="AB300" s="473">
        <v>152.68</v>
      </c>
      <c r="AC300" s="474">
        <v>0.16</v>
      </c>
      <c r="AD300" s="473">
        <v>81.37</v>
      </c>
      <c r="AE300" s="472">
        <v>0.23</v>
      </c>
      <c r="AF300" s="506"/>
      <c r="AG300" s="474"/>
      <c r="AH300" s="506"/>
      <c r="AI300" s="474"/>
      <c r="AJ300" s="506"/>
      <c r="AK300" s="474"/>
    </row>
    <row r="301" spans="1:37">
      <c r="A301" s="492">
        <f t="shared" si="17"/>
        <v>45709</v>
      </c>
      <c r="B301" s="102" t="s">
        <v>3267</v>
      </c>
      <c r="C301" s="110" t="str">
        <f t="shared" si="16"/>
        <v>45709 0000H</v>
      </c>
      <c r="D301" s="337">
        <v>1534.2</v>
      </c>
      <c r="E301" s="338">
        <v>49.67</v>
      </c>
      <c r="F301" s="337">
        <v>1108.67</v>
      </c>
      <c r="G301" s="338">
        <v>6.2</v>
      </c>
      <c r="H301" s="337">
        <v>74690.94</v>
      </c>
      <c r="I301" s="475">
        <v>910.98</v>
      </c>
      <c r="J301" s="475">
        <v>33362.82</v>
      </c>
      <c r="K301" s="338">
        <v>106.13</v>
      </c>
      <c r="L301" s="337">
        <v>6090.6</v>
      </c>
      <c r="M301" s="475">
        <v>19.05</v>
      </c>
      <c r="N301" s="475">
        <v>33649.800000000003</v>
      </c>
      <c r="O301" s="475">
        <v>29.3</v>
      </c>
      <c r="P301" s="475">
        <v>709.66</v>
      </c>
      <c r="Q301" s="475">
        <v>767.87</v>
      </c>
      <c r="R301" s="475">
        <v>10453.51</v>
      </c>
      <c r="S301" s="475">
        <v>9.0399999999999991</v>
      </c>
      <c r="T301" s="475">
        <v>36687</v>
      </c>
      <c r="U301" s="475">
        <v>69</v>
      </c>
      <c r="V301" s="475">
        <v>520.69000000000005</v>
      </c>
      <c r="W301" s="475">
        <v>0.17</v>
      </c>
      <c r="X301" s="475">
        <v>7269</v>
      </c>
      <c r="Y301" s="475">
        <v>0</v>
      </c>
      <c r="Z301" s="475">
        <v>54169</v>
      </c>
      <c r="AA301" s="338">
        <v>79</v>
      </c>
      <c r="AB301" s="475">
        <v>153.58000000000001</v>
      </c>
      <c r="AC301" s="476">
        <v>0.17</v>
      </c>
      <c r="AD301" s="475">
        <v>81.37</v>
      </c>
      <c r="AE301" s="338">
        <v>0.23</v>
      </c>
      <c r="AF301" s="505"/>
      <c r="AG301" s="476"/>
      <c r="AH301" s="505"/>
      <c r="AI301" s="476"/>
      <c r="AJ301" s="505"/>
      <c r="AK301" s="476"/>
    </row>
    <row r="302" spans="1:37">
      <c r="A302" s="492">
        <f t="shared" si="17"/>
        <v>45709</v>
      </c>
      <c r="B302" s="102" t="s">
        <v>1197</v>
      </c>
      <c r="C302" s="110" t="str">
        <f t="shared" si="16"/>
        <v>45709 1200H</v>
      </c>
      <c r="D302" s="471">
        <v>1537.7</v>
      </c>
      <c r="E302" s="472">
        <v>49.67</v>
      </c>
      <c r="F302" s="471">
        <v>1108.67</v>
      </c>
      <c r="G302" s="472">
        <v>6.2</v>
      </c>
      <c r="H302" s="471">
        <v>74696.710000000006</v>
      </c>
      <c r="I302" s="473">
        <v>911.17</v>
      </c>
      <c r="J302" s="473">
        <v>33365.379999999997</v>
      </c>
      <c r="K302" s="472">
        <v>106.16</v>
      </c>
      <c r="L302" s="471">
        <v>6096.14</v>
      </c>
      <c r="M302" s="473">
        <v>19.05</v>
      </c>
      <c r="N302" s="473">
        <v>33653.4</v>
      </c>
      <c r="O302" s="473">
        <v>29.3</v>
      </c>
      <c r="P302" s="473">
        <v>709.7</v>
      </c>
      <c r="Q302" s="473">
        <v>767.07</v>
      </c>
      <c r="R302" s="473">
        <v>10457.209999999999</v>
      </c>
      <c r="S302" s="473">
        <v>9.0399999999999991</v>
      </c>
      <c r="T302" s="473">
        <v>36693</v>
      </c>
      <c r="U302" s="473">
        <v>69</v>
      </c>
      <c r="V302" s="473">
        <v>527.66999999999996</v>
      </c>
      <c r="W302" s="473">
        <v>0.17</v>
      </c>
      <c r="X302" s="473">
        <v>7275.66</v>
      </c>
      <c r="Y302" s="473">
        <v>0</v>
      </c>
      <c r="Z302" s="473">
        <v>54169</v>
      </c>
      <c r="AA302" s="472">
        <v>79</v>
      </c>
      <c r="AB302" s="473">
        <v>153.58000000000001</v>
      </c>
      <c r="AC302" s="474">
        <v>0.17</v>
      </c>
      <c r="AD302" s="473">
        <v>81.37</v>
      </c>
      <c r="AE302" s="472">
        <v>0.23</v>
      </c>
      <c r="AF302" s="506"/>
      <c r="AG302" s="474"/>
      <c r="AH302" s="506"/>
      <c r="AI302" s="474"/>
      <c r="AJ302" s="506"/>
      <c r="AK302" s="474"/>
    </row>
    <row r="303" spans="1:37">
      <c r="A303" s="492">
        <f t="shared" si="17"/>
        <v>45710</v>
      </c>
      <c r="B303" s="102" t="s">
        <v>3267</v>
      </c>
      <c r="C303" s="110" t="str">
        <f t="shared" si="16"/>
        <v>45710 0000H</v>
      </c>
      <c r="D303" s="337">
        <v>1542.15</v>
      </c>
      <c r="E303" s="338">
        <v>49.67</v>
      </c>
      <c r="F303" s="337">
        <v>1108.67</v>
      </c>
      <c r="G303" s="338">
        <v>6.2</v>
      </c>
      <c r="H303" s="337">
        <v>74705.95</v>
      </c>
      <c r="I303" s="475">
        <v>911.2</v>
      </c>
      <c r="J303" s="475">
        <v>33369.39</v>
      </c>
      <c r="K303" s="338">
        <v>106.16</v>
      </c>
      <c r="L303" s="337">
        <v>6101.69</v>
      </c>
      <c r="M303" s="475">
        <v>19.05</v>
      </c>
      <c r="N303" s="475">
        <v>33658</v>
      </c>
      <c r="O303" s="475">
        <v>29.4</v>
      </c>
      <c r="P303" s="475">
        <v>709.84</v>
      </c>
      <c r="Q303" s="475">
        <v>770.15</v>
      </c>
      <c r="R303" s="475">
        <v>10461.629999999999</v>
      </c>
      <c r="S303" s="475">
        <v>9.0399999999999991</v>
      </c>
      <c r="T303" s="475">
        <v>36701</v>
      </c>
      <c r="U303" s="475">
        <v>69</v>
      </c>
      <c r="V303" s="475">
        <v>534.88</v>
      </c>
      <c r="W303" s="475">
        <v>0.17</v>
      </c>
      <c r="X303" s="475">
        <v>7282.05</v>
      </c>
      <c r="Y303" s="475">
        <v>0</v>
      </c>
      <c r="Z303" s="475">
        <v>54169</v>
      </c>
      <c r="AA303" s="338">
        <v>79</v>
      </c>
      <c r="AB303" s="475">
        <v>153.58000000000001</v>
      </c>
      <c r="AC303" s="476">
        <v>0.17</v>
      </c>
      <c r="AD303" s="475">
        <v>81.37</v>
      </c>
      <c r="AE303" s="338">
        <v>0.23</v>
      </c>
      <c r="AF303" s="505"/>
      <c r="AG303" s="476"/>
      <c r="AH303" s="505"/>
      <c r="AI303" s="476"/>
      <c r="AJ303" s="505"/>
      <c r="AK303" s="476"/>
    </row>
    <row r="304" spans="1:37">
      <c r="A304" s="492">
        <f t="shared" si="17"/>
        <v>45710</v>
      </c>
      <c r="B304" s="102" t="s">
        <v>1197</v>
      </c>
      <c r="C304" s="110" t="str">
        <f t="shared" si="16"/>
        <v>45710 1200H</v>
      </c>
      <c r="D304" s="471">
        <v>1545.88</v>
      </c>
      <c r="E304" s="472">
        <v>49.67</v>
      </c>
      <c r="F304" s="471">
        <v>1108.67</v>
      </c>
      <c r="G304" s="472">
        <v>6.2</v>
      </c>
      <c r="H304" s="471">
        <v>74716.350000000006</v>
      </c>
      <c r="I304" s="473">
        <v>911.2</v>
      </c>
      <c r="J304" s="473">
        <v>33370</v>
      </c>
      <c r="K304" s="472">
        <v>106.24</v>
      </c>
      <c r="L304" s="471">
        <v>6107.29</v>
      </c>
      <c r="M304" s="473">
        <v>19.05</v>
      </c>
      <c r="N304" s="473">
        <v>33661.9</v>
      </c>
      <c r="O304" s="473">
        <v>29.5</v>
      </c>
      <c r="P304" s="473">
        <v>709.93</v>
      </c>
      <c r="Q304" s="473">
        <v>771.39</v>
      </c>
      <c r="R304" s="473">
        <v>10465.44</v>
      </c>
      <c r="S304" s="473">
        <v>9.0399999999999991</v>
      </c>
      <c r="T304" s="473">
        <v>36706</v>
      </c>
      <c r="U304" s="473">
        <v>69</v>
      </c>
      <c r="V304" s="473">
        <v>539.77</v>
      </c>
      <c r="W304" s="473">
        <v>0.17</v>
      </c>
      <c r="X304" s="473">
        <v>7287.7</v>
      </c>
      <c r="Y304" s="473">
        <v>0</v>
      </c>
      <c r="Z304" s="473">
        <v>54169</v>
      </c>
      <c r="AA304" s="472">
        <v>79</v>
      </c>
      <c r="AB304" s="473">
        <v>153.58000000000001</v>
      </c>
      <c r="AC304" s="474">
        <v>0.17</v>
      </c>
      <c r="AD304" s="473">
        <v>81.37</v>
      </c>
      <c r="AE304" s="472">
        <v>0.23</v>
      </c>
      <c r="AF304" s="506"/>
      <c r="AG304" s="474"/>
      <c r="AH304" s="506"/>
      <c r="AI304" s="474"/>
      <c r="AJ304" s="506"/>
      <c r="AK304" s="474"/>
    </row>
    <row r="305" spans="1:37">
      <c r="A305" s="492">
        <f t="shared" si="17"/>
        <v>45711</v>
      </c>
      <c r="B305" s="102" t="s">
        <v>3267</v>
      </c>
      <c r="C305" s="110" t="str">
        <f t="shared" si="16"/>
        <v>45711 0000H</v>
      </c>
      <c r="D305" s="337">
        <v>1549.55</v>
      </c>
      <c r="E305" s="338">
        <v>49.67</v>
      </c>
      <c r="F305" s="337">
        <v>1108.67</v>
      </c>
      <c r="G305" s="338">
        <v>6.2</v>
      </c>
      <c r="H305" s="337">
        <v>74722.75</v>
      </c>
      <c r="I305" s="475">
        <v>911.36</v>
      </c>
      <c r="J305" s="475">
        <v>33372</v>
      </c>
      <c r="K305" s="338">
        <v>106.3</v>
      </c>
      <c r="L305" s="337">
        <v>6113.01</v>
      </c>
      <c r="M305" s="475">
        <v>19.05</v>
      </c>
      <c r="N305" s="475">
        <v>33669.199999999997</v>
      </c>
      <c r="O305" s="475">
        <v>29.5</v>
      </c>
      <c r="P305" s="475">
        <v>710.29</v>
      </c>
      <c r="Q305" s="475">
        <v>771.98</v>
      </c>
      <c r="R305" s="475">
        <v>10469</v>
      </c>
      <c r="S305" s="475">
        <v>9.0399999999999991</v>
      </c>
      <c r="T305" s="475">
        <v>36713</v>
      </c>
      <c r="U305" s="475">
        <v>69</v>
      </c>
      <c r="V305" s="475">
        <v>546.62</v>
      </c>
      <c r="W305" s="475">
        <v>0.17</v>
      </c>
      <c r="X305" s="475">
        <v>7294.38</v>
      </c>
      <c r="Y305" s="475">
        <v>0</v>
      </c>
      <c r="Z305" s="475">
        <v>54169</v>
      </c>
      <c r="AA305" s="338">
        <v>79</v>
      </c>
      <c r="AB305" s="475">
        <v>153.58000000000001</v>
      </c>
      <c r="AC305" s="476">
        <v>0.17</v>
      </c>
      <c r="AD305" s="475">
        <v>81.37</v>
      </c>
      <c r="AE305" s="338">
        <v>0.23</v>
      </c>
      <c r="AF305" s="505"/>
      <c r="AG305" s="476"/>
      <c r="AH305" s="505"/>
      <c r="AI305" s="476"/>
      <c r="AJ305" s="505"/>
      <c r="AK305" s="476"/>
    </row>
    <row r="306" spans="1:37">
      <c r="A306" s="492">
        <f t="shared" si="17"/>
        <v>45711</v>
      </c>
      <c r="B306" s="102" t="s">
        <v>1197</v>
      </c>
      <c r="C306" s="110" t="str">
        <f t="shared" si="16"/>
        <v>45711 1200H</v>
      </c>
      <c r="D306" s="471">
        <v>1552.73</v>
      </c>
      <c r="E306" s="472">
        <v>49.7</v>
      </c>
      <c r="F306" s="471">
        <v>1108.67</v>
      </c>
      <c r="G306" s="472">
        <v>6.2</v>
      </c>
      <c r="H306" s="471">
        <v>74725.34</v>
      </c>
      <c r="I306" s="473">
        <v>911.64</v>
      </c>
      <c r="J306" s="473">
        <v>33373.050000000003</v>
      </c>
      <c r="K306" s="472">
        <v>106.36</v>
      </c>
      <c r="L306" s="471">
        <v>6118.83</v>
      </c>
      <c r="M306" s="473">
        <v>19.05</v>
      </c>
      <c r="N306" s="473">
        <v>33673.800000000003</v>
      </c>
      <c r="O306" s="473">
        <v>29.5</v>
      </c>
      <c r="P306" s="473">
        <v>710.32</v>
      </c>
      <c r="Q306" s="473">
        <v>773.23</v>
      </c>
      <c r="R306" s="473">
        <v>10473.77</v>
      </c>
      <c r="S306" s="473">
        <v>9.0399999999999991</v>
      </c>
      <c r="T306" s="473">
        <v>36718</v>
      </c>
      <c r="U306" s="473">
        <v>69</v>
      </c>
      <c r="V306" s="473">
        <v>551.4</v>
      </c>
      <c r="W306" s="473">
        <v>0.17</v>
      </c>
      <c r="X306" s="473">
        <v>7299.76</v>
      </c>
      <c r="Y306" s="473">
        <v>0</v>
      </c>
      <c r="Z306" s="473">
        <v>54169</v>
      </c>
      <c r="AA306" s="472">
        <v>79</v>
      </c>
      <c r="AB306" s="473">
        <v>153.58000000000001</v>
      </c>
      <c r="AC306" s="474">
        <v>0.17</v>
      </c>
      <c r="AD306" s="473">
        <v>81.37</v>
      </c>
      <c r="AE306" s="472">
        <v>0.23</v>
      </c>
      <c r="AF306" s="506"/>
      <c r="AG306" s="474"/>
      <c r="AH306" s="506"/>
      <c r="AI306" s="474"/>
      <c r="AJ306" s="506"/>
      <c r="AK306" s="474"/>
    </row>
    <row r="307" spans="1:37">
      <c r="A307" s="492">
        <f t="shared" si="17"/>
        <v>45712</v>
      </c>
      <c r="B307" s="102" t="s">
        <v>3267</v>
      </c>
      <c r="C307" s="110" t="str">
        <f t="shared" si="16"/>
        <v>45712 0000H</v>
      </c>
      <c r="D307" s="337">
        <v>1555.87</v>
      </c>
      <c r="E307" s="338">
        <v>49.7</v>
      </c>
      <c r="F307" s="337">
        <v>1108.67</v>
      </c>
      <c r="G307" s="338">
        <v>6.2</v>
      </c>
      <c r="H307" s="337">
        <v>74735.77</v>
      </c>
      <c r="I307" s="475">
        <v>911.64</v>
      </c>
      <c r="J307" s="475">
        <v>33376.879999999997</v>
      </c>
      <c r="K307" s="338">
        <v>106.36</v>
      </c>
      <c r="L307" s="337">
        <v>6124.53</v>
      </c>
      <c r="M307" s="475">
        <v>19.05</v>
      </c>
      <c r="N307" s="475">
        <v>33680.5</v>
      </c>
      <c r="O307" s="475">
        <v>29.5</v>
      </c>
      <c r="P307" s="475">
        <v>710.55</v>
      </c>
      <c r="Q307" s="475">
        <v>774.1</v>
      </c>
      <c r="R307" s="475">
        <v>10478.280000000001</v>
      </c>
      <c r="S307" s="475">
        <v>9.0399999999999991</v>
      </c>
      <c r="T307" s="475">
        <v>36724</v>
      </c>
      <c r="U307" s="475">
        <v>69</v>
      </c>
      <c r="V307" s="475">
        <v>557.49</v>
      </c>
      <c r="W307" s="475">
        <v>0.17</v>
      </c>
      <c r="X307" s="475">
        <v>7302.85</v>
      </c>
      <c r="Y307" s="475">
        <v>0</v>
      </c>
      <c r="Z307" s="475">
        <v>54169</v>
      </c>
      <c r="AA307" s="338">
        <v>79</v>
      </c>
      <c r="AB307" s="475">
        <v>153.58000000000001</v>
      </c>
      <c r="AC307" s="476">
        <v>0.17</v>
      </c>
      <c r="AD307" s="475">
        <v>81.37</v>
      </c>
      <c r="AE307" s="338">
        <v>0.23</v>
      </c>
      <c r="AF307" s="505"/>
      <c r="AG307" s="476"/>
      <c r="AH307" s="505"/>
      <c r="AI307" s="476"/>
      <c r="AJ307" s="505"/>
      <c r="AK307" s="476"/>
    </row>
    <row r="308" spans="1:37">
      <c r="A308" s="492">
        <f t="shared" si="17"/>
        <v>45712</v>
      </c>
      <c r="B308" s="102" t="s">
        <v>1197</v>
      </c>
      <c r="C308" s="110" t="str">
        <f t="shared" si="16"/>
        <v>45712 1200H</v>
      </c>
      <c r="D308" s="471">
        <v>1559.47</v>
      </c>
      <c r="E308" s="472">
        <v>49.67</v>
      </c>
      <c r="F308" s="471">
        <v>1108.67</v>
      </c>
      <c r="G308" s="472">
        <v>6.2</v>
      </c>
      <c r="H308" s="471">
        <v>74741.23</v>
      </c>
      <c r="I308" s="473">
        <v>911.77</v>
      </c>
      <c r="J308" s="473">
        <v>33378.839999999997</v>
      </c>
      <c r="K308" s="472">
        <v>106.4</v>
      </c>
      <c r="L308" s="471">
        <v>6130.29</v>
      </c>
      <c r="M308" s="473">
        <v>19.05</v>
      </c>
      <c r="N308" s="473">
        <v>33684.800000000003</v>
      </c>
      <c r="O308" s="473">
        <v>29.5</v>
      </c>
      <c r="P308" s="473">
        <v>710.65</v>
      </c>
      <c r="Q308" s="473">
        <v>775.16</v>
      </c>
      <c r="R308" s="473">
        <v>10481.99</v>
      </c>
      <c r="S308" s="473">
        <v>9.0399999999999991</v>
      </c>
      <c r="T308" s="473">
        <v>36730</v>
      </c>
      <c r="U308" s="473">
        <v>69</v>
      </c>
      <c r="V308" s="473">
        <v>563.66</v>
      </c>
      <c r="W308" s="473">
        <v>0.17</v>
      </c>
      <c r="X308" s="473">
        <v>7312.26</v>
      </c>
      <c r="Y308" s="473">
        <v>0</v>
      </c>
      <c r="Z308" s="473">
        <v>54169</v>
      </c>
      <c r="AA308" s="472">
        <v>79</v>
      </c>
      <c r="AB308" s="473">
        <v>153.58000000000001</v>
      </c>
      <c r="AC308" s="474">
        <v>0.17</v>
      </c>
      <c r="AD308" s="473">
        <v>81.37</v>
      </c>
      <c r="AE308" s="472">
        <v>0.23</v>
      </c>
      <c r="AF308" s="506"/>
      <c r="AG308" s="474"/>
      <c r="AH308" s="506"/>
      <c r="AI308" s="474"/>
      <c r="AJ308" s="506"/>
      <c r="AK308" s="474"/>
    </row>
    <row r="309" spans="1:37">
      <c r="A309" s="492">
        <f t="shared" si="17"/>
        <v>45713</v>
      </c>
      <c r="B309" s="102" t="s">
        <v>3267</v>
      </c>
      <c r="C309" s="110" t="str">
        <f t="shared" si="16"/>
        <v>45713 0000H</v>
      </c>
      <c r="D309" s="337">
        <v>1563.83</v>
      </c>
      <c r="E309" s="338">
        <v>46.67</v>
      </c>
      <c r="F309" s="337">
        <v>1108.67</v>
      </c>
      <c r="G309" s="338">
        <v>6.2</v>
      </c>
      <c r="H309" s="337">
        <v>74751.429999999993</v>
      </c>
      <c r="I309" s="475">
        <v>911.77</v>
      </c>
      <c r="J309" s="475">
        <v>33382.589999999997</v>
      </c>
      <c r="K309" s="338">
        <v>106.4</v>
      </c>
      <c r="L309" s="337">
        <v>6135.88</v>
      </c>
      <c r="M309" s="475">
        <v>19.05</v>
      </c>
      <c r="N309" s="475">
        <v>33691.199999999997</v>
      </c>
      <c r="O309" s="475">
        <v>29.5</v>
      </c>
      <c r="P309" s="475">
        <v>710.66</v>
      </c>
      <c r="Q309" s="475">
        <v>776.54</v>
      </c>
      <c r="R309" s="475">
        <v>10486.32</v>
      </c>
      <c r="S309" s="475">
        <v>9.0399999999999991</v>
      </c>
      <c r="T309" s="475">
        <v>36738</v>
      </c>
      <c r="U309" s="475">
        <v>69</v>
      </c>
      <c r="V309" s="475">
        <v>568.82000000000005</v>
      </c>
      <c r="W309" s="475">
        <v>0.17</v>
      </c>
      <c r="X309" s="475">
        <v>7318.63</v>
      </c>
      <c r="Y309" s="475">
        <v>0</v>
      </c>
      <c r="Z309" s="475">
        <v>54169</v>
      </c>
      <c r="AA309" s="338">
        <v>79</v>
      </c>
      <c r="AB309" s="475">
        <v>153.58000000000001</v>
      </c>
      <c r="AC309" s="476">
        <v>0.17</v>
      </c>
      <c r="AD309" s="475">
        <v>81.37</v>
      </c>
      <c r="AE309" s="338">
        <v>0.23</v>
      </c>
      <c r="AF309" s="505"/>
      <c r="AG309" s="476"/>
      <c r="AH309" s="505"/>
      <c r="AI309" s="476"/>
      <c r="AJ309" s="505"/>
      <c r="AK309" s="476"/>
    </row>
    <row r="310" spans="1:37" ht="14.45" thickBot="1">
      <c r="A310" s="498">
        <f t="shared" si="17"/>
        <v>45713</v>
      </c>
      <c r="B310" s="499" t="s">
        <v>1197</v>
      </c>
      <c r="C310" s="500" t="str">
        <f t="shared" si="16"/>
        <v>45713 1200H</v>
      </c>
      <c r="D310" s="501">
        <v>1567.26</v>
      </c>
      <c r="E310" s="502">
        <v>49.67</v>
      </c>
      <c r="F310" s="501">
        <v>1108.67</v>
      </c>
      <c r="G310" s="502">
        <v>6.2</v>
      </c>
      <c r="H310" s="501">
        <v>74762.399999999994</v>
      </c>
      <c r="I310" s="503">
        <v>911.77</v>
      </c>
      <c r="J310" s="503">
        <v>33383.839999999997</v>
      </c>
      <c r="K310" s="502">
        <v>106.44</v>
      </c>
      <c r="L310" s="501">
        <v>6141.67</v>
      </c>
      <c r="M310" s="503">
        <v>19.05</v>
      </c>
      <c r="N310" s="503">
        <v>33694.699999999997</v>
      </c>
      <c r="O310" s="503">
        <v>29.5</v>
      </c>
      <c r="P310" s="503">
        <v>710.67</v>
      </c>
      <c r="Q310" s="503">
        <v>777.87</v>
      </c>
      <c r="R310" s="503">
        <v>10490.23</v>
      </c>
      <c r="S310" s="503">
        <v>9.0399999999999991</v>
      </c>
      <c r="T310" s="503">
        <v>36745</v>
      </c>
      <c r="U310" s="503">
        <v>69</v>
      </c>
      <c r="V310" s="503">
        <v>574.97</v>
      </c>
      <c r="W310" s="503">
        <v>0.17</v>
      </c>
      <c r="X310" s="503">
        <v>7324.66</v>
      </c>
      <c r="Y310" s="503">
        <v>0</v>
      </c>
      <c r="Z310" s="503">
        <v>54169</v>
      </c>
      <c r="AA310" s="502">
        <v>79</v>
      </c>
      <c r="AB310" s="503">
        <v>153.58000000000001</v>
      </c>
      <c r="AC310" s="504">
        <v>0.17</v>
      </c>
      <c r="AD310" s="503">
        <v>81.37</v>
      </c>
      <c r="AE310" s="502">
        <v>0.23</v>
      </c>
      <c r="AF310" s="513"/>
      <c r="AG310" s="504"/>
      <c r="AH310" s="513"/>
      <c r="AI310" s="504"/>
      <c r="AJ310" s="513"/>
      <c r="AK310" s="504"/>
    </row>
    <row r="311" spans="1:37" s="479" customFormat="1" ht="14.45" thickBot="1">
      <c r="A311" s="477"/>
      <c r="B311" s="477"/>
      <c r="C311" s="477"/>
      <c r="D311" s="478"/>
      <c r="E311" s="478"/>
      <c r="F311" s="478"/>
      <c r="G311" s="478"/>
      <c r="H311" s="478"/>
      <c r="I311" s="478"/>
      <c r="J311" s="478"/>
      <c r="K311" s="478"/>
      <c r="L311" s="478"/>
      <c r="M311" s="478"/>
      <c r="N311" s="478"/>
      <c r="O311" s="478"/>
      <c r="P311" s="478"/>
      <c r="Q311" s="478"/>
      <c r="R311" s="478"/>
      <c r="S311" s="478"/>
      <c r="T311" s="478"/>
      <c r="U311" s="478"/>
      <c r="V311" s="478"/>
      <c r="W311" s="478"/>
      <c r="X311" s="478"/>
      <c r="Y311" s="478"/>
      <c r="Z311" s="478"/>
      <c r="AA311" s="478"/>
      <c r="AB311" s="478"/>
      <c r="AC311" s="478"/>
      <c r="AD311" s="478"/>
      <c r="AE311" s="478"/>
      <c r="AF311" s="511"/>
      <c r="AG311" s="512"/>
      <c r="AH311" s="511"/>
      <c r="AI311" s="512"/>
      <c r="AJ311" s="511"/>
      <c r="AK311" s="512"/>
    </row>
    <row r="312" spans="1:37">
      <c r="A312" s="485">
        <f>A309+1</f>
        <v>45714</v>
      </c>
      <c r="B312" s="486" t="s">
        <v>3267</v>
      </c>
      <c r="C312" s="487" t="str">
        <f t="shared" ref="C312:C343" si="18">A312 &amp; " " &amp;B312</f>
        <v>45714 0000H</v>
      </c>
      <c r="D312" s="488">
        <v>1571.7</v>
      </c>
      <c r="E312" s="489">
        <v>49.67</v>
      </c>
      <c r="F312" s="488">
        <v>1108.67</v>
      </c>
      <c r="G312" s="489">
        <v>6.2</v>
      </c>
      <c r="H312" s="488">
        <v>74772.320000000007</v>
      </c>
      <c r="I312" s="490">
        <v>911.77</v>
      </c>
      <c r="J312" s="490">
        <v>33386.54</v>
      </c>
      <c r="K312" s="489">
        <v>106.46</v>
      </c>
      <c r="L312" s="488">
        <v>6144.32</v>
      </c>
      <c r="M312" s="490">
        <v>19.05</v>
      </c>
      <c r="N312" s="490">
        <v>33701.5</v>
      </c>
      <c r="O312" s="490">
        <v>29.8</v>
      </c>
      <c r="P312" s="490">
        <v>710.68</v>
      </c>
      <c r="Q312" s="490">
        <v>779.12</v>
      </c>
      <c r="R312" s="490">
        <v>10494.35</v>
      </c>
      <c r="S312" s="490">
        <v>9.0399999999999991</v>
      </c>
      <c r="T312" s="490">
        <v>36752</v>
      </c>
      <c r="U312" s="490">
        <v>69</v>
      </c>
      <c r="V312" s="490">
        <v>581.21</v>
      </c>
      <c r="W312" s="490">
        <v>0.17</v>
      </c>
      <c r="X312" s="490">
        <v>7331.68</v>
      </c>
      <c r="Y312" s="490">
        <v>0</v>
      </c>
      <c r="Z312" s="490">
        <v>54169</v>
      </c>
      <c r="AA312" s="489">
        <v>79</v>
      </c>
      <c r="AB312" s="490">
        <v>153.58000000000001</v>
      </c>
      <c r="AC312" s="491">
        <v>0.17</v>
      </c>
      <c r="AD312" s="490">
        <v>81.37</v>
      </c>
      <c r="AE312" s="489">
        <v>0.23</v>
      </c>
      <c r="AF312" s="509"/>
      <c r="AG312" s="491"/>
      <c r="AH312" s="509"/>
      <c r="AI312" s="491"/>
      <c r="AJ312" s="509"/>
      <c r="AK312" s="491"/>
    </row>
    <row r="313" spans="1:37">
      <c r="A313" s="492">
        <f>A310+1</f>
        <v>45714</v>
      </c>
      <c r="B313" s="102" t="s">
        <v>1197</v>
      </c>
      <c r="C313" s="110" t="str">
        <f t="shared" si="18"/>
        <v>45714 1200H</v>
      </c>
      <c r="D313" s="471">
        <v>1575.13</v>
      </c>
      <c r="E313" s="472">
        <v>49.67</v>
      </c>
      <c r="F313" s="471">
        <v>1108.67</v>
      </c>
      <c r="G313" s="472">
        <v>6.2</v>
      </c>
      <c r="H313" s="471">
        <v>74773.11</v>
      </c>
      <c r="I313" s="473">
        <v>912.33</v>
      </c>
      <c r="J313" s="473">
        <v>33386.54</v>
      </c>
      <c r="K313" s="472">
        <v>106.52</v>
      </c>
      <c r="L313" s="471">
        <v>6153</v>
      </c>
      <c r="M313" s="473">
        <v>19.05</v>
      </c>
      <c r="N313" s="473">
        <v>33707.1</v>
      </c>
      <c r="O313" s="473">
        <v>29.5</v>
      </c>
      <c r="P313" s="473">
        <v>710.75</v>
      </c>
      <c r="Q313" s="473">
        <v>780.35</v>
      </c>
      <c r="R313" s="473">
        <v>10497.9</v>
      </c>
      <c r="S313" s="473">
        <v>9.0399999999999991</v>
      </c>
      <c r="T313" s="473">
        <v>36758</v>
      </c>
      <c r="U313" s="473">
        <v>69</v>
      </c>
      <c r="V313" s="473">
        <v>587.44000000000005</v>
      </c>
      <c r="W313" s="473">
        <v>0.17</v>
      </c>
      <c r="X313" s="473">
        <v>7337.21</v>
      </c>
      <c r="Y313" s="473">
        <v>0</v>
      </c>
      <c r="Z313" s="473">
        <v>54169</v>
      </c>
      <c r="AA313" s="472">
        <v>79</v>
      </c>
      <c r="AB313" s="473">
        <v>153.58000000000001</v>
      </c>
      <c r="AC313" s="474">
        <v>0.17</v>
      </c>
      <c r="AD313" s="473">
        <v>81.37</v>
      </c>
      <c r="AE313" s="472">
        <v>0.23</v>
      </c>
      <c r="AF313" s="506"/>
      <c r="AG313" s="474"/>
      <c r="AH313" s="506"/>
      <c r="AI313" s="474"/>
      <c r="AJ313" s="506"/>
      <c r="AK313" s="474"/>
    </row>
    <row r="314" spans="1:37">
      <c r="A314" s="492">
        <f t="shared" ref="A314:A345" si="19">A312+1</f>
        <v>45715</v>
      </c>
      <c r="B314" s="102" t="s">
        <v>3267</v>
      </c>
      <c r="C314" s="110" t="str">
        <f t="shared" si="18"/>
        <v>45715 0000H</v>
      </c>
      <c r="D314" s="337">
        <v>1579.98</v>
      </c>
      <c r="E314" s="338">
        <v>49.67</v>
      </c>
      <c r="F314" s="337">
        <v>1108.67</v>
      </c>
      <c r="G314" s="338">
        <v>6.2</v>
      </c>
      <c r="H314" s="337">
        <v>74783.33</v>
      </c>
      <c r="I314" s="475">
        <v>912.33</v>
      </c>
      <c r="J314" s="475">
        <v>33386.54</v>
      </c>
      <c r="K314" s="338">
        <v>106.57</v>
      </c>
      <c r="L314" s="337">
        <v>6158.4</v>
      </c>
      <c r="M314" s="475">
        <v>19.05</v>
      </c>
      <c r="N314" s="475">
        <v>33714.199999999997</v>
      </c>
      <c r="O314" s="475">
        <v>29.5</v>
      </c>
      <c r="P314" s="475">
        <v>711.13</v>
      </c>
      <c r="Q314" s="475">
        <v>781.1</v>
      </c>
      <c r="R314" s="475">
        <v>10502.19</v>
      </c>
      <c r="S314" s="475">
        <v>9.0399999999999991</v>
      </c>
      <c r="T314" s="475">
        <v>36765</v>
      </c>
      <c r="U314" s="475">
        <v>69</v>
      </c>
      <c r="V314" s="475">
        <v>588.47</v>
      </c>
      <c r="W314" s="475">
        <v>0.17</v>
      </c>
      <c r="X314" s="475">
        <v>7343.88</v>
      </c>
      <c r="Y314" s="475">
        <v>0</v>
      </c>
      <c r="Z314" s="475">
        <v>54169</v>
      </c>
      <c r="AA314" s="338">
        <v>79</v>
      </c>
      <c r="AB314" s="475">
        <v>154.02000000000001</v>
      </c>
      <c r="AC314" s="476">
        <v>0.17</v>
      </c>
      <c r="AD314" s="475">
        <v>81.37</v>
      </c>
      <c r="AE314" s="338">
        <v>0.23</v>
      </c>
      <c r="AF314" s="505"/>
      <c r="AG314" s="476"/>
      <c r="AH314" s="505"/>
      <c r="AI314" s="476"/>
      <c r="AJ314" s="505"/>
      <c r="AK314" s="476"/>
    </row>
    <row r="315" spans="1:37">
      <c r="A315" s="492">
        <f t="shared" si="19"/>
        <v>45715</v>
      </c>
      <c r="B315" s="102" t="s">
        <v>1197</v>
      </c>
      <c r="C315" s="110" t="str">
        <f t="shared" si="18"/>
        <v>45715 1200H</v>
      </c>
      <c r="D315" s="471">
        <v>1584.97</v>
      </c>
      <c r="E315" s="472">
        <v>49.67</v>
      </c>
      <c r="F315" s="471">
        <v>1108.67</v>
      </c>
      <c r="G315" s="472">
        <v>6.2</v>
      </c>
      <c r="H315" s="471">
        <v>74786.39</v>
      </c>
      <c r="I315" s="473">
        <v>912.73</v>
      </c>
      <c r="J315" s="473">
        <v>33388.199999999997</v>
      </c>
      <c r="K315" s="472">
        <v>106.6</v>
      </c>
      <c r="L315" s="471">
        <v>6161.41</v>
      </c>
      <c r="M315" s="473">
        <v>19.05</v>
      </c>
      <c r="N315" s="473">
        <v>33721.4</v>
      </c>
      <c r="O315" s="473">
        <v>29.5</v>
      </c>
      <c r="P315" s="473">
        <v>711.4</v>
      </c>
      <c r="Q315" s="473">
        <v>781.8</v>
      </c>
      <c r="R315" s="473">
        <v>10505.78</v>
      </c>
      <c r="S315" s="473">
        <v>9.0399999999999991</v>
      </c>
      <c r="T315" s="473">
        <v>36772</v>
      </c>
      <c r="U315" s="473">
        <v>69</v>
      </c>
      <c r="V315" s="473">
        <v>590.08000000000004</v>
      </c>
      <c r="W315" s="473">
        <v>0.17</v>
      </c>
      <c r="X315" s="473">
        <v>7350.13</v>
      </c>
      <c r="Y315" s="473">
        <v>0</v>
      </c>
      <c r="Z315" s="473">
        <v>54169</v>
      </c>
      <c r="AA315" s="472">
        <v>79</v>
      </c>
      <c r="AB315" s="473">
        <v>157.57</v>
      </c>
      <c r="AC315" s="474">
        <v>0.17</v>
      </c>
      <c r="AD315" s="473">
        <v>81.37</v>
      </c>
      <c r="AE315" s="472">
        <v>0.23</v>
      </c>
      <c r="AF315" s="506"/>
      <c r="AG315" s="474"/>
      <c r="AH315" s="506"/>
      <c r="AI315" s="474"/>
      <c r="AJ315" s="506"/>
      <c r="AK315" s="474"/>
    </row>
    <row r="316" spans="1:37">
      <c r="A316" s="492">
        <f t="shared" si="19"/>
        <v>45716</v>
      </c>
      <c r="B316" s="102" t="s">
        <v>3267</v>
      </c>
      <c r="C316" s="110" t="str">
        <f t="shared" si="18"/>
        <v>45716 0000H</v>
      </c>
      <c r="D316" s="337">
        <v>1590.64</v>
      </c>
      <c r="E316" s="338">
        <v>49.67</v>
      </c>
      <c r="F316" s="337">
        <v>1108.67</v>
      </c>
      <c r="G316" s="338">
        <v>6.2</v>
      </c>
      <c r="H316" s="337">
        <v>74796.56</v>
      </c>
      <c r="I316" s="475">
        <v>912.73</v>
      </c>
      <c r="J316" s="475">
        <v>33391.78</v>
      </c>
      <c r="K316" s="338">
        <v>106.6</v>
      </c>
      <c r="L316" s="337">
        <v>6166.67</v>
      </c>
      <c r="M316" s="475">
        <v>19.05</v>
      </c>
      <c r="N316" s="475">
        <v>33728.400000000001</v>
      </c>
      <c r="O316" s="475">
        <v>29.5</v>
      </c>
      <c r="P316" s="475">
        <v>711.4</v>
      </c>
      <c r="Q316" s="475">
        <v>782.86</v>
      </c>
      <c r="R316" s="475">
        <v>10510.07</v>
      </c>
      <c r="S316" s="475">
        <v>9.0399999999999991</v>
      </c>
      <c r="T316" s="475">
        <v>36780</v>
      </c>
      <c r="U316" s="475">
        <v>69</v>
      </c>
      <c r="V316" s="475">
        <v>590.74</v>
      </c>
      <c r="W316" s="475">
        <v>0.17</v>
      </c>
      <c r="X316" s="475">
        <v>7357.07</v>
      </c>
      <c r="Y316" s="475">
        <v>0</v>
      </c>
      <c r="Z316" s="475">
        <v>54169</v>
      </c>
      <c r="AA316" s="338">
        <v>79</v>
      </c>
      <c r="AB316" s="475">
        <v>160.07</v>
      </c>
      <c r="AC316" s="476">
        <v>0.11</v>
      </c>
      <c r="AD316" s="475">
        <v>81.37</v>
      </c>
      <c r="AE316" s="338">
        <v>0.23</v>
      </c>
      <c r="AF316" s="505"/>
      <c r="AG316" s="476"/>
      <c r="AH316" s="505"/>
      <c r="AI316" s="476"/>
      <c r="AJ316" s="505"/>
      <c r="AK316" s="476"/>
    </row>
    <row r="317" spans="1:37">
      <c r="A317" s="492">
        <f t="shared" si="19"/>
        <v>45716</v>
      </c>
      <c r="B317" s="102" t="s">
        <v>1197</v>
      </c>
      <c r="C317" s="110" t="str">
        <f t="shared" si="18"/>
        <v>45716 1200H</v>
      </c>
      <c r="D317" s="471">
        <v>1594.56</v>
      </c>
      <c r="E317" s="472">
        <v>49.67</v>
      </c>
      <c r="F317" s="471">
        <v>1108.67</v>
      </c>
      <c r="G317" s="472">
        <v>6.2</v>
      </c>
      <c r="H317" s="471">
        <v>74802.92</v>
      </c>
      <c r="I317" s="473">
        <v>912.9</v>
      </c>
      <c r="J317" s="473">
        <v>33392.379999999997</v>
      </c>
      <c r="K317" s="472">
        <v>106.66</v>
      </c>
      <c r="L317" s="471">
        <v>6172.56</v>
      </c>
      <c r="M317" s="473">
        <v>19.05</v>
      </c>
      <c r="N317" s="473">
        <v>33735.5</v>
      </c>
      <c r="O317" s="473">
        <v>29.5</v>
      </c>
      <c r="P317" s="473">
        <v>711.58</v>
      </c>
      <c r="Q317" s="473">
        <v>783.78</v>
      </c>
      <c r="R317" s="473">
        <v>10513.51</v>
      </c>
      <c r="S317" s="473">
        <v>9.0399999999999991</v>
      </c>
      <c r="T317" s="473">
        <v>36786</v>
      </c>
      <c r="U317" s="473">
        <v>69</v>
      </c>
      <c r="V317" s="473">
        <v>590.74</v>
      </c>
      <c r="W317" s="473">
        <v>0.17</v>
      </c>
      <c r="X317" s="473">
        <v>7363.09</v>
      </c>
      <c r="Y317" s="473">
        <v>0</v>
      </c>
      <c r="Z317" s="473">
        <v>54169</v>
      </c>
      <c r="AA317" s="472">
        <v>79</v>
      </c>
      <c r="AB317" s="473">
        <v>160.07</v>
      </c>
      <c r="AC317" s="474">
        <v>0.11</v>
      </c>
      <c r="AD317" s="473">
        <v>81.37</v>
      </c>
      <c r="AE317" s="472">
        <v>0.23</v>
      </c>
      <c r="AF317" s="506"/>
      <c r="AG317" s="474"/>
      <c r="AH317" s="506"/>
      <c r="AI317" s="474"/>
      <c r="AJ317" s="506"/>
      <c r="AK317" s="474"/>
    </row>
    <row r="318" spans="1:37">
      <c r="A318" s="492">
        <f t="shared" si="19"/>
        <v>45717</v>
      </c>
      <c r="B318" s="102" t="s">
        <v>3267</v>
      </c>
      <c r="C318" s="110" t="str">
        <f t="shared" si="18"/>
        <v>45717 0000H</v>
      </c>
      <c r="D318" s="337">
        <v>1599.11</v>
      </c>
      <c r="E318" s="338">
        <v>49.67</v>
      </c>
      <c r="F318" s="337">
        <v>1108.67</v>
      </c>
      <c r="G318" s="338">
        <v>6.2</v>
      </c>
      <c r="H318" s="337">
        <v>74818</v>
      </c>
      <c r="I318" s="475">
        <v>912.91</v>
      </c>
      <c r="J318" s="475">
        <v>33396.33</v>
      </c>
      <c r="K318" s="338">
        <v>106.66</v>
      </c>
      <c r="L318" s="337">
        <v>6178.34</v>
      </c>
      <c r="M318" s="475">
        <v>19.05</v>
      </c>
      <c r="N318" s="475">
        <v>33742.199999999997</v>
      </c>
      <c r="O318" s="475">
        <v>29.5</v>
      </c>
      <c r="P318" s="475">
        <v>711.71</v>
      </c>
      <c r="Q318" s="475">
        <v>784.75</v>
      </c>
      <c r="R318" s="475">
        <v>10517.86</v>
      </c>
      <c r="S318" s="475">
        <v>9.0399999999999991</v>
      </c>
      <c r="T318" s="475">
        <v>36793</v>
      </c>
      <c r="U318" s="475">
        <v>69</v>
      </c>
      <c r="V318" s="475">
        <v>590.74</v>
      </c>
      <c r="W318" s="475">
        <v>0.17</v>
      </c>
      <c r="X318" s="475">
        <v>7370.02</v>
      </c>
      <c r="Y318" s="475">
        <v>0</v>
      </c>
      <c r="Z318" s="475">
        <v>54169</v>
      </c>
      <c r="AA318" s="338">
        <v>79</v>
      </c>
      <c r="AB318" s="475">
        <v>160.07</v>
      </c>
      <c r="AC318" s="476">
        <v>0.11</v>
      </c>
      <c r="AD318" s="475">
        <v>81.37</v>
      </c>
      <c r="AE318" s="338">
        <v>0.23</v>
      </c>
      <c r="AF318" s="505"/>
      <c r="AG318" s="476"/>
      <c r="AH318" s="505"/>
      <c r="AI318" s="476"/>
      <c r="AJ318" s="505"/>
      <c r="AK318" s="476"/>
    </row>
    <row r="319" spans="1:37">
      <c r="A319" s="492">
        <f t="shared" si="19"/>
        <v>45717</v>
      </c>
      <c r="B319" s="102" t="s">
        <v>1197</v>
      </c>
      <c r="C319" s="110" t="str">
        <f t="shared" si="18"/>
        <v>45717 1200H</v>
      </c>
      <c r="D319" s="471">
        <v>1602.9</v>
      </c>
      <c r="E319" s="472">
        <v>49.67</v>
      </c>
      <c r="F319" s="471">
        <v>1108.67</v>
      </c>
      <c r="G319" s="472">
        <v>6.2</v>
      </c>
      <c r="H319" s="471">
        <v>74818</v>
      </c>
      <c r="I319" s="473">
        <v>913.06</v>
      </c>
      <c r="J319" s="473">
        <v>33397.300000000003</v>
      </c>
      <c r="K319" s="472">
        <v>106.71</v>
      </c>
      <c r="L319" s="471">
        <v>6184.18</v>
      </c>
      <c r="M319" s="473">
        <v>19.05</v>
      </c>
      <c r="N319" s="473">
        <v>33747.699999999997</v>
      </c>
      <c r="O319" s="473">
        <v>29.5</v>
      </c>
      <c r="P319" s="473">
        <v>711.87</v>
      </c>
      <c r="Q319" s="473">
        <v>785.4</v>
      </c>
      <c r="R319" s="473">
        <v>10521.41</v>
      </c>
      <c r="S319" s="473">
        <v>9.0399999999999991</v>
      </c>
      <c r="T319" s="473">
        <v>36799</v>
      </c>
      <c r="U319" s="473">
        <v>69</v>
      </c>
      <c r="V319" s="473">
        <v>590.74</v>
      </c>
      <c r="W319" s="473">
        <v>0.17</v>
      </c>
      <c r="X319" s="473">
        <v>7374.93</v>
      </c>
      <c r="Y319" s="473">
        <v>0</v>
      </c>
      <c r="Z319" s="473">
        <v>54169</v>
      </c>
      <c r="AA319" s="472">
        <v>79</v>
      </c>
      <c r="AB319" s="473">
        <v>160.07</v>
      </c>
      <c r="AC319" s="474">
        <v>0.11</v>
      </c>
      <c r="AD319" s="473">
        <v>81.37</v>
      </c>
      <c r="AE319" s="472">
        <v>0.23</v>
      </c>
      <c r="AF319" s="506"/>
      <c r="AG319" s="474"/>
      <c r="AH319" s="506"/>
      <c r="AI319" s="474"/>
      <c r="AJ319" s="506"/>
      <c r="AK319" s="474"/>
    </row>
    <row r="320" spans="1:37">
      <c r="A320" s="492">
        <f t="shared" si="19"/>
        <v>45718</v>
      </c>
      <c r="B320" s="102" t="s">
        <v>3267</v>
      </c>
      <c r="C320" s="110" t="str">
        <f t="shared" si="18"/>
        <v>45718 0000H</v>
      </c>
      <c r="D320" s="337">
        <v>1608.94</v>
      </c>
      <c r="E320" s="338">
        <v>49.67</v>
      </c>
      <c r="F320" s="337">
        <v>1108.67</v>
      </c>
      <c r="G320" s="338">
        <v>6.2</v>
      </c>
      <c r="H320" s="337">
        <v>74818</v>
      </c>
      <c r="I320" s="475">
        <v>913.19</v>
      </c>
      <c r="J320" s="475">
        <v>33401.01</v>
      </c>
      <c r="K320" s="338">
        <v>106.71</v>
      </c>
      <c r="L320" s="337">
        <v>6190.02</v>
      </c>
      <c r="M320" s="475">
        <v>19.05</v>
      </c>
      <c r="N320" s="475">
        <v>33754.699999999997</v>
      </c>
      <c r="O320" s="475">
        <v>29.5</v>
      </c>
      <c r="P320" s="475">
        <v>711.92</v>
      </c>
      <c r="Q320" s="475">
        <v>787</v>
      </c>
      <c r="R320" s="475">
        <v>10526</v>
      </c>
      <c r="S320" s="475">
        <v>9.0399999999999991</v>
      </c>
      <c r="T320" s="475">
        <v>36806</v>
      </c>
      <c r="U320" s="475">
        <v>69</v>
      </c>
      <c r="V320" s="475">
        <v>590.74</v>
      </c>
      <c r="W320" s="475">
        <v>0.17</v>
      </c>
      <c r="X320" s="475">
        <v>7383.1</v>
      </c>
      <c r="Y320" s="475">
        <v>0</v>
      </c>
      <c r="Z320" s="475">
        <v>54169</v>
      </c>
      <c r="AA320" s="338">
        <v>79</v>
      </c>
      <c r="AB320" s="475">
        <v>160.07</v>
      </c>
      <c r="AC320" s="476">
        <v>0.11</v>
      </c>
      <c r="AD320" s="475">
        <v>81.37</v>
      </c>
      <c r="AE320" s="338">
        <v>0.23</v>
      </c>
      <c r="AF320" s="505"/>
      <c r="AG320" s="476"/>
      <c r="AH320" s="505"/>
      <c r="AI320" s="476"/>
      <c r="AJ320" s="505"/>
      <c r="AK320" s="476"/>
    </row>
    <row r="321" spans="1:37">
      <c r="A321" s="492">
        <f t="shared" si="19"/>
        <v>45718</v>
      </c>
      <c r="B321" s="102" t="s">
        <v>1197</v>
      </c>
      <c r="C321" s="110" t="str">
        <f t="shared" si="18"/>
        <v>45718 1200H</v>
      </c>
      <c r="D321" s="471">
        <v>1612.78</v>
      </c>
      <c r="E321" s="472">
        <v>49.67</v>
      </c>
      <c r="F321" s="471">
        <v>1108.67</v>
      </c>
      <c r="G321" s="472">
        <v>6.2</v>
      </c>
      <c r="H321" s="471">
        <v>74819.8</v>
      </c>
      <c r="I321" s="473">
        <v>913.49</v>
      </c>
      <c r="J321" s="473">
        <v>33401.01</v>
      </c>
      <c r="K321" s="472">
        <v>106.77</v>
      </c>
      <c r="L321" s="471">
        <v>6195.79</v>
      </c>
      <c r="M321" s="473">
        <v>19.05</v>
      </c>
      <c r="N321" s="473">
        <v>33761.699999999997</v>
      </c>
      <c r="O321" s="473">
        <v>29.5</v>
      </c>
      <c r="P321" s="473">
        <v>712.02</v>
      </c>
      <c r="Q321" s="473">
        <v>788</v>
      </c>
      <c r="R321" s="473">
        <v>10529.55</v>
      </c>
      <c r="S321" s="473">
        <v>9.0399999999999991</v>
      </c>
      <c r="T321" s="473">
        <v>36811</v>
      </c>
      <c r="U321" s="473">
        <v>69</v>
      </c>
      <c r="V321" s="473">
        <v>590.74</v>
      </c>
      <c r="W321" s="473">
        <v>0.17</v>
      </c>
      <c r="X321" s="473">
        <v>7389.19</v>
      </c>
      <c r="Y321" s="473">
        <v>0</v>
      </c>
      <c r="Z321" s="473">
        <v>54169</v>
      </c>
      <c r="AA321" s="472">
        <v>79</v>
      </c>
      <c r="AB321" s="473">
        <v>160.07</v>
      </c>
      <c r="AC321" s="474">
        <v>0.11</v>
      </c>
      <c r="AD321" s="473">
        <v>81.37</v>
      </c>
      <c r="AE321" s="472">
        <v>0.23</v>
      </c>
      <c r="AF321" s="506"/>
      <c r="AG321" s="474"/>
      <c r="AH321" s="506"/>
      <c r="AI321" s="474"/>
      <c r="AJ321" s="506"/>
      <c r="AK321" s="474"/>
    </row>
    <row r="322" spans="1:37">
      <c r="A322" s="492">
        <f t="shared" si="19"/>
        <v>45719</v>
      </c>
      <c r="B322" s="102" t="s">
        <v>3267</v>
      </c>
      <c r="C322" s="110" t="str">
        <f t="shared" si="18"/>
        <v>45719 0000H</v>
      </c>
      <c r="D322" s="337">
        <v>1617.7</v>
      </c>
      <c r="E322" s="338">
        <v>49.67</v>
      </c>
      <c r="F322" s="337">
        <v>1108.67</v>
      </c>
      <c r="G322" s="338">
        <v>6.2</v>
      </c>
      <c r="H322" s="337">
        <v>74830.45</v>
      </c>
      <c r="I322" s="475">
        <v>913.49</v>
      </c>
      <c r="J322" s="475">
        <v>33403.879999999997</v>
      </c>
      <c r="K322" s="338">
        <v>106.79</v>
      </c>
      <c r="L322" s="337">
        <v>6201.54</v>
      </c>
      <c r="M322" s="475">
        <v>19.05</v>
      </c>
      <c r="N322" s="475">
        <v>33768.800000000003</v>
      </c>
      <c r="O322" s="475">
        <v>29.5</v>
      </c>
      <c r="P322" s="475">
        <v>712.1</v>
      </c>
      <c r="Q322" s="475">
        <v>789.32</v>
      </c>
      <c r="R322" s="475">
        <v>10534.15</v>
      </c>
      <c r="S322" s="475">
        <v>9.0399999999999991</v>
      </c>
      <c r="T322" s="475">
        <v>36818</v>
      </c>
      <c r="U322" s="475">
        <v>69</v>
      </c>
      <c r="V322" s="475">
        <v>590.74</v>
      </c>
      <c r="W322" s="475">
        <v>0.17</v>
      </c>
      <c r="X322" s="475">
        <v>7396.51</v>
      </c>
      <c r="Y322" s="475">
        <v>0</v>
      </c>
      <c r="Z322" s="475">
        <v>54169</v>
      </c>
      <c r="AA322" s="338">
        <v>79</v>
      </c>
      <c r="AB322" s="475">
        <v>161.91</v>
      </c>
      <c r="AC322" s="476">
        <v>0.18</v>
      </c>
      <c r="AD322" s="475">
        <v>81.37</v>
      </c>
      <c r="AE322" s="338">
        <v>0.23</v>
      </c>
      <c r="AF322" s="505"/>
      <c r="AG322" s="476"/>
      <c r="AH322" s="505"/>
      <c r="AI322" s="476"/>
      <c r="AJ322" s="505"/>
      <c r="AK322" s="476"/>
    </row>
    <row r="323" spans="1:37">
      <c r="A323" s="492">
        <f t="shared" si="19"/>
        <v>45719</v>
      </c>
      <c r="B323" s="102" t="s">
        <v>1197</v>
      </c>
      <c r="C323" s="110" t="str">
        <f t="shared" si="18"/>
        <v>45719 1200H</v>
      </c>
      <c r="D323" s="471">
        <v>1621.57</v>
      </c>
      <c r="E323" s="472">
        <v>49.67</v>
      </c>
      <c r="F323" s="471">
        <v>1108.67</v>
      </c>
      <c r="G323" s="472">
        <v>6.2</v>
      </c>
      <c r="H323" s="471">
        <v>74837.570000000007</v>
      </c>
      <c r="I323" s="473">
        <v>913.63</v>
      </c>
      <c r="J323" s="473">
        <v>33404.42</v>
      </c>
      <c r="K323" s="472">
        <v>106.83</v>
      </c>
      <c r="L323" s="471">
        <v>6207.27</v>
      </c>
      <c r="M323" s="473">
        <v>19.05</v>
      </c>
      <c r="N323" s="473">
        <v>33774.6</v>
      </c>
      <c r="O323" s="473">
        <v>29.5</v>
      </c>
      <c r="P323" s="473">
        <v>712.68</v>
      </c>
      <c r="Q323" s="473">
        <v>789.71</v>
      </c>
      <c r="R323" s="473">
        <v>10538.08</v>
      </c>
      <c r="S323" s="473">
        <v>9.0399999999999991</v>
      </c>
      <c r="T323" s="473">
        <v>36824</v>
      </c>
      <c r="U323" s="473">
        <v>69</v>
      </c>
      <c r="V323" s="473">
        <v>590.74</v>
      </c>
      <c r="W323" s="473">
        <v>0.17</v>
      </c>
      <c r="X323" s="473">
        <v>7402.97</v>
      </c>
      <c r="Y323" s="473">
        <v>0</v>
      </c>
      <c r="Z323" s="473">
        <v>54169</v>
      </c>
      <c r="AA323" s="472">
        <v>79</v>
      </c>
      <c r="AB323" s="473">
        <v>161.91</v>
      </c>
      <c r="AC323" s="474">
        <v>0.18</v>
      </c>
      <c r="AD323" s="473">
        <v>81.37</v>
      </c>
      <c r="AE323" s="472">
        <v>0.23</v>
      </c>
      <c r="AF323" s="506"/>
      <c r="AG323" s="474"/>
      <c r="AH323" s="506"/>
      <c r="AI323" s="474"/>
      <c r="AJ323" s="506"/>
      <c r="AK323" s="474"/>
    </row>
    <row r="324" spans="1:37">
      <c r="A324" s="492">
        <f t="shared" si="19"/>
        <v>45720</v>
      </c>
      <c r="B324" s="102" t="s">
        <v>3267</v>
      </c>
      <c r="C324" s="110" t="str">
        <f t="shared" si="18"/>
        <v>45720 0000H</v>
      </c>
      <c r="D324" s="337">
        <v>1627.37</v>
      </c>
      <c r="E324" s="338">
        <v>49.67</v>
      </c>
      <c r="F324" s="337">
        <v>1108.67</v>
      </c>
      <c r="G324" s="338">
        <v>6.2</v>
      </c>
      <c r="H324" s="337">
        <v>74850.47</v>
      </c>
      <c r="I324" s="475">
        <v>913.63</v>
      </c>
      <c r="J324" s="475">
        <v>33408.32</v>
      </c>
      <c r="K324" s="338">
        <v>106.83</v>
      </c>
      <c r="L324" s="337">
        <v>6213.08</v>
      </c>
      <c r="M324" s="475">
        <v>19.05</v>
      </c>
      <c r="N324" s="475">
        <v>33781.9</v>
      </c>
      <c r="O324" s="475">
        <v>29.5</v>
      </c>
      <c r="P324" s="475">
        <v>712.7</v>
      </c>
      <c r="Q324" s="475">
        <v>790.82</v>
      </c>
      <c r="R324" s="475">
        <v>10542.68</v>
      </c>
      <c r="S324" s="475">
        <v>9.0399999999999991</v>
      </c>
      <c r="T324" s="475">
        <v>36831</v>
      </c>
      <c r="U324" s="475">
        <v>69</v>
      </c>
      <c r="V324" s="475">
        <v>590.74</v>
      </c>
      <c r="W324" s="475">
        <v>0.17</v>
      </c>
      <c r="X324" s="475">
        <v>7408.64</v>
      </c>
      <c r="Y324" s="475">
        <v>0</v>
      </c>
      <c r="Z324" s="475">
        <v>54169</v>
      </c>
      <c r="AA324" s="338">
        <v>79</v>
      </c>
      <c r="AB324" s="475">
        <v>161.91</v>
      </c>
      <c r="AC324" s="476">
        <v>0.18</v>
      </c>
      <c r="AD324" s="475">
        <v>81.37</v>
      </c>
      <c r="AE324" s="338">
        <v>0.23</v>
      </c>
      <c r="AF324" s="505"/>
      <c r="AG324" s="476"/>
      <c r="AH324" s="505"/>
      <c r="AI324" s="476"/>
      <c r="AJ324" s="505"/>
      <c r="AK324" s="476"/>
    </row>
    <row r="325" spans="1:37">
      <c r="A325" s="492">
        <f t="shared" si="19"/>
        <v>45720</v>
      </c>
      <c r="B325" s="102" t="s">
        <v>1197</v>
      </c>
      <c r="C325" s="110" t="str">
        <f t="shared" si="18"/>
        <v>45720 1200H</v>
      </c>
      <c r="D325" s="471">
        <v>1630.27</v>
      </c>
      <c r="E325" s="472">
        <v>49.69</v>
      </c>
      <c r="F325" s="471">
        <v>1108.67</v>
      </c>
      <c r="G325" s="472">
        <v>6.2</v>
      </c>
      <c r="H325" s="471">
        <v>74856.14</v>
      </c>
      <c r="I325" s="473">
        <v>913.82</v>
      </c>
      <c r="J325" s="473">
        <v>33411.58</v>
      </c>
      <c r="K325" s="472">
        <v>106.85</v>
      </c>
      <c r="L325" s="471">
        <v>6218.84</v>
      </c>
      <c r="M325" s="473">
        <v>19.05</v>
      </c>
      <c r="N325" s="473">
        <v>33789.199999999997</v>
      </c>
      <c r="O325" s="473">
        <v>29.5</v>
      </c>
      <c r="P325" s="473">
        <v>713.5</v>
      </c>
      <c r="Q325" s="473">
        <v>791.42</v>
      </c>
      <c r="R325" s="473">
        <v>10546.64</v>
      </c>
      <c r="S325" s="473">
        <v>9.0399999999999991</v>
      </c>
      <c r="T325" s="473">
        <v>36838</v>
      </c>
      <c r="U325" s="473">
        <v>69</v>
      </c>
      <c r="V325" s="473">
        <v>590.74</v>
      </c>
      <c r="W325" s="473">
        <v>0.17</v>
      </c>
      <c r="X325" s="473">
        <v>7415.24</v>
      </c>
      <c r="Y325" s="473">
        <v>0</v>
      </c>
      <c r="Z325" s="473">
        <v>54169</v>
      </c>
      <c r="AA325" s="472">
        <v>79</v>
      </c>
      <c r="AB325" s="473">
        <v>161.91</v>
      </c>
      <c r="AC325" s="474">
        <v>0.18</v>
      </c>
      <c r="AD325" s="473">
        <v>81.37</v>
      </c>
      <c r="AE325" s="472">
        <v>0.23</v>
      </c>
      <c r="AF325" s="506"/>
      <c r="AG325" s="474"/>
      <c r="AH325" s="506"/>
      <c r="AI325" s="474"/>
      <c r="AJ325" s="506"/>
      <c r="AK325" s="474"/>
    </row>
    <row r="326" spans="1:37">
      <c r="A326" s="492">
        <f t="shared" si="19"/>
        <v>45721</v>
      </c>
      <c r="B326" s="102" t="s">
        <v>3267</v>
      </c>
      <c r="C326" s="110" t="str">
        <f t="shared" si="18"/>
        <v>45721 0000H</v>
      </c>
      <c r="D326" s="337">
        <v>1636.04</v>
      </c>
      <c r="E326" s="338">
        <v>49.69</v>
      </c>
      <c r="F326" s="337">
        <v>1108.67</v>
      </c>
      <c r="G326" s="338">
        <v>6.2</v>
      </c>
      <c r="H326" s="337">
        <v>74866.070000000007</v>
      </c>
      <c r="I326" s="475">
        <v>913.82</v>
      </c>
      <c r="J326" s="475">
        <v>33415.230000000003</v>
      </c>
      <c r="K326" s="338">
        <v>106.86</v>
      </c>
      <c r="L326" s="337">
        <v>6224.64</v>
      </c>
      <c r="M326" s="475">
        <v>19.05</v>
      </c>
      <c r="N326" s="475">
        <v>33796.300000000003</v>
      </c>
      <c r="O326" s="475">
        <v>29.5</v>
      </c>
      <c r="P326" s="475">
        <v>714.04</v>
      </c>
      <c r="Q326" s="475">
        <v>792.7</v>
      </c>
      <c r="R326" s="475">
        <v>10551.4</v>
      </c>
      <c r="S326" s="475">
        <v>9.0399999999999991</v>
      </c>
      <c r="T326" s="475">
        <v>36846</v>
      </c>
      <c r="U326" s="475">
        <v>69</v>
      </c>
      <c r="V326" s="475">
        <v>590.74</v>
      </c>
      <c r="W326" s="475">
        <v>0.17</v>
      </c>
      <c r="X326" s="475">
        <v>7423.01</v>
      </c>
      <c r="Y326" s="475">
        <v>0</v>
      </c>
      <c r="Z326" s="475">
        <v>54169</v>
      </c>
      <c r="AA326" s="338">
        <v>79</v>
      </c>
      <c r="AB326" s="475">
        <v>161.91</v>
      </c>
      <c r="AC326" s="476">
        <v>0.18</v>
      </c>
      <c r="AD326" s="475">
        <v>81.37</v>
      </c>
      <c r="AE326" s="338">
        <v>0.23</v>
      </c>
      <c r="AF326" s="505"/>
      <c r="AG326" s="476"/>
      <c r="AH326" s="505"/>
      <c r="AI326" s="476"/>
      <c r="AJ326" s="505"/>
      <c r="AK326" s="476"/>
    </row>
    <row r="327" spans="1:37">
      <c r="A327" s="492">
        <f t="shared" si="19"/>
        <v>45721</v>
      </c>
      <c r="B327" s="102" t="s">
        <v>1197</v>
      </c>
      <c r="C327" s="110" t="str">
        <f t="shared" si="18"/>
        <v>45721 1200H</v>
      </c>
      <c r="D327" s="471">
        <v>1640.15</v>
      </c>
      <c r="E327" s="472">
        <v>49.69</v>
      </c>
      <c r="F327" s="471">
        <v>1108.67</v>
      </c>
      <c r="G327" s="472">
        <v>6.2</v>
      </c>
      <c r="H327" s="471">
        <v>74868.800000000003</v>
      </c>
      <c r="I327" s="473">
        <v>914.2</v>
      </c>
      <c r="J327" s="473">
        <v>33417.300000000003</v>
      </c>
      <c r="K327" s="472">
        <v>106.9</v>
      </c>
      <c r="L327" s="471">
        <v>6230.41</v>
      </c>
      <c r="M327" s="473">
        <v>19.05</v>
      </c>
      <c r="N327" s="473">
        <v>33803.699999999997</v>
      </c>
      <c r="O327" s="473">
        <v>29.5</v>
      </c>
      <c r="P327" s="473">
        <v>714.22</v>
      </c>
      <c r="Q327" s="473">
        <v>793.42</v>
      </c>
      <c r="R327" s="473">
        <v>10555</v>
      </c>
      <c r="S327" s="473">
        <v>9.0399999999999991</v>
      </c>
      <c r="T327" s="473">
        <v>36853</v>
      </c>
      <c r="U327" s="473">
        <v>69</v>
      </c>
      <c r="V327" s="473">
        <v>590.74</v>
      </c>
      <c r="W327" s="473">
        <v>0.17</v>
      </c>
      <c r="X327" s="473">
        <v>7429.65</v>
      </c>
      <c r="Y327" s="473">
        <v>0</v>
      </c>
      <c r="Z327" s="473">
        <v>54169</v>
      </c>
      <c r="AA327" s="472">
        <v>79</v>
      </c>
      <c r="AB327" s="473">
        <v>161.91</v>
      </c>
      <c r="AC327" s="474">
        <v>0.18</v>
      </c>
      <c r="AD327" s="473">
        <v>81.37</v>
      </c>
      <c r="AE327" s="472">
        <v>0.23</v>
      </c>
      <c r="AF327" s="506"/>
      <c r="AG327" s="474"/>
      <c r="AH327" s="506"/>
      <c r="AI327" s="474"/>
      <c r="AJ327" s="506"/>
      <c r="AK327" s="474"/>
    </row>
    <row r="328" spans="1:37">
      <c r="A328" s="492">
        <f t="shared" si="19"/>
        <v>45722</v>
      </c>
      <c r="B328" s="102" t="s">
        <v>3267</v>
      </c>
      <c r="C328" s="110" t="str">
        <f t="shared" si="18"/>
        <v>45722 0000H</v>
      </c>
      <c r="D328" s="337">
        <v>1646.81</v>
      </c>
      <c r="E328" s="338">
        <v>49.69</v>
      </c>
      <c r="F328" s="337">
        <v>1108.67</v>
      </c>
      <c r="G328" s="338">
        <v>6.2</v>
      </c>
      <c r="H328" s="337">
        <v>74885.56</v>
      </c>
      <c r="I328" s="475">
        <v>914.2</v>
      </c>
      <c r="J328" s="475">
        <v>33421.050000000003</v>
      </c>
      <c r="K328" s="338">
        <v>106.91</v>
      </c>
      <c r="L328" s="337">
        <v>6236.13</v>
      </c>
      <c r="M328" s="475">
        <v>19.05</v>
      </c>
      <c r="N328" s="475">
        <v>33810.800000000003</v>
      </c>
      <c r="O328" s="475">
        <v>29.5</v>
      </c>
      <c r="P328" s="475">
        <v>714.23</v>
      </c>
      <c r="Q328" s="475">
        <v>794.71</v>
      </c>
      <c r="R328" s="475">
        <v>10559.1</v>
      </c>
      <c r="S328" s="475">
        <v>9.0399999999999991</v>
      </c>
      <c r="T328" s="475">
        <v>36861</v>
      </c>
      <c r="U328" s="475">
        <v>69</v>
      </c>
      <c r="V328" s="475">
        <v>590.74</v>
      </c>
      <c r="W328" s="475">
        <v>0.17</v>
      </c>
      <c r="X328" s="475">
        <v>7437.72</v>
      </c>
      <c r="Y328" s="475">
        <v>0</v>
      </c>
      <c r="Z328" s="475">
        <v>54169</v>
      </c>
      <c r="AA328" s="338">
        <v>79</v>
      </c>
      <c r="AB328" s="475">
        <v>161.91</v>
      </c>
      <c r="AC328" s="476">
        <v>0.18</v>
      </c>
      <c r="AD328" s="475">
        <v>81.37</v>
      </c>
      <c r="AE328" s="338">
        <v>0.23</v>
      </c>
      <c r="AF328" s="505"/>
      <c r="AG328" s="476"/>
      <c r="AH328" s="505"/>
      <c r="AI328" s="476"/>
      <c r="AJ328" s="505"/>
      <c r="AK328" s="476"/>
    </row>
    <row r="329" spans="1:37">
      <c r="A329" s="492">
        <f t="shared" si="19"/>
        <v>45722</v>
      </c>
      <c r="B329" s="102" t="s">
        <v>1197</v>
      </c>
      <c r="C329" s="110" t="str">
        <f t="shared" si="18"/>
        <v>45722 1200H</v>
      </c>
      <c r="D329" s="471">
        <v>1650.82</v>
      </c>
      <c r="E329" s="472">
        <v>49.69</v>
      </c>
      <c r="F329" s="471">
        <v>1108.67</v>
      </c>
      <c r="G329" s="472">
        <v>6.2</v>
      </c>
      <c r="H329" s="471">
        <v>74890.78</v>
      </c>
      <c r="I329" s="473">
        <v>914.54</v>
      </c>
      <c r="J329" s="473">
        <v>33422.160000000003</v>
      </c>
      <c r="K329" s="472">
        <v>106.96</v>
      </c>
      <c r="L329" s="471">
        <v>6241.83</v>
      </c>
      <c r="M329" s="473">
        <v>19.05</v>
      </c>
      <c r="N329" s="473">
        <v>33817.599999999999</v>
      </c>
      <c r="O329" s="473">
        <v>29.5</v>
      </c>
      <c r="P329" s="473">
        <v>714.28</v>
      </c>
      <c r="Q329" s="473">
        <v>795.73</v>
      </c>
      <c r="R329" s="473">
        <v>10563.01</v>
      </c>
      <c r="S329" s="473">
        <v>9.0399999999999991</v>
      </c>
      <c r="T329" s="473">
        <v>36868</v>
      </c>
      <c r="U329" s="473">
        <v>69</v>
      </c>
      <c r="V329" s="473">
        <v>590.74</v>
      </c>
      <c r="W329" s="473">
        <v>0.17</v>
      </c>
      <c r="X329" s="473">
        <v>7444.6</v>
      </c>
      <c r="Y329" s="473">
        <v>0</v>
      </c>
      <c r="Z329" s="473">
        <v>54169</v>
      </c>
      <c r="AA329" s="472">
        <v>79</v>
      </c>
      <c r="AB329" s="473">
        <v>161.91</v>
      </c>
      <c r="AC329" s="474">
        <v>0.18</v>
      </c>
      <c r="AD329" s="473">
        <v>81.37</v>
      </c>
      <c r="AE329" s="472">
        <v>0.23</v>
      </c>
      <c r="AF329" s="506"/>
      <c r="AG329" s="474"/>
      <c r="AH329" s="506"/>
      <c r="AI329" s="474"/>
      <c r="AJ329" s="506"/>
      <c r="AK329" s="474"/>
    </row>
    <row r="330" spans="1:37">
      <c r="A330" s="492">
        <f t="shared" si="19"/>
        <v>45723</v>
      </c>
      <c r="B330" s="102" t="s">
        <v>3267</v>
      </c>
      <c r="C330" s="110" t="str">
        <f t="shared" si="18"/>
        <v>45723 0000H</v>
      </c>
      <c r="D330" s="337">
        <v>1656.3</v>
      </c>
      <c r="E330" s="338">
        <v>49.69</v>
      </c>
      <c r="F330" s="337">
        <v>1108.67</v>
      </c>
      <c r="G330" s="338">
        <v>6.2</v>
      </c>
      <c r="H330" s="337">
        <v>74906.84</v>
      </c>
      <c r="I330" s="475">
        <v>914.54</v>
      </c>
      <c r="J330" s="475">
        <v>33425.910000000003</v>
      </c>
      <c r="K330" s="338">
        <v>106.96</v>
      </c>
      <c r="L330" s="337">
        <v>6247.63</v>
      </c>
      <c r="M330" s="475">
        <v>19.05</v>
      </c>
      <c r="N330" s="475">
        <v>33824.800000000003</v>
      </c>
      <c r="O330" s="475">
        <v>29.5</v>
      </c>
      <c r="P330" s="475">
        <v>714.28</v>
      </c>
      <c r="Q330" s="475">
        <v>796.75</v>
      </c>
      <c r="R330" s="475">
        <v>10567.83</v>
      </c>
      <c r="S330" s="475">
        <v>9.0399999999999991</v>
      </c>
      <c r="T330" s="475">
        <v>36876</v>
      </c>
      <c r="U330" s="475">
        <v>69</v>
      </c>
      <c r="V330" s="475">
        <v>590.74</v>
      </c>
      <c r="W330" s="475">
        <v>0.17</v>
      </c>
      <c r="X330" s="475">
        <v>7452.5</v>
      </c>
      <c r="Y330" s="475">
        <v>0</v>
      </c>
      <c r="Z330" s="475">
        <v>54169</v>
      </c>
      <c r="AA330" s="338">
        <v>79</v>
      </c>
      <c r="AB330" s="475">
        <v>161.91</v>
      </c>
      <c r="AC330" s="476">
        <v>0.18</v>
      </c>
      <c r="AD330" s="475">
        <v>81.37</v>
      </c>
      <c r="AE330" s="338">
        <v>0.23</v>
      </c>
      <c r="AF330" s="505"/>
      <c r="AG330" s="476"/>
      <c r="AH330" s="505"/>
      <c r="AI330" s="476"/>
      <c r="AJ330" s="505"/>
      <c r="AK330" s="476"/>
    </row>
    <row r="331" spans="1:37">
      <c r="A331" s="492">
        <f t="shared" si="19"/>
        <v>45723</v>
      </c>
      <c r="B331" s="102" t="s">
        <v>1197</v>
      </c>
      <c r="C331" s="110" t="str">
        <f t="shared" si="18"/>
        <v>45723 1200H</v>
      </c>
      <c r="D331" s="471">
        <v>1660.97</v>
      </c>
      <c r="E331" s="472">
        <v>49.69</v>
      </c>
      <c r="F331" s="471">
        <v>1108.67</v>
      </c>
      <c r="G331" s="472">
        <v>6.2</v>
      </c>
      <c r="H331" s="471">
        <v>74913.679999999993</v>
      </c>
      <c r="I331" s="473">
        <v>914.77</v>
      </c>
      <c r="J331" s="473">
        <v>33427.25</v>
      </c>
      <c r="K331" s="472">
        <v>107</v>
      </c>
      <c r="L331" s="471">
        <v>6253.36</v>
      </c>
      <c r="M331" s="473">
        <v>19.05</v>
      </c>
      <c r="N331" s="473">
        <v>33831.5</v>
      </c>
      <c r="O331" s="473">
        <v>29.5</v>
      </c>
      <c r="P331" s="473">
        <v>715.02</v>
      </c>
      <c r="Q331" s="473">
        <v>797.7</v>
      </c>
      <c r="R331" s="473">
        <v>10571.7</v>
      </c>
      <c r="S331" s="473">
        <v>9.0399999999999991</v>
      </c>
      <c r="T331" s="473">
        <v>36882</v>
      </c>
      <c r="U331" s="473">
        <v>69</v>
      </c>
      <c r="V331" s="473">
        <v>590.74</v>
      </c>
      <c r="W331" s="473">
        <v>0.17</v>
      </c>
      <c r="X331" s="473">
        <v>7458.46</v>
      </c>
      <c r="Y331" s="473">
        <v>0</v>
      </c>
      <c r="Z331" s="473">
        <v>54169</v>
      </c>
      <c r="AA331" s="472">
        <v>79</v>
      </c>
      <c r="AB331" s="473">
        <v>161.91</v>
      </c>
      <c r="AC331" s="474">
        <v>0.18</v>
      </c>
      <c r="AD331" s="473">
        <v>81.37</v>
      </c>
      <c r="AE331" s="472">
        <v>0.23</v>
      </c>
      <c r="AF331" s="506"/>
      <c r="AG331" s="474"/>
      <c r="AH331" s="506"/>
      <c r="AI331" s="474"/>
      <c r="AJ331" s="506"/>
      <c r="AK331" s="474"/>
    </row>
    <row r="332" spans="1:37">
      <c r="A332" s="492">
        <f t="shared" si="19"/>
        <v>45724</v>
      </c>
      <c r="B332" s="102" t="s">
        <v>3267</v>
      </c>
      <c r="C332" s="110" t="str">
        <f t="shared" si="18"/>
        <v>45724 0000H</v>
      </c>
      <c r="D332" s="337">
        <v>1665.89</v>
      </c>
      <c r="E332" s="338">
        <v>49.69</v>
      </c>
      <c r="F332" s="337">
        <v>1108.67</v>
      </c>
      <c r="G332" s="338">
        <v>6.2</v>
      </c>
      <c r="H332" s="337">
        <v>74921.48</v>
      </c>
      <c r="I332" s="475">
        <v>914.86</v>
      </c>
      <c r="J332" s="475">
        <v>33430.61</v>
      </c>
      <c r="K332" s="338">
        <v>107.01</v>
      </c>
      <c r="L332" s="337">
        <v>6258.85</v>
      </c>
      <c r="M332" s="475">
        <v>19.05</v>
      </c>
      <c r="N332" s="475">
        <v>33838.699999999997</v>
      </c>
      <c r="O332" s="475">
        <v>29.5</v>
      </c>
      <c r="P332" s="475">
        <v>715.02</v>
      </c>
      <c r="Q332" s="475">
        <v>799.52</v>
      </c>
      <c r="R332" s="475">
        <v>10576.7</v>
      </c>
      <c r="S332" s="475">
        <v>9.0399999999999991</v>
      </c>
      <c r="T332" s="475">
        <v>36889</v>
      </c>
      <c r="U332" s="475">
        <v>69</v>
      </c>
      <c r="V332" s="475">
        <v>590.74</v>
      </c>
      <c r="W332" s="475">
        <v>0.17</v>
      </c>
      <c r="X332" s="475">
        <v>7464.8</v>
      </c>
      <c r="Y332" s="475">
        <v>0</v>
      </c>
      <c r="Z332" s="475">
        <v>54169</v>
      </c>
      <c r="AA332" s="338">
        <v>79</v>
      </c>
      <c r="AB332" s="475">
        <v>161.91</v>
      </c>
      <c r="AC332" s="476">
        <v>0.18</v>
      </c>
      <c r="AD332" s="475">
        <v>81.37</v>
      </c>
      <c r="AE332" s="338">
        <v>0.23</v>
      </c>
      <c r="AF332" s="505"/>
      <c r="AG332" s="476"/>
      <c r="AH332" s="505"/>
      <c r="AI332" s="476"/>
      <c r="AJ332" s="505"/>
      <c r="AK332" s="476"/>
    </row>
    <row r="333" spans="1:37">
      <c r="A333" s="492">
        <f t="shared" si="19"/>
        <v>45724</v>
      </c>
      <c r="B333" s="102" t="s">
        <v>1197</v>
      </c>
      <c r="C333" s="110" t="str">
        <f t="shared" si="18"/>
        <v>45724 1200H</v>
      </c>
      <c r="D333" s="471">
        <v>1669.58</v>
      </c>
      <c r="E333" s="472">
        <v>49.69</v>
      </c>
      <c r="F333" s="471">
        <v>1108.67</v>
      </c>
      <c r="G333" s="472">
        <v>6.2</v>
      </c>
      <c r="H333" s="471">
        <v>74923.009999999995</v>
      </c>
      <c r="I333" s="473">
        <v>915.27</v>
      </c>
      <c r="J333" s="473">
        <v>33431.839999999997</v>
      </c>
      <c r="K333" s="472">
        <v>107.6</v>
      </c>
      <c r="L333" s="471">
        <v>6264.53</v>
      </c>
      <c r="M333" s="473">
        <v>19.05</v>
      </c>
      <c r="N333" s="473">
        <v>33845.800000000003</v>
      </c>
      <c r="O333" s="473">
        <v>29.5</v>
      </c>
      <c r="P333" s="473">
        <v>715.31</v>
      </c>
      <c r="Q333" s="473">
        <v>800.42</v>
      </c>
      <c r="R333" s="473">
        <v>10579.99</v>
      </c>
      <c r="S333" s="473">
        <v>9.0399999999999991</v>
      </c>
      <c r="T333" s="473">
        <v>36895</v>
      </c>
      <c r="U333" s="473">
        <v>69</v>
      </c>
      <c r="V333" s="473">
        <v>590.74</v>
      </c>
      <c r="W333" s="473">
        <v>0.17</v>
      </c>
      <c r="X333" s="473">
        <v>7490.92</v>
      </c>
      <c r="Y333" s="473">
        <v>0</v>
      </c>
      <c r="Z333" s="473">
        <v>54169</v>
      </c>
      <c r="AA333" s="472">
        <v>79</v>
      </c>
      <c r="AB333" s="473">
        <v>161.91</v>
      </c>
      <c r="AC333" s="474">
        <v>0.18</v>
      </c>
      <c r="AD333" s="473">
        <v>81.37</v>
      </c>
      <c r="AE333" s="472">
        <v>0.23</v>
      </c>
      <c r="AF333" s="506"/>
      <c r="AG333" s="474"/>
      <c r="AH333" s="506"/>
      <c r="AI333" s="474"/>
      <c r="AJ333" s="506"/>
      <c r="AK333" s="474"/>
    </row>
    <row r="334" spans="1:37">
      <c r="A334" s="492">
        <f t="shared" si="19"/>
        <v>45725</v>
      </c>
      <c r="B334" s="102" t="s">
        <v>3267</v>
      </c>
      <c r="C334" s="110" t="str">
        <f t="shared" si="18"/>
        <v>45725 0000H</v>
      </c>
      <c r="D334" s="337">
        <v>1674.85</v>
      </c>
      <c r="E334" s="338">
        <v>49.69</v>
      </c>
      <c r="F334" s="337">
        <v>1108.67</v>
      </c>
      <c r="G334" s="338">
        <v>6.2</v>
      </c>
      <c r="H334" s="337">
        <v>74929.820000000007</v>
      </c>
      <c r="I334" s="475">
        <v>915.27</v>
      </c>
      <c r="J334" s="475">
        <v>33435.440000000002</v>
      </c>
      <c r="K334" s="338">
        <v>107.07</v>
      </c>
      <c r="L334" s="337">
        <v>6270.3</v>
      </c>
      <c r="M334" s="475">
        <v>19.05</v>
      </c>
      <c r="N334" s="475">
        <v>33852.699999999997</v>
      </c>
      <c r="O334" s="475">
        <v>29.5</v>
      </c>
      <c r="P334" s="475">
        <v>715.6</v>
      </c>
      <c r="Q334" s="475">
        <v>801.5</v>
      </c>
      <c r="R334" s="475">
        <v>10584.68</v>
      </c>
      <c r="S334" s="475">
        <v>9.0399999999999991</v>
      </c>
      <c r="T334" s="475">
        <v>36902</v>
      </c>
      <c r="U334" s="475">
        <v>69</v>
      </c>
      <c r="V334" s="475">
        <v>590.74</v>
      </c>
      <c r="W334" s="475">
        <v>0.17</v>
      </c>
      <c r="X334" s="475">
        <v>7478.07</v>
      </c>
      <c r="Y334" s="475">
        <v>0</v>
      </c>
      <c r="Z334" s="475">
        <v>54169</v>
      </c>
      <c r="AA334" s="338">
        <v>79</v>
      </c>
      <c r="AB334" s="475">
        <v>161.91</v>
      </c>
      <c r="AC334" s="476">
        <v>0.18</v>
      </c>
      <c r="AD334" s="475">
        <v>81.37</v>
      </c>
      <c r="AE334" s="338">
        <v>0.23</v>
      </c>
      <c r="AF334" s="505"/>
      <c r="AG334" s="476"/>
      <c r="AH334" s="505"/>
      <c r="AI334" s="476"/>
      <c r="AJ334" s="505"/>
      <c r="AK334" s="476"/>
    </row>
    <row r="335" spans="1:37">
      <c r="A335" s="492">
        <f t="shared" si="19"/>
        <v>45725</v>
      </c>
      <c r="B335" s="102" t="s">
        <v>1197</v>
      </c>
      <c r="C335" s="110" t="str">
        <f t="shared" si="18"/>
        <v>45725 1200H</v>
      </c>
      <c r="D335" s="471">
        <v>1678.07</v>
      </c>
      <c r="E335" s="472">
        <v>49.69</v>
      </c>
      <c r="F335" s="471">
        <v>1108.67</v>
      </c>
      <c r="G335" s="472">
        <v>6.2</v>
      </c>
      <c r="H335" s="471">
        <v>74931.81</v>
      </c>
      <c r="I335" s="473">
        <v>915.8</v>
      </c>
      <c r="J335" s="473">
        <v>33435.68</v>
      </c>
      <c r="K335" s="472">
        <v>107.12</v>
      </c>
      <c r="L335" s="471">
        <v>6275.93</v>
      </c>
      <c r="M335" s="473">
        <v>19.05</v>
      </c>
      <c r="N335" s="473">
        <v>33859.800000000003</v>
      </c>
      <c r="O335" s="473">
        <v>29.5</v>
      </c>
      <c r="P335" s="473">
        <v>715.72</v>
      </c>
      <c r="Q335" s="473">
        <v>802.59</v>
      </c>
      <c r="R335" s="473">
        <v>10588.53</v>
      </c>
      <c r="S335" s="473">
        <v>9.0399999999999991</v>
      </c>
      <c r="T335" s="473">
        <v>36908</v>
      </c>
      <c r="U335" s="473">
        <v>69</v>
      </c>
      <c r="V335" s="473">
        <v>590.74</v>
      </c>
      <c r="W335" s="473">
        <v>0.17</v>
      </c>
      <c r="X335" s="473">
        <v>7482.53</v>
      </c>
      <c r="Y335" s="473">
        <v>0</v>
      </c>
      <c r="Z335" s="473">
        <v>54169</v>
      </c>
      <c r="AA335" s="472">
        <v>79</v>
      </c>
      <c r="AB335" s="473">
        <v>161.91</v>
      </c>
      <c r="AC335" s="474">
        <v>0.18</v>
      </c>
      <c r="AD335" s="473">
        <v>81.37</v>
      </c>
      <c r="AE335" s="472">
        <v>0.23</v>
      </c>
      <c r="AF335" s="506"/>
      <c r="AG335" s="474"/>
      <c r="AH335" s="506"/>
      <c r="AI335" s="474"/>
      <c r="AJ335" s="506"/>
      <c r="AK335" s="474"/>
    </row>
    <row r="336" spans="1:37">
      <c r="A336" s="492">
        <f t="shared" si="19"/>
        <v>45726</v>
      </c>
      <c r="B336" s="102" t="s">
        <v>3267</v>
      </c>
      <c r="C336" s="110" t="str">
        <f t="shared" si="18"/>
        <v>45726 0000H</v>
      </c>
      <c r="D336" s="337">
        <v>1684.1</v>
      </c>
      <c r="E336" s="338">
        <v>49.69</v>
      </c>
      <c r="F336" s="337">
        <v>1108.67</v>
      </c>
      <c r="G336" s="338">
        <v>6.2</v>
      </c>
      <c r="H336" s="337">
        <v>74934</v>
      </c>
      <c r="I336" s="475">
        <v>915.87</v>
      </c>
      <c r="J336" s="475">
        <v>33436.89</v>
      </c>
      <c r="K336" s="338">
        <v>107.17</v>
      </c>
      <c r="L336" s="337">
        <v>6281.71</v>
      </c>
      <c r="M336" s="475">
        <v>19.05</v>
      </c>
      <c r="N336" s="475">
        <v>33866.800000000003</v>
      </c>
      <c r="O336" s="475">
        <v>29.5</v>
      </c>
      <c r="P336" s="475">
        <v>715.91</v>
      </c>
      <c r="Q336" s="475">
        <v>803.56</v>
      </c>
      <c r="R336" s="475">
        <v>10593.19</v>
      </c>
      <c r="S336" s="475">
        <v>9.0399999999999991</v>
      </c>
      <c r="T336" s="475">
        <v>36915</v>
      </c>
      <c r="U336" s="475">
        <v>69</v>
      </c>
      <c r="V336" s="475">
        <v>590.74</v>
      </c>
      <c r="W336" s="475">
        <v>0.17</v>
      </c>
      <c r="X336" s="475">
        <v>7489.75</v>
      </c>
      <c r="Y336" s="475">
        <v>0</v>
      </c>
      <c r="Z336" s="475">
        <v>54169</v>
      </c>
      <c r="AA336" s="338">
        <v>79</v>
      </c>
      <c r="AB336" s="475">
        <v>161.91</v>
      </c>
      <c r="AC336" s="476">
        <v>0.18</v>
      </c>
      <c r="AD336" s="475">
        <v>81.37</v>
      </c>
      <c r="AE336" s="338">
        <v>0.23</v>
      </c>
      <c r="AF336" s="505"/>
      <c r="AG336" s="476"/>
      <c r="AH336" s="505"/>
      <c r="AI336" s="476"/>
      <c r="AJ336" s="505"/>
      <c r="AK336" s="476"/>
    </row>
    <row r="337" spans="1:37">
      <c r="A337" s="492">
        <f t="shared" si="19"/>
        <v>45726</v>
      </c>
      <c r="B337" s="102" t="s">
        <v>1197</v>
      </c>
      <c r="C337" s="110" t="str">
        <f t="shared" si="18"/>
        <v>45726 1200H</v>
      </c>
      <c r="D337" s="471">
        <v>1689.22</v>
      </c>
      <c r="E337" s="472">
        <v>49.69</v>
      </c>
      <c r="F337" s="471">
        <v>1108.67</v>
      </c>
      <c r="G337" s="472">
        <v>6.2</v>
      </c>
      <c r="H337" s="471">
        <v>74937.95</v>
      </c>
      <c r="I337" s="473">
        <v>916.13</v>
      </c>
      <c r="J337" s="473">
        <v>33436.910000000003</v>
      </c>
      <c r="K337" s="472">
        <v>107.23</v>
      </c>
      <c r="L337" s="471">
        <v>6287.32</v>
      </c>
      <c r="M337" s="473">
        <v>19.05</v>
      </c>
      <c r="N337" s="473">
        <v>33871</v>
      </c>
      <c r="O337" s="473">
        <v>29.5</v>
      </c>
      <c r="P337" s="473">
        <v>716.07</v>
      </c>
      <c r="Q337" s="473">
        <v>804.59</v>
      </c>
      <c r="R337" s="473">
        <v>10597</v>
      </c>
      <c r="S337" s="473">
        <v>9.0399999999999991</v>
      </c>
      <c r="T337" s="473">
        <v>36921</v>
      </c>
      <c r="U337" s="473">
        <v>69</v>
      </c>
      <c r="V337" s="473">
        <v>590.74</v>
      </c>
      <c r="W337" s="473">
        <v>0.17</v>
      </c>
      <c r="X337" s="473">
        <v>7496.02</v>
      </c>
      <c r="Y337" s="473">
        <v>0</v>
      </c>
      <c r="Z337" s="473">
        <v>54169</v>
      </c>
      <c r="AA337" s="472">
        <v>79</v>
      </c>
      <c r="AB337" s="473">
        <v>161.91</v>
      </c>
      <c r="AC337" s="474">
        <v>0.18</v>
      </c>
      <c r="AD337" s="473">
        <v>81.37</v>
      </c>
      <c r="AE337" s="472">
        <v>0.23</v>
      </c>
      <c r="AF337" s="506"/>
      <c r="AG337" s="474"/>
      <c r="AH337" s="506"/>
      <c r="AI337" s="474"/>
      <c r="AJ337" s="506"/>
      <c r="AK337" s="474"/>
    </row>
    <row r="338" spans="1:37">
      <c r="A338" s="492">
        <f t="shared" si="19"/>
        <v>45727</v>
      </c>
      <c r="B338" s="102" t="s">
        <v>3267</v>
      </c>
      <c r="C338" s="110" t="str">
        <f t="shared" si="18"/>
        <v>45727 0000H</v>
      </c>
      <c r="D338" s="337">
        <v>1695.31</v>
      </c>
      <c r="E338" s="338">
        <v>49.69</v>
      </c>
      <c r="F338" s="337">
        <v>1108.67</v>
      </c>
      <c r="G338" s="338">
        <v>6.2</v>
      </c>
      <c r="H338" s="337">
        <v>74949.320000000007</v>
      </c>
      <c r="I338" s="475">
        <v>916.16</v>
      </c>
      <c r="J338" s="475">
        <v>33440.730000000003</v>
      </c>
      <c r="K338" s="338">
        <v>107.23</v>
      </c>
      <c r="L338" s="337">
        <v>6293.02</v>
      </c>
      <c r="M338" s="475">
        <v>19.05</v>
      </c>
      <c r="N338" s="475">
        <v>33877.9</v>
      </c>
      <c r="O338" s="475">
        <v>29.5</v>
      </c>
      <c r="P338" s="475">
        <v>716.07</v>
      </c>
      <c r="Q338" s="475">
        <v>805.94</v>
      </c>
      <c r="R338" s="475">
        <v>10601.65</v>
      </c>
      <c r="S338" s="475">
        <v>9.0399999999999991</v>
      </c>
      <c r="T338" s="475">
        <v>36292</v>
      </c>
      <c r="U338" s="475">
        <v>69</v>
      </c>
      <c r="V338" s="475">
        <v>590.74</v>
      </c>
      <c r="W338" s="475">
        <v>0.17</v>
      </c>
      <c r="X338" s="475">
        <v>7502.41</v>
      </c>
      <c r="Y338" s="475">
        <v>0</v>
      </c>
      <c r="Z338" s="475">
        <v>54169</v>
      </c>
      <c r="AA338" s="338">
        <v>79</v>
      </c>
      <c r="AB338" s="475">
        <v>161.91</v>
      </c>
      <c r="AC338" s="476">
        <v>0.18</v>
      </c>
      <c r="AD338" s="475">
        <v>81.37</v>
      </c>
      <c r="AE338" s="338">
        <v>0.23</v>
      </c>
      <c r="AF338" s="505"/>
      <c r="AG338" s="476"/>
      <c r="AH338" s="505"/>
      <c r="AI338" s="476"/>
      <c r="AJ338" s="505"/>
      <c r="AK338" s="476"/>
    </row>
    <row r="339" spans="1:37">
      <c r="A339" s="492">
        <f t="shared" si="19"/>
        <v>45727</v>
      </c>
      <c r="B339" s="102" t="s">
        <v>1197</v>
      </c>
      <c r="C339" s="110" t="str">
        <f t="shared" si="18"/>
        <v>45727 1200H</v>
      </c>
      <c r="D339" s="471">
        <v>1699.9</v>
      </c>
      <c r="E339" s="472">
        <v>49.69</v>
      </c>
      <c r="F339" s="471">
        <v>1108.67</v>
      </c>
      <c r="G339" s="472">
        <v>6.2</v>
      </c>
      <c r="H339" s="471">
        <v>74952.97</v>
      </c>
      <c r="I339" s="473">
        <v>916.5</v>
      </c>
      <c r="J339" s="473">
        <v>33441.24</v>
      </c>
      <c r="K339" s="472">
        <v>107.28</v>
      </c>
      <c r="L339" s="471">
        <v>6298.87</v>
      </c>
      <c r="M339" s="473">
        <v>19.05</v>
      </c>
      <c r="N339" s="473">
        <v>33885.300000000003</v>
      </c>
      <c r="O339" s="473">
        <v>29.5</v>
      </c>
      <c r="P339" s="473">
        <v>716.32</v>
      </c>
      <c r="Q339" s="473">
        <v>806.71</v>
      </c>
      <c r="R339" s="473">
        <v>10605.53</v>
      </c>
      <c r="S339" s="473">
        <v>9.0399999999999991</v>
      </c>
      <c r="T339" s="473">
        <v>36935</v>
      </c>
      <c r="U339" s="473">
        <v>69</v>
      </c>
      <c r="V339" s="473">
        <v>590.74</v>
      </c>
      <c r="W339" s="473">
        <v>0.17</v>
      </c>
      <c r="X339" s="473">
        <v>7508.78</v>
      </c>
      <c r="Y339" s="473">
        <v>0</v>
      </c>
      <c r="Z339" s="473">
        <v>54169</v>
      </c>
      <c r="AA339" s="472">
        <v>79</v>
      </c>
      <c r="AB339" s="473">
        <v>161.91</v>
      </c>
      <c r="AC339" s="474">
        <v>0.18</v>
      </c>
      <c r="AD339" s="473">
        <v>81.37</v>
      </c>
      <c r="AE339" s="472">
        <v>0.23</v>
      </c>
      <c r="AF339" s="506"/>
      <c r="AG339" s="474"/>
      <c r="AH339" s="506"/>
      <c r="AI339" s="474"/>
      <c r="AJ339" s="506"/>
      <c r="AK339" s="474"/>
    </row>
    <row r="340" spans="1:37">
      <c r="A340" s="492">
        <f t="shared" si="19"/>
        <v>45728</v>
      </c>
      <c r="B340" s="102" t="s">
        <v>3267</v>
      </c>
      <c r="C340" s="110" t="str">
        <f t="shared" si="18"/>
        <v>45728 0000H</v>
      </c>
      <c r="D340" s="337">
        <v>1706.21</v>
      </c>
      <c r="E340" s="338">
        <v>49.69</v>
      </c>
      <c r="F340" s="337">
        <v>1108.67</v>
      </c>
      <c r="G340" s="338">
        <v>6.2</v>
      </c>
      <c r="H340" s="337">
        <v>74966.649999999994</v>
      </c>
      <c r="I340" s="475">
        <v>916.5</v>
      </c>
      <c r="J340" s="475">
        <v>33444.43</v>
      </c>
      <c r="K340" s="338">
        <v>107.3</v>
      </c>
      <c r="L340" s="337">
        <v>6304.57</v>
      </c>
      <c r="M340" s="475">
        <v>19.05</v>
      </c>
      <c r="N340" s="475">
        <v>33892.5</v>
      </c>
      <c r="O340" s="475">
        <v>29.5</v>
      </c>
      <c r="P340" s="475">
        <v>716.33</v>
      </c>
      <c r="Q340" s="475">
        <v>808.03</v>
      </c>
      <c r="R340" s="475">
        <v>10610.27</v>
      </c>
      <c r="S340" s="475">
        <v>9.0399999999999991</v>
      </c>
      <c r="T340" s="475">
        <v>36943</v>
      </c>
      <c r="U340" s="475">
        <v>69</v>
      </c>
      <c r="V340" s="475">
        <v>590.74</v>
      </c>
      <c r="W340" s="475">
        <v>0.17</v>
      </c>
      <c r="X340" s="475">
        <v>7516.16</v>
      </c>
      <c r="Y340" s="475">
        <v>0</v>
      </c>
      <c r="Z340" s="475">
        <v>54169</v>
      </c>
      <c r="AA340" s="338">
        <v>79</v>
      </c>
      <c r="AB340" s="475">
        <v>161.91</v>
      </c>
      <c r="AC340" s="476">
        <v>0.18</v>
      </c>
      <c r="AD340" s="475">
        <v>81.37</v>
      </c>
      <c r="AE340" s="338">
        <v>0.23</v>
      </c>
      <c r="AF340" s="505"/>
      <c r="AG340" s="476"/>
      <c r="AH340" s="505"/>
      <c r="AI340" s="476"/>
      <c r="AJ340" s="505"/>
      <c r="AK340" s="476"/>
    </row>
    <row r="341" spans="1:37">
      <c r="A341" s="492">
        <f t="shared" si="19"/>
        <v>45728</v>
      </c>
      <c r="B341" s="102" t="s">
        <v>1197</v>
      </c>
      <c r="C341" s="110" t="str">
        <f t="shared" si="18"/>
        <v>45728 1200H</v>
      </c>
      <c r="D341" s="471">
        <v>1710.95</v>
      </c>
      <c r="E341" s="472">
        <v>49.69</v>
      </c>
      <c r="F341" s="471">
        <v>1108.67</v>
      </c>
      <c r="G341" s="472">
        <v>6.2</v>
      </c>
      <c r="H341" s="471">
        <v>74975.88</v>
      </c>
      <c r="I341" s="473">
        <v>916.63</v>
      </c>
      <c r="J341" s="473">
        <v>33444.43</v>
      </c>
      <c r="K341" s="472">
        <v>107.33</v>
      </c>
      <c r="L341" s="471">
        <v>6307.24</v>
      </c>
      <c r="M341" s="473">
        <v>19.05</v>
      </c>
      <c r="N341" s="473">
        <v>33896.400000000001</v>
      </c>
      <c r="O341" s="473">
        <v>29.5</v>
      </c>
      <c r="P341" s="473">
        <v>717.76</v>
      </c>
      <c r="Q341" s="473">
        <v>808.62</v>
      </c>
      <c r="R341" s="473">
        <v>10613.32</v>
      </c>
      <c r="S341" s="473">
        <v>9.0399999999999991</v>
      </c>
      <c r="T341" s="473">
        <v>36950</v>
      </c>
      <c r="U341" s="473">
        <v>69</v>
      </c>
      <c r="V341" s="473">
        <v>590.74</v>
      </c>
      <c r="W341" s="473">
        <v>0.17</v>
      </c>
      <c r="X341" s="473">
        <v>7522.39</v>
      </c>
      <c r="Y341" s="473">
        <v>0</v>
      </c>
      <c r="Z341" s="473">
        <v>54169</v>
      </c>
      <c r="AA341" s="472">
        <v>79</v>
      </c>
      <c r="AB341" s="473">
        <v>166.06</v>
      </c>
      <c r="AC341" s="474">
        <v>0.18</v>
      </c>
      <c r="AD341" s="473">
        <v>81.37</v>
      </c>
      <c r="AE341" s="472">
        <v>0.23</v>
      </c>
      <c r="AF341" s="506"/>
      <c r="AG341" s="474"/>
      <c r="AH341" s="506"/>
      <c r="AI341" s="474"/>
      <c r="AJ341" s="506"/>
      <c r="AK341" s="474"/>
    </row>
    <row r="342" spans="1:37">
      <c r="A342" s="492">
        <f t="shared" si="19"/>
        <v>45729</v>
      </c>
      <c r="B342" s="102" t="s">
        <v>3267</v>
      </c>
      <c r="C342" s="110" t="str">
        <f t="shared" si="18"/>
        <v>45729 0000H</v>
      </c>
      <c r="D342" s="337">
        <v>1717.34</v>
      </c>
      <c r="E342" s="338">
        <v>49.69</v>
      </c>
      <c r="F342" s="337">
        <v>1108.67</v>
      </c>
      <c r="G342" s="338">
        <v>6.2</v>
      </c>
      <c r="H342" s="337">
        <v>74992.53</v>
      </c>
      <c r="I342" s="475">
        <v>916.63</v>
      </c>
      <c r="J342" s="475">
        <v>33444.43</v>
      </c>
      <c r="K342" s="338">
        <v>107.4</v>
      </c>
      <c r="L342" s="337">
        <v>6309.47</v>
      </c>
      <c r="M342" s="475">
        <v>19.05</v>
      </c>
      <c r="N342" s="475">
        <v>33901</v>
      </c>
      <c r="O342" s="475">
        <v>29.5</v>
      </c>
      <c r="P342" s="475">
        <v>721.11</v>
      </c>
      <c r="Q342" s="475">
        <v>808.81</v>
      </c>
      <c r="R342" s="475">
        <v>10618.05</v>
      </c>
      <c r="S342" s="475">
        <v>9.0399999999999991</v>
      </c>
      <c r="T342" s="475">
        <v>36958</v>
      </c>
      <c r="U342" s="475">
        <v>69</v>
      </c>
      <c r="V342" s="475">
        <v>590.74</v>
      </c>
      <c r="W342" s="475">
        <v>0.17</v>
      </c>
      <c r="X342" s="475">
        <v>7527.63</v>
      </c>
      <c r="Y342" s="475">
        <v>0</v>
      </c>
      <c r="Z342" s="475">
        <v>54169</v>
      </c>
      <c r="AA342" s="338">
        <v>79</v>
      </c>
      <c r="AB342" s="475">
        <v>172.97</v>
      </c>
      <c r="AC342" s="476">
        <v>0.19</v>
      </c>
      <c r="AD342" s="475">
        <v>81.37</v>
      </c>
      <c r="AE342" s="338">
        <v>0.23</v>
      </c>
      <c r="AF342" s="505"/>
      <c r="AG342" s="476"/>
      <c r="AH342" s="505"/>
      <c r="AI342" s="476"/>
      <c r="AJ342" s="505"/>
      <c r="AK342" s="476"/>
    </row>
    <row r="343" spans="1:37">
      <c r="A343" s="492">
        <f t="shared" si="19"/>
        <v>45729</v>
      </c>
      <c r="B343" s="102" t="s">
        <v>1197</v>
      </c>
      <c r="C343" s="110" t="str">
        <f t="shared" si="18"/>
        <v>45729 1200H</v>
      </c>
      <c r="D343" s="471">
        <v>1723.22</v>
      </c>
      <c r="E343" s="472">
        <v>49.69</v>
      </c>
      <c r="F343" s="471">
        <v>1108.67</v>
      </c>
      <c r="G343" s="472">
        <v>6.2</v>
      </c>
      <c r="H343" s="471">
        <v>75001.06</v>
      </c>
      <c r="I343" s="473">
        <v>916.77</v>
      </c>
      <c r="J343" s="473">
        <v>33445.19</v>
      </c>
      <c r="K343" s="472">
        <v>107.46</v>
      </c>
      <c r="L343" s="471">
        <v>6318.83</v>
      </c>
      <c r="M343" s="473">
        <v>19.05</v>
      </c>
      <c r="N343" s="473">
        <v>33905.1</v>
      </c>
      <c r="O343" s="473">
        <v>29.5</v>
      </c>
      <c r="P343" s="473">
        <v>721.33</v>
      </c>
      <c r="Q343" s="473">
        <v>809.9</v>
      </c>
      <c r="R343" s="473">
        <v>10621.97</v>
      </c>
      <c r="S343" s="473">
        <v>9.0399999999999991</v>
      </c>
      <c r="T343" s="473">
        <v>36964</v>
      </c>
      <c r="U343" s="473">
        <v>69</v>
      </c>
      <c r="V343" s="473">
        <v>590.74</v>
      </c>
      <c r="W343" s="473">
        <v>0.17</v>
      </c>
      <c r="X343" s="473">
        <v>7527.63</v>
      </c>
      <c r="Y343" s="473">
        <v>0</v>
      </c>
      <c r="Z343" s="473">
        <v>54169</v>
      </c>
      <c r="AA343" s="472">
        <v>79</v>
      </c>
      <c r="AB343" s="473">
        <v>172.99</v>
      </c>
      <c r="AC343" s="474">
        <v>0.2</v>
      </c>
      <c r="AD343" s="473">
        <v>81.37</v>
      </c>
      <c r="AE343" s="472">
        <v>0.23</v>
      </c>
      <c r="AF343" s="506"/>
      <c r="AG343" s="474"/>
      <c r="AH343" s="506"/>
      <c r="AI343" s="474"/>
      <c r="AJ343" s="506"/>
      <c r="AK343" s="474"/>
    </row>
    <row r="344" spans="1:37">
      <c r="A344" s="492">
        <f t="shared" si="19"/>
        <v>45730</v>
      </c>
      <c r="B344" s="102" t="s">
        <v>3267</v>
      </c>
      <c r="C344" s="110" t="str">
        <f t="shared" ref="C344:C367" si="20">A344 &amp; " " &amp;B344</f>
        <v>45730 0000H</v>
      </c>
      <c r="D344" s="337">
        <v>1729.29</v>
      </c>
      <c r="E344" s="338">
        <v>49.69</v>
      </c>
      <c r="F344" s="337">
        <v>1108.67</v>
      </c>
      <c r="G344" s="338">
        <v>6.2</v>
      </c>
      <c r="H344" s="337">
        <v>75015.850000000006</v>
      </c>
      <c r="I344" s="475">
        <v>916.77</v>
      </c>
      <c r="J344" s="475">
        <v>33449.01</v>
      </c>
      <c r="K344" s="338">
        <v>107.46</v>
      </c>
      <c r="L344" s="337">
        <v>6319.38</v>
      </c>
      <c r="M344" s="475">
        <v>19.05</v>
      </c>
      <c r="N344" s="475">
        <v>33911.599999999999</v>
      </c>
      <c r="O344" s="475">
        <v>29.5</v>
      </c>
      <c r="P344" s="475">
        <v>721.58</v>
      </c>
      <c r="Q344" s="475">
        <v>811.13</v>
      </c>
      <c r="R344" s="475">
        <v>10626.78</v>
      </c>
      <c r="S344" s="475">
        <v>9.0399999999999991</v>
      </c>
      <c r="T344" s="475">
        <v>36972</v>
      </c>
      <c r="U344" s="475">
        <v>69</v>
      </c>
      <c r="V344" s="475">
        <v>590.74</v>
      </c>
      <c r="W344" s="475">
        <v>0.17</v>
      </c>
      <c r="X344" s="475">
        <v>7541.64</v>
      </c>
      <c r="Y344" s="475">
        <v>0</v>
      </c>
      <c r="Z344" s="475">
        <v>54169</v>
      </c>
      <c r="AA344" s="338">
        <v>79</v>
      </c>
      <c r="AB344" s="475">
        <v>172.99</v>
      </c>
      <c r="AC344" s="476">
        <v>0.2</v>
      </c>
      <c r="AD344" s="475">
        <v>81.37</v>
      </c>
      <c r="AE344" s="338">
        <v>0.23</v>
      </c>
      <c r="AF344" s="505"/>
      <c r="AG344" s="476"/>
      <c r="AH344" s="505"/>
      <c r="AI344" s="476"/>
      <c r="AJ344" s="505"/>
      <c r="AK344" s="476"/>
    </row>
    <row r="345" spans="1:37">
      <c r="A345" s="492">
        <f t="shared" si="19"/>
        <v>45730</v>
      </c>
      <c r="B345" s="102" t="s">
        <v>1197</v>
      </c>
      <c r="C345" s="110" t="str">
        <f t="shared" si="20"/>
        <v>45730 1200H</v>
      </c>
      <c r="D345" s="471">
        <v>1734.56</v>
      </c>
      <c r="E345" s="472">
        <v>49.69</v>
      </c>
      <c r="F345" s="471">
        <v>1108.67</v>
      </c>
      <c r="G345" s="472">
        <v>6.2</v>
      </c>
      <c r="H345" s="471">
        <v>75020.789999999994</v>
      </c>
      <c r="I345" s="473">
        <v>917.05</v>
      </c>
      <c r="J345" s="473">
        <v>33450.07</v>
      </c>
      <c r="K345" s="472">
        <v>107.51</v>
      </c>
      <c r="L345" s="471">
        <v>6324.73</v>
      </c>
      <c r="M345" s="473">
        <v>19.05</v>
      </c>
      <c r="N345" s="473">
        <v>33918</v>
      </c>
      <c r="O345" s="473">
        <v>29.5</v>
      </c>
      <c r="P345" s="473">
        <v>721.69</v>
      </c>
      <c r="Q345" s="473">
        <v>812.25</v>
      </c>
      <c r="R345" s="473">
        <v>10630.75</v>
      </c>
      <c r="S345" s="473">
        <v>9.0399999999999991</v>
      </c>
      <c r="T345" s="473">
        <v>36978</v>
      </c>
      <c r="U345" s="473">
        <v>69</v>
      </c>
      <c r="V345" s="473">
        <v>590.74</v>
      </c>
      <c r="W345" s="473">
        <v>0.17</v>
      </c>
      <c r="X345" s="473">
        <v>7548.04</v>
      </c>
      <c r="Y345" s="473">
        <v>0</v>
      </c>
      <c r="Z345" s="473">
        <v>54169</v>
      </c>
      <c r="AA345" s="472">
        <v>79</v>
      </c>
      <c r="AB345" s="473">
        <v>172.99</v>
      </c>
      <c r="AC345" s="474">
        <v>0.2</v>
      </c>
      <c r="AD345" s="473">
        <v>81.37</v>
      </c>
      <c r="AE345" s="472">
        <v>0.23</v>
      </c>
      <c r="AF345" s="506"/>
      <c r="AG345" s="474"/>
      <c r="AH345" s="506"/>
      <c r="AI345" s="474"/>
      <c r="AJ345" s="506"/>
      <c r="AK345" s="474"/>
    </row>
    <row r="346" spans="1:37">
      <c r="A346" s="492">
        <f t="shared" ref="A346:A367" si="21">A344+1</f>
        <v>45731</v>
      </c>
      <c r="B346" s="102" t="s">
        <v>3267</v>
      </c>
      <c r="C346" s="110" t="str">
        <f t="shared" si="20"/>
        <v>45731 0000H</v>
      </c>
      <c r="D346" s="337">
        <v>1740.73</v>
      </c>
      <c r="E346" s="338">
        <v>49.69</v>
      </c>
      <c r="F346" s="337">
        <v>1108.67</v>
      </c>
      <c r="G346" s="338">
        <v>6.2</v>
      </c>
      <c r="H346" s="337">
        <v>75035.41</v>
      </c>
      <c r="I346" s="475">
        <v>917.05</v>
      </c>
      <c r="J346" s="475">
        <v>33453.089999999997</v>
      </c>
      <c r="K346" s="338">
        <v>107.54</v>
      </c>
      <c r="L346" s="337">
        <v>6330.43</v>
      </c>
      <c r="M346" s="475">
        <v>19.05</v>
      </c>
      <c r="N346" s="475">
        <v>33924.5</v>
      </c>
      <c r="O346" s="475">
        <v>29.5</v>
      </c>
      <c r="P346" s="475">
        <v>721.82</v>
      </c>
      <c r="Q346" s="475">
        <v>813.38</v>
      </c>
      <c r="R346" s="475">
        <v>10635.55</v>
      </c>
      <c r="S346" s="475">
        <v>9.0399999999999991</v>
      </c>
      <c r="T346" s="475">
        <v>36987</v>
      </c>
      <c r="U346" s="475">
        <v>69</v>
      </c>
      <c r="V346" s="475">
        <v>590.74</v>
      </c>
      <c r="W346" s="475">
        <v>0.17</v>
      </c>
      <c r="X346" s="475">
        <v>7555.54</v>
      </c>
      <c r="Y346" s="475">
        <v>0</v>
      </c>
      <c r="Z346" s="475">
        <v>54169</v>
      </c>
      <c r="AA346" s="338">
        <v>79</v>
      </c>
      <c r="AB346" s="475">
        <v>172.99</v>
      </c>
      <c r="AC346" s="476">
        <v>0.2</v>
      </c>
      <c r="AD346" s="475">
        <v>81.37</v>
      </c>
      <c r="AE346" s="338">
        <v>0.23</v>
      </c>
      <c r="AF346" s="505"/>
      <c r="AG346" s="476"/>
      <c r="AH346" s="505"/>
      <c r="AI346" s="476"/>
      <c r="AJ346" s="505"/>
      <c r="AK346" s="476"/>
    </row>
    <row r="347" spans="1:37">
      <c r="A347" s="492">
        <f t="shared" si="21"/>
        <v>45731</v>
      </c>
      <c r="B347" s="102" t="s">
        <v>1197</v>
      </c>
      <c r="C347" s="110" t="str">
        <f t="shared" si="20"/>
        <v>45731 1200H</v>
      </c>
      <c r="D347" s="471">
        <v>1745.07</v>
      </c>
      <c r="E347" s="472">
        <v>49.69</v>
      </c>
      <c r="F347" s="471">
        <v>1108.67</v>
      </c>
      <c r="G347" s="472">
        <v>6.2</v>
      </c>
      <c r="H347" s="471">
        <v>75038.66</v>
      </c>
      <c r="I347" s="473">
        <v>917.43</v>
      </c>
      <c r="J347" s="473">
        <v>33453.089999999997</v>
      </c>
      <c r="K347" s="472">
        <v>107.6</v>
      </c>
      <c r="L347" s="471">
        <v>6336.22</v>
      </c>
      <c r="M347" s="473">
        <v>19.05</v>
      </c>
      <c r="N347" s="473">
        <v>33931.800000000003</v>
      </c>
      <c r="O347" s="473">
        <v>29.5</v>
      </c>
      <c r="P347" s="473">
        <v>721.99</v>
      </c>
      <c r="Q347" s="473">
        <v>814.13</v>
      </c>
      <c r="R347" s="473">
        <v>10639.61</v>
      </c>
      <c r="S347" s="473">
        <v>9.0399999999999991</v>
      </c>
      <c r="T347" s="473">
        <v>36993</v>
      </c>
      <c r="U347" s="473">
        <v>69</v>
      </c>
      <c r="V347" s="473">
        <v>590.74</v>
      </c>
      <c r="W347" s="473">
        <v>0.17</v>
      </c>
      <c r="X347" s="473">
        <v>7561.95</v>
      </c>
      <c r="Y347" s="473">
        <v>0</v>
      </c>
      <c r="Z347" s="473">
        <v>54169</v>
      </c>
      <c r="AA347" s="472">
        <v>79</v>
      </c>
      <c r="AB347" s="473">
        <v>172.99</v>
      </c>
      <c r="AC347" s="474">
        <v>0.2</v>
      </c>
      <c r="AD347" s="473">
        <v>81.37</v>
      </c>
      <c r="AE347" s="472">
        <v>0.23</v>
      </c>
      <c r="AF347" s="506"/>
      <c r="AG347" s="474"/>
      <c r="AH347" s="506"/>
      <c r="AI347" s="474"/>
      <c r="AJ347" s="506"/>
      <c r="AK347" s="474"/>
    </row>
    <row r="348" spans="1:37">
      <c r="A348" s="492">
        <f t="shared" si="21"/>
        <v>45732</v>
      </c>
      <c r="B348" s="102" t="s">
        <v>3267</v>
      </c>
      <c r="C348" s="110" t="str">
        <f t="shared" si="20"/>
        <v>45732 0000H</v>
      </c>
      <c r="D348" s="337">
        <v>1750.73</v>
      </c>
      <c r="E348" s="338">
        <v>49.69</v>
      </c>
      <c r="F348" s="337">
        <v>1108.67</v>
      </c>
      <c r="G348" s="338">
        <v>6.2</v>
      </c>
      <c r="H348" s="337">
        <v>75054.880000000005</v>
      </c>
      <c r="I348" s="475">
        <v>917.43</v>
      </c>
      <c r="J348" s="475">
        <v>33454.22</v>
      </c>
      <c r="K348" s="338">
        <v>107.64</v>
      </c>
      <c r="L348" s="337">
        <v>6341.8</v>
      </c>
      <c r="M348" s="475">
        <v>19.05</v>
      </c>
      <c r="N348" s="475">
        <v>33938.6</v>
      </c>
      <c r="O348" s="475">
        <v>29.5</v>
      </c>
      <c r="P348" s="475">
        <v>722.27</v>
      </c>
      <c r="Q348" s="475">
        <v>815.44</v>
      </c>
      <c r="R348" s="475">
        <v>10644.89</v>
      </c>
      <c r="S348" s="475">
        <v>9.0399999999999991</v>
      </c>
      <c r="T348" s="475">
        <v>37001</v>
      </c>
      <c r="U348" s="475">
        <v>69</v>
      </c>
      <c r="V348" s="475">
        <v>590.74</v>
      </c>
      <c r="W348" s="475">
        <v>0.17</v>
      </c>
      <c r="X348" s="475">
        <v>7569.63</v>
      </c>
      <c r="Y348" s="475">
        <v>0</v>
      </c>
      <c r="Z348" s="475">
        <v>54169</v>
      </c>
      <c r="AA348" s="338">
        <v>79</v>
      </c>
      <c r="AB348" s="475">
        <v>172.99</v>
      </c>
      <c r="AC348" s="476">
        <v>0.2</v>
      </c>
      <c r="AD348" s="475">
        <v>81.37</v>
      </c>
      <c r="AE348" s="338">
        <v>0.23</v>
      </c>
      <c r="AF348" s="505"/>
      <c r="AG348" s="476"/>
      <c r="AH348" s="505"/>
      <c r="AI348" s="476"/>
      <c r="AJ348" s="505"/>
      <c r="AK348" s="476"/>
    </row>
    <row r="349" spans="1:37">
      <c r="A349" s="492">
        <f t="shared" si="21"/>
        <v>45732</v>
      </c>
      <c r="B349" s="102" t="s">
        <v>1197</v>
      </c>
      <c r="C349" s="110" t="str">
        <f t="shared" si="20"/>
        <v>45732 1200H</v>
      </c>
      <c r="D349" s="471">
        <v>1754.7</v>
      </c>
      <c r="E349" s="472">
        <v>49.69</v>
      </c>
      <c r="F349" s="471">
        <v>1108.67</v>
      </c>
      <c r="G349" s="472">
        <v>6.2</v>
      </c>
      <c r="H349" s="471">
        <v>75057.37</v>
      </c>
      <c r="I349" s="473">
        <v>917.79</v>
      </c>
      <c r="J349" s="473">
        <v>33454.22</v>
      </c>
      <c r="K349" s="472">
        <v>107.69</v>
      </c>
      <c r="L349" s="471">
        <v>6347.73</v>
      </c>
      <c r="M349" s="473">
        <v>19.05</v>
      </c>
      <c r="N349" s="473">
        <v>33945.9</v>
      </c>
      <c r="O349" s="473">
        <v>29.5</v>
      </c>
      <c r="P349" s="473">
        <v>722.35</v>
      </c>
      <c r="Q349" s="473">
        <v>816.45</v>
      </c>
      <c r="R349" s="473">
        <v>10649.24</v>
      </c>
      <c r="S349" s="473">
        <v>9.0399999999999991</v>
      </c>
      <c r="T349" s="473">
        <v>37007</v>
      </c>
      <c r="U349" s="473">
        <v>69</v>
      </c>
      <c r="V349" s="473">
        <v>590.74</v>
      </c>
      <c r="W349" s="473">
        <v>0.17</v>
      </c>
      <c r="X349" s="473">
        <v>7576.03</v>
      </c>
      <c r="Y349" s="473">
        <v>0</v>
      </c>
      <c r="Z349" s="473">
        <v>54169</v>
      </c>
      <c r="AA349" s="472">
        <v>79</v>
      </c>
      <c r="AB349" s="473">
        <v>172.99</v>
      </c>
      <c r="AC349" s="474">
        <v>0.2</v>
      </c>
      <c r="AD349" s="473">
        <v>81.37</v>
      </c>
      <c r="AE349" s="472">
        <v>0.23</v>
      </c>
      <c r="AF349" s="506"/>
      <c r="AG349" s="474"/>
      <c r="AH349" s="506"/>
      <c r="AI349" s="474"/>
      <c r="AJ349" s="506"/>
      <c r="AK349" s="474"/>
    </row>
    <row r="350" spans="1:37">
      <c r="A350" s="492">
        <f t="shared" si="21"/>
        <v>45733</v>
      </c>
      <c r="B350" s="102" t="s">
        <v>3267</v>
      </c>
      <c r="C350" s="110" t="str">
        <f t="shared" si="20"/>
        <v>45733 0000H</v>
      </c>
      <c r="D350" s="337">
        <v>1760.61</v>
      </c>
      <c r="E350" s="338">
        <v>49.69</v>
      </c>
      <c r="F350" s="337">
        <v>1108.67</v>
      </c>
      <c r="G350" s="338">
        <v>6.2</v>
      </c>
      <c r="H350" s="337">
        <v>75067.38</v>
      </c>
      <c r="I350" s="475">
        <v>917.79</v>
      </c>
      <c r="J350" s="475">
        <v>33454.22</v>
      </c>
      <c r="K350" s="338">
        <v>107.74</v>
      </c>
      <c r="L350" s="337">
        <v>6353.52</v>
      </c>
      <c r="M350" s="475">
        <v>19.05</v>
      </c>
      <c r="N350" s="475">
        <v>33952.199999999997</v>
      </c>
      <c r="O350" s="475">
        <v>29.5</v>
      </c>
      <c r="P350" s="475">
        <v>722.37</v>
      </c>
      <c r="Q350" s="475">
        <v>817.78</v>
      </c>
      <c r="R350" s="475">
        <v>10654.55</v>
      </c>
      <c r="S350" s="475">
        <v>9.0399999999999991</v>
      </c>
      <c r="T350" s="475">
        <v>37014</v>
      </c>
      <c r="U350" s="475">
        <v>69</v>
      </c>
      <c r="V350" s="475">
        <v>590.74</v>
      </c>
      <c r="W350" s="475">
        <v>0.17</v>
      </c>
      <c r="X350" s="475">
        <v>7583.24</v>
      </c>
      <c r="Y350" s="475">
        <v>0</v>
      </c>
      <c r="Z350" s="475">
        <v>54169</v>
      </c>
      <c r="AA350" s="338">
        <v>79</v>
      </c>
      <c r="AB350" s="475">
        <v>172.99</v>
      </c>
      <c r="AC350" s="476">
        <v>0.2</v>
      </c>
      <c r="AD350" s="475">
        <v>81.37</v>
      </c>
      <c r="AE350" s="338">
        <v>0.23</v>
      </c>
      <c r="AF350" s="505"/>
      <c r="AG350" s="476"/>
      <c r="AH350" s="505"/>
      <c r="AI350" s="476"/>
      <c r="AJ350" s="505"/>
      <c r="AK350" s="476"/>
    </row>
    <row r="351" spans="1:37">
      <c r="A351" s="492">
        <f t="shared" si="21"/>
        <v>45733</v>
      </c>
      <c r="B351" s="102" t="s">
        <v>1197</v>
      </c>
      <c r="C351" s="110" t="str">
        <f t="shared" si="20"/>
        <v>45733 1200H</v>
      </c>
      <c r="D351" s="471">
        <v>1765.91</v>
      </c>
      <c r="E351" s="472">
        <v>49.69</v>
      </c>
      <c r="F351" s="471">
        <v>1108.67</v>
      </c>
      <c r="G351" s="472">
        <v>6.2</v>
      </c>
      <c r="H351" s="471">
        <v>75073.69</v>
      </c>
      <c r="I351" s="473">
        <v>918</v>
      </c>
      <c r="J351" s="473">
        <v>33454.82</v>
      </c>
      <c r="K351" s="472">
        <v>107.79</v>
      </c>
      <c r="L351" s="471">
        <v>6359.13</v>
      </c>
      <c r="M351" s="473">
        <v>19.05</v>
      </c>
      <c r="N351" s="473">
        <v>33956.400000000001</v>
      </c>
      <c r="O351" s="473">
        <v>29.5</v>
      </c>
      <c r="P351" s="473">
        <v>722.38</v>
      </c>
      <c r="Q351" s="473">
        <v>819.39</v>
      </c>
      <c r="R351" s="473">
        <v>10658.99</v>
      </c>
      <c r="S351" s="473">
        <v>9.0399999999999991</v>
      </c>
      <c r="T351" s="473">
        <v>37022</v>
      </c>
      <c r="U351" s="473">
        <v>69</v>
      </c>
      <c r="V351" s="473">
        <v>590.74</v>
      </c>
      <c r="W351" s="473">
        <v>0.17</v>
      </c>
      <c r="X351" s="473">
        <v>7589.58</v>
      </c>
      <c r="Y351" s="473">
        <v>0</v>
      </c>
      <c r="Z351" s="473">
        <v>54169</v>
      </c>
      <c r="AA351" s="472">
        <v>79</v>
      </c>
      <c r="AB351" s="473">
        <v>172.99</v>
      </c>
      <c r="AC351" s="474">
        <v>0.2</v>
      </c>
      <c r="AD351" s="473">
        <v>81.37</v>
      </c>
      <c r="AE351" s="472">
        <v>0.23</v>
      </c>
      <c r="AF351" s="506"/>
      <c r="AG351" s="474"/>
      <c r="AH351" s="506"/>
      <c r="AI351" s="474"/>
      <c r="AJ351" s="506"/>
      <c r="AK351" s="474"/>
    </row>
    <row r="352" spans="1:37">
      <c r="A352" s="492">
        <f t="shared" si="21"/>
        <v>45734</v>
      </c>
      <c r="B352" s="102" t="s">
        <v>3267</v>
      </c>
      <c r="C352" s="110" t="str">
        <f t="shared" si="20"/>
        <v>45734 0000H</v>
      </c>
      <c r="D352" s="337">
        <v>1771.92</v>
      </c>
      <c r="E352" s="338">
        <v>49.69</v>
      </c>
      <c r="F352" s="337">
        <v>1108.67</v>
      </c>
      <c r="G352" s="338">
        <v>6.2</v>
      </c>
      <c r="H352" s="337">
        <v>75089.759999999995</v>
      </c>
      <c r="I352" s="475">
        <v>918</v>
      </c>
      <c r="J352" s="475">
        <v>33457.629999999997</v>
      </c>
      <c r="K352" s="338">
        <v>107.81</v>
      </c>
      <c r="L352" s="337">
        <v>6364.85</v>
      </c>
      <c r="M352" s="475">
        <v>19.05</v>
      </c>
      <c r="N352" s="475">
        <v>33963.1</v>
      </c>
      <c r="O352" s="475">
        <v>29.5</v>
      </c>
      <c r="P352" s="475">
        <v>722.38</v>
      </c>
      <c r="Q352" s="475">
        <v>821.25</v>
      </c>
      <c r="R352" s="475">
        <v>10664.2</v>
      </c>
      <c r="S352" s="475">
        <v>9.0399999999999991</v>
      </c>
      <c r="T352" s="475">
        <v>37030</v>
      </c>
      <c r="U352" s="475">
        <v>69</v>
      </c>
      <c r="V352" s="475">
        <v>590.74</v>
      </c>
      <c r="W352" s="475">
        <v>0.17</v>
      </c>
      <c r="X352" s="475">
        <v>7597.11</v>
      </c>
      <c r="Y352" s="475">
        <v>0</v>
      </c>
      <c r="Z352" s="475">
        <v>54169</v>
      </c>
      <c r="AA352" s="338">
        <v>79</v>
      </c>
      <c r="AB352" s="475">
        <v>172.99</v>
      </c>
      <c r="AC352" s="476">
        <v>0.2</v>
      </c>
      <c r="AD352" s="475">
        <v>81.37</v>
      </c>
      <c r="AE352" s="338">
        <v>0.23</v>
      </c>
      <c r="AF352" s="505"/>
      <c r="AG352" s="476"/>
      <c r="AH352" s="505"/>
      <c r="AI352" s="476"/>
      <c r="AJ352" s="505"/>
      <c r="AK352" s="476"/>
    </row>
    <row r="353" spans="1:37">
      <c r="A353" s="492">
        <f t="shared" si="21"/>
        <v>45734</v>
      </c>
      <c r="B353" s="102" t="s">
        <v>1197</v>
      </c>
      <c r="C353" s="110" t="str">
        <f t="shared" si="20"/>
        <v>45734 1200H</v>
      </c>
      <c r="D353" s="471">
        <v>1776.69</v>
      </c>
      <c r="E353" s="472">
        <v>49.69</v>
      </c>
      <c r="F353" s="471">
        <v>1108.67</v>
      </c>
      <c r="G353" s="472">
        <v>6.2</v>
      </c>
      <c r="H353" s="471">
        <v>75093.460000000006</v>
      </c>
      <c r="I353" s="473">
        <v>918.4</v>
      </c>
      <c r="J353" s="473">
        <v>33458.370000000003</v>
      </c>
      <c r="K353" s="472">
        <v>107.85</v>
      </c>
      <c r="L353" s="471">
        <v>6370.56</v>
      </c>
      <c r="M353" s="473">
        <v>19.05</v>
      </c>
      <c r="N353" s="473">
        <v>33970.199999999997</v>
      </c>
      <c r="O353" s="473">
        <v>29.5</v>
      </c>
      <c r="P353" s="473">
        <v>722.41</v>
      </c>
      <c r="Q353" s="473">
        <v>822.43</v>
      </c>
      <c r="R353" s="473">
        <v>10668.6</v>
      </c>
      <c r="S353" s="473">
        <v>9.0399999999999991</v>
      </c>
      <c r="T353" s="473">
        <v>37037</v>
      </c>
      <c r="U353" s="473">
        <v>69</v>
      </c>
      <c r="V353" s="473">
        <v>590.74</v>
      </c>
      <c r="W353" s="473">
        <v>0.17</v>
      </c>
      <c r="X353" s="473">
        <v>7603.6</v>
      </c>
      <c r="Y353" s="473">
        <v>0</v>
      </c>
      <c r="Z353" s="473">
        <v>54169</v>
      </c>
      <c r="AA353" s="472">
        <v>79</v>
      </c>
      <c r="AB353" s="473">
        <v>172.99</v>
      </c>
      <c r="AC353" s="474">
        <v>0.2</v>
      </c>
      <c r="AD353" s="473">
        <v>81.37</v>
      </c>
      <c r="AE353" s="472">
        <v>0.23</v>
      </c>
      <c r="AF353" s="506"/>
      <c r="AG353" s="474"/>
      <c r="AH353" s="506"/>
      <c r="AI353" s="474"/>
      <c r="AJ353" s="506"/>
      <c r="AK353" s="474"/>
    </row>
    <row r="354" spans="1:37">
      <c r="A354" s="492">
        <f t="shared" si="21"/>
        <v>45735</v>
      </c>
      <c r="B354" s="102" t="s">
        <v>3267</v>
      </c>
      <c r="C354" s="110" t="str">
        <f t="shared" si="20"/>
        <v>45735 0000H</v>
      </c>
      <c r="D354" s="337">
        <v>1782.71</v>
      </c>
      <c r="E354" s="338">
        <v>49.69</v>
      </c>
      <c r="F354" s="337">
        <v>1108.67</v>
      </c>
      <c r="G354" s="338">
        <v>6.2</v>
      </c>
      <c r="H354" s="337">
        <v>75109.460000000006</v>
      </c>
      <c r="I354" s="475">
        <v>918.4</v>
      </c>
      <c r="J354" s="475">
        <v>33462.26</v>
      </c>
      <c r="K354" s="338">
        <v>107.85</v>
      </c>
      <c r="L354" s="337">
        <v>6376.31</v>
      </c>
      <c r="M354" s="475">
        <v>19.05</v>
      </c>
      <c r="N354" s="475">
        <v>33976.300000000003</v>
      </c>
      <c r="O354" s="475">
        <v>29.5</v>
      </c>
      <c r="P354" s="475">
        <v>722.49</v>
      </c>
      <c r="Q354" s="475">
        <v>823.75</v>
      </c>
      <c r="R354" s="475">
        <v>10673.93</v>
      </c>
      <c r="S354" s="475">
        <v>9.0399999999999991</v>
      </c>
      <c r="T354" s="475">
        <v>37045</v>
      </c>
      <c r="U354" s="475">
        <v>69</v>
      </c>
      <c r="V354" s="475">
        <v>590.74</v>
      </c>
      <c r="W354" s="475">
        <v>0.17</v>
      </c>
      <c r="X354" s="475">
        <v>7611.2</v>
      </c>
      <c r="Y354" s="475">
        <v>0</v>
      </c>
      <c r="Z354" s="475">
        <v>54169</v>
      </c>
      <c r="AA354" s="338">
        <v>79</v>
      </c>
      <c r="AB354" s="475">
        <v>172.99</v>
      </c>
      <c r="AC354" s="476">
        <v>0.2</v>
      </c>
      <c r="AD354" s="475">
        <v>81.37</v>
      </c>
      <c r="AE354" s="338">
        <v>0.23</v>
      </c>
      <c r="AF354" s="505"/>
      <c r="AG354" s="476"/>
      <c r="AH354" s="505"/>
      <c r="AI354" s="476"/>
      <c r="AJ354" s="505"/>
      <c r="AK354" s="476"/>
    </row>
    <row r="355" spans="1:37">
      <c r="A355" s="492">
        <f t="shared" si="21"/>
        <v>45735</v>
      </c>
      <c r="B355" s="102" t="s">
        <v>1197</v>
      </c>
      <c r="C355" s="110" t="str">
        <f t="shared" si="20"/>
        <v>45735 1200H</v>
      </c>
      <c r="D355" s="471">
        <v>1787.67</v>
      </c>
      <c r="E355" s="472">
        <v>49.69</v>
      </c>
      <c r="F355" s="471">
        <v>1108.67</v>
      </c>
      <c r="G355" s="472">
        <v>6.2</v>
      </c>
      <c r="H355" s="471">
        <v>75113.22</v>
      </c>
      <c r="I355" s="473">
        <v>918.75</v>
      </c>
      <c r="J355" s="473">
        <v>33462.26</v>
      </c>
      <c r="K355" s="472">
        <v>107.91</v>
      </c>
      <c r="L355" s="471">
        <v>6381.9</v>
      </c>
      <c r="M355" s="473">
        <v>19.05</v>
      </c>
      <c r="N355" s="473">
        <v>33981</v>
      </c>
      <c r="O355" s="473">
        <v>29.5</v>
      </c>
      <c r="P355" s="473">
        <v>722.49</v>
      </c>
      <c r="Q355" s="473">
        <v>825.26</v>
      </c>
      <c r="R355" s="473">
        <v>10678.41</v>
      </c>
      <c r="S355" s="473">
        <v>9.0399999999999991</v>
      </c>
      <c r="T355" s="473">
        <v>37052</v>
      </c>
      <c r="U355" s="473">
        <v>69</v>
      </c>
      <c r="V355" s="473">
        <v>590.74</v>
      </c>
      <c r="W355" s="473">
        <v>0.17</v>
      </c>
      <c r="X355" s="473">
        <v>7617.22</v>
      </c>
      <c r="Y355" s="473">
        <v>0</v>
      </c>
      <c r="Z355" s="473">
        <v>54169</v>
      </c>
      <c r="AA355" s="472">
        <v>79</v>
      </c>
      <c r="AB355" s="473">
        <v>172.99</v>
      </c>
      <c r="AC355" s="474">
        <v>0.2</v>
      </c>
      <c r="AD355" s="473">
        <v>81.37</v>
      </c>
      <c r="AE355" s="472">
        <v>0.23</v>
      </c>
      <c r="AF355" s="506"/>
      <c r="AG355" s="474"/>
      <c r="AH355" s="506"/>
      <c r="AI355" s="474"/>
      <c r="AJ355" s="506"/>
      <c r="AK355" s="474"/>
    </row>
    <row r="356" spans="1:37">
      <c r="A356" s="492">
        <f t="shared" si="21"/>
        <v>45736</v>
      </c>
      <c r="B356" s="102" t="s">
        <v>3267</v>
      </c>
      <c r="C356" s="110" t="str">
        <f t="shared" si="20"/>
        <v>45736 0000H</v>
      </c>
      <c r="D356" s="337">
        <v>1793.58</v>
      </c>
      <c r="E356" s="338">
        <v>49.69</v>
      </c>
      <c r="F356" s="337">
        <v>1108.67</v>
      </c>
      <c r="G356" s="338">
        <v>6.2</v>
      </c>
      <c r="H356" s="337">
        <v>75124.03</v>
      </c>
      <c r="I356" s="475">
        <v>918.75</v>
      </c>
      <c r="J356" s="475">
        <v>33465.370000000003</v>
      </c>
      <c r="K356" s="338">
        <v>107.93</v>
      </c>
      <c r="L356" s="337">
        <v>6387.73</v>
      </c>
      <c r="M356" s="475">
        <v>19.05</v>
      </c>
      <c r="N356" s="475">
        <v>33987.1</v>
      </c>
      <c r="O356" s="475">
        <v>29.5</v>
      </c>
      <c r="P356" s="475">
        <v>722.49</v>
      </c>
      <c r="Q356" s="475">
        <v>826.77</v>
      </c>
      <c r="R356" s="475">
        <v>10683.53</v>
      </c>
      <c r="S356" s="475">
        <v>9.0399999999999991</v>
      </c>
      <c r="T356" s="475">
        <v>37060</v>
      </c>
      <c r="U356" s="475">
        <v>69</v>
      </c>
      <c r="V356" s="475">
        <v>590.74</v>
      </c>
      <c r="W356" s="475">
        <v>0.17</v>
      </c>
      <c r="X356" s="475">
        <v>7622.49</v>
      </c>
      <c r="Y356" s="475">
        <v>0</v>
      </c>
      <c r="Z356" s="475">
        <v>54169</v>
      </c>
      <c r="AA356" s="338">
        <v>79</v>
      </c>
      <c r="AB356" s="475">
        <v>172.99</v>
      </c>
      <c r="AC356" s="476">
        <v>0.2</v>
      </c>
      <c r="AD356" s="475">
        <v>81.37</v>
      </c>
      <c r="AE356" s="338">
        <v>0.23</v>
      </c>
      <c r="AF356" s="505"/>
      <c r="AG356" s="476"/>
      <c r="AH356" s="505"/>
      <c r="AI356" s="476"/>
      <c r="AJ356" s="505"/>
      <c r="AK356" s="476"/>
    </row>
    <row r="357" spans="1:37">
      <c r="A357" s="492">
        <f t="shared" si="21"/>
        <v>45736</v>
      </c>
      <c r="B357" s="102" t="s">
        <v>1197</v>
      </c>
      <c r="C357" s="110" t="str">
        <f t="shared" si="20"/>
        <v>45736 1200H</v>
      </c>
      <c r="D357" s="471">
        <v>1798.41</v>
      </c>
      <c r="E357" s="472">
        <v>49.69</v>
      </c>
      <c r="F357" s="471">
        <v>1108.67</v>
      </c>
      <c r="G357" s="472">
        <v>6.2</v>
      </c>
      <c r="H357" s="471">
        <v>75127.460000000006</v>
      </c>
      <c r="I357" s="473">
        <v>919.08</v>
      </c>
      <c r="J357" s="473">
        <v>33466.019999999997</v>
      </c>
      <c r="K357" s="472">
        <v>107.98</v>
      </c>
      <c r="L357" s="471">
        <v>6393.37</v>
      </c>
      <c r="M357" s="473">
        <v>19.05</v>
      </c>
      <c r="N357" s="473">
        <v>33994.1</v>
      </c>
      <c r="O357" s="473">
        <v>29.5</v>
      </c>
      <c r="P357" s="473">
        <v>722.49</v>
      </c>
      <c r="Q357" s="473">
        <v>828.08</v>
      </c>
      <c r="R357" s="473">
        <v>10687.84</v>
      </c>
      <c r="S357" s="473">
        <v>9.0399999999999991</v>
      </c>
      <c r="T357" s="473">
        <v>37066</v>
      </c>
      <c r="U357" s="473">
        <v>69</v>
      </c>
      <c r="V357" s="473">
        <v>590.74</v>
      </c>
      <c r="W357" s="473">
        <v>0.17</v>
      </c>
      <c r="X357" s="473">
        <v>7628.99</v>
      </c>
      <c r="Y357" s="473">
        <v>0</v>
      </c>
      <c r="Z357" s="473">
        <v>54169</v>
      </c>
      <c r="AA357" s="472">
        <v>79</v>
      </c>
      <c r="AB357" s="473">
        <v>172.99</v>
      </c>
      <c r="AC357" s="474">
        <v>0.2</v>
      </c>
      <c r="AD357" s="473">
        <v>81.37</v>
      </c>
      <c r="AE357" s="472">
        <v>0.23</v>
      </c>
      <c r="AF357" s="506"/>
      <c r="AG357" s="474"/>
      <c r="AH357" s="506"/>
      <c r="AI357" s="474"/>
      <c r="AJ357" s="506"/>
      <c r="AK357" s="474"/>
    </row>
    <row r="358" spans="1:37">
      <c r="A358" s="492">
        <f t="shared" si="21"/>
        <v>45737</v>
      </c>
      <c r="B358" s="102" t="s">
        <v>3267</v>
      </c>
      <c r="C358" s="110" t="str">
        <f t="shared" si="20"/>
        <v>45737 0000H</v>
      </c>
      <c r="D358" s="337">
        <v>1804.65</v>
      </c>
      <c r="E358" s="338">
        <v>49.69</v>
      </c>
      <c r="F358" s="337">
        <v>1108.67</v>
      </c>
      <c r="G358" s="338">
        <v>6.2</v>
      </c>
      <c r="H358" s="337">
        <v>75137.7</v>
      </c>
      <c r="I358" s="475">
        <v>919.08</v>
      </c>
      <c r="J358" s="475">
        <v>33469.67</v>
      </c>
      <c r="K358" s="338">
        <v>107.99</v>
      </c>
      <c r="L358" s="337">
        <v>6399.04</v>
      </c>
      <c r="M358" s="475">
        <v>19.05</v>
      </c>
      <c r="N358" s="475">
        <v>34001.300000000003</v>
      </c>
      <c r="O358" s="475">
        <v>29.5</v>
      </c>
      <c r="P358" s="475">
        <v>722.6</v>
      </c>
      <c r="Q358" s="475">
        <v>829.22</v>
      </c>
      <c r="R358" s="475">
        <v>10692.73</v>
      </c>
      <c r="S358" s="475">
        <v>9.0399999999999991</v>
      </c>
      <c r="T358" s="475">
        <v>37074</v>
      </c>
      <c r="U358" s="475">
        <v>69</v>
      </c>
      <c r="V358" s="475">
        <v>590.74</v>
      </c>
      <c r="W358" s="475">
        <v>0.17</v>
      </c>
      <c r="X358" s="475">
        <v>7634.8</v>
      </c>
      <c r="Y358" s="475">
        <v>0</v>
      </c>
      <c r="Z358" s="475">
        <v>54169</v>
      </c>
      <c r="AA358" s="338">
        <v>79</v>
      </c>
      <c r="AB358" s="475">
        <v>172.99</v>
      </c>
      <c r="AC358" s="476">
        <v>0.2</v>
      </c>
      <c r="AD358" s="475">
        <v>81.37</v>
      </c>
      <c r="AE358" s="338">
        <v>0.23</v>
      </c>
      <c r="AF358" s="505"/>
      <c r="AG358" s="476"/>
      <c r="AH358" s="505"/>
      <c r="AI358" s="476"/>
      <c r="AJ358" s="505"/>
      <c r="AK358" s="476"/>
    </row>
    <row r="359" spans="1:37">
      <c r="A359" s="492">
        <f t="shared" si="21"/>
        <v>45737</v>
      </c>
      <c r="B359" s="102" t="s">
        <v>1197</v>
      </c>
      <c r="C359" s="110" t="str">
        <f t="shared" si="20"/>
        <v>45737 1200H</v>
      </c>
      <c r="D359" s="471">
        <v>1809.47</v>
      </c>
      <c r="E359" s="472">
        <v>49.69</v>
      </c>
      <c r="F359" s="471">
        <v>1108.67</v>
      </c>
      <c r="G359" s="472">
        <v>6.2</v>
      </c>
      <c r="H359" s="471">
        <v>75141.67</v>
      </c>
      <c r="I359" s="473">
        <v>919.36</v>
      </c>
      <c r="J359" s="473">
        <v>33470.61</v>
      </c>
      <c r="K359" s="472">
        <v>108.03</v>
      </c>
      <c r="L359" s="471">
        <v>6404.72</v>
      </c>
      <c r="M359" s="473">
        <v>19.05</v>
      </c>
      <c r="N359" s="473">
        <v>34008</v>
      </c>
      <c r="O359" s="473">
        <v>29.5</v>
      </c>
      <c r="P359" s="473">
        <v>722.61</v>
      </c>
      <c r="Q359" s="473">
        <v>830.37</v>
      </c>
      <c r="R359" s="473">
        <v>10696.95</v>
      </c>
      <c r="S359" s="473">
        <v>9.0399999999999991</v>
      </c>
      <c r="T359" s="473">
        <v>37080</v>
      </c>
      <c r="U359" s="473">
        <v>69</v>
      </c>
      <c r="V359" s="473">
        <v>590.74</v>
      </c>
      <c r="W359" s="473">
        <v>0.17</v>
      </c>
      <c r="X359" s="473">
        <v>7639.78</v>
      </c>
      <c r="Y359" s="473">
        <v>0</v>
      </c>
      <c r="Z359" s="473">
        <v>54169</v>
      </c>
      <c r="AA359" s="472">
        <v>79</v>
      </c>
      <c r="AB359" s="473">
        <v>172.99</v>
      </c>
      <c r="AC359" s="474">
        <v>0.2</v>
      </c>
      <c r="AD359" s="473">
        <v>81.37</v>
      </c>
      <c r="AE359" s="472">
        <v>0.23</v>
      </c>
      <c r="AF359" s="506"/>
      <c r="AG359" s="474"/>
      <c r="AH359" s="506"/>
      <c r="AI359" s="474"/>
      <c r="AJ359" s="506"/>
      <c r="AK359" s="474"/>
    </row>
    <row r="360" spans="1:37">
      <c r="A360" s="492">
        <f t="shared" si="21"/>
        <v>45738</v>
      </c>
      <c r="B360" s="102" t="s">
        <v>3267</v>
      </c>
      <c r="C360" s="110" t="str">
        <f t="shared" si="20"/>
        <v>45738 0000H</v>
      </c>
      <c r="D360" s="337">
        <v>1814.7</v>
      </c>
      <c r="E360" s="338">
        <v>49.69</v>
      </c>
      <c r="F360" s="337">
        <v>1108.67</v>
      </c>
      <c r="G360" s="338">
        <v>6.2</v>
      </c>
      <c r="H360" s="337">
        <v>75151.05</v>
      </c>
      <c r="I360" s="475">
        <v>919.39</v>
      </c>
      <c r="J360" s="475">
        <v>33471.089999999997</v>
      </c>
      <c r="K360" s="338">
        <v>108.09</v>
      </c>
      <c r="L360" s="337">
        <v>6410.29</v>
      </c>
      <c r="M360" s="475">
        <v>19.05</v>
      </c>
      <c r="N360" s="475">
        <v>34013.800000000003</v>
      </c>
      <c r="O360" s="475">
        <v>29.5</v>
      </c>
      <c r="P360" s="475">
        <v>722.62</v>
      </c>
      <c r="Q360" s="475">
        <v>831.81</v>
      </c>
      <c r="R360" s="475">
        <v>10701.77</v>
      </c>
      <c r="S360" s="475">
        <v>9.0399999999999991</v>
      </c>
      <c r="T360" s="475">
        <v>37088</v>
      </c>
      <c r="U360" s="475">
        <v>69</v>
      </c>
      <c r="V360" s="475">
        <v>590.74</v>
      </c>
      <c r="W360" s="475">
        <v>0.17</v>
      </c>
      <c r="X360" s="475">
        <v>7645.58</v>
      </c>
      <c r="Y360" s="475">
        <v>0</v>
      </c>
      <c r="Z360" s="475">
        <v>54169</v>
      </c>
      <c r="AA360" s="338">
        <v>79</v>
      </c>
      <c r="AB360" s="475">
        <v>172.99</v>
      </c>
      <c r="AC360" s="476">
        <v>0.2</v>
      </c>
      <c r="AD360" s="475">
        <v>81.37</v>
      </c>
      <c r="AE360" s="338">
        <v>0.23</v>
      </c>
      <c r="AF360" s="505"/>
      <c r="AG360" s="476"/>
      <c r="AH360" s="505"/>
      <c r="AI360" s="476"/>
      <c r="AJ360" s="505"/>
      <c r="AK360" s="476"/>
    </row>
    <row r="361" spans="1:37">
      <c r="A361" s="492">
        <f t="shared" si="21"/>
        <v>45738</v>
      </c>
      <c r="B361" s="102" t="s">
        <v>1197</v>
      </c>
      <c r="C361" s="110" t="str">
        <f t="shared" si="20"/>
        <v>45738 1200H</v>
      </c>
      <c r="D361" s="471">
        <v>1818.23</v>
      </c>
      <c r="E361" s="472">
        <v>49.69</v>
      </c>
      <c r="F361" s="471">
        <v>1108.67</v>
      </c>
      <c r="G361" s="472">
        <v>6.2</v>
      </c>
      <c r="H361" s="471">
        <v>75154.39</v>
      </c>
      <c r="I361" s="473">
        <v>919.7</v>
      </c>
      <c r="J361" s="473">
        <v>33471.089999999997</v>
      </c>
      <c r="K361" s="472">
        <v>108.14</v>
      </c>
      <c r="L361" s="471">
        <v>6415.52</v>
      </c>
      <c r="M361" s="473">
        <v>19.05</v>
      </c>
      <c r="N361" s="473">
        <v>34016.9</v>
      </c>
      <c r="O361" s="473">
        <v>29.5</v>
      </c>
      <c r="P361" s="473">
        <v>722.72</v>
      </c>
      <c r="Q361" s="473">
        <v>833</v>
      </c>
      <c r="R361" s="473">
        <v>10705.75</v>
      </c>
      <c r="S361" s="473">
        <v>9.0399999999999991</v>
      </c>
      <c r="T361" s="473">
        <v>37094</v>
      </c>
      <c r="U361" s="473">
        <v>69</v>
      </c>
      <c r="V361" s="473">
        <v>590.74</v>
      </c>
      <c r="W361" s="473">
        <v>0.17</v>
      </c>
      <c r="X361" s="473">
        <v>7652.51</v>
      </c>
      <c r="Y361" s="473">
        <v>0</v>
      </c>
      <c r="Z361" s="473">
        <v>54169</v>
      </c>
      <c r="AA361" s="472">
        <v>79</v>
      </c>
      <c r="AB361" s="473">
        <v>172.99</v>
      </c>
      <c r="AC361" s="474">
        <v>0.2</v>
      </c>
      <c r="AD361" s="473">
        <v>81.37</v>
      </c>
      <c r="AE361" s="472">
        <v>0.23</v>
      </c>
      <c r="AF361" s="506">
        <v>22.25</v>
      </c>
      <c r="AG361" s="474">
        <v>4.62</v>
      </c>
      <c r="AH361" s="506"/>
      <c r="AI361" s="474"/>
      <c r="AJ361" s="506"/>
      <c r="AK361" s="474"/>
    </row>
    <row r="362" spans="1:37">
      <c r="A362" s="492">
        <f t="shared" si="21"/>
        <v>45739</v>
      </c>
      <c r="B362" s="102" t="s">
        <v>3267</v>
      </c>
      <c r="C362" s="110" t="str">
        <f t="shared" si="20"/>
        <v>45739 0000H</v>
      </c>
      <c r="D362" s="337">
        <v>1823.02</v>
      </c>
      <c r="E362" s="338">
        <v>49.69</v>
      </c>
      <c r="F362" s="337">
        <v>1108.67</v>
      </c>
      <c r="G362" s="338">
        <v>6.2</v>
      </c>
      <c r="H362" s="337">
        <v>75162.710000000006</v>
      </c>
      <c r="I362" s="475">
        <v>919.77</v>
      </c>
      <c r="J362" s="475">
        <v>33471.69</v>
      </c>
      <c r="K362" s="338">
        <v>108.19</v>
      </c>
      <c r="L362" s="337">
        <v>6421.32</v>
      </c>
      <c r="M362" s="475">
        <v>19.05</v>
      </c>
      <c r="N362" s="475">
        <v>34023.5</v>
      </c>
      <c r="O362" s="475">
        <v>29.6</v>
      </c>
      <c r="P362" s="475">
        <v>722.97</v>
      </c>
      <c r="Q362" s="475">
        <v>834.01</v>
      </c>
      <c r="R362" s="475">
        <v>10710.34</v>
      </c>
      <c r="S362" s="475">
        <v>9.0399999999999991</v>
      </c>
      <c r="T362" s="475">
        <v>37101</v>
      </c>
      <c r="U362" s="475">
        <v>69</v>
      </c>
      <c r="V362" s="475">
        <v>590.74</v>
      </c>
      <c r="W362" s="475">
        <v>0.17</v>
      </c>
      <c r="X362" s="475">
        <v>7658.82</v>
      </c>
      <c r="Y362" s="475">
        <v>0</v>
      </c>
      <c r="Z362" s="475">
        <v>54169</v>
      </c>
      <c r="AA362" s="338">
        <v>79</v>
      </c>
      <c r="AB362" s="475">
        <v>172.99</v>
      </c>
      <c r="AC362" s="476">
        <v>0.2</v>
      </c>
      <c r="AD362" s="475">
        <v>81.37</v>
      </c>
      <c r="AE362" s="338">
        <v>0.23</v>
      </c>
      <c r="AF362" s="505">
        <v>24.67</v>
      </c>
      <c r="AG362" s="476">
        <v>4.6399999999999997</v>
      </c>
      <c r="AH362" s="505"/>
      <c r="AI362" s="476"/>
      <c r="AJ362" s="505"/>
      <c r="AK362" s="476"/>
    </row>
    <row r="363" spans="1:37">
      <c r="A363" s="492">
        <f t="shared" si="21"/>
        <v>45739</v>
      </c>
      <c r="B363" s="102" t="s">
        <v>1197</v>
      </c>
      <c r="C363" s="110" t="str">
        <f t="shared" si="20"/>
        <v>45739 1200H</v>
      </c>
      <c r="D363" s="471">
        <v>1826.63</v>
      </c>
      <c r="E363" s="472">
        <v>49.69</v>
      </c>
      <c r="F363" s="471">
        <v>1108.67</v>
      </c>
      <c r="G363" s="472">
        <v>6.2</v>
      </c>
      <c r="H363" s="471">
        <v>75163.53</v>
      </c>
      <c r="I363" s="473">
        <v>920.16</v>
      </c>
      <c r="J363" s="473">
        <v>33472</v>
      </c>
      <c r="K363" s="472">
        <v>108.25</v>
      </c>
      <c r="L363" s="471">
        <v>6427.07</v>
      </c>
      <c r="M363" s="473">
        <v>19.05</v>
      </c>
      <c r="N363" s="473">
        <v>34030.1</v>
      </c>
      <c r="O363" s="473">
        <v>29.6</v>
      </c>
      <c r="P363" s="473">
        <v>723.03</v>
      </c>
      <c r="Q363" s="473">
        <v>835.29</v>
      </c>
      <c r="R363" s="473">
        <v>10714.03</v>
      </c>
      <c r="S363" s="473">
        <v>9.0399999999999991</v>
      </c>
      <c r="T363" s="473">
        <v>37106</v>
      </c>
      <c r="U363" s="473">
        <v>69</v>
      </c>
      <c r="V363" s="473">
        <v>590.74</v>
      </c>
      <c r="W363" s="473">
        <v>0.17</v>
      </c>
      <c r="X363" s="473">
        <v>7664.33</v>
      </c>
      <c r="Y363" s="473">
        <v>0</v>
      </c>
      <c r="Z363" s="473">
        <v>54169</v>
      </c>
      <c r="AA363" s="472">
        <v>79</v>
      </c>
      <c r="AB363" s="473">
        <v>172.99</v>
      </c>
      <c r="AC363" s="474">
        <v>0.2</v>
      </c>
      <c r="AD363" s="473">
        <v>81.37</v>
      </c>
      <c r="AE363" s="472">
        <v>0.23</v>
      </c>
      <c r="AF363" s="506">
        <v>24.67</v>
      </c>
      <c r="AG363" s="474">
        <v>4.6399999999999997</v>
      </c>
      <c r="AH363" s="506"/>
      <c r="AI363" s="474"/>
      <c r="AJ363" s="506"/>
      <c r="AK363" s="474"/>
    </row>
    <row r="364" spans="1:37">
      <c r="A364" s="492">
        <f t="shared" si="21"/>
        <v>45740</v>
      </c>
      <c r="B364" s="102" t="s">
        <v>3267</v>
      </c>
      <c r="C364" s="110" t="str">
        <f t="shared" si="20"/>
        <v>45740 0000H</v>
      </c>
      <c r="D364" s="337">
        <v>1831.69</v>
      </c>
      <c r="E364" s="338">
        <v>49.69</v>
      </c>
      <c r="F364" s="337">
        <v>1108.67</v>
      </c>
      <c r="G364" s="338">
        <v>6.2</v>
      </c>
      <c r="H364" s="337">
        <v>75170.789999999994</v>
      </c>
      <c r="I364" s="475">
        <v>920.24</v>
      </c>
      <c r="J364" s="475">
        <v>33472</v>
      </c>
      <c r="K364" s="338">
        <v>108.31</v>
      </c>
      <c r="L364" s="337">
        <v>6432.73</v>
      </c>
      <c r="M364" s="475">
        <v>19.05</v>
      </c>
      <c r="N364" s="475">
        <v>34036.9</v>
      </c>
      <c r="O364" s="475">
        <v>29.6</v>
      </c>
      <c r="P364" s="475">
        <v>723.08</v>
      </c>
      <c r="Q364" s="475">
        <v>836.74</v>
      </c>
      <c r="R364" s="475">
        <v>10718.55</v>
      </c>
      <c r="S364" s="475">
        <v>9.0399999999999991</v>
      </c>
      <c r="T364" s="475">
        <v>37113</v>
      </c>
      <c r="U364" s="475">
        <v>69</v>
      </c>
      <c r="V364" s="475">
        <v>590.74</v>
      </c>
      <c r="W364" s="475">
        <v>0.17</v>
      </c>
      <c r="X364" s="475">
        <v>7671.16</v>
      </c>
      <c r="Y364" s="475">
        <v>0</v>
      </c>
      <c r="Z364" s="475">
        <v>54169</v>
      </c>
      <c r="AA364" s="338">
        <v>79</v>
      </c>
      <c r="AB364" s="475">
        <v>172.99</v>
      </c>
      <c r="AC364" s="476">
        <v>0.2</v>
      </c>
      <c r="AD364" s="475">
        <v>81.37</v>
      </c>
      <c r="AE364" s="338">
        <v>0.23</v>
      </c>
      <c r="AF364" s="505">
        <v>81.37</v>
      </c>
      <c r="AG364" s="476">
        <v>4.6399999999999997</v>
      </c>
      <c r="AH364" s="505"/>
      <c r="AI364" s="476"/>
      <c r="AJ364" s="505"/>
      <c r="AK364" s="476"/>
    </row>
    <row r="365" spans="1:37">
      <c r="A365" s="492">
        <f t="shared" si="21"/>
        <v>45740</v>
      </c>
      <c r="B365" s="102" t="s">
        <v>1197</v>
      </c>
      <c r="C365" s="110" t="str">
        <f t="shared" si="20"/>
        <v>45740 1200H</v>
      </c>
      <c r="D365" s="471">
        <v>1835.56</v>
      </c>
      <c r="E365" s="472">
        <v>49.69</v>
      </c>
      <c r="F365" s="471">
        <v>1108.67</v>
      </c>
      <c r="G365" s="472">
        <v>6.2</v>
      </c>
      <c r="H365" s="471">
        <v>75173.64</v>
      </c>
      <c r="I365" s="473">
        <v>920.47</v>
      </c>
      <c r="J365" s="473">
        <v>33472</v>
      </c>
      <c r="K365" s="472">
        <v>108.36</v>
      </c>
      <c r="L365" s="471">
        <v>6438.58</v>
      </c>
      <c r="M365" s="473">
        <v>19.05</v>
      </c>
      <c r="N365" s="473">
        <v>34041.9</v>
      </c>
      <c r="O365" s="473">
        <v>29.6</v>
      </c>
      <c r="P365" s="473">
        <v>723.38</v>
      </c>
      <c r="Q365" s="473">
        <v>837.21</v>
      </c>
      <c r="R365" s="473">
        <v>10722.17</v>
      </c>
      <c r="S365" s="473">
        <v>9.0399999999999991</v>
      </c>
      <c r="T365" s="473">
        <v>37120</v>
      </c>
      <c r="U365" s="473">
        <v>69</v>
      </c>
      <c r="V365" s="473">
        <v>590.79</v>
      </c>
      <c r="W365" s="473">
        <v>0.17</v>
      </c>
      <c r="X365" s="473">
        <v>7677.19</v>
      </c>
      <c r="Y365" s="473">
        <v>0</v>
      </c>
      <c r="Z365" s="473">
        <v>54169</v>
      </c>
      <c r="AA365" s="472">
        <v>79</v>
      </c>
      <c r="AB365" s="473">
        <v>175.42</v>
      </c>
      <c r="AC365" s="474">
        <v>0.2</v>
      </c>
      <c r="AD365" s="473">
        <v>81.37</v>
      </c>
      <c r="AE365" s="472">
        <v>0.23</v>
      </c>
      <c r="AF365" s="506">
        <v>81.37</v>
      </c>
      <c r="AG365" s="474">
        <v>4.6399999999999997</v>
      </c>
      <c r="AH365" s="506"/>
      <c r="AI365" s="474"/>
      <c r="AJ365" s="506"/>
      <c r="AK365" s="474"/>
    </row>
    <row r="366" spans="1:37">
      <c r="A366" s="492">
        <f t="shared" si="21"/>
        <v>45741</v>
      </c>
      <c r="B366" s="102" t="s">
        <v>3267</v>
      </c>
      <c r="C366" s="110" t="str">
        <f t="shared" si="20"/>
        <v>45741 0000H</v>
      </c>
      <c r="D366" s="337">
        <v>1840.47</v>
      </c>
      <c r="E366" s="338">
        <v>49.69</v>
      </c>
      <c r="F366" s="337">
        <v>1108.67</v>
      </c>
      <c r="G366" s="338">
        <v>6.2</v>
      </c>
      <c r="H366" s="337">
        <v>75182.649999999994</v>
      </c>
      <c r="I366" s="475">
        <v>920.49</v>
      </c>
      <c r="J366" s="475">
        <v>33474.85</v>
      </c>
      <c r="K366" s="338">
        <v>108.38</v>
      </c>
      <c r="L366" s="337">
        <v>6444.33</v>
      </c>
      <c r="M366" s="475">
        <v>19.05</v>
      </c>
      <c r="N366" s="475">
        <v>34048.800000000003</v>
      </c>
      <c r="O366" s="475">
        <v>29.6</v>
      </c>
      <c r="P366" s="475">
        <v>723.38</v>
      </c>
      <c r="Q366" s="475">
        <v>838.7</v>
      </c>
      <c r="R366" s="475">
        <v>10726.49</v>
      </c>
      <c r="S366" s="475">
        <v>9.0399999999999991</v>
      </c>
      <c r="T366" s="475">
        <v>37127</v>
      </c>
      <c r="U366" s="475">
        <v>69</v>
      </c>
      <c r="V366" s="475">
        <v>590.79</v>
      </c>
      <c r="W366" s="475">
        <v>0.17</v>
      </c>
      <c r="X366" s="475">
        <v>7684.05</v>
      </c>
      <c r="Y366" s="475">
        <v>0</v>
      </c>
      <c r="Z366" s="475">
        <v>54169</v>
      </c>
      <c r="AA366" s="338">
        <v>79</v>
      </c>
      <c r="AB366" s="475">
        <v>175.42</v>
      </c>
      <c r="AC366" s="476">
        <v>0.2</v>
      </c>
      <c r="AD366" s="475">
        <v>81.37</v>
      </c>
      <c r="AE366" s="338">
        <v>0.23</v>
      </c>
      <c r="AF366" s="505">
        <v>29.92</v>
      </c>
      <c r="AG366" s="476">
        <v>4.8099999999999996</v>
      </c>
      <c r="AH366" s="505"/>
      <c r="AI366" s="476"/>
      <c r="AJ366" s="505"/>
      <c r="AK366" s="476"/>
    </row>
    <row r="367" spans="1:37" ht="14.45" thickBot="1">
      <c r="A367" s="498">
        <f t="shared" si="21"/>
        <v>45741</v>
      </c>
      <c r="B367" s="499" t="s">
        <v>1197</v>
      </c>
      <c r="C367" s="500" t="str">
        <f t="shared" si="20"/>
        <v>45741 1200H</v>
      </c>
      <c r="D367" s="501">
        <v>1844.58</v>
      </c>
      <c r="E367" s="502">
        <v>49.69</v>
      </c>
      <c r="F367" s="501">
        <v>1108.67</v>
      </c>
      <c r="G367" s="502">
        <v>6.2</v>
      </c>
      <c r="H367" s="501">
        <v>75185.66</v>
      </c>
      <c r="I367" s="503">
        <v>920.84</v>
      </c>
      <c r="J367" s="503">
        <v>33475.81</v>
      </c>
      <c r="K367" s="502">
        <v>108.42</v>
      </c>
      <c r="L367" s="501">
        <v>6450.11</v>
      </c>
      <c r="M367" s="503">
        <v>19.05</v>
      </c>
      <c r="N367" s="503">
        <v>34055.5</v>
      </c>
      <c r="O367" s="503">
        <v>29.6</v>
      </c>
      <c r="P367" s="503">
        <v>723.52</v>
      </c>
      <c r="Q367" s="503">
        <v>839.49</v>
      </c>
      <c r="R367" s="503">
        <v>10729.51</v>
      </c>
      <c r="S367" s="503">
        <v>9.0399999999999991</v>
      </c>
      <c r="T367" s="503">
        <v>37134</v>
      </c>
      <c r="U367" s="503">
        <v>69</v>
      </c>
      <c r="V367" s="503">
        <v>590.79</v>
      </c>
      <c r="W367" s="503">
        <v>0.17</v>
      </c>
      <c r="X367" s="503">
        <v>7690.15</v>
      </c>
      <c r="Y367" s="503">
        <v>0</v>
      </c>
      <c r="Z367" s="503">
        <v>54169</v>
      </c>
      <c r="AA367" s="502">
        <v>79</v>
      </c>
      <c r="AB367" s="503">
        <v>175.77</v>
      </c>
      <c r="AC367" s="504">
        <v>0.21</v>
      </c>
      <c r="AD367" s="503">
        <v>81.37</v>
      </c>
      <c r="AE367" s="502">
        <v>0.23</v>
      </c>
      <c r="AF367" s="513">
        <v>29.92</v>
      </c>
      <c r="AG367" s="504">
        <v>4.8899999999999997</v>
      </c>
      <c r="AH367" s="513"/>
      <c r="AI367" s="504"/>
      <c r="AJ367" s="513"/>
      <c r="AK367" s="504"/>
    </row>
    <row r="368" spans="1:37" s="479" customFormat="1" ht="14.45" thickBot="1">
      <c r="A368" s="477"/>
      <c r="B368" s="477"/>
      <c r="C368" s="477"/>
      <c r="D368" s="478"/>
      <c r="E368" s="478"/>
      <c r="F368" s="478"/>
      <c r="G368" s="478"/>
      <c r="H368" s="478"/>
      <c r="I368" s="478"/>
      <c r="J368" s="478"/>
      <c r="K368" s="478"/>
      <c r="L368" s="478"/>
      <c r="M368" s="478"/>
      <c r="N368" s="478"/>
      <c r="O368" s="478"/>
      <c r="P368" s="478"/>
      <c r="Q368" s="478"/>
      <c r="R368" s="478"/>
      <c r="S368" s="478"/>
      <c r="T368" s="478"/>
      <c r="U368" s="478"/>
      <c r="V368" s="478"/>
      <c r="W368" s="478"/>
      <c r="X368" s="478"/>
      <c r="Y368" s="478"/>
      <c r="Z368" s="478"/>
      <c r="AA368" s="478"/>
      <c r="AB368" s="478"/>
      <c r="AC368" s="478"/>
      <c r="AD368" s="478"/>
      <c r="AE368" s="478"/>
      <c r="AF368" s="511"/>
      <c r="AG368" s="512"/>
      <c r="AH368" s="511"/>
      <c r="AI368" s="512"/>
      <c r="AJ368" s="511"/>
      <c r="AK368" s="512"/>
    </row>
    <row r="369" spans="1:37">
      <c r="A369" s="485">
        <f>A366+1</f>
        <v>45742</v>
      </c>
      <c r="B369" s="486" t="s">
        <v>3267</v>
      </c>
      <c r="C369" s="487" t="str">
        <f t="shared" ref="C369:C400" si="22">A369 &amp; " " &amp;B369</f>
        <v>45742 0000H</v>
      </c>
      <c r="D369" s="488">
        <v>1850.55</v>
      </c>
      <c r="E369" s="489">
        <v>49.69</v>
      </c>
      <c r="F369" s="488">
        <v>1108.67</v>
      </c>
      <c r="G369" s="489">
        <v>6.2</v>
      </c>
      <c r="H369" s="488">
        <v>75195.34</v>
      </c>
      <c r="I369" s="490">
        <v>920.84</v>
      </c>
      <c r="J369" s="490">
        <v>33479.4</v>
      </c>
      <c r="K369" s="489">
        <v>108.44</v>
      </c>
      <c r="L369" s="488">
        <v>6455.77</v>
      </c>
      <c r="M369" s="490">
        <v>19.05</v>
      </c>
      <c r="N369" s="490">
        <v>34062.1</v>
      </c>
      <c r="O369" s="490">
        <v>29.6</v>
      </c>
      <c r="P369" s="490">
        <v>723.6</v>
      </c>
      <c r="Q369" s="490">
        <v>840.77</v>
      </c>
      <c r="R369" s="490">
        <v>10733.04</v>
      </c>
      <c r="S369" s="490">
        <v>9.0399999999999991</v>
      </c>
      <c r="T369" s="490">
        <v>37142</v>
      </c>
      <c r="U369" s="490">
        <v>69</v>
      </c>
      <c r="V369" s="490"/>
      <c r="W369" s="490"/>
      <c r="X369" s="490">
        <v>7695.68</v>
      </c>
      <c r="Y369" s="490">
        <v>0</v>
      </c>
      <c r="Z369" s="490"/>
      <c r="AA369" s="489"/>
      <c r="AB369" s="490">
        <v>176.53</v>
      </c>
      <c r="AC369" s="491">
        <v>0.23</v>
      </c>
      <c r="AD369" s="490"/>
      <c r="AE369" s="489"/>
      <c r="AF369" s="509">
        <v>31.19</v>
      </c>
      <c r="AG369" s="491">
        <v>4.95</v>
      </c>
      <c r="AH369" s="509"/>
      <c r="AI369" s="491"/>
      <c r="AJ369" s="509"/>
      <c r="AK369" s="491"/>
    </row>
    <row r="370" spans="1:37">
      <c r="A370" s="492">
        <f>A367+1</f>
        <v>45742</v>
      </c>
      <c r="B370" s="102" t="s">
        <v>1197</v>
      </c>
      <c r="C370" s="110" t="str">
        <f t="shared" si="22"/>
        <v>45742 1200H</v>
      </c>
      <c r="D370" s="471">
        <v>1854.49</v>
      </c>
      <c r="E370" s="472">
        <v>49.69</v>
      </c>
      <c r="F370" s="471">
        <v>1108.67</v>
      </c>
      <c r="G370" s="472">
        <v>6.2</v>
      </c>
      <c r="H370" s="471">
        <v>75200.479999999996</v>
      </c>
      <c r="I370" s="473">
        <v>921.06</v>
      </c>
      <c r="J370" s="473">
        <v>33480.300000000003</v>
      </c>
      <c r="K370" s="472">
        <v>108.47</v>
      </c>
      <c r="L370" s="471">
        <v>6461.56</v>
      </c>
      <c r="M370" s="473">
        <v>19.05</v>
      </c>
      <c r="N370" s="473">
        <v>34069</v>
      </c>
      <c r="O370" s="473">
        <v>29.6</v>
      </c>
      <c r="P370" s="473">
        <v>723.63</v>
      </c>
      <c r="Q370" s="473">
        <v>841.64</v>
      </c>
      <c r="R370" s="473">
        <v>10736.93</v>
      </c>
      <c r="S370" s="473">
        <v>9.0399999999999991</v>
      </c>
      <c r="T370" s="473">
        <v>37149</v>
      </c>
      <c r="U370" s="473">
        <v>69</v>
      </c>
      <c r="V370" s="473"/>
      <c r="W370" s="473"/>
      <c r="X370" s="473">
        <v>7704</v>
      </c>
      <c r="Y370" s="473">
        <v>0</v>
      </c>
      <c r="Z370" s="473"/>
      <c r="AA370" s="472"/>
      <c r="AB370" s="473">
        <v>177.68</v>
      </c>
      <c r="AC370" s="474">
        <v>0.23</v>
      </c>
      <c r="AD370" s="473"/>
      <c r="AE370" s="472"/>
      <c r="AF370" s="506">
        <v>31.19</v>
      </c>
      <c r="AG370" s="474">
        <v>4.95</v>
      </c>
      <c r="AH370" s="506"/>
      <c r="AI370" s="474"/>
      <c r="AJ370" s="506"/>
      <c r="AK370" s="474"/>
    </row>
    <row r="371" spans="1:37">
      <c r="A371" s="492">
        <f t="shared" ref="A371:A402" si="23">A369+1</f>
        <v>45743</v>
      </c>
      <c r="B371" s="102" t="s">
        <v>3267</v>
      </c>
      <c r="C371" s="110" t="str">
        <f t="shared" si="22"/>
        <v>45743 0000H</v>
      </c>
      <c r="D371" s="337">
        <v>1860.32</v>
      </c>
      <c r="E371" s="338">
        <v>49.69</v>
      </c>
      <c r="F371" s="337">
        <v>1108.67</v>
      </c>
      <c r="G371" s="338">
        <v>6.2</v>
      </c>
      <c r="H371" s="337">
        <v>75210.33</v>
      </c>
      <c r="I371" s="475">
        <v>921.07</v>
      </c>
      <c r="J371" s="475">
        <v>33483.94</v>
      </c>
      <c r="K371" s="338">
        <v>108.48</v>
      </c>
      <c r="L371" s="337">
        <v>6467.31</v>
      </c>
      <c r="M371" s="475">
        <v>19.05</v>
      </c>
      <c r="N371" s="475">
        <v>34075.599999999999</v>
      </c>
      <c r="O371" s="475">
        <v>29.6</v>
      </c>
      <c r="P371" s="475">
        <v>723.75</v>
      </c>
      <c r="Q371" s="475">
        <v>842.61</v>
      </c>
      <c r="R371" s="475">
        <v>10741.7</v>
      </c>
      <c r="S371" s="475">
        <v>9.0399999999999991</v>
      </c>
      <c r="T371" s="475">
        <v>37157</v>
      </c>
      <c r="U371" s="475">
        <v>69</v>
      </c>
      <c r="V371" s="475"/>
      <c r="W371" s="475"/>
      <c r="X371" s="475">
        <v>7711.63</v>
      </c>
      <c r="Y371" s="475">
        <v>0</v>
      </c>
      <c r="Z371" s="475"/>
      <c r="AA371" s="338"/>
      <c r="AB371" s="475">
        <v>181.1</v>
      </c>
      <c r="AC371" s="476">
        <v>0.23</v>
      </c>
      <c r="AD371" s="475"/>
      <c r="AE371" s="338"/>
      <c r="AF371" s="505">
        <v>32.26</v>
      </c>
      <c r="AG371" s="476">
        <v>5.1100000000000003</v>
      </c>
      <c r="AH371" s="505"/>
      <c r="AI371" s="476"/>
      <c r="AJ371" s="505"/>
      <c r="AK371" s="476"/>
    </row>
    <row r="372" spans="1:37">
      <c r="A372" s="492">
        <f t="shared" si="23"/>
        <v>45743</v>
      </c>
      <c r="B372" s="102" t="s">
        <v>1197</v>
      </c>
      <c r="C372" s="110" t="str">
        <f t="shared" si="22"/>
        <v>45743 1200H</v>
      </c>
      <c r="D372" s="471">
        <v>1864.4</v>
      </c>
      <c r="E372" s="472">
        <v>49.69</v>
      </c>
      <c r="F372" s="471">
        <v>1108.67</v>
      </c>
      <c r="G372" s="472">
        <v>6.2</v>
      </c>
      <c r="H372" s="471">
        <v>75215.8</v>
      </c>
      <c r="I372" s="473">
        <v>921.21</v>
      </c>
      <c r="J372" s="473">
        <v>33484.980000000003</v>
      </c>
      <c r="K372" s="472">
        <v>108.52</v>
      </c>
      <c r="L372" s="471">
        <v>6473.03</v>
      </c>
      <c r="M372" s="473">
        <v>19.05</v>
      </c>
      <c r="N372" s="473">
        <v>34082.300000000003</v>
      </c>
      <c r="O372" s="473">
        <v>29.6</v>
      </c>
      <c r="P372" s="473">
        <v>723.82</v>
      </c>
      <c r="Q372" s="473">
        <v>843.39</v>
      </c>
      <c r="R372" s="473">
        <v>10745.33</v>
      </c>
      <c r="S372" s="473">
        <v>9.0399999999999991</v>
      </c>
      <c r="T372" s="473">
        <v>37164</v>
      </c>
      <c r="U372" s="473">
        <v>69</v>
      </c>
      <c r="V372" s="473"/>
      <c r="W372" s="473"/>
      <c r="X372" s="473">
        <v>7718.47</v>
      </c>
      <c r="Y372" s="473">
        <v>0</v>
      </c>
      <c r="Z372" s="473"/>
      <c r="AA372" s="472"/>
      <c r="AB372" s="473">
        <v>181.67</v>
      </c>
      <c r="AC372" s="474">
        <v>0.26</v>
      </c>
      <c r="AD372" s="473"/>
      <c r="AE372" s="472"/>
      <c r="AF372" s="506">
        <v>32.26</v>
      </c>
      <c r="AG372" s="474">
        <v>5.1100000000000003</v>
      </c>
      <c r="AH372" s="506"/>
      <c r="AI372" s="474"/>
      <c r="AJ372" s="506"/>
      <c r="AK372" s="474"/>
    </row>
    <row r="373" spans="1:37">
      <c r="A373" s="492">
        <f t="shared" si="23"/>
        <v>45744</v>
      </c>
      <c r="B373" s="102" t="s">
        <v>3267</v>
      </c>
      <c r="C373" s="110" t="str">
        <f t="shared" si="22"/>
        <v>45744 0000H</v>
      </c>
      <c r="D373" s="337">
        <v>1870.55</v>
      </c>
      <c r="E373" s="338">
        <v>49.69</v>
      </c>
      <c r="F373" s="337">
        <v>1108.67</v>
      </c>
      <c r="G373" s="338">
        <v>6.2</v>
      </c>
      <c r="H373" s="337">
        <v>75225.789999999994</v>
      </c>
      <c r="I373" s="475">
        <v>921.21</v>
      </c>
      <c r="J373" s="475">
        <v>33488.83</v>
      </c>
      <c r="K373" s="338">
        <v>108.52</v>
      </c>
      <c r="L373" s="337">
        <v>6478.73</v>
      </c>
      <c r="M373" s="475">
        <v>19.05</v>
      </c>
      <c r="N373" s="475">
        <v>34088.9</v>
      </c>
      <c r="O373" s="475">
        <v>29.6</v>
      </c>
      <c r="P373" s="475">
        <v>723.87</v>
      </c>
      <c r="Q373" s="475">
        <v>844.78</v>
      </c>
      <c r="R373" s="475">
        <v>10750.15</v>
      </c>
      <c r="S373" s="475">
        <v>9.0399999999999991</v>
      </c>
      <c r="T373" s="475">
        <v>37173</v>
      </c>
      <c r="U373" s="475">
        <v>69</v>
      </c>
      <c r="V373" s="475"/>
      <c r="W373" s="475"/>
      <c r="X373" s="475">
        <v>7726.47</v>
      </c>
      <c r="Y373" s="475">
        <v>0</v>
      </c>
      <c r="Z373" s="475"/>
      <c r="AA373" s="338"/>
      <c r="AB373" s="475">
        <v>183.56</v>
      </c>
      <c r="AC373" s="476">
        <v>0.27</v>
      </c>
      <c r="AD373" s="475"/>
      <c r="AE373" s="338"/>
      <c r="AF373" s="505">
        <v>32.83</v>
      </c>
      <c r="AG373" s="476">
        <v>5.24</v>
      </c>
      <c r="AH373" s="505"/>
      <c r="AI373" s="476"/>
      <c r="AJ373" s="505"/>
      <c r="AK373" s="476"/>
    </row>
    <row r="374" spans="1:37">
      <c r="A374" s="492">
        <f t="shared" si="23"/>
        <v>45744</v>
      </c>
      <c r="B374" s="102" t="s">
        <v>1197</v>
      </c>
      <c r="C374" s="110" t="str">
        <f t="shared" si="22"/>
        <v>45744 1200H</v>
      </c>
      <c r="D374" s="471">
        <v>1875.79</v>
      </c>
      <c r="E374" s="472">
        <v>49.69</v>
      </c>
      <c r="F374" s="471">
        <v>1108.67</v>
      </c>
      <c r="G374" s="472">
        <v>6.2</v>
      </c>
      <c r="H374" s="471">
        <v>75229.22</v>
      </c>
      <c r="I374" s="473">
        <v>921.57</v>
      </c>
      <c r="J374" s="473">
        <v>33489.9</v>
      </c>
      <c r="K374" s="472">
        <v>108.55</v>
      </c>
      <c r="L374" s="471">
        <v>6484.43</v>
      </c>
      <c r="M374" s="473">
        <v>19.05</v>
      </c>
      <c r="N374" s="473">
        <v>34095.4</v>
      </c>
      <c r="O374" s="473">
        <v>29.6</v>
      </c>
      <c r="P374" s="473">
        <v>724.12</v>
      </c>
      <c r="Q374" s="473">
        <v>845.77</v>
      </c>
      <c r="R374" s="473">
        <v>10754.19</v>
      </c>
      <c r="S374" s="473">
        <v>9.0399999999999991</v>
      </c>
      <c r="T374" s="473">
        <v>37180</v>
      </c>
      <c r="U374" s="473">
        <v>69</v>
      </c>
      <c r="V374" s="473"/>
      <c r="W374" s="473"/>
      <c r="X374" s="473">
        <v>7733.22</v>
      </c>
      <c r="Y374" s="473">
        <v>0</v>
      </c>
      <c r="Z374" s="473"/>
      <c r="AA374" s="472"/>
      <c r="AB374" s="473">
        <v>186.01</v>
      </c>
      <c r="AC374" s="474">
        <v>0.28999999999999998</v>
      </c>
      <c r="AD374" s="473"/>
      <c r="AE374" s="472"/>
      <c r="AF374" s="506">
        <v>33.15</v>
      </c>
      <c r="AG374" s="474">
        <v>5.31</v>
      </c>
      <c r="AH374" s="506"/>
      <c r="AI374" s="474"/>
      <c r="AJ374" s="506"/>
      <c r="AK374" s="474"/>
    </row>
    <row r="375" spans="1:37">
      <c r="A375" s="492">
        <f t="shared" si="23"/>
        <v>45745</v>
      </c>
      <c r="B375" s="102" t="s">
        <v>3267</v>
      </c>
      <c r="C375" s="110" t="str">
        <f t="shared" si="22"/>
        <v>45745 0000H</v>
      </c>
      <c r="D375" s="337">
        <v>1881.97</v>
      </c>
      <c r="E375" s="338">
        <v>49.69</v>
      </c>
      <c r="F375" s="337">
        <v>1108.67</v>
      </c>
      <c r="G375" s="338">
        <v>6.2</v>
      </c>
      <c r="H375" s="337">
        <v>75237.72</v>
      </c>
      <c r="I375" s="475">
        <v>921.65</v>
      </c>
      <c r="J375" s="475">
        <v>33493.699999999997</v>
      </c>
      <c r="K375" s="338">
        <v>108.55</v>
      </c>
      <c r="L375" s="337">
        <v>6490.18</v>
      </c>
      <c r="M375" s="475">
        <v>19.05</v>
      </c>
      <c r="N375" s="475">
        <v>34101.699999999997</v>
      </c>
      <c r="O375" s="475">
        <v>29.6</v>
      </c>
      <c r="P375" s="475">
        <v>724.24</v>
      </c>
      <c r="Q375" s="475">
        <v>847</v>
      </c>
      <c r="R375" s="475">
        <v>10759.04</v>
      </c>
      <c r="S375" s="475">
        <v>9.0399999999999991</v>
      </c>
      <c r="T375" s="475">
        <v>37188</v>
      </c>
      <c r="U375" s="475">
        <v>69</v>
      </c>
      <c r="V375" s="475"/>
      <c r="W375" s="475"/>
      <c r="X375" s="475">
        <v>7741.25</v>
      </c>
      <c r="Y375" s="475">
        <v>0</v>
      </c>
      <c r="Z375" s="475"/>
      <c r="AA375" s="338"/>
      <c r="AB375" s="475">
        <v>189.1</v>
      </c>
      <c r="AC375" s="476">
        <v>0.3</v>
      </c>
      <c r="AD375" s="475"/>
      <c r="AE375" s="338"/>
      <c r="AF375" s="505">
        <v>36.590000000000003</v>
      </c>
      <c r="AG375" s="476">
        <v>5.32</v>
      </c>
      <c r="AH375" s="505"/>
      <c r="AI375" s="476"/>
      <c r="AJ375" s="505"/>
      <c r="AK375" s="476"/>
    </row>
    <row r="376" spans="1:37">
      <c r="A376" s="492">
        <f t="shared" si="23"/>
        <v>45745</v>
      </c>
      <c r="B376" s="102" t="s">
        <v>1197</v>
      </c>
      <c r="C376" s="110" t="str">
        <f t="shared" si="22"/>
        <v>45745 1200H</v>
      </c>
      <c r="D376" s="471">
        <v>1886.88</v>
      </c>
      <c r="E376" s="472">
        <v>49.69</v>
      </c>
      <c r="F376" s="471">
        <v>1108.67</v>
      </c>
      <c r="G376" s="472">
        <v>6.2</v>
      </c>
      <c r="H376" s="471">
        <v>75240.95</v>
      </c>
      <c r="I376" s="473">
        <v>921.94</v>
      </c>
      <c r="J376" s="473">
        <v>33494.620000000003</v>
      </c>
      <c r="K376" s="472">
        <v>108.59</v>
      </c>
      <c r="L376" s="471">
        <v>6495.88</v>
      </c>
      <c r="M376" s="473">
        <v>19.05</v>
      </c>
      <c r="N376" s="473">
        <v>34105.800000000003</v>
      </c>
      <c r="O376" s="473">
        <v>29.6</v>
      </c>
      <c r="P376" s="473">
        <v>724.6</v>
      </c>
      <c r="Q376" s="473">
        <v>847.88</v>
      </c>
      <c r="R376" s="473">
        <v>10763.07</v>
      </c>
      <c r="S376" s="473">
        <v>9.0399999999999991</v>
      </c>
      <c r="T376" s="473">
        <v>37195</v>
      </c>
      <c r="U376" s="473">
        <v>69</v>
      </c>
      <c r="V376" s="473"/>
      <c r="W376" s="473"/>
      <c r="X376" s="473">
        <v>7747.18</v>
      </c>
      <c r="Y376" s="473">
        <v>0</v>
      </c>
      <c r="Z376" s="473"/>
      <c r="AA376" s="472"/>
      <c r="AB376" s="473">
        <v>192.88</v>
      </c>
      <c r="AC376" s="474">
        <v>0.31</v>
      </c>
      <c r="AD376" s="473"/>
      <c r="AE376" s="472"/>
      <c r="AF376" s="506">
        <v>36.979999999999997</v>
      </c>
      <c r="AG376" s="474">
        <v>5.36</v>
      </c>
      <c r="AH376" s="506"/>
      <c r="AI376" s="474"/>
      <c r="AJ376" s="506"/>
      <c r="AK376" s="474"/>
    </row>
    <row r="377" spans="1:37">
      <c r="A377" s="492">
        <f t="shared" si="23"/>
        <v>45746</v>
      </c>
      <c r="B377" s="102" t="s">
        <v>3267</v>
      </c>
      <c r="C377" s="110" t="str">
        <f t="shared" si="22"/>
        <v>45746 0000H</v>
      </c>
      <c r="D377" s="337">
        <v>1892.72</v>
      </c>
      <c r="E377" s="338">
        <v>49.69</v>
      </c>
      <c r="F377" s="337">
        <v>1108.67</v>
      </c>
      <c r="G377" s="338">
        <v>6.2</v>
      </c>
      <c r="H377" s="337">
        <v>75250.25</v>
      </c>
      <c r="I377" s="475">
        <v>921.96</v>
      </c>
      <c r="J377" s="475">
        <v>33495.51</v>
      </c>
      <c r="K377" s="338">
        <v>109.63</v>
      </c>
      <c r="L377" s="337">
        <v>6501.69</v>
      </c>
      <c r="M377" s="475">
        <v>19.05</v>
      </c>
      <c r="N377" s="475">
        <v>34109.5</v>
      </c>
      <c r="O377" s="475">
        <v>29.6</v>
      </c>
      <c r="P377" s="475">
        <v>724.2</v>
      </c>
      <c r="Q377" s="475">
        <v>848.83</v>
      </c>
      <c r="R377" s="475">
        <v>10767.7</v>
      </c>
      <c r="S377" s="475">
        <v>9.0399999999999991</v>
      </c>
      <c r="T377" s="475">
        <v>37203</v>
      </c>
      <c r="U377" s="475">
        <v>69</v>
      </c>
      <c r="V377" s="475"/>
      <c r="W377" s="475"/>
      <c r="X377" s="475">
        <v>7754.16</v>
      </c>
      <c r="Y377" s="475">
        <v>0</v>
      </c>
      <c r="Z377" s="475"/>
      <c r="AA377" s="338"/>
      <c r="AB377" s="475">
        <v>197.44</v>
      </c>
      <c r="AC377" s="476">
        <v>0.32</v>
      </c>
      <c r="AD377" s="475"/>
      <c r="AE377" s="338"/>
      <c r="AF377" s="505">
        <v>37.29</v>
      </c>
      <c r="AG377" s="476">
        <v>5.42</v>
      </c>
      <c r="AH377" s="505"/>
      <c r="AI377" s="476"/>
      <c r="AJ377" s="505"/>
      <c r="AK377" s="476"/>
    </row>
    <row r="378" spans="1:37">
      <c r="A378" s="492">
        <f t="shared" si="23"/>
        <v>45746</v>
      </c>
      <c r="B378" s="102" t="s">
        <v>1197</v>
      </c>
      <c r="C378" s="110" t="str">
        <f t="shared" si="22"/>
        <v>45746 1200H</v>
      </c>
      <c r="D378" s="471">
        <v>1896.63</v>
      </c>
      <c r="E378" s="472">
        <v>49.69</v>
      </c>
      <c r="F378" s="471">
        <v>1108.67</v>
      </c>
      <c r="G378" s="472">
        <v>6.2</v>
      </c>
      <c r="H378" s="471">
        <v>75252.42</v>
      </c>
      <c r="I378" s="473">
        <v>922.3</v>
      </c>
      <c r="J378" s="473">
        <v>33495.64</v>
      </c>
      <c r="K378" s="472">
        <v>108.68</v>
      </c>
      <c r="L378" s="471">
        <v>6507.37</v>
      </c>
      <c r="M378" s="473">
        <v>19.05</v>
      </c>
      <c r="N378" s="473">
        <v>34113.300000000003</v>
      </c>
      <c r="O378" s="473">
        <v>29.6</v>
      </c>
      <c r="P378" s="473">
        <v>725.02</v>
      </c>
      <c r="Q378" s="473">
        <v>849.04</v>
      </c>
      <c r="R378" s="473">
        <v>10771.12</v>
      </c>
      <c r="S378" s="473">
        <v>9.0399999999999991</v>
      </c>
      <c r="T378" s="473">
        <v>37209</v>
      </c>
      <c r="U378" s="473">
        <v>69</v>
      </c>
      <c r="V378" s="473"/>
      <c r="W378" s="473"/>
      <c r="X378" s="473">
        <v>7760.96</v>
      </c>
      <c r="Y378" s="473">
        <v>0</v>
      </c>
      <c r="Z378" s="473"/>
      <c r="AA378" s="472"/>
      <c r="AB378" s="473">
        <v>205.71</v>
      </c>
      <c r="AC378" s="474">
        <v>0.32</v>
      </c>
      <c r="AD378" s="473"/>
      <c r="AE378" s="472"/>
      <c r="AF378" s="506">
        <v>37.29</v>
      </c>
      <c r="AG378" s="474">
        <v>5.42</v>
      </c>
      <c r="AH378" s="506"/>
      <c r="AI378" s="474"/>
      <c r="AJ378" s="506"/>
      <c r="AK378" s="474"/>
    </row>
    <row r="379" spans="1:37">
      <c r="A379" s="492">
        <f t="shared" si="23"/>
        <v>45747</v>
      </c>
      <c r="B379" s="102" t="s">
        <v>3267</v>
      </c>
      <c r="C379" s="110" t="str">
        <f t="shared" si="22"/>
        <v>45747 0000H</v>
      </c>
      <c r="D379" s="337">
        <v>1901.55</v>
      </c>
      <c r="E379" s="338">
        <v>49.69</v>
      </c>
      <c r="F379" s="337">
        <v>1108.67</v>
      </c>
      <c r="G379" s="338">
        <v>6.2</v>
      </c>
      <c r="H379" s="337">
        <v>75262.100000000006</v>
      </c>
      <c r="I379" s="475">
        <v>922.31</v>
      </c>
      <c r="J379" s="475">
        <v>33498.839999999997</v>
      </c>
      <c r="K379" s="338">
        <v>108.69</v>
      </c>
      <c r="L379" s="337">
        <v>6513.14</v>
      </c>
      <c r="M379" s="475">
        <v>19.05</v>
      </c>
      <c r="N379" s="475">
        <v>34116.9</v>
      </c>
      <c r="O379" s="475">
        <v>29.6</v>
      </c>
      <c r="P379" s="475">
        <v>725.28</v>
      </c>
      <c r="Q379" s="475">
        <v>849.94</v>
      </c>
      <c r="R379" s="475">
        <v>10776.1</v>
      </c>
      <c r="S379" s="475">
        <v>9.0399999999999991</v>
      </c>
      <c r="T379" s="475">
        <v>37217</v>
      </c>
      <c r="U379" s="475">
        <v>69</v>
      </c>
      <c r="V379" s="475"/>
      <c r="W379" s="475"/>
      <c r="X379" s="475">
        <v>7768.22</v>
      </c>
      <c r="Y379" s="475">
        <v>0</v>
      </c>
      <c r="Z379" s="475"/>
      <c r="AA379" s="338"/>
      <c r="AB379" s="475">
        <v>210.45</v>
      </c>
      <c r="AC379" s="476">
        <v>0.33</v>
      </c>
      <c r="AD379" s="475"/>
      <c r="AE379" s="338"/>
      <c r="AF379" s="505">
        <v>37.29</v>
      </c>
      <c r="AG379" s="476">
        <v>5.54</v>
      </c>
      <c r="AH379" s="505"/>
      <c r="AI379" s="476"/>
      <c r="AJ379" s="505"/>
      <c r="AK379" s="476"/>
    </row>
    <row r="380" spans="1:37">
      <c r="A380" s="492">
        <f t="shared" si="23"/>
        <v>45747</v>
      </c>
      <c r="B380" s="102" t="s">
        <v>1197</v>
      </c>
      <c r="C380" s="110" t="str">
        <f t="shared" si="22"/>
        <v>45747 1200H</v>
      </c>
      <c r="D380" s="471">
        <v>1905.45</v>
      </c>
      <c r="E380" s="472">
        <v>49.69</v>
      </c>
      <c r="F380" s="471">
        <v>1108.67</v>
      </c>
      <c r="G380" s="472">
        <v>6.2</v>
      </c>
      <c r="H380" s="471">
        <v>75265.23</v>
      </c>
      <c r="I380" s="473">
        <v>922.63</v>
      </c>
      <c r="J380" s="473">
        <v>33499.800000000003</v>
      </c>
      <c r="K380" s="472">
        <v>108.73</v>
      </c>
      <c r="L380" s="471">
        <v>6518.8</v>
      </c>
      <c r="M380" s="473">
        <v>19.05</v>
      </c>
      <c r="N380" s="473">
        <v>34120.6</v>
      </c>
      <c r="O380" s="473">
        <v>29.6</v>
      </c>
      <c r="P380" s="473">
        <v>726.16</v>
      </c>
      <c r="Q380" s="473">
        <v>850.14</v>
      </c>
      <c r="R380" s="473">
        <v>10779.93</v>
      </c>
      <c r="S380" s="473">
        <v>9.0399999999999991</v>
      </c>
      <c r="T380" s="473">
        <v>37223</v>
      </c>
      <c r="U380" s="473">
        <v>69</v>
      </c>
      <c r="V380" s="473"/>
      <c r="W380" s="473"/>
      <c r="X380" s="473">
        <v>7774.94</v>
      </c>
      <c r="Y380" s="473">
        <v>0</v>
      </c>
      <c r="Z380" s="473"/>
      <c r="AA380" s="472"/>
      <c r="AB380" s="473">
        <v>219.04</v>
      </c>
      <c r="AC380" s="474">
        <v>0.33</v>
      </c>
      <c r="AD380" s="473"/>
      <c r="AE380" s="472"/>
      <c r="AF380" s="506">
        <v>37.29</v>
      </c>
      <c r="AG380" s="474">
        <v>5.63</v>
      </c>
      <c r="AH380" s="506"/>
      <c r="AI380" s="474"/>
      <c r="AJ380" s="506"/>
      <c r="AK380" s="474"/>
    </row>
    <row r="381" spans="1:37">
      <c r="A381" s="492">
        <f t="shared" si="23"/>
        <v>45748</v>
      </c>
      <c r="B381" s="102" t="s">
        <v>3267</v>
      </c>
      <c r="C381" s="110" t="str">
        <f t="shared" si="22"/>
        <v>45748 0000H</v>
      </c>
      <c r="D381" s="337">
        <v>1911.58</v>
      </c>
      <c r="E381" s="338">
        <v>49.69</v>
      </c>
      <c r="F381" s="337">
        <v>1108.67</v>
      </c>
      <c r="G381" s="338">
        <v>6.2</v>
      </c>
      <c r="H381" s="337">
        <v>75274.13</v>
      </c>
      <c r="I381" s="475">
        <v>922.65</v>
      </c>
      <c r="J381" s="475">
        <v>33503.33</v>
      </c>
      <c r="K381" s="338">
        <v>108.73</v>
      </c>
      <c r="L381" s="337">
        <v>6524.57</v>
      </c>
      <c r="M381" s="475">
        <v>19.05</v>
      </c>
      <c r="N381" s="475">
        <v>34124</v>
      </c>
      <c r="O381" s="475">
        <v>29.6</v>
      </c>
      <c r="P381" s="475">
        <v>726.32</v>
      </c>
      <c r="Q381" s="475">
        <v>850.62</v>
      </c>
      <c r="R381" s="475">
        <v>10784.48</v>
      </c>
      <c r="S381" s="475">
        <v>9.0399999999999991</v>
      </c>
      <c r="T381" s="475">
        <v>37231</v>
      </c>
      <c r="U381" s="475">
        <v>69</v>
      </c>
      <c r="V381" s="475"/>
      <c r="W381" s="475"/>
      <c r="X381" s="475">
        <v>7782.34</v>
      </c>
      <c r="Y381" s="475">
        <v>0</v>
      </c>
      <c r="Z381" s="475"/>
      <c r="AA381" s="338"/>
      <c r="AB381" s="475">
        <v>225.71</v>
      </c>
      <c r="AC381" s="476">
        <v>0.33</v>
      </c>
      <c r="AD381" s="475"/>
      <c r="AE381" s="338"/>
      <c r="AF381" s="505">
        <v>37.909999999999997</v>
      </c>
      <c r="AG381" s="476">
        <v>5.68</v>
      </c>
      <c r="AH381" s="505"/>
      <c r="AI381" s="476"/>
      <c r="AJ381" s="505"/>
      <c r="AK381" s="476"/>
    </row>
    <row r="382" spans="1:37">
      <c r="A382" s="492">
        <f t="shared" si="23"/>
        <v>45748</v>
      </c>
      <c r="B382" s="102" t="s">
        <v>1197</v>
      </c>
      <c r="C382" s="110" t="str">
        <f t="shared" si="22"/>
        <v>45748 1200H</v>
      </c>
      <c r="D382" s="471">
        <v>1915.42</v>
      </c>
      <c r="E382" s="472">
        <v>49.69</v>
      </c>
      <c r="F382" s="471">
        <v>1108.67</v>
      </c>
      <c r="G382" s="472">
        <v>6.2</v>
      </c>
      <c r="H382" s="471">
        <v>75278.649999999994</v>
      </c>
      <c r="I382" s="473">
        <v>922.91</v>
      </c>
      <c r="J382" s="473">
        <v>33504.31</v>
      </c>
      <c r="K382" s="472">
        <v>108.77</v>
      </c>
      <c r="L382" s="471">
        <v>6530.31</v>
      </c>
      <c r="M382" s="473">
        <v>19.05</v>
      </c>
      <c r="N382" s="473">
        <v>34127.800000000003</v>
      </c>
      <c r="O382" s="473">
        <v>29.6</v>
      </c>
      <c r="P382" s="473">
        <v>726.41</v>
      </c>
      <c r="Q382" s="473">
        <v>851.27</v>
      </c>
      <c r="R382" s="473">
        <v>10788.21</v>
      </c>
      <c r="S382" s="473">
        <v>9.0399999999999991</v>
      </c>
      <c r="T382" s="473">
        <v>37237</v>
      </c>
      <c r="U382" s="473">
        <v>69</v>
      </c>
      <c r="V382" s="473"/>
      <c r="W382" s="473"/>
      <c r="X382" s="473">
        <v>7788.58</v>
      </c>
      <c r="Y382" s="473">
        <v>0</v>
      </c>
      <c r="Z382" s="473"/>
      <c r="AA382" s="472"/>
      <c r="AB382" s="473">
        <v>225.71</v>
      </c>
      <c r="AC382" s="474">
        <v>0.33</v>
      </c>
      <c r="AD382" s="473"/>
      <c r="AE382" s="472"/>
      <c r="AF382" s="506">
        <v>37.909999999999997</v>
      </c>
      <c r="AG382" s="474">
        <v>5.68</v>
      </c>
      <c r="AH382" s="506"/>
      <c r="AI382" s="474"/>
      <c r="AJ382" s="506"/>
      <c r="AK382" s="474"/>
    </row>
    <row r="383" spans="1:37">
      <c r="A383" s="492">
        <f t="shared" si="23"/>
        <v>45749</v>
      </c>
      <c r="B383" s="102" t="s">
        <v>3267</v>
      </c>
      <c r="C383" s="110" t="str">
        <f t="shared" si="22"/>
        <v>45749 0000H</v>
      </c>
      <c r="D383" s="337">
        <v>1921.4</v>
      </c>
      <c r="E383" s="338">
        <v>49.69</v>
      </c>
      <c r="F383" s="337">
        <v>1108.67</v>
      </c>
      <c r="G383" s="338">
        <v>6.2</v>
      </c>
      <c r="H383" s="337">
        <v>75291.38</v>
      </c>
      <c r="I383" s="475">
        <v>922.91</v>
      </c>
      <c r="J383" s="475">
        <v>33508.18</v>
      </c>
      <c r="K383" s="338">
        <v>108.77</v>
      </c>
      <c r="L383" s="337">
        <v>6535.95</v>
      </c>
      <c r="M383" s="475">
        <v>19.05</v>
      </c>
      <c r="N383" s="475">
        <v>34131.199999999997</v>
      </c>
      <c r="O383" s="475">
        <v>29.6</v>
      </c>
      <c r="P383" s="475">
        <v>726.41</v>
      </c>
      <c r="Q383" s="475">
        <v>853.05</v>
      </c>
      <c r="R383" s="475">
        <v>10793.02</v>
      </c>
      <c r="S383" s="475">
        <v>9.0399999999999991</v>
      </c>
      <c r="T383" s="475">
        <v>37245</v>
      </c>
      <c r="U383" s="475">
        <v>69</v>
      </c>
      <c r="V383" s="475"/>
      <c r="W383" s="475"/>
      <c r="X383" s="475">
        <v>7796.37</v>
      </c>
      <c r="Y383" s="475">
        <v>0</v>
      </c>
      <c r="Z383" s="475"/>
      <c r="AA383" s="338"/>
      <c r="AB383" s="475">
        <v>225.71</v>
      </c>
      <c r="AC383" s="476">
        <v>0.33</v>
      </c>
      <c r="AD383" s="475"/>
      <c r="AE383" s="338"/>
      <c r="AF383" s="505">
        <v>37.93</v>
      </c>
      <c r="AG383" s="476">
        <v>5.84</v>
      </c>
      <c r="AH383" s="505"/>
      <c r="AI383" s="476"/>
      <c r="AJ383" s="505"/>
      <c r="AK383" s="476"/>
    </row>
    <row r="384" spans="1:37">
      <c r="A384" s="492">
        <f t="shared" si="23"/>
        <v>45749</v>
      </c>
      <c r="B384" s="102" t="s">
        <v>1197</v>
      </c>
      <c r="C384" s="110" t="str">
        <f t="shared" si="22"/>
        <v>45749 1200H</v>
      </c>
      <c r="D384" s="471">
        <v>1926.06</v>
      </c>
      <c r="E384" s="472">
        <v>49.69</v>
      </c>
      <c r="F384" s="471">
        <v>1108.67</v>
      </c>
      <c r="G384" s="472">
        <v>6.2</v>
      </c>
      <c r="H384" s="471">
        <v>75296.72</v>
      </c>
      <c r="I384" s="473">
        <v>923.19</v>
      </c>
      <c r="J384" s="473">
        <v>33510.85</v>
      </c>
      <c r="K384" s="472">
        <v>108.79</v>
      </c>
      <c r="L384" s="471">
        <v>6541.57</v>
      </c>
      <c r="M384" s="473">
        <v>19.05</v>
      </c>
      <c r="N384" s="473">
        <v>34134.5</v>
      </c>
      <c r="O384" s="473">
        <v>29.6</v>
      </c>
      <c r="P384" s="473">
        <v>726.42</v>
      </c>
      <c r="Q384" s="473">
        <v>854.44</v>
      </c>
      <c r="R384" s="473">
        <v>10796.84</v>
      </c>
      <c r="S384" s="473">
        <v>9.0399999999999991</v>
      </c>
      <c r="T384" s="473">
        <v>37252</v>
      </c>
      <c r="U384" s="473">
        <v>69</v>
      </c>
      <c r="V384" s="473"/>
      <c r="W384" s="473"/>
      <c r="X384" s="473">
        <v>7802.94</v>
      </c>
      <c r="Y384" s="473">
        <v>0</v>
      </c>
      <c r="Z384" s="473"/>
      <c r="AA384" s="472"/>
      <c r="AB384" s="473">
        <v>225.71</v>
      </c>
      <c r="AC384" s="474">
        <v>0.33</v>
      </c>
      <c r="AD384" s="473"/>
      <c r="AE384" s="472"/>
      <c r="AF384" s="506">
        <v>37.93</v>
      </c>
      <c r="AG384" s="474">
        <v>5.9</v>
      </c>
      <c r="AH384" s="506"/>
      <c r="AI384" s="474"/>
      <c r="AJ384" s="506"/>
      <c r="AK384" s="474"/>
    </row>
    <row r="385" spans="1:37">
      <c r="A385" s="492">
        <f t="shared" si="23"/>
        <v>45750</v>
      </c>
      <c r="B385" s="102" t="s">
        <v>3267</v>
      </c>
      <c r="C385" s="110" t="str">
        <f t="shared" si="22"/>
        <v>45750 0000H</v>
      </c>
      <c r="D385" s="337">
        <v>1932.27</v>
      </c>
      <c r="E385" s="338">
        <v>49.69</v>
      </c>
      <c r="F385" s="337">
        <v>1108.67</v>
      </c>
      <c r="G385" s="338">
        <v>6.2</v>
      </c>
      <c r="H385" s="337">
        <v>75312.259999999995</v>
      </c>
      <c r="I385" s="475">
        <v>923.19</v>
      </c>
      <c r="J385" s="475">
        <v>33514.699999999997</v>
      </c>
      <c r="K385" s="338">
        <v>108.79</v>
      </c>
      <c r="L385" s="337">
        <v>6547.29</v>
      </c>
      <c r="M385" s="475">
        <v>19.05</v>
      </c>
      <c r="N385" s="475">
        <v>34138</v>
      </c>
      <c r="O385" s="475">
        <v>29.6</v>
      </c>
      <c r="P385" s="475">
        <v>726.42</v>
      </c>
      <c r="Q385" s="475">
        <v>856.18</v>
      </c>
      <c r="R385" s="475">
        <v>10801.69</v>
      </c>
      <c r="S385" s="475">
        <v>9.0399999999999991</v>
      </c>
      <c r="T385" s="475">
        <v>37260</v>
      </c>
      <c r="U385" s="475">
        <v>69</v>
      </c>
      <c r="V385" s="475"/>
      <c r="W385" s="475"/>
      <c r="X385" s="475">
        <v>7810.01</v>
      </c>
      <c r="Y385" s="475">
        <v>0</v>
      </c>
      <c r="Z385" s="475"/>
      <c r="AA385" s="338"/>
      <c r="AB385" s="475">
        <v>225.71</v>
      </c>
      <c r="AC385" s="476">
        <v>0.33</v>
      </c>
      <c r="AD385" s="475"/>
      <c r="AE385" s="338"/>
      <c r="AF385" s="505">
        <v>40.700000000000003</v>
      </c>
      <c r="AG385" s="476">
        <v>5.92</v>
      </c>
      <c r="AH385" s="505"/>
      <c r="AI385" s="476"/>
      <c r="AJ385" s="505"/>
      <c r="AK385" s="476"/>
    </row>
    <row r="386" spans="1:37">
      <c r="A386" s="492">
        <f t="shared" si="23"/>
        <v>45750</v>
      </c>
      <c r="B386" s="102" t="s">
        <v>1197</v>
      </c>
      <c r="C386" s="110" t="str">
        <f t="shared" si="22"/>
        <v>45750 1200H</v>
      </c>
      <c r="D386" s="471">
        <v>1937.48</v>
      </c>
      <c r="E386" s="472">
        <v>49.69</v>
      </c>
      <c r="F386" s="471">
        <v>1108.67</v>
      </c>
      <c r="G386" s="472">
        <v>6.2</v>
      </c>
      <c r="H386" s="471">
        <v>75318.41</v>
      </c>
      <c r="I386" s="473">
        <v>923.44</v>
      </c>
      <c r="J386" s="473">
        <v>33516.65</v>
      </c>
      <c r="K386" s="472">
        <v>108.82</v>
      </c>
      <c r="L386" s="471">
        <v>6552.9</v>
      </c>
      <c r="M386" s="473">
        <v>19.05</v>
      </c>
      <c r="N386" s="473">
        <v>34141.4</v>
      </c>
      <c r="O386" s="473">
        <v>29.6</v>
      </c>
      <c r="P386" s="473">
        <v>726.48</v>
      </c>
      <c r="Q386" s="473">
        <v>857.33</v>
      </c>
      <c r="R386" s="473">
        <v>10805.64</v>
      </c>
      <c r="S386" s="473">
        <v>9.0399999999999991</v>
      </c>
      <c r="T386" s="473">
        <v>37267</v>
      </c>
      <c r="U386" s="473">
        <v>69</v>
      </c>
      <c r="V386" s="473"/>
      <c r="W386" s="473"/>
      <c r="X386" s="473">
        <v>7816.18</v>
      </c>
      <c r="Y386" s="473">
        <v>0</v>
      </c>
      <c r="Z386" s="473"/>
      <c r="AA386" s="472"/>
      <c r="AB386" s="473">
        <v>225.71</v>
      </c>
      <c r="AC386" s="474">
        <v>0.33</v>
      </c>
      <c r="AD386" s="473"/>
      <c r="AE386" s="472"/>
      <c r="AF386" s="506">
        <v>40.700000000000003</v>
      </c>
      <c r="AG386" s="474">
        <v>5.92</v>
      </c>
      <c r="AH386" s="506"/>
      <c r="AI386" s="474"/>
      <c r="AJ386" s="506"/>
      <c r="AK386" s="474"/>
    </row>
    <row r="387" spans="1:37">
      <c r="A387" s="492">
        <f t="shared" si="23"/>
        <v>45751</v>
      </c>
      <c r="B387" s="102" t="s">
        <v>3267</v>
      </c>
      <c r="C387" s="110" t="str">
        <f t="shared" si="22"/>
        <v>45751 0000H</v>
      </c>
      <c r="D387" s="337">
        <v>1943.39</v>
      </c>
      <c r="E387" s="338">
        <v>49.69</v>
      </c>
      <c r="F387" s="337">
        <v>1108.67</v>
      </c>
      <c r="G387" s="338">
        <v>6.2</v>
      </c>
      <c r="H387" s="337">
        <v>75332.62</v>
      </c>
      <c r="I387" s="475">
        <v>923.44</v>
      </c>
      <c r="J387" s="475">
        <v>33520.32</v>
      </c>
      <c r="K387" s="338">
        <v>108.82</v>
      </c>
      <c r="L387" s="337">
        <v>6558.69</v>
      </c>
      <c r="M387" s="475">
        <v>19.05</v>
      </c>
      <c r="N387" s="475">
        <v>34145.4</v>
      </c>
      <c r="O387" s="475">
        <v>29.6</v>
      </c>
      <c r="P387" s="475">
        <v>728.08</v>
      </c>
      <c r="Q387" s="475">
        <v>857.6</v>
      </c>
      <c r="R387" s="475">
        <v>10810.57</v>
      </c>
      <c r="S387" s="475">
        <v>9.0399999999999991</v>
      </c>
      <c r="T387" s="475">
        <v>37276</v>
      </c>
      <c r="U387" s="475">
        <v>69</v>
      </c>
      <c r="V387" s="475"/>
      <c r="W387" s="475"/>
      <c r="X387" s="475">
        <v>7823.24</v>
      </c>
      <c r="Y387" s="475">
        <v>0</v>
      </c>
      <c r="Z387" s="475"/>
      <c r="AA387" s="338"/>
      <c r="AB387" s="475">
        <v>225.71</v>
      </c>
      <c r="AC387" s="476">
        <v>0.33</v>
      </c>
      <c r="AD387" s="475"/>
      <c r="AE387" s="338"/>
      <c r="AF387" s="505">
        <v>41.08</v>
      </c>
      <c r="AG387" s="476">
        <v>6.05</v>
      </c>
      <c r="AH387" s="505"/>
      <c r="AI387" s="476"/>
      <c r="AJ387" s="505"/>
      <c r="AK387" s="476"/>
    </row>
    <row r="388" spans="1:37">
      <c r="A388" s="492">
        <f t="shared" si="23"/>
        <v>45751</v>
      </c>
      <c r="B388" s="102" t="s">
        <v>1197</v>
      </c>
      <c r="C388" s="110" t="str">
        <f t="shared" si="22"/>
        <v>45751 1200H</v>
      </c>
      <c r="D388" s="471">
        <v>1948.36</v>
      </c>
      <c r="E388" s="472">
        <v>49.69</v>
      </c>
      <c r="F388" s="471">
        <v>1108.67</v>
      </c>
      <c r="G388" s="472">
        <v>6.2</v>
      </c>
      <c r="H388" s="471">
        <v>75338.509999999995</v>
      </c>
      <c r="I388" s="473">
        <v>923.7</v>
      </c>
      <c r="J388" s="473">
        <v>33522.19</v>
      </c>
      <c r="K388" s="472">
        <v>108.85</v>
      </c>
      <c r="L388" s="471">
        <v>6564.46</v>
      </c>
      <c r="M388" s="473">
        <v>19.05</v>
      </c>
      <c r="N388" s="473">
        <v>34150</v>
      </c>
      <c r="O388" s="473">
        <v>29.6</v>
      </c>
      <c r="P388" s="473">
        <v>729.06</v>
      </c>
      <c r="Q388" s="473">
        <v>858.32</v>
      </c>
      <c r="R388" s="473">
        <v>10814.81</v>
      </c>
      <c r="S388" s="473">
        <v>9.0399999999999991</v>
      </c>
      <c r="T388" s="473">
        <v>37283</v>
      </c>
      <c r="U388" s="473">
        <v>69</v>
      </c>
      <c r="V388" s="473"/>
      <c r="W388" s="473"/>
      <c r="X388" s="473">
        <v>7829.56</v>
      </c>
      <c r="Y388" s="473">
        <v>0</v>
      </c>
      <c r="Z388" s="473"/>
      <c r="AA388" s="472"/>
      <c r="AB388" s="473">
        <v>226.8</v>
      </c>
      <c r="AC388" s="474">
        <v>0.36</v>
      </c>
      <c r="AD388" s="473"/>
      <c r="AE388" s="472"/>
      <c r="AF388" s="506">
        <v>41.25</v>
      </c>
      <c r="AG388" s="474">
        <v>6.1</v>
      </c>
      <c r="AH388" s="506"/>
      <c r="AI388" s="474"/>
      <c r="AJ388" s="506"/>
      <c r="AK388" s="474"/>
    </row>
    <row r="389" spans="1:37">
      <c r="A389" s="492">
        <f t="shared" si="23"/>
        <v>45752</v>
      </c>
      <c r="B389" s="102" t="s">
        <v>3267</v>
      </c>
      <c r="C389" s="110" t="str">
        <f t="shared" si="22"/>
        <v>45752 0000H</v>
      </c>
      <c r="D389" s="337">
        <v>1953.45</v>
      </c>
      <c r="E389" s="338">
        <v>49.69</v>
      </c>
      <c r="F389" s="337">
        <v>1108.67</v>
      </c>
      <c r="G389" s="338">
        <v>6.2</v>
      </c>
      <c r="H389" s="337">
        <v>75354.86</v>
      </c>
      <c r="I389" s="475">
        <v>923.7</v>
      </c>
      <c r="J389" s="475">
        <v>33526.14</v>
      </c>
      <c r="K389" s="338">
        <v>108.85</v>
      </c>
      <c r="L389" s="337">
        <v>6570.19</v>
      </c>
      <c r="M389" s="475">
        <v>19.05</v>
      </c>
      <c r="N389" s="475">
        <v>34154.1</v>
      </c>
      <c r="O389" s="475">
        <v>29.6</v>
      </c>
      <c r="P389" s="475">
        <v>730.51</v>
      </c>
      <c r="Q389" s="475">
        <v>858.99</v>
      </c>
      <c r="R389" s="475">
        <v>10819.61</v>
      </c>
      <c r="S389" s="475">
        <v>9.0399999999999991</v>
      </c>
      <c r="T389" s="475">
        <v>37291</v>
      </c>
      <c r="U389" s="475">
        <v>69</v>
      </c>
      <c r="V389" s="475"/>
      <c r="W389" s="475"/>
      <c r="X389" s="475">
        <v>7836.93</v>
      </c>
      <c r="Y389" s="475">
        <v>0</v>
      </c>
      <c r="Z389" s="475"/>
      <c r="AA389" s="338"/>
      <c r="AB389" s="475">
        <v>227.63</v>
      </c>
      <c r="AC389" s="476">
        <v>0.36</v>
      </c>
      <c r="AD389" s="475"/>
      <c r="AE389" s="338"/>
      <c r="AF389" s="505">
        <v>42.52</v>
      </c>
      <c r="AG389" s="476">
        <v>6.18</v>
      </c>
      <c r="AH389" s="505"/>
      <c r="AI389" s="476"/>
      <c r="AJ389" s="505"/>
      <c r="AK389" s="476"/>
    </row>
    <row r="390" spans="1:37">
      <c r="A390" s="492">
        <f t="shared" si="23"/>
        <v>45752</v>
      </c>
      <c r="B390" s="102" t="s">
        <v>1197</v>
      </c>
      <c r="C390" s="110" t="str">
        <f t="shared" si="22"/>
        <v>45752 1200H</v>
      </c>
      <c r="D390" s="471">
        <v>1958.78</v>
      </c>
      <c r="E390" s="472">
        <v>49.69</v>
      </c>
      <c r="F390" s="471">
        <v>1108.67</v>
      </c>
      <c r="G390" s="472">
        <v>6.2</v>
      </c>
      <c r="H390" s="471">
        <v>75361.16</v>
      </c>
      <c r="I390" s="473">
        <v>923.95</v>
      </c>
      <c r="J390" s="473">
        <v>33527.26</v>
      </c>
      <c r="K390" s="472">
        <v>108.89</v>
      </c>
      <c r="L390" s="471">
        <v>6575.82</v>
      </c>
      <c r="M390" s="473">
        <v>19.05</v>
      </c>
      <c r="N390" s="473">
        <v>34157.599999999999</v>
      </c>
      <c r="O390" s="473">
        <v>29.6</v>
      </c>
      <c r="P390" s="473">
        <v>730.55</v>
      </c>
      <c r="Q390" s="473">
        <v>860.37</v>
      </c>
      <c r="R390" s="473">
        <v>10823.74</v>
      </c>
      <c r="S390" s="473">
        <v>9.0399999999999991</v>
      </c>
      <c r="T390" s="473">
        <v>37297</v>
      </c>
      <c r="U390" s="473">
        <v>69</v>
      </c>
      <c r="V390" s="473"/>
      <c r="W390" s="473"/>
      <c r="X390" s="473">
        <v>7843.04</v>
      </c>
      <c r="Y390" s="473">
        <v>0</v>
      </c>
      <c r="Z390" s="473"/>
      <c r="AA390" s="472"/>
      <c r="AB390" s="473">
        <v>227.63</v>
      </c>
      <c r="AC390" s="474">
        <v>0.36</v>
      </c>
      <c r="AD390" s="473"/>
      <c r="AE390" s="472"/>
      <c r="AF390" s="506">
        <v>42.52</v>
      </c>
      <c r="AG390" s="474">
        <v>6.18</v>
      </c>
      <c r="AH390" s="506"/>
      <c r="AI390" s="474"/>
      <c r="AJ390" s="506"/>
      <c r="AK390" s="474"/>
    </row>
    <row r="391" spans="1:37">
      <c r="A391" s="492">
        <f t="shared" si="23"/>
        <v>45753</v>
      </c>
      <c r="B391" s="102" t="s">
        <v>3267</v>
      </c>
      <c r="C391" s="110" t="str">
        <f t="shared" si="22"/>
        <v>45753 0000H</v>
      </c>
      <c r="D391" s="337">
        <v>1964.58</v>
      </c>
      <c r="E391" s="338">
        <v>49.69</v>
      </c>
      <c r="F391" s="337">
        <v>1108.67</v>
      </c>
      <c r="G391" s="338">
        <v>6.2</v>
      </c>
      <c r="H391" s="337">
        <v>75378.320000000007</v>
      </c>
      <c r="I391" s="475">
        <v>923.95</v>
      </c>
      <c r="J391" s="475">
        <v>33531.199999999997</v>
      </c>
      <c r="K391" s="338">
        <v>108.89</v>
      </c>
      <c r="L391" s="337">
        <v>6581.54</v>
      </c>
      <c r="M391" s="475">
        <v>19.05</v>
      </c>
      <c r="N391" s="475">
        <v>34161.300000000003</v>
      </c>
      <c r="O391" s="475">
        <v>29.6</v>
      </c>
      <c r="P391" s="475">
        <v>730.55</v>
      </c>
      <c r="Q391" s="475">
        <v>861.99</v>
      </c>
      <c r="R391" s="475">
        <v>10828.85</v>
      </c>
      <c r="S391" s="475">
        <v>9.0399999999999991</v>
      </c>
      <c r="T391" s="475">
        <v>37305</v>
      </c>
      <c r="U391" s="475">
        <v>69</v>
      </c>
      <c r="V391" s="475"/>
      <c r="W391" s="475"/>
      <c r="X391" s="475">
        <v>7850.23</v>
      </c>
      <c r="Y391" s="475">
        <v>0</v>
      </c>
      <c r="Z391" s="475"/>
      <c r="AA391" s="338"/>
      <c r="AB391" s="475">
        <v>227.63</v>
      </c>
      <c r="AC391" s="476">
        <v>0.36</v>
      </c>
      <c r="AD391" s="475"/>
      <c r="AE391" s="338"/>
      <c r="AF391" s="505">
        <v>42.52</v>
      </c>
      <c r="AG391" s="476">
        <v>6.18</v>
      </c>
      <c r="AH391" s="505"/>
      <c r="AI391" s="476"/>
      <c r="AJ391" s="505"/>
      <c r="AK391" s="476"/>
    </row>
    <row r="392" spans="1:37">
      <c r="A392" s="492">
        <f t="shared" si="23"/>
        <v>45753</v>
      </c>
      <c r="B392" s="102" t="s">
        <v>1197</v>
      </c>
      <c r="C392" s="110" t="str">
        <f t="shared" si="22"/>
        <v>45753 1200H</v>
      </c>
      <c r="D392" s="471">
        <v>1968.65</v>
      </c>
      <c r="E392" s="472">
        <v>49.69</v>
      </c>
      <c r="F392" s="471">
        <v>1108.67</v>
      </c>
      <c r="G392" s="472">
        <v>6.2</v>
      </c>
      <c r="H392" s="471">
        <v>75391.03</v>
      </c>
      <c r="I392" s="473">
        <v>924.05</v>
      </c>
      <c r="J392" s="473">
        <v>33532.26</v>
      </c>
      <c r="K392" s="472">
        <v>108.93</v>
      </c>
      <c r="L392" s="471">
        <v>6587.44</v>
      </c>
      <c r="M392" s="473">
        <v>19.05</v>
      </c>
      <c r="N392" s="473">
        <v>34164.9</v>
      </c>
      <c r="O392" s="473">
        <v>29.6</v>
      </c>
      <c r="P392" s="473">
        <v>730.55</v>
      </c>
      <c r="Q392" s="473">
        <v>863.37</v>
      </c>
      <c r="R392" s="473">
        <v>10833.16</v>
      </c>
      <c r="S392" s="473">
        <v>9.0399999999999991</v>
      </c>
      <c r="T392" s="473">
        <v>37312</v>
      </c>
      <c r="U392" s="473">
        <v>69</v>
      </c>
      <c r="V392" s="473"/>
      <c r="W392" s="473"/>
      <c r="X392" s="473">
        <v>7856.33</v>
      </c>
      <c r="Y392" s="473">
        <v>0</v>
      </c>
      <c r="Z392" s="473"/>
      <c r="AA392" s="472"/>
      <c r="AB392" s="473">
        <v>227.63</v>
      </c>
      <c r="AC392" s="474">
        <v>0.36</v>
      </c>
      <c r="AD392" s="473"/>
      <c r="AE392" s="472"/>
      <c r="AF392" s="506">
        <v>42.72</v>
      </c>
      <c r="AG392" s="474">
        <v>6.41</v>
      </c>
      <c r="AH392" s="506"/>
      <c r="AI392" s="474"/>
      <c r="AJ392" s="506"/>
      <c r="AK392" s="474"/>
    </row>
    <row r="393" spans="1:37">
      <c r="A393" s="492">
        <f t="shared" si="23"/>
        <v>45754</v>
      </c>
      <c r="B393" s="102" t="s">
        <v>3267</v>
      </c>
      <c r="C393" s="110" t="str">
        <f t="shared" si="22"/>
        <v>45754 0000H</v>
      </c>
      <c r="D393" s="337">
        <v>1973.57</v>
      </c>
      <c r="E393" s="338">
        <v>49.69</v>
      </c>
      <c r="F393" s="337">
        <v>1108.67</v>
      </c>
      <c r="G393" s="338">
        <v>6.2</v>
      </c>
      <c r="H393" s="337">
        <v>75408.23</v>
      </c>
      <c r="I393" s="475">
        <v>924.05</v>
      </c>
      <c r="J393" s="475">
        <v>33536.22</v>
      </c>
      <c r="K393" s="338">
        <v>108.93</v>
      </c>
      <c r="L393" s="337">
        <v>6593.23</v>
      </c>
      <c r="M393" s="475">
        <v>19.05</v>
      </c>
      <c r="N393" s="475">
        <v>34168.5</v>
      </c>
      <c r="O393" s="475">
        <v>29.6</v>
      </c>
      <c r="P393" s="475">
        <v>730.55</v>
      </c>
      <c r="Q393" s="475">
        <v>865.23</v>
      </c>
      <c r="R393" s="475">
        <v>10838.44</v>
      </c>
      <c r="S393" s="475">
        <v>9.0399999999999991</v>
      </c>
      <c r="T393" s="475">
        <v>37320</v>
      </c>
      <c r="U393" s="475">
        <v>69</v>
      </c>
      <c r="V393" s="475"/>
      <c r="W393" s="475"/>
      <c r="X393" s="475">
        <v>7863.13</v>
      </c>
      <c r="Y393" s="475">
        <v>0</v>
      </c>
      <c r="Z393" s="475"/>
      <c r="AA393" s="338"/>
      <c r="AB393" s="475">
        <v>227.63</v>
      </c>
      <c r="AC393" s="476">
        <v>0.36</v>
      </c>
      <c r="AD393" s="475"/>
      <c r="AE393" s="338"/>
      <c r="AF393" s="505">
        <v>46.75</v>
      </c>
      <c r="AG393" s="476">
        <v>6.43</v>
      </c>
      <c r="AH393" s="505"/>
      <c r="AI393" s="476"/>
      <c r="AJ393" s="505"/>
      <c r="AK393" s="476"/>
    </row>
    <row r="394" spans="1:37">
      <c r="A394" s="492">
        <f t="shared" si="23"/>
        <v>45754</v>
      </c>
      <c r="B394" s="102" t="s">
        <v>1197</v>
      </c>
      <c r="C394" s="110" t="str">
        <f t="shared" si="22"/>
        <v>45754 1200H</v>
      </c>
      <c r="D394" s="471">
        <v>1978.6</v>
      </c>
      <c r="E394" s="472">
        <v>49.69</v>
      </c>
      <c r="F394" s="471">
        <v>1108.67</v>
      </c>
      <c r="G394" s="472">
        <v>6.2</v>
      </c>
      <c r="H394" s="471">
        <v>75417.214000000007</v>
      </c>
      <c r="I394" s="473">
        <v>924.16</v>
      </c>
      <c r="J394" s="473">
        <v>33537.550000000003</v>
      </c>
      <c r="K394" s="472">
        <v>108.97</v>
      </c>
      <c r="L394" s="471">
        <v>6598.98</v>
      </c>
      <c r="M394" s="473">
        <v>19.05</v>
      </c>
      <c r="N394" s="473">
        <v>34172.1</v>
      </c>
      <c r="O394" s="473">
        <v>29.6</v>
      </c>
      <c r="P394" s="473">
        <v>730.55</v>
      </c>
      <c r="Q394" s="473">
        <v>866.81</v>
      </c>
      <c r="R394" s="473">
        <v>10842.95</v>
      </c>
      <c r="S394" s="473">
        <v>9.0399999999999991</v>
      </c>
      <c r="T394" s="473">
        <v>37326</v>
      </c>
      <c r="U394" s="473">
        <v>69</v>
      </c>
      <c r="V394" s="473"/>
      <c r="W394" s="473"/>
      <c r="X394" s="473">
        <v>7866.01</v>
      </c>
      <c r="Y394" s="473">
        <v>0</v>
      </c>
      <c r="Z394" s="473"/>
      <c r="AA394" s="472"/>
      <c r="AB394" s="473">
        <v>227.63</v>
      </c>
      <c r="AC394" s="474">
        <v>0.36</v>
      </c>
      <c r="AD394" s="473"/>
      <c r="AE394" s="472"/>
      <c r="AF394" s="506">
        <v>48.29</v>
      </c>
      <c r="AG394" s="474">
        <v>6.5</v>
      </c>
      <c r="AH394" s="506"/>
      <c r="AI394" s="474"/>
      <c r="AJ394" s="506"/>
      <c r="AK394" s="474"/>
    </row>
    <row r="395" spans="1:37">
      <c r="A395" s="492">
        <f t="shared" si="23"/>
        <v>45755</v>
      </c>
      <c r="B395" s="102" t="s">
        <v>3267</v>
      </c>
      <c r="C395" s="110" t="str">
        <f t="shared" si="22"/>
        <v>45755 0000H</v>
      </c>
      <c r="D395" s="337">
        <v>1985.02</v>
      </c>
      <c r="E395" s="338">
        <v>49.69</v>
      </c>
      <c r="F395" s="337">
        <v>1108.67</v>
      </c>
      <c r="G395" s="338">
        <v>6.2</v>
      </c>
      <c r="H395" s="337">
        <v>75431.94</v>
      </c>
      <c r="I395" s="475">
        <v>924.16</v>
      </c>
      <c r="J395" s="475">
        <v>33541.24</v>
      </c>
      <c r="K395" s="338">
        <v>108.97</v>
      </c>
      <c r="L395" s="337">
        <v>6604.72</v>
      </c>
      <c r="M395" s="475">
        <v>19.05</v>
      </c>
      <c r="N395" s="475">
        <v>34175.5</v>
      </c>
      <c r="O395" s="475">
        <v>29.6</v>
      </c>
      <c r="P395" s="475">
        <v>730.55</v>
      </c>
      <c r="Q395" s="475">
        <v>868.7</v>
      </c>
      <c r="R395" s="475">
        <v>10847.95</v>
      </c>
      <c r="S395" s="475">
        <v>9.0399999999999991</v>
      </c>
      <c r="T395" s="475">
        <v>37334</v>
      </c>
      <c r="U395" s="475">
        <v>69</v>
      </c>
      <c r="V395" s="475"/>
      <c r="W395" s="475"/>
      <c r="X395" s="475">
        <v>7875</v>
      </c>
      <c r="Y395" s="475">
        <v>0</v>
      </c>
      <c r="Z395" s="475"/>
      <c r="AA395" s="338"/>
      <c r="AB395" s="475">
        <v>227.63</v>
      </c>
      <c r="AC395" s="476">
        <v>0.36</v>
      </c>
      <c r="AD395" s="475"/>
      <c r="AE395" s="338"/>
      <c r="AF395" s="505">
        <v>50.43</v>
      </c>
      <c r="AG395" s="476">
        <v>6.53</v>
      </c>
      <c r="AH395" s="505"/>
      <c r="AI395" s="476"/>
      <c r="AJ395" s="505"/>
      <c r="AK395" s="476"/>
    </row>
    <row r="396" spans="1:37">
      <c r="A396" s="492">
        <f t="shared" si="23"/>
        <v>45755</v>
      </c>
      <c r="B396" s="102" t="s">
        <v>1197</v>
      </c>
      <c r="C396" s="110" t="str">
        <f t="shared" si="22"/>
        <v>45755 1200H</v>
      </c>
      <c r="D396" s="471">
        <v>1989.78</v>
      </c>
      <c r="E396" s="472">
        <v>49.69</v>
      </c>
      <c r="F396" s="471">
        <v>1108.67</v>
      </c>
      <c r="G396" s="472">
        <v>6.2</v>
      </c>
      <c r="H396" s="471">
        <v>75439.23</v>
      </c>
      <c r="I396" s="473">
        <v>924.4</v>
      </c>
      <c r="J396" s="473">
        <v>33542.49</v>
      </c>
      <c r="K396" s="472">
        <v>109.01</v>
      </c>
      <c r="L396" s="471">
        <v>6610.4</v>
      </c>
      <c r="M396" s="473">
        <v>19.05</v>
      </c>
      <c r="N396" s="473">
        <v>34178.9</v>
      </c>
      <c r="O396" s="473">
        <v>29.6</v>
      </c>
      <c r="P396" s="473">
        <v>730.56</v>
      </c>
      <c r="Q396" s="473">
        <v>870.18</v>
      </c>
      <c r="R396" s="473">
        <v>10852.15</v>
      </c>
      <c r="S396" s="473">
        <v>9.0399999999999991</v>
      </c>
      <c r="T396" s="473">
        <v>37341</v>
      </c>
      <c r="U396" s="473">
        <v>69</v>
      </c>
      <c r="V396" s="473"/>
      <c r="W396" s="473"/>
      <c r="X396" s="473">
        <v>7881.5</v>
      </c>
      <c r="Y396" s="473">
        <v>0</v>
      </c>
      <c r="Z396" s="473"/>
      <c r="AA396" s="472"/>
      <c r="AB396" s="473">
        <v>227.63</v>
      </c>
      <c r="AC396" s="474">
        <v>0.36</v>
      </c>
      <c r="AD396" s="473"/>
      <c r="AE396" s="472"/>
      <c r="AF396" s="506">
        <v>51.86</v>
      </c>
      <c r="AG396" s="474">
        <v>6.6</v>
      </c>
      <c r="AH396" s="506"/>
      <c r="AI396" s="474"/>
      <c r="AJ396" s="506"/>
      <c r="AK396" s="474"/>
    </row>
    <row r="397" spans="1:37">
      <c r="A397" s="492">
        <f t="shared" si="23"/>
        <v>45756</v>
      </c>
      <c r="B397" s="102" t="s">
        <v>3267</v>
      </c>
      <c r="C397" s="110" t="str">
        <f t="shared" si="22"/>
        <v>45756 0000H</v>
      </c>
      <c r="D397" s="337">
        <v>1995.74</v>
      </c>
      <c r="E397" s="338">
        <v>49.69</v>
      </c>
      <c r="F397" s="337">
        <v>1108.67</v>
      </c>
      <c r="G397" s="338">
        <v>6.2</v>
      </c>
      <c r="H397" s="337">
        <v>75450.28</v>
      </c>
      <c r="I397" s="475">
        <v>924.4</v>
      </c>
      <c r="J397" s="475">
        <v>33546.370000000003</v>
      </c>
      <c r="K397" s="338">
        <v>109.01</v>
      </c>
      <c r="L397" s="337">
        <v>6616.16</v>
      </c>
      <c r="M397" s="475">
        <v>19.05</v>
      </c>
      <c r="N397" s="475">
        <v>34182.9</v>
      </c>
      <c r="O397" s="475">
        <v>29.6</v>
      </c>
      <c r="P397" s="475">
        <v>730.66</v>
      </c>
      <c r="Q397" s="475">
        <v>871.6</v>
      </c>
      <c r="R397" s="475">
        <v>10857.38</v>
      </c>
      <c r="S397" s="475">
        <v>9.0399999999999991</v>
      </c>
      <c r="T397" s="475">
        <v>37348</v>
      </c>
      <c r="U397" s="475">
        <v>69</v>
      </c>
      <c r="V397" s="475"/>
      <c r="W397" s="475"/>
      <c r="X397" s="475">
        <v>7888.52</v>
      </c>
      <c r="Y397" s="475">
        <v>0</v>
      </c>
      <c r="Z397" s="475"/>
      <c r="AA397" s="338"/>
      <c r="AB397" s="475">
        <v>227.63</v>
      </c>
      <c r="AC397" s="476">
        <v>0.36</v>
      </c>
      <c r="AD397" s="475"/>
      <c r="AE397" s="338"/>
      <c r="AF397" s="505">
        <v>58.15</v>
      </c>
      <c r="AG397" s="476">
        <v>6.6</v>
      </c>
      <c r="AH397" s="505"/>
      <c r="AI397" s="476"/>
      <c r="AJ397" s="505"/>
      <c r="AK397" s="476"/>
    </row>
    <row r="398" spans="1:37">
      <c r="A398" s="492">
        <f t="shared" si="23"/>
        <v>45756</v>
      </c>
      <c r="B398" s="102" t="s">
        <v>1197</v>
      </c>
      <c r="C398" s="110" t="str">
        <f t="shared" si="22"/>
        <v>45756 1200H</v>
      </c>
      <c r="D398" s="471">
        <v>1999.8</v>
      </c>
      <c r="E398" s="472">
        <v>49.69</v>
      </c>
      <c r="F398" s="471">
        <v>1108.67</v>
      </c>
      <c r="G398" s="472">
        <v>6.2</v>
      </c>
      <c r="H398" s="471">
        <v>75459.92</v>
      </c>
      <c r="I398" s="473">
        <v>924.4</v>
      </c>
      <c r="J398" s="473">
        <v>33549.040000000001</v>
      </c>
      <c r="K398" s="472">
        <v>109.03</v>
      </c>
      <c r="L398" s="471">
        <v>6621.98</v>
      </c>
      <c r="M398" s="473">
        <v>19.05</v>
      </c>
      <c r="N398" s="473">
        <v>34185</v>
      </c>
      <c r="O398" s="473">
        <v>29.6</v>
      </c>
      <c r="P398" s="473">
        <v>730.79</v>
      </c>
      <c r="Q398" s="473">
        <v>872.71</v>
      </c>
      <c r="R398" s="473">
        <v>10861.74</v>
      </c>
      <c r="S398" s="473">
        <v>9.0399999999999991</v>
      </c>
      <c r="T398" s="473">
        <v>37355</v>
      </c>
      <c r="U398" s="473">
        <v>69</v>
      </c>
      <c r="V398" s="473"/>
      <c r="W398" s="473"/>
      <c r="X398" s="473">
        <v>7894.46</v>
      </c>
      <c r="Y398" s="473">
        <v>0</v>
      </c>
      <c r="Z398" s="473"/>
      <c r="AA398" s="472"/>
      <c r="AB398" s="473">
        <v>227.63</v>
      </c>
      <c r="AC398" s="474">
        <v>0.36</v>
      </c>
      <c r="AD398" s="473"/>
      <c r="AE398" s="472"/>
      <c r="AF398" s="506">
        <v>60.54</v>
      </c>
      <c r="AG398" s="474">
        <v>6.66</v>
      </c>
      <c r="AH398" s="506"/>
      <c r="AI398" s="474"/>
      <c r="AJ398" s="506"/>
      <c r="AK398" s="474"/>
    </row>
    <row r="399" spans="1:37">
      <c r="A399" s="492">
        <f t="shared" si="23"/>
        <v>45757</v>
      </c>
      <c r="B399" s="102" t="s">
        <v>3267</v>
      </c>
      <c r="C399" s="110" t="str">
        <f t="shared" si="22"/>
        <v>45757 0000H</v>
      </c>
      <c r="D399" s="337">
        <v>2004.98</v>
      </c>
      <c r="E399" s="338">
        <v>49.69</v>
      </c>
      <c r="F399" s="337">
        <v>1108.67</v>
      </c>
      <c r="G399" s="338">
        <v>6.2</v>
      </c>
      <c r="H399" s="337">
        <v>75474.09</v>
      </c>
      <c r="I399" s="475">
        <v>924.4</v>
      </c>
      <c r="J399" s="475">
        <v>33553.040000000001</v>
      </c>
      <c r="K399" s="338">
        <v>109.03</v>
      </c>
      <c r="L399" s="337">
        <v>6627.79</v>
      </c>
      <c r="M399" s="475">
        <v>19.05</v>
      </c>
      <c r="N399" s="475">
        <v>34188.699999999997</v>
      </c>
      <c r="O399" s="475">
        <v>29.6</v>
      </c>
      <c r="P399" s="475">
        <v>730.8</v>
      </c>
      <c r="Q399" s="475">
        <v>874.48</v>
      </c>
      <c r="R399" s="475">
        <v>10867.13</v>
      </c>
      <c r="S399" s="475">
        <v>9.0399999999999991</v>
      </c>
      <c r="T399" s="475">
        <v>37363</v>
      </c>
      <c r="U399" s="475">
        <v>69</v>
      </c>
      <c r="V399" s="475"/>
      <c r="W399" s="475"/>
      <c r="X399" s="475">
        <v>7901.4</v>
      </c>
      <c r="Y399" s="475">
        <v>0</v>
      </c>
      <c r="Z399" s="475"/>
      <c r="AA399" s="338"/>
      <c r="AB399" s="475">
        <v>227.63</v>
      </c>
      <c r="AC399" s="476">
        <v>0.36</v>
      </c>
      <c r="AD399" s="475"/>
      <c r="AE399" s="338"/>
      <c r="AF399" s="505">
        <v>65.36</v>
      </c>
      <c r="AG399" s="476">
        <v>6.66</v>
      </c>
      <c r="AH399" s="505"/>
      <c r="AI399" s="476"/>
      <c r="AJ399" s="505"/>
      <c r="AK399" s="476"/>
    </row>
    <row r="400" spans="1:37">
      <c r="A400" s="492">
        <f t="shared" si="23"/>
        <v>45757</v>
      </c>
      <c r="B400" s="102" t="s">
        <v>1197</v>
      </c>
      <c r="C400" s="110" t="str">
        <f t="shared" si="22"/>
        <v>45757 1200H</v>
      </c>
      <c r="D400" s="471">
        <v>2010.11</v>
      </c>
      <c r="E400" s="472">
        <v>49.69</v>
      </c>
      <c r="F400" s="471">
        <v>1108.67</v>
      </c>
      <c r="G400" s="472">
        <v>6.2</v>
      </c>
      <c r="H400" s="471">
        <v>75482.070000000007</v>
      </c>
      <c r="I400" s="473">
        <v>924.63</v>
      </c>
      <c r="J400" s="473">
        <v>33554.620000000003</v>
      </c>
      <c r="K400" s="472">
        <v>109.07</v>
      </c>
      <c r="L400" s="471">
        <v>6633.63</v>
      </c>
      <c r="M400" s="473">
        <v>19.05</v>
      </c>
      <c r="N400" s="473">
        <v>34192.699999999997</v>
      </c>
      <c r="O400" s="473">
        <v>29.6</v>
      </c>
      <c r="P400" s="473">
        <v>730.8</v>
      </c>
      <c r="Q400" s="473">
        <v>875.98</v>
      </c>
      <c r="R400" s="473">
        <v>10871.69</v>
      </c>
      <c r="S400" s="473">
        <v>9.0399999999999991</v>
      </c>
      <c r="T400" s="473">
        <v>37370</v>
      </c>
      <c r="U400" s="473">
        <v>69</v>
      </c>
      <c r="V400" s="473"/>
      <c r="W400" s="473"/>
      <c r="X400" s="473">
        <v>7907.42</v>
      </c>
      <c r="Y400" s="473">
        <v>0</v>
      </c>
      <c r="Z400" s="473"/>
      <c r="AA400" s="472"/>
      <c r="AB400" s="473">
        <v>227.63</v>
      </c>
      <c r="AC400" s="474">
        <v>0.36</v>
      </c>
      <c r="AD400" s="473"/>
      <c r="AE400" s="472"/>
      <c r="AF400" s="506">
        <v>67.010000000000005</v>
      </c>
      <c r="AG400" s="474">
        <v>6.72</v>
      </c>
      <c r="AH400" s="506"/>
      <c r="AI400" s="474"/>
      <c r="AJ400" s="506"/>
      <c r="AK400" s="474"/>
    </row>
    <row r="401" spans="1:37">
      <c r="A401" s="492">
        <f t="shared" si="23"/>
        <v>45758</v>
      </c>
      <c r="B401" s="102" t="s">
        <v>3267</v>
      </c>
      <c r="C401" s="110" t="str">
        <f t="shared" ref="C401:C430" si="24">A401 &amp; " " &amp;B401</f>
        <v>45758 0000H</v>
      </c>
      <c r="D401" s="337">
        <v>2016.16</v>
      </c>
      <c r="E401" s="338">
        <v>49.69</v>
      </c>
      <c r="F401" s="337">
        <v>1108.67</v>
      </c>
      <c r="G401" s="338">
        <v>6.2</v>
      </c>
      <c r="H401" s="337">
        <v>75489.7</v>
      </c>
      <c r="I401" s="475">
        <v>924.65</v>
      </c>
      <c r="J401" s="475">
        <v>33558.51</v>
      </c>
      <c r="K401" s="338">
        <v>109.07</v>
      </c>
      <c r="L401" s="337">
        <v>6639.47</v>
      </c>
      <c r="M401" s="475">
        <v>19.05</v>
      </c>
      <c r="N401" s="475">
        <v>34196.6</v>
      </c>
      <c r="O401" s="475">
        <v>29.6</v>
      </c>
      <c r="P401" s="475">
        <v>731.29</v>
      </c>
      <c r="Q401" s="475">
        <v>876.46</v>
      </c>
      <c r="R401" s="475">
        <v>10877.18</v>
      </c>
      <c r="S401" s="475">
        <v>9.0399999999999991</v>
      </c>
      <c r="T401" s="475">
        <v>37377</v>
      </c>
      <c r="U401" s="475">
        <v>69</v>
      </c>
      <c r="V401" s="475"/>
      <c r="W401" s="475"/>
      <c r="X401" s="475">
        <v>7914.53</v>
      </c>
      <c r="Y401" s="475">
        <v>0</v>
      </c>
      <c r="Z401" s="475"/>
      <c r="AA401" s="338"/>
      <c r="AB401" s="475">
        <v>234.53</v>
      </c>
      <c r="AC401" s="476">
        <v>0.37</v>
      </c>
      <c r="AD401" s="475"/>
      <c r="AE401" s="338"/>
      <c r="AF401" s="505">
        <v>72.44</v>
      </c>
      <c r="AG401" s="476">
        <v>6.73</v>
      </c>
      <c r="AH401" s="505"/>
      <c r="AI401" s="476"/>
      <c r="AJ401" s="505"/>
      <c r="AK401" s="476"/>
    </row>
    <row r="402" spans="1:37">
      <c r="A402" s="492">
        <f t="shared" si="23"/>
        <v>45758</v>
      </c>
      <c r="B402" s="102" t="s">
        <v>1197</v>
      </c>
      <c r="C402" s="110" t="str">
        <f t="shared" si="24"/>
        <v>45758 1200H</v>
      </c>
      <c r="D402" s="471">
        <v>2021.26</v>
      </c>
      <c r="E402" s="472">
        <v>49.69</v>
      </c>
      <c r="F402" s="471">
        <v>1108.67</v>
      </c>
      <c r="G402" s="472">
        <v>6.2</v>
      </c>
      <c r="H402" s="471">
        <v>75495.710000000006</v>
      </c>
      <c r="I402" s="473">
        <v>924.93</v>
      </c>
      <c r="J402" s="473">
        <v>33560</v>
      </c>
      <c r="K402" s="472">
        <v>109.1</v>
      </c>
      <c r="L402" s="471">
        <v>6645.16</v>
      </c>
      <c r="M402" s="473">
        <v>19.05</v>
      </c>
      <c r="N402" s="473">
        <v>34200.6</v>
      </c>
      <c r="O402" s="473">
        <v>29.6</v>
      </c>
      <c r="P402" s="473">
        <v>731.35</v>
      </c>
      <c r="Q402" s="473">
        <v>877.16</v>
      </c>
      <c r="R402" s="473">
        <v>10881.8</v>
      </c>
      <c r="S402" s="473">
        <v>9.0399999999999991</v>
      </c>
      <c r="T402" s="473">
        <v>37384</v>
      </c>
      <c r="U402" s="473">
        <v>69</v>
      </c>
      <c r="V402" s="473"/>
      <c r="W402" s="473"/>
      <c r="X402" s="473">
        <v>7920.43</v>
      </c>
      <c r="Y402" s="473">
        <v>0</v>
      </c>
      <c r="Z402" s="473"/>
      <c r="AA402" s="472"/>
      <c r="AB402" s="473">
        <v>239.07</v>
      </c>
      <c r="AC402" s="474">
        <v>0.37</v>
      </c>
      <c r="AD402" s="473"/>
      <c r="AE402" s="472"/>
      <c r="AF402" s="506">
        <v>73.78</v>
      </c>
      <c r="AG402" s="474">
        <v>6.78</v>
      </c>
      <c r="AH402" s="506"/>
      <c r="AI402" s="474"/>
      <c r="AJ402" s="506"/>
      <c r="AK402" s="474"/>
    </row>
    <row r="403" spans="1:37">
      <c r="A403" s="492">
        <f t="shared" ref="A403:A430" si="25">A401+1</f>
        <v>45759</v>
      </c>
      <c r="B403" s="102" t="s">
        <v>3267</v>
      </c>
      <c r="C403" s="110" t="str">
        <f t="shared" si="24"/>
        <v>45759 0000H</v>
      </c>
      <c r="D403" s="337">
        <v>2026.84</v>
      </c>
      <c r="E403" s="338">
        <v>49.69</v>
      </c>
      <c r="F403" s="337">
        <v>1108.67</v>
      </c>
      <c r="G403" s="338">
        <v>6.2</v>
      </c>
      <c r="H403" s="337">
        <v>75511.990000000005</v>
      </c>
      <c r="I403" s="475">
        <v>924.93</v>
      </c>
      <c r="J403" s="475">
        <v>33563.870000000003</v>
      </c>
      <c r="K403" s="338">
        <v>109.11</v>
      </c>
      <c r="L403" s="337">
        <v>6650.96</v>
      </c>
      <c r="M403" s="475">
        <v>19.05</v>
      </c>
      <c r="N403" s="475">
        <v>34205.800000000003</v>
      </c>
      <c r="O403" s="475">
        <v>29.6</v>
      </c>
      <c r="P403" s="475">
        <v>731.49</v>
      </c>
      <c r="Q403" s="475">
        <v>878.19</v>
      </c>
      <c r="R403" s="475">
        <v>10887.39</v>
      </c>
      <c r="S403" s="475">
        <v>9.0399999999999991</v>
      </c>
      <c r="T403" s="475">
        <v>37388</v>
      </c>
      <c r="U403" s="475">
        <v>69</v>
      </c>
      <c r="V403" s="475"/>
      <c r="W403" s="475"/>
      <c r="X403" s="475">
        <v>7928.16</v>
      </c>
      <c r="Y403" s="475">
        <v>0</v>
      </c>
      <c r="Z403" s="475"/>
      <c r="AA403" s="338"/>
      <c r="AB403" s="475">
        <v>242.71</v>
      </c>
      <c r="AC403" s="476">
        <v>0.38</v>
      </c>
      <c r="AD403" s="475"/>
      <c r="AE403" s="338"/>
      <c r="AF403" s="505">
        <v>77.22</v>
      </c>
      <c r="AG403" s="476">
        <v>6.84</v>
      </c>
      <c r="AH403" s="505"/>
      <c r="AI403" s="476"/>
      <c r="AJ403" s="505"/>
      <c r="AK403" s="476"/>
    </row>
    <row r="404" spans="1:37">
      <c r="A404" s="492">
        <f t="shared" si="25"/>
        <v>45759</v>
      </c>
      <c r="B404" s="102" t="s">
        <v>1197</v>
      </c>
      <c r="C404" s="110" t="str">
        <f t="shared" si="24"/>
        <v>45759 1200H</v>
      </c>
      <c r="D404" s="471">
        <v>2031.33</v>
      </c>
      <c r="E404" s="472">
        <v>49.69</v>
      </c>
      <c r="F404" s="471">
        <v>1108.67</v>
      </c>
      <c r="G404" s="472">
        <v>6.2</v>
      </c>
      <c r="H404" s="471">
        <v>75519.12</v>
      </c>
      <c r="I404" s="473">
        <v>925.15</v>
      </c>
      <c r="J404" s="473">
        <v>33565.269999999997</v>
      </c>
      <c r="K404" s="472">
        <v>109.14</v>
      </c>
      <c r="L404" s="471">
        <v>6656.7</v>
      </c>
      <c r="M404" s="473">
        <v>19.05</v>
      </c>
      <c r="N404" s="473">
        <v>34212.699999999997</v>
      </c>
      <c r="O404" s="473">
        <v>29.6</v>
      </c>
      <c r="P404" s="473">
        <v>731.49</v>
      </c>
      <c r="Q404" s="473">
        <v>879.42</v>
      </c>
      <c r="R404" s="473">
        <v>10892.2</v>
      </c>
      <c r="S404" s="473">
        <v>9.0399999999999991</v>
      </c>
      <c r="T404" s="473">
        <v>37395</v>
      </c>
      <c r="U404" s="473">
        <v>69</v>
      </c>
      <c r="V404" s="473"/>
      <c r="W404" s="473"/>
      <c r="X404" s="473">
        <v>7934.73</v>
      </c>
      <c r="Y404" s="473">
        <v>0</v>
      </c>
      <c r="Z404" s="473"/>
      <c r="AA404" s="472"/>
      <c r="AB404" s="473">
        <v>243.21</v>
      </c>
      <c r="AC404" s="474">
        <v>0.38</v>
      </c>
      <c r="AD404" s="473"/>
      <c r="AE404" s="472"/>
      <c r="AF404" s="506">
        <v>78.459999999999994</v>
      </c>
      <c r="AG404" s="474">
        <v>6.86</v>
      </c>
      <c r="AH404" s="506"/>
      <c r="AI404" s="474"/>
      <c r="AJ404" s="506"/>
      <c r="AK404" s="474"/>
    </row>
    <row r="405" spans="1:37">
      <c r="A405" s="492">
        <f t="shared" si="25"/>
        <v>45760</v>
      </c>
      <c r="B405" s="102" t="s">
        <v>3267</v>
      </c>
      <c r="C405" s="110" t="str">
        <f t="shared" si="24"/>
        <v>45760 0000H</v>
      </c>
      <c r="D405" s="337">
        <v>2035.87</v>
      </c>
      <c r="E405" s="338">
        <v>49.69</v>
      </c>
      <c r="F405" s="337">
        <v>1108.67</v>
      </c>
      <c r="G405" s="338">
        <v>6.2</v>
      </c>
      <c r="H405" s="337">
        <v>75536.11</v>
      </c>
      <c r="I405" s="475">
        <v>925.15</v>
      </c>
      <c r="J405" s="475">
        <v>33569.29</v>
      </c>
      <c r="K405" s="338">
        <v>109.14</v>
      </c>
      <c r="L405" s="337">
        <v>6662.55</v>
      </c>
      <c r="M405" s="475">
        <v>19.05</v>
      </c>
      <c r="N405" s="475">
        <v>34216.6</v>
      </c>
      <c r="O405" s="475">
        <v>29.6</v>
      </c>
      <c r="P405" s="475">
        <v>731.55</v>
      </c>
      <c r="Q405" s="475">
        <v>880.28</v>
      </c>
      <c r="R405" s="475">
        <v>10898.05</v>
      </c>
      <c r="S405" s="475">
        <v>9.0399999999999991</v>
      </c>
      <c r="T405" s="475">
        <v>37402</v>
      </c>
      <c r="U405" s="475">
        <v>69</v>
      </c>
      <c r="V405" s="475"/>
      <c r="W405" s="475"/>
      <c r="X405" s="475">
        <v>7942.07</v>
      </c>
      <c r="Y405" s="475">
        <v>0</v>
      </c>
      <c r="Z405" s="475"/>
      <c r="AA405" s="338"/>
      <c r="AB405" s="475">
        <v>247.17</v>
      </c>
      <c r="AC405" s="476">
        <v>0.38</v>
      </c>
      <c r="AD405" s="475"/>
      <c r="AE405" s="338"/>
      <c r="AF405" s="505">
        <v>83.91</v>
      </c>
      <c r="AG405" s="476">
        <v>6.89</v>
      </c>
      <c r="AH405" s="505"/>
      <c r="AI405" s="476"/>
      <c r="AJ405" s="505"/>
      <c r="AK405" s="476"/>
    </row>
    <row r="406" spans="1:37">
      <c r="A406" s="492">
        <f t="shared" si="25"/>
        <v>45760</v>
      </c>
      <c r="B406" s="102" t="s">
        <v>1197</v>
      </c>
      <c r="C406" s="110" t="str">
        <f t="shared" si="24"/>
        <v>45760 1200H</v>
      </c>
      <c r="D406" s="471">
        <v>2040.72</v>
      </c>
      <c r="E406" s="472">
        <v>49.69</v>
      </c>
      <c r="F406" s="471">
        <v>1108.67</v>
      </c>
      <c r="G406" s="472">
        <v>6.2</v>
      </c>
      <c r="H406" s="471">
        <v>75553.58</v>
      </c>
      <c r="I406" s="473">
        <v>925.39</v>
      </c>
      <c r="J406" s="473">
        <v>33571</v>
      </c>
      <c r="K406" s="472">
        <v>109.18</v>
      </c>
      <c r="L406" s="471">
        <v>6668.33</v>
      </c>
      <c r="M406" s="473">
        <v>19.05</v>
      </c>
      <c r="N406" s="473">
        <v>34220.400000000001</v>
      </c>
      <c r="O406" s="473">
        <v>29.6</v>
      </c>
      <c r="P406" s="473">
        <v>731.59</v>
      </c>
      <c r="Q406" s="473">
        <v>881.17</v>
      </c>
      <c r="R406" s="473">
        <v>10902.78</v>
      </c>
      <c r="S406" s="473">
        <v>9.0399999999999991</v>
      </c>
      <c r="T406" s="473">
        <v>37408</v>
      </c>
      <c r="U406" s="473">
        <v>69</v>
      </c>
      <c r="V406" s="473"/>
      <c r="W406" s="473"/>
      <c r="X406" s="473">
        <v>7948.28</v>
      </c>
      <c r="Y406" s="473">
        <v>0</v>
      </c>
      <c r="Z406" s="473"/>
      <c r="AA406" s="472"/>
      <c r="AB406" s="473">
        <v>251.15</v>
      </c>
      <c r="AC406" s="474">
        <v>0.57999999999999996</v>
      </c>
      <c r="AD406" s="473"/>
      <c r="AE406" s="472"/>
      <c r="AF406" s="506">
        <v>84.64</v>
      </c>
      <c r="AG406" s="474">
        <v>6.89</v>
      </c>
      <c r="AH406" s="506"/>
      <c r="AI406" s="474"/>
      <c r="AJ406" s="506"/>
      <c r="AK406" s="474"/>
    </row>
    <row r="407" spans="1:37">
      <c r="A407" s="492">
        <f t="shared" si="25"/>
        <v>45761</v>
      </c>
      <c r="B407" s="102" t="s">
        <v>3267</v>
      </c>
      <c r="C407" s="110" t="str">
        <f t="shared" si="24"/>
        <v>45761 0000H</v>
      </c>
      <c r="D407" s="337">
        <v>2045.72</v>
      </c>
      <c r="E407" s="338">
        <v>49.69</v>
      </c>
      <c r="F407" s="337">
        <v>1108.67</v>
      </c>
      <c r="G407" s="338">
        <v>6.2</v>
      </c>
      <c r="H407" s="337">
        <v>75555.679999999993</v>
      </c>
      <c r="I407" s="475">
        <v>925.39</v>
      </c>
      <c r="J407" s="475">
        <v>33574.81</v>
      </c>
      <c r="K407" s="338">
        <v>109.18</v>
      </c>
      <c r="L407" s="337">
        <v>6674.15</v>
      </c>
      <c r="M407" s="475">
        <v>19.05</v>
      </c>
      <c r="N407" s="475">
        <v>34223.5</v>
      </c>
      <c r="O407" s="475">
        <v>29.7</v>
      </c>
      <c r="P407" s="475">
        <v>731.6</v>
      </c>
      <c r="Q407" s="475">
        <v>882.62</v>
      </c>
      <c r="R407" s="475">
        <v>10908.41</v>
      </c>
      <c r="S407" s="475">
        <v>9.0399999999999991</v>
      </c>
      <c r="T407" s="475">
        <v>37416</v>
      </c>
      <c r="U407" s="475">
        <v>69</v>
      </c>
      <c r="V407" s="475"/>
      <c r="W407" s="475"/>
      <c r="X407" s="475">
        <v>7955.16</v>
      </c>
      <c r="Y407" s="475">
        <v>0</v>
      </c>
      <c r="Z407" s="475"/>
      <c r="AA407" s="338"/>
      <c r="AB407" s="475">
        <v>253.14</v>
      </c>
      <c r="AC407" s="476">
        <v>0.57999999999999996</v>
      </c>
      <c r="AD407" s="475"/>
      <c r="AE407" s="338"/>
      <c r="AF407" s="505">
        <v>90.04</v>
      </c>
      <c r="AG407" s="476">
        <v>6.94</v>
      </c>
      <c r="AH407" s="505"/>
      <c r="AI407" s="476"/>
      <c r="AJ407" s="505"/>
      <c r="AK407" s="476"/>
    </row>
    <row r="408" spans="1:37">
      <c r="A408" s="492">
        <f t="shared" si="25"/>
        <v>45761</v>
      </c>
      <c r="B408" s="102" t="s">
        <v>1197</v>
      </c>
      <c r="C408" s="110" t="str">
        <f t="shared" si="24"/>
        <v>45761 1200H</v>
      </c>
      <c r="D408" s="471">
        <v>2049.6</v>
      </c>
      <c r="E408" s="472">
        <v>49.69</v>
      </c>
      <c r="F408" s="471">
        <v>1108.67</v>
      </c>
      <c r="G408" s="472">
        <v>6.2</v>
      </c>
      <c r="H408" s="471">
        <v>75567.97</v>
      </c>
      <c r="I408" s="473">
        <v>925.5</v>
      </c>
      <c r="J408" s="473">
        <v>33578.839999999997</v>
      </c>
      <c r="K408" s="472">
        <v>109.18</v>
      </c>
      <c r="L408" s="471">
        <v>6679.96</v>
      </c>
      <c r="M408" s="473">
        <v>19.05</v>
      </c>
      <c r="N408" s="473">
        <v>34226.400000000001</v>
      </c>
      <c r="O408" s="473">
        <v>29.7</v>
      </c>
      <c r="P408" s="473">
        <v>731.68</v>
      </c>
      <c r="Q408" s="473">
        <v>883.89</v>
      </c>
      <c r="R408" s="473">
        <v>10913.12</v>
      </c>
      <c r="S408" s="473">
        <v>9.0399999999999991</v>
      </c>
      <c r="T408" s="473">
        <v>37423</v>
      </c>
      <c r="U408" s="473">
        <v>69</v>
      </c>
      <c r="V408" s="473"/>
      <c r="W408" s="473"/>
      <c r="X408" s="473">
        <v>7961.33</v>
      </c>
      <c r="Y408" s="473">
        <v>0</v>
      </c>
      <c r="Z408" s="473"/>
      <c r="AA408" s="472"/>
      <c r="AB408" s="473">
        <v>254.24</v>
      </c>
      <c r="AC408" s="474">
        <v>0.4</v>
      </c>
      <c r="AD408" s="473"/>
      <c r="AE408" s="472"/>
      <c r="AF408" s="506">
        <v>93.56</v>
      </c>
      <c r="AG408" s="474">
        <v>6.97</v>
      </c>
      <c r="AH408" s="506"/>
      <c r="AI408" s="474"/>
      <c r="AJ408" s="506"/>
      <c r="AK408" s="474"/>
    </row>
    <row r="409" spans="1:37">
      <c r="A409" s="492">
        <f t="shared" si="25"/>
        <v>45762</v>
      </c>
      <c r="B409" s="102" t="s">
        <v>3267</v>
      </c>
      <c r="C409" s="110" t="str">
        <f t="shared" si="24"/>
        <v>45762 0000H</v>
      </c>
      <c r="D409" s="337">
        <v>2055.64</v>
      </c>
      <c r="E409" s="338">
        <v>49.69</v>
      </c>
      <c r="F409" s="337">
        <v>1108.67</v>
      </c>
      <c r="G409" s="338">
        <v>6.2</v>
      </c>
      <c r="H409" s="337">
        <v>75584.710000000006</v>
      </c>
      <c r="I409" s="475">
        <v>925.5</v>
      </c>
      <c r="J409" s="475">
        <v>33582.370000000003</v>
      </c>
      <c r="K409" s="338">
        <v>109.18</v>
      </c>
      <c r="L409" s="337">
        <v>6685.78</v>
      </c>
      <c r="M409" s="475">
        <v>19.05</v>
      </c>
      <c r="N409" s="475">
        <v>34230.9</v>
      </c>
      <c r="O409" s="475">
        <v>29.7</v>
      </c>
      <c r="P409" s="475">
        <v>731.69</v>
      </c>
      <c r="Q409" s="475">
        <v>885.19</v>
      </c>
      <c r="R409" s="475">
        <v>10918.62</v>
      </c>
      <c r="S409" s="475">
        <v>9.0399999999999991</v>
      </c>
      <c r="T409" s="475">
        <v>37432</v>
      </c>
      <c r="U409" s="475">
        <v>69</v>
      </c>
      <c r="V409" s="475"/>
      <c r="W409" s="475"/>
      <c r="X409" s="475">
        <v>7968.74</v>
      </c>
      <c r="Y409" s="475">
        <v>0</v>
      </c>
      <c r="Z409" s="475"/>
      <c r="AA409" s="338"/>
      <c r="AB409" s="475">
        <v>255.9</v>
      </c>
      <c r="AC409" s="476">
        <v>0.4</v>
      </c>
      <c r="AD409" s="475"/>
      <c r="AE409" s="338"/>
      <c r="AF409" s="505">
        <v>98.49</v>
      </c>
      <c r="AG409" s="476">
        <v>6.98</v>
      </c>
      <c r="AH409" s="505"/>
      <c r="AI409" s="476"/>
      <c r="AJ409" s="505"/>
      <c r="AK409" s="476"/>
    </row>
    <row r="410" spans="1:37">
      <c r="A410" s="492">
        <f t="shared" si="25"/>
        <v>45762</v>
      </c>
      <c r="B410" s="102" t="s">
        <v>1197</v>
      </c>
      <c r="C410" s="110" t="str">
        <f t="shared" si="24"/>
        <v>45762 1200H</v>
      </c>
      <c r="D410" s="471">
        <v>2059.9</v>
      </c>
      <c r="E410" s="472">
        <v>49.69</v>
      </c>
      <c r="F410" s="471">
        <v>1108.67</v>
      </c>
      <c r="G410" s="472">
        <v>6.2</v>
      </c>
      <c r="H410" s="471">
        <v>75592.67</v>
      </c>
      <c r="I410" s="473">
        <v>925.6</v>
      </c>
      <c r="J410" s="473">
        <v>33583.449999999997</v>
      </c>
      <c r="K410" s="472">
        <v>109.23</v>
      </c>
      <c r="L410" s="471">
        <v>6691.48</v>
      </c>
      <c r="M410" s="473">
        <v>19.05</v>
      </c>
      <c r="N410" s="473">
        <v>34238.5</v>
      </c>
      <c r="O410" s="473">
        <v>29.7</v>
      </c>
      <c r="P410" s="473">
        <v>731.7</v>
      </c>
      <c r="Q410" s="473">
        <v>886.49</v>
      </c>
      <c r="R410" s="473">
        <v>10923.2</v>
      </c>
      <c r="S410" s="473">
        <v>9.0399999999999991</v>
      </c>
      <c r="T410" s="473">
        <v>37436</v>
      </c>
      <c r="U410" s="473">
        <v>69</v>
      </c>
      <c r="V410" s="473"/>
      <c r="W410" s="473"/>
      <c r="X410" s="473">
        <v>7975.23</v>
      </c>
      <c r="Y410" s="473">
        <v>0</v>
      </c>
      <c r="Z410" s="473"/>
      <c r="AA410" s="472"/>
      <c r="AB410" s="473">
        <v>255.9</v>
      </c>
      <c r="AC410" s="474">
        <v>0.4</v>
      </c>
      <c r="AD410" s="473"/>
      <c r="AE410" s="472"/>
      <c r="AF410" s="506">
        <v>99.29</v>
      </c>
      <c r="AG410" s="474">
        <v>7.03</v>
      </c>
      <c r="AH410" s="506"/>
      <c r="AI410" s="474"/>
      <c r="AJ410" s="506"/>
      <c r="AK410" s="474"/>
    </row>
    <row r="411" spans="1:37">
      <c r="A411" s="492">
        <f t="shared" si="25"/>
        <v>45763</v>
      </c>
      <c r="B411" s="102" t="s">
        <v>3267</v>
      </c>
      <c r="C411" s="110" t="str">
        <f t="shared" si="24"/>
        <v>45763 0000H</v>
      </c>
      <c r="D411" s="337">
        <v>2064.96</v>
      </c>
      <c r="E411" s="338">
        <v>49.69</v>
      </c>
      <c r="F411" s="337">
        <v>1108.67</v>
      </c>
      <c r="G411" s="338">
        <v>6.2</v>
      </c>
      <c r="H411" s="337">
        <v>75610.12</v>
      </c>
      <c r="I411" s="475">
        <v>925.6</v>
      </c>
      <c r="J411" s="475">
        <v>33586.949999999997</v>
      </c>
      <c r="K411" s="338">
        <v>109.24</v>
      </c>
      <c r="L411" s="337">
        <v>6697.3</v>
      </c>
      <c r="M411" s="475">
        <v>19.05</v>
      </c>
      <c r="N411" s="475">
        <v>34246.5</v>
      </c>
      <c r="O411" s="475">
        <v>29.7</v>
      </c>
      <c r="P411" s="475">
        <v>731.73</v>
      </c>
      <c r="Q411" s="475">
        <v>887.89</v>
      </c>
      <c r="R411" s="475">
        <v>10928.68</v>
      </c>
      <c r="S411" s="475">
        <v>9.0399999999999991</v>
      </c>
      <c r="T411" s="475">
        <v>37442</v>
      </c>
      <c r="U411" s="475">
        <v>69</v>
      </c>
      <c r="V411" s="475"/>
      <c r="W411" s="475"/>
      <c r="X411" s="475">
        <v>7982.54</v>
      </c>
      <c r="Y411" s="475">
        <v>0</v>
      </c>
      <c r="Z411" s="475"/>
      <c r="AA411" s="338"/>
      <c r="AB411" s="475">
        <v>225.9</v>
      </c>
      <c r="AC411" s="476">
        <v>0.4</v>
      </c>
      <c r="AD411" s="475"/>
      <c r="AE411" s="338"/>
      <c r="AF411" s="505">
        <v>103.95</v>
      </c>
      <c r="AG411" s="476">
        <v>7.04</v>
      </c>
      <c r="AH411" s="505"/>
      <c r="AI411" s="476"/>
      <c r="AJ411" s="505"/>
      <c r="AK411" s="476"/>
    </row>
    <row r="412" spans="1:37">
      <c r="A412" s="492">
        <f t="shared" si="25"/>
        <v>45763</v>
      </c>
      <c r="B412" s="102" t="s">
        <v>1197</v>
      </c>
      <c r="C412" s="110" t="str">
        <f t="shared" si="24"/>
        <v>45763 1200H</v>
      </c>
      <c r="D412" s="471">
        <v>2068.96</v>
      </c>
      <c r="E412" s="472">
        <v>49.69</v>
      </c>
      <c r="F412" s="471">
        <v>1108.67</v>
      </c>
      <c r="G412" s="472">
        <v>6.2</v>
      </c>
      <c r="H412" s="471">
        <v>75616.58</v>
      </c>
      <c r="I412" s="473">
        <v>925.73</v>
      </c>
      <c r="J412" s="473">
        <v>33588.269999999997</v>
      </c>
      <c r="K412" s="472">
        <v>109.28</v>
      </c>
      <c r="L412" s="471">
        <v>6703</v>
      </c>
      <c r="M412" s="473">
        <v>19.05</v>
      </c>
      <c r="N412" s="473">
        <v>34253.9</v>
      </c>
      <c r="O412" s="473">
        <v>29.7</v>
      </c>
      <c r="P412" s="473">
        <v>731.73</v>
      </c>
      <c r="Q412" s="473">
        <v>889.29</v>
      </c>
      <c r="R412" s="473">
        <v>10933.23</v>
      </c>
      <c r="S412" s="473">
        <v>9.0399999999999991</v>
      </c>
      <c r="T412" s="473">
        <v>37450</v>
      </c>
      <c r="U412" s="473">
        <v>69</v>
      </c>
      <c r="V412" s="473"/>
      <c r="W412" s="473"/>
      <c r="X412" s="473">
        <v>7988.79</v>
      </c>
      <c r="Y412" s="473">
        <v>0</v>
      </c>
      <c r="Z412" s="473"/>
      <c r="AA412" s="472"/>
      <c r="AB412" s="473">
        <v>225.9</v>
      </c>
      <c r="AC412" s="474">
        <v>0.4</v>
      </c>
      <c r="AD412" s="473"/>
      <c r="AE412" s="472"/>
      <c r="AF412" s="506">
        <v>104.72</v>
      </c>
      <c r="AG412" s="474">
        <v>7.09</v>
      </c>
      <c r="AH412" s="506"/>
      <c r="AI412" s="474"/>
      <c r="AJ412" s="506"/>
      <c r="AK412" s="474"/>
    </row>
    <row r="413" spans="1:37">
      <c r="A413" s="492">
        <f t="shared" si="25"/>
        <v>45764</v>
      </c>
      <c r="B413" s="102" t="s">
        <v>3267</v>
      </c>
      <c r="C413" s="110" t="str">
        <f t="shared" si="24"/>
        <v>45764 0000H</v>
      </c>
      <c r="D413" s="337">
        <v>2073.85</v>
      </c>
      <c r="E413" s="338">
        <v>49.69</v>
      </c>
      <c r="F413" s="337">
        <v>1108.67</v>
      </c>
      <c r="G413" s="338">
        <v>6.2</v>
      </c>
      <c r="H413" s="337">
        <v>75633.97</v>
      </c>
      <c r="I413" s="475">
        <v>925.73</v>
      </c>
      <c r="J413" s="475">
        <v>33591.65</v>
      </c>
      <c r="K413" s="338">
        <v>109.29</v>
      </c>
      <c r="L413" s="337">
        <v>6708.79</v>
      </c>
      <c r="M413" s="475">
        <v>19.05</v>
      </c>
      <c r="N413" s="475">
        <v>34261.199999999997</v>
      </c>
      <c r="O413" s="475">
        <v>29.7</v>
      </c>
      <c r="P413" s="475">
        <v>731.73</v>
      </c>
      <c r="Q413" s="475">
        <v>891.1</v>
      </c>
      <c r="R413" s="475">
        <v>10938.96</v>
      </c>
      <c r="S413" s="475">
        <v>9.0399999999999991</v>
      </c>
      <c r="T413" s="475">
        <v>37458</v>
      </c>
      <c r="U413" s="475">
        <v>69</v>
      </c>
      <c r="V413" s="475"/>
      <c r="W413" s="475"/>
      <c r="X413" s="475">
        <v>7995.37</v>
      </c>
      <c r="Y413" s="475">
        <v>0</v>
      </c>
      <c r="Z413" s="475"/>
      <c r="AA413" s="338"/>
      <c r="AB413" s="475">
        <v>225.9</v>
      </c>
      <c r="AC413" s="476">
        <v>0.4</v>
      </c>
      <c r="AD413" s="475"/>
      <c r="AE413" s="338"/>
      <c r="AF413" s="505">
        <v>108.69</v>
      </c>
      <c r="AG413" s="476">
        <v>7.11</v>
      </c>
      <c r="AH413" s="505"/>
      <c r="AI413" s="476"/>
      <c r="AJ413" s="505"/>
      <c r="AK413" s="476"/>
    </row>
    <row r="414" spans="1:37">
      <c r="A414" s="492">
        <f t="shared" si="25"/>
        <v>45764</v>
      </c>
      <c r="B414" s="102" t="s">
        <v>1197</v>
      </c>
      <c r="C414" s="110" t="str">
        <f t="shared" si="24"/>
        <v>45764 1200H</v>
      </c>
      <c r="D414" s="471">
        <v>2078</v>
      </c>
      <c r="E414" s="472">
        <v>49.69</v>
      </c>
      <c r="F414" s="471">
        <v>1108.67</v>
      </c>
      <c r="G414" s="472">
        <v>6.2</v>
      </c>
      <c r="H414" s="471">
        <v>75640.86</v>
      </c>
      <c r="I414" s="473">
        <v>925.87</v>
      </c>
      <c r="J414" s="473">
        <v>33591.65</v>
      </c>
      <c r="K414" s="472">
        <v>109.32</v>
      </c>
      <c r="L414" s="471">
        <v>6714.42</v>
      </c>
      <c r="M414" s="473">
        <v>19.05</v>
      </c>
      <c r="N414" s="473">
        <v>34268.400000000001</v>
      </c>
      <c r="O414" s="473">
        <v>29.7</v>
      </c>
      <c r="P414" s="473">
        <v>731.73</v>
      </c>
      <c r="Q414" s="473">
        <v>892.6</v>
      </c>
      <c r="R414" s="473">
        <v>10943.52</v>
      </c>
      <c r="S414" s="473">
        <v>9.0399999999999991</v>
      </c>
      <c r="T414" s="473">
        <v>37465</v>
      </c>
      <c r="U414" s="473">
        <v>69</v>
      </c>
      <c r="V414" s="473"/>
      <c r="W414" s="473"/>
      <c r="X414" s="473">
        <v>8001.57</v>
      </c>
      <c r="Y414" s="473">
        <v>0</v>
      </c>
      <c r="Z414" s="473"/>
      <c r="AA414" s="472"/>
      <c r="AB414" s="473">
        <v>225.9</v>
      </c>
      <c r="AC414" s="474">
        <v>0.4</v>
      </c>
      <c r="AD414" s="473"/>
      <c r="AE414" s="472"/>
      <c r="AF414" s="506">
        <v>108.69</v>
      </c>
      <c r="AG414" s="474">
        <v>7.18</v>
      </c>
      <c r="AH414" s="506"/>
      <c r="AI414" s="474"/>
      <c r="AJ414" s="506"/>
      <c r="AK414" s="474"/>
    </row>
    <row r="415" spans="1:37">
      <c r="A415" s="492">
        <f t="shared" si="25"/>
        <v>45765</v>
      </c>
      <c r="B415" s="102" t="s">
        <v>3267</v>
      </c>
      <c r="C415" s="110" t="str">
        <f t="shared" si="24"/>
        <v>45765 0000H</v>
      </c>
      <c r="D415" s="337">
        <v>2082.7600000000002</v>
      </c>
      <c r="E415" s="338">
        <v>49.69</v>
      </c>
      <c r="F415" s="337">
        <v>1108.67</v>
      </c>
      <c r="G415" s="338">
        <v>6.2</v>
      </c>
      <c r="H415" s="337">
        <v>75655.14</v>
      </c>
      <c r="I415" s="475">
        <v>925.87</v>
      </c>
      <c r="J415" s="475">
        <v>33594.980000000003</v>
      </c>
      <c r="K415" s="338">
        <v>109.36</v>
      </c>
      <c r="L415" s="337">
        <v>6720.27</v>
      </c>
      <c r="M415" s="475">
        <v>19.05</v>
      </c>
      <c r="N415" s="475">
        <v>34275.699999999997</v>
      </c>
      <c r="O415" s="475">
        <v>29.7</v>
      </c>
      <c r="P415" s="475">
        <v>731.73</v>
      </c>
      <c r="Q415" s="475">
        <v>894.47</v>
      </c>
      <c r="R415" s="475">
        <v>10949.08</v>
      </c>
      <c r="S415" s="475">
        <v>9.0399999999999991</v>
      </c>
      <c r="T415" s="475">
        <v>37472</v>
      </c>
      <c r="U415" s="475">
        <v>69</v>
      </c>
      <c r="V415" s="475"/>
      <c r="W415" s="475"/>
      <c r="X415" s="475">
        <v>8008.82</v>
      </c>
      <c r="Y415" s="475">
        <v>0</v>
      </c>
      <c r="Z415" s="475"/>
      <c r="AA415" s="338"/>
      <c r="AB415" s="475">
        <v>225.95</v>
      </c>
      <c r="AC415" s="476">
        <v>0.4</v>
      </c>
      <c r="AD415" s="475"/>
      <c r="AE415" s="338"/>
      <c r="AF415" s="505">
        <v>108.69</v>
      </c>
      <c r="AG415" s="476">
        <v>7.26</v>
      </c>
      <c r="AH415" s="505"/>
      <c r="AI415" s="476"/>
      <c r="AJ415" s="505"/>
      <c r="AK415" s="476"/>
    </row>
    <row r="416" spans="1:37">
      <c r="A416" s="492">
        <f t="shared" si="25"/>
        <v>45765</v>
      </c>
      <c r="B416" s="102" t="s">
        <v>1197</v>
      </c>
      <c r="C416" s="110" t="str">
        <f t="shared" si="24"/>
        <v>45765 1200H</v>
      </c>
      <c r="D416" s="471">
        <v>2086.3200000000002</v>
      </c>
      <c r="E416" s="472">
        <v>49.69</v>
      </c>
      <c r="F416" s="471">
        <v>1108.67</v>
      </c>
      <c r="G416" s="472">
        <v>6.2</v>
      </c>
      <c r="H416" s="471">
        <v>75658.13</v>
      </c>
      <c r="I416" s="473">
        <v>926.5</v>
      </c>
      <c r="J416" s="473">
        <v>33594.980000000003</v>
      </c>
      <c r="K416" s="472">
        <v>109.41</v>
      </c>
      <c r="L416" s="471">
        <v>6726</v>
      </c>
      <c r="M416" s="473">
        <v>19.05</v>
      </c>
      <c r="N416" s="473">
        <v>34283.300000000003</v>
      </c>
      <c r="O416" s="473">
        <v>29.7</v>
      </c>
      <c r="P416" s="473">
        <v>731.73</v>
      </c>
      <c r="Q416" s="473">
        <v>895.91</v>
      </c>
      <c r="R416" s="473">
        <v>10953.58</v>
      </c>
      <c r="S416" s="473">
        <v>9.0399999999999991</v>
      </c>
      <c r="T416" s="473">
        <v>37478</v>
      </c>
      <c r="U416" s="473">
        <v>69</v>
      </c>
      <c r="V416" s="473"/>
      <c r="W416" s="473"/>
      <c r="X416" s="473">
        <v>8014.89</v>
      </c>
      <c r="Y416" s="473">
        <v>0</v>
      </c>
      <c r="Z416" s="473"/>
      <c r="AA416" s="472"/>
      <c r="AB416" s="473">
        <v>225.95</v>
      </c>
      <c r="AC416" s="474">
        <v>0.4</v>
      </c>
      <c r="AD416" s="473"/>
      <c r="AE416" s="472"/>
      <c r="AF416" s="506">
        <v>108.69</v>
      </c>
      <c r="AG416" s="474">
        <v>7.3</v>
      </c>
      <c r="AH416" s="506"/>
      <c r="AI416" s="474"/>
      <c r="AJ416" s="506"/>
      <c r="AK416" s="474"/>
    </row>
    <row r="417" spans="1:37">
      <c r="A417" s="492">
        <f t="shared" si="25"/>
        <v>45766</v>
      </c>
      <c r="B417" s="102" t="s">
        <v>3267</v>
      </c>
      <c r="C417" s="110" t="str">
        <f t="shared" si="24"/>
        <v>45766 0000H</v>
      </c>
      <c r="D417" s="337">
        <v>2090.27</v>
      </c>
      <c r="E417" s="338">
        <v>49.69</v>
      </c>
      <c r="F417" s="337">
        <v>1108.67</v>
      </c>
      <c r="G417" s="338">
        <v>6.2</v>
      </c>
      <c r="H417" s="337">
        <v>75666.77</v>
      </c>
      <c r="I417" s="475">
        <v>926.2</v>
      </c>
      <c r="J417" s="475">
        <v>33597.96</v>
      </c>
      <c r="K417" s="338">
        <v>109.43</v>
      </c>
      <c r="L417" s="337">
        <v>6731.79</v>
      </c>
      <c r="M417" s="475">
        <v>19.05</v>
      </c>
      <c r="N417" s="475">
        <v>34291.300000000003</v>
      </c>
      <c r="O417" s="475">
        <v>29.7</v>
      </c>
      <c r="P417" s="475">
        <v>731.73</v>
      </c>
      <c r="Q417" s="475">
        <v>897.2</v>
      </c>
      <c r="R417" s="475">
        <v>10958.99</v>
      </c>
      <c r="S417" s="475">
        <v>9.0399999999999991</v>
      </c>
      <c r="T417" s="475">
        <v>37486</v>
      </c>
      <c r="U417" s="475">
        <v>69</v>
      </c>
      <c r="V417" s="475"/>
      <c r="W417" s="475"/>
      <c r="X417" s="475">
        <v>8021.02</v>
      </c>
      <c r="Y417" s="475">
        <v>0</v>
      </c>
      <c r="Z417" s="475"/>
      <c r="AA417" s="338"/>
      <c r="AB417" s="475">
        <v>225.95</v>
      </c>
      <c r="AC417" s="476">
        <v>0.4</v>
      </c>
      <c r="AD417" s="475"/>
      <c r="AE417" s="338"/>
      <c r="AF417" s="505">
        <v>108.69</v>
      </c>
      <c r="AG417" s="476">
        <v>7.38</v>
      </c>
      <c r="AH417" s="505"/>
      <c r="AI417" s="476"/>
      <c r="AJ417" s="505"/>
      <c r="AK417" s="476"/>
    </row>
    <row r="418" spans="1:37">
      <c r="A418" s="492">
        <f t="shared" si="25"/>
        <v>45766</v>
      </c>
      <c r="B418" s="102" t="s">
        <v>1197</v>
      </c>
      <c r="C418" s="110" t="str">
        <f t="shared" si="24"/>
        <v>45766 1200H</v>
      </c>
      <c r="D418" s="471">
        <v>2094.16</v>
      </c>
      <c r="E418" s="472">
        <v>49.69</v>
      </c>
      <c r="F418" s="471">
        <v>1108.67</v>
      </c>
      <c r="G418" s="472">
        <v>6.2</v>
      </c>
      <c r="H418" s="471">
        <v>75671.820000000007</v>
      </c>
      <c r="I418" s="473">
        <v>926.33</v>
      </c>
      <c r="J418" s="473">
        <v>33598.65</v>
      </c>
      <c r="K418" s="472">
        <v>109.47</v>
      </c>
      <c r="L418" s="471">
        <v>6737.55</v>
      </c>
      <c r="M418" s="473">
        <v>19.05</v>
      </c>
      <c r="N418" s="473">
        <v>34298.5</v>
      </c>
      <c r="O418" s="473">
        <v>29.7</v>
      </c>
      <c r="P418" s="473">
        <v>731.73</v>
      </c>
      <c r="Q418" s="473">
        <v>898.58</v>
      </c>
      <c r="R418" s="473">
        <v>10963.89</v>
      </c>
      <c r="S418" s="473">
        <v>9.0399999999999991</v>
      </c>
      <c r="T418" s="473">
        <v>37492</v>
      </c>
      <c r="U418" s="473">
        <v>69</v>
      </c>
      <c r="V418" s="473"/>
      <c r="W418" s="473"/>
      <c r="X418" s="473">
        <v>8027.86</v>
      </c>
      <c r="Y418" s="473">
        <v>0</v>
      </c>
      <c r="Z418" s="473"/>
      <c r="AA418" s="472"/>
      <c r="AB418" s="473">
        <v>225.95</v>
      </c>
      <c r="AC418" s="474">
        <v>0.4</v>
      </c>
      <c r="AD418" s="473"/>
      <c r="AE418" s="472"/>
      <c r="AF418" s="506">
        <v>108.69</v>
      </c>
      <c r="AG418" s="474">
        <v>7.43</v>
      </c>
      <c r="AH418" s="506"/>
      <c r="AI418" s="474"/>
      <c r="AJ418" s="506"/>
      <c r="AK418" s="474"/>
    </row>
    <row r="419" spans="1:37">
      <c r="A419" s="492">
        <f t="shared" si="25"/>
        <v>45767</v>
      </c>
      <c r="B419" s="102" t="s">
        <v>3267</v>
      </c>
      <c r="C419" s="110" t="str">
        <f t="shared" si="24"/>
        <v>45767 0000H</v>
      </c>
      <c r="D419" s="337">
        <v>2099.08</v>
      </c>
      <c r="E419" s="338">
        <v>49.69</v>
      </c>
      <c r="F419" s="337">
        <v>1108.67</v>
      </c>
      <c r="G419" s="338">
        <v>6.2</v>
      </c>
      <c r="H419" s="337">
        <v>75687.960000000006</v>
      </c>
      <c r="I419" s="475">
        <v>926.33</v>
      </c>
      <c r="J419" s="475">
        <v>33602.15</v>
      </c>
      <c r="K419" s="338">
        <v>109.48</v>
      </c>
      <c r="L419" s="337">
        <v>6743.34</v>
      </c>
      <c r="M419" s="475">
        <v>19.05</v>
      </c>
      <c r="N419" s="475">
        <v>34306.5</v>
      </c>
      <c r="O419" s="475">
        <v>29.7</v>
      </c>
      <c r="P419" s="475">
        <v>731.73</v>
      </c>
      <c r="Q419" s="475">
        <v>900.18</v>
      </c>
      <c r="R419" s="475">
        <v>10969.6</v>
      </c>
      <c r="S419" s="475">
        <v>9.0399999999999991</v>
      </c>
      <c r="T419" s="475">
        <v>37500</v>
      </c>
      <c r="U419" s="475">
        <v>69</v>
      </c>
      <c r="V419" s="475"/>
      <c r="W419" s="475"/>
      <c r="X419" s="475">
        <v>8035</v>
      </c>
      <c r="Y419" s="475">
        <v>0</v>
      </c>
      <c r="Z419" s="475"/>
      <c r="AA419" s="338"/>
      <c r="AB419" s="475">
        <v>225.95</v>
      </c>
      <c r="AC419" s="476">
        <v>0.4</v>
      </c>
      <c r="AD419" s="475"/>
      <c r="AE419" s="338"/>
      <c r="AF419" s="505">
        <v>109.35</v>
      </c>
      <c r="AG419" s="476">
        <v>7.46</v>
      </c>
      <c r="AH419" s="505"/>
      <c r="AI419" s="476"/>
      <c r="AJ419" s="505"/>
      <c r="AK419" s="476"/>
    </row>
    <row r="420" spans="1:37">
      <c r="A420" s="492">
        <f t="shared" si="25"/>
        <v>45767</v>
      </c>
      <c r="B420" s="102" t="s">
        <v>1197</v>
      </c>
      <c r="C420" s="110" t="str">
        <f t="shared" si="24"/>
        <v>45767 1200H</v>
      </c>
      <c r="D420" s="471">
        <v>2104.13</v>
      </c>
      <c r="E420" s="472">
        <v>49.69</v>
      </c>
      <c r="F420" s="471">
        <v>1108.67</v>
      </c>
      <c r="G420" s="472">
        <v>6.2</v>
      </c>
      <c r="H420" s="471">
        <v>75690.899999999994</v>
      </c>
      <c r="I420" s="473">
        <v>926.62</v>
      </c>
      <c r="J420" s="473">
        <v>33602.92</v>
      </c>
      <c r="K420" s="472">
        <v>109.53</v>
      </c>
      <c r="L420" s="471">
        <v>6748.96</v>
      </c>
      <c r="M420" s="473">
        <v>19.05</v>
      </c>
      <c r="N420" s="473">
        <v>34313.599999999999</v>
      </c>
      <c r="O420" s="473">
        <v>29.7</v>
      </c>
      <c r="P420" s="473">
        <v>731.73</v>
      </c>
      <c r="Q420" s="473">
        <v>902.01</v>
      </c>
      <c r="R420" s="473">
        <v>10974.47</v>
      </c>
      <c r="S420" s="473">
        <v>9.0399999999999991</v>
      </c>
      <c r="T420" s="473">
        <v>37507</v>
      </c>
      <c r="U420" s="473">
        <v>69</v>
      </c>
      <c r="V420" s="473"/>
      <c r="W420" s="473"/>
      <c r="X420" s="473">
        <v>8039.58</v>
      </c>
      <c r="Y420" s="473">
        <v>0</v>
      </c>
      <c r="Z420" s="473"/>
      <c r="AA420" s="472"/>
      <c r="AB420" s="473">
        <v>225.95</v>
      </c>
      <c r="AC420" s="474">
        <v>0.4</v>
      </c>
      <c r="AD420" s="473"/>
      <c r="AE420" s="472"/>
      <c r="AF420" s="506">
        <v>109.35</v>
      </c>
      <c r="AG420" s="474">
        <v>7.53</v>
      </c>
      <c r="AH420" s="506"/>
      <c r="AI420" s="474"/>
      <c r="AJ420" s="506"/>
      <c r="AK420" s="474"/>
    </row>
    <row r="421" spans="1:37">
      <c r="A421" s="492">
        <f t="shared" si="25"/>
        <v>45768</v>
      </c>
      <c r="B421" s="102" t="s">
        <v>3267</v>
      </c>
      <c r="C421" s="110" t="str">
        <f t="shared" si="24"/>
        <v>45768 0000H</v>
      </c>
      <c r="D421" s="337">
        <v>2108.56</v>
      </c>
      <c r="E421" s="338">
        <v>49.69</v>
      </c>
      <c r="F421" s="337">
        <v>1108.67</v>
      </c>
      <c r="G421" s="338">
        <v>6.2</v>
      </c>
      <c r="H421" s="337">
        <v>75708.600000000006</v>
      </c>
      <c r="I421" s="475">
        <v>926.62</v>
      </c>
      <c r="J421" s="475">
        <v>33606.629999999997</v>
      </c>
      <c r="K421" s="338">
        <v>109.53</v>
      </c>
      <c r="L421" s="337">
        <v>6754.77</v>
      </c>
      <c r="M421" s="475">
        <v>19.05</v>
      </c>
      <c r="N421" s="475">
        <v>34321.599999999999</v>
      </c>
      <c r="O421" s="475">
        <v>29.7</v>
      </c>
      <c r="P421" s="475">
        <v>731.73</v>
      </c>
      <c r="Q421" s="475">
        <v>903.9</v>
      </c>
      <c r="R421" s="475">
        <v>10980.16</v>
      </c>
      <c r="S421" s="475">
        <v>9.0399999999999991</v>
      </c>
      <c r="T421" s="475">
        <v>37514</v>
      </c>
      <c r="U421" s="475">
        <v>69</v>
      </c>
      <c r="V421" s="475"/>
      <c r="W421" s="475"/>
      <c r="X421" s="475">
        <v>8047.12</v>
      </c>
      <c r="Y421" s="475">
        <v>0</v>
      </c>
      <c r="Z421" s="475"/>
      <c r="AA421" s="338"/>
      <c r="AB421" s="475">
        <v>225.95</v>
      </c>
      <c r="AC421" s="476">
        <v>0.4</v>
      </c>
      <c r="AD421" s="475"/>
      <c r="AE421" s="338"/>
      <c r="AF421" s="505">
        <v>111.37</v>
      </c>
      <c r="AG421" s="476">
        <v>7.56</v>
      </c>
      <c r="AH421" s="505"/>
      <c r="AI421" s="476"/>
      <c r="AJ421" s="505"/>
      <c r="AK421" s="476"/>
    </row>
    <row r="422" spans="1:37">
      <c r="A422" s="492">
        <f t="shared" si="25"/>
        <v>45768</v>
      </c>
      <c r="B422" s="102" t="s">
        <v>1197</v>
      </c>
      <c r="C422" s="110" t="str">
        <f t="shared" si="24"/>
        <v>45768 1200H</v>
      </c>
      <c r="D422" s="471">
        <v>2112.09</v>
      </c>
      <c r="E422" s="472">
        <v>49.7</v>
      </c>
      <c r="F422" s="471">
        <v>1108.67</v>
      </c>
      <c r="G422" s="472">
        <v>6.2</v>
      </c>
      <c r="H422" s="471">
        <v>75721.31</v>
      </c>
      <c r="I422" s="473">
        <v>926.62</v>
      </c>
      <c r="J422" s="473">
        <v>33609.19</v>
      </c>
      <c r="K422" s="472">
        <v>109.56</v>
      </c>
      <c r="L422" s="471">
        <v>6760.5</v>
      </c>
      <c r="M422" s="473">
        <v>19.05</v>
      </c>
      <c r="N422" s="473">
        <v>34329.5</v>
      </c>
      <c r="O422" s="473">
        <v>29.7</v>
      </c>
      <c r="P422" s="473">
        <v>731.74</v>
      </c>
      <c r="Q422" s="473">
        <v>905.4</v>
      </c>
      <c r="R422" s="473">
        <v>10989.9</v>
      </c>
      <c r="S422" s="473">
        <v>9.0399999999999991</v>
      </c>
      <c r="T422" s="473">
        <v>37521</v>
      </c>
      <c r="U422" s="473">
        <v>69</v>
      </c>
      <c r="V422" s="473"/>
      <c r="W422" s="473"/>
      <c r="X422" s="473">
        <v>8053.19</v>
      </c>
      <c r="Y422" s="473">
        <v>0</v>
      </c>
      <c r="Z422" s="473"/>
      <c r="AA422" s="472"/>
      <c r="AB422" s="473">
        <v>225.95</v>
      </c>
      <c r="AC422" s="474">
        <v>0.4</v>
      </c>
      <c r="AD422" s="473"/>
      <c r="AE422" s="472"/>
      <c r="AF422" s="506">
        <v>113.33</v>
      </c>
      <c r="AG422" s="474">
        <v>7.61</v>
      </c>
      <c r="AH422" s="506"/>
      <c r="AI422" s="474"/>
      <c r="AJ422" s="506"/>
      <c r="AK422" s="474"/>
    </row>
    <row r="423" spans="1:37">
      <c r="A423" s="492">
        <f t="shared" si="25"/>
        <v>45769</v>
      </c>
      <c r="B423" s="102" t="s">
        <v>3267</v>
      </c>
      <c r="C423" s="110" t="str">
        <f t="shared" si="24"/>
        <v>45769 0000H</v>
      </c>
      <c r="D423" s="337">
        <v>2118.4299999999998</v>
      </c>
      <c r="E423" s="338">
        <v>49.7</v>
      </c>
      <c r="F423" s="337">
        <v>1108.67</v>
      </c>
      <c r="G423" s="338">
        <v>6.2</v>
      </c>
      <c r="H423" s="337">
        <v>75738.37</v>
      </c>
      <c r="I423" s="475">
        <v>926.62</v>
      </c>
      <c r="J423" s="475">
        <v>33612.800000000003</v>
      </c>
      <c r="K423" s="338">
        <v>109.56</v>
      </c>
      <c r="L423" s="337">
        <v>6766.26</v>
      </c>
      <c r="M423" s="475">
        <v>19.05</v>
      </c>
      <c r="N423" s="475">
        <v>34337.1</v>
      </c>
      <c r="O423" s="475">
        <v>29.7</v>
      </c>
      <c r="P423" s="475">
        <v>732</v>
      </c>
      <c r="Q423" s="475">
        <v>906.32</v>
      </c>
      <c r="R423" s="475">
        <v>10991.03</v>
      </c>
      <c r="S423" s="475">
        <v>9.0399999999999991</v>
      </c>
      <c r="T423" s="475">
        <v>37529</v>
      </c>
      <c r="U423" s="475">
        <v>69</v>
      </c>
      <c r="V423" s="475"/>
      <c r="W423" s="475"/>
      <c r="X423" s="475">
        <v>8061.82</v>
      </c>
      <c r="Y423" s="475">
        <v>0</v>
      </c>
      <c r="Z423" s="475"/>
      <c r="AA423" s="338"/>
      <c r="AB423" s="475">
        <v>258.67</v>
      </c>
      <c r="AC423" s="476">
        <v>0.4</v>
      </c>
      <c r="AD423" s="475"/>
      <c r="AE423" s="338"/>
      <c r="AF423" s="505">
        <v>114.69</v>
      </c>
      <c r="AG423" s="476">
        <v>7.69</v>
      </c>
      <c r="AH423" s="505"/>
      <c r="AI423" s="476"/>
      <c r="AJ423" s="505"/>
      <c r="AK423" s="476"/>
    </row>
    <row r="424" spans="1:37">
      <c r="A424" s="492">
        <f t="shared" si="25"/>
        <v>45769</v>
      </c>
      <c r="B424" s="102" t="s">
        <v>1197</v>
      </c>
      <c r="C424" s="110" t="str">
        <f t="shared" si="24"/>
        <v>45769 1200H</v>
      </c>
      <c r="D424" s="471">
        <v>2123.5</v>
      </c>
      <c r="E424" s="472">
        <v>49.7</v>
      </c>
      <c r="F424" s="471">
        <v>1108.67</v>
      </c>
      <c r="G424" s="472">
        <v>6.2</v>
      </c>
      <c r="H424" s="471">
        <v>75743.81</v>
      </c>
      <c r="I424" s="473">
        <v>926.98</v>
      </c>
      <c r="J424" s="473">
        <v>33614.269999999997</v>
      </c>
      <c r="K424" s="472">
        <v>109.6</v>
      </c>
      <c r="L424" s="471">
        <v>6772.07</v>
      </c>
      <c r="M424" s="473">
        <v>19.05</v>
      </c>
      <c r="N424" s="473">
        <v>34344.800000000003</v>
      </c>
      <c r="O424" s="473">
        <v>29.7</v>
      </c>
      <c r="P424" s="473">
        <v>732</v>
      </c>
      <c r="Q424" s="473">
        <v>907.85</v>
      </c>
      <c r="R424" s="473">
        <v>10996.05</v>
      </c>
      <c r="S424" s="473">
        <v>9.0399999999999991</v>
      </c>
      <c r="T424" s="473">
        <v>37537</v>
      </c>
      <c r="U424" s="473">
        <v>69</v>
      </c>
      <c r="V424" s="473"/>
      <c r="W424" s="473"/>
      <c r="X424" s="473">
        <v>8068.55</v>
      </c>
      <c r="Y424" s="473">
        <v>0</v>
      </c>
      <c r="Z424" s="473"/>
      <c r="AA424" s="472"/>
      <c r="AB424" s="473">
        <v>258.67</v>
      </c>
      <c r="AC424" s="474">
        <v>0.4</v>
      </c>
      <c r="AD424" s="473"/>
      <c r="AE424" s="472"/>
      <c r="AF424" s="506">
        <v>115.92</v>
      </c>
      <c r="AG424" s="474">
        <v>7.76</v>
      </c>
      <c r="AH424" s="506"/>
      <c r="AI424" s="474"/>
      <c r="AJ424" s="506"/>
      <c r="AK424" s="474"/>
    </row>
    <row r="425" spans="1:37">
      <c r="A425" s="492">
        <f t="shared" si="25"/>
        <v>45770</v>
      </c>
      <c r="B425" s="102" t="s">
        <v>3267</v>
      </c>
      <c r="C425" s="110" t="str">
        <f t="shared" si="24"/>
        <v>45770 0000H</v>
      </c>
      <c r="D425" s="337">
        <v>2129.87</v>
      </c>
      <c r="E425" s="338">
        <v>49.7</v>
      </c>
      <c r="F425" s="337">
        <v>1108.67</v>
      </c>
      <c r="G425" s="338">
        <v>6.2</v>
      </c>
      <c r="H425" s="337">
        <v>75759.98</v>
      </c>
      <c r="I425" s="475">
        <v>926.98</v>
      </c>
      <c r="J425" s="475">
        <v>33617.93</v>
      </c>
      <c r="K425" s="338">
        <v>109.6</v>
      </c>
      <c r="L425" s="337">
        <v>6777.82</v>
      </c>
      <c r="M425" s="475">
        <v>19.05</v>
      </c>
      <c r="N425" s="475">
        <v>34352.1</v>
      </c>
      <c r="O425" s="475">
        <v>29.7</v>
      </c>
      <c r="P425" s="475">
        <v>732.01</v>
      </c>
      <c r="Q425" s="475">
        <v>909.26</v>
      </c>
      <c r="R425" s="475">
        <v>11002.9</v>
      </c>
      <c r="S425" s="475">
        <v>9.0399999999999991</v>
      </c>
      <c r="T425" s="475">
        <v>37545</v>
      </c>
      <c r="U425" s="475">
        <v>69</v>
      </c>
      <c r="V425" s="475"/>
      <c r="W425" s="475"/>
      <c r="X425" s="475">
        <v>8076.09</v>
      </c>
      <c r="Y425" s="475">
        <v>0</v>
      </c>
      <c r="Z425" s="475"/>
      <c r="AA425" s="338"/>
      <c r="AB425" s="475">
        <v>259.82</v>
      </c>
      <c r="AC425" s="476">
        <v>0.41</v>
      </c>
      <c r="AD425" s="475"/>
      <c r="AE425" s="338"/>
      <c r="AF425" s="505">
        <v>119.22</v>
      </c>
      <c r="AG425" s="476">
        <v>7.78</v>
      </c>
      <c r="AH425" s="505"/>
      <c r="AI425" s="476"/>
      <c r="AJ425" s="505"/>
      <c r="AK425" s="476"/>
    </row>
    <row r="426" spans="1:37">
      <c r="A426" s="492">
        <f t="shared" si="25"/>
        <v>45770</v>
      </c>
      <c r="B426" s="102" t="s">
        <v>1197</v>
      </c>
      <c r="C426" s="110" t="str">
        <f t="shared" si="24"/>
        <v>45770 1200H</v>
      </c>
      <c r="D426" s="471">
        <v>2134.81</v>
      </c>
      <c r="E426" s="472">
        <v>49.7</v>
      </c>
      <c r="F426" s="471">
        <v>1108.67</v>
      </c>
      <c r="G426" s="472">
        <v>6.2</v>
      </c>
      <c r="H426" s="471">
        <v>75768.23</v>
      </c>
      <c r="I426" s="473">
        <v>927.18</v>
      </c>
      <c r="J426" s="473">
        <v>33619.269999999997</v>
      </c>
      <c r="K426" s="472">
        <v>109.64</v>
      </c>
      <c r="L426" s="471">
        <v>6783.59</v>
      </c>
      <c r="M426" s="473">
        <v>19.05</v>
      </c>
      <c r="N426" s="473">
        <v>34359.199999999997</v>
      </c>
      <c r="O426" s="473">
        <v>29.7</v>
      </c>
      <c r="P426" s="473">
        <v>732.02</v>
      </c>
      <c r="Q426" s="473">
        <v>910.69</v>
      </c>
      <c r="R426" s="473">
        <v>11006.84</v>
      </c>
      <c r="S426" s="473">
        <v>9.0399999999999991</v>
      </c>
      <c r="T426" s="473">
        <v>37552</v>
      </c>
      <c r="U426" s="473">
        <v>69</v>
      </c>
      <c r="V426" s="473"/>
      <c r="W426" s="473"/>
      <c r="X426" s="473">
        <v>8082.54</v>
      </c>
      <c r="Y426" s="473">
        <v>0</v>
      </c>
      <c r="Z426" s="473"/>
      <c r="AA426" s="472"/>
      <c r="AB426" s="473">
        <v>259.82</v>
      </c>
      <c r="AC426" s="474">
        <v>0.41</v>
      </c>
      <c r="AD426" s="473"/>
      <c r="AE426" s="472"/>
      <c r="AF426" s="506">
        <v>120.28</v>
      </c>
      <c r="AG426" s="474">
        <v>7.86</v>
      </c>
      <c r="AH426" s="506"/>
      <c r="AI426" s="474"/>
      <c r="AJ426" s="506"/>
      <c r="AK426" s="474"/>
    </row>
    <row r="427" spans="1:37">
      <c r="A427" s="492">
        <f t="shared" si="25"/>
        <v>45771</v>
      </c>
      <c r="B427" s="102" t="s">
        <v>3267</v>
      </c>
      <c r="C427" s="110" t="str">
        <f t="shared" si="24"/>
        <v>45771 0000H</v>
      </c>
      <c r="D427" s="337">
        <v>2141.13</v>
      </c>
      <c r="E427" s="338">
        <v>49.7</v>
      </c>
      <c r="F427" s="337">
        <v>1108.67</v>
      </c>
      <c r="G427" s="338">
        <v>6.2</v>
      </c>
      <c r="H427" s="337">
        <v>75785.39</v>
      </c>
      <c r="I427" s="475">
        <v>927.18</v>
      </c>
      <c r="J427" s="475">
        <v>33622.980000000003</v>
      </c>
      <c r="K427" s="338">
        <v>109.64</v>
      </c>
      <c r="L427" s="337">
        <v>6789.33</v>
      </c>
      <c r="M427" s="475">
        <v>19.05</v>
      </c>
      <c r="N427" s="475">
        <v>34366.199999999997</v>
      </c>
      <c r="O427" s="475">
        <v>29.7</v>
      </c>
      <c r="P427" s="475">
        <v>732.04</v>
      </c>
      <c r="Q427" s="475">
        <v>911.83</v>
      </c>
      <c r="R427" s="475">
        <v>11012.41</v>
      </c>
      <c r="S427" s="475">
        <v>9.0399999999999991</v>
      </c>
      <c r="T427" s="475">
        <v>37557</v>
      </c>
      <c r="U427" s="475">
        <v>69</v>
      </c>
      <c r="V427" s="475"/>
      <c r="W427" s="475"/>
      <c r="X427" s="475">
        <v>8089.8</v>
      </c>
      <c r="Y427" s="475">
        <v>0</v>
      </c>
      <c r="Z427" s="475"/>
      <c r="AA427" s="338"/>
      <c r="AB427" s="475">
        <v>261.27</v>
      </c>
      <c r="AC427" s="476">
        <v>0.41</v>
      </c>
      <c r="AD427" s="475"/>
      <c r="AE427" s="338"/>
      <c r="AF427" s="505">
        <v>122.41</v>
      </c>
      <c r="AG427" s="476">
        <v>7.88</v>
      </c>
      <c r="AH427" s="505"/>
      <c r="AI427" s="476"/>
      <c r="AJ427" s="505"/>
      <c r="AK427" s="476"/>
    </row>
    <row r="428" spans="1:37">
      <c r="A428" s="492">
        <f t="shared" si="25"/>
        <v>45771</v>
      </c>
      <c r="B428" s="102" t="s">
        <v>1197</v>
      </c>
      <c r="C428" s="110" t="str">
        <f t="shared" si="24"/>
        <v>45771 1200H</v>
      </c>
      <c r="D428" s="471">
        <v>2146.4299999999998</v>
      </c>
      <c r="E428" s="472">
        <v>49.7</v>
      </c>
      <c r="F428" s="471">
        <v>1108.67</v>
      </c>
      <c r="G428" s="472">
        <v>6.2</v>
      </c>
      <c r="H428" s="471">
        <v>75788.27</v>
      </c>
      <c r="I428" s="473">
        <v>927.5</v>
      </c>
      <c r="J428" s="473">
        <v>33626.65</v>
      </c>
      <c r="K428" s="472">
        <v>109.64</v>
      </c>
      <c r="L428" s="471">
        <v>6794.88</v>
      </c>
      <c r="M428" s="473">
        <v>19.05</v>
      </c>
      <c r="N428" s="473">
        <v>34371</v>
      </c>
      <c r="O428" s="473">
        <v>29.7</v>
      </c>
      <c r="P428" s="473">
        <v>732.17</v>
      </c>
      <c r="Q428" s="473">
        <v>912.97</v>
      </c>
      <c r="R428" s="473">
        <v>11017.27</v>
      </c>
      <c r="S428" s="473">
        <v>9.0399999999999991</v>
      </c>
      <c r="T428" s="473">
        <v>37565</v>
      </c>
      <c r="U428" s="473">
        <v>69</v>
      </c>
      <c r="V428" s="473"/>
      <c r="W428" s="473"/>
      <c r="X428" s="473">
        <v>8096.03</v>
      </c>
      <c r="Y428" s="473">
        <v>0</v>
      </c>
      <c r="Z428" s="473"/>
      <c r="AA428" s="472"/>
      <c r="AB428" s="473">
        <v>263</v>
      </c>
      <c r="AC428" s="474">
        <v>0.42</v>
      </c>
      <c r="AD428" s="473"/>
      <c r="AE428" s="472"/>
      <c r="AF428" s="506">
        <v>124</v>
      </c>
      <c r="AG428" s="474">
        <v>7.94</v>
      </c>
      <c r="AH428" s="506"/>
      <c r="AI428" s="474"/>
      <c r="AJ428" s="506"/>
      <c r="AK428" s="474"/>
    </row>
    <row r="429" spans="1:37">
      <c r="A429" s="492">
        <f t="shared" si="25"/>
        <v>45772</v>
      </c>
      <c r="B429" s="102" t="s">
        <v>3267</v>
      </c>
      <c r="C429" s="110" t="str">
        <f t="shared" si="24"/>
        <v>45772 0000H</v>
      </c>
      <c r="D429" s="337">
        <v>2152.7399999999998</v>
      </c>
      <c r="E429" s="338">
        <v>49.7</v>
      </c>
      <c r="F429" s="337">
        <v>1108.67</v>
      </c>
      <c r="G429" s="338">
        <v>6.2</v>
      </c>
      <c r="H429" s="337">
        <v>75805.289999999994</v>
      </c>
      <c r="I429" s="475">
        <v>927.5</v>
      </c>
      <c r="J429" s="475">
        <v>33629.29</v>
      </c>
      <c r="K429" s="338">
        <v>109.66</v>
      </c>
      <c r="L429" s="337">
        <v>6800.62</v>
      </c>
      <c r="M429" s="475">
        <v>19.05</v>
      </c>
      <c r="N429" s="475">
        <v>34377.699999999997</v>
      </c>
      <c r="O429" s="475">
        <v>29.7</v>
      </c>
      <c r="P429" s="475">
        <v>732.42</v>
      </c>
      <c r="Q429" s="475">
        <v>914.16</v>
      </c>
      <c r="R429" s="475">
        <v>11023.35</v>
      </c>
      <c r="S429" s="475">
        <v>9.0399999999999991</v>
      </c>
      <c r="T429" s="475">
        <v>37570</v>
      </c>
      <c r="U429" s="475">
        <v>69</v>
      </c>
      <c r="V429" s="475"/>
      <c r="W429" s="475"/>
      <c r="X429" s="475">
        <v>8103.58</v>
      </c>
      <c r="Y429" s="475">
        <v>0</v>
      </c>
      <c r="Z429" s="475"/>
      <c r="AA429" s="338"/>
      <c r="AB429" s="475">
        <v>266.64999999999998</v>
      </c>
      <c r="AC429" s="476">
        <v>0.42</v>
      </c>
      <c r="AD429" s="475"/>
      <c r="AE429" s="338"/>
      <c r="AF429" s="505">
        <v>127.27</v>
      </c>
      <c r="AG429" s="476">
        <v>7.96</v>
      </c>
      <c r="AH429" s="505"/>
      <c r="AI429" s="476"/>
      <c r="AJ429" s="505"/>
      <c r="AK429" s="476"/>
    </row>
    <row r="430" spans="1:37" ht="14.45" thickBot="1">
      <c r="A430" s="498">
        <f t="shared" si="25"/>
        <v>45772</v>
      </c>
      <c r="B430" s="499" t="s">
        <v>1197</v>
      </c>
      <c r="C430" s="500" t="str">
        <f t="shared" si="24"/>
        <v>45772 1200H</v>
      </c>
      <c r="D430" s="501">
        <v>2157.6799999999998</v>
      </c>
      <c r="E430" s="502">
        <v>49.7</v>
      </c>
      <c r="F430" s="501">
        <v>1108.67</v>
      </c>
      <c r="G430" s="502">
        <v>6.2</v>
      </c>
      <c r="H430" s="501">
        <v>75812.899999999994</v>
      </c>
      <c r="I430" s="503">
        <v>927.27</v>
      </c>
      <c r="J430" s="503">
        <v>33630.57</v>
      </c>
      <c r="K430" s="502">
        <v>109.7</v>
      </c>
      <c r="L430" s="501">
        <v>6806.46</v>
      </c>
      <c r="M430" s="503">
        <v>19.05</v>
      </c>
      <c r="N430" s="503">
        <v>34385.1</v>
      </c>
      <c r="O430" s="503">
        <v>29.7</v>
      </c>
      <c r="P430" s="503">
        <v>732.43</v>
      </c>
      <c r="Q430" s="503">
        <v>915.77</v>
      </c>
      <c r="R430" s="503">
        <v>11028.63</v>
      </c>
      <c r="S430" s="503">
        <v>9.0399999999999991</v>
      </c>
      <c r="T430" s="503">
        <v>37580</v>
      </c>
      <c r="U430" s="503">
        <v>69</v>
      </c>
      <c r="V430" s="503"/>
      <c r="W430" s="503"/>
      <c r="X430" s="503">
        <v>8109.98</v>
      </c>
      <c r="Y430" s="503">
        <v>0</v>
      </c>
      <c r="Z430" s="503"/>
      <c r="AA430" s="502"/>
      <c r="AB430" s="503">
        <v>266.77999999999997</v>
      </c>
      <c r="AC430" s="504">
        <v>0.42</v>
      </c>
      <c r="AD430" s="503"/>
      <c r="AE430" s="502"/>
      <c r="AF430" s="513">
        <v>129.21</v>
      </c>
      <c r="AG430" s="504">
        <v>8</v>
      </c>
      <c r="AH430" s="513"/>
      <c r="AI430" s="504"/>
      <c r="AJ430" s="513"/>
      <c r="AK430" s="504"/>
    </row>
    <row r="431" spans="1:37" s="479" customFormat="1" ht="14.45" thickBot="1">
      <c r="A431" s="477"/>
      <c r="B431" s="477"/>
      <c r="C431" s="477"/>
      <c r="D431" s="478"/>
      <c r="E431" s="478"/>
      <c r="F431" s="478"/>
      <c r="G431" s="478"/>
      <c r="H431" s="478"/>
      <c r="I431" s="478"/>
      <c r="J431" s="478"/>
      <c r="K431" s="478"/>
      <c r="L431" s="478"/>
      <c r="M431" s="478"/>
      <c r="N431" s="478"/>
      <c r="O431" s="478"/>
      <c r="P431" s="478"/>
      <c r="Q431" s="478"/>
      <c r="R431" s="478"/>
      <c r="S431" s="478"/>
      <c r="T431" s="478"/>
      <c r="U431" s="478"/>
      <c r="V431" s="478"/>
      <c r="W431" s="478"/>
      <c r="X431" s="478"/>
      <c r="Y431" s="478"/>
      <c r="Z431" s="478"/>
      <c r="AA431" s="478"/>
      <c r="AB431" s="478"/>
      <c r="AC431" s="478"/>
      <c r="AD431" s="478"/>
      <c r="AE431" s="478"/>
      <c r="AF431" s="511"/>
      <c r="AG431" s="512"/>
      <c r="AH431" s="511"/>
      <c r="AI431" s="512"/>
      <c r="AJ431" s="511"/>
      <c r="AK431" s="512"/>
    </row>
    <row r="432" spans="1:37">
      <c r="A432" s="485">
        <f>A429+1</f>
        <v>45773</v>
      </c>
      <c r="B432" s="486" t="s">
        <v>3267</v>
      </c>
      <c r="C432" s="487" t="str">
        <f t="shared" ref="C432:C463" si="26">A432 &amp; " " &amp;B432</f>
        <v>45773 0000H</v>
      </c>
      <c r="D432" s="488">
        <v>2163.6999999999998</v>
      </c>
      <c r="E432" s="489">
        <v>49.7</v>
      </c>
      <c r="F432" s="488">
        <v>1108.67</v>
      </c>
      <c r="G432" s="489">
        <v>6.2</v>
      </c>
      <c r="H432" s="488">
        <v>75829.33</v>
      </c>
      <c r="I432" s="490">
        <v>927.72</v>
      </c>
      <c r="J432" s="490">
        <v>33634.080000000002</v>
      </c>
      <c r="K432" s="489">
        <v>109.7</v>
      </c>
      <c r="L432" s="488">
        <v>6812.2</v>
      </c>
      <c r="M432" s="490">
        <v>19.05</v>
      </c>
      <c r="N432" s="490">
        <v>34392.6</v>
      </c>
      <c r="O432" s="490">
        <v>29.7</v>
      </c>
      <c r="P432" s="490">
        <v>732.43</v>
      </c>
      <c r="Q432" s="490">
        <v>917.75</v>
      </c>
      <c r="R432" s="490">
        <v>11034.41</v>
      </c>
      <c r="S432" s="490">
        <v>9.0399999999999991</v>
      </c>
      <c r="T432" s="490">
        <v>37589</v>
      </c>
      <c r="U432" s="490">
        <v>69</v>
      </c>
      <c r="V432" s="490"/>
      <c r="W432" s="490"/>
      <c r="X432" s="490">
        <v>8117.67</v>
      </c>
      <c r="Y432" s="490">
        <v>0</v>
      </c>
      <c r="Z432" s="490"/>
      <c r="AA432" s="489"/>
      <c r="AB432" s="490">
        <v>266.77999999999997</v>
      </c>
      <c r="AC432" s="491">
        <v>0.42</v>
      </c>
      <c r="AD432" s="490"/>
      <c r="AE432" s="489"/>
      <c r="AF432" s="509">
        <v>131.49</v>
      </c>
      <c r="AG432" s="491">
        <v>8.0299999999999994</v>
      </c>
      <c r="AH432" s="509"/>
      <c r="AI432" s="491"/>
      <c r="AJ432" s="509"/>
      <c r="AK432" s="491"/>
    </row>
    <row r="433" spans="1:37">
      <c r="A433" s="492">
        <f>A430+1</f>
        <v>45773</v>
      </c>
      <c r="B433" s="102" t="s">
        <v>1197</v>
      </c>
      <c r="C433" s="110" t="str">
        <f t="shared" si="26"/>
        <v>45773 1200H</v>
      </c>
      <c r="D433" s="471">
        <v>2169</v>
      </c>
      <c r="E433" s="472">
        <v>49.7</v>
      </c>
      <c r="F433" s="471">
        <v>1108.67</v>
      </c>
      <c r="G433" s="472">
        <v>6.2</v>
      </c>
      <c r="H433" s="471">
        <v>75834.259999999995</v>
      </c>
      <c r="I433" s="473">
        <v>927.89</v>
      </c>
      <c r="J433" s="473">
        <v>33635.1</v>
      </c>
      <c r="K433" s="472">
        <v>109.75</v>
      </c>
      <c r="L433" s="471">
        <v>6817.82</v>
      </c>
      <c r="M433" s="473">
        <v>19.05</v>
      </c>
      <c r="N433" s="473">
        <v>34399.5</v>
      </c>
      <c r="O433" s="473">
        <v>29.7</v>
      </c>
      <c r="P433" s="473">
        <v>732.43</v>
      </c>
      <c r="Q433" s="473">
        <v>919.67</v>
      </c>
      <c r="R433" s="473">
        <v>11039.38</v>
      </c>
      <c r="S433" s="473">
        <v>9.0399999999999991</v>
      </c>
      <c r="T433" s="473">
        <v>37596</v>
      </c>
      <c r="U433" s="473">
        <v>69</v>
      </c>
      <c r="V433" s="473"/>
      <c r="W433" s="473"/>
      <c r="X433" s="473">
        <v>8124.22</v>
      </c>
      <c r="Y433" s="473">
        <v>0</v>
      </c>
      <c r="Z433" s="473"/>
      <c r="AA433" s="472"/>
      <c r="AB433" s="473">
        <v>266.77999999999997</v>
      </c>
      <c r="AC433" s="474">
        <v>0.42</v>
      </c>
      <c r="AD433" s="473"/>
      <c r="AE433" s="472"/>
      <c r="AF433" s="506">
        <v>131.49</v>
      </c>
      <c r="AG433" s="474">
        <v>8.08</v>
      </c>
      <c r="AH433" s="506"/>
      <c r="AI433" s="474"/>
      <c r="AJ433" s="506"/>
      <c r="AK433" s="474"/>
    </row>
    <row r="434" spans="1:37">
      <c r="A434" s="492">
        <f t="shared" ref="A434:A465" si="27">A432+1</f>
        <v>45774</v>
      </c>
      <c r="B434" s="102" t="s">
        <v>3267</v>
      </c>
      <c r="C434" s="110" t="str">
        <f t="shared" si="26"/>
        <v>45774 0000H</v>
      </c>
      <c r="D434" s="337">
        <v>2174.79</v>
      </c>
      <c r="E434" s="338">
        <v>49.7</v>
      </c>
      <c r="F434" s="337">
        <v>1108.67</v>
      </c>
      <c r="G434" s="338">
        <v>6.2</v>
      </c>
      <c r="H434" s="337">
        <v>75844.31</v>
      </c>
      <c r="I434" s="475">
        <v>927.89</v>
      </c>
      <c r="J434" s="475">
        <v>33638.519999999997</v>
      </c>
      <c r="K434" s="338">
        <v>109.7</v>
      </c>
      <c r="L434" s="337">
        <v>6823.61</v>
      </c>
      <c r="M434" s="475">
        <v>19.05</v>
      </c>
      <c r="N434" s="475">
        <v>34406.9</v>
      </c>
      <c r="O434" s="475">
        <v>29.7</v>
      </c>
      <c r="P434" s="475">
        <v>732.43</v>
      </c>
      <c r="Q434" s="475">
        <v>921.47</v>
      </c>
      <c r="R434" s="475">
        <v>11044.98</v>
      </c>
      <c r="S434" s="475">
        <v>9.0399999999999991</v>
      </c>
      <c r="T434" s="475">
        <v>37604</v>
      </c>
      <c r="U434" s="475">
        <v>69</v>
      </c>
      <c r="V434" s="475"/>
      <c r="W434" s="475"/>
      <c r="X434" s="475">
        <v>8131.66</v>
      </c>
      <c r="Y434" s="475">
        <v>0</v>
      </c>
      <c r="Z434" s="475"/>
      <c r="AA434" s="338"/>
      <c r="AB434" s="475">
        <v>266.77999999999997</v>
      </c>
      <c r="AC434" s="476">
        <v>0.42</v>
      </c>
      <c r="AD434" s="475"/>
      <c r="AE434" s="338"/>
      <c r="AF434" s="505">
        <v>131.49</v>
      </c>
      <c r="AG434" s="476">
        <v>8.19</v>
      </c>
      <c r="AH434" s="505"/>
      <c r="AI434" s="476"/>
      <c r="AJ434" s="505"/>
      <c r="AK434" s="476"/>
    </row>
    <row r="435" spans="1:37">
      <c r="A435" s="492">
        <f t="shared" si="27"/>
        <v>45774</v>
      </c>
      <c r="B435" s="102" t="s">
        <v>1197</v>
      </c>
      <c r="C435" s="110" t="str">
        <f t="shared" si="26"/>
        <v>45774 1200H</v>
      </c>
      <c r="D435" s="471">
        <v>2177.6799999999998</v>
      </c>
      <c r="E435" s="472">
        <v>49.7</v>
      </c>
      <c r="F435" s="471">
        <v>1108.67</v>
      </c>
      <c r="G435" s="472">
        <v>6.2</v>
      </c>
      <c r="H435" s="471">
        <v>75854.62</v>
      </c>
      <c r="I435" s="473">
        <v>927.9</v>
      </c>
      <c r="J435" s="473">
        <v>33638.720000000001</v>
      </c>
      <c r="K435" s="472">
        <v>109.8</v>
      </c>
      <c r="L435" s="471">
        <v>6829.09</v>
      </c>
      <c r="M435" s="473">
        <v>19.05</v>
      </c>
      <c r="N435" s="473">
        <v>34414</v>
      </c>
      <c r="O435" s="473">
        <v>29.7</v>
      </c>
      <c r="P435" s="473">
        <v>732.45</v>
      </c>
      <c r="Q435" s="473">
        <v>923.04</v>
      </c>
      <c r="R435" s="473">
        <v>11049.49</v>
      </c>
      <c r="S435" s="473">
        <v>9.0399999999999991</v>
      </c>
      <c r="T435" s="473">
        <v>37610</v>
      </c>
      <c r="U435" s="473">
        <v>69</v>
      </c>
      <c r="V435" s="473"/>
      <c r="W435" s="473"/>
      <c r="X435" s="473">
        <v>8138.1</v>
      </c>
      <c r="Y435" s="473">
        <v>0</v>
      </c>
      <c r="Z435" s="473"/>
      <c r="AA435" s="472"/>
      <c r="AB435" s="473">
        <v>266.77999999999997</v>
      </c>
      <c r="AC435" s="474">
        <v>0.42</v>
      </c>
      <c r="AD435" s="473"/>
      <c r="AE435" s="472"/>
      <c r="AF435" s="506">
        <v>131.49</v>
      </c>
      <c r="AG435" s="474">
        <v>8.3000000000000007</v>
      </c>
      <c r="AH435" s="506"/>
      <c r="AI435" s="474"/>
      <c r="AJ435" s="506"/>
      <c r="AK435" s="474"/>
    </row>
    <row r="436" spans="1:37">
      <c r="A436" s="492">
        <f t="shared" si="27"/>
        <v>45775</v>
      </c>
      <c r="B436" s="102" t="s">
        <v>3267</v>
      </c>
      <c r="C436" s="110" t="str">
        <f t="shared" si="26"/>
        <v>45775 0000H</v>
      </c>
      <c r="D436" s="337">
        <v>2182.52</v>
      </c>
      <c r="E436" s="338">
        <v>49.71</v>
      </c>
      <c r="F436" s="337">
        <v>1108.67</v>
      </c>
      <c r="G436" s="338">
        <v>6.2</v>
      </c>
      <c r="H436" s="337">
        <v>75867.31</v>
      </c>
      <c r="I436" s="475">
        <v>927.91</v>
      </c>
      <c r="J436" s="475">
        <v>33638.720000000001</v>
      </c>
      <c r="K436" s="338">
        <v>109.84</v>
      </c>
      <c r="L436" s="337">
        <v>6834.89</v>
      </c>
      <c r="M436" s="475">
        <v>19.05</v>
      </c>
      <c r="N436" s="475">
        <v>34421.5</v>
      </c>
      <c r="O436" s="475">
        <v>29.7</v>
      </c>
      <c r="P436" s="475">
        <v>732.45</v>
      </c>
      <c r="Q436" s="475">
        <v>924.59</v>
      </c>
      <c r="R436" s="475">
        <v>11054.47</v>
      </c>
      <c r="S436" s="475">
        <v>9.0399999999999991</v>
      </c>
      <c r="T436" s="475">
        <v>37617</v>
      </c>
      <c r="U436" s="475">
        <v>69</v>
      </c>
      <c r="V436" s="475"/>
      <c r="W436" s="475"/>
      <c r="X436" s="475">
        <v>8145.24</v>
      </c>
      <c r="Y436" s="475">
        <v>0</v>
      </c>
      <c r="Z436" s="475"/>
      <c r="AA436" s="338"/>
      <c r="AB436" s="475">
        <v>266.77999999999997</v>
      </c>
      <c r="AC436" s="476">
        <v>0.42</v>
      </c>
      <c r="AD436" s="475"/>
      <c r="AE436" s="338"/>
      <c r="AF436" s="505">
        <v>132.99</v>
      </c>
      <c r="AG436" s="476">
        <v>8.33</v>
      </c>
      <c r="AH436" s="505"/>
      <c r="AI436" s="476"/>
      <c r="AJ436" s="505"/>
      <c r="AK436" s="476"/>
    </row>
    <row r="437" spans="1:37">
      <c r="A437" s="492">
        <f t="shared" si="27"/>
        <v>45775</v>
      </c>
      <c r="B437" s="102" t="s">
        <v>1197</v>
      </c>
      <c r="C437" s="110" t="str">
        <f t="shared" si="26"/>
        <v>45775 1200H</v>
      </c>
      <c r="D437" s="471">
        <v>2186.38</v>
      </c>
      <c r="E437" s="472">
        <v>49.71</v>
      </c>
      <c r="F437" s="471">
        <v>1108.67</v>
      </c>
      <c r="G437" s="472">
        <v>6.2</v>
      </c>
      <c r="H437" s="471">
        <v>75872.72</v>
      </c>
      <c r="I437" s="473">
        <v>928.16</v>
      </c>
      <c r="J437" s="473">
        <v>33638.720000000001</v>
      </c>
      <c r="K437" s="472">
        <v>109.94</v>
      </c>
      <c r="L437" s="471">
        <v>6840.55</v>
      </c>
      <c r="M437" s="473">
        <v>19.05</v>
      </c>
      <c r="N437" s="473">
        <v>34428.6</v>
      </c>
      <c r="O437" s="473">
        <v>29.7</v>
      </c>
      <c r="P437" s="473">
        <v>732.45</v>
      </c>
      <c r="Q437" s="473">
        <v>926.09</v>
      </c>
      <c r="R437" s="473">
        <v>11058.81</v>
      </c>
      <c r="S437" s="473">
        <v>9.0399999999999991</v>
      </c>
      <c r="T437" s="473">
        <v>37624</v>
      </c>
      <c r="U437" s="473">
        <v>69</v>
      </c>
      <c r="V437" s="473"/>
      <c r="W437" s="473"/>
      <c r="X437" s="473">
        <v>8151.5</v>
      </c>
      <c r="Y437" s="473">
        <v>0</v>
      </c>
      <c r="Z437" s="473"/>
      <c r="AA437" s="472"/>
      <c r="AB437" s="473">
        <v>266.77999999999997</v>
      </c>
      <c r="AC437" s="474">
        <v>0.42</v>
      </c>
      <c r="AD437" s="473"/>
      <c r="AE437" s="472"/>
      <c r="AF437" s="506">
        <v>134.4</v>
      </c>
      <c r="AG437" s="474">
        <v>8.39</v>
      </c>
      <c r="AH437" s="506"/>
      <c r="AI437" s="474"/>
      <c r="AJ437" s="506"/>
      <c r="AK437" s="474"/>
    </row>
    <row r="438" spans="1:37">
      <c r="A438" s="492">
        <f t="shared" si="27"/>
        <v>45776</v>
      </c>
      <c r="B438" s="102" t="s">
        <v>3267</v>
      </c>
      <c r="C438" s="110" t="str">
        <f t="shared" si="26"/>
        <v>45776 0000H</v>
      </c>
      <c r="D438" s="337">
        <v>2191.98</v>
      </c>
      <c r="E438" s="338">
        <v>49.71</v>
      </c>
      <c r="F438" s="337">
        <v>1108.67</v>
      </c>
      <c r="G438" s="338">
        <v>6.2</v>
      </c>
      <c r="H438" s="337">
        <v>75887.28</v>
      </c>
      <c r="I438" s="475">
        <v>928.16</v>
      </c>
      <c r="J438" s="475">
        <v>33641.61</v>
      </c>
      <c r="K438" s="338">
        <v>109.96</v>
      </c>
      <c r="L438" s="337">
        <v>6846.28</v>
      </c>
      <c r="M438" s="475">
        <v>19.05</v>
      </c>
      <c r="N438" s="475">
        <v>34435.9</v>
      </c>
      <c r="O438" s="475">
        <v>29.7</v>
      </c>
      <c r="P438" s="475">
        <v>732.45</v>
      </c>
      <c r="Q438" s="475">
        <v>928.19</v>
      </c>
      <c r="R438" s="475">
        <v>11064.14</v>
      </c>
      <c r="S438" s="475">
        <v>9.0399999999999991</v>
      </c>
      <c r="T438" s="475">
        <v>37632</v>
      </c>
      <c r="U438" s="475">
        <v>69</v>
      </c>
      <c r="V438" s="475"/>
      <c r="W438" s="475"/>
      <c r="X438" s="475">
        <v>8158.95</v>
      </c>
      <c r="Y438" s="475">
        <v>0</v>
      </c>
      <c r="Z438" s="475"/>
      <c r="AA438" s="338"/>
      <c r="AB438" s="475">
        <v>266.77999999999997</v>
      </c>
      <c r="AC438" s="476">
        <v>0.42</v>
      </c>
      <c r="AD438" s="475"/>
      <c r="AE438" s="338"/>
      <c r="AF438" s="505">
        <v>135.33000000000001</v>
      </c>
      <c r="AG438" s="476">
        <v>8.43</v>
      </c>
      <c r="AH438" s="505"/>
      <c r="AI438" s="476"/>
      <c r="AJ438" s="505"/>
      <c r="AK438" s="476"/>
    </row>
    <row r="439" spans="1:37">
      <c r="A439" s="492">
        <f t="shared" si="27"/>
        <v>45776</v>
      </c>
      <c r="B439" s="102" t="s">
        <v>1197</v>
      </c>
      <c r="C439" s="110" t="str">
        <f t="shared" si="26"/>
        <v>45776 1200H</v>
      </c>
      <c r="D439" s="471">
        <v>2196.15</v>
      </c>
      <c r="E439" s="472">
        <v>49.71</v>
      </c>
      <c r="F439" s="471">
        <v>1108.67</v>
      </c>
      <c r="G439" s="472">
        <v>6.2</v>
      </c>
      <c r="H439" s="471">
        <v>75893.62</v>
      </c>
      <c r="I439" s="473">
        <v>928.38</v>
      </c>
      <c r="J439" s="473">
        <v>33642.47</v>
      </c>
      <c r="K439" s="472">
        <v>110</v>
      </c>
      <c r="L439" s="471">
        <v>6851.88</v>
      </c>
      <c r="M439" s="473">
        <v>19.05</v>
      </c>
      <c r="N439" s="473">
        <v>34443.300000000003</v>
      </c>
      <c r="O439" s="473">
        <v>29.7</v>
      </c>
      <c r="P439" s="473">
        <v>732.45</v>
      </c>
      <c r="Q439" s="473">
        <v>929.7</v>
      </c>
      <c r="R439" s="473">
        <v>11068.7</v>
      </c>
      <c r="S439" s="473">
        <v>9.0399999999999991</v>
      </c>
      <c r="T439" s="473">
        <v>37639</v>
      </c>
      <c r="U439" s="473">
        <v>69</v>
      </c>
      <c r="V439" s="473"/>
      <c r="W439" s="473"/>
      <c r="X439" s="473">
        <v>8165.41</v>
      </c>
      <c r="Y439" s="473">
        <v>0</v>
      </c>
      <c r="Z439" s="473"/>
      <c r="AA439" s="472"/>
      <c r="AB439" s="473">
        <v>266.77999999999997</v>
      </c>
      <c r="AC439" s="474">
        <v>0.42</v>
      </c>
      <c r="AD439" s="473"/>
      <c r="AE439" s="472"/>
      <c r="AF439" s="506">
        <v>135.66999999999999</v>
      </c>
      <c r="AG439" s="474">
        <v>8.51</v>
      </c>
      <c r="AH439" s="506"/>
      <c r="AI439" s="474"/>
      <c r="AJ439" s="506"/>
      <c r="AK439" s="474"/>
    </row>
    <row r="440" spans="1:37">
      <c r="A440" s="492">
        <f t="shared" si="27"/>
        <v>45777</v>
      </c>
      <c r="B440" s="102" t="s">
        <v>3267</v>
      </c>
      <c r="C440" s="110" t="str">
        <f t="shared" si="26"/>
        <v>45777 0000H</v>
      </c>
      <c r="D440" s="337">
        <v>2202.36</v>
      </c>
      <c r="E440" s="338">
        <v>49.71</v>
      </c>
      <c r="F440" s="337">
        <v>1108.67</v>
      </c>
      <c r="G440" s="338">
        <v>6.2</v>
      </c>
      <c r="H440" s="337">
        <v>75906.539999999994</v>
      </c>
      <c r="I440" s="475">
        <v>928.38</v>
      </c>
      <c r="J440" s="475">
        <v>33645.75</v>
      </c>
      <c r="K440" s="338">
        <v>110.02</v>
      </c>
      <c r="L440" s="337">
        <v>6857.43</v>
      </c>
      <c r="M440" s="475">
        <v>19.05</v>
      </c>
      <c r="N440" s="475">
        <v>34450</v>
      </c>
      <c r="O440" s="475">
        <v>29.7</v>
      </c>
      <c r="P440" s="475">
        <v>732.45</v>
      </c>
      <c r="Q440" s="475">
        <v>931.64</v>
      </c>
      <c r="R440" s="475">
        <v>11073.82</v>
      </c>
      <c r="S440" s="475">
        <v>9.0399999999999991</v>
      </c>
      <c r="T440" s="475">
        <v>37647</v>
      </c>
      <c r="U440" s="475">
        <v>69</v>
      </c>
      <c r="V440" s="475"/>
      <c r="W440" s="475"/>
      <c r="X440" s="475">
        <v>8173.14</v>
      </c>
      <c r="Y440" s="475">
        <v>0</v>
      </c>
      <c r="Z440" s="475"/>
      <c r="AA440" s="338"/>
      <c r="AB440" s="475">
        <v>266.77999999999997</v>
      </c>
      <c r="AC440" s="476">
        <v>0.42</v>
      </c>
      <c r="AD440" s="475"/>
      <c r="AE440" s="338"/>
      <c r="AF440" s="505">
        <v>135.66999999999999</v>
      </c>
      <c r="AG440" s="476">
        <v>8.58</v>
      </c>
      <c r="AH440" s="505"/>
      <c r="AI440" s="476"/>
      <c r="AJ440" s="505"/>
      <c r="AK440" s="476"/>
    </row>
    <row r="441" spans="1:37">
      <c r="A441" s="492">
        <f t="shared" si="27"/>
        <v>45777</v>
      </c>
      <c r="B441" s="102" t="s">
        <v>1197</v>
      </c>
      <c r="C441" s="110" t="str">
        <f t="shared" si="26"/>
        <v>45777 1200H</v>
      </c>
      <c r="D441" s="471">
        <v>2206.4899999999998</v>
      </c>
      <c r="E441" s="472">
        <v>49.71</v>
      </c>
      <c r="F441" s="471">
        <v>1108.67</v>
      </c>
      <c r="G441" s="472">
        <v>6.2</v>
      </c>
      <c r="H441" s="471">
        <v>75913.06</v>
      </c>
      <c r="I441" s="473">
        <v>928.54</v>
      </c>
      <c r="J441" s="473">
        <v>33646.58</v>
      </c>
      <c r="K441" s="472">
        <v>110.06</v>
      </c>
      <c r="L441" s="471">
        <v>6863.11</v>
      </c>
      <c r="M441" s="473">
        <v>19.05</v>
      </c>
      <c r="N441" s="473">
        <v>34458.1</v>
      </c>
      <c r="O441" s="473">
        <v>29.7</v>
      </c>
      <c r="P441" s="473">
        <v>732.45</v>
      </c>
      <c r="Q441" s="473">
        <v>933.06</v>
      </c>
      <c r="R441" s="473">
        <v>11078.29</v>
      </c>
      <c r="S441" s="473">
        <v>9.0399999999999991</v>
      </c>
      <c r="T441" s="473">
        <v>37653</v>
      </c>
      <c r="U441" s="473">
        <v>69</v>
      </c>
      <c r="V441" s="473"/>
      <c r="W441" s="473"/>
      <c r="X441" s="473">
        <v>8179.66</v>
      </c>
      <c r="Y441" s="473">
        <v>0</v>
      </c>
      <c r="Z441" s="473"/>
      <c r="AA441" s="472"/>
      <c r="AB441" s="473">
        <v>266.77999999999997</v>
      </c>
      <c r="AC441" s="474">
        <v>0.42</v>
      </c>
      <c r="AD441" s="473"/>
      <c r="AE441" s="472"/>
      <c r="AF441" s="506">
        <v>135.72999999999999</v>
      </c>
      <c r="AG441" s="474">
        <v>8.64</v>
      </c>
      <c r="AH441" s="506"/>
      <c r="AI441" s="474"/>
      <c r="AJ441" s="506"/>
      <c r="AK441" s="474"/>
    </row>
    <row r="442" spans="1:37">
      <c r="A442" s="492">
        <f t="shared" si="27"/>
        <v>45778</v>
      </c>
      <c r="B442" s="102" t="s">
        <v>3267</v>
      </c>
      <c r="C442" s="110" t="str">
        <f t="shared" si="26"/>
        <v>45778 0000H</v>
      </c>
      <c r="D442" s="337">
        <v>2212.4699999999998</v>
      </c>
      <c r="E442" s="338">
        <v>49.71</v>
      </c>
      <c r="F442" s="337">
        <v>1108.67</v>
      </c>
      <c r="G442" s="338">
        <v>6.2</v>
      </c>
      <c r="H442" s="337">
        <v>75925.86</v>
      </c>
      <c r="I442" s="475">
        <v>928.56</v>
      </c>
      <c r="J442" s="475">
        <v>33649.839999999997</v>
      </c>
      <c r="K442" s="338">
        <v>110.07</v>
      </c>
      <c r="L442" s="337">
        <v>6868.69</v>
      </c>
      <c r="M442" s="475">
        <v>19.05</v>
      </c>
      <c r="N442" s="475">
        <v>34464.199999999997</v>
      </c>
      <c r="O442" s="475">
        <v>29.7</v>
      </c>
      <c r="P442" s="475">
        <v>732.45</v>
      </c>
      <c r="Q442" s="475">
        <v>935.08</v>
      </c>
      <c r="R442" s="475">
        <v>11083.54</v>
      </c>
      <c r="S442" s="475">
        <v>9.0399999999999991</v>
      </c>
      <c r="T442" s="475">
        <v>37661</v>
      </c>
      <c r="U442" s="475">
        <v>69</v>
      </c>
      <c r="V442" s="475"/>
      <c r="W442" s="475"/>
      <c r="X442" s="475">
        <v>8186.64</v>
      </c>
      <c r="Y442" s="475">
        <v>0</v>
      </c>
      <c r="Z442" s="475"/>
      <c r="AA442" s="338"/>
      <c r="AB442" s="475">
        <v>266.77999999999997</v>
      </c>
      <c r="AC442" s="476">
        <v>0.42</v>
      </c>
      <c r="AD442" s="475"/>
      <c r="AE442" s="338"/>
      <c r="AF442" s="505">
        <v>137.16</v>
      </c>
      <c r="AG442" s="476">
        <v>8.68</v>
      </c>
      <c r="AH442" s="505"/>
      <c r="AI442" s="476"/>
      <c r="AJ442" s="505"/>
      <c r="AK442" s="476"/>
    </row>
    <row r="443" spans="1:37">
      <c r="A443" s="492">
        <f t="shared" si="27"/>
        <v>45778</v>
      </c>
      <c r="B443" s="102" t="s">
        <v>1197</v>
      </c>
      <c r="C443" s="110" t="str">
        <f t="shared" si="26"/>
        <v>45778 1200H</v>
      </c>
      <c r="D443" s="471">
        <v>2216.69</v>
      </c>
      <c r="E443" s="472">
        <v>49.71</v>
      </c>
      <c r="F443" s="471">
        <v>1108.67</v>
      </c>
      <c r="G443" s="472">
        <v>6.2</v>
      </c>
      <c r="H443" s="471">
        <v>75928.3</v>
      </c>
      <c r="I443" s="473">
        <v>928.82</v>
      </c>
      <c r="J443" s="473">
        <v>33649.839999999997</v>
      </c>
      <c r="K443" s="472">
        <v>110.12</v>
      </c>
      <c r="L443" s="471">
        <v>6874.38</v>
      </c>
      <c r="M443" s="473">
        <v>19.05</v>
      </c>
      <c r="N443" s="473">
        <v>34471.5</v>
      </c>
      <c r="O443" s="473">
        <v>29.7</v>
      </c>
      <c r="P443" s="473">
        <v>732.45</v>
      </c>
      <c r="Q443" s="473">
        <v>936.49</v>
      </c>
      <c r="R443" s="473">
        <v>11087.88</v>
      </c>
      <c r="S443" s="473">
        <v>9.0399999999999991</v>
      </c>
      <c r="T443" s="473">
        <v>37668</v>
      </c>
      <c r="U443" s="473">
        <v>69</v>
      </c>
      <c r="V443" s="473"/>
      <c r="W443" s="473"/>
      <c r="X443" s="473">
        <v>8192.7999999999993</v>
      </c>
      <c r="Y443" s="473">
        <v>0</v>
      </c>
      <c r="Z443" s="473"/>
      <c r="AA443" s="472"/>
      <c r="AB443" s="473">
        <v>266.77999999999997</v>
      </c>
      <c r="AC443" s="474">
        <v>0.42</v>
      </c>
      <c r="AD443" s="473"/>
      <c r="AE443" s="472"/>
      <c r="AF443" s="506">
        <v>137.16</v>
      </c>
      <c r="AG443" s="474">
        <v>8.73</v>
      </c>
      <c r="AH443" s="506"/>
      <c r="AI443" s="474"/>
      <c r="AJ443" s="506"/>
      <c r="AK443" s="474"/>
    </row>
    <row r="444" spans="1:37">
      <c r="A444" s="492">
        <f t="shared" si="27"/>
        <v>45779</v>
      </c>
      <c r="B444" s="102" t="s">
        <v>3267</v>
      </c>
      <c r="C444" s="110" t="str">
        <f t="shared" si="26"/>
        <v>45779 0000H</v>
      </c>
      <c r="D444" s="337">
        <v>2222.54</v>
      </c>
      <c r="E444" s="338">
        <v>49.71</v>
      </c>
      <c r="F444" s="337">
        <v>1108.67</v>
      </c>
      <c r="G444" s="338">
        <v>6.2</v>
      </c>
      <c r="H444" s="337">
        <v>75939.64</v>
      </c>
      <c r="I444" s="475">
        <v>928.85</v>
      </c>
      <c r="J444" s="475">
        <v>33649.839999999997</v>
      </c>
      <c r="K444" s="338">
        <v>110.15</v>
      </c>
      <c r="L444" s="337">
        <v>6880.18</v>
      </c>
      <c r="M444" s="475">
        <v>19.05</v>
      </c>
      <c r="N444" s="475">
        <v>34477.699999999997</v>
      </c>
      <c r="O444" s="475">
        <v>29.7</v>
      </c>
      <c r="P444" s="475">
        <v>732.45</v>
      </c>
      <c r="Q444" s="475">
        <v>938.28</v>
      </c>
      <c r="R444" s="475">
        <v>11093.13</v>
      </c>
      <c r="S444" s="475">
        <v>9.0399999999999991</v>
      </c>
      <c r="T444" s="475">
        <v>37675</v>
      </c>
      <c r="U444" s="475">
        <v>69</v>
      </c>
      <c r="V444" s="475"/>
      <c r="W444" s="475"/>
      <c r="X444" s="475">
        <v>8199.68</v>
      </c>
      <c r="Y444" s="475">
        <v>0</v>
      </c>
      <c r="Z444" s="475"/>
      <c r="AA444" s="338"/>
      <c r="AB444" s="475">
        <v>266.77999999999997</v>
      </c>
      <c r="AC444" s="476">
        <v>0.42</v>
      </c>
      <c r="AD444" s="475"/>
      <c r="AE444" s="338"/>
      <c r="AF444" s="505">
        <v>138.72</v>
      </c>
      <c r="AG444" s="476">
        <v>8.7799999999999994</v>
      </c>
      <c r="AH444" s="505"/>
      <c r="AI444" s="476"/>
      <c r="AJ444" s="505"/>
      <c r="AK444" s="476"/>
    </row>
    <row r="445" spans="1:37">
      <c r="A445" s="492">
        <f t="shared" si="27"/>
        <v>45779</v>
      </c>
      <c r="B445" s="102" t="s">
        <v>1197</v>
      </c>
      <c r="C445" s="110" t="str">
        <f t="shared" si="26"/>
        <v>45779 1200H</v>
      </c>
      <c r="D445" s="471">
        <v>2227.0700000000002</v>
      </c>
      <c r="E445" s="472">
        <v>49.71</v>
      </c>
      <c r="F445" s="471">
        <v>1108.67</v>
      </c>
      <c r="G445" s="472">
        <v>6.2</v>
      </c>
      <c r="H445" s="471">
        <v>75941.740000000005</v>
      </c>
      <c r="I445" s="473">
        <v>929.2</v>
      </c>
      <c r="J445" s="473">
        <v>33650.65</v>
      </c>
      <c r="K445" s="472">
        <v>110.18</v>
      </c>
      <c r="L445" s="471">
        <v>6885.93</v>
      </c>
      <c r="M445" s="473">
        <v>19.05</v>
      </c>
      <c r="N445" s="473">
        <v>34485.1</v>
      </c>
      <c r="O445" s="473">
        <v>29.7</v>
      </c>
      <c r="P445" s="473">
        <v>732.46</v>
      </c>
      <c r="Q445" s="473">
        <v>939.67</v>
      </c>
      <c r="R445" s="473">
        <v>11097.48</v>
      </c>
      <c r="S445" s="473">
        <v>9.0399999999999991</v>
      </c>
      <c r="T445" s="473">
        <v>37682</v>
      </c>
      <c r="U445" s="473">
        <v>69</v>
      </c>
      <c r="V445" s="473"/>
      <c r="W445" s="473"/>
      <c r="X445" s="473">
        <v>8205.7000000000007</v>
      </c>
      <c r="Y445" s="473">
        <v>0</v>
      </c>
      <c r="Z445" s="473"/>
      <c r="AA445" s="472"/>
      <c r="AB445" s="473">
        <v>266.77999999999997</v>
      </c>
      <c r="AC445" s="474">
        <v>0.42</v>
      </c>
      <c r="AD445" s="473"/>
      <c r="AE445" s="472"/>
      <c r="AF445" s="506">
        <v>139.69999999999999</v>
      </c>
      <c r="AG445" s="474">
        <v>8.82</v>
      </c>
      <c r="AH445" s="506"/>
      <c r="AI445" s="474"/>
      <c r="AJ445" s="506"/>
      <c r="AK445" s="474"/>
    </row>
    <row r="446" spans="1:37">
      <c r="A446" s="492">
        <f t="shared" si="27"/>
        <v>45780</v>
      </c>
      <c r="B446" s="102" t="s">
        <v>3267</v>
      </c>
      <c r="C446" s="110" t="str">
        <f t="shared" si="26"/>
        <v>45780 0000H</v>
      </c>
      <c r="D446" s="337">
        <v>2233.0300000000002</v>
      </c>
      <c r="E446" s="338">
        <v>49.71</v>
      </c>
      <c r="F446" s="337">
        <v>1108.67</v>
      </c>
      <c r="G446" s="338">
        <v>6.2</v>
      </c>
      <c r="H446" s="337">
        <v>75956.039999999994</v>
      </c>
      <c r="I446" s="475">
        <v>929.21</v>
      </c>
      <c r="J446" s="475">
        <v>33654.089999999997</v>
      </c>
      <c r="K446" s="338">
        <v>110.19</v>
      </c>
      <c r="L446" s="337">
        <v>6891.65</v>
      </c>
      <c r="M446" s="475">
        <v>19.05</v>
      </c>
      <c r="N446" s="475">
        <v>34492</v>
      </c>
      <c r="O446" s="475">
        <v>29.7</v>
      </c>
      <c r="P446" s="475">
        <v>732.46</v>
      </c>
      <c r="Q446" s="475">
        <v>941.72</v>
      </c>
      <c r="R446" s="475">
        <v>11102.91</v>
      </c>
      <c r="S446" s="475">
        <v>9.0399999999999991</v>
      </c>
      <c r="T446" s="475">
        <v>37689</v>
      </c>
      <c r="U446" s="475">
        <v>69</v>
      </c>
      <c r="V446" s="475"/>
      <c r="W446" s="475"/>
      <c r="X446" s="475">
        <v>8213</v>
      </c>
      <c r="Y446" s="475">
        <v>0</v>
      </c>
      <c r="Z446" s="475"/>
      <c r="AA446" s="338"/>
      <c r="AB446" s="475">
        <v>266.77999999999997</v>
      </c>
      <c r="AC446" s="476">
        <v>0.42</v>
      </c>
      <c r="AD446" s="475"/>
      <c r="AE446" s="338"/>
      <c r="AF446" s="505">
        <v>141.05000000000001</v>
      </c>
      <c r="AG446" s="476">
        <v>8.86</v>
      </c>
      <c r="AH446" s="505"/>
      <c r="AI446" s="476"/>
      <c r="AJ446" s="505"/>
      <c r="AK446" s="476"/>
    </row>
    <row r="447" spans="1:37">
      <c r="A447" s="492">
        <f t="shared" si="27"/>
        <v>45780</v>
      </c>
      <c r="B447" s="102" t="s">
        <v>1197</v>
      </c>
      <c r="C447" s="110" t="str">
        <f t="shared" si="26"/>
        <v>45780 1200H</v>
      </c>
      <c r="D447" s="471">
        <v>2236.9699999999998</v>
      </c>
      <c r="E447" s="472">
        <v>49.71</v>
      </c>
      <c r="F447" s="471">
        <v>1108.67</v>
      </c>
      <c r="G447" s="472">
        <v>6.2</v>
      </c>
      <c r="H447" s="471">
        <v>75961.600000000006</v>
      </c>
      <c r="I447" s="473">
        <v>929.38</v>
      </c>
      <c r="J447" s="473">
        <v>33654.67</v>
      </c>
      <c r="K447" s="472">
        <v>110.21</v>
      </c>
      <c r="L447" s="471">
        <v>6897.44</v>
      </c>
      <c r="M447" s="473">
        <v>19.05</v>
      </c>
      <c r="N447" s="473">
        <v>34500.300000000003</v>
      </c>
      <c r="O447" s="473">
        <v>29.7</v>
      </c>
      <c r="P447" s="473">
        <v>732.46</v>
      </c>
      <c r="Q447" s="473">
        <v>943.06</v>
      </c>
      <c r="R447" s="473">
        <v>11107.6</v>
      </c>
      <c r="S447" s="473">
        <v>9.0399999999999991</v>
      </c>
      <c r="T447" s="473">
        <v>37695</v>
      </c>
      <c r="U447" s="473">
        <v>69</v>
      </c>
      <c r="V447" s="473"/>
      <c r="W447" s="473"/>
      <c r="X447" s="473">
        <v>8219.2900000000009</v>
      </c>
      <c r="Y447" s="473">
        <v>0</v>
      </c>
      <c r="Z447" s="473"/>
      <c r="AA447" s="472"/>
      <c r="AB447" s="473">
        <v>266.77999999999997</v>
      </c>
      <c r="AC447" s="474">
        <v>0.42</v>
      </c>
      <c r="AD447" s="473"/>
      <c r="AE447" s="472"/>
      <c r="AF447" s="506">
        <v>141.05000000000001</v>
      </c>
      <c r="AG447" s="474">
        <v>8.92</v>
      </c>
      <c r="AH447" s="506"/>
      <c r="AI447" s="474"/>
      <c r="AJ447" s="506"/>
      <c r="AK447" s="474"/>
    </row>
    <row r="448" spans="1:37">
      <c r="A448" s="492">
        <f t="shared" si="27"/>
        <v>45781</v>
      </c>
      <c r="B448" s="102" t="s">
        <v>3267</v>
      </c>
      <c r="C448" s="110" t="str">
        <f t="shared" si="26"/>
        <v>45781 0000H</v>
      </c>
      <c r="D448" s="337">
        <v>2241.81</v>
      </c>
      <c r="E448" s="338">
        <v>49.71</v>
      </c>
      <c r="F448" s="337">
        <v>1108.67</v>
      </c>
      <c r="G448" s="338">
        <v>6.2</v>
      </c>
      <c r="H448" s="337">
        <v>75971.63</v>
      </c>
      <c r="I448" s="475">
        <v>929.42</v>
      </c>
      <c r="J448" s="475">
        <v>33657.51</v>
      </c>
      <c r="K448" s="338">
        <v>110.22</v>
      </c>
      <c r="L448" s="337">
        <v>6903.24</v>
      </c>
      <c r="M448" s="475">
        <v>19.05</v>
      </c>
      <c r="N448" s="475">
        <v>34507.9</v>
      </c>
      <c r="O448" s="475">
        <v>29.7</v>
      </c>
      <c r="P448" s="475">
        <v>732.46</v>
      </c>
      <c r="Q448" s="475">
        <v>944.79</v>
      </c>
      <c r="R448" s="475">
        <v>11112.71</v>
      </c>
      <c r="S448" s="475">
        <v>9.0399999999999991</v>
      </c>
      <c r="T448" s="475">
        <v>37703</v>
      </c>
      <c r="U448" s="475">
        <v>69</v>
      </c>
      <c r="V448" s="475"/>
      <c r="W448" s="475"/>
      <c r="X448" s="475">
        <v>8226.57</v>
      </c>
      <c r="Y448" s="475">
        <v>0</v>
      </c>
      <c r="Z448" s="475"/>
      <c r="AA448" s="338"/>
      <c r="AB448" s="475">
        <v>266.77999999999997</v>
      </c>
      <c r="AC448" s="476">
        <v>0.42</v>
      </c>
      <c r="AD448" s="475"/>
      <c r="AE448" s="338"/>
      <c r="AF448" s="505">
        <v>141.05000000000001</v>
      </c>
      <c r="AG448" s="476">
        <v>8.98</v>
      </c>
      <c r="AH448" s="505"/>
      <c r="AI448" s="476"/>
      <c r="AJ448" s="505"/>
      <c r="AK448" s="476"/>
    </row>
    <row r="449" spans="1:37">
      <c r="A449" s="492">
        <f t="shared" si="27"/>
        <v>45781</v>
      </c>
      <c r="B449" s="102" t="s">
        <v>1197</v>
      </c>
      <c r="C449" s="110" t="str">
        <f t="shared" si="26"/>
        <v>45781 1200H</v>
      </c>
      <c r="D449" s="471">
        <v>2245.6999999999998</v>
      </c>
      <c r="E449" s="472">
        <v>49.71</v>
      </c>
      <c r="F449" s="471">
        <v>1108.67</v>
      </c>
      <c r="G449" s="472">
        <v>6.2</v>
      </c>
      <c r="H449" s="471">
        <v>75974.789999999994</v>
      </c>
      <c r="I449" s="473">
        <v>929.65</v>
      </c>
      <c r="J449" s="473">
        <v>33657.51</v>
      </c>
      <c r="K449" s="472">
        <v>110.26</v>
      </c>
      <c r="L449" s="471">
        <v>6908.99</v>
      </c>
      <c r="M449" s="473">
        <v>19.05</v>
      </c>
      <c r="N449" s="473">
        <v>34515.699999999997</v>
      </c>
      <c r="O449" s="473">
        <v>29.7</v>
      </c>
      <c r="P449" s="473">
        <v>732.42</v>
      </c>
      <c r="Q449" s="473">
        <v>946.19</v>
      </c>
      <c r="R449" s="473">
        <v>11117.1</v>
      </c>
      <c r="S449" s="473">
        <v>9.0399999999999991</v>
      </c>
      <c r="T449" s="473">
        <v>37709</v>
      </c>
      <c r="U449" s="473">
        <v>69</v>
      </c>
      <c r="V449" s="473"/>
      <c r="W449" s="473"/>
      <c r="X449" s="473">
        <v>8232.69</v>
      </c>
      <c r="Y449" s="473">
        <v>0</v>
      </c>
      <c r="Z449" s="473"/>
      <c r="AA449" s="472"/>
      <c r="AB449" s="473">
        <v>266.77999999999997</v>
      </c>
      <c r="AC449" s="474">
        <v>0.42</v>
      </c>
      <c r="AD449" s="473"/>
      <c r="AE449" s="472"/>
      <c r="AF449" s="506">
        <v>141.05000000000001</v>
      </c>
      <c r="AG449" s="474">
        <v>9.0299999999999994</v>
      </c>
      <c r="AH449" s="506"/>
      <c r="AI449" s="474"/>
      <c r="AJ449" s="506"/>
      <c r="AK449" s="474"/>
    </row>
    <row r="450" spans="1:37">
      <c r="A450" s="492">
        <f t="shared" si="27"/>
        <v>45782</v>
      </c>
      <c r="B450" s="102" t="s">
        <v>3267</v>
      </c>
      <c r="C450" s="110" t="str">
        <f t="shared" si="26"/>
        <v>45782 0000H</v>
      </c>
      <c r="D450" s="337">
        <v>2250.3000000000002</v>
      </c>
      <c r="E450" s="338">
        <v>49.71</v>
      </c>
      <c r="F450" s="337">
        <v>1108.67</v>
      </c>
      <c r="G450" s="338">
        <v>6.2</v>
      </c>
      <c r="H450" s="337">
        <v>75983.97</v>
      </c>
      <c r="I450" s="475">
        <v>929.77</v>
      </c>
      <c r="J450" s="475">
        <v>33658.58</v>
      </c>
      <c r="K450" s="338">
        <v>110.31</v>
      </c>
      <c r="L450" s="337">
        <v>6914.72</v>
      </c>
      <c r="M450" s="475">
        <v>19.05</v>
      </c>
      <c r="N450" s="475">
        <v>34523.4</v>
      </c>
      <c r="O450" s="475">
        <v>29.7</v>
      </c>
      <c r="P450" s="475">
        <v>732.46</v>
      </c>
      <c r="Q450" s="475">
        <v>947.81</v>
      </c>
      <c r="R450" s="475">
        <v>11121.8</v>
      </c>
      <c r="S450" s="475">
        <v>9.0399999999999991</v>
      </c>
      <c r="T450" s="475">
        <v>37716</v>
      </c>
      <c r="U450" s="475">
        <v>69</v>
      </c>
      <c r="V450" s="475"/>
      <c r="W450" s="475"/>
      <c r="X450" s="475">
        <v>8238.73</v>
      </c>
      <c r="Y450" s="475">
        <v>0</v>
      </c>
      <c r="Z450" s="475"/>
      <c r="AA450" s="338"/>
      <c r="AB450" s="475">
        <v>266.77999999999997</v>
      </c>
      <c r="AC450" s="476">
        <v>0.42</v>
      </c>
      <c r="AD450" s="475"/>
      <c r="AE450" s="338"/>
      <c r="AF450" s="505">
        <v>141.05000000000001</v>
      </c>
      <c r="AG450" s="476">
        <v>9.0299999999999994</v>
      </c>
      <c r="AH450" s="505"/>
      <c r="AI450" s="476"/>
      <c r="AJ450" s="505"/>
      <c r="AK450" s="476"/>
    </row>
    <row r="451" spans="1:37">
      <c r="A451" s="492">
        <f t="shared" si="27"/>
        <v>45782</v>
      </c>
      <c r="B451" s="102" t="s">
        <v>1197</v>
      </c>
      <c r="C451" s="110" t="str">
        <f t="shared" si="26"/>
        <v>45782 1200H</v>
      </c>
      <c r="D451" s="471">
        <v>2254.4499999999998</v>
      </c>
      <c r="E451" s="472">
        <v>49.71</v>
      </c>
      <c r="F451" s="471">
        <v>1108.67</v>
      </c>
      <c r="G451" s="472">
        <v>6.2</v>
      </c>
      <c r="H451" s="471">
        <v>75985.52</v>
      </c>
      <c r="I451" s="473">
        <v>930.1</v>
      </c>
      <c r="J451" s="473">
        <v>33659.26</v>
      </c>
      <c r="K451" s="472">
        <v>110.36</v>
      </c>
      <c r="L451" s="471">
        <v>6920.39</v>
      </c>
      <c r="M451" s="473">
        <v>19.05</v>
      </c>
      <c r="N451" s="473">
        <v>34530.800000000003</v>
      </c>
      <c r="O451" s="473">
        <v>29.7</v>
      </c>
      <c r="P451" s="473">
        <v>732.53</v>
      </c>
      <c r="Q451" s="473">
        <v>948.99</v>
      </c>
      <c r="R451" s="473">
        <v>11125.65</v>
      </c>
      <c r="S451" s="473">
        <v>9.0399999999999991</v>
      </c>
      <c r="T451" s="473">
        <v>37722</v>
      </c>
      <c r="U451" s="473">
        <v>69</v>
      </c>
      <c r="V451" s="473"/>
      <c r="W451" s="473"/>
      <c r="X451" s="473">
        <v>8244.67</v>
      </c>
      <c r="Y451" s="473">
        <v>0</v>
      </c>
      <c r="Z451" s="473"/>
      <c r="AA451" s="472"/>
      <c r="AB451" s="473">
        <v>266.95</v>
      </c>
      <c r="AC451" s="474">
        <v>0.42</v>
      </c>
      <c r="AD451" s="473"/>
      <c r="AE451" s="472"/>
      <c r="AF451" s="506">
        <v>141.31</v>
      </c>
      <c r="AG451" s="474">
        <v>9.1999999999999993</v>
      </c>
      <c r="AH451" s="506"/>
      <c r="AI451" s="474"/>
      <c r="AJ451" s="506"/>
      <c r="AK451" s="474"/>
    </row>
    <row r="452" spans="1:37">
      <c r="A452" s="492">
        <f t="shared" si="27"/>
        <v>45783</v>
      </c>
      <c r="B452" s="102" t="s">
        <v>3267</v>
      </c>
      <c r="C452" s="110" t="str">
        <f t="shared" si="26"/>
        <v>45783 0000H</v>
      </c>
      <c r="D452" s="337">
        <v>2260.66</v>
      </c>
      <c r="E452" s="338">
        <v>49.71</v>
      </c>
      <c r="F452" s="337">
        <v>1108.67</v>
      </c>
      <c r="G452" s="338">
        <v>6.2</v>
      </c>
      <c r="H452" s="337">
        <v>75990.16</v>
      </c>
      <c r="I452" s="475">
        <v>930.18</v>
      </c>
      <c r="J452" s="475">
        <v>33662.870000000003</v>
      </c>
      <c r="K452" s="338">
        <v>110.36</v>
      </c>
      <c r="L452" s="337">
        <v>6926.19</v>
      </c>
      <c r="M452" s="475">
        <v>19.05</v>
      </c>
      <c r="N452" s="475">
        <v>34538.400000000001</v>
      </c>
      <c r="O452" s="475">
        <v>29.7</v>
      </c>
      <c r="P452" s="475">
        <v>732.53</v>
      </c>
      <c r="Q452" s="475">
        <v>950.69</v>
      </c>
      <c r="R452" s="475">
        <v>11130.55</v>
      </c>
      <c r="S452" s="475">
        <v>9.0399999999999991</v>
      </c>
      <c r="T452" s="475">
        <v>37730</v>
      </c>
      <c r="U452" s="475">
        <v>69</v>
      </c>
      <c r="V452" s="475"/>
      <c r="W452" s="475"/>
      <c r="X452" s="475">
        <v>8251.84</v>
      </c>
      <c r="Y452" s="475">
        <v>0</v>
      </c>
      <c r="Z452" s="475"/>
      <c r="AA452" s="338"/>
      <c r="AB452" s="475">
        <v>267.07</v>
      </c>
      <c r="AC452" s="476">
        <v>0.43</v>
      </c>
      <c r="AD452" s="475"/>
      <c r="AE452" s="338"/>
      <c r="AF452" s="505">
        <v>143.13999999999999</v>
      </c>
      <c r="AG452" s="476">
        <v>9.23</v>
      </c>
      <c r="AH452" s="505"/>
      <c r="AI452" s="476"/>
      <c r="AJ452" s="505"/>
      <c r="AK452" s="476"/>
    </row>
    <row r="453" spans="1:37">
      <c r="A453" s="492">
        <f t="shared" si="27"/>
        <v>45783</v>
      </c>
      <c r="B453" s="102" t="s">
        <v>1197</v>
      </c>
      <c r="C453" s="110" t="str">
        <f t="shared" si="26"/>
        <v>45783 1200H</v>
      </c>
      <c r="D453" s="471">
        <v>2265.0100000000002</v>
      </c>
      <c r="E453" s="472">
        <v>49.71</v>
      </c>
      <c r="F453" s="471">
        <v>1108.67</v>
      </c>
      <c r="G453" s="472">
        <v>6.2</v>
      </c>
      <c r="H453" s="471">
        <v>75991.850000000006</v>
      </c>
      <c r="I453" s="473">
        <v>930.45</v>
      </c>
      <c r="J453" s="473">
        <v>33663.21</v>
      </c>
      <c r="K453" s="472">
        <v>110.4</v>
      </c>
      <c r="L453" s="471">
        <v>6931.94</v>
      </c>
      <c r="M453" s="473">
        <v>19.05</v>
      </c>
      <c r="N453" s="473">
        <v>34546.400000000001</v>
      </c>
      <c r="O453" s="473">
        <v>29.7</v>
      </c>
      <c r="P453" s="473">
        <v>732.53</v>
      </c>
      <c r="Q453" s="473">
        <v>951.78</v>
      </c>
      <c r="R453" s="473">
        <v>11134.95</v>
      </c>
      <c r="S453" s="473">
        <v>9.0399999999999991</v>
      </c>
      <c r="T453" s="473">
        <v>37737</v>
      </c>
      <c r="U453" s="473">
        <v>69</v>
      </c>
      <c r="V453" s="473"/>
      <c r="W453" s="473"/>
      <c r="X453" s="473">
        <v>8257.99</v>
      </c>
      <c r="Y453" s="473">
        <v>0</v>
      </c>
      <c r="Z453" s="473"/>
      <c r="AA453" s="472"/>
      <c r="AB453" s="473">
        <v>267.25</v>
      </c>
      <c r="AC453" s="474">
        <v>0.43</v>
      </c>
      <c r="AD453" s="473"/>
      <c r="AE453" s="472"/>
      <c r="AF453" s="506">
        <v>143.88</v>
      </c>
      <c r="AG453" s="474">
        <v>9.31</v>
      </c>
      <c r="AH453" s="506"/>
      <c r="AI453" s="474"/>
      <c r="AJ453" s="506"/>
      <c r="AK453" s="474"/>
    </row>
    <row r="454" spans="1:37">
      <c r="A454" s="492">
        <f t="shared" si="27"/>
        <v>45784</v>
      </c>
      <c r="B454" s="102" t="s">
        <v>3267</v>
      </c>
      <c r="C454" s="110" t="str">
        <f t="shared" si="26"/>
        <v>45784 0000H</v>
      </c>
      <c r="D454" s="337">
        <v>2271.2399999999998</v>
      </c>
      <c r="E454" s="338">
        <v>49.71</v>
      </c>
      <c r="F454" s="337">
        <v>1108.67</v>
      </c>
      <c r="G454" s="338">
        <v>6.2</v>
      </c>
      <c r="H454" s="337">
        <v>75998.36</v>
      </c>
      <c r="I454" s="475">
        <v>930.45</v>
      </c>
      <c r="J454" s="475">
        <v>33665.699999999997</v>
      </c>
      <c r="K454" s="338">
        <v>110.44</v>
      </c>
      <c r="L454" s="337">
        <v>6937.71</v>
      </c>
      <c r="M454" s="475">
        <v>19.05</v>
      </c>
      <c r="N454" s="475">
        <v>34553.9</v>
      </c>
      <c r="O454" s="475">
        <v>29.7</v>
      </c>
      <c r="P454" s="475">
        <v>732.53</v>
      </c>
      <c r="Q454" s="475">
        <v>953.56</v>
      </c>
      <c r="R454" s="475">
        <v>11140.25</v>
      </c>
      <c r="S454" s="475">
        <v>9.0399999999999991</v>
      </c>
      <c r="T454" s="475">
        <v>37745</v>
      </c>
      <c r="U454" s="475">
        <v>69</v>
      </c>
      <c r="V454" s="475"/>
      <c r="W454" s="475"/>
      <c r="X454" s="475">
        <v>8265.4599999999991</v>
      </c>
      <c r="Y454" s="475">
        <v>0</v>
      </c>
      <c r="Z454" s="475"/>
      <c r="AA454" s="338"/>
      <c r="AB454" s="475">
        <v>267.41000000000003</v>
      </c>
      <c r="AC454" s="476">
        <v>0.43</v>
      </c>
      <c r="AD454" s="475"/>
      <c r="AE454" s="338"/>
      <c r="AF454" s="505">
        <v>146.15</v>
      </c>
      <c r="AG454" s="476">
        <v>9.33</v>
      </c>
      <c r="AH454" s="505"/>
      <c r="AI454" s="476"/>
      <c r="AJ454" s="505"/>
      <c r="AK454" s="476"/>
    </row>
    <row r="455" spans="1:37">
      <c r="A455" s="492">
        <f t="shared" si="27"/>
        <v>45784</v>
      </c>
      <c r="B455" s="102" t="s">
        <v>1197</v>
      </c>
      <c r="C455" s="110" t="str">
        <f t="shared" si="26"/>
        <v>45784 1200H</v>
      </c>
      <c r="D455" s="471">
        <v>2275.4499999999998</v>
      </c>
      <c r="E455" s="472">
        <v>49.71</v>
      </c>
      <c r="F455" s="471">
        <v>1108.67</v>
      </c>
      <c r="G455" s="472">
        <v>6.2</v>
      </c>
      <c r="H455" s="471">
        <v>75999.81</v>
      </c>
      <c r="I455" s="473">
        <v>930.78</v>
      </c>
      <c r="J455" s="473">
        <v>33667.589999999997</v>
      </c>
      <c r="K455" s="472">
        <v>110.46</v>
      </c>
      <c r="L455" s="471">
        <v>6943.49</v>
      </c>
      <c r="M455" s="473">
        <v>19.05</v>
      </c>
      <c r="N455" s="473">
        <v>34561.5</v>
      </c>
      <c r="O455" s="473">
        <v>29.7</v>
      </c>
      <c r="P455" s="473">
        <v>732.53</v>
      </c>
      <c r="Q455" s="473">
        <v>955.02</v>
      </c>
      <c r="R455" s="473">
        <v>11144.66</v>
      </c>
      <c r="S455" s="473">
        <v>9.0399999999999991</v>
      </c>
      <c r="T455" s="473">
        <v>37752</v>
      </c>
      <c r="U455" s="473">
        <v>69</v>
      </c>
      <c r="V455" s="473"/>
      <c r="W455" s="473"/>
      <c r="X455" s="473">
        <v>8271.9</v>
      </c>
      <c r="Y455" s="473">
        <v>0</v>
      </c>
      <c r="Z455" s="473"/>
      <c r="AA455" s="472"/>
      <c r="AB455" s="473">
        <v>267.41000000000003</v>
      </c>
      <c r="AC455" s="474">
        <v>0.43</v>
      </c>
      <c r="AD455" s="473"/>
      <c r="AE455" s="472"/>
      <c r="AF455" s="506">
        <v>146.62</v>
      </c>
      <c r="AG455" s="474">
        <v>9.4</v>
      </c>
      <c r="AH455" s="506"/>
      <c r="AI455" s="474"/>
      <c r="AJ455" s="506"/>
      <c r="AK455" s="474"/>
    </row>
    <row r="456" spans="1:37">
      <c r="A456" s="492">
        <f t="shared" si="27"/>
        <v>45785</v>
      </c>
      <c r="B456" s="102" t="s">
        <v>3267</v>
      </c>
      <c r="C456" s="110" t="str">
        <f t="shared" si="26"/>
        <v>45785 0000H</v>
      </c>
      <c r="D456" s="337">
        <v>2280.66</v>
      </c>
      <c r="E456" s="338">
        <v>49.71</v>
      </c>
      <c r="F456" s="337">
        <v>1108.67</v>
      </c>
      <c r="G456" s="338">
        <v>6.2</v>
      </c>
      <c r="H456" s="337">
        <v>76003.87</v>
      </c>
      <c r="I456" s="475">
        <v>930.93</v>
      </c>
      <c r="J456" s="475">
        <v>33668.17</v>
      </c>
      <c r="K456" s="338">
        <v>110.47</v>
      </c>
      <c r="L456" s="337">
        <v>6946.99</v>
      </c>
      <c r="M456" s="475">
        <v>19.05</v>
      </c>
      <c r="N456" s="475">
        <v>34566.300000000003</v>
      </c>
      <c r="O456" s="475">
        <v>29.7</v>
      </c>
      <c r="P456" s="475">
        <v>732.53</v>
      </c>
      <c r="Q456" s="475">
        <v>955.99</v>
      </c>
      <c r="R456" s="475">
        <v>11148.82</v>
      </c>
      <c r="S456" s="475">
        <v>9.0399999999999991</v>
      </c>
      <c r="T456" s="475">
        <v>37760</v>
      </c>
      <c r="U456" s="475">
        <v>69</v>
      </c>
      <c r="V456" s="475"/>
      <c r="W456" s="475"/>
      <c r="X456" s="475">
        <v>8279.33</v>
      </c>
      <c r="Y456" s="475">
        <v>0</v>
      </c>
      <c r="Z456" s="475"/>
      <c r="AA456" s="338"/>
      <c r="AB456" s="475">
        <v>267.41000000000003</v>
      </c>
      <c r="AC456" s="476">
        <v>0.43</v>
      </c>
      <c r="AD456" s="475"/>
      <c r="AE456" s="338"/>
      <c r="AF456" s="505">
        <v>147.52000000000001</v>
      </c>
      <c r="AG456" s="476">
        <v>9.42</v>
      </c>
      <c r="AH456" s="505"/>
      <c r="AI456" s="476"/>
      <c r="AJ456" s="505"/>
      <c r="AK456" s="476"/>
    </row>
    <row r="457" spans="1:37">
      <c r="A457" s="492">
        <f t="shared" si="27"/>
        <v>45785</v>
      </c>
      <c r="B457" s="102" t="s">
        <v>1197</v>
      </c>
      <c r="C457" s="110" t="str">
        <f t="shared" si="26"/>
        <v>45785 1200H</v>
      </c>
      <c r="D457" s="471">
        <v>2284.8000000000002</v>
      </c>
      <c r="E457" s="472">
        <v>49.71</v>
      </c>
      <c r="F457" s="471">
        <v>1108.67</v>
      </c>
      <c r="G457" s="472">
        <v>6.2</v>
      </c>
      <c r="H457" s="471">
        <v>76005.33</v>
      </c>
      <c r="I457" s="473">
        <v>931.36</v>
      </c>
      <c r="J457" s="473">
        <v>33669.19</v>
      </c>
      <c r="K457" s="472">
        <v>110.51</v>
      </c>
      <c r="L457" s="471">
        <v>6952.63</v>
      </c>
      <c r="M457" s="473">
        <v>19.05</v>
      </c>
      <c r="N457" s="473">
        <v>34573.9</v>
      </c>
      <c r="O457" s="473">
        <v>29.7</v>
      </c>
      <c r="P457" s="473">
        <v>732.54</v>
      </c>
      <c r="Q457" s="473">
        <v>957.05</v>
      </c>
      <c r="R457" s="473">
        <v>11153.09</v>
      </c>
      <c r="S457" s="473">
        <v>9.0399999999999991</v>
      </c>
      <c r="T457" s="473">
        <v>37766</v>
      </c>
      <c r="U457" s="473">
        <v>69</v>
      </c>
      <c r="V457" s="473"/>
      <c r="W457" s="473"/>
      <c r="X457" s="473">
        <v>8285.75</v>
      </c>
      <c r="Y457" s="473">
        <v>0</v>
      </c>
      <c r="Z457" s="473"/>
      <c r="AA457" s="472"/>
      <c r="AB457" s="473">
        <v>267.41000000000003</v>
      </c>
      <c r="AC457" s="474">
        <v>0.43</v>
      </c>
      <c r="AD457" s="473"/>
      <c r="AE457" s="472"/>
      <c r="AF457" s="506">
        <v>148.44</v>
      </c>
      <c r="AG457" s="474">
        <v>9.4600000000000009</v>
      </c>
      <c r="AH457" s="506"/>
      <c r="AI457" s="474"/>
      <c r="AJ457" s="506"/>
      <c r="AK457" s="474"/>
    </row>
    <row r="458" spans="1:37">
      <c r="A458" s="492">
        <f t="shared" si="27"/>
        <v>45786</v>
      </c>
      <c r="B458" s="102" t="s">
        <v>3267</v>
      </c>
      <c r="C458" s="110" t="str">
        <f t="shared" si="26"/>
        <v>45786 0000H</v>
      </c>
      <c r="D458" s="337">
        <v>2291.06</v>
      </c>
      <c r="E458" s="338">
        <v>49.71</v>
      </c>
      <c r="F458" s="337">
        <v>1108.67</v>
      </c>
      <c r="G458" s="338">
        <v>6.2</v>
      </c>
      <c r="H458" s="337">
        <v>76012.27</v>
      </c>
      <c r="I458" s="475">
        <v>931.45</v>
      </c>
      <c r="J458" s="475">
        <v>33671.83</v>
      </c>
      <c r="K458" s="338">
        <v>110.53</v>
      </c>
      <c r="L458" s="337">
        <v>6958.42</v>
      </c>
      <c r="M458" s="475">
        <v>19.05</v>
      </c>
      <c r="N458" s="475">
        <v>34581.699999999997</v>
      </c>
      <c r="O458" s="475">
        <v>29.7</v>
      </c>
      <c r="P458" s="475">
        <v>732.54</v>
      </c>
      <c r="Q458" s="475">
        <v>958.73</v>
      </c>
      <c r="R458" s="475">
        <v>11158.38</v>
      </c>
      <c r="S458" s="475">
        <v>9.0399999999999991</v>
      </c>
      <c r="T458" s="475">
        <v>37774</v>
      </c>
      <c r="U458" s="475">
        <v>69</v>
      </c>
      <c r="V458" s="475"/>
      <c r="W458" s="475"/>
      <c r="X458" s="475">
        <v>8292.73</v>
      </c>
      <c r="Y458" s="475">
        <v>0</v>
      </c>
      <c r="Z458" s="475"/>
      <c r="AA458" s="338"/>
      <c r="AB458" s="475">
        <v>267.41000000000003</v>
      </c>
      <c r="AC458" s="476">
        <v>0.43</v>
      </c>
      <c r="AD458" s="475"/>
      <c r="AE458" s="338"/>
      <c r="AF458" s="505">
        <v>149.91999999999999</v>
      </c>
      <c r="AG458" s="476">
        <v>9.48</v>
      </c>
      <c r="AH458" s="505"/>
      <c r="AI458" s="476"/>
      <c r="AJ458" s="505"/>
      <c r="AK458" s="476"/>
    </row>
    <row r="459" spans="1:37">
      <c r="A459" s="492">
        <f t="shared" si="27"/>
        <v>45786</v>
      </c>
      <c r="B459" s="102" t="s">
        <v>1197</v>
      </c>
      <c r="C459" s="110" t="str">
        <f t="shared" si="26"/>
        <v>45786 1200H</v>
      </c>
      <c r="D459" s="471">
        <v>2295.5700000000002</v>
      </c>
      <c r="E459" s="472">
        <v>49.71</v>
      </c>
      <c r="F459" s="471">
        <v>1108.67</v>
      </c>
      <c r="G459" s="472">
        <v>6.2</v>
      </c>
      <c r="H459" s="471">
        <v>76015.259999999995</v>
      </c>
      <c r="I459" s="473">
        <v>931.75</v>
      </c>
      <c r="J459" s="473">
        <v>33671.980000000003</v>
      </c>
      <c r="K459" s="472">
        <v>110.6</v>
      </c>
      <c r="L459" s="471">
        <v>6964.17</v>
      </c>
      <c r="M459" s="473">
        <v>19.05</v>
      </c>
      <c r="N459" s="473">
        <v>34589.599999999999</v>
      </c>
      <c r="O459" s="473">
        <v>29.7</v>
      </c>
      <c r="P459" s="473">
        <v>732.54</v>
      </c>
      <c r="Q459" s="473">
        <v>960.34</v>
      </c>
      <c r="R459" s="473">
        <v>11162.84</v>
      </c>
      <c r="S459" s="473">
        <v>9.0399999999999991</v>
      </c>
      <c r="T459" s="473">
        <v>37781</v>
      </c>
      <c r="U459" s="473">
        <v>69</v>
      </c>
      <c r="V459" s="473"/>
      <c r="W459" s="473"/>
      <c r="X459" s="473">
        <v>8299.0400000000009</v>
      </c>
      <c r="Y459" s="473">
        <v>0</v>
      </c>
      <c r="Z459" s="473"/>
      <c r="AA459" s="472"/>
      <c r="AB459" s="473">
        <v>267.41000000000003</v>
      </c>
      <c r="AC459" s="474">
        <v>0.43</v>
      </c>
      <c r="AD459" s="473"/>
      <c r="AE459" s="472"/>
      <c r="AF459" s="506">
        <v>150.16999999999999</v>
      </c>
      <c r="AG459" s="474">
        <v>9.5399999999999991</v>
      </c>
      <c r="AH459" s="506"/>
      <c r="AI459" s="474"/>
      <c r="AJ459" s="506"/>
      <c r="AK459" s="474"/>
    </row>
    <row r="460" spans="1:37">
      <c r="A460" s="492">
        <f t="shared" si="27"/>
        <v>45787</v>
      </c>
      <c r="B460" s="102" t="s">
        <v>3267</v>
      </c>
      <c r="C460" s="110" t="str">
        <f t="shared" si="26"/>
        <v>45787 0000H</v>
      </c>
      <c r="D460" s="337">
        <v>2301.7199999999998</v>
      </c>
      <c r="E460" s="338">
        <v>49.71</v>
      </c>
      <c r="F460" s="337">
        <v>1108.67</v>
      </c>
      <c r="G460" s="338">
        <v>6.2</v>
      </c>
      <c r="H460" s="337">
        <v>76024.38</v>
      </c>
      <c r="I460" s="475">
        <v>931.91</v>
      </c>
      <c r="J460" s="475">
        <v>33674.44</v>
      </c>
      <c r="K460" s="338">
        <v>110.64</v>
      </c>
      <c r="L460" s="337">
        <v>6969.91</v>
      </c>
      <c r="M460" s="475">
        <v>19.05</v>
      </c>
      <c r="N460" s="475">
        <v>34596.9</v>
      </c>
      <c r="O460" s="475">
        <v>29.7</v>
      </c>
      <c r="P460" s="475">
        <v>732.54</v>
      </c>
      <c r="Q460" s="475">
        <v>962.34</v>
      </c>
      <c r="R460" s="475">
        <v>11168.07</v>
      </c>
      <c r="S460" s="475">
        <v>9.0399999999999991</v>
      </c>
      <c r="T460" s="475">
        <v>37789</v>
      </c>
      <c r="U460" s="475">
        <v>69</v>
      </c>
      <c r="V460" s="475"/>
      <c r="W460" s="475"/>
      <c r="X460" s="475">
        <v>8306.11</v>
      </c>
      <c r="Y460" s="475">
        <v>0</v>
      </c>
      <c r="Z460" s="475"/>
      <c r="AA460" s="338"/>
      <c r="AB460" s="475">
        <v>267.41000000000003</v>
      </c>
      <c r="AC460" s="476">
        <v>0.43</v>
      </c>
      <c r="AD460" s="475"/>
      <c r="AE460" s="338"/>
      <c r="AF460" s="505">
        <v>150.16999999999999</v>
      </c>
      <c r="AG460" s="476">
        <v>9.58</v>
      </c>
      <c r="AH460" s="505"/>
      <c r="AI460" s="476"/>
      <c r="AJ460" s="505"/>
      <c r="AK460" s="476"/>
    </row>
    <row r="461" spans="1:37">
      <c r="A461" s="492">
        <f t="shared" si="27"/>
        <v>45787</v>
      </c>
      <c r="B461" s="102" t="s">
        <v>1197</v>
      </c>
      <c r="C461" s="110" t="str">
        <f t="shared" si="26"/>
        <v>45787 1200H</v>
      </c>
      <c r="D461" s="471">
        <v>2305.65</v>
      </c>
      <c r="E461" s="472">
        <v>49.71</v>
      </c>
      <c r="F461" s="471">
        <v>1108.67</v>
      </c>
      <c r="G461" s="472">
        <v>6.2</v>
      </c>
      <c r="H461" s="471">
        <v>76026.899999999994</v>
      </c>
      <c r="I461" s="473">
        <v>932.13</v>
      </c>
      <c r="J461" s="473">
        <v>33674.57</v>
      </c>
      <c r="K461" s="472">
        <v>110.69</v>
      </c>
      <c r="L461" s="471">
        <v>6975.61</v>
      </c>
      <c r="M461" s="473">
        <v>19.05</v>
      </c>
      <c r="N461" s="473">
        <v>34604.5</v>
      </c>
      <c r="O461" s="473">
        <v>29.7</v>
      </c>
      <c r="P461" s="473">
        <v>732.54</v>
      </c>
      <c r="Q461" s="473">
        <v>963.72</v>
      </c>
      <c r="R461" s="473">
        <v>11172.23</v>
      </c>
      <c r="S461" s="473">
        <v>9.0399999999999991</v>
      </c>
      <c r="T461" s="473">
        <v>37795</v>
      </c>
      <c r="U461" s="473">
        <v>69</v>
      </c>
      <c r="V461" s="473"/>
      <c r="W461" s="473"/>
      <c r="X461" s="473">
        <v>8312.34</v>
      </c>
      <c r="Y461" s="473">
        <v>0</v>
      </c>
      <c r="Z461" s="473"/>
      <c r="AA461" s="472"/>
      <c r="AB461" s="473">
        <v>267.41000000000003</v>
      </c>
      <c r="AC461" s="474">
        <v>0.43</v>
      </c>
      <c r="AD461" s="473"/>
      <c r="AE461" s="472"/>
      <c r="AF461" s="506">
        <v>150.16999999999999</v>
      </c>
      <c r="AG461" s="474">
        <v>9.58</v>
      </c>
      <c r="AH461" s="506"/>
      <c r="AI461" s="474"/>
      <c r="AJ461" s="506"/>
      <c r="AK461" s="474"/>
    </row>
    <row r="462" spans="1:37">
      <c r="A462" s="492">
        <f t="shared" si="27"/>
        <v>45788</v>
      </c>
      <c r="B462" s="102" t="s">
        <v>3267</v>
      </c>
      <c r="C462" s="110" t="str">
        <f t="shared" si="26"/>
        <v>45788 0000H</v>
      </c>
      <c r="D462" s="337">
        <v>2311.7800000000002</v>
      </c>
      <c r="E462" s="338">
        <v>49.71</v>
      </c>
      <c r="F462" s="337">
        <v>1108.67</v>
      </c>
      <c r="G462" s="338">
        <v>6.2</v>
      </c>
      <c r="H462" s="337">
        <v>76030.720000000001</v>
      </c>
      <c r="I462" s="475">
        <v>932.29</v>
      </c>
      <c r="J462" s="475">
        <v>33676.15</v>
      </c>
      <c r="K462" s="338">
        <v>110.72</v>
      </c>
      <c r="L462" s="337">
        <v>6981.29</v>
      </c>
      <c r="M462" s="475">
        <v>19.05</v>
      </c>
      <c r="N462" s="475">
        <v>34611.800000000003</v>
      </c>
      <c r="O462" s="475">
        <v>29.7</v>
      </c>
      <c r="P462" s="475">
        <v>732.54</v>
      </c>
      <c r="Q462" s="475">
        <v>965.61</v>
      </c>
      <c r="R462" s="475">
        <v>11177.37</v>
      </c>
      <c r="S462" s="475">
        <v>9.0399999999999991</v>
      </c>
      <c r="T462" s="475">
        <v>37803</v>
      </c>
      <c r="U462" s="475">
        <v>69</v>
      </c>
      <c r="V462" s="475"/>
      <c r="W462" s="475"/>
      <c r="X462" s="475">
        <v>8319.23</v>
      </c>
      <c r="Y462" s="475">
        <v>0</v>
      </c>
      <c r="Z462" s="475"/>
      <c r="AA462" s="338"/>
      <c r="AB462" s="475">
        <v>267.41000000000003</v>
      </c>
      <c r="AC462" s="476">
        <v>0.43</v>
      </c>
      <c r="AD462" s="475"/>
      <c r="AE462" s="338"/>
      <c r="AF462" s="505">
        <v>150.16999999999999</v>
      </c>
      <c r="AG462" s="476">
        <v>9.68</v>
      </c>
      <c r="AH462" s="505"/>
      <c r="AI462" s="476"/>
      <c r="AJ462" s="505"/>
      <c r="AK462" s="476"/>
    </row>
    <row r="463" spans="1:37">
      <c r="A463" s="492">
        <f t="shared" si="27"/>
        <v>45788</v>
      </c>
      <c r="B463" s="102" t="s">
        <v>1197</v>
      </c>
      <c r="C463" s="110" t="str">
        <f t="shared" si="26"/>
        <v>45788 1200H</v>
      </c>
      <c r="D463" s="471">
        <v>2315.56</v>
      </c>
      <c r="E463" s="472">
        <v>49.71</v>
      </c>
      <c r="F463" s="471">
        <v>1108.67</v>
      </c>
      <c r="G463" s="472">
        <v>6.2</v>
      </c>
      <c r="H463" s="471">
        <v>76034.899999999994</v>
      </c>
      <c r="I463" s="473">
        <v>932.51</v>
      </c>
      <c r="J463" s="473">
        <v>33676.15</v>
      </c>
      <c r="K463" s="472">
        <v>110.77</v>
      </c>
      <c r="L463" s="471">
        <v>6987.04</v>
      </c>
      <c r="M463" s="473">
        <v>19.05</v>
      </c>
      <c r="N463" s="473">
        <v>34619</v>
      </c>
      <c r="O463" s="473">
        <v>29.7</v>
      </c>
      <c r="P463" s="473">
        <v>732.54</v>
      </c>
      <c r="Q463" s="473">
        <v>937.18</v>
      </c>
      <c r="R463" s="473">
        <v>11181.45</v>
      </c>
      <c r="S463" s="473">
        <v>9.0399999999999991</v>
      </c>
      <c r="T463" s="473">
        <v>37809</v>
      </c>
      <c r="U463" s="473">
        <v>69</v>
      </c>
      <c r="V463" s="473"/>
      <c r="W463" s="473"/>
      <c r="X463" s="473">
        <v>8325.4</v>
      </c>
      <c r="Y463" s="473">
        <v>0</v>
      </c>
      <c r="Z463" s="473"/>
      <c r="AA463" s="472"/>
      <c r="AB463" s="473">
        <v>267.41000000000003</v>
      </c>
      <c r="AC463" s="474">
        <v>0.43</v>
      </c>
      <c r="AD463" s="473"/>
      <c r="AE463" s="472"/>
      <c r="AF463" s="506">
        <v>150.16999999999999</v>
      </c>
      <c r="AG463" s="474">
        <v>9.68</v>
      </c>
      <c r="AH463" s="506"/>
      <c r="AI463" s="474"/>
      <c r="AJ463" s="506"/>
      <c r="AK463" s="474"/>
    </row>
    <row r="464" spans="1:37">
      <c r="A464" s="492">
        <f t="shared" si="27"/>
        <v>45789</v>
      </c>
      <c r="B464" s="102" t="s">
        <v>3267</v>
      </c>
      <c r="C464" s="110" t="str">
        <f t="shared" ref="C464:C491" si="28">A464 &amp; " " &amp;B464</f>
        <v>45789 0000H</v>
      </c>
      <c r="D464" s="337">
        <v>2321.08</v>
      </c>
      <c r="E464" s="338">
        <v>49.71</v>
      </c>
      <c r="F464" s="337">
        <v>1108.67</v>
      </c>
      <c r="G464" s="338">
        <v>6.2</v>
      </c>
      <c r="H464" s="337">
        <v>76043.05</v>
      </c>
      <c r="I464" s="475">
        <v>932.63</v>
      </c>
      <c r="J464" s="475">
        <v>33677.919999999998</v>
      </c>
      <c r="K464" s="338">
        <v>110.81</v>
      </c>
      <c r="L464" s="337">
        <v>6992.79</v>
      </c>
      <c r="M464" s="475">
        <v>19.05</v>
      </c>
      <c r="N464" s="475">
        <v>34626.6</v>
      </c>
      <c r="O464" s="475">
        <v>29.7</v>
      </c>
      <c r="P464" s="475">
        <v>732.55</v>
      </c>
      <c r="Q464" s="475">
        <v>968.55</v>
      </c>
      <c r="R464" s="475">
        <v>11186.65</v>
      </c>
      <c r="S464" s="475">
        <v>9.0399999999999991</v>
      </c>
      <c r="T464" s="475">
        <v>37816</v>
      </c>
      <c r="U464" s="475">
        <v>69</v>
      </c>
      <c r="V464" s="475"/>
      <c r="W464" s="475"/>
      <c r="X464" s="475">
        <v>8332.66</v>
      </c>
      <c r="Y464" s="475">
        <v>0</v>
      </c>
      <c r="Z464" s="475"/>
      <c r="AA464" s="338"/>
      <c r="AB464" s="475">
        <v>267.41000000000003</v>
      </c>
      <c r="AC464" s="476">
        <v>0.43</v>
      </c>
      <c r="AD464" s="475"/>
      <c r="AE464" s="338"/>
      <c r="AF464" s="505">
        <v>150.16999999999999</v>
      </c>
      <c r="AG464" s="476">
        <v>9.81</v>
      </c>
      <c r="AH464" s="505"/>
      <c r="AI464" s="476"/>
      <c r="AJ464" s="505"/>
      <c r="AK464" s="476"/>
    </row>
    <row r="465" spans="1:37">
      <c r="A465" s="492">
        <f t="shared" si="27"/>
        <v>45789</v>
      </c>
      <c r="B465" s="102" t="s">
        <v>1197</v>
      </c>
      <c r="C465" s="110" t="str">
        <f t="shared" si="28"/>
        <v>45789 1200H</v>
      </c>
      <c r="D465" s="471">
        <v>2324.34</v>
      </c>
      <c r="E465" s="472">
        <v>49.71</v>
      </c>
      <c r="F465" s="471">
        <v>1108.67</v>
      </c>
      <c r="G465" s="472">
        <v>6.2</v>
      </c>
      <c r="H465" s="471">
        <v>76047.06</v>
      </c>
      <c r="I465" s="473">
        <v>932.18</v>
      </c>
      <c r="J465" s="473">
        <v>33677.919999999998</v>
      </c>
      <c r="K465" s="472">
        <v>110.81</v>
      </c>
      <c r="L465" s="471">
        <v>6998.62</v>
      </c>
      <c r="M465" s="473">
        <v>19.05</v>
      </c>
      <c r="N465" s="473">
        <v>34634.300000000003</v>
      </c>
      <c r="O465" s="473">
        <v>29.7</v>
      </c>
      <c r="P465" s="473">
        <v>732.55</v>
      </c>
      <c r="Q465" s="473">
        <v>969.74</v>
      </c>
      <c r="R465" s="473">
        <v>11190.34</v>
      </c>
      <c r="S465" s="473">
        <v>9.0399999999999991</v>
      </c>
      <c r="T465" s="473">
        <v>37822</v>
      </c>
      <c r="U465" s="473">
        <v>69</v>
      </c>
      <c r="V465" s="473"/>
      <c r="W465" s="473"/>
      <c r="X465" s="473">
        <v>8338.84</v>
      </c>
      <c r="Y465" s="473">
        <v>0</v>
      </c>
      <c r="Z465" s="473"/>
      <c r="AA465" s="472"/>
      <c r="AB465" s="473">
        <v>267.41000000000003</v>
      </c>
      <c r="AC465" s="474">
        <v>0.43</v>
      </c>
      <c r="AD465" s="473"/>
      <c r="AE465" s="472"/>
      <c r="AF465" s="506">
        <v>150.16999999999999</v>
      </c>
      <c r="AG465" s="474">
        <v>9.81</v>
      </c>
      <c r="AH465" s="506"/>
      <c r="AI465" s="474"/>
      <c r="AJ465" s="506"/>
      <c r="AK465" s="474"/>
    </row>
    <row r="466" spans="1:37">
      <c r="A466" s="492">
        <f t="shared" ref="A466:A491" si="29">A464+1</f>
        <v>45790</v>
      </c>
      <c r="B466" s="102" t="s">
        <v>3267</v>
      </c>
      <c r="C466" s="110" t="str">
        <f t="shared" si="28"/>
        <v>45790 0000H</v>
      </c>
      <c r="D466" s="337">
        <v>2329.36</v>
      </c>
      <c r="E466" s="338">
        <v>49.71</v>
      </c>
      <c r="F466" s="337">
        <v>1108.67</v>
      </c>
      <c r="G466" s="338">
        <v>6.2</v>
      </c>
      <c r="H466" s="337">
        <v>76056.55</v>
      </c>
      <c r="I466" s="475">
        <v>932.94</v>
      </c>
      <c r="J466" s="475">
        <v>33680.959999999999</v>
      </c>
      <c r="K466" s="338">
        <v>110.86</v>
      </c>
      <c r="L466" s="337">
        <v>7004.36</v>
      </c>
      <c r="M466" s="475">
        <v>19.05</v>
      </c>
      <c r="N466" s="475">
        <v>34641.699999999997</v>
      </c>
      <c r="O466" s="475">
        <v>29.7</v>
      </c>
      <c r="P466" s="475">
        <v>732.55</v>
      </c>
      <c r="Q466" s="475">
        <v>971.22</v>
      </c>
      <c r="R466" s="475">
        <v>11195.29</v>
      </c>
      <c r="S466" s="475">
        <v>9.0399999999999991</v>
      </c>
      <c r="T466" s="475">
        <v>37829</v>
      </c>
      <c r="U466" s="475">
        <v>69</v>
      </c>
      <c r="V466" s="475"/>
      <c r="W466" s="475"/>
      <c r="X466" s="475">
        <v>8346.09</v>
      </c>
      <c r="Y466" s="475">
        <v>0</v>
      </c>
      <c r="Z466" s="475"/>
      <c r="AA466" s="338"/>
      <c r="AB466" s="475">
        <v>267.41000000000003</v>
      </c>
      <c r="AC466" s="476">
        <v>0.43</v>
      </c>
      <c r="AD466" s="475"/>
      <c r="AE466" s="338"/>
      <c r="AF466" s="505">
        <v>150.1</v>
      </c>
      <c r="AG466" s="476">
        <v>9.91</v>
      </c>
      <c r="AH466" s="505"/>
      <c r="AI466" s="476"/>
      <c r="AJ466" s="505"/>
      <c r="AK466" s="476"/>
    </row>
    <row r="467" spans="1:37">
      <c r="A467" s="492">
        <f t="shared" si="29"/>
        <v>45790</v>
      </c>
      <c r="B467" s="102" t="s">
        <v>1197</v>
      </c>
      <c r="C467" s="110" t="str">
        <f t="shared" si="28"/>
        <v>45790 1200H</v>
      </c>
      <c r="D467" s="471">
        <v>2333.7800000000002</v>
      </c>
      <c r="E467" s="472">
        <v>49.71</v>
      </c>
      <c r="F467" s="471">
        <v>1108.67</v>
      </c>
      <c r="G467" s="472">
        <v>6.2</v>
      </c>
      <c r="H467" s="471">
        <v>76058.75</v>
      </c>
      <c r="I467" s="473">
        <v>933.22</v>
      </c>
      <c r="J467" s="473">
        <v>33681.980000000003</v>
      </c>
      <c r="K467" s="472">
        <v>110.9</v>
      </c>
      <c r="L467" s="471">
        <v>7010.18</v>
      </c>
      <c r="M467" s="473">
        <v>19.05</v>
      </c>
      <c r="N467" s="473">
        <v>34649.4</v>
      </c>
      <c r="O467" s="473">
        <v>29.7</v>
      </c>
      <c r="P467" s="473">
        <v>732.55</v>
      </c>
      <c r="Q467" s="473">
        <v>972.54</v>
      </c>
      <c r="R467" s="473">
        <v>11199.26</v>
      </c>
      <c r="S467" s="473">
        <v>9.0399999999999991</v>
      </c>
      <c r="T467" s="473">
        <v>37837</v>
      </c>
      <c r="U467" s="473">
        <v>69</v>
      </c>
      <c r="V467" s="473"/>
      <c r="W467" s="473"/>
      <c r="X467" s="473">
        <v>8352.5300000000007</v>
      </c>
      <c r="Y467" s="473">
        <v>0</v>
      </c>
      <c r="Z467" s="473"/>
      <c r="AA467" s="472"/>
      <c r="AB467" s="473">
        <v>267.41000000000003</v>
      </c>
      <c r="AC467" s="474">
        <v>0.43</v>
      </c>
      <c r="AD467" s="473"/>
      <c r="AE467" s="472"/>
      <c r="AF467" s="506">
        <v>150.1</v>
      </c>
      <c r="AG467" s="474">
        <v>9.91</v>
      </c>
      <c r="AH467" s="506"/>
      <c r="AI467" s="474"/>
      <c r="AJ467" s="506"/>
      <c r="AK467" s="474"/>
    </row>
    <row r="468" spans="1:37">
      <c r="A468" s="492">
        <f t="shared" si="29"/>
        <v>45791</v>
      </c>
      <c r="B468" s="102" t="s">
        <v>3267</v>
      </c>
      <c r="C468" s="110" t="str">
        <f t="shared" si="28"/>
        <v>45791 0000H</v>
      </c>
      <c r="D468" s="337">
        <v>2340.1</v>
      </c>
      <c r="E468" s="338">
        <v>49.71</v>
      </c>
      <c r="F468" s="337">
        <v>1108.67</v>
      </c>
      <c r="G468" s="338">
        <v>6.2</v>
      </c>
      <c r="H468" s="337">
        <v>76067.66</v>
      </c>
      <c r="I468" s="475">
        <v>933.3</v>
      </c>
      <c r="J468" s="475">
        <v>33685.64</v>
      </c>
      <c r="K468" s="338">
        <v>110.9</v>
      </c>
      <c r="L468" s="337">
        <v>7015.94</v>
      </c>
      <c r="M468" s="475">
        <v>19.05</v>
      </c>
      <c r="N468" s="475">
        <v>34656.800000000003</v>
      </c>
      <c r="O468" s="475">
        <v>29.7</v>
      </c>
      <c r="P468" s="475">
        <v>732.55</v>
      </c>
      <c r="Q468" s="475">
        <v>974.44</v>
      </c>
      <c r="R468" s="475">
        <v>11205.03</v>
      </c>
      <c r="S468" s="475">
        <v>9.0399999999999991</v>
      </c>
      <c r="T468" s="475">
        <v>37845</v>
      </c>
      <c r="U468" s="475">
        <v>69</v>
      </c>
      <c r="V468" s="475"/>
      <c r="W468" s="475"/>
      <c r="X468" s="475">
        <v>8359.92</v>
      </c>
      <c r="Y468" s="475">
        <v>0</v>
      </c>
      <c r="Z468" s="475"/>
      <c r="AA468" s="338"/>
      <c r="AB468" s="475">
        <v>267.41000000000003</v>
      </c>
      <c r="AC468" s="476">
        <v>0.43</v>
      </c>
      <c r="AD468" s="475"/>
      <c r="AE468" s="338"/>
      <c r="AF468" s="505">
        <v>154.04</v>
      </c>
      <c r="AG468" s="476">
        <v>9.9600000000000009</v>
      </c>
      <c r="AH468" s="505"/>
      <c r="AI468" s="476"/>
      <c r="AJ468" s="505"/>
      <c r="AK468" s="476"/>
    </row>
    <row r="469" spans="1:37">
      <c r="A469" s="492">
        <f t="shared" si="29"/>
        <v>45791</v>
      </c>
      <c r="B469" s="102" t="s">
        <v>1197</v>
      </c>
      <c r="C469" s="110" t="str">
        <f t="shared" si="28"/>
        <v>45791 1200H</v>
      </c>
      <c r="D469" s="471">
        <v>2344.84</v>
      </c>
      <c r="E469" s="472">
        <v>49.71</v>
      </c>
      <c r="F469" s="471">
        <v>1108.67</v>
      </c>
      <c r="G469" s="472">
        <v>6.2</v>
      </c>
      <c r="H469" s="471">
        <v>76071.05</v>
      </c>
      <c r="I469" s="473">
        <v>933.57</v>
      </c>
      <c r="J469" s="473">
        <v>33686.51</v>
      </c>
      <c r="K469" s="472">
        <v>110.95</v>
      </c>
      <c r="L469" s="471">
        <v>7021.74</v>
      </c>
      <c r="M469" s="473">
        <v>19.05</v>
      </c>
      <c r="N469" s="473">
        <v>34664.5</v>
      </c>
      <c r="O469" s="473">
        <v>29.7</v>
      </c>
      <c r="P469" s="473">
        <v>732.6</v>
      </c>
      <c r="Q469" s="473">
        <v>975.41</v>
      </c>
      <c r="R469" s="473">
        <v>11209.65</v>
      </c>
      <c r="S469" s="473">
        <v>9.0399999999999991</v>
      </c>
      <c r="T469" s="473">
        <v>37852</v>
      </c>
      <c r="U469" s="473">
        <v>69</v>
      </c>
      <c r="V469" s="473"/>
      <c r="W469" s="473"/>
      <c r="X469" s="473">
        <v>8366.2900000000009</v>
      </c>
      <c r="Y469" s="473">
        <v>0</v>
      </c>
      <c r="Z469" s="473"/>
      <c r="AA469" s="472"/>
      <c r="AB469" s="473">
        <v>267.41000000000003</v>
      </c>
      <c r="AC469" s="474">
        <v>0.43</v>
      </c>
      <c r="AD469" s="473"/>
      <c r="AE469" s="472"/>
      <c r="AF469" s="506">
        <v>154.04</v>
      </c>
      <c r="AG469" s="474">
        <v>9.9600000000000009</v>
      </c>
      <c r="AH469" s="506"/>
      <c r="AI469" s="474"/>
      <c r="AJ469" s="506"/>
      <c r="AK469" s="474"/>
    </row>
    <row r="470" spans="1:37">
      <c r="A470" s="492">
        <f t="shared" si="29"/>
        <v>45792</v>
      </c>
      <c r="B470" s="102" t="s">
        <v>3267</v>
      </c>
      <c r="C470" s="110" t="str">
        <f t="shared" si="28"/>
        <v>45792 0000H</v>
      </c>
      <c r="D470" s="337">
        <v>2351.1</v>
      </c>
      <c r="E470" s="338">
        <v>49.71</v>
      </c>
      <c r="F470" s="337">
        <v>1108.67</v>
      </c>
      <c r="G470" s="338">
        <v>6.2</v>
      </c>
      <c r="H470" s="337">
        <v>76077.289999999994</v>
      </c>
      <c r="I470" s="475">
        <v>933.59</v>
      </c>
      <c r="J470" s="475">
        <v>33690.36</v>
      </c>
      <c r="K470" s="338">
        <v>110.95</v>
      </c>
      <c r="L470" s="337">
        <v>7027.53</v>
      </c>
      <c r="M470" s="475">
        <v>19.05</v>
      </c>
      <c r="N470" s="475">
        <v>34672.300000000003</v>
      </c>
      <c r="O470" s="475">
        <v>29.7</v>
      </c>
      <c r="P470" s="475">
        <v>732.86</v>
      </c>
      <c r="Q470" s="475">
        <v>976.6</v>
      </c>
      <c r="R470" s="475">
        <v>11215.6</v>
      </c>
      <c r="S470" s="475">
        <v>9.0399999999999991</v>
      </c>
      <c r="T470" s="475">
        <v>37860</v>
      </c>
      <c r="U470" s="475">
        <v>69</v>
      </c>
      <c r="V470" s="475"/>
      <c r="W470" s="475"/>
      <c r="X470" s="475">
        <v>8373.73</v>
      </c>
      <c r="Y470" s="475">
        <v>0</v>
      </c>
      <c r="Z470" s="475"/>
      <c r="AA470" s="338"/>
      <c r="AB470" s="475">
        <v>268.42</v>
      </c>
      <c r="AC470" s="476">
        <v>0.44</v>
      </c>
      <c r="AD470" s="475"/>
      <c r="AE470" s="338"/>
      <c r="AF470" s="505">
        <v>158.30000000000001</v>
      </c>
      <c r="AG470" s="476">
        <v>10.02</v>
      </c>
      <c r="AH470" s="505"/>
      <c r="AI470" s="476"/>
      <c r="AJ470" s="505"/>
      <c r="AK470" s="476"/>
    </row>
    <row r="471" spans="1:37">
      <c r="A471" s="492">
        <f t="shared" si="29"/>
        <v>45792</v>
      </c>
      <c r="B471" s="102" t="s">
        <v>1197</v>
      </c>
      <c r="C471" s="110" t="str">
        <f t="shared" si="28"/>
        <v>45792 1200H</v>
      </c>
      <c r="D471" s="471">
        <v>2355.23</v>
      </c>
      <c r="E471" s="472">
        <v>49.71</v>
      </c>
      <c r="F471" s="471">
        <v>1108.67</v>
      </c>
      <c r="G471" s="472">
        <v>6.2</v>
      </c>
      <c r="H471" s="471">
        <v>76081.33</v>
      </c>
      <c r="I471" s="473">
        <v>933.71</v>
      </c>
      <c r="J471" s="473">
        <v>33691.64</v>
      </c>
      <c r="K471" s="472">
        <v>110.98</v>
      </c>
      <c r="L471" s="471">
        <v>7033.35</v>
      </c>
      <c r="M471" s="473">
        <v>19.05</v>
      </c>
      <c r="N471" s="473">
        <v>34680</v>
      </c>
      <c r="O471" s="473">
        <v>29.7</v>
      </c>
      <c r="P471" s="473">
        <v>732.98</v>
      </c>
      <c r="Q471" s="473">
        <v>977.56</v>
      </c>
      <c r="R471" s="473">
        <v>11220.33</v>
      </c>
      <c r="S471" s="473">
        <v>9.0399999999999991</v>
      </c>
      <c r="T471" s="473">
        <v>37867</v>
      </c>
      <c r="U471" s="473">
        <v>69</v>
      </c>
      <c r="V471" s="473"/>
      <c r="W471" s="473"/>
      <c r="X471" s="473">
        <v>8380.01</v>
      </c>
      <c r="Y471" s="473">
        <v>0</v>
      </c>
      <c r="Z471" s="473"/>
      <c r="AA471" s="472"/>
      <c r="AB471" s="473">
        <v>268.79000000000002</v>
      </c>
      <c r="AC471" s="474">
        <v>0.44</v>
      </c>
      <c r="AD471" s="473"/>
      <c r="AE471" s="472"/>
      <c r="AF471" s="506">
        <v>159.55000000000001</v>
      </c>
      <c r="AG471" s="474">
        <v>10.06</v>
      </c>
      <c r="AH471" s="506"/>
      <c r="AI471" s="474"/>
      <c r="AJ471" s="506"/>
      <c r="AK471" s="474"/>
    </row>
    <row r="472" spans="1:37">
      <c r="A472" s="492">
        <f t="shared" si="29"/>
        <v>45793</v>
      </c>
      <c r="B472" s="102" t="s">
        <v>3267</v>
      </c>
      <c r="C472" s="110" t="str">
        <f t="shared" si="28"/>
        <v>45793 0000H</v>
      </c>
      <c r="D472" s="337">
        <v>2361.7800000000002</v>
      </c>
      <c r="E472" s="338">
        <v>49.71</v>
      </c>
      <c r="F472" s="337">
        <v>1108.67</v>
      </c>
      <c r="G472" s="338">
        <v>6.2</v>
      </c>
      <c r="H472" s="337">
        <v>76088.740000000005</v>
      </c>
      <c r="I472" s="475">
        <v>933.74</v>
      </c>
      <c r="J472" s="475">
        <v>33694.5</v>
      </c>
      <c r="K472" s="338">
        <v>111.01</v>
      </c>
      <c r="L472" s="337">
        <v>7038.98</v>
      </c>
      <c r="M472" s="475">
        <v>19.05</v>
      </c>
      <c r="N472" s="475">
        <v>34687.800000000003</v>
      </c>
      <c r="O472" s="475">
        <v>29.7</v>
      </c>
      <c r="P472" s="475">
        <v>733.01</v>
      </c>
      <c r="Q472" s="475">
        <v>979.01</v>
      </c>
      <c r="R472" s="475">
        <v>11225.52</v>
      </c>
      <c r="S472" s="475">
        <v>9.0399999999999991</v>
      </c>
      <c r="T472" s="475">
        <v>37875</v>
      </c>
      <c r="U472" s="475">
        <v>69</v>
      </c>
      <c r="V472" s="475"/>
      <c r="W472" s="475"/>
      <c r="X472" s="475">
        <v>8387.4599999999991</v>
      </c>
      <c r="Y472" s="475">
        <v>0</v>
      </c>
      <c r="Z472" s="475"/>
      <c r="AA472" s="338"/>
      <c r="AB472" s="475">
        <v>268.89999999999998</v>
      </c>
      <c r="AC472" s="476">
        <v>0.44</v>
      </c>
      <c r="AD472" s="475"/>
      <c r="AE472" s="338"/>
      <c r="AF472" s="505">
        <v>161.31</v>
      </c>
      <c r="AG472" s="476">
        <v>10.08</v>
      </c>
      <c r="AH472" s="505"/>
      <c r="AI472" s="476"/>
      <c r="AJ472" s="505"/>
      <c r="AK472" s="476"/>
    </row>
    <row r="473" spans="1:37">
      <c r="A473" s="492">
        <f t="shared" si="29"/>
        <v>45793</v>
      </c>
      <c r="B473" s="102" t="s">
        <v>1197</v>
      </c>
      <c r="C473" s="110" t="str">
        <f t="shared" si="28"/>
        <v>45793 1200H</v>
      </c>
      <c r="D473" s="471">
        <v>2366.4899999999998</v>
      </c>
      <c r="E473" s="472">
        <v>49.71</v>
      </c>
      <c r="F473" s="471">
        <v>1108.67</v>
      </c>
      <c r="G473" s="472">
        <v>6.2</v>
      </c>
      <c r="H473" s="471">
        <v>76095.960000000006</v>
      </c>
      <c r="I473" s="473">
        <v>933.89</v>
      </c>
      <c r="J473" s="473">
        <v>33695.199999999997</v>
      </c>
      <c r="K473" s="472">
        <v>111.06</v>
      </c>
      <c r="L473" s="471">
        <v>7044.78</v>
      </c>
      <c r="M473" s="473">
        <v>19.05</v>
      </c>
      <c r="N473" s="473">
        <v>34698.300000000003</v>
      </c>
      <c r="O473" s="473">
        <v>29.7</v>
      </c>
      <c r="P473" s="473">
        <v>733.02</v>
      </c>
      <c r="Q473" s="473">
        <v>980.28</v>
      </c>
      <c r="R473" s="473">
        <v>11230.3</v>
      </c>
      <c r="S473" s="473">
        <v>9.0399999999999991</v>
      </c>
      <c r="T473" s="473">
        <v>37882</v>
      </c>
      <c r="U473" s="473">
        <v>69</v>
      </c>
      <c r="V473" s="473"/>
      <c r="W473" s="473"/>
      <c r="X473" s="473">
        <v>8393.9</v>
      </c>
      <c r="Y473" s="473">
        <v>0</v>
      </c>
      <c r="Z473" s="473"/>
      <c r="AA473" s="472"/>
      <c r="AB473" s="473">
        <v>268.89999999999998</v>
      </c>
      <c r="AC473" s="474">
        <v>0.44</v>
      </c>
      <c r="AD473" s="473"/>
      <c r="AE473" s="472"/>
      <c r="AF473" s="506">
        <v>161.31</v>
      </c>
      <c r="AG473" s="474">
        <v>10.08</v>
      </c>
      <c r="AH473" s="506"/>
      <c r="AI473" s="474"/>
      <c r="AJ473" s="506"/>
      <c r="AK473" s="474"/>
    </row>
    <row r="474" spans="1:37">
      <c r="A474" s="492">
        <f t="shared" si="29"/>
        <v>45794</v>
      </c>
      <c r="B474" s="102" t="s">
        <v>3267</v>
      </c>
      <c r="C474" s="110" t="str">
        <f t="shared" si="28"/>
        <v>45794 0000H</v>
      </c>
      <c r="D474" s="337">
        <v>2372.8000000000002</v>
      </c>
      <c r="E474" s="338">
        <v>49.71</v>
      </c>
      <c r="F474" s="337">
        <v>1108.67</v>
      </c>
      <c r="G474" s="338">
        <v>6.2</v>
      </c>
      <c r="H474" s="337">
        <v>76109.039999999994</v>
      </c>
      <c r="I474" s="475">
        <v>933.94</v>
      </c>
      <c r="J474" s="475">
        <v>33698.269999999997</v>
      </c>
      <c r="K474" s="338">
        <v>111.09</v>
      </c>
      <c r="L474" s="337">
        <v>7050.4</v>
      </c>
      <c r="M474" s="475">
        <v>19.05</v>
      </c>
      <c r="N474" s="475">
        <v>34702.699999999997</v>
      </c>
      <c r="O474" s="475">
        <v>29.7</v>
      </c>
      <c r="P474" s="475">
        <v>733.02</v>
      </c>
      <c r="Q474" s="475">
        <v>928.31</v>
      </c>
      <c r="R474" s="475">
        <v>11235.8</v>
      </c>
      <c r="S474" s="475">
        <v>9.0399999999999991</v>
      </c>
      <c r="T474" s="475">
        <v>37891</v>
      </c>
      <c r="U474" s="475">
        <v>69</v>
      </c>
      <c r="V474" s="475"/>
      <c r="W474" s="475"/>
      <c r="X474" s="475">
        <v>8401.2999999999993</v>
      </c>
      <c r="Y474" s="475">
        <v>0</v>
      </c>
      <c r="Z474" s="475"/>
      <c r="AA474" s="338"/>
      <c r="AB474" s="475">
        <v>268.89999999999998</v>
      </c>
      <c r="AC474" s="476">
        <v>0.44</v>
      </c>
      <c r="AD474" s="475"/>
      <c r="AE474" s="338"/>
      <c r="AF474" s="505">
        <v>162.58000000000001</v>
      </c>
      <c r="AG474" s="476">
        <v>10.16</v>
      </c>
      <c r="AH474" s="505"/>
      <c r="AI474" s="476"/>
      <c r="AJ474" s="505"/>
      <c r="AK474" s="476"/>
    </row>
    <row r="475" spans="1:37">
      <c r="A475" s="492">
        <f t="shared" si="29"/>
        <v>45794</v>
      </c>
      <c r="B475" s="102" t="s">
        <v>1197</v>
      </c>
      <c r="C475" s="110" t="str">
        <f t="shared" si="28"/>
        <v>45794 1200H</v>
      </c>
      <c r="D475" s="471">
        <v>2376.92</v>
      </c>
      <c r="E475" s="472">
        <v>49.71</v>
      </c>
      <c r="F475" s="471">
        <v>1108.67</v>
      </c>
      <c r="G475" s="472">
        <v>6.2</v>
      </c>
      <c r="H475" s="471">
        <v>76114</v>
      </c>
      <c r="I475" s="473">
        <v>934.09</v>
      </c>
      <c r="J475" s="473">
        <v>33699.53</v>
      </c>
      <c r="K475" s="472">
        <v>111.11</v>
      </c>
      <c r="L475" s="471">
        <v>7056.2</v>
      </c>
      <c r="M475" s="473">
        <v>19.05</v>
      </c>
      <c r="N475" s="473">
        <v>34710.400000000001</v>
      </c>
      <c r="O475" s="473">
        <v>29.7</v>
      </c>
      <c r="P475" s="473">
        <v>733.02</v>
      </c>
      <c r="Q475" s="473">
        <v>983.75</v>
      </c>
      <c r="R475" s="473">
        <v>11240.53</v>
      </c>
      <c r="S475" s="473">
        <v>9.0399999999999991</v>
      </c>
      <c r="T475" s="473">
        <v>37898</v>
      </c>
      <c r="U475" s="473">
        <v>69</v>
      </c>
      <c r="V475" s="473"/>
      <c r="W475" s="473"/>
      <c r="X475" s="473">
        <v>8407.7999999999993</v>
      </c>
      <c r="Y475" s="473">
        <v>0</v>
      </c>
      <c r="Z475" s="473"/>
      <c r="AA475" s="472"/>
      <c r="AB475" s="473">
        <v>268.89999999999998</v>
      </c>
      <c r="AC475" s="474">
        <v>0.44</v>
      </c>
      <c r="AD475" s="473"/>
      <c r="AE475" s="472"/>
      <c r="AF475" s="506">
        <v>162.58000000000001</v>
      </c>
      <c r="AG475" s="474">
        <v>10.16</v>
      </c>
      <c r="AH475" s="506"/>
      <c r="AI475" s="474"/>
      <c r="AJ475" s="506"/>
      <c r="AK475" s="474"/>
    </row>
    <row r="476" spans="1:37">
      <c r="A476" s="492">
        <f t="shared" si="29"/>
        <v>45795</v>
      </c>
      <c r="B476" s="102" t="s">
        <v>3267</v>
      </c>
      <c r="C476" s="110" t="str">
        <f t="shared" si="28"/>
        <v>45795 0000H</v>
      </c>
      <c r="D476" s="337">
        <v>2383.15</v>
      </c>
      <c r="E476" s="338">
        <v>49.71</v>
      </c>
      <c r="F476" s="337">
        <v>1108.67</v>
      </c>
      <c r="G476" s="338">
        <v>6.2</v>
      </c>
      <c r="H476" s="337">
        <v>76124.17</v>
      </c>
      <c r="I476" s="475">
        <v>934.12</v>
      </c>
      <c r="J476" s="475">
        <v>33701.31</v>
      </c>
      <c r="K476" s="338">
        <v>111.14</v>
      </c>
      <c r="L476" s="337">
        <v>7061.67</v>
      </c>
      <c r="M476" s="475">
        <v>19.05</v>
      </c>
      <c r="N476" s="475">
        <v>34717.5</v>
      </c>
      <c r="O476" s="475">
        <v>29.7</v>
      </c>
      <c r="P476" s="475">
        <v>733.02</v>
      </c>
      <c r="Q476" s="475">
        <v>985.71</v>
      </c>
      <c r="R476" s="475">
        <v>11245.79</v>
      </c>
      <c r="S476" s="475">
        <v>9.0399999999999991</v>
      </c>
      <c r="T476" s="475">
        <v>37906</v>
      </c>
      <c r="U476" s="475">
        <v>69</v>
      </c>
      <c r="V476" s="475"/>
      <c r="W476" s="475"/>
      <c r="X476" s="475">
        <v>8415.2999999999993</v>
      </c>
      <c r="Y476" s="475">
        <v>0</v>
      </c>
      <c r="Z476" s="475"/>
      <c r="AA476" s="338"/>
      <c r="AB476" s="475">
        <v>268.89999999999998</v>
      </c>
      <c r="AC476" s="476">
        <v>0.44</v>
      </c>
      <c r="AD476" s="475"/>
      <c r="AE476" s="338"/>
      <c r="AF476" s="505">
        <v>162.58000000000001</v>
      </c>
      <c r="AG476" s="476">
        <v>10.28</v>
      </c>
      <c r="AH476" s="505"/>
      <c r="AI476" s="476"/>
      <c r="AJ476" s="505"/>
      <c r="AK476" s="476"/>
    </row>
    <row r="477" spans="1:37">
      <c r="A477" s="492">
        <f t="shared" si="29"/>
        <v>45795</v>
      </c>
      <c r="B477" s="102" t="s">
        <v>1197</v>
      </c>
      <c r="C477" s="110" t="str">
        <f t="shared" si="28"/>
        <v>45795 1200H</v>
      </c>
      <c r="D477" s="471">
        <v>2386.67</v>
      </c>
      <c r="E477" s="472">
        <v>49.71</v>
      </c>
      <c r="F477" s="471">
        <v>1108.67</v>
      </c>
      <c r="G477" s="472">
        <v>6.2</v>
      </c>
      <c r="H477" s="471">
        <v>79127.48</v>
      </c>
      <c r="I477" s="473">
        <v>934.46</v>
      </c>
      <c r="J477" s="473">
        <v>33701.67</v>
      </c>
      <c r="K477" s="472">
        <v>111.19</v>
      </c>
      <c r="L477" s="471">
        <v>7067.46</v>
      </c>
      <c r="M477" s="473">
        <v>19.05</v>
      </c>
      <c r="N477" s="473">
        <v>34724.400000000001</v>
      </c>
      <c r="O477" s="473">
        <v>29.7</v>
      </c>
      <c r="P477" s="473">
        <v>733.02</v>
      </c>
      <c r="Q477" s="473">
        <v>987.03</v>
      </c>
      <c r="R477" s="473">
        <v>11249.98</v>
      </c>
      <c r="S477" s="473">
        <v>9.0399999999999991</v>
      </c>
      <c r="T477" s="473">
        <v>37913</v>
      </c>
      <c r="U477" s="473">
        <v>69</v>
      </c>
      <c r="V477" s="473"/>
      <c r="W477" s="473"/>
      <c r="X477" s="473">
        <v>8421.73</v>
      </c>
      <c r="Y477" s="473">
        <v>0</v>
      </c>
      <c r="Z477" s="473"/>
      <c r="AA477" s="472"/>
      <c r="AB477" s="473">
        <v>268.89999999999998</v>
      </c>
      <c r="AC477" s="474">
        <v>0.44</v>
      </c>
      <c r="AD477" s="473"/>
      <c r="AE477" s="472"/>
      <c r="AF477" s="506">
        <v>162.58000000000001</v>
      </c>
      <c r="AG477" s="474">
        <v>10.32</v>
      </c>
      <c r="AH477" s="506"/>
      <c r="AI477" s="474"/>
      <c r="AJ477" s="506"/>
      <c r="AK477" s="474"/>
    </row>
    <row r="478" spans="1:37">
      <c r="A478" s="492">
        <f t="shared" si="29"/>
        <v>45796</v>
      </c>
      <c r="B478" s="102" t="s">
        <v>3267</v>
      </c>
      <c r="C478" s="110" t="str">
        <f t="shared" si="28"/>
        <v>45796 0000H</v>
      </c>
      <c r="D478" s="337">
        <v>2390.2600000000002</v>
      </c>
      <c r="E478" s="338">
        <v>49.71</v>
      </c>
      <c r="F478" s="337">
        <v>1108.67</v>
      </c>
      <c r="G478" s="338">
        <v>6.2</v>
      </c>
      <c r="H478" s="337">
        <v>76142.86</v>
      </c>
      <c r="I478" s="475">
        <v>934.47</v>
      </c>
      <c r="J478" s="475">
        <v>33705.440000000002</v>
      </c>
      <c r="K478" s="338">
        <v>111.19</v>
      </c>
      <c r="L478" s="337">
        <v>7073.83</v>
      </c>
      <c r="M478" s="475">
        <v>19.05</v>
      </c>
      <c r="N478" s="475">
        <v>34732.1</v>
      </c>
      <c r="O478" s="475">
        <v>29.7</v>
      </c>
      <c r="P478" s="475">
        <v>733.04</v>
      </c>
      <c r="Q478" s="475">
        <v>988.75</v>
      </c>
      <c r="R478" s="475">
        <v>11255.33</v>
      </c>
      <c r="S478" s="475">
        <v>9.0399999999999991</v>
      </c>
      <c r="T478" s="475">
        <v>37920</v>
      </c>
      <c r="U478" s="475">
        <v>69</v>
      </c>
      <c r="V478" s="475"/>
      <c r="W478" s="475"/>
      <c r="X478" s="475">
        <v>8428.92</v>
      </c>
      <c r="Y478" s="475">
        <v>0</v>
      </c>
      <c r="Z478" s="475"/>
      <c r="AA478" s="338"/>
      <c r="AB478" s="475">
        <v>268.89999999999998</v>
      </c>
      <c r="AC478" s="476">
        <v>0.44</v>
      </c>
      <c r="AD478" s="475"/>
      <c r="AE478" s="338"/>
      <c r="AF478" s="505">
        <v>165.41</v>
      </c>
      <c r="AG478" s="476">
        <v>10.35</v>
      </c>
      <c r="AH478" s="505"/>
      <c r="AI478" s="476"/>
      <c r="AJ478" s="505"/>
      <c r="AK478" s="476"/>
    </row>
    <row r="479" spans="1:37">
      <c r="A479" s="492">
        <f t="shared" si="29"/>
        <v>45796</v>
      </c>
      <c r="B479" s="102" t="s">
        <v>1197</v>
      </c>
      <c r="C479" s="110" t="str">
        <f t="shared" si="28"/>
        <v>45796 1200H</v>
      </c>
      <c r="D479" s="471">
        <v>2394.1999999999998</v>
      </c>
      <c r="E479" s="472">
        <v>49.71</v>
      </c>
      <c r="F479" s="471">
        <v>1108.67</v>
      </c>
      <c r="G479" s="472">
        <v>6.2</v>
      </c>
      <c r="H479" s="471">
        <v>76146.37</v>
      </c>
      <c r="I479" s="473">
        <v>934.83</v>
      </c>
      <c r="J479" s="473">
        <v>33706.26</v>
      </c>
      <c r="K479" s="472">
        <v>111.24</v>
      </c>
      <c r="L479" s="471">
        <v>7078.26</v>
      </c>
      <c r="M479" s="473">
        <v>19.05</v>
      </c>
      <c r="N479" s="473">
        <v>34738.6</v>
      </c>
      <c r="O479" s="473">
        <v>29.7</v>
      </c>
      <c r="P479" s="473">
        <v>733.04</v>
      </c>
      <c r="Q479" s="473">
        <v>919.4</v>
      </c>
      <c r="R479" s="473">
        <v>11259.43</v>
      </c>
      <c r="S479" s="473">
        <v>9.0399999999999991</v>
      </c>
      <c r="T479" s="473">
        <v>37927</v>
      </c>
      <c r="U479" s="473">
        <v>69</v>
      </c>
      <c r="V479" s="473"/>
      <c r="W479" s="473"/>
      <c r="X479" s="473">
        <v>8435.1</v>
      </c>
      <c r="Y479" s="473">
        <v>0</v>
      </c>
      <c r="Z479" s="473"/>
      <c r="AA479" s="472"/>
      <c r="AB479" s="473">
        <v>268.89999999999998</v>
      </c>
      <c r="AC479" s="474">
        <v>0.44</v>
      </c>
      <c r="AD479" s="473"/>
      <c r="AE479" s="472"/>
      <c r="AF479" s="506">
        <v>165.41</v>
      </c>
      <c r="AG479" s="474">
        <v>10.41</v>
      </c>
      <c r="AH479" s="506"/>
      <c r="AI479" s="474"/>
      <c r="AJ479" s="506"/>
      <c r="AK479" s="474"/>
    </row>
    <row r="480" spans="1:37">
      <c r="A480" s="492">
        <f t="shared" si="29"/>
        <v>45797</v>
      </c>
      <c r="B480" s="102" t="s">
        <v>3267</v>
      </c>
      <c r="C480" s="110" t="str">
        <f t="shared" si="28"/>
        <v>45797 0000H</v>
      </c>
      <c r="D480" s="337">
        <v>2399.06</v>
      </c>
      <c r="E480" s="338">
        <v>49.71</v>
      </c>
      <c r="F480" s="337">
        <v>1108.67</v>
      </c>
      <c r="G480" s="338">
        <v>6.2</v>
      </c>
      <c r="H480" s="337">
        <v>76159.100000000006</v>
      </c>
      <c r="I480" s="475">
        <v>934.85</v>
      </c>
      <c r="J480" s="475">
        <v>33709.39</v>
      </c>
      <c r="K480" s="338">
        <v>111.26</v>
      </c>
      <c r="L480" s="337">
        <v>7084.03</v>
      </c>
      <c r="M480" s="475">
        <v>19.05</v>
      </c>
      <c r="N480" s="475">
        <v>34746.199999999997</v>
      </c>
      <c r="O480" s="475">
        <v>29.7</v>
      </c>
      <c r="P480" s="475">
        <v>733.04</v>
      </c>
      <c r="Q480" s="475">
        <v>992.05</v>
      </c>
      <c r="R480" s="475">
        <v>11264.59</v>
      </c>
      <c r="S480" s="475">
        <v>9.0399999999999991</v>
      </c>
      <c r="T480" s="475">
        <v>37935</v>
      </c>
      <c r="U480" s="475">
        <v>69</v>
      </c>
      <c r="V480" s="475"/>
      <c r="W480" s="475"/>
      <c r="X480" s="475">
        <v>8441.77</v>
      </c>
      <c r="Y480" s="475">
        <v>0</v>
      </c>
      <c r="Z480" s="475"/>
      <c r="AA480" s="338"/>
      <c r="AB480" s="475">
        <v>268.89999999999998</v>
      </c>
      <c r="AC480" s="476">
        <v>0.44</v>
      </c>
      <c r="AD480" s="475"/>
      <c r="AE480" s="338"/>
      <c r="AF480" s="505">
        <v>166.62</v>
      </c>
      <c r="AG480" s="476">
        <v>10.44</v>
      </c>
      <c r="AH480" s="505"/>
      <c r="AI480" s="476"/>
      <c r="AJ480" s="505"/>
      <c r="AK480" s="476"/>
    </row>
    <row r="481" spans="1:37">
      <c r="A481" s="492">
        <f t="shared" si="29"/>
        <v>45797</v>
      </c>
      <c r="B481" s="102" t="s">
        <v>1197</v>
      </c>
      <c r="C481" s="110" t="str">
        <f t="shared" si="28"/>
        <v>45797 1200H</v>
      </c>
      <c r="D481" s="471">
        <v>2403.0700000000002</v>
      </c>
      <c r="E481" s="472">
        <v>49.71</v>
      </c>
      <c r="F481" s="471">
        <v>1108.67</v>
      </c>
      <c r="G481" s="472">
        <v>6.2</v>
      </c>
      <c r="H481" s="471">
        <v>76161.94</v>
      </c>
      <c r="I481" s="473">
        <v>935.17</v>
      </c>
      <c r="J481" s="473">
        <v>33710.400000000001</v>
      </c>
      <c r="K481" s="472">
        <v>111.29</v>
      </c>
      <c r="L481" s="471">
        <v>7089.6</v>
      </c>
      <c r="M481" s="473">
        <v>19.05</v>
      </c>
      <c r="N481" s="473">
        <v>34753.800000000003</v>
      </c>
      <c r="O481" s="473">
        <v>29.7</v>
      </c>
      <c r="P481" s="473">
        <v>733.04</v>
      </c>
      <c r="Q481" s="473">
        <v>993.45</v>
      </c>
      <c r="R481" s="473">
        <v>11268.9</v>
      </c>
      <c r="S481" s="473">
        <v>9.0399999999999991</v>
      </c>
      <c r="T481" s="473">
        <v>37941</v>
      </c>
      <c r="U481" s="473">
        <v>69</v>
      </c>
      <c r="V481" s="473"/>
      <c r="W481" s="473"/>
      <c r="X481" s="473">
        <v>8447.64</v>
      </c>
      <c r="Y481" s="473">
        <v>0</v>
      </c>
      <c r="Z481" s="473"/>
      <c r="AA481" s="472"/>
      <c r="AB481" s="473">
        <v>268.89999999999998</v>
      </c>
      <c r="AC481" s="474">
        <v>0.44</v>
      </c>
      <c r="AD481" s="473"/>
      <c r="AE481" s="472"/>
      <c r="AF481" s="506">
        <v>167.61</v>
      </c>
      <c r="AG481" s="474">
        <v>10.48</v>
      </c>
      <c r="AH481" s="506"/>
      <c r="AI481" s="474"/>
      <c r="AJ481" s="506"/>
      <c r="AK481" s="474"/>
    </row>
    <row r="482" spans="1:37">
      <c r="A482" s="492">
        <f t="shared" si="29"/>
        <v>45798</v>
      </c>
      <c r="B482" s="102" t="s">
        <v>3267</v>
      </c>
      <c r="C482" s="110" t="str">
        <f t="shared" si="28"/>
        <v>45798 0000H</v>
      </c>
      <c r="D482" s="337">
        <v>2407.75</v>
      </c>
      <c r="E482" s="338">
        <v>49.71</v>
      </c>
      <c r="F482" s="337">
        <v>1108.67</v>
      </c>
      <c r="G482" s="338">
        <v>6.2</v>
      </c>
      <c r="H482" s="337">
        <v>76171.759999999995</v>
      </c>
      <c r="I482" s="475">
        <v>935.17</v>
      </c>
      <c r="J482" s="475">
        <v>33714.160000000003</v>
      </c>
      <c r="K482" s="338">
        <v>111.29</v>
      </c>
      <c r="L482" s="337">
        <v>7095.6</v>
      </c>
      <c r="M482" s="475">
        <v>19.05</v>
      </c>
      <c r="N482" s="475">
        <v>34761.599999999999</v>
      </c>
      <c r="O482" s="475">
        <v>29.7</v>
      </c>
      <c r="P482" s="475">
        <v>733.04</v>
      </c>
      <c r="Q482" s="475">
        <v>994.96</v>
      </c>
      <c r="R482" s="475">
        <v>11273.71</v>
      </c>
      <c r="S482" s="475">
        <v>9.0399999999999991</v>
      </c>
      <c r="T482" s="475">
        <v>37950</v>
      </c>
      <c r="U482" s="475">
        <v>69</v>
      </c>
      <c r="V482" s="475"/>
      <c r="W482" s="475"/>
      <c r="X482" s="475">
        <v>8454.61</v>
      </c>
      <c r="Y482" s="475">
        <v>0</v>
      </c>
      <c r="Z482" s="475"/>
      <c r="AA482" s="338"/>
      <c r="AB482" s="475">
        <v>268.89999999999998</v>
      </c>
      <c r="AC482" s="476">
        <v>0.44</v>
      </c>
      <c r="AD482" s="475"/>
      <c r="AE482" s="338"/>
      <c r="AF482" s="505">
        <v>173.27</v>
      </c>
      <c r="AG482" s="476">
        <v>10.49</v>
      </c>
      <c r="AH482" s="505"/>
      <c r="AI482" s="476"/>
      <c r="AJ482" s="505"/>
      <c r="AK482" s="476"/>
    </row>
    <row r="483" spans="1:37">
      <c r="A483" s="492">
        <f t="shared" si="29"/>
        <v>45798</v>
      </c>
      <c r="B483" s="102" t="s">
        <v>1197</v>
      </c>
      <c r="C483" s="110" t="str">
        <f t="shared" si="28"/>
        <v>45798 1200H</v>
      </c>
      <c r="D483" s="471">
        <v>2410.73</v>
      </c>
      <c r="E483" s="472">
        <v>49.73</v>
      </c>
      <c r="F483" s="471">
        <v>1108.67</v>
      </c>
      <c r="G483" s="472">
        <v>6.2</v>
      </c>
      <c r="H483" s="471">
        <v>76178.539999999994</v>
      </c>
      <c r="I483" s="473">
        <v>935.21</v>
      </c>
      <c r="J483" s="473">
        <v>33715.78</v>
      </c>
      <c r="K483" s="472">
        <v>111.33</v>
      </c>
      <c r="L483" s="471">
        <v>7101.21</v>
      </c>
      <c r="M483" s="473">
        <v>19.05</v>
      </c>
      <c r="N483" s="473">
        <v>34766.9</v>
      </c>
      <c r="O483" s="473">
        <v>29.7</v>
      </c>
      <c r="P483" s="473">
        <v>733.09</v>
      </c>
      <c r="Q483" s="473">
        <v>995.99</v>
      </c>
      <c r="R483" s="473">
        <v>11278.11</v>
      </c>
      <c r="S483" s="473">
        <v>9.0399999999999991</v>
      </c>
      <c r="T483" s="473">
        <v>37956</v>
      </c>
      <c r="U483" s="473">
        <v>69</v>
      </c>
      <c r="V483" s="473"/>
      <c r="W483" s="473"/>
      <c r="X483" s="473">
        <v>8460.16</v>
      </c>
      <c r="Y483" s="473">
        <v>0</v>
      </c>
      <c r="Z483" s="473"/>
      <c r="AA483" s="472"/>
      <c r="AB483" s="473">
        <v>268.89999999999998</v>
      </c>
      <c r="AC483" s="474">
        <v>0.44</v>
      </c>
      <c r="AD483" s="473"/>
      <c r="AE483" s="472"/>
      <c r="AF483" s="506">
        <v>174.86</v>
      </c>
      <c r="AG483" s="474">
        <v>10.53</v>
      </c>
      <c r="AH483" s="506"/>
      <c r="AI483" s="474"/>
      <c r="AJ483" s="506"/>
      <c r="AK483" s="474"/>
    </row>
    <row r="484" spans="1:37">
      <c r="A484" s="492">
        <f t="shared" si="29"/>
        <v>45799</v>
      </c>
      <c r="B484" s="102" t="s">
        <v>3267</v>
      </c>
      <c r="C484" s="110" t="str">
        <f t="shared" si="28"/>
        <v>45799 0000H</v>
      </c>
      <c r="D484" s="337">
        <v>2415.5300000000002</v>
      </c>
      <c r="E484" s="338">
        <v>49.73</v>
      </c>
      <c r="F484" s="337">
        <v>1108.67</v>
      </c>
      <c r="G484" s="338">
        <v>6.2</v>
      </c>
      <c r="H484" s="337">
        <v>76188.479999999996</v>
      </c>
      <c r="I484" s="475">
        <v>935.21</v>
      </c>
      <c r="J484" s="475">
        <v>33719.019999999997</v>
      </c>
      <c r="K484" s="338">
        <v>111.34</v>
      </c>
      <c r="L484" s="337">
        <v>7107.05</v>
      </c>
      <c r="M484" s="475">
        <v>19.05</v>
      </c>
      <c r="N484" s="475">
        <v>34774.6</v>
      </c>
      <c r="O484" s="475">
        <v>29.7</v>
      </c>
      <c r="P484" s="475">
        <v>733.13</v>
      </c>
      <c r="Q484" s="475">
        <v>996.87</v>
      </c>
      <c r="R484" s="475">
        <v>11283.67</v>
      </c>
      <c r="S484" s="475">
        <v>9.0399999999999991</v>
      </c>
      <c r="T484" s="475">
        <v>37965</v>
      </c>
      <c r="U484" s="475">
        <v>69</v>
      </c>
      <c r="V484" s="475"/>
      <c r="W484" s="475"/>
      <c r="X484" s="475">
        <v>8467.73</v>
      </c>
      <c r="Y484" s="475">
        <v>0</v>
      </c>
      <c r="Z484" s="475"/>
      <c r="AA484" s="338"/>
      <c r="AB484" s="475">
        <v>268.89999999999998</v>
      </c>
      <c r="AC484" s="476">
        <v>0.44</v>
      </c>
      <c r="AD484" s="475"/>
      <c r="AE484" s="338"/>
      <c r="AF484" s="505">
        <v>179.23</v>
      </c>
      <c r="AG484" s="476">
        <v>10.54</v>
      </c>
      <c r="AH484" s="505"/>
      <c r="AI484" s="476"/>
      <c r="AJ484" s="505"/>
      <c r="AK484" s="476"/>
    </row>
    <row r="485" spans="1:37">
      <c r="A485" s="492">
        <f t="shared" si="29"/>
        <v>45799</v>
      </c>
      <c r="B485" s="102" t="s">
        <v>1197</v>
      </c>
      <c r="C485" s="110" t="str">
        <f t="shared" si="28"/>
        <v>45799 1200H</v>
      </c>
      <c r="D485" s="471">
        <v>2419.41</v>
      </c>
      <c r="E485" s="472">
        <v>49.73</v>
      </c>
      <c r="F485" s="471">
        <v>1108.67</v>
      </c>
      <c r="G485" s="472">
        <v>6.2</v>
      </c>
      <c r="H485" s="471">
        <v>76193.81</v>
      </c>
      <c r="I485" s="473">
        <v>935.36</v>
      </c>
      <c r="J485" s="473">
        <v>33720.03</v>
      </c>
      <c r="K485" s="472">
        <v>111.37</v>
      </c>
      <c r="L485" s="471">
        <v>7112.88</v>
      </c>
      <c r="M485" s="473">
        <v>19.05</v>
      </c>
      <c r="N485" s="473">
        <v>34782.5</v>
      </c>
      <c r="O485" s="473">
        <v>29.7</v>
      </c>
      <c r="P485" s="473">
        <v>733.21</v>
      </c>
      <c r="Q485" s="473">
        <v>997.91</v>
      </c>
      <c r="R485" s="473">
        <v>11288.13</v>
      </c>
      <c r="S485" s="473">
        <v>9.0399999999999991</v>
      </c>
      <c r="T485" s="473">
        <v>37972</v>
      </c>
      <c r="U485" s="473">
        <v>69</v>
      </c>
      <c r="V485" s="473"/>
      <c r="W485" s="473"/>
      <c r="X485" s="473">
        <v>8474.3700000000008</v>
      </c>
      <c r="Y485" s="473">
        <v>0</v>
      </c>
      <c r="Z485" s="473"/>
      <c r="AA485" s="472"/>
      <c r="AB485" s="473">
        <v>268.89999999999998</v>
      </c>
      <c r="AC485" s="474">
        <v>0.44</v>
      </c>
      <c r="AD485" s="473"/>
      <c r="AE485" s="472"/>
      <c r="AF485" s="506">
        <v>180.82</v>
      </c>
      <c r="AG485" s="474">
        <v>10.59</v>
      </c>
      <c r="AH485" s="506"/>
      <c r="AI485" s="474"/>
      <c r="AJ485" s="506"/>
      <c r="AK485" s="474"/>
    </row>
    <row r="486" spans="1:37">
      <c r="A486" s="492">
        <f t="shared" si="29"/>
        <v>45800</v>
      </c>
      <c r="B486" s="102" t="s">
        <v>3267</v>
      </c>
      <c r="C486" s="110" t="str">
        <f t="shared" si="28"/>
        <v>45800 0000H</v>
      </c>
      <c r="D486" s="337">
        <v>2424.33</v>
      </c>
      <c r="E486" s="338">
        <v>49.73</v>
      </c>
      <c r="F486" s="337">
        <v>1108.67</v>
      </c>
      <c r="G486" s="338">
        <v>6.2</v>
      </c>
      <c r="H486" s="337">
        <v>76201.919999999998</v>
      </c>
      <c r="I486" s="475">
        <v>935.43</v>
      </c>
      <c r="J486" s="475">
        <v>33723.54</v>
      </c>
      <c r="K486" s="338">
        <v>111.37</v>
      </c>
      <c r="L486" s="337">
        <v>7118.7</v>
      </c>
      <c r="M486" s="475">
        <v>19.05</v>
      </c>
      <c r="N486" s="475">
        <v>34790.199999999997</v>
      </c>
      <c r="O486" s="475">
        <v>29.7</v>
      </c>
      <c r="P486" s="475">
        <v>733.6</v>
      </c>
      <c r="Q486" s="475">
        <v>998.48</v>
      </c>
      <c r="R486" s="475">
        <v>11293.88</v>
      </c>
      <c r="S486" s="475">
        <v>9.0399999999999991</v>
      </c>
      <c r="T486" s="475">
        <v>37980</v>
      </c>
      <c r="U486" s="475">
        <v>69</v>
      </c>
      <c r="V486" s="475"/>
      <c r="W486" s="475"/>
      <c r="X486" s="475">
        <v>8481.93</v>
      </c>
      <c r="Y486" s="475">
        <v>0</v>
      </c>
      <c r="Z486" s="475"/>
      <c r="AA486" s="338"/>
      <c r="AB486" s="475">
        <v>270.38</v>
      </c>
      <c r="AC486" s="476">
        <v>0.45</v>
      </c>
      <c r="AD486" s="475"/>
      <c r="AE486" s="338"/>
      <c r="AF486" s="505">
        <v>185.72</v>
      </c>
      <c r="AG486" s="476">
        <v>10.6</v>
      </c>
      <c r="AH486" s="505"/>
      <c r="AI486" s="476"/>
      <c r="AJ486" s="505"/>
      <c r="AK486" s="476"/>
    </row>
    <row r="487" spans="1:37">
      <c r="A487" s="492">
        <f t="shared" si="29"/>
        <v>45800</v>
      </c>
      <c r="B487" s="102" t="s">
        <v>1197</v>
      </c>
      <c r="C487" s="110" t="str">
        <f t="shared" si="28"/>
        <v>45800 1200H</v>
      </c>
      <c r="D487" s="471">
        <v>2428.54</v>
      </c>
      <c r="E487" s="472">
        <v>49.73</v>
      </c>
      <c r="F487" s="471">
        <v>1108.67</v>
      </c>
      <c r="G487" s="472">
        <v>6.2</v>
      </c>
      <c r="H487" s="471">
        <v>76204.77</v>
      </c>
      <c r="I487" s="473">
        <v>935.73</v>
      </c>
      <c r="J487" s="473">
        <v>33725.47</v>
      </c>
      <c r="K487" s="472">
        <v>111.39</v>
      </c>
      <c r="L487" s="471">
        <v>7124.5</v>
      </c>
      <c r="M487" s="473">
        <v>19.05</v>
      </c>
      <c r="N487" s="473">
        <v>34797.800000000003</v>
      </c>
      <c r="O487" s="473">
        <v>29.7</v>
      </c>
      <c r="P487" s="473">
        <v>733.6</v>
      </c>
      <c r="Q487" s="473">
        <v>999.6</v>
      </c>
      <c r="R487" s="473">
        <v>11298.37</v>
      </c>
      <c r="S487" s="473">
        <v>9.0399999999999991</v>
      </c>
      <c r="T487" s="473">
        <v>37987</v>
      </c>
      <c r="U487" s="473">
        <v>69</v>
      </c>
      <c r="V487" s="473"/>
      <c r="W487" s="473"/>
      <c r="X487" s="473">
        <v>8486.9599999999991</v>
      </c>
      <c r="Y487" s="473">
        <v>0</v>
      </c>
      <c r="Z487" s="473"/>
      <c r="AA487" s="472"/>
      <c r="AB487" s="473">
        <v>270.38</v>
      </c>
      <c r="AC487" s="474">
        <v>0.45</v>
      </c>
      <c r="AD487" s="473"/>
      <c r="AE487" s="472"/>
      <c r="AF487" s="506">
        <v>186.56</v>
      </c>
      <c r="AG487" s="474">
        <v>10.68</v>
      </c>
      <c r="AH487" s="506"/>
      <c r="AI487" s="474"/>
      <c r="AJ487" s="506"/>
      <c r="AK487" s="474"/>
    </row>
    <row r="488" spans="1:37">
      <c r="A488" s="492">
        <f t="shared" si="29"/>
        <v>45801</v>
      </c>
      <c r="B488" s="102" t="s">
        <v>3267</v>
      </c>
      <c r="C488" s="110" t="str">
        <f t="shared" si="28"/>
        <v>45801 0000H</v>
      </c>
      <c r="D488" s="337">
        <v>2433.35</v>
      </c>
      <c r="E488" s="338">
        <v>49.73</v>
      </c>
      <c r="F488" s="337">
        <v>1108.67</v>
      </c>
      <c r="G488" s="338">
        <v>6.2</v>
      </c>
      <c r="H488" s="337">
        <v>76214.350000000006</v>
      </c>
      <c r="I488" s="475">
        <v>935.74</v>
      </c>
      <c r="J488" s="475">
        <v>33729</v>
      </c>
      <c r="K488" s="338">
        <v>111.39</v>
      </c>
      <c r="L488" s="337">
        <v>7130.37</v>
      </c>
      <c r="M488" s="475">
        <v>19.05</v>
      </c>
      <c r="N488" s="475">
        <v>34805.4</v>
      </c>
      <c r="O488" s="475">
        <v>29.7</v>
      </c>
      <c r="P488" s="475">
        <v>733.99</v>
      </c>
      <c r="Q488" s="475">
        <v>1000.55</v>
      </c>
      <c r="R488" s="475">
        <v>11303.94</v>
      </c>
      <c r="S488" s="475">
        <v>9.0399999999999991</v>
      </c>
      <c r="T488" s="475">
        <v>37995</v>
      </c>
      <c r="U488" s="475">
        <v>69</v>
      </c>
      <c r="V488" s="475"/>
      <c r="W488" s="475"/>
      <c r="X488" s="475">
        <v>8491.6299999999992</v>
      </c>
      <c r="Y488" s="475">
        <v>0</v>
      </c>
      <c r="Z488" s="475"/>
      <c r="AA488" s="338"/>
      <c r="AB488" s="475">
        <v>271.7</v>
      </c>
      <c r="AC488" s="476">
        <v>0.47</v>
      </c>
      <c r="AD488" s="475"/>
      <c r="AE488" s="338"/>
      <c r="AF488" s="505">
        <v>191.65</v>
      </c>
      <c r="AG488" s="476">
        <v>10.68</v>
      </c>
      <c r="AH488" s="505"/>
      <c r="AI488" s="476"/>
      <c r="AJ488" s="505"/>
      <c r="AK488" s="476"/>
    </row>
    <row r="489" spans="1:37">
      <c r="A489" s="492">
        <f t="shared" si="29"/>
        <v>45801</v>
      </c>
      <c r="B489" s="102" t="s">
        <v>1197</v>
      </c>
      <c r="C489" s="110" t="str">
        <f t="shared" si="28"/>
        <v>45801 1200H</v>
      </c>
      <c r="D489" s="471">
        <v>2437.44</v>
      </c>
      <c r="E489" s="472">
        <v>49.73</v>
      </c>
      <c r="F489" s="471">
        <v>1108.67</v>
      </c>
      <c r="G489" s="472">
        <v>6.2</v>
      </c>
      <c r="H489" s="471">
        <v>76219.22</v>
      </c>
      <c r="I489" s="473">
        <v>935.9</v>
      </c>
      <c r="J489" s="473">
        <v>33729.39</v>
      </c>
      <c r="K489" s="472">
        <v>111.44</v>
      </c>
      <c r="L489" s="471">
        <v>7136.06</v>
      </c>
      <c r="M489" s="473">
        <v>19.05</v>
      </c>
      <c r="N489" s="473">
        <v>34812.9</v>
      </c>
      <c r="O489" s="473">
        <v>29.7</v>
      </c>
      <c r="P489" s="473">
        <v>733.99</v>
      </c>
      <c r="Q489" s="473">
        <v>1001.93</v>
      </c>
      <c r="R489" s="473">
        <v>11308.24</v>
      </c>
      <c r="S489" s="473">
        <v>9.0399999999999991</v>
      </c>
      <c r="T489" s="473">
        <v>38002</v>
      </c>
      <c r="U489" s="473">
        <v>69</v>
      </c>
      <c r="V489" s="473"/>
      <c r="W489" s="473"/>
      <c r="X489" s="473">
        <v>8498.35</v>
      </c>
      <c r="Y489" s="473">
        <v>0</v>
      </c>
      <c r="Z489" s="473"/>
      <c r="AA489" s="472"/>
      <c r="AB489" s="473">
        <v>271.7</v>
      </c>
      <c r="AC489" s="474">
        <v>0.47</v>
      </c>
      <c r="AD489" s="473"/>
      <c r="AE489" s="472"/>
      <c r="AF489" s="506">
        <v>191.65</v>
      </c>
      <c r="AG489" s="474">
        <v>10.75</v>
      </c>
      <c r="AH489" s="506"/>
      <c r="AI489" s="474"/>
      <c r="AJ489" s="506"/>
      <c r="AK489" s="474"/>
    </row>
    <row r="490" spans="1:37">
      <c r="A490" s="492">
        <f t="shared" si="29"/>
        <v>45802</v>
      </c>
      <c r="B490" s="102" t="s">
        <v>3267</v>
      </c>
      <c r="C490" s="110" t="str">
        <f t="shared" si="28"/>
        <v>45802 0000H</v>
      </c>
      <c r="D490" s="337">
        <v>2442.1999999999998</v>
      </c>
      <c r="E490" s="338">
        <v>49.73</v>
      </c>
      <c r="F490" s="337">
        <v>1108.67</v>
      </c>
      <c r="G490" s="338">
        <v>6.2</v>
      </c>
      <c r="H490" s="337">
        <v>76229.119999999995</v>
      </c>
      <c r="I490" s="475">
        <v>935.91</v>
      </c>
      <c r="J490" s="475">
        <v>33732.5</v>
      </c>
      <c r="K490" s="338">
        <v>111.45</v>
      </c>
      <c r="L490" s="337">
        <v>7141.89</v>
      </c>
      <c r="M490" s="475">
        <v>19.05</v>
      </c>
      <c r="N490" s="475">
        <v>34820.699999999997</v>
      </c>
      <c r="O490" s="475">
        <v>29.7</v>
      </c>
      <c r="P490" s="475">
        <v>734.01</v>
      </c>
      <c r="Q490" s="475">
        <v>1003.08</v>
      </c>
      <c r="R490" s="475">
        <v>11313.59</v>
      </c>
      <c r="S490" s="475">
        <v>9.0399999999999991</v>
      </c>
      <c r="T490" s="475">
        <v>38009</v>
      </c>
      <c r="U490" s="475">
        <v>69</v>
      </c>
      <c r="V490" s="475"/>
      <c r="W490" s="475"/>
      <c r="X490" s="475">
        <v>8505.74</v>
      </c>
      <c r="Y490" s="475">
        <v>0</v>
      </c>
      <c r="Z490" s="475"/>
      <c r="AA490" s="338"/>
      <c r="AB490" s="475">
        <v>271.7</v>
      </c>
      <c r="AC490" s="476">
        <v>0.47</v>
      </c>
      <c r="AD490" s="475"/>
      <c r="AE490" s="338"/>
      <c r="AF490" s="505">
        <v>193.07</v>
      </c>
      <c r="AG490" s="476">
        <v>10.79</v>
      </c>
      <c r="AH490" s="505"/>
      <c r="AI490" s="476"/>
      <c r="AJ490" s="505"/>
      <c r="AK490" s="476"/>
    </row>
    <row r="491" spans="1:37" ht="14.45" thickBot="1">
      <c r="A491" s="498">
        <f t="shared" si="29"/>
        <v>45802</v>
      </c>
      <c r="B491" s="499" t="s">
        <v>1197</v>
      </c>
      <c r="C491" s="500" t="str">
        <f t="shared" si="28"/>
        <v>45802 1200H</v>
      </c>
      <c r="D491" s="501">
        <v>2446.08</v>
      </c>
      <c r="E491" s="502">
        <v>49.73</v>
      </c>
      <c r="F491" s="501">
        <v>1108.67</v>
      </c>
      <c r="G491" s="502">
        <v>6.2</v>
      </c>
      <c r="H491" s="501">
        <v>76230.11</v>
      </c>
      <c r="I491" s="503">
        <v>936.32</v>
      </c>
      <c r="J491" s="503">
        <v>33732.93</v>
      </c>
      <c r="K491" s="502">
        <v>111.49</v>
      </c>
      <c r="L491" s="501">
        <v>7147.75</v>
      </c>
      <c r="M491" s="503">
        <v>19.05</v>
      </c>
      <c r="N491" s="503">
        <v>34828.199999999997</v>
      </c>
      <c r="O491" s="503">
        <v>29.7</v>
      </c>
      <c r="P491" s="503">
        <v>734.01</v>
      </c>
      <c r="Q491" s="503">
        <v>1004.5</v>
      </c>
      <c r="R491" s="503">
        <v>11317.61</v>
      </c>
      <c r="S491" s="503">
        <v>9.0399999999999991</v>
      </c>
      <c r="T491" s="503">
        <v>38015</v>
      </c>
      <c r="U491" s="503">
        <v>69</v>
      </c>
      <c r="V491" s="503"/>
      <c r="W491" s="503"/>
      <c r="X491" s="503">
        <v>8511.9599999999991</v>
      </c>
      <c r="Y491" s="503">
        <v>0</v>
      </c>
      <c r="Z491" s="503"/>
      <c r="AA491" s="502"/>
      <c r="AB491" s="503">
        <v>271.7</v>
      </c>
      <c r="AC491" s="504">
        <v>0.47</v>
      </c>
      <c r="AD491" s="503"/>
      <c r="AE491" s="502"/>
      <c r="AF491" s="513">
        <v>193.07</v>
      </c>
      <c r="AG491" s="504">
        <v>10.84</v>
      </c>
      <c r="AH491" s="513"/>
      <c r="AI491" s="504"/>
      <c r="AJ491" s="513"/>
      <c r="AK491" s="504"/>
    </row>
    <row r="492" spans="1:37" s="479" customFormat="1" ht="14.45" thickBot="1">
      <c r="A492" s="477"/>
      <c r="B492" s="477"/>
      <c r="C492" s="477"/>
      <c r="D492" s="478"/>
      <c r="E492" s="478"/>
      <c r="F492" s="478"/>
      <c r="G492" s="478"/>
      <c r="H492" s="478"/>
      <c r="I492" s="478"/>
      <c r="J492" s="478"/>
      <c r="K492" s="478"/>
      <c r="L492" s="478"/>
      <c r="M492" s="478"/>
      <c r="N492" s="478"/>
      <c r="O492" s="478"/>
      <c r="P492" s="478"/>
      <c r="Q492" s="478"/>
      <c r="R492" s="478"/>
      <c r="S492" s="478"/>
      <c r="T492" s="478"/>
      <c r="U492" s="478"/>
      <c r="V492" s="478"/>
      <c r="W492" s="478"/>
      <c r="X492" s="478"/>
      <c r="Y492" s="478"/>
      <c r="Z492" s="478"/>
      <c r="AA492" s="478"/>
      <c r="AB492" s="478"/>
      <c r="AC492" s="478"/>
      <c r="AD492" s="478"/>
      <c r="AE492" s="478"/>
      <c r="AF492" s="511"/>
      <c r="AG492" s="512"/>
      <c r="AH492" s="511"/>
      <c r="AI492" s="512"/>
      <c r="AJ492" s="511"/>
      <c r="AK492" s="512"/>
    </row>
    <row r="493" spans="1:37">
      <c r="A493" s="485">
        <f>A490+1</f>
        <v>45803</v>
      </c>
      <c r="B493" s="486" t="s">
        <v>3267</v>
      </c>
      <c r="C493" s="487" t="str">
        <f t="shared" ref="C493:C524" si="30">A493 &amp; " " &amp;B493</f>
        <v>45803 0000H</v>
      </c>
      <c r="D493" s="488">
        <v>2449.4899999999998</v>
      </c>
      <c r="E493" s="489">
        <v>49.73</v>
      </c>
      <c r="F493" s="488">
        <v>1108.67</v>
      </c>
      <c r="G493" s="489">
        <v>6.2</v>
      </c>
      <c r="H493" s="488">
        <v>76232.17</v>
      </c>
      <c r="I493" s="490">
        <v>936.55</v>
      </c>
      <c r="J493" s="490">
        <v>33734.370000000003</v>
      </c>
      <c r="K493" s="489">
        <v>111.51</v>
      </c>
      <c r="L493" s="488">
        <v>7150.95</v>
      </c>
      <c r="M493" s="490">
        <v>19.05</v>
      </c>
      <c r="N493" s="490">
        <v>34833.300000000003</v>
      </c>
      <c r="O493" s="490">
        <v>29.7</v>
      </c>
      <c r="P493" s="490">
        <v>734.03</v>
      </c>
      <c r="Q493" s="490">
        <v>1005.44</v>
      </c>
      <c r="R493" s="490">
        <v>11320.43</v>
      </c>
      <c r="S493" s="490">
        <v>9.0399999999999991</v>
      </c>
      <c r="T493" s="490">
        <v>38023</v>
      </c>
      <c r="U493" s="490">
        <v>69</v>
      </c>
      <c r="V493" s="490"/>
      <c r="W493" s="490"/>
      <c r="X493" s="490">
        <v>8519.15</v>
      </c>
      <c r="Y493" s="490">
        <v>0</v>
      </c>
      <c r="Z493" s="490"/>
      <c r="AA493" s="489"/>
      <c r="AB493" s="490">
        <v>271.7</v>
      </c>
      <c r="AC493" s="491">
        <v>0.47</v>
      </c>
      <c r="AD493" s="490"/>
      <c r="AE493" s="489"/>
      <c r="AF493" s="509">
        <v>193.07</v>
      </c>
      <c r="AG493" s="491">
        <v>10.84</v>
      </c>
      <c r="AH493" s="509"/>
      <c r="AI493" s="491"/>
      <c r="AJ493" s="509"/>
      <c r="AK493" s="491"/>
    </row>
    <row r="494" spans="1:37">
      <c r="A494" s="492">
        <f>A491+1</f>
        <v>45803</v>
      </c>
      <c r="B494" s="102" t="s">
        <v>1197</v>
      </c>
      <c r="C494" s="110" t="str">
        <f t="shared" si="30"/>
        <v>45803 1200H</v>
      </c>
      <c r="D494" s="471">
        <v>2453.5300000000002</v>
      </c>
      <c r="E494" s="472">
        <v>49.73</v>
      </c>
      <c r="F494" s="471">
        <v>1108.67</v>
      </c>
      <c r="G494" s="472">
        <v>6.2</v>
      </c>
      <c r="H494" s="471">
        <v>76235.3</v>
      </c>
      <c r="I494" s="473">
        <v>936.76</v>
      </c>
      <c r="J494" s="473">
        <v>33735.26</v>
      </c>
      <c r="K494" s="472">
        <v>111.54</v>
      </c>
      <c r="L494" s="471">
        <v>7156.68</v>
      </c>
      <c r="M494" s="473">
        <v>19.05</v>
      </c>
      <c r="N494" s="473">
        <v>34840.6</v>
      </c>
      <c r="O494" s="473">
        <v>29.7</v>
      </c>
      <c r="P494" s="473">
        <v>734.15</v>
      </c>
      <c r="Q494" s="473">
        <v>1006.42</v>
      </c>
      <c r="R494" s="473">
        <v>11324.53</v>
      </c>
      <c r="S494" s="473">
        <v>9.0399999999999991</v>
      </c>
      <c r="T494" s="473">
        <v>38029</v>
      </c>
      <c r="U494" s="473">
        <v>69</v>
      </c>
      <c r="V494" s="473"/>
      <c r="W494" s="473"/>
      <c r="X494" s="473">
        <v>8525.6299999999992</v>
      </c>
      <c r="Y494" s="473">
        <v>0</v>
      </c>
      <c r="Z494" s="473"/>
      <c r="AA494" s="472"/>
      <c r="AB494" s="473">
        <v>271.7</v>
      </c>
      <c r="AC494" s="474">
        <v>0.47</v>
      </c>
      <c r="AD494" s="473"/>
      <c r="AE494" s="472"/>
      <c r="AF494" s="506">
        <v>193.94</v>
      </c>
      <c r="AG494" s="474">
        <v>10.93</v>
      </c>
      <c r="AH494" s="506"/>
      <c r="AI494" s="474"/>
      <c r="AJ494" s="506"/>
      <c r="AK494" s="474"/>
    </row>
    <row r="495" spans="1:37">
      <c r="A495" s="492">
        <f t="shared" ref="A495:A526" si="31">A493+1</f>
        <v>45804</v>
      </c>
      <c r="B495" s="102" t="s">
        <v>3267</v>
      </c>
      <c r="C495" s="110" t="str">
        <f t="shared" si="30"/>
        <v>45804 0000H</v>
      </c>
      <c r="D495" s="337">
        <v>2458.38</v>
      </c>
      <c r="E495" s="338">
        <v>49.73</v>
      </c>
      <c r="F495" s="337">
        <v>1108.67</v>
      </c>
      <c r="G495" s="338">
        <v>6.2</v>
      </c>
      <c r="H495" s="337">
        <v>76245.350000000006</v>
      </c>
      <c r="I495" s="475">
        <v>936.76</v>
      </c>
      <c r="J495" s="475">
        <v>33737.910000000003</v>
      </c>
      <c r="K495" s="338">
        <v>111.55</v>
      </c>
      <c r="L495" s="337">
        <v>7162.52</v>
      </c>
      <c r="M495" s="475">
        <v>19.05</v>
      </c>
      <c r="N495" s="475">
        <v>34847.800000000003</v>
      </c>
      <c r="O495" s="475">
        <v>29.7</v>
      </c>
      <c r="P495" s="475">
        <v>734.4</v>
      </c>
      <c r="Q495" s="475">
        <v>1007.73</v>
      </c>
      <c r="R495" s="475">
        <v>11329.83</v>
      </c>
      <c r="S495" s="475">
        <v>9.0399999999999991</v>
      </c>
      <c r="T495" s="475">
        <v>38037</v>
      </c>
      <c r="U495" s="475">
        <v>69</v>
      </c>
      <c r="V495" s="475"/>
      <c r="W495" s="475"/>
      <c r="X495" s="475">
        <v>8533.0400000000009</v>
      </c>
      <c r="Y495" s="475">
        <v>0</v>
      </c>
      <c r="Z495" s="475"/>
      <c r="AA495" s="338"/>
      <c r="AB495" s="475">
        <v>272.3</v>
      </c>
      <c r="AC495" s="476">
        <v>0.47</v>
      </c>
      <c r="AD495" s="475"/>
      <c r="AE495" s="338"/>
      <c r="AF495" s="505">
        <v>197.68</v>
      </c>
      <c r="AG495" s="476">
        <v>10.68</v>
      </c>
      <c r="AH495" s="505"/>
      <c r="AI495" s="476"/>
      <c r="AJ495" s="505"/>
      <c r="AK495" s="476"/>
    </row>
    <row r="496" spans="1:37">
      <c r="A496" s="492">
        <f t="shared" si="31"/>
        <v>45804</v>
      </c>
      <c r="B496" s="102" t="s">
        <v>1197</v>
      </c>
      <c r="C496" s="110" t="str">
        <f t="shared" si="30"/>
        <v>45804 1200H</v>
      </c>
      <c r="D496" s="471">
        <v>2462.3000000000002</v>
      </c>
      <c r="E496" s="472">
        <v>49.73</v>
      </c>
      <c r="F496" s="471">
        <v>1108.67</v>
      </c>
      <c r="G496" s="472">
        <v>6.2</v>
      </c>
      <c r="H496" s="471">
        <v>76255.11</v>
      </c>
      <c r="I496" s="473">
        <v>936.76</v>
      </c>
      <c r="J496" s="473">
        <v>33739.480000000003</v>
      </c>
      <c r="K496" s="472">
        <v>111.57</v>
      </c>
      <c r="L496" s="471">
        <v>7168.25</v>
      </c>
      <c r="M496" s="473">
        <v>19.05</v>
      </c>
      <c r="N496" s="473">
        <v>34851.199999999997</v>
      </c>
      <c r="O496" s="473">
        <v>29.7</v>
      </c>
      <c r="P496" s="473">
        <v>734.69</v>
      </c>
      <c r="Q496" s="473">
        <v>1008.72</v>
      </c>
      <c r="R496" s="473">
        <v>11333.84</v>
      </c>
      <c r="S496" s="473">
        <v>9.0399999999999991</v>
      </c>
      <c r="T496" s="473">
        <v>38044</v>
      </c>
      <c r="U496" s="473">
        <v>69</v>
      </c>
      <c r="V496" s="473"/>
      <c r="W496" s="473"/>
      <c r="X496" s="473">
        <v>8539.33</v>
      </c>
      <c r="Y496" s="473">
        <v>0</v>
      </c>
      <c r="Z496" s="473"/>
      <c r="AA496" s="472"/>
      <c r="AB496" s="473">
        <v>273.14999999999998</v>
      </c>
      <c r="AC496" s="474">
        <v>0.47</v>
      </c>
      <c r="AD496" s="473"/>
      <c r="AE496" s="472"/>
      <c r="AF496" s="506">
        <v>199.76</v>
      </c>
      <c r="AG496" s="474">
        <v>10.99</v>
      </c>
      <c r="AH496" s="506"/>
      <c r="AI496" s="474"/>
      <c r="AJ496" s="506"/>
      <c r="AK496" s="474"/>
    </row>
    <row r="497" spans="1:37">
      <c r="A497" s="492">
        <f t="shared" si="31"/>
        <v>45805</v>
      </c>
      <c r="B497" s="102" t="s">
        <v>3267</v>
      </c>
      <c r="C497" s="110" t="str">
        <f t="shared" si="30"/>
        <v>45805 0000H</v>
      </c>
      <c r="D497" s="337">
        <v>2467.06</v>
      </c>
      <c r="E497" s="338">
        <v>49.73</v>
      </c>
      <c r="F497" s="337">
        <v>1108.67</v>
      </c>
      <c r="G497" s="338">
        <v>6.2</v>
      </c>
      <c r="H497" s="337">
        <v>76264.98</v>
      </c>
      <c r="I497" s="475">
        <v>936.76</v>
      </c>
      <c r="J497" s="475">
        <v>33742.76</v>
      </c>
      <c r="K497" s="338">
        <v>111.57</v>
      </c>
      <c r="L497" s="337">
        <v>7174.07</v>
      </c>
      <c r="M497" s="475">
        <v>19.05</v>
      </c>
      <c r="N497" s="475">
        <v>34855.1</v>
      </c>
      <c r="O497" s="475">
        <v>29.7</v>
      </c>
      <c r="P497" s="475">
        <v>735.7</v>
      </c>
      <c r="Q497" s="475">
        <v>1009.18</v>
      </c>
      <c r="R497" s="475">
        <v>11338.81</v>
      </c>
      <c r="S497" s="475">
        <v>9.0399999999999991</v>
      </c>
      <c r="T497" s="475">
        <v>38052</v>
      </c>
      <c r="U497" s="475">
        <v>69</v>
      </c>
      <c r="V497" s="475"/>
      <c r="W497" s="475"/>
      <c r="X497" s="475">
        <v>8546.7900000000009</v>
      </c>
      <c r="Y497" s="475">
        <v>0</v>
      </c>
      <c r="Z497" s="475"/>
      <c r="AA497" s="338"/>
      <c r="AB497" s="475">
        <v>276.35000000000002</v>
      </c>
      <c r="AC497" s="476">
        <v>0.48</v>
      </c>
      <c r="AD497" s="475"/>
      <c r="AE497" s="338"/>
      <c r="AF497" s="505">
        <v>207.12</v>
      </c>
      <c r="AG497" s="476">
        <v>10.99</v>
      </c>
      <c r="AH497" s="505">
        <v>50.12</v>
      </c>
      <c r="AI497" s="476">
        <v>0</v>
      </c>
      <c r="AJ497" s="505">
        <v>5.33</v>
      </c>
      <c r="AK497" s="476">
        <v>0</v>
      </c>
    </row>
    <row r="498" spans="1:37">
      <c r="A498" s="492">
        <f t="shared" si="31"/>
        <v>45805</v>
      </c>
      <c r="B498" s="102" t="s">
        <v>1197</v>
      </c>
      <c r="C498" s="110" t="str">
        <f t="shared" si="30"/>
        <v>45805 1200H</v>
      </c>
      <c r="D498" s="471">
        <v>2470.67</v>
      </c>
      <c r="E498" s="472">
        <v>49.73</v>
      </c>
      <c r="F498" s="471">
        <v>1108.67</v>
      </c>
      <c r="G498" s="472">
        <v>6.2</v>
      </c>
      <c r="H498" s="471">
        <v>76274.78</v>
      </c>
      <c r="I498" s="473">
        <v>936.7</v>
      </c>
      <c r="J498" s="473">
        <v>33743.93</v>
      </c>
      <c r="K498" s="472">
        <v>111.62</v>
      </c>
      <c r="L498" s="471">
        <v>7179.72</v>
      </c>
      <c r="M498" s="473">
        <v>19.05</v>
      </c>
      <c r="N498" s="473">
        <v>34858.800000000003</v>
      </c>
      <c r="O498" s="473">
        <v>29.7</v>
      </c>
      <c r="P498" s="473">
        <v>735.93</v>
      </c>
      <c r="Q498" s="473">
        <v>1009.74</v>
      </c>
      <c r="R498" s="473">
        <v>11342.88</v>
      </c>
      <c r="S498" s="473">
        <v>9.0399999999999991</v>
      </c>
      <c r="T498" s="473">
        <v>38059</v>
      </c>
      <c r="U498" s="473">
        <v>69</v>
      </c>
      <c r="V498" s="473"/>
      <c r="W498" s="473"/>
      <c r="X498" s="473">
        <v>8553.57</v>
      </c>
      <c r="Y498" s="473">
        <v>0</v>
      </c>
      <c r="Z498" s="473"/>
      <c r="AA498" s="472"/>
      <c r="AB498" s="473">
        <v>276.35000000000002</v>
      </c>
      <c r="AC498" s="474">
        <v>0.48</v>
      </c>
      <c r="AD498" s="473"/>
      <c r="AE498" s="472"/>
      <c r="AF498" s="506">
        <v>210.98</v>
      </c>
      <c r="AG498" s="474">
        <v>11.03</v>
      </c>
      <c r="AH498" s="506">
        <v>50.37</v>
      </c>
      <c r="AI498" s="474">
        <v>0</v>
      </c>
      <c r="AJ498" s="506">
        <v>6.21</v>
      </c>
      <c r="AK498" s="474">
        <v>0</v>
      </c>
    </row>
    <row r="499" spans="1:37">
      <c r="A499" s="492">
        <f t="shared" si="31"/>
        <v>45806</v>
      </c>
      <c r="B499" s="102" t="s">
        <v>3267</v>
      </c>
      <c r="C499" s="110" t="str">
        <f t="shared" si="30"/>
        <v>45806 0000H</v>
      </c>
      <c r="D499" s="337">
        <v>2475.11</v>
      </c>
      <c r="E499" s="338">
        <v>49.73</v>
      </c>
      <c r="F499" s="337">
        <v>1108.67</v>
      </c>
      <c r="G499" s="338">
        <v>6.2</v>
      </c>
      <c r="H499" s="337">
        <v>76284.14</v>
      </c>
      <c r="I499" s="475">
        <v>936.79</v>
      </c>
      <c r="J499" s="475">
        <v>33746.910000000003</v>
      </c>
      <c r="K499" s="338">
        <v>111.63</v>
      </c>
      <c r="L499" s="337">
        <v>7183.81</v>
      </c>
      <c r="M499" s="475">
        <v>19.05</v>
      </c>
      <c r="N499" s="475">
        <v>34862.400000000001</v>
      </c>
      <c r="O499" s="475">
        <v>29.7</v>
      </c>
      <c r="P499" s="475">
        <v>736.14</v>
      </c>
      <c r="Q499" s="475">
        <v>1010.54</v>
      </c>
      <c r="R499" s="475">
        <v>11347.7</v>
      </c>
      <c r="S499" s="475">
        <v>9.0399999999999991</v>
      </c>
      <c r="T499" s="475">
        <v>38067</v>
      </c>
      <c r="U499" s="475">
        <v>69</v>
      </c>
      <c r="V499" s="475"/>
      <c r="W499" s="475"/>
      <c r="X499" s="475">
        <v>8560.32</v>
      </c>
      <c r="Y499" s="475">
        <v>0</v>
      </c>
      <c r="Z499" s="475"/>
      <c r="AA499" s="338"/>
      <c r="AB499" s="475">
        <v>276.75</v>
      </c>
      <c r="AC499" s="476">
        <v>0.48</v>
      </c>
      <c r="AD499" s="475"/>
      <c r="AE499" s="338"/>
      <c r="AF499" s="505">
        <v>220.88</v>
      </c>
      <c r="AG499" s="476">
        <v>11.03</v>
      </c>
      <c r="AH499" s="505">
        <v>51.37</v>
      </c>
      <c r="AI499" s="476">
        <v>0</v>
      </c>
      <c r="AJ499" s="505">
        <v>8.0399999999999991</v>
      </c>
      <c r="AK499" s="476">
        <v>0</v>
      </c>
    </row>
    <row r="500" spans="1:37">
      <c r="A500" s="492">
        <f t="shared" si="31"/>
        <v>45806</v>
      </c>
      <c r="B500" s="102" t="s">
        <v>1197</v>
      </c>
      <c r="C500" s="110" t="str">
        <f t="shared" si="30"/>
        <v>45806 1200H</v>
      </c>
      <c r="D500" s="471">
        <v>2478.31</v>
      </c>
      <c r="E500" s="472">
        <v>49.73</v>
      </c>
      <c r="F500" s="471">
        <v>1108.67</v>
      </c>
      <c r="G500" s="472">
        <v>6.2</v>
      </c>
      <c r="H500" s="471">
        <v>76293.73</v>
      </c>
      <c r="I500" s="473">
        <v>936.79</v>
      </c>
      <c r="J500" s="473">
        <v>33748.050000000003</v>
      </c>
      <c r="K500" s="472">
        <v>111.66</v>
      </c>
      <c r="L500" s="471">
        <v>7189.55</v>
      </c>
      <c r="M500" s="473">
        <v>19.05</v>
      </c>
      <c r="N500" s="473">
        <v>34865.199999999997</v>
      </c>
      <c r="O500" s="473">
        <v>29.7</v>
      </c>
      <c r="P500" s="473">
        <v>736.14</v>
      </c>
      <c r="Q500" s="473">
        <v>1011.81</v>
      </c>
      <c r="R500" s="473">
        <v>11351.76</v>
      </c>
      <c r="S500" s="473">
        <v>9.0399999999999991</v>
      </c>
      <c r="T500" s="473">
        <v>38074</v>
      </c>
      <c r="U500" s="473">
        <v>69</v>
      </c>
      <c r="V500" s="473"/>
      <c r="W500" s="473"/>
      <c r="X500" s="473">
        <v>8566.2000000000007</v>
      </c>
      <c r="Y500" s="473">
        <v>0</v>
      </c>
      <c r="Z500" s="473"/>
      <c r="AA500" s="472"/>
      <c r="AB500" s="473"/>
      <c r="AC500" s="474"/>
      <c r="AD500" s="473"/>
      <c r="AE500" s="472"/>
      <c r="AF500" s="506">
        <v>226.26</v>
      </c>
      <c r="AG500" s="474">
        <v>11.03</v>
      </c>
      <c r="AH500" s="506">
        <v>51.4</v>
      </c>
      <c r="AI500" s="474">
        <v>0</v>
      </c>
      <c r="AJ500" s="506">
        <v>9.59</v>
      </c>
      <c r="AK500" s="474">
        <v>0</v>
      </c>
    </row>
    <row r="501" spans="1:37">
      <c r="A501" s="492">
        <f t="shared" si="31"/>
        <v>45807</v>
      </c>
      <c r="B501" s="102" t="s">
        <v>3267</v>
      </c>
      <c r="C501" s="110" t="str">
        <f t="shared" si="30"/>
        <v>45807 0000H</v>
      </c>
      <c r="D501" s="337">
        <v>2481.52</v>
      </c>
      <c r="E501" s="338">
        <v>49.73</v>
      </c>
      <c r="F501" s="337">
        <v>1108.67</v>
      </c>
      <c r="G501" s="338">
        <v>6.2</v>
      </c>
      <c r="H501" s="337">
        <v>76303.47</v>
      </c>
      <c r="I501" s="475">
        <v>936.79</v>
      </c>
      <c r="J501" s="475">
        <v>33751.019999999997</v>
      </c>
      <c r="K501" s="338">
        <v>111.67</v>
      </c>
      <c r="L501" s="337">
        <v>7195.3</v>
      </c>
      <c r="M501" s="475">
        <v>19.05</v>
      </c>
      <c r="N501" s="475">
        <v>34869.199999999997</v>
      </c>
      <c r="O501" s="475">
        <v>29.7</v>
      </c>
      <c r="P501" s="475">
        <v>736.34</v>
      </c>
      <c r="Q501" s="475">
        <v>1012.68</v>
      </c>
      <c r="R501" s="475">
        <v>11356.39</v>
      </c>
      <c r="S501" s="475">
        <v>9.0399999999999991</v>
      </c>
      <c r="T501" s="475">
        <v>38082</v>
      </c>
      <c r="U501" s="475">
        <v>69</v>
      </c>
      <c r="V501" s="475"/>
      <c r="W501" s="475"/>
      <c r="X501" s="475">
        <v>8572.98</v>
      </c>
      <c r="Y501" s="475">
        <v>0</v>
      </c>
      <c r="Z501" s="475"/>
      <c r="AA501" s="338"/>
      <c r="AB501" s="475">
        <f>AB500</f>
        <v>0</v>
      </c>
      <c r="AC501" s="476">
        <f>AC500</f>
        <v>0</v>
      </c>
      <c r="AD501" s="475"/>
      <c r="AE501" s="338"/>
      <c r="AF501" s="505">
        <v>235.6</v>
      </c>
      <c r="AG501" s="476">
        <v>11.03</v>
      </c>
      <c r="AH501" s="505">
        <v>52.56</v>
      </c>
      <c r="AI501" s="476">
        <v>0</v>
      </c>
      <c r="AJ501" s="505">
        <v>13.1</v>
      </c>
      <c r="AK501" s="476">
        <v>0</v>
      </c>
    </row>
    <row r="502" spans="1:37">
      <c r="A502" s="492">
        <f t="shared" si="31"/>
        <v>45807</v>
      </c>
      <c r="B502" s="102" t="s">
        <v>1197</v>
      </c>
      <c r="C502" s="110" t="str">
        <f t="shared" si="30"/>
        <v>45807 1200H</v>
      </c>
      <c r="D502" s="471">
        <v>2484.87</v>
      </c>
      <c r="E502" s="472">
        <v>49.73</v>
      </c>
      <c r="F502" s="471">
        <v>1108.67</v>
      </c>
      <c r="G502" s="472">
        <v>6.2</v>
      </c>
      <c r="H502" s="471">
        <v>76307.94</v>
      </c>
      <c r="I502" s="473">
        <v>937</v>
      </c>
      <c r="J502" s="473">
        <v>33751.99</v>
      </c>
      <c r="K502" s="472">
        <v>111.72</v>
      </c>
      <c r="L502" s="471">
        <v>7201.04</v>
      </c>
      <c r="M502" s="473">
        <v>19.05</v>
      </c>
      <c r="N502" s="473">
        <v>34872.699999999997</v>
      </c>
      <c r="O502" s="473">
        <v>29.7</v>
      </c>
      <c r="P502" s="473">
        <v>736.69</v>
      </c>
      <c r="Q502" s="473">
        <v>1013.69</v>
      </c>
      <c r="R502" s="473">
        <v>11360.41</v>
      </c>
      <c r="S502" s="473">
        <v>9.0399999999999991</v>
      </c>
      <c r="T502" s="473">
        <v>38089</v>
      </c>
      <c r="U502" s="473">
        <v>69</v>
      </c>
      <c r="V502" s="473"/>
      <c r="W502" s="473"/>
      <c r="X502" s="473">
        <v>8579.0499999999993</v>
      </c>
      <c r="Y502" s="473">
        <v>0</v>
      </c>
      <c r="Z502" s="473"/>
      <c r="AA502" s="472"/>
      <c r="AB502" s="473">
        <v>277.17</v>
      </c>
      <c r="AC502" s="474">
        <v>0.48</v>
      </c>
      <c r="AD502" s="473"/>
      <c r="AE502" s="472"/>
      <c r="AF502" s="506"/>
      <c r="AG502" s="474"/>
      <c r="AH502" s="506">
        <v>52.5</v>
      </c>
      <c r="AI502" s="474">
        <v>0</v>
      </c>
      <c r="AJ502" s="506">
        <v>13.1</v>
      </c>
      <c r="AK502" s="474">
        <v>0</v>
      </c>
    </row>
    <row r="503" spans="1:37">
      <c r="A503" s="492">
        <f t="shared" si="31"/>
        <v>45808</v>
      </c>
      <c r="B503" s="102" t="s">
        <v>3267</v>
      </c>
      <c r="C503" s="110" t="str">
        <f t="shared" si="30"/>
        <v>45808 0000H</v>
      </c>
      <c r="D503" s="337">
        <v>2488.9699999999998</v>
      </c>
      <c r="E503" s="338">
        <v>49.73</v>
      </c>
      <c r="F503" s="337">
        <v>1108.67</v>
      </c>
      <c r="G503" s="338">
        <v>6.2</v>
      </c>
      <c r="H503" s="337">
        <v>76317.37</v>
      </c>
      <c r="I503" s="475">
        <v>937</v>
      </c>
      <c r="J503" s="475">
        <v>33755.11</v>
      </c>
      <c r="K503" s="338">
        <v>111.72</v>
      </c>
      <c r="L503" s="337">
        <v>7206.69</v>
      </c>
      <c r="M503" s="475">
        <v>19.05</v>
      </c>
      <c r="N503" s="475">
        <v>34876.6</v>
      </c>
      <c r="O503" s="475">
        <v>29.7</v>
      </c>
      <c r="P503" s="475">
        <v>736.9</v>
      </c>
      <c r="Q503" s="475">
        <v>1014.93</v>
      </c>
      <c r="R503" s="475">
        <v>11365.15</v>
      </c>
      <c r="S503" s="475">
        <v>9.0399999999999991</v>
      </c>
      <c r="T503" s="475">
        <v>38096</v>
      </c>
      <c r="U503" s="475">
        <v>69</v>
      </c>
      <c r="V503" s="475"/>
      <c r="W503" s="475"/>
      <c r="X503" s="475">
        <v>8586.15</v>
      </c>
      <c r="Y503" s="475">
        <v>0</v>
      </c>
      <c r="Z503" s="475"/>
      <c r="AA503" s="338"/>
      <c r="AB503" s="475">
        <v>278.27</v>
      </c>
      <c r="AC503" s="476">
        <v>0.49</v>
      </c>
      <c r="AD503" s="475"/>
      <c r="AE503" s="338"/>
      <c r="AF503" s="505"/>
      <c r="AG503" s="476"/>
      <c r="AH503" s="505">
        <v>53.1</v>
      </c>
      <c r="AI503" s="476">
        <v>0</v>
      </c>
      <c r="AJ503" s="505">
        <v>14.89</v>
      </c>
      <c r="AK503" s="476">
        <v>0</v>
      </c>
    </row>
    <row r="504" spans="1:37">
      <c r="A504" s="492">
        <f t="shared" si="31"/>
        <v>45808</v>
      </c>
      <c r="B504" s="102" t="s">
        <v>1197</v>
      </c>
      <c r="C504" s="110" t="str">
        <f t="shared" si="30"/>
        <v>45808 1200H</v>
      </c>
      <c r="D504" s="471">
        <v>2492.6999999999998</v>
      </c>
      <c r="E504" s="472">
        <v>49.73</v>
      </c>
      <c r="F504" s="471">
        <v>1108.67</v>
      </c>
      <c r="G504" s="472">
        <v>6.2</v>
      </c>
      <c r="H504" s="471">
        <v>76319.710000000006</v>
      </c>
      <c r="I504" s="473">
        <v>937.37</v>
      </c>
      <c r="J504" s="473">
        <v>33722.339999999997</v>
      </c>
      <c r="K504" s="472">
        <v>111.75</v>
      </c>
      <c r="L504" s="471">
        <v>7212.52</v>
      </c>
      <c r="M504" s="473">
        <v>19.05</v>
      </c>
      <c r="N504" s="473">
        <v>34879.1</v>
      </c>
      <c r="O504" s="473">
        <v>29.7</v>
      </c>
      <c r="P504" s="473">
        <v>736.91</v>
      </c>
      <c r="Q504" s="473">
        <v>1016.22</v>
      </c>
      <c r="R504" s="473">
        <v>11369.04</v>
      </c>
      <c r="S504" s="473">
        <v>9.0399999999999991</v>
      </c>
      <c r="T504" s="473">
        <v>38102</v>
      </c>
      <c r="U504" s="473">
        <v>69</v>
      </c>
      <c r="V504" s="473"/>
      <c r="W504" s="473"/>
      <c r="X504" s="473">
        <v>8591.2900000000009</v>
      </c>
      <c r="Y504" s="473">
        <v>0</v>
      </c>
      <c r="Z504" s="473"/>
      <c r="AA504" s="472"/>
      <c r="AB504" s="473">
        <v>278.27</v>
      </c>
      <c r="AC504" s="474">
        <v>0.49</v>
      </c>
      <c r="AD504" s="473"/>
      <c r="AE504" s="472"/>
      <c r="AF504" s="506"/>
      <c r="AG504" s="474"/>
      <c r="AH504" s="506">
        <v>53.1</v>
      </c>
      <c r="AI504" s="474">
        <v>0</v>
      </c>
      <c r="AJ504" s="506">
        <v>16.47</v>
      </c>
      <c r="AK504" s="474">
        <v>0</v>
      </c>
    </row>
    <row r="505" spans="1:37">
      <c r="A505" s="492">
        <f t="shared" si="31"/>
        <v>45809</v>
      </c>
      <c r="B505" s="102" t="s">
        <v>3267</v>
      </c>
      <c r="C505" s="110" t="str">
        <f t="shared" si="30"/>
        <v>45809 0000H</v>
      </c>
      <c r="D505" s="337">
        <v>2497.1799999999998</v>
      </c>
      <c r="E505" s="338">
        <v>49.73</v>
      </c>
      <c r="F505" s="337">
        <v>1108.67</v>
      </c>
      <c r="G505" s="338">
        <v>6.2</v>
      </c>
      <c r="H505" s="337">
        <v>76329.56</v>
      </c>
      <c r="I505" s="475">
        <v>937.37</v>
      </c>
      <c r="J505" s="475">
        <v>33758.67</v>
      </c>
      <c r="K505" s="338">
        <v>111.75</v>
      </c>
      <c r="L505" s="337">
        <v>7218.29</v>
      </c>
      <c r="M505" s="475">
        <v>19.05</v>
      </c>
      <c r="N505" s="475">
        <v>34882.800000000003</v>
      </c>
      <c r="O505" s="475">
        <v>29.8</v>
      </c>
      <c r="P505" s="475">
        <v>736.94</v>
      </c>
      <c r="Q505" s="475">
        <v>1017.48</v>
      </c>
      <c r="R505" s="475">
        <v>11373.91</v>
      </c>
      <c r="S505" s="475">
        <v>9.0399999999999991</v>
      </c>
      <c r="T505" s="475">
        <v>38110</v>
      </c>
      <c r="U505" s="475">
        <v>69</v>
      </c>
      <c r="V505" s="475"/>
      <c r="W505" s="475"/>
      <c r="X505" s="475">
        <v>8596.61</v>
      </c>
      <c r="Y505" s="475">
        <v>0</v>
      </c>
      <c r="Z505" s="475"/>
      <c r="AA505" s="338"/>
      <c r="AB505" s="475">
        <v>278.27</v>
      </c>
      <c r="AC505" s="476">
        <v>0.49</v>
      </c>
      <c r="AD505" s="475"/>
      <c r="AE505" s="338"/>
      <c r="AF505" s="505">
        <v>262.63</v>
      </c>
      <c r="AG505" s="476">
        <v>11.03</v>
      </c>
      <c r="AH505" s="505">
        <v>53.1</v>
      </c>
      <c r="AI505" s="476">
        <v>0</v>
      </c>
      <c r="AJ505" s="505">
        <v>18.329999999999998</v>
      </c>
      <c r="AK505" s="476">
        <v>0</v>
      </c>
    </row>
    <row r="506" spans="1:37">
      <c r="A506" s="492">
        <f t="shared" si="31"/>
        <v>45809</v>
      </c>
      <c r="B506" s="102" t="s">
        <v>1197</v>
      </c>
      <c r="C506" s="110" t="str">
        <f t="shared" si="30"/>
        <v>45809 1200H</v>
      </c>
      <c r="D506" s="471"/>
      <c r="E506" s="472"/>
      <c r="F506" s="471">
        <v>1111.57</v>
      </c>
      <c r="G506" s="472">
        <v>6.2</v>
      </c>
      <c r="H506" s="471">
        <v>76336.009999999995</v>
      </c>
      <c r="I506" s="473">
        <v>937.48</v>
      </c>
      <c r="J506" s="473">
        <v>33760.449999999997</v>
      </c>
      <c r="K506" s="472">
        <v>111.78</v>
      </c>
      <c r="L506" s="471">
        <v>7223.75</v>
      </c>
      <c r="M506" s="473">
        <v>19.05</v>
      </c>
      <c r="N506" s="473">
        <v>34885.699999999997</v>
      </c>
      <c r="O506" s="473">
        <v>29.8</v>
      </c>
      <c r="P506" s="473">
        <v>737.02</v>
      </c>
      <c r="Q506" s="473">
        <v>1018.87</v>
      </c>
      <c r="R506" s="473">
        <v>11377.91</v>
      </c>
      <c r="S506" s="473">
        <v>9.0399999999999991</v>
      </c>
      <c r="T506" s="473">
        <v>38115</v>
      </c>
      <c r="U506" s="473">
        <v>69</v>
      </c>
      <c r="V506" s="473"/>
      <c r="W506" s="473"/>
      <c r="X506" s="473">
        <v>8604.82</v>
      </c>
      <c r="Y506" s="473">
        <v>0</v>
      </c>
      <c r="Z506" s="473"/>
      <c r="AA506" s="472"/>
      <c r="AB506" s="473">
        <v>278.27</v>
      </c>
      <c r="AC506" s="474">
        <v>0.49</v>
      </c>
      <c r="AD506" s="473"/>
      <c r="AE506" s="472"/>
      <c r="AF506" s="506">
        <v>265.83</v>
      </c>
      <c r="AG506" s="474">
        <v>11.03</v>
      </c>
      <c r="AH506" s="506">
        <v>53.1</v>
      </c>
      <c r="AI506" s="474">
        <v>0</v>
      </c>
      <c r="AJ506" s="506">
        <v>19.559999999999999</v>
      </c>
      <c r="AK506" s="474">
        <v>0</v>
      </c>
    </row>
    <row r="507" spans="1:37">
      <c r="A507" s="492">
        <f t="shared" si="31"/>
        <v>45810</v>
      </c>
      <c r="B507" s="102" t="s">
        <v>3267</v>
      </c>
      <c r="C507" s="110" t="str">
        <f t="shared" si="30"/>
        <v>45810 0000H</v>
      </c>
      <c r="D507" s="337">
        <v>2500.6999999999998</v>
      </c>
      <c r="E507" s="338">
        <v>49.74</v>
      </c>
      <c r="F507" s="337">
        <v>1113.8699999999999</v>
      </c>
      <c r="G507" s="338">
        <v>6.2</v>
      </c>
      <c r="H507" s="337">
        <v>76344.12</v>
      </c>
      <c r="I507" s="475">
        <v>937.52</v>
      </c>
      <c r="J507" s="475">
        <v>33761.64</v>
      </c>
      <c r="K507" s="338">
        <v>111.83</v>
      </c>
      <c r="L507" s="337">
        <v>7229.5</v>
      </c>
      <c r="M507" s="475">
        <v>19.05</v>
      </c>
      <c r="N507" s="475">
        <v>34889.300000000003</v>
      </c>
      <c r="O507" s="475">
        <v>29.8</v>
      </c>
      <c r="P507" s="475">
        <v>737.02</v>
      </c>
      <c r="Q507" s="475">
        <v>1020.74</v>
      </c>
      <c r="R507" s="475">
        <v>11382.95</v>
      </c>
      <c r="S507" s="475">
        <v>9.0399999999999991</v>
      </c>
      <c r="T507" s="475">
        <v>38123</v>
      </c>
      <c r="U507" s="475">
        <v>69</v>
      </c>
      <c r="V507" s="475"/>
      <c r="W507" s="475"/>
      <c r="X507" s="475">
        <v>8612.19</v>
      </c>
      <c r="Y507" s="475">
        <v>0</v>
      </c>
      <c r="Z507" s="475"/>
      <c r="AA507" s="338"/>
      <c r="AB507" s="475">
        <v>278.27</v>
      </c>
      <c r="AC507" s="476">
        <v>0.49</v>
      </c>
      <c r="AD507" s="475"/>
      <c r="AE507" s="338"/>
      <c r="AF507" s="505">
        <v>269.76</v>
      </c>
      <c r="AG507" s="476">
        <v>11.08</v>
      </c>
      <c r="AH507" s="505">
        <v>53.31</v>
      </c>
      <c r="AI507" s="476">
        <v>0</v>
      </c>
      <c r="AJ507" s="505">
        <v>20.190000000000001</v>
      </c>
      <c r="AK507" s="476">
        <v>0</v>
      </c>
    </row>
    <row r="508" spans="1:37">
      <c r="A508" s="492">
        <f t="shared" si="31"/>
        <v>45810</v>
      </c>
      <c r="B508" s="102" t="s">
        <v>1197</v>
      </c>
      <c r="C508" s="110" t="str">
        <f t="shared" si="30"/>
        <v>45810 1200H</v>
      </c>
      <c r="D508" s="471">
        <v>2504.66</v>
      </c>
      <c r="E508" s="472">
        <v>49.74</v>
      </c>
      <c r="F508" s="471">
        <v>1113.8699999999999</v>
      </c>
      <c r="G508" s="472">
        <v>6.2</v>
      </c>
      <c r="H508" s="471">
        <v>76346.929999999993</v>
      </c>
      <c r="I508" s="473">
        <v>937.82</v>
      </c>
      <c r="J508" s="473">
        <v>33762.449999999997</v>
      </c>
      <c r="K508" s="472">
        <v>111.86</v>
      </c>
      <c r="L508" s="471">
        <v>7235.36</v>
      </c>
      <c r="M508" s="473">
        <v>19.05</v>
      </c>
      <c r="N508" s="473">
        <v>34892.9</v>
      </c>
      <c r="O508" s="473">
        <v>29.8</v>
      </c>
      <c r="P508" s="473">
        <v>737.22</v>
      </c>
      <c r="Q508" s="473">
        <v>1021.82</v>
      </c>
      <c r="R508" s="473">
        <v>11386.93</v>
      </c>
      <c r="S508" s="473">
        <v>9.0399999999999991</v>
      </c>
      <c r="T508" s="473">
        <v>38129</v>
      </c>
      <c r="U508" s="473">
        <v>69</v>
      </c>
      <c r="V508" s="473"/>
      <c r="W508" s="473"/>
      <c r="X508" s="473">
        <v>8618.56</v>
      </c>
      <c r="Y508" s="473">
        <v>0</v>
      </c>
      <c r="Z508" s="473"/>
      <c r="AA508" s="472"/>
      <c r="AB508" s="473">
        <v>278.27</v>
      </c>
      <c r="AC508" s="474">
        <v>0.49</v>
      </c>
      <c r="AD508" s="473"/>
      <c r="AE508" s="472"/>
      <c r="AF508" s="506">
        <v>276.27999999999997</v>
      </c>
      <c r="AG508" s="474">
        <v>11.08</v>
      </c>
      <c r="AH508" s="506">
        <v>53.56</v>
      </c>
      <c r="AI508" s="474">
        <v>0</v>
      </c>
      <c r="AJ508" s="506">
        <v>21.83</v>
      </c>
      <c r="AK508" s="474">
        <v>0</v>
      </c>
    </row>
    <row r="509" spans="1:37">
      <c r="A509" s="492">
        <f t="shared" si="31"/>
        <v>45811</v>
      </c>
      <c r="B509" s="102" t="s">
        <v>3267</v>
      </c>
      <c r="C509" s="110" t="str">
        <f t="shared" si="30"/>
        <v>45811 0000H</v>
      </c>
      <c r="D509" s="337">
        <v>2509.5300000000002</v>
      </c>
      <c r="E509" s="338">
        <v>49.74</v>
      </c>
      <c r="F509" s="337">
        <v>1113.8699999999999</v>
      </c>
      <c r="G509" s="338">
        <v>6.2</v>
      </c>
      <c r="H509" s="337">
        <v>76356.72</v>
      </c>
      <c r="I509" s="475">
        <v>937.82</v>
      </c>
      <c r="J509" s="475">
        <v>33765.46</v>
      </c>
      <c r="K509" s="338">
        <v>111.87</v>
      </c>
      <c r="L509" s="337">
        <v>7241.14</v>
      </c>
      <c r="M509" s="475">
        <v>19.05</v>
      </c>
      <c r="N509" s="475">
        <v>34896.300000000003</v>
      </c>
      <c r="O509" s="475">
        <v>29.8</v>
      </c>
      <c r="P509" s="475">
        <v>737.81</v>
      </c>
      <c r="Q509" s="475">
        <v>1022.43</v>
      </c>
      <c r="R509" s="475">
        <v>11391.94</v>
      </c>
      <c r="S509" s="475">
        <v>9.0399999999999991</v>
      </c>
      <c r="T509" s="475">
        <v>38137</v>
      </c>
      <c r="U509" s="475">
        <v>69</v>
      </c>
      <c r="V509" s="475"/>
      <c r="W509" s="475"/>
      <c r="X509" s="475">
        <v>8626.0400000000009</v>
      </c>
      <c r="Y509" s="475">
        <v>0</v>
      </c>
      <c r="Z509" s="475"/>
      <c r="AA509" s="338"/>
      <c r="AB509" s="475">
        <v>278.27</v>
      </c>
      <c r="AC509" s="476">
        <v>0.49</v>
      </c>
      <c r="AD509" s="475"/>
      <c r="AE509" s="338"/>
      <c r="AF509" s="505">
        <v>285.51</v>
      </c>
      <c r="AG509" s="476">
        <v>11.08</v>
      </c>
      <c r="AH509" s="505">
        <v>54.37</v>
      </c>
      <c r="AI509" s="476">
        <v>0</v>
      </c>
      <c r="AJ509" s="505">
        <v>23.69</v>
      </c>
      <c r="AK509" s="476">
        <v>0</v>
      </c>
    </row>
    <row r="510" spans="1:37">
      <c r="A510" s="492">
        <f t="shared" si="31"/>
        <v>45811</v>
      </c>
      <c r="B510" s="102" t="s">
        <v>1197</v>
      </c>
      <c r="C510" s="110" t="str">
        <f t="shared" si="30"/>
        <v>45811 1200H</v>
      </c>
      <c r="D510" s="471">
        <v>2513.48</v>
      </c>
      <c r="E510" s="472">
        <v>49.74</v>
      </c>
      <c r="F510" s="471">
        <v>1113.8699999999999</v>
      </c>
      <c r="G510" s="472">
        <v>6.2</v>
      </c>
      <c r="H510" s="471">
        <v>76362.73</v>
      </c>
      <c r="I510" s="473">
        <v>938.03</v>
      </c>
      <c r="J510" s="473">
        <v>33766.379999999997</v>
      </c>
      <c r="K510" s="472">
        <v>111.9</v>
      </c>
      <c r="L510" s="471">
        <v>7247</v>
      </c>
      <c r="M510" s="473">
        <v>19.05</v>
      </c>
      <c r="N510" s="473">
        <v>34900</v>
      </c>
      <c r="O510" s="473">
        <v>29.8</v>
      </c>
      <c r="P510" s="473">
        <v>737.83</v>
      </c>
      <c r="Q510" s="473">
        <v>1023.38</v>
      </c>
      <c r="R510" s="473">
        <v>11396.04</v>
      </c>
      <c r="S510" s="473">
        <v>9.0399999999999991</v>
      </c>
      <c r="T510" s="473">
        <v>38144</v>
      </c>
      <c r="U510" s="473">
        <v>69</v>
      </c>
      <c r="V510" s="473"/>
      <c r="W510" s="473"/>
      <c r="X510" s="473">
        <v>8632.75</v>
      </c>
      <c r="Y510" s="473">
        <v>0</v>
      </c>
      <c r="Z510" s="473"/>
      <c r="AA510" s="472"/>
      <c r="AB510" s="473">
        <v>278.27</v>
      </c>
      <c r="AC510" s="474">
        <v>0.49</v>
      </c>
      <c r="AD510" s="473"/>
      <c r="AE510" s="472"/>
      <c r="AF510" s="506">
        <v>293.08999999999997</v>
      </c>
      <c r="AG510" s="474">
        <v>11.08</v>
      </c>
      <c r="AH510" s="506">
        <v>54.74</v>
      </c>
      <c r="AI510" s="474">
        <v>0</v>
      </c>
      <c r="AJ510" s="506">
        <v>25.48</v>
      </c>
      <c r="AK510" s="474">
        <v>0</v>
      </c>
    </row>
    <row r="511" spans="1:37">
      <c r="A511" s="492">
        <f t="shared" si="31"/>
        <v>45812</v>
      </c>
      <c r="B511" s="102" t="s">
        <v>3267</v>
      </c>
      <c r="C511" s="110" t="str">
        <f t="shared" si="30"/>
        <v>45812 0000H</v>
      </c>
      <c r="D511" s="337">
        <v>2518.39</v>
      </c>
      <c r="E511" s="338">
        <v>49.74</v>
      </c>
      <c r="F511" s="337">
        <v>1113.8699999999999</v>
      </c>
      <c r="G511" s="338">
        <v>6.2</v>
      </c>
      <c r="H511" s="337">
        <v>76379.28</v>
      </c>
      <c r="I511" s="475">
        <v>938.03</v>
      </c>
      <c r="J511" s="475">
        <v>33769.07</v>
      </c>
      <c r="K511" s="338">
        <v>111.92</v>
      </c>
      <c r="L511" s="337">
        <v>7252.7</v>
      </c>
      <c r="M511" s="475">
        <v>19.05</v>
      </c>
      <c r="N511" s="475">
        <v>34903.800000000003</v>
      </c>
      <c r="O511" s="475">
        <v>29.8</v>
      </c>
      <c r="P511" s="475">
        <v>737.88</v>
      </c>
      <c r="Q511" s="475">
        <v>1024.83</v>
      </c>
      <c r="R511" s="475">
        <v>11401.65</v>
      </c>
      <c r="S511" s="475">
        <v>9.0399999999999991</v>
      </c>
      <c r="T511" s="475">
        <v>38153</v>
      </c>
      <c r="U511" s="475">
        <v>69</v>
      </c>
      <c r="V511" s="475"/>
      <c r="W511" s="475"/>
      <c r="X511" s="475">
        <v>8640.44</v>
      </c>
      <c r="Y511" s="475">
        <v>0</v>
      </c>
      <c r="Z511" s="475"/>
      <c r="AA511" s="338"/>
      <c r="AB511" s="475">
        <v>278.27</v>
      </c>
      <c r="AC511" s="476">
        <v>0.49</v>
      </c>
      <c r="AD511" s="475"/>
      <c r="AE511" s="338"/>
      <c r="AF511" s="505">
        <v>303.25</v>
      </c>
      <c r="AG511" s="476">
        <v>11.09</v>
      </c>
      <c r="AH511" s="505">
        <v>55.95</v>
      </c>
      <c r="AI511" s="476">
        <v>0</v>
      </c>
      <c r="AJ511" s="505">
        <v>27.17</v>
      </c>
      <c r="AK511" s="476">
        <v>0</v>
      </c>
    </row>
    <row r="512" spans="1:37">
      <c r="A512" s="492">
        <f t="shared" si="31"/>
        <v>45812</v>
      </c>
      <c r="B512" s="102" t="s">
        <v>1197</v>
      </c>
      <c r="C512" s="110" t="str">
        <f t="shared" si="30"/>
        <v>45812 1200H</v>
      </c>
      <c r="D512" s="471">
        <v>2523.12</v>
      </c>
      <c r="E512" s="472">
        <v>49.74</v>
      </c>
      <c r="F512" s="471">
        <v>1113.8699999999999</v>
      </c>
      <c r="G512" s="472">
        <v>6.2</v>
      </c>
      <c r="H512" s="471">
        <v>76385.56</v>
      </c>
      <c r="I512" s="473">
        <v>938.29</v>
      </c>
      <c r="J512" s="473">
        <v>33769.949999999997</v>
      </c>
      <c r="K512" s="472">
        <v>111.95</v>
      </c>
      <c r="L512" s="471">
        <v>7258.35</v>
      </c>
      <c r="M512" s="473">
        <v>19.05</v>
      </c>
      <c r="N512" s="473">
        <v>34908.5</v>
      </c>
      <c r="O512" s="473">
        <v>29.8</v>
      </c>
      <c r="P512" s="473">
        <v>737.88</v>
      </c>
      <c r="Q512" s="473">
        <v>1026.45</v>
      </c>
      <c r="R512" s="473">
        <v>11406.16</v>
      </c>
      <c r="S512" s="473">
        <v>9.0399999999999991</v>
      </c>
      <c r="T512" s="473">
        <v>38159</v>
      </c>
      <c r="U512" s="473">
        <v>69</v>
      </c>
      <c r="V512" s="473"/>
      <c r="W512" s="473"/>
      <c r="X512" s="473">
        <v>8646.99</v>
      </c>
      <c r="Y512" s="473">
        <v>0</v>
      </c>
      <c r="Z512" s="473"/>
      <c r="AA512" s="472"/>
      <c r="AB512" s="473">
        <v>278.27</v>
      </c>
      <c r="AC512" s="474">
        <v>0.49</v>
      </c>
      <c r="AD512" s="473"/>
      <c r="AE512" s="472"/>
      <c r="AF512" s="506">
        <v>307.76</v>
      </c>
      <c r="AG512" s="474">
        <v>11.11</v>
      </c>
      <c r="AH512" s="506">
        <v>56.29</v>
      </c>
      <c r="AI512" s="474">
        <v>0</v>
      </c>
      <c r="AJ512" s="506">
        <v>28.1</v>
      </c>
      <c r="AK512" s="474">
        <v>0</v>
      </c>
    </row>
    <row r="513" spans="1:37">
      <c r="A513" s="492">
        <f t="shared" si="31"/>
        <v>45813</v>
      </c>
      <c r="B513" s="102" t="s">
        <v>3267</v>
      </c>
      <c r="C513" s="110" t="str">
        <f t="shared" si="30"/>
        <v>45813 0000H</v>
      </c>
      <c r="D513" s="337">
        <v>2528.15</v>
      </c>
      <c r="E513" s="338">
        <v>49.74</v>
      </c>
      <c r="F513" s="337">
        <v>1113.8699999999999</v>
      </c>
      <c r="G513" s="338">
        <v>6.2</v>
      </c>
      <c r="H513" s="337">
        <v>76398.81</v>
      </c>
      <c r="I513" s="475">
        <v>938.35</v>
      </c>
      <c r="J513" s="475">
        <v>33771.97</v>
      </c>
      <c r="K513" s="338">
        <v>111.98</v>
      </c>
      <c r="L513" s="337">
        <v>7264.21</v>
      </c>
      <c r="M513" s="475">
        <v>19.05</v>
      </c>
      <c r="N513" s="475">
        <v>34912.1</v>
      </c>
      <c r="O513" s="475">
        <v>29.8</v>
      </c>
      <c r="P513" s="475">
        <v>737.97</v>
      </c>
      <c r="Q513" s="475">
        <v>1027.8</v>
      </c>
      <c r="R513" s="475">
        <v>11411.6</v>
      </c>
      <c r="S513" s="475">
        <v>9.0399999999999991</v>
      </c>
      <c r="T513" s="475">
        <v>38167</v>
      </c>
      <c r="U513" s="475">
        <v>69</v>
      </c>
      <c r="V513" s="475"/>
      <c r="W513" s="475"/>
      <c r="X513" s="475">
        <v>8654</v>
      </c>
      <c r="Y513" s="475">
        <v>0</v>
      </c>
      <c r="Z513" s="475"/>
      <c r="AA513" s="338"/>
      <c r="AB513" s="475">
        <v>278.27</v>
      </c>
      <c r="AC513" s="476">
        <v>0.49</v>
      </c>
      <c r="AD513" s="475"/>
      <c r="AE513" s="338"/>
      <c r="AF513" s="505">
        <v>319.82</v>
      </c>
      <c r="AG513" s="476">
        <v>11.11</v>
      </c>
      <c r="AH513" s="505">
        <v>57.84</v>
      </c>
      <c r="AI513" s="476">
        <v>0</v>
      </c>
      <c r="AJ513" s="505">
        <v>30.04</v>
      </c>
      <c r="AK513" s="476">
        <v>0</v>
      </c>
    </row>
    <row r="514" spans="1:37">
      <c r="A514" s="492">
        <f t="shared" si="31"/>
        <v>45813</v>
      </c>
      <c r="B514" s="102" t="s">
        <v>1197</v>
      </c>
      <c r="C514" s="110" t="str">
        <f t="shared" si="30"/>
        <v>45813 1200H</v>
      </c>
      <c r="D514" s="471">
        <v>2531.2600000000002</v>
      </c>
      <c r="E514" s="472">
        <v>49.74</v>
      </c>
      <c r="F514" s="471">
        <v>1113.8699999999999</v>
      </c>
      <c r="G514" s="472">
        <v>6.2</v>
      </c>
      <c r="H514" s="471">
        <v>76404.2</v>
      </c>
      <c r="I514" s="473">
        <v>938.47</v>
      </c>
      <c r="J514" s="473">
        <v>33772.300000000003</v>
      </c>
      <c r="K514" s="472">
        <v>112.02</v>
      </c>
      <c r="L514" s="471">
        <v>7270.01</v>
      </c>
      <c r="M514" s="473">
        <v>19.05</v>
      </c>
      <c r="N514" s="473">
        <v>34916.5</v>
      </c>
      <c r="O514" s="473">
        <v>29.8</v>
      </c>
      <c r="P514" s="473">
        <v>738.13</v>
      </c>
      <c r="Q514" s="473">
        <v>1028.75</v>
      </c>
      <c r="R514" s="473">
        <v>11415.94</v>
      </c>
      <c r="S514" s="473">
        <v>9.0399999999999991</v>
      </c>
      <c r="T514" s="473">
        <v>38173</v>
      </c>
      <c r="U514" s="473">
        <v>69</v>
      </c>
      <c r="V514" s="473"/>
      <c r="W514" s="473"/>
      <c r="X514" s="473">
        <v>8660.2000000000007</v>
      </c>
      <c r="Y514" s="473">
        <v>0</v>
      </c>
      <c r="Z514" s="473"/>
      <c r="AA514" s="472"/>
      <c r="AB514" s="473">
        <v>278.27</v>
      </c>
      <c r="AC514" s="474">
        <v>0.49</v>
      </c>
      <c r="AD514" s="473"/>
      <c r="AE514" s="472"/>
      <c r="AF514" s="506">
        <v>328.93</v>
      </c>
      <c r="AG514" s="474">
        <v>11.11</v>
      </c>
      <c r="AH514" s="506">
        <v>58.52</v>
      </c>
      <c r="AI514" s="474">
        <v>0</v>
      </c>
      <c r="AJ514" s="506">
        <v>31.96</v>
      </c>
      <c r="AK514" s="474">
        <v>0</v>
      </c>
    </row>
    <row r="515" spans="1:37">
      <c r="A515" s="492">
        <f t="shared" si="31"/>
        <v>45814</v>
      </c>
      <c r="B515" s="102" t="s">
        <v>3267</v>
      </c>
      <c r="C515" s="110" t="str">
        <f t="shared" si="30"/>
        <v>45814 0000H</v>
      </c>
      <c r="D515" s="337">
        <v>2535.65</v>
      </c>
      <c r="E515" s="338">
        <v>49.74</v>
      </c>
      <c r="F515" s="337">
        <v>1113.8699999999999</v>
      </c>
      <c r="G515" s="338">
        <v>6.2</v>
      </c>
      <c r="H515" s="337">
        <v>76416.42</v>
      </c>
      <c r="I515" s="475">
        <v>938.59</v>
      </c>
      <c r="J515" s="475">
        <v>33775.480000000003</v>
      </c>
      <c r="K515" s="338">
        <v>112.03</v>
      </c>
      <c r="L515" s="337">
        <v>7275.68</v>
      </c>
      <c r="M515" s="475">
        <v>19.05</v>
      </c>
      <c r="N515" s="475">
        <v>34920</v>
      </c>
      <c r="O515" s="475">
        <v>29.8</v>
      </c>
      <c r="P515" s="475">
        <v>738.4</v>
      </c>
      <c r="Q515" s="475">
        <v>1029.52</v>
      </c>
      <c r="R515" s="235">
        <v>11419.9</v>
      </c>
      <c r="S515" s="235">
        <v>9.0399999999999991</v>
      </c>
      <c r="T515" s="475">
        <v>38181</v>
      </c>
      <c r="U515" s="475">
        <v>69</v>
      </c>
      <c r="V515" s="475"/>
      <c r="W515" s="475"/>
      <c r="X515" s="475">
        <v>8666.5400000000009</v>
      </c>
      <c r="Y515" s="475">
        <v>0</v>
      </c>
      <c r="Z515" s="475"/>
      <c r="AA515" s="338"/>
      <c r="AB515" s="475">
        <v>278.27</v>
      </c>
      <c r="AC515" s="476">
        <v>0.49</v>
      </c>
      <c r="AD515" s="475"/>
      <c r="AE515" s="338"/>
      <c r="AF515" s="505">
        <v>338.41</v>
      </c>
      <c r="AG515" s="476">
        <v>11.11</v>
      </c>
      <c r="AH515" s="505">
        <v>59.47</v>
      </c>
      <c r="AI515" s="476">
        <v>0</v>
      </c>
      <c r="AJ515" s="505">
        <v>33.729999999999997</v>
      </c>
      <c r="AK515" s="476">
        <v>0</v>
      </c>
    </row>
    <row r="516" spans="1:37">
      <c r="A516" s="492">
        <f t="shared" si="31"/>
        <v>45814</v>
      </c>
      <c r="B516" s="102" t="s">
        <v>1197</v>
      </c>
      <c r="C516" s="110" t="str">
        <f t="shared" si="30"/>
        <v>45814 1200H</v>
      </c>
      <c r="D516" s="471">
        <v>2539.3200000000002</v>
      </c>
      <c r="E516" s="472">
        <v>49.74</v>
      </c>
      <c r="F516" s="471">
        <v>1113.8699999999999</v>
      </c>
      <c r="G516" s="472">
        <v>6.2</v>
      </c>
      <c r="H516" s="471">
        <v>76420.28</v>
      </c>
      <c r="I516" s="473">
        <v>938.99</v>
      </c>
      <c r="J516" s="473">
        <v>33775.480000000003</v>
      </c>
      <c r="K516" s="472">
        <v>112.03</v>
      </c>
      <c r="L516" s="471">
        <v>7281.46</v>
      </c>
      <c r="M516" s="473">
        <v>19.05</v>
      </c>
      <c r="N516" s="473">
        <v>34923.699999999997</v>
      </c>
      <c r="O516" s="473">
        <v>29.8</v>
      </c>
      <c r="P516" s="473">
        <v>738.4</v>
      </c>
      <c r="Q516" s="473">
        <v>1030.07</v>
      </c>
      <c r="R516" s="473">
        <v>11421.69</v>
      </c>
      <c r="S516" s="473">
        <v>9.0399999999999991</v>
      </c>
      <c r="T516" s="473">
        <v>38186</v>
      </c>
      <c r="U516" s="473">
        <v>69</v>
      </c>
      <c r="V516" s="473"/>
      <c r="W516" s="473"/>
      <c r="X516" s="473">
        <v>8671.98</v>
      </c>
      <c r="Y516" s="473">
        <v>0</v>
      </c>
      <c r="Z516" s="473"/>
      <c r="AA516" s="472"/>
      <c r="AB516" s="473">
        <v>278.27</v>
      </c>
      <c r="AC516" s="474">
        <v>0.49</v>
      </c>
      <c r="AD516" s="473"/>
      <c r="AE516" s="472"/>
      <c r="AF516" s="506">
        <v>344.09</v>
      </c>
      <c r="AG516" s="474">
        <v>11.11</v>
      </c>
      <c r="AH516" s="506">
        <v>59.47</v>
      </c>
      <c r="AI516" s="474">
        <v>0</v>
      </c>
      <c r="AJ516" s="506">
        <v>35.369999999999997</v>
      </c>
      <c r="AK516" s="474">
        <v>0</v>
      </c>
    </row>
    <row r="517" spans="1:37">
      <c r="A517" s="492">
        <f t="shared" si="31"/>
        <v>45815</v>
      </c>
      <c r="B517" s="102" t="s">
        <v>3267</v>
      </c>
      <c r="C517" s="110" t="str">
        <f t="shared" si="30"/>
        <v>45815 0000H</v>
      </c>
      <c r="D517" s="337">
        <v>2544.17</v>
      </c>
      <c r="E517" s="338">
        <v>49.74</v>
      </c>
      <c r="F517" s="337">
        <v>1113.8699999999999</v>
      </c>
      <c r="G517" s="338">
        <v>6.2</v>
      </c>
      <c r="H517" s="337">
        <v>76432.59</v>
      </c>
      <c r="I517" s="475">
        <v>939.08</v>
      </c>
      <c r="J517" s="475">
        <v>33775.480000000003</v>
      </c>
      <c r="K517" s="338">
        <v>112.11</v>
      </c>
      <c r="L517" s="514">
        <v>7287.26</v>
      </c>
      <c r="M517" s="235">
        <v>19.05</v>
      </c>
      <c r="N517" s="475">
        <v>34927.300000000003</v>
      </c>
      <c r="O517" s="475">
        <v>29.8</v>
      </c>
      <c r="P517" s="475">
        <v>738.4</v>
      </c>
      <c r="Q517" s="475">
        <v>1031.82</v>
      </c>
      <c r="R517" s="475">
        <v>11426.37</v>
      </c>
      <c r="S517" s="475">
        <v>9.0399999999999991</v>
      </c>
      <c r="T517" s="475">
        <v>38192</v>
      </c>
      <c r="U517" s="475">
        <v>69</v>
      </c>
      <c r="V517" s="475"/>
      <c r="W517" s="475"/>
      <c r="X517" s="475">
        <v>8677.14</v>
      </c>
      <c r="Y517" s="475">
        <v>0</v>
      </c>
      <c r="Z517" s="475"/>
      <c r="AA517" s="338"/>
      <c r="AB517" s="475">
        <v>278.27</v>
      </c>
      <c r="AC517" s="476">
        <v>0.49</v>
      </c>
      <c r="AD517" s="475"/>
      <c r="AE517" s="338"/>
      <c r="AF517" s="505">
        <v>350.65</v>
      </c>
      <c r="AG517" s="476">
        <v>11.11</v>
      </c>
      <c r="AH517" s="505">
        <v>59.47</v>
      </c>
      <c r="AI517" s="476">
        <v>0</v>
      </c>
      <c r="AJ517" s="505">
        <v>37.24</v>
      </c>
      <c r="AK517" s="476">
        <v>0</v>
      </c>
    </row>
    <row r="518" spans="1:37">
      <c r="A518" s="492">
        <f t="shared" si="31"/>
        <v>45815</v>
      </c>
      <c r="B518" s="102" t="s">
        <v>1197</v>
      </c>
      <c r="C518" s="110" t="str">
        <f t="shared" si="30"/>
        <v>45815 1200H</v>
      </c>
      <c r="D518" s="471">
        <v>2547.8000000000002</v>
      </c>
      <c r="E518" s="472">
        <v>49.74</v>
      </c>
      <c r="F518" s="471">
        <v>1113.8699999999999</v>
      </c>
      <c r="G518" s="472">
        <v>6.2</v>
      </c>
      <c r="H518" s="471">
        <v>76435.31</v>
      </c>
      <c r="I518" s="473">
        <v>939.5</v>
      </c>
      <c r="J518" s="473">
        <v>33775.480000000003</v>
      </c>
      <c r="K518" s="472">
        <v>112.16</v>
      </c>
      <c r="L518" s="471">
        <v>7292.9</v>
      </c>
      <c r="M518" s="473">
        <v>19.05</v>
      </c>
      <c r="N518" s="473">
        <v>34930.800000000003</v>
      </c>
      <c r="O518" s="473">
        <v>29.8</v>
      </c>
      <c r="P518" s="473">
        <v>738.4</v>
      </c>
      <c r="Q518" s="473">
        <v>1032.8499999999999</v>
      </c>
      <c r="R518" s="473">
        <v>11429.5</v>
      </c>
      <c r="S518" s="473">
        <v>9.0399999999999991</v>
      </c>
      <c r="T518" s="473">
        <v>38198</v>
      </c>
      <c r="U518" s="473">
        <v>69</v>
      </c>
      <c r="V518" s="473"/>
      <c r="W518" s="473"/>
      <c r="X518" s="473">
        <v>8682.6</v>
      </c>
      <c r="Y518" s="473">
        <v>0</v>
      </c>
      <c r="Z518" s="473"/>
      <c r="AA518" s="472"/>
      <c r="AB518" s="473">
        <v>278.27</v>
      </c>
      <c r="AC518" s="474">
        <v>0.49</v>
      </c>
      <c r="AD518" s="473"/>
      <c r="AE518" s="472"/>
      <c r="AF518" s="506">
        <v>355.56</v>
      </c>
      <c r="AG518" s="474">
        <v>11.11</v>
      </c>
      <c r="AH518" s="506">
        <v>59.47</v>
      </c>
      <c r="AI518" s="474">
        <v>0</v>
      </c>
      <c r="AJ518" s="506">
        <v>38.65</v>
      </c>
      <c r="AK518" s="474">
        <v>0</v>
      </c>
    </row>
    <row r="519" spans="1:37">
      <c r="A519" s="492">
        <f t="shared" si="31"/>
        <v>45816</v>
      </c>
      <c r="B519" s="102" t="s">
        <v>3267</v>
      </c>
      <c r="C519" s="110" t="str">
        <f t="shared" si="30"/>
        <v>45816 0000H</v>
      </c>
      <c r="D519" s="337">
        <v>2552.5</v>
      </c>
      <c r="E519" s="338">
        <v>49.74</v>
      </c>
      <c r="F519" s="337">
        <v>1113.8699999999999</v>
      </c>
      <c r="G519" s="338">
        <v>6.2</v>
      </c>
      <c r="H519" s="337">
        <v>76443.679999999993</v>
      </c>
      <c r="I519" s="475">
        <v>939.63</v>
      </c>
      <c r="J519" s="475">
        <v>33775.480000000003</v>
      </c>
      <c r="K519" s="338">
        <v>112.22</v>
      </c>
      <c r="L519" s="337">
        <v>7298.78</v>
      </c>
      <c r="M519" s="475">
        <v>19.05</v>
      </c>
      <c r="N519" s="475">
        <v>34934.300000000003</v>
      </c>
      <c r="O519" s="475">
        <v>29.8</v>
      </c>
      <c r="P519" s="475">
        <v>738.4</v>
      </c>
      <c r="Q519" s="475">
        <v>1034.68</v>
      </c>
      <c r="R519" s="475">
        <v>11434.01</v>
      </c>
      <c r="S519" s="475">
        <v>9.0399999999999991</v>
      </c>
      <c r="T519" s="475">
        <v>38204</v>
      </c>
      <c r="U519" s="475">
        <v>69</v>
      </c>
      <c r="V519" s="475"/>
      <c r="W519" s="475"/>
      <c r="X519" s="475">
        <v>8688.5</v>
      </c>
      <c r="Y519" s="475">
        <v>0</v>
      </c>
      <c r="Z519" s="475"/>
      <c r="AA519" s="338"/>
      <c r="AB519" s="475">
        <v>278.27</v>
      </c>
      <c r="AC519" s="476">
        <v>0.49</v>
      </c>
      <c r="AD519" s="475"/>
      <c r="AE519" s="338"/>
      <c r="AF519" s="505">
        <v>361.15</v>
      </c>
      <c r="AG519" s="476">
        <v>11.11</v>
      </c>
      <c r="AH519" s="505">
        <v>59.47</v>
      </c>
      <c r="AI519" s="476">
        <v>0</v>
      </c>
      <c r="AJ519" s="505">
        <v>40.28</v>
      </c>
      <c r="AK519" s="476">
        <v>0</v>
      </c>
    </row>
    <row r="520" spans="1:37">
      <c r="A520" s="492">
        <f t="shared" si="31"/>
        <v>45816</v>
      </c>
      <c r="B520" s="102" t="s">
        <v>1197</v>
      </c>
      <c r="C520" s="110" t="str">
        <f t="shared" si="30"/>
        <v>45816 1200H</v>
      </c>
      <c r="D520" s="471">
        <v>2555.92</v>
      </c>
      <c r="E520" s="472">
        <v>49.74</v>
      </c>
      <c r="F520" s="471">
        <v>1113.8699999999999</v>
      </c>
      <c r="G520" s="472">
        <v>6.2</v>
      </c>
      <c r="H520" s="471">
        <v>76443.679999999993</v>
      </c>
      <c r="I520" s="473">
        <v>940.01</v>
      </c>
      <c r="J520" s="473">
        <v>33775.480000000003</v>
      </c>
      <c r="K520" s="472">
        <v>112.25</v>
      </c>
      <c r="L520" s="471">
        <v>7304.27</v>
      </c>
      <c r="M520" s="473">
        <v>19.05</v>
      </c>
      <c r="N520" s="473">
        <v>34936.199999999997</v>
      </c>
      <c r="O520" s="473">
        <v>29.9</v>
      </c>
      <c r="P520" s="473">
        <v>738.4</v>
      </c>
      <c r="Q520" s="473">
        <v>1036.08</v>
      </c>
      <c r="R520" s="473">
        <v>11437.81</v>
      </c>
      <c r="S520" s="473">
        <v>9.0399999999999991</v>
      </c>
      <c r="T520" s="473">
        <v>38209</v>
      </c>
      <c r="U520" s="473">
        <v>69</v>
      </c>
      <c r="V520" s="473"/>
      <c r="W520" s="473"/>
      <c r="X520" s="473">
        <v>8692.6299999999992</v>
      </c>
      <c r="Y520" s="473">
        <v>0</v>
      </c>
      <c r="Z520" s="473"/>
      <c r="AA520" s="472"/>
      <c r="AB520" s="473">
        <v>278.27</v>
      </c>
      <c r="AC520" s="474">
        <v>0.49</v>
      </c>
      <c r="AD520" s="473"/>
      <c r="AE520" s="472"/>
      <c r="AF520" s="506">
        <v>366.13</v>
      </c>
      <c r="AG520" s="474">
        <v>11.11</v>
      </c>
      <c r="AH520" s="506">
        <v>59.47</v>
      </c>
      <c r="AI520" s="474">
        <v>0</v>
      </c>
      <c r="AJ520" s="506">
        <v>41.72</v>
      </c>
      <c r="AK520" s="474">
        <v>0</v>
      </c>
    </row>
    <row r="521" spans="1:37">
      <c r="A521" s="492">
        <f t="shared" si="31"/>
        <v>45817</v>
      </c>
      <c r="B521" s="102" t="s">
        <v>3267</v>
      </c>
      <c r="C521" s="110" t="str">
        <f t="shared" si="30"/>
        <v>45817 0000H</v>
      </c>
      <c r="D521" s="337">
        <v>2560.7199999999998</v>
      </c>
      <c r="E521" s="338">
        <v>49.74</v>
      </c>
      <c r="F521" s="337">
        <v>1113.8699999999999</v>
      </c>
      <c r="G521" s="338">
        <v>6.2</v>
      </c>
      <c r="H521" s="337">
        <v>76445.789999999994</v>
      </c>
      <c r="I521" s="475">
        <v>940.43</v>
      </c>
      <c r="J521" s="475">
        <v>33775.480000000003</v>
      </c>
      <c r="K521" s="338">
        <v>112.29</v>
      </c>
      <c r="L521" s="337">
        <v>7309.84</v>
      </c>
      <c r="M521" s="475">
        <v>19.05</v>
      </c>
      <c r="N521" s="475">
        <v>34938.199999999997</v>
      </c>
      <c r="O521" s="475">
        <v>29.9</v>
      </c>
      <c r="P521" s="475">
        <v>738.54</v>
      </c>
      <c r="Q521" s="475">
        <v>1037.23</v>
      </c>
      <c r="R521" s="475">
        <v>11441.96</v>
      </c>
      <c r="S521" s="475">
        <v>9.0399999999999991</v>
      </c>
      <c r="T521" s="475">
        <v>38215</v>
      </c>
      <c r="U521" s="475">
        <v>69</v>
      </c>
      <c r="V521" s="475"/>
      <c r="W521" s="475"/>
      <c r="X521" s="475">
        <v>8698.61</v>
      </c>
      <c r="Y521" s="475">
        <v>0</v>
      </c>
      <c r="Z521" s="475"/>
      <c r="AA521" s="338"/>
      <c r="AB521" s="475">
        <v>278.27</v>
      </c>
      <c r="AC521" s="476">
        <v>0.49</v>
      </c>
      <c r="AD521" s="475"/>
      <c r="AE521" s="338"/>
      <c r="AF521" s="505">
        <v>371.01</v>
      </c>
      <c r="AG521" s="476">
        <v>11.2</v>
      </c>
      <c r="AH521" s="505">
        <v>59.47</v>
      </c>
      <c r="AI521" s="476">
        <v>0</v>
      </c>
      <c r="AJ521" s="505">
        <v>43.13</v>
      </c>
      <c r="AK521" s="476">
        <v>0</v>
      </c>
    </row>
    <row r="522" spans="1:37">
      <c r="A522" s="492">
        <f t="shared" si="31"/>
        <v>45817</v>
      </c>
      <c r="B522" s="102" t="s">
        <v>1197</v>
      </c>
      <c r="C522" s="110" t="str">
        <f t="shared" si="30"/>
        <v>45817 1200H</v>
      </c>
      <c r="D522" s="471">
        <v>2565.44</v>
      </c>
      <c r="E522" s="472">
        <v>49.74</v>
      </c>
      <c r="F522" s="471">
        <v>1113.8699999999999</v>
      </c>
      <c r="G522" s="472">
        <v>6.2</v>
      </c>
      <c r="H522" s="471">
        <v>76455.31</v>
      </c>
      <c r="I522" s="473">
        <v>940.43</v>
      </c>
      <c r="J522" s="473">
        <v>33776.519999999997</v>
      </c>
      <c r="K522" s="472">
        <v>112.32</v>
      </c>
      <c r="L522" s="471">
        <v>7313.12</v>
      </c>
      <c r="M522" s="473">
        <v>19.05</v>
      </c>
      <c r="N522" s="473">
        <v>34938.6</v>
      </c>
      <c r="O522" s="473">
        <v>29.9</v>
      </c>
      <c r="P522" s="473">
        <v>738.61</v>
      </c>
      <c r="Q522" s="473">
        <v>1038.1199999999999</v>
      </c>
      <c r="R522" s="473">
        <v>11445.64</v>
      </c>
      <c r="S522" s="473">
        <v>9.0399999999999991</v>
      </c>
      <c r="T522" s="473">
        <v>38220</v>
      </c>
      <c r="U522" s="473">
        <v>69</v>
      </c>
      <c r="V522" s="473"/>
      <c r="W522" s="473"/>
      <c r="X522" s="473">
        <v>8704.11</v>
      </c>
      <c r="Y522" s="473">
        <v>0</v>
      </c>
      <c r="Z522" s="473"/>
      <c r="AA522" s="472"/>
      <c r="AB522" s="473">
        <v>278.27</v>
      </c>
      <c r="AC522" s="474">
        <v>0.49</v>
      </c>
      <c r="AD522" s="473"/>
      <c r="AE522" s="472"/>
      <c r="AF522" s="506">
        <v>373.46</v>
      </c>
      <c r="AG522" s="474">
        <v>11.13</v>
      </c>
      <c r="AH522" s="506">
        <v>59.47</v>
      </c>
      <c r="AI522" s="474">
        <v>0</v>
      </c>
      <c r="AJ522" s="506">
        <v>43.85</v>
      </c>
      <c r="AK522" s="474">
        <v>0</v>
      </c>
    </row>
    <row r="523" spans="1:37">
      <c r="A523" s="492">
        <f t="shared" si="31"/>
        <v>45818</v>
      </c>
      <c r="B523" s="102" t="s">
        <v>3267</v>
      </c>
      <c r="C523" s="110" t="str">
        <f t="shared" si="30"/>
        <v>45818 0000H</v>
      </c>
      <c r="D523" s="337">
        <v>2570.11</v>
      </c>
      <c r="E523" s="338">
        <v>49.74</v>
      </c>
      <c r="F523" s="337">
        <v>1113.8699999999999</v>
      </c>
      <c r="G523" s="338">
        <v>6.2</v>
      </c>
      <c r="H523" s="337">
        <v>76462.759999999995</v>
      </c>
      <c r="I523" s="475">
        <v>940.52</v>
      </c>
      <c r="J523" s="475">
        <v>33779.040000000001</v>
      </c>
      <c r="K523" s="338">
        <v>112.34</v>
      </c>
      <c r="L523" s="337">
        <v>7318.92</v>
      </c>
      <c r="M523" s="475">
        <v>19.05</v>
      </c>
      <c r="N523" s="475">
        <v>34942.300000000003</v>
      </c>
      <c r="O523" s="475">
        <v>29.9</v>
      </c>
      <c r="P523" s="475">
        <v>738.61</v>
      </c>
      <c r="Q523" s="475">
        <v>1039.45</v>
      </c>
      <c r="R523" s="475">
        <v>11450.03</v>
      </c>
      <c r="S523" s="475">
        <v>9.0399999999999991</v>
      </c>
      <c r="T523" s="475">
        <v>38227</v>
      </c>
      <c r="U523" s="475">
        <v>69</v>
      </c>
      <c r="V523" s="475"/>
      <c r="W523" s="475"/>
      <c r="X523" s="475">
        <v>8709.19</v>
      </c>
      <c r="Y523" s="475">
        <v>0</v>
      </c>
      <c r="Z523" s="475"/>
      <c r="AA523" s="338"/>
      <c r="AB523" s="475">
        <v>278.27</v>
      </c>
      <c r="AC523" s="476">
        <v>0.49</v>
      </c>
      <c r="AD523" s="475"/>
      <c r="AE523" s="338"/>
      <c r="AF523" s="505">
        <v>379.63</v>
      </c>
      <c r="AG523" s="476">
        <v>11.3</v>
      </c>
      <c r="AH523" s="505"/>
      <c r="AI523" s="476"/>
      <c r="AJ523" s="505"/>
      <c r="AK523" s="476"/>
    </row>
    <row r="524" spans="1:37">
      <c r="A524" s="492">
        <f t="shared" si="31"/>
        <v>45818</v>
      </c>
      <c r="B524" s="102" t="s">
        <v>1197</v>
      </c>
      <c r="C524" s="110" t="str">
        <f t="shared" si="30"/>
        <v>45818 1200H</v>
      </c>
      <c r="D524" s="471">
        <v>2573.79</v>
      </c>
      <c r="E524" s="472">
        <v>49.74</v>
      </c>
      <c r="F524" s="471">
        <v>1113.8699999999999</v>
      </c>
      <c r="G524" s="472">
        <v>6.2</v>
      </c>
      <c r="H524" s="471">
        <v>76467.86</v>
      </c>
      <c r="I524" s="473">
        <v>940.76</v>
      </c>
      <c r="J524" s="473">
        <v>33779.040000000001</v>
      </c>
      <c r="K524" s="472">
        <v>112.38</v>
      </c>
      <c r="L524" s="471">
        <v>7324.7</v>
      </c>
      <c r="M524" s="473">
        <v>19.05</v>
      </c>
      <c r="N524" s="473">
        <v>34944.300000000003</v>
      </c>
      <c r="O524" s="473">
        <v>29.9</v>
      </c>
      <c r="P524" s="473">
        <v>738.61</v>
      </c>
      <c r="Q524" s="473">
        <v>1040.71</v>
      </c>
      <c r="R524" s="473">
        <v>11453.57</v>
      </c>
      <c r="S524" s="473">
        <v>9.0399999999999991</v>
      </c>
      <c r="T524" s="473">
        <v>38233</v>
      </c>
      <c r="U524" s="473">
        <v>69</v>
      </c>
      <c r="V524" s="473"/>
      <c r="W524" s="473"/>
      <c r="X524" s="473">
        <v>8714.3700000000008</v>
      </c>
      <c r="Y524" s="473">
        <v>0</v>
      </c>
      <c r="Z524" s="473"/>
      <c r="AA524" s="472"/>
      <c r="AB524" s="473">
        <v>278.27</v>
      </c>
      <c r="AC524" s="474">
        <v>0.49</v>
      </c>
      <c r="AD524" s="473"/>
      <c r="AE524" s="472"/>
      <c r="AF524" s="506">
        <v>385.51</v>
      </c>
      <c r="AG524" s="474">
        <v>11.13</v>
      </c>
      <c r="AH524" s="506">
        <v>59.61</v>
      </c>
      <c r="AI524" s="474">
        <v>0</v>
      </c>
      <c r="AJ524" s="506">
        <v>47.18</v>
      </c>
      <c r="AK524" s="474">
        <v>0</v>
      </c>
    </row>
    <row r="525" spans="1:37">
      <c r="A525" s="492">
        <f t="shared" si="31"/>
        <v>45819</v>
      </c>
      <c r="B525" s="102" t="s">
        <v>3267</v>
      </c>
      <c r="C525" s="110" t="str">
        <f t="shared" ref="C525:C554" si="32">A525 &amp; " " &amp;B525</f>
        <v>45819 0000H</v>
      </c>
      <c r="D525" s="337">
        <v>2578.33</v>
      </c>
      <c r="E525" s="338">
        <v>49.74</v>
      </c>
      <c r="F525" s="337">
        <v>1113.8699999999999</v>
      </c>
      <c r="G525" s="338">
        <v>6.2</v>
      </c>
      <c r="H525" s="337">
        <v>76482.73</v>
      </c>
      <c r="I525" s="475">
        <v>940.75</v>
      </c>
      <c r="J525" s="475">
        <v>33779.040000000001</v>
      </c>
      <c r="K525" s="338">
        <v>112.41</v>
      </c>
      <c r="L525" s="337">
        <v>7330.52</v>
      </c>
      <c r="M525" s="475">
        <v>19.05</v>
      </c>
      <c r="N525" s="475">
        <v>34947.800000000003</v>
      </c>
      <c r="O525" s="475">
        <v>29.9</v>
      </c>
      <c r="P525" s="475">
        <v>738.61</v>
      </c>
      <c r="Q525" s="475">
        <v>1042.4000000000001</v>
      </c>
      <c r="R525" s="475">
        <v>11458.19</v>
      </c>
      <c r="S525" s="475">
        <v>9.0399999999999991</v>
      </c>
      <c r="T525" s="475">
        <v>38239</v>
      </c>
      <c r="U525" s="475">
        <v>69</v>
      </c>
      <c r="V525" s="475"/>
      <c r="W525" s="475"/>
      <c r="X525" s="475">
        <v>8720.14</v>
      </c>
      <c r="Y525" s="475">
        <v>0</v>
      </c>
      <c r="Z525" s="475"/>
      <c r="AA525" s="338"/>
      <c r="AB525" s="475">
        <v>278.27</v>
      </c>
      <c r="AC525" s="476">
        <v>0.49</v>
      </c>
      <c r="AD525" s="475"/>
      <c r="AE525" s="338"/>
      <c r="AF525" s="505">
        <v>396.14</v>
      </c>
      <c r="AG525" s="476">
        <v>11.13</v>
      </c>
      <c r="AH525" s="505">
        <v>60.57</v>
      </c>
      <c r="AI525" s="476">
        <v>0</v>
      </c>
      <c r="AJ525" s="505">
        <v>49.26</v>
      </c>
      <c r="AK525" s="476">
        <v>0</v>
      </c>
    </row>
    <row r="526" spans="1:37">
      <c r="A526" s="492">
        <f t="shared" si="31"/>
        <v>45819</v>
      </c>
      <c r="B526" s="102" t="s">
        <v>1197</v>
      </c>
      <c r="C526" s="110" t="str">
        <f t="shared" si="32"/>
        <v>45819 1200H</v>
      </c>
      <c r="D526" s="471">
        <v>2582.04</v>
      </c>
      <c r="E526" s="472">
        <v>49.74</v>
      </c>
      <c r="F526" s="471">
        <v>1113.8699999999999</v>
      </c>
      <c r="G526" s="472">
        <v>6.2</v>
      </c>
      <c r="H526" s="471">
        <v>76489.789999999994</v>
      </c>
      <c r="I526" s="473">
        <v>940.9</v>
      </c>
      <c r="J526" s="473">
        <v>33779.040000000001</v>
      </c>
      <c r="K526" s="472">
        <v>112.51</v>
      </c>
      <c r="L526" s="471">
        <v>7336.3</v>
      </c>
      <c r="M526" s="473">
        <v>19.05</v>
      </c>
      <c r="N526" s="473">
        <v>34952.300000000003</v>
      </c>
      <c r="O526" s="473">
        <v>30</v>
      </c>
      <c r="P526" s="473">
        <v>738.62</v>
      </c>
      <c r="Q526" s="473">
        <v>1043.67</v>
      </c>
      <c r="R526" s="473">
        <v>11461.59</v>
      </c>
      <c r="S526" s="473">
        <v>9.0399999999999991</v>
      </c>
      <c r="T526" s="473">
        <v>38246</v>
      </c>
      <c r="U526" s="473">
        <v>69</v>
      </c>
      <c r="V526" s="473"/>
      <c r="W526" s="473"/>
      <c r="X526" s="473">
        <v>8724.66</v>
      </c>
      <c r="Y526" s="473">
        <v>0</v>
      </c>
      <c r="Z526" s="473"/>
      <c r="AA526" s="472"/>
      <c r="AB526" s="473">
        <v>278.27</v>
      </c>
      <c r="AC526" s="474">
        <v>0.49</v>
      </c>
      <c r="AD526" s="473"/>
      <c r="AE526" s="472"/>
      <c r="AF526" s="506">
        <v>399.9</v>
      </c>
      <c r="AG526" s="474">
        <v>11.16</v>
      </c>
      <c r="AH526" s="506">
        <v>60.96</v>
      </c>
      <c r="AI526" s="474">
        <v>0</v>
      </c>
      <c r="AJ526" s="506">
        <v>49.98</v>
      </c>
      <c r="AK526" s="474">
        <v>0</v>
      </c>
    </row>
    <row r="527" spans="1:37">
      <c r="A527" s="492">
        <f t="shared" ref="A527:A554" si="33">A525+1</f>
        <v>45820</v>
      </c>
      <c r="B527" s="102" t="s">
        <v>3267</v>
      </c>
      <c r="C527" s="110" t="str">
        <f t="shared" si="32"/>
        <v>45820 0000H</v>
      </c>
      <c r="D527" s="337">
        <v>2586.83</v>
      </c>
      <c r="E527" s="338">
        <v>49.74</v>
      </c>
      <c r="F527" s="337">
        <v>1113.8699999999999</v>
      </c>
      <c r="G527" s="338">
        <v>6.2</v>
      </c>
      <c r="H527" s="337">
        <v>76502.14</v>
      </c>
      <c r="I527" s="475">
        <v>941.03</v>
      </c>
      <c r="J527" s="475">
        <v>33779.040000000001</v>
      </c>
      <c r="K527" s="338">
        <v>112.58</v>
      </c>
      <c r="L527" s="337">
        <v>7342.1</v>
      </c>
      <c r="M527" s="475">
        <v>19.05</v>
      </c>
      <c r="N527" s="475">
        <v>34957.800000000003</v>
      </c>
      <c r="O527" s="475">
        <v>30</v>
      </c>
      <c r="P527" s="475">
        <v>738.62</v>
      </c>
      <c r="Q527" s="475">
        <v>1045.3399999999999</v>
      </c>
      <c r="R527" s="475">
        <v>11465.82</v>
      </c>
      <c r="S527" s="475">
        <v>9.0399999999999991</v>
      </c>
      <c r="T527" s="475">
        <v>38252</v>
      </c>
      <c r="U527" s="475">
        <v>69</v>
      </c>
      <c r="V527" s="475"/>
      <c r="W527" s="475"/>
      <c r="X527" s="475">
        <v>8730.1200000000008</v>
      </c>
      <c r="Y527" s="475">
        <v>0</v>
      </c>
      <c r="Z527" s="475"/>
      <c r="AA527" s="338"/>
      <c r="AB527" s="475">
        <v>278.27</v>
      </c>
      <c r="AC527" s="476">
        <v>0.49</v>
      </c>
      <c r="AD527" s="475"/>
      <c r="AE527" s="338"/>
      <c r="AF527" s="505">
        <v>404.82</v>
      </c>
      <c r="AG527" s="476">
        <v>11.16</v>
      </c>
      <c r="AH527" s="505">
        <v>61.44</v>
      </c>
      <c r="AI527" s="476">
        <v>0</v>
      </c>
      <c r="AJ527" s="505">
        <v>50.91</v>
      </c>
      <c r="AK527" s="476">
        <v>0</v>
      </c>
    </row>
    <row r="528" spans="1:37">
      <c r="A528" s="492">
        <f t="shared" si="33"/>
        <v>45820</v>
      </c>
      <c r="B528" s="102" t="s">
        <v>1197</v>
      </c>
      <c r="C528" s="110" t="str">
        <f t="shared" si="32"/>
        <v>45820 1200H</v>
      </c>
      <c r="D528" s="471">
        <v>2590.09</v>
      </c>
      <c r="E528" s="472">
        <v>49.74</v>
      </c>
      <c r="F528" s="471">
        <v>1113.8699999999999</v>
      </c>
      <c r="G528" s="472">
        <v>6.2</v>
      </c>
      <c r="H528" s="471">
        <v>76505.179999999993</v>
      </c>
      <c r="I528" s="473">
        <v>941.45</v>
      </c>
      <c r="J528" s="473">
        <v>33779.040000000001</v>
      </c>
      <c r="K528" s="472">
        <v>112.68</v>
      </c>
      <c r="L528" s="471">
        <v>7347.93</v>
      </c>
      <c r="M528" s="473">
        <v>19.05</v>
      </c>
      <c r="N528" s="473">
        <v>34960</v>
      </c>
      <c r="O528" s="473">
        <v>30</v>
      </c>
      <c r="P528" s="473">
        <v>738.63</v>
      </c>
      <c r="Q528" s="473">
        <v>1046.7</v>
      </c>
      <c r="R528" s="473">
        <v>11469.65</v>
      </c>
      <c r="S528" s="473">
        <v>9.0399999999999991</v>
      </c>
      <c r="T528" s="473">
        <v>38257</v>
      </c>
      <c r="U528" s="473">
        <v>69</v>
      </c>
      <c r="V528" s="473"/>
      <c r="W528" s="473"/>
      <c r="X528" s="473">
        <v>8735.6</v>
      </c>
      <c r="Y528" s="473">
        <v>0</v>
      </c>
      <c r="Z528" s="473"/>
      <c r="AA528" s="472"/>
      <c r="AB528" s="473">
        <v>278.27</v>
      </c>
      <c r="AC528" s="474">
        <v>0.49</v>
      </c>
      <c r="AD528" s="473"/>
      <c r="AE528" s="472"/>
      <c r="AF528" s="506">
        <v>409.75</v>
      </c>
      <c r="AG528" s="474">
        <v>11.16</v>
      </c>
      <c r="AH528" s="506">
        <v>61.44</v>
      </c>
      <c r="AI528" s="474">
        <v>0</v>
      </c>
      <c r="AJ528" s="506">
        <v>52.43</v>
      </c>
      <c r="AK528" s="474">
        <v>0</v>
      </c>
    </row>
    <row r="529" spans="1:37">
      <c r="A529" s="492">
        <f t="shared" si="33"/>
        <v>45821</v>
      </c>
      <c r="B529" s="102" t="s">
        <v>3267</v>
      </c>
      <c r="C529" s="110" t="str">
        <f t="shared" si="32"/>
        <v>45821 0000H</v>
      </c>
      <c r="D529" s="337">
        <v>2594.7800000000002</v>
      </c>
      <c r="E529" s="338">
        <v>49.74</v>
      </c>
      <c r="F529" s="337">
        <v>1113.8699999999999</v>
      </c>
      <c r="G529" s="338">
        <v>6.2</v>
      </c>
      <c r="H529" s="337">
        <v>76507.78</v>
      </c>
      <c r="I529" s="475">
        <v>941.62</v>
      </c>
      <c r="J529" s="475">
        <v>33779.040000000001</v>
      </c>
      <c r="K529" s="338">
        <v>112.78</v>
      </c>
      <c r="L529" s="337">
        <v>7353.7</v>
      </c>
      <c r="M529" s="475">
        <v>19.05</v>
      </c>
      <c r="N529" s="475">
        <v>34963.599999999999</v>
      </c>
      <c r="O529" s="475">
        <v>30</v>
      </c>
      <c r="P529" s="475">
        <v>738.63</v>
      </c>
      <c r="Q529" s="475">
        <v>1048.23</v>
      </c>
      <c r="R529" s="475">
        <v>11473.93</v>
      </c>
      <c r="S529" s="475">
        <v>9.0399999999999991</v>
      </c>
      <c r="T529" s="475">
        <v>38264</v>
      </c>
      <c r="U529" s="475">
        <v>69</v>
      </c>
      <c r="V529" s="475"/>
      <c r="W529" s="475"/>
      <c r="X529" s="475">
        <v>8741.92</v>
      </c>
      <c r="Y529" s="475">
        <v>0</v>
      </c>
      <c r="Z529" s="475"/>
      <c r="AA529" s="338"/>
      <c r="AB529" s="475">
        <v>278.27</v>
      </c>
      <c r="AC529" s="476">
        <v>0.49</v>
      </c>
      <c r="AD529" s="475"/>
      <c r="AE529" s="338"/>
      <c r="AF529" s="505">
        <v>416.2</v>
      </c>
      <c r="AG529" s="476">
        <v>11.16</v>
      </c>
      <c r="AH529" s="505">
        <v>61.44</v>
      </c>
      <c r="AI529" s="476">
        <v>0</v>
      </c>
      <c r="AJ529" s="505">
        <v>54.2</v>
      </c>
      <c r="AK529" s="476">
        <v>0</v>
      </c>
    </row>
    <row r="530" spans="1:37">
      <c r="A530" s="492">
        <f t="shared" si="33"/>
        <v>45821</v>
      </c>
      <c r="B530" s="102" t="s">
        <v>1197</v>
      </c>
      <c r="C530" s="110" t="str">
        <f t="shared" si="32"/>
        <v>45821 1200H</v>
      </c>
      <c r="D530" s="471">
        <v>2598.5700000000002</v>
      </c>
      <c r="E530" s="472">
        <v>49.74</v>
      </c>
      <c r="F530" s="471">
        <v>1113.8699999999999</v>
      </c>
      <c r="G530" s="472">
        <v>6.2</v>
      </c>
      <c r="H530" s="471">
        <v>76510.59</v>
      </c>
      <c r="I530" s="473">
        <v>941.95</v>
      </c>
      <c r="J530" s="473">
        <v>33779.519999999997</v>
      </c>
      <c r="K530" s="472">
        <v>112.87</v>
      </c>
      <c r="L530" s="471">
        <v>7359.51</v>
      </c>
      <c r="M530" s="473">
        <v>19.05</v>
      </c>
      <c r="N530" s="473">
        <v>34965.4</v>
      </c>
      <c r="O530" s="473">
        <v>30.1</v>
      </c>
      <c r="P530" s="473">
        <v>738.64</v>
      </c>
      <c r="Q530" s="473">
        <v>1049.6500000000001</v>
      </c>
      <c r="R530" s="473">
        <v>11477.69</v>
      </c>
      <c r="S530" s="473">
        <v>9.0399999999999991</v>
      </c>
      <c r="T530" s="473">
        <v>38269</v>
      </c>
      <c r="U530" s="473">
        <v>69</v>
      </c>
      <c r="V530" s="473"/>
      <c r="W530" s="473"/>
      <c r="X530" s="473">
        <v>8747.58</v>
      </c>
      <c r="Y530" s="473">
        <v>0</v>
      </c>
      <c r="Z530" s="473"/>
      <c r="AA530" s="472"/>
      <c r="AB530" s="473">
        <v>278.27</v>
      </c>
      <c r="AC530" s="474">
        <v>0.49</v>
      </c>
      <c r="AD530" s="473"/>
      <c r="AE530" s="472"/>
      <c r="AF530" s="506">
        <v>421.88</v>
      </c>
      <c r="AG530" s="474">
        <v>11.16</v>
      </c>
      <c r="AH530" s="506">
        <v>61.44</v>
      </c>
      <c r="AI530" s="474">
        <v>0</v>
      </c>
      <c r="AJ530" s="506">
        <v>55.8</v>
      </c>
      <c r="AK530" s="474">
        <v>0</v>
      </c>
    </row>
    <row r="531" spans="1:37">
      <c r="A531" s="492">
        <f t="shared" si="33"/>
        <v>45822</v>
      </c>
      <c r="B531" s="102" t="s">
        <v>3267</v>
      </c>
      <c r="C531" s="110" t="str">
        <f t="shared" si="32"/>
        <v>45822 0000H</v>
      </c>
      <c r="D531" s="337">
        <v>2603.23</v>
      </c>
      <c r="E531" s="338">
        <v>49.74</v>
      </c>
      <c r="F531" s="337">
        <v>1113.8699999999999</v>
      </c>
      <c r="G531" s="338">
        <v>6.2</v>
      </c>
      <c r="H531" s="337">
        <v>76521.34</v>
      </c>
      <c r="I531" s="475">
        <v>942</v>
      </c>
      <c r="J531" s="475">
        <v>33780.379999999997</v>
      </c>
      <c r="K531" s="338">
        <v>112.95</v>
      </c>
      <c r="L531" s="337">
        <v>7363.98</v>
      </c>
      <c r="M531" s="475">
        <v>19.05</v>
      </c>
      <c r="N531" s="475">
        <v>34968.800000000003</v>
      </c>
      <c r="O531" s="475">
        <v>30.1</v>
      </c>
      <c r="P531" s="475">
        <v>739.12</v>
      </c>
      <c r="Q531" s="475">
        <v>1050.5899999999999</v>
      </c>
      <c r="R531" s="475">
        <v>11482.48</v>
      </c>
      <c r="S531" s="475">
        <v>9.0399999999999991</v>
      </c>
      <c r="T531" s="475">
        <v>38277</v>
      </c>
      <c r="U531" s="475">
        <v>69</v>
      </c>
      <c r="V531" s="475"/>
      <c r="W531" s="475"/>
      <c r="X531" s="475">
        <v>8754.2800000000007</v>
      </c>
      <c r="Y531" s="475">
        <v>0</v>
      </c>
      <c r="Z531" s="475"/>
      <c r="AA531" s="338"/>
      <c r="AB531" s="475">
        <v>278.27</v>
      </c>
      <c r="AC531" s="476">
        <v>0.49</v>
      </c>
      <c r="AD531" s="475"/>
      <c r="AE531" s="338"/>
      <c r="AF531" s="505">
        <v>426.4</v>
      </c>
      <c r="AG531" s="476">
        <v>11.19</v>
      </c>
      <c r="AH531" s="505">
        <v>61.44</v>
      </c>
      <c r="AI531" s="476">
        <v>0</v>
      </c>
      <c r="AJ531" s="505">
        <v>57.14</v>
      </c>
      <c r="AK531" s="476">
        <v>0</v>
      </c>
    </row>
    <row r="532" spans="1:37">
      <c r="A532" s="492">
        <f t="shared" si="33"/>
        <v>45822</v>
      </c>
      <c r="B532" s="102" t="s">
        <v>1197</v>
      </c>
      <c r="C532" s="110" t="str">
        <f t="shared" si="32"/>
        <v>45822 1200H</v>
      </c>
      <c r="D532" s="471">
        <v>2607.0100000000002</v>
      </c>
      <c r="E532" s="472">
        <v>49.74</v>
      </c>
      <c r="F532" s="471">
        <v>1113.8699999999999</v>
      </c>
      <c r="G532" s="472">
        <v>6.2</v>
      </c>
      <c r="H532" s="471">
        <v>76525.45</v>
      </c>
      <c r="I532" s="473">
        <v>942.28</v>
      </c>
      <c r="J532" s="473">
        <v>33780.379999999997</v>
      </c>
      <c r="K532" s="472">
        <v>113</v>
      </c>
      <c r="L532" s="471">
        <v>7369.78</v>
      </c>
      <c r="M532" s="473">
        <v>19.05</v>
      </c>
      <c r="N532" s="473">
        <v>34972.400000000001</v>
      </c>
      <c r="O532" s="473">
        <v>30.1</v>
      </c>
      <c r="P532" s="473">
        <v>739.12</v>
      </c>
      <c r="Q532" s="473">
        <v>1051.97</v>
      </c>
      <c r="R532" s="473">
        <v>11486.4</v>
      </c>
      <c r="S532" s="473">
        <v>9.0399999999999991</v>
      </c>
      <c r="T532" s="473">
        <v>38283</v>
      </c>
      <c r="U532" s="473">
        <v>69</v>
      </c>
      <c r="V532" s="473"/>
      <c r="W532" s="473"/>
      <c r="X532" s="473">
        <v>8758.93</v>
      </c>
      <c r="Y532" s="473">
        <v>0</v>
      </c>
      <c r="Z532" s="473"/>
      <c r="AA532" s="472"/>
      <c r="AB532" s="473">
        <v>278.27</v>
      </c>
      <c r="AC532" s="474">
        <v>0.49</v>
      </c>
      <c r="AD532" s="473"/>
      <c r="AE532" s="472"/>
      <c r="AF532" s="506">
        <v>431.95</v>
      </c>
      <c r="AG532" s="474">
        <v>11.19</v>
      </c>
      <c r="AH532" s="506">
        <v>61.44</v>
      </c>
      <c r="AI532" s="474">
        <v>0</v>
      </c>
      <c r="AJ532" s="506">
        <v>58.74</v>
      </c>
      <c r="AK532" s="474">
        <v>0</v>
      </c>
    </row>
    <row r="533" spans="1:37">
      <c r="A533" s="492">
        <f t="shared" si="33"/>
        <v>45823</v>
      </c>
      <c r="B533" s="102" t="s">
        <v>3267</v>
      </c>
      <c r="C533" s="110" t="str">
        <f t="shared" si="32"/>
        <v>45823 0000H</v>
      </c>
      <c r="D533" s="337">
        <v>2611.75</v>
      </c>
      <c r="E533" s="338">
        <v>49.74</v>
      </c>
      <c r="F533" s="337">
        <v>1113.8699999999999</v>
      </c>
      <c r="G533" s="338">
        <v>6.2</v>
      </c>
      <c r="H533" s="337">
        <v>76539.320000000007</v>
      </c>
      <c r="I533" s="475">
        <v>942.31</v>
      </c>
      <c r="J533" s="475">
        <v>33782.230000000003</v>
      </c>
      <c r="K533" s="338">
        <v>113.03</v>
      </c>
      <c r="L533" s="337">
        <v>7375.59</v>
      </c>
      <c r="M533" s="475">
        <v>19.05</v>
      </c>
      <c r="N533" s="475">
        <v>34976</v>
      </c>
      <c r="O533" s="475">
        <v>30.1</v>
      </c>
      <c r="P533" s="475">
        <v>739.12</v>
      </c>
      <c r="Q533" s="475">
        <v>1053.68</v>
      </c>
      <c r="R533" s="475">
        <v>11491.35</v>
      </c>
      <c r="S533" s="475">
        <v>9.0399999999999991</v>
      </c>
      <c r="T533" s="475">
        <v>38291</v>
      </c>
      <c r="U533" s="475">
        <v>69</v>
      </c>
      <c r="V533" s="475"/>
      <c r="W533" s="475"/>
      <c r="X533" s="475">
        <v>8766.5300000000007</v>
      </c>
      <c r="Y533" s="475">
        <v>0</v>
      </c>
      <c r="Z533" s="475"/>
      <c r="AA533" s="338"/>
      <c r="AB533" s="475">
        <v>278.27</v>
      </c>
      <c r="AC533" s="476">
        <v>0.49</v>
      </c>
      <c r="AD533" s="475"/>
      <c r="AE533" s="338"/>
      <c r="AF533" s="505">
        <v>438.06</v>
      </c>
      <c r="AG533" s="476">
        <v>11.19</v>
      </c>
      <c r="AH533" s="505">
        <v>61.44</v>
      </c>
      <c r="AI533" s="476">
        <v>0</v>
      </c>
      <c r="AJ533" s="505">
        <v>60.49</v>
      </c>
      <c r="AK533" s="476">
        <v>0</v>
      </c>
    </row>
    <row r="534" spans="1:37">
      <c r="A534" s="492">
        <f t="shared" si="33"/>
        <v>45823</v>
      </c>
      <c r="B534" s="102" t="s">
        <v>1197</v>
      </c>
      <c r="C534" s="110" t="str">
        <f t="shared" si="32"/>
        <v>45823 1200H</v>
      </c>
      <c r="D534" s="471">
        <v>2615.38</v>
      </c>
      <c r="E534" s="472">
        <v>49.74</v>
      </c>
      <c r="F534" s="471">
        <v>1113.8699999999999</v>
      </c>
      <c r="G534" s="472">
        <v>6.2</v>
      </c>
      <c r="H534" s="471">
        <v>76542.039999999994</v>
      </c>
      <c r="I534" s="473">
        <v>647.66</v>
      </c>
      <c r="J534" s="473">
        <v>33782.230000000003</v>
      </c>
      <c r="K534" s="472">
        <v>113.06</v>
      </c>
      <c r="L534" s="471">
        <v>7381.45</v>
      </c>
      <c r="M534" s="473">
        <v>19.05</v>
      </c>
      <c r="N534" s="473">
        <v>34979.5</v>
      </c>
      <c r="O534" s="473">
        <v>30.1</v>
      </c>
      <c r="P534" s="473">
        <v>739.13</v>
      </c>
      <c r="Q534" s="473">
        <v>1055.1400000000001</v>
      </c>
      <c r="R534" s="473">
        <v>11495.45</v>
      </c>
      <c r="S534" s="473">
        <v>9.0399999999999991</v>
      </c>
      <c r="T534" s="473">
        <v>38298</v>
      </c>
      <c r="U534" s="473">
        <v>69</v>
      </c>
      <c r="V534" s="473"/>
      <c r="W534" s="473"/>
      <c r="X534" s="473">
        <v>8772.93</v>
      </c>
      <c r="Y534" s="473">
        <v>0</v>
      </c>
      <c r="Z534" s="473"/>
      <c r="AA534" s="472"/>
      <c r="AB534" s="473">
        <v>278.27</v>
      </c>
      <c r="AC534" s="474">
        <v>0.49</v>
      </c>
      <c r="AD534" s="473"/>
      <c r="AE534" s="472"/>
      <c r="AF534" s="506">
        <v>443.99</v>
      </c>
      <c r="AG534" s="519">
        <v>11.29</v>
      </c>
      <c r="AH534" s="506">
        <v>61.44</v>
      </c>
      <c r="AI534" s="474">
        <v>0</v>
      </c>
      <c r="AJ534" s="506">
        <v>62.4</v>
      </c>
      <c r="AK534" s="474">
        <v>0</v>
      </c>
    </row>
    <row r="535" spans="1:37">
      <c r="A535" s="492">
        <f t="shared" si="33"/>
        <v>45824</v>
      </c>
      <c r="B535" s="102" t="s">
        <v>3267</v>
      </c>
      <c r="C535" s="110" t="str">
        <f t="shared" si="32"/>
        <v>45824 0000H</v>
      </c>
      <c r="D535" s="337">
        <v>2620.44</v>
      </c>
      <c r="E535" s="338">
        <v>49.74</v>
      </c>
      <c r="F535" s="337">
        <v>1113.8699999999999</v>
      </c>
      <c r="G535" s="338">
        <v>6.2</v>
      </c>
      <c r="H535" s="337">
        <v>76554.27</v>
      </c>
      <c r="I535" s="475">
        <v>942.69</v>
      </c>
      <c r="J535" s="475">
        <v>33783.46</v>
      </c>
      <c r="K535" s="338">
        <v>113.08</v>
      </c>
      <c r="L535" s="337">
        <v>7387.29</v>
      </c>
      <c r="M535" s="475">
        <v>19.05</v>
      </c>
      <c r="N535" s="475">
        <v>34983</v>
      </c>
      <c r="O535" s="475">
        <v>30.1</v>
      </c>
      <c r="P535" s="475">
        <v>739.15</v>
      </c>
      <c r="Q535" s="475">
        <v>1056.74</v>
      </c>
      <c r="R535" s="475">
        <v>11500.35</v>
      </c>
      <c r="S535" s="475">
        <v>9.0399999999999991</v>
      </c>
      <c r="T535" s="475">
        <v>38306</v>
      </c>
      <c r="U535" s="475">
        <v>69</v>
      </c>
      <c r="V535" s="475"/>
      <c r="W535" s="475"/>
      <c r="X535" s="475">
        <v>8780.33</v>
      </c>
      <c r="Y535" s="475">
        <v>0</v>
      </c>
      <c r="Z535" s="475"/>
      <c r="AA535" s="338"/>
      <c r="AB535" s="475">
        <v>278.27</v>
      </c>
      <c r="AC535" s="476">
        <v>0.49</v>
      </c>
      <c r="AD535" s="475"/>
      <c r="AE535" s="338"/>
      <c r="AF535" s="505">
        <v>447.39</v>
      </c>
      <c r="AG535" s="476">
        <v>11.19</v>
      </c>
      <c r="AH535" s="505">
        <v>61.44</v>
      </c>
      <c r="AI535" s="476">
        <v>0</v>
      </c>
      <c r="AJ535" s="505">
        <v>64.11</v>
      </c>
      <c r="AK535" s="476">
        <v>0</v>
      </c>
    </row>
    <row r="536" spans="1:37">
      <c r="A536" s="492">
        <f t="shared" si="33"/>
        <v>45824</v>
      </c>
      <c r="B536" s="102" t="s">
        <v>1197</v>
      </c>
      <c r="C536" s="110" t="str">
        <f t="shared" si="32"/>
        <v>45824 1200H</v>
      </c>
      <c r="D536" s="471">
        <v>2624.28</v>
      </c>
      <c r="E536" s="472">
        <v>49.74</v>
      </c>
      <c r="F536" s="471">
        <v>1113.8699999999999</v>
      </c>
      <c r="G536" s="472">
        <v>6.2</v>
      </c>
      <c r="H536" s="471">
        <v>76558.95</v>
      </c>
      <c r="I536" s="473">
        <v>943.08</v>
      </c>
      <c r="J536" s="473">
        <v>33783.46</v>
      </c>
      <c r="K536" s="472">
        <v>113.11</v>
      </c>
      <c r="L536" s="471">
        <v>7393.06</v>
      </c>
      <c r="M536" s="473">
        <v>19.05</v>
      </c>
      <c r="N536" s="473">
        <v>34986.5</v>
      </c>
      <c r="O536" s="473">
        <v>30.1</v>
      </c>
      <c r="P536" s="473">
        <v>739.17</v>
      </c>
      <c r="Q536" s="473">
        <v>1058.08</v>
      </c>
      <c r="R536" s="473">
        <v>11504.51</v>
      </c>
      <c r="S536" s="473">
        <v>9.0399999999999991</v>
      </c>
      <c r="T536" s="473">
        <v>38313</v>
      </c>
      <c r="U536" s="473">
        <v>69</v>
      </c>
      <c r="V536" s="473"/>
      <c r="W536" s="473"/>
      <c r="X536" s="473">
        <v>8783.57</v>
      </c>
      <c r="Y536" s="473">
        <v>0</v>
      </c>
      <c r="Z536" s="473"/>
      <c r="AA536" s="472"/>
      <c r="AB536" s="473">
        <v>278.27</v>
      </c>
      <c r="AC536" s="474">
        <v>0.49</v>
      </c>
      <c r="AD536" s="473"/>
      <c r="AE536" s="472"/>
      <c r="AF536" s="506">
        <v>458.04</v>
      </c>
      <c r="AG536" s="474">
        <v>11.19</v>
      </c>
      <c r="AH536" s="506">
        <v>61.78</v>
      </c>
      <c r="AI536" s="474">
        <v>0</v>
      </c>
      <c r="AJ536" s="506">
        <v>65.92</v>
      </c>
      <c r="AK536" s="474">
        <v>0</v>
      </c>
    </row>
    <row r="537" spans="1:37">
      <c r="A537" s="492">
        <f t="shared" si="33"/>
        <v>45825</v>
      </c>
      <c r="B537" s="102" t="s">
        <v>3267</v>
      </c>
      <c r="C537" s="110" t="str">
        <f t="shared" si="32"/>
        <v>45825 0000H</v>
      </c>
      <c r="D537" s="337">
        <v>2629.14</v>
      </c>
      <c r="E537" s="338">
        <v>49.74</v>
      </c>
      <c r="F537" s="337">
        <v>1113.8699999999999</v>
      </c>
      <c r="G537" s="338">
        <v>6.2</v>
      </c>
      <c r="H537" s="337">
        <v>76573.67</v>
      </c>
      <c r="I537" s="475">
        <v>943.1</v>
      </c>
      <c r="J537" s="475">
        <v>33785.620000000003</v>
      </c>
      <c r="K537" s="338">
        <v>113.15</v>
      </c>
      <c r="L537" s="337">
        <v>7398.88</v>
      </c>
      <c r="M537" s="475">
        <v>19.05</v>
      </c>
      <c r="N537" s="475">
        <v>34989.9</v>
      </c>
      <c r="O537" s="475">
        <v>30.1</v>
      </c>
      <c r="P537" s="475">
        <v>739.17</v>
      </c>
      <c r="Q537" s="475">
        <v>1059.81</v>
      </c>
      <c r="R537" s="475">
        <v>11509.22</v>
      </c>
      <c r="S537" s="475">
        <v>9.0399999999999991</v>
      </c>
      <c r="T537" s="475">
        <v>38322</v>
      </c>
      <c r="U537" s="475">
        <v>69</v>
      </c>
      <c r="V537" s="475"/>
      <c r="W537" s="475"/>
      <c r="X537" s="475">
        <v>8794</v>
      </c>
      <c r="Y537" s="475">
        <v>0</v>
      </c>
      <c r="Z537" s="475"/>
      <c r="AA537" s="338"/>
      <c r="AB537" s="475">
        <v>278.27</v>
      </c>
      <c r="AC537" s="476">
        <v>0.49</v>
      </c>
      <c r="AD537" s="475"/>
      <c r="AE537" s="338"/>
      <c r="AF537" s="505">
        <v>464.98</v>
      </c>
      <c r="AG537" s="476">
        <v>11.19</v>
      </c>
      <c r="AH537" s="505">
        <v>62.09</v>
      </c>
      <c r="AI537" s="476">
        <v>0</v>
      </c>
      <c r="AJ537" s="505">
        <v>67.599999999999994</v>
      </c>
      <c r="AK537" s="476">
        <v>0</v>
      </c>
    </row>
    <row r="538" spans="1:37">
      <c r="A538" s="492">
        <f t="shared" si="33"/>
        <v>45825</v>
      </c>
      <c r="B538" s="102" t="s">
        <v>1197</v>
      </c>
      <c r="C538" s="110" t="str">
        <f t="shared" si="32"/>
        <v>45825 1200H</v>
      </c>
      <c r="D538" s="471">
        <v>2632.89</v>
      </c>
      <c r="E538" s="472">
        <v>49.74</v>
      </c>
      <c r="F538" s="471">
        <v>1113.8699999999999</v>
      </c>
      <c r="G538" s="472">
        <v>6.2</v>
      </c>
      <c r="H538" s="471">
        <v>76579.649999999994</v>
      </c>
      <c r="I538" s="473">
        <v>943.35</v>
      </c>
      <c r="J538" s="473">
        <v>33786.400000000001</v>
      </c>
      <c r="K538" s="472">
        <v>113.18</v>
      </c>
      <c r="L538" s="471">
        <v>7404.66</v>
      </c>
      <c r="M538" s="473">
        <v>19.05</v>
      </c>
      <c r="N538" s="473">
        <v>34993.300000000003</v>
      </c>
      <c r="O538" s="473">
        <v>30.1</v>
      </c>
      <c r="P538" s="473">
        <v>739.19</v>
      </c>
      <c r="Q538" s="473">
        <v>1061.1199999999999</v>
      </c>
      <c r="R538" s="473">
        <v>11513.3</v>
      </c>
      <c r="S538" s="473">
        <v>9.0399999999999991</v>
      </c>
      <c r="T538" s="473">
        <v>38329</v>
      </c>
      <c r="U538" s="473">
        <v>69</v>
      </c>
      <c r="V538" s="473"/>
      <c r="W538" s="473"/>
      <c r="X538" s="473">
        <v>8800.0400000000009</v>
      </c>
      <c r="Y538" s="473">
        <v>0</v>
      </c>
      <c r="Z538" s="473"/>
      <c r="AA538" s="472"/>
      <c r="AB538" s="473">
        <v>278.27</v>
      </c>
      <c r="AC538" s="474">
        <v>0.49</v>
      </c>
      <c r="AD538" s="473"/>
      <c r="AE538" s="472"/>
      <c r="AF538" s="506">
        <v>471.25</v>
      </c>
      <c r="AG538" s="474">
        <v>11.19</v>
      </c>
      <c r="AH538" s="506">
        <v>62.2</v>
      </c>
      <c r="AI538" s="474">
        <v>0</v>
      </c>
      <c r="AJ538" s="506">
        <v>69.3</v>
      </c>
      <c r="AK538" s="474">
        <v>0</v>
      </c>
    </row>
    <row r="539" spans="1:37">
      <c r="A539" s="492">
        <f t="shared" si="33"/>
        <v>45826</v>
      </c>
      <c r="B539" s="102" t="s">
        <v>3267</v>
      </c>
      <c r="C539" s="110" t="str">
        <f t="shared" si="32"/>
        <v>45826 0000H</v>
      </c>
      <c r="D539" s="337">
        <v>2637.75</v>
      </c>
      <c r="E539" s="338">
        <v>49.74</v>
      </c>
      <c r="F539" s="337">
        <v>1113.8699999999999</v>
      </c>
      <c r="G539" s="338">
        <v>6.2</v>
      </c>
      <c r="H539" s="337">
        <v>76594.679999999993</v>
      </c>
      <c r="I539" s="475">
        <v>943.36</v>
      </c>
      <c r="J539" s="475">
        <v>33789.33</v>
      </c>
      <c r="K539" s="338">
        <v>113.2</v>
      </c>
      <c r="L539" s="337">
        <v>7410.42</v>
      </c>
      <c r="M539" s="475">
        <v>19.05</v>
      </c>
      <c r="N539" s="475">
        <v>34996.9</v>
      </c>
      <c r="O539" s="475">
        <v>30.1</v>
      </c>
      <c r="P539" s="475">
        <v>739.19</v>
      </c>
      <c r="Q539" s="475">
        <v>1062.56</v>
      </c>
      <c r="R539" s="475">
        <v>11518.24</v>
      </c>
      <c r="S539" s="475">
        <v>9.0399999999999991</v>
      </c>
      <c r="T539" s="475">
        <v>38338</v>
      </c>
      <c r="U539" s="475">
        <v>69</v>
      </c>
      <c r="V539" s="475"/>
      <c r="W539" s="475"/>
      <c r="X539" s="475">
        <v>8807.61</v>
      </c>
      <c r="Y539" s="475">
        <v>0</v>
      </c>
      <c r="Z539" s="475"/>
      <c r="AA539" s="338"/>
      <c r="AB539" s="475">
        <v>278.27</v>
      </c>
      <c r="AC539" s="476">
        <v>0.49</v>
      </c>
      <c r="AD539" s="475"/>
      <c r="AE539" s="338"/>
      <c r="AF539" s="505">
        <v>481.52</v>
      </c>
      <c r="AG539" s="476">
        <v>11.19</v>
      </c>
      <c r="AH539" s="505">
        <v>63.28</v>
      </c>
      <c r="AI539" s="476">
        <v>0</v>
      </c>
      <c r="AJ539" s="505">
        <v>71.180000000000007</v>
      </c>
      <c r="AK539" s="476">
        <v>0</v>
      </c>
    </row>
    <row r="540" spans="1:37">
      <c r="A540" s="492">
        <f t="shared" si="33"/>
        <v>45826</v>
      </c>
      <c r="B540" s="102" t="s">
        <v>1197</v>
      </c>
      <c r="C540" s="110" t="str">
        <f t="shared" si="32"/>
        <v>45826 1200H</v>
      </c>
      <c r="D540" s="471">
        <v>2641.5</v>
      </c>
      <c r="E540" s="472">
        <v>49.74</v>
      </c>
      <c r="F540" s="471">
        <v>1113.8699999999999</v>
      </c>
      <c r="G540" s="472">
        <v>6.2</v>
      </c>
      <c r="H540" s="471">
        <v>76599.55</v>
      </c>
      <c r="I540" s="473">
        <v>943.74</v>
      </c>
      <c r="J540" s="473">
        <v>33790.14</v>
      </c>
      <c r="K540" s="472">
        <v>113.25</v>
      </c>
      <c r="L540" s="471">
        <v>7416.25</v>
      </c>
      <c r="M540" s="473">
        <v>19.05</v>
      </c>
      <c r="N540" s="473">
        <v>35000.400000000001</v>
      </c>
      <c r="O540" s="473">
        <v>30.1</v>
      </c>
      <c r="P540" s="473">
        <v>739.23</v>
      </c>
      <c r="Q540" s="473">
        <v>1063.5999999999999</v>
      </c>
      <c r="R540" s="473">
        <v>11522.36</v>
      </c>
      <c r="S540" s="473">
        <v>9.0399999999999991</v>
      </c>
      <c r="T540" s="473">
        <v>38345</v>
      </c>
      <c r="U540" s="473">
        <v>69</v>
      </c>
      <c r="V540" s="473"/>
      <c r="W540" s="473"/>
      <c r="X540" s="473">
        <v>8814.18</v>
      </c>
      <c r="Y540" s="473">
        <v>0</v>
      </c>
      <c r="Z540" s="473"/>
      <c r="AA540" s="472"/>
      <c r="AB540" s="473">
        <v>278.27</v>
      </c>
      <c r="AC540" s="474">
        <v>0.49</v>
      </c>
      <c r="AD540" s="473"/>
      <c r="AE540" s="472"/>
      <c r="AF540" s="506">
        <v>488.82</v>
      </c>
      <c r="AG540" s="474">
        <v>11.19</v>
      </c>
      <c r="AH540" s="506">
        <v>63.5</v>
      </c>
      <c r="AI540" s="474">
        <v>0</v>
      </c>
      <c r="AJ540" s="506">
        <v>73.05</v>
      </c>
      <c r="AK540" s="474">
        <v>0</v>
      </c>
    </row>
    <row r="541" spans="1:37">
      <c r="A541" s="492">
        <f t="shared" si="33"/>
        <v>45827</v>
      </c>
      <c r="B541" s="102" t="s">
        <v>3267</v>
      </c>
      <c r="C541" s="110" t="str">
        <f t="shared" si="32"/>
        <v>45827 0000H</v>
      </c>
      <c r="D541" s="337">
        <v>2646.36</v>
      </c>
      <c r="E541" s="338">
        <v>49.74</v>
      </c>
      <c r="F541" s="337">
        <v>1113.8699999999999</v>
      </c>
      <c r="G541" s="338">
        <v>6.2</v>
      </c>
      <c r="H541" s="337">
        <v>76614.09</v>
      </c>
      <c r="I541" s="475">
        <v>943.75</v>
      </c>
      <c r="J541" s="475">
        <v>33793.160000000003</v>
      </c>
      <c r="K541" s="338">
        <v>113.27</v>
      </c>
      <c r="L541" s="337">
        <v>7422</v>
      </c>
      <c r="M541" s="475">
        <v>19.05</v>
      </c>
      <c r="N541" s="475">
        <v>35004.400000000001</v>
      </c>
      <c r="O541" s="475">
        <v>30.1</v>
      </c>
      <c r="P541" s="475">
        <v>739.25</v>
      </c>
      <c r="Q541" s="475">
        <v>1064.96</v>
      </c>
      <c r="R541" s="475">
        <v>11527.22</v>
      </c>
      <c r="S541" s="475">
        <v>9.0399999999999991</v>
      </c>
      <c r="T541" s="475">
        <v>38353</v>
      </c>
      <c r="U541" s="475">
        <v>69</v>
      </c>
      <c r="V541" s="475"/>
      <c r="W541" s="475"/>
      <c r="X541" s="475">
        <v>8821.7099999999991</v>
      </c>
      <c r="Y541" s="475">
        <v>0</v>
      </c>
      <c r="Z541" s="475"/>
      <c r="AA541" s="338"/>
      <c r="AB541" s="475">
        <v>278.27</v>
      </c>
      <c r="AC541" s="476">
        <v>0.49</v>
      </c>
      <c r="AD541" s="475"/>
      <c r="AE541" s="338"/>
      <c r="AF541" s="505">
        <v>497.66</v>
      </c>
      <c r="AG541" s="476">
        <v>11.19</v>
      </c>
      <c r="AH541" s="505">
        <v>64.489999999999995</v>
      </c>
      <c r="AI541" s="476">
        <v>0</v>
      </c>
      <c r="AJ541" s="505">
        <v>74.61</v>
      </c>
      <c r="AK541" s="476">
        <v>0</v>
      </c>
    </row>
    <row r="542" spans="1:37">
      <c r="A542" s="492">
        <f t="shared" si="33"/>
        <v>45827</v>
      </c>
      <c r="B542" s="102" t="s">
        <v>1197</v>
      </c>
      <c r="C542" s="110" t="str">
        <f t="shared" si="32"/>
        <v>45827 1200H</v>
      </c>
      <c r="D542" s="471">
        <v>2650.3</v>
      </c>
      <c r="E542" s="472">
        <v>49.74</v>
      </c>
      <c r="F542" s="471">
        <v>1113.8699999999999</v>
      </c>
      <c r="G542" s="472">
        <v>6.2</v>
      </c>
      <c r="H542" s="471">
        <v>76620.5</v>
      </c>
      <c r="I542" s="473">
        <v>943.98</v>
      </c>
      <c r="J542" s="473">
        <v>33794.050000000003</v>
      </c>
      <c r="K542" s="472">
        <v>113.32</v>
      </c>
      <c r="L542" s="471">
        <v>7427.76</v>
      </c>
      <c r="M542" s="473">
        <v>19.05</v>
      </c>
      <c r="N542" s="473">
        <v>35007.699999999997</v>
      </c>
      <c r="O542" s="473">
        <v>30.1</v>
      </c>
      <c r="P542" s="473">
        <v>739.25</v>
      </c>
      <c r="Q542" s="473">
        <v>1066.2</v>
      </c>
      <c r="R542" s="473">
        <v>11531.26</v>
      </c>
      <c r="S542" s="473">
        <v>9.0399999999999991</v>
      </c>
      <c r="T542" s="473">
        <v>38360</v>
      </c>
      <c r="U542" s="473">
        <v>69</v>
      </c>
      <c r="V542" s="473"/>
      <c r="W542" s="473"/>
      <c r="X542" s="473">
        <v>8827.44</v>
      </c>
      <c r="Y542" s="473">
        <v>0</v>
      </c>
      <c r="Z542" s="473"/>
      <c r="AA542" s="472"/>
      <c r="AB542" s="473">
        <v>278.27</v>
      </c>
      <c r="AC542" s="474">
        <v>0.49</v>
      </c>
      <c r="AD542" s="473"/>
      <c r="AE542" s="472"/>
      <c r="AF542" s="506">
        <v>504.96</v>
      </c>
      <c r="AG542" s="474">
        <v>11.19</v>
      </c>
      <c r="AH542" s="506">
        <v>64.69</v>
      </c>
      <c r="AI542" s="474">
        <v>0</v>
      </c>
      <c r="AJ542" s="506">
        <v>76.5</v>
      </c>
      <c r="AK542" s="474">
        <v>0</v>
      </c>
    </row>
    <row r="543" spans="1:37">
      <c r="A543" s="492">
        <f t="shared" si="33"/>
        <v>45828</v>
      </c>
      <c r="B543" s="102" t="s">
        <v>3267</v>
      </c>
      <c r="C543" s="110" t="str">
        <f t="shared" si="32"/>
        <v>45828 0000H</v>
      </c>
      <c r="D543" s="337">
        <v>2655.08</v>
      </c>
      <c r="E543" s="338">
        <v>49.74</v>
      </c>
      <c r="F543" s="337">
        <v>1113.8699999999999</v>
      </c>
      <c r="G543" s="338">
        <v>6.2</v>
      </c>
      <c r="H543" s="337">
        <v>76634.710000000006</v>
      </c>
      <c r="I543" s="475">
        <v>944.03</v>
      </c>
      <c r="J543" s="475">
        <v>33796.639999999999</v>
      </c>
      <c r="K543" s="338">
        <v>113.35</v>
      </c>
      <c r="L543" s="337">
        <v>7433.5</v>
      </c>
      <c r="M543" s="475">
        <v>19.05</v>
      </c>
      <c r="N543" s="475">
        <v>35011.199999999997</v>
      </c>
      <c r="O543" s="475">
        <v>30.1</v>
      </c>
      <c r="P543" s="475">
        <v>739.26</v>
      </c>
      <c r="Q543" s="475">
        <v>1067.5</v>
      </c>
      <c r="R543" s="475">
        <v>11535.95</v>
      </c>
      <c r="S543" s="475">
        <v>9.0399999999999991</v>
      </c>
      <c r="T543" s="475">
        <v>38368</v>
      </c>
      <c r="U543" s="475">
        <v>69</v>
      </c>
      <c r="V543" s="475"/>
      <c r="W543" s="475"/>
      <c r="X543" s="475">
        <v>8834.25</v>
      </c>
      <c r="Y543" s="475">
        <v>0</v>
      </c>
      <c r="Z543" s="475"/>
      <c r="AA543" s="338"/>
      <c r="AB543" s="475">
        <v>278.27</v>
      </c>
      <c r="AC543" s="476">
        <v>0.49</v>
      </c>
      <c r="AD543" s="475"/>
      <c r="AE543" s="338"/>
      <c r="AF543" s="505">
        <v>514.38</v>
      </c>
      <c r="AG543" s="476">
        <v>11.19</v>
      </c>
      <c r="AH543" s="505">
        <v>65.38</v>
      </c>
      <c r="AI543" s="476">
        <v>0</v>
      </c>
      <c r="AJ543" s="505">
        <v>78.48</v>
      </c>
      <c r="AK543" s="476">
        <v>0</v>
      </c>
    </row>
    <row r="544" spans="1:37">
      <c r="A544" s="492">
        <f t="shared" si="33"/>
        <v>45828</v>
      </c>
      <c r="B544" s="102" t="s">
        <v>1197</v>
      </c>
      <c r="C544" s="110" t="str">
        <f t="shared" si="32"/>
        <v>45828 1200H</v>
      </c>
      <c r="D544" s="471">
        <v>2658.74</v>
      </c>
      <c r="E544" s="472">
        <v>49.74</v>
      </c>
      <c r="F544" s="471">
        <v>1113.8699999999999</v>
      </c>
      <c r="G544" s="472">
        <v>6.2</v>
      </c>
      <c r="H544" s="471">
        <v>76639.850000000006</v>
      </c>
      <c r="I544" s="473">
        <v>944.41</v>
      </c>
      <c r="J544" s="473">
        <v>33797.56</v>
      </c>
      <c r="K544" s="472">
        <v>113.38</v>
      </c>
      <c r="L544" s="471">
        <v>7439.3</v>
      </c>
      <c r="M544" s="473">
        <v>19.05</v>
      </c>
      <c r="N544" s="473">
        <v>35014.5</v>
      </c>
      <c r="O544" s="473">
        <v>30.1</v>
      </c>
      <c r="P544" s="473">
        <v>739.29</v>
      </c>
      <c r="Q544" s="473">
        <v>1068.55</v>
      </c>
      <c r="R544" s="473">
        <v>11539.98</v>
      </c>
      <c r="S544" s="473">
        <v>9.0399999999999991</v>
      </c>
      <c r="T544" s="473">
        <v>38375</v>
      </c>
      <c r="U544" s="473">
        <v>69</v>
      </c>
      <c r="V544" s="473"/>
      <c r="W544" s="473"/>
      <c r="X544" s="473">
        <v>8840.23</v>
      </c>
      <c r="Y544" s="473">
        <v>0</v>
      </c>
      <c r="Z544" s="473"/>
      <c r="AA544" s="472"/>
      <c r="AB544" s="473">
        <v>278.27</v>
      </c>
      <c r="AC544" s="474">
        <v>0.49</v>
      </c>
      <c r="AD544" s="473"/>
      <c r="AE544" s="472"/>
      <c r="AF544" s="506">
        <v>520.85</v>
      </c>
      <c r="AG544" s="474">
        <v>11.19</v>
      </c>
      <c r="AH544" s="506">
        <v>65.89</v>
      </c>
      <c r="AI544" s="474">
        <v>0</v>
      </c>
      <c r="AJ544" s="506">
        <v>79.87</v>
      </c>
      <c r="AK544" s="474">
        <v>0</v>
      </c>
    </row>
    <row r="545" spans="1:37">
      <c r="A545" s="492">
        <f t="shared" si="33"/>
        <v>45829</v>
      </c>
      <c r="B545" s="102" t="s">
        <v>3267</v>
      </c>
      <c r="C545" s="110" t="str">
        <f t="shared" si="32"/>
        <v>45829 0000H</v>
      </c>
      <c r="D545" s="337">
        <v>2663.28</v>
      </c>
      <c r="E545" s="338">
        <v>49.74</v>
      </c>
      <c r="F545" s="337">
        <v>1113.8699999999999</v>
      </c>
      <c r="G545" s="338">
        <v>6.2</v>
      </c>
      <c r="H545" s="337">
        <v>76655.199999999997</v>
      </c>
      <c r="I545" s="475">
        <v>944.43</v>
      </c>
      <c r="J545" s="475">
        <v>33800.21</v>
      </c>
      <c r="K545" s="338">
        <v>113.4</v>
      </c>
      <c r="L545" s="337">
        <v>7445.15</v>
      </c>
      <c r="M545" s="475">
        <v>19.05</v>
      </c>
      <c r="N545" s="475">
        <v>35018.199999999997</v>
      </c>
      <c r="O545" s="475">
        <v>30.1</v>
      </c>
      <c r="P545" s="475">
        <v>739.67</v>
      </c>
      <c r="Q545" s="475">
        <v>1069.8599999999999</v>
      </c>
      <c r="R545" s="475">
        <v>11544.78</v>
      </c>
      <c r="S545" s="475">
        <v>9.0399999999999991</v>
      </c>
      <c r="T545" s="475">
        <v>38383</v>
      </c>
      <c r="U545" s="475">
        <v>69</v>
      </c>
      <c r="V545" s="475"/>
      <c r="W545" s="475"/>
      <c r="X545" s="475">
        <v>8847.27</v>
      </c>
      <c r="Y545" s="475">
        <v>0</v>
      </c>
      <c r="Z545" s="475"/>
      <c r="AA545" s="338"/>
      <c r="AB545" s="475">
        <v>278.27</v>
      </c>
      <c r="AC545" s="476">
        <v>0.49</v>
      </c>
      <c r="AD545" s="475"/>
      <c r="AE545" s="338"/>
      <c r="AF545" s="505">
        <v>530.1</v>
      </c>
      <c r="AG545" s="476">
        <v>11.19</v>
      </c>
      <c r="AH545" s="505">
        <v>67.09</v>
      </c>
      <c r="AI545" s="476">
        <v>0</v>
      </c>
      <c r="AJ545" s="505">
        <v>81.31</v>
      </c>
      <c r="AK545" s="476">
        <v>0</v>
      </c>
    </row>
    <row r="546" spans="1:37">
      <c r="A546" s="492">
        <f t="shared" si="33"/>
        <v>45829</v>
      </c>
      <c r="B546" s="102" t="s">
        <v>1197</v>
      </c>
      <c r="C546" s="110" t="str">
        <f t="shared" si="32"/>
        <v>45829 1200H</v>
      </c>
      <c r="D546" s="471">
        <v>2666.47</v>
      </c>
      <c r="E546" s="472">
        <v>49.74</v>
      </c>
      <c r="F546" s="471">
        <v>1113.8699999999999</v>
      </c>
      <c r="G546" s="472">
        <v>6.2</v>
      </c>
      <c r="H546" s="471">
        <v>76658.98</v>
      </c>
      <c r="I546" s="473">
        <v>944.86</v>
      </c>
      <c r="J546" s="473">
        <v>33800.21</v>
      </c>
      <c r="K546" s="472">
        <v>113.45</v>
      </c>
      <c r="L546" s="471">
        <v>7450.85</v>
      </c>
      <c r="M546" s="473">
        <v>19.05</v>
      </c>
      <c r="N546" s="473">
        <v>35020.6</v>
      </c>
      <c r="O546" s="473">
        <v>30.1</v>
      </c>
      <c r="P546" s="473">
        <v>739.67</v>
      </c>
      <c r="Q546" s="473">
        <v>1071.23</v>
      </c>
      <c r="R546" s="473">
        <v>11548.66</v>
      </c>
      <c r="S546" s="473">
        <v>9.0399999999999991</v>
      </c>
      <c r="T546" s="473">
        <v>38388</v>
      </c>
      <c r="U546" s="473">
        <v>69</v>
      </c>
      <c r="V546" s="473"/>
      <c r="W546" s="473"/>
      <c r="X546" s="473">
        <v>8853.15</v>
      </c>
      <c r="Y546" s="473">
        <v>0</v>
      </c>
      <c r="Z546" s="473"/>
      <c r="AA546" s="472"/>
      <c r="AB546" s="473">
        <v>278.27</v>
      </c>
      <c r="AC546" s="474">
        <v>0.49</v>
      </c>
      <c r="AD546" s="473"/>
      <c r="AE546" s="472"/>
      <c r="AF546" s="506">
        <v>536.79999999999995</v>
      </c>
      <c r="AG546" s="474">
        <v>11.19</v>
      </c>
      <c r="AH546" s="506">
        <v>67.16</v>
      </c>
      <c r="AI546" s="474">
        <v>0</v>
      </c>
      <c r="AJ546" s="506">
        <v>83.16</v>
      </c>
      <c r="AK546" s="474">
        <v>0</v>
      </c>
    </row>
    <row r="547" spans="1:37">
      <c r="A547" s="492">
        <f t="shared" si="33"/>
        <v>45830</v>
      </c>
      <c r="B547" s="102" t="s">
        <v>3267</v>
      </c>
      <c r="C547" s="110" t="str">
        <f t="shared" si="32"/>
        <v>45830 0000H</v>
      </c>
      <c r="D547" s="337">
        <v>2670.32</v>
      </c>
      <c r="E547" s="338">
        <v>49.74</v>
      </c>
      <c r="F547" s="337">
        <v>1113.8699999999999</v>
      </c>
      <c r="G547" s="338">
        <v>6.2</v>
      </c>
      <c r="H547" s="337">
        <v>76669.37</v>
      </c>
      <c r="I547" s="475">
        <v>944.89</v>
      </c>
      <c r="J547" s="475">
        <v>33800.21</v>
      </c>
      <c r="K547" s="338">
        <v>113.49</v>
      </c>
      <c r="L547" s="337">
        <v>7456.7</v>
      </c>
      <c r="M547" s="475">
        <v>19.05</v>
      </c>
      <c r="N547" s="475">
        <v>35024.1</v>
      </c>
      <c r="O547" s="475">
        <v>30.1</v>
      </c>
      <c r="P547" s="475">
        <v>739.67</v>
      </c>
      <c r="Q547" s="475">
        <v>1072.6300000000001</v>
      </c>
      <c r="R547" s="475">
        <v>11553.04</v>
      </c>
      <c r="S547" s="475">
        <v>9.0399999999999991</v>
      </c>
      <c r="T547" s="475">
        <v>38394</v>
      </c>
      <c r="U547" s="475">
        <v>69</v>
      </c>
      <c r="V547" s="475"/>
      <c r="W547" s="475"/>
      <c r="X547" s="475">
        <v>8859.7999999999993</v>
      </c>
      <c r="Y547" s="475">
        <v>0</v>
      </c>
      <c r="Z547" s="475"/>
      <c r="AA547" s="338"/>
      <c r="AB547" s="475">
        <v>278.27</v>
      </c>
      <c r="AC547" s="476">
        <v>0.49</v>
      </c>
      <c r="AD547" s="475"/>
      <c r="AE547" s="338"/>
      <c r="AF547" s="505">
        <v>544.03</v>
      </c>
      <c r="AG547" s="476">
        <v>11.19</v>
      </c>
      <c r="AH547" s="505">
        <v>67.16</v>
      </c>
      <c r="AI547" s="476">
        <v>0</v>
      </c>
      <c r="AJ547" s="505">
        <v>85.23</v>
      </c>
      <c r="AK547" s="476">
        <v>0</v>
      </c>
    </row>
    <row r="548" spans="1:37">
      <c r="A548" s="492">
        <f t="shared" si="33"/>
        <v>45830</v>
      </c>
      <c r="B548" s="102" t="s">
        <v>1197</v>
      </c>
      <c r="C548" s="110" t="str">
        <f t="shared" si="32"/>
        <v>45830 1200H</v>
      </c>
      <c r="D548" s="471">
        <v>2673.82</v>
      </c>
      <c r="E548" s="472">
        <v>49.74</v>
      </c>
      <c r="F548" s="471">
        <v>1113.8699999999999</v>
      </c>
      <c r="G548" s="472">
        <v>6.2</v>
      </c>
      <c r="H548" s="471">
        <v>76670.600000000006</v>
      </c>
      <c r="I548" s="473">
        <v>945.31</v>
      </c>
      <c r="J548" s="473">
        <v>33800.21</v>
      </c>
      <c r="K548" s="472">
        <v>113.53</v>
      </c>
      <c r="L548" s="471">
        <v>7462.37</v>
      </c>
      <c r="M548" s="473">
        <v>19.05</v>
      </c>
      <c r="N548" s="473">
        <v>35025.199999999997</v>
      </c>
      <c r="O548" s="473">
        <v>30.2</v>
      </c>
      <c r="P548" s="473">
        <v>739.68</v>
      </c>
      <c r="Q548" s="473">
        <v>1073.99</v>
      </c>
      <c r="R548" s="473">
        <v>11556.73</v>
      </c>
      <c r="S548" s="473">
        <v>9.0399999999999991</v>
      </c>
      <c r="T548" s="473">
        <v>38400</v>
      </c>
      <c r="U548" s="473">
        <v>69</v>
      </c>
      <c r="V548" s="473"/>
      <c r="W548" s="473"/>
      <c r="X548" s="473">
        <v>8865.2099999999991</v>
      </c>
      <c r="Y548" s="473">
        <v>0</v>
      </c>
      <c r="Z548" s="473"/>
      <c r="AA548" s="472"/>
      <c r="AB548" s="473">
        <v>278.27</v>
      </c>
      <c r="AC548" s="474">
        <v>0.49</v>
      </c>
      <c r="AD548" s="473"/>
      <c r="AE548" s="472"/>
      <c r="AF548" s="506">
        <v>549.51</v>
      </c>
      <c r="AG548" s="474">
        <v>11.19</v>
      </c>
      <c r="AH548" s="506">
        <v>67.16</v>
      </c>
      <c r="AI548" s="474">
        <v>0</v>
      </c>
      <c r="AJ548" s="506">
        <v>86.82</v>
      </c>
      <c r="AK548" s="474">
        <v>0</v>
      </c>
    </row>
    <row r="549" spans="1:37">
      <c r="A549" s="492">
        <f t="shared" si="33"/>
        <v>45831</v>
      </c>
      <c r="B549" s="102" t="s">
        <v>3267</v>
      </c>
      <c r="C549" s="110" t="str">
        <f t="shared" si="32"/>
        <v>45831 0000H</v>
      </c>
      <c r="D549" s="337">
        <v>2678.48</v>
      </c>
      <c r="E549" s="338">
        <v>49.74</v>
      </c>
      <c r="F549" s="337">
        <v>1113.8699999999999</v>
      </c>
      <c r="G549" s="338">
        <v>6.2</v>
      </c>
      <c r="H549" s="337">
        <v>76672</v>
      </c>
      <c r="I549" s="475">
        <v>945.55</v>
      </c>
      <c r="J549" s="475">
        <v>33800.21</v>
      </c>
      <c r="K549" s="338">
        <v>113.57</v>
      </c>
      <c r="L549" s="337">
        <v>7468.24</v>
      </c>
      <c r="M549" s="475">
        <v>19.05</v>
      </c>
      <c r="N549" s="475">
        <v>35027</v>
      </c>
      <c r="O549" s="475">
        <v>30.2</v>
      </c>
      <c r="P549" s="475">
        <v>739.68</v>
      </c>
      <c r="Q549" s="475">
        <v>1075.6099999999999</v>
      </c>
      <c r="R549" s="475">
        <v>11561.18</v>
      </c>
      <c r="S549" s="475">
        <v>9.0399999999999991</v>
      </c>
      <c r="T549" s="475">
        <v>38407</v>
      </c>
      <c r="U549" s="475">
        <v>69</v>
      </c>
      <c r="V549" s="475"/>
      <c r="W549" s="475"/>
      <c r="X549" s="475">
        <v>8871.69</v>
      </c>
      <c r="Y549" s="475">
        <v>0</v>
      </c>
      <c r="Z549" s="475"/>
      <c r="AA549" s="338"/>
      <c r="AB549" s="475">
        <v>278.27</v>
      </c>
      <c r="AC549" s="476">
        <v>0.49</v>
      </c>
      <c r="AD549" s="475"/>
      <c r="AE549" s="338"/>
      <c r="AF549" s="505">
        <v>556.32000000000005</v>
      </c>
      <c r="AG549" s="476">
        <v>11.19</v>
      </c>
      <c r="AH549" s="505">
        <v>67.16</v>
      </c>
      <c r="AI549" s="476">
        <v>0</v>
      </c>
      <c r="AJ549" s="505">
        <v>88.77</v>
      </c>
      <c r="AK549" s="476">
        <v>0</v>
      </c>
    </row>
    <row r="550" spans="1:37">
      <c r="A550" s="492">
        <f t="shared" si="33"/>
        <v>45831</v>
      </c>
      <c r="B550" s="102" t="s">
        <v>1197</v>
      </c>
      <c r="C550" s="110" t="str">
        <f t="shared" si="32"/>
        <v>45831 1200H</v>
      </c>
      <c r="D550" s="471">
        <v>2682.08</v>
      </c>
      <c r="E550" s="472">
        <v>49.74</v>
      </c>
      <c r="F550" s="471">
        <v>1113.8699999999999</v>
      </c>
      <c r="G550" s="472">
        <v>6.2</v>
      </c>
      <c r="H550" s="471">
        <v>76672.66</v>
      </c>
      <c r="I550" s="473">
        <v>946.12</v>
      </c>
      <c r="J550" s="473">
        <v>33800.21</v>
      </c>
      <c r="K550" s="472">
        <v>113.6</v>
      </c>
      <c r="L550" s="471">
        <v>7473.93</v>
      </c>
      <c r="M550" s="473">
        <v>19.05</v>
      </c>
      <c r="N550" s="473">
        <v>35029.300000000003</v>
      </c>
      <c r="O550" s="473">
        <v>30.2</v>
      </c>
      <c r="P550" s="473">
        <v>739.69</v>
      </c>
      <c r="Q550" s="473">
        <v>1076.9100000000001</v>
      </c>
      <c r="R550" s="473">
        <v>11564.85</v>
      </c>
      <c r="S550" s="473">
        <v>9.0399999999999991</v>
      </c>
      <c r="T550" s="473">
        <v>38412</v>
      </c>
      <c r="U550" s="473">
        <v>69</v>
      </c>
      <c r="V550" s="473"/>
      <c r="W550" s="473"/>
      <c r="X550" s="473">
        <v>8877.32</v>
      </c>
      <c r="Y550" s="473">
        <v>0</v>
      </c>
      <c r="Z550" s="473"/>
      <c r="AA550" s="472"/>
      <c r="AB550" s="473">
        <v>278.27</v>
      </c>
      <c r="AC550" s="474">
        <v>0.49</v>
      </c>
      <c r="AD550" s="473"/>
      <c r="AE550" s="472"/>
      <c r="AF550" s="506">
        <v>562.07000000000005</v>
      </c>
      <c r="AG550" s="474">
        <v>11.19</v>
      </c>
      <c r="AH550" s="506">
        <v>67.16</v>
      </c>
      <c r="AI550" s="474">
        <v>0</v>
      </c>
      <c r="AJ550" s="506">
        <v>90.43</v>
      </c>
      <c r="AK550" s="474">
        <v>0</v>
      </c>
    </row>
    <row r="551" spans="1:37">
      <c r="A551" s="492">
        <f t="shared" si="33"/>
        <v>45832</v>
      </c>
      <c r="B551" s="102" t="s">
        <v>3267</v>
      </c>
      <c r="C551" s="110" t="str">
        <f t="shared" si="32"/>
        <v>45832 0000H</v>
      </c>
      <c r="D551" s="337">
        <v>2686.78</v>
      </c>
      <c r="E551" s="338">
        <v>49.74</v>
      </c>
      <c r="F551" s="337">
        <v>1113.8699999999999</v>
      </c>
      <c r="G551" s="338">
        <v>6.2</v>
      </c>
      <c r="H551" s="337">
        <v>76677.64</v>
      </c>
      <c r="I551" s="475">
        <v>946.16</v>
      </c>
      <c r="J551" s="475">
        <v>33800.21</v>
      </c>
      <c r="K551" s="338">
        <v>113.64</v>
      </c>
      <c r="L551" s="337">
        <v>7479.75</v>
      </c>
      <c r="M551" s="475">
        <v>19.05</v>
      </c>
      <c r="N551" s="475">
        <v>35032.199999999997</v>
      </c>
      <c r="O551" s="475">
        <v>30.2</v>
      </c>
      <c r="P551" s="475">
        <v>739.69</v>
      </c>
      <c r="Q551" s="475">
        <v>1078.4100000000001</v>
      </c>
      <c r="R551" s="475">
        <v>11569.3</v>
      </c>
      <c r="S551" s="475">
        <v>9.0399999999999991</v>
      </c>
      <c r="T551" s="475">
        <v>38420</v>
      </c>
      <c r="U551" s="475">
        <v>69</v>
      </c>
      <c r="V551" s="475"/>
      <c r="W551" s="475"/>
      <c r="X551" s="475">
        <v>8884.6299999999992</v>
      </c>
      <c r="Y551" s="475">
        <v>0</v>
      </c>
      <c r="Z551" s="475"/>
      <c r="AA551" s="338"/>
      <c r="AB551" s="475">
        <v>278.27</v>
      </c>
      <c r="AC551" s="476">
        <v>0.49</v>
      </c>
      <c r="AD551" s="475"/>
      <c r="AE551" s="338"/>
      <c r="AF551" s="505">
        <v>568.57000000000005</v>
      </c>
      <c r="AG551" s="476">
        <v>11.19</v>
      </c>
      <c r="AH551" s="505">
        <v>67.16</v>
      </c>
      <c r="AI551" s="476">
        <v>0</v>
      </c>
      <c r="AJ551" s="505">
        <v>92.31</v>
      </c>
      <c r="AK551" s="476">
        <v>0</v>
      </c>
    </row>
    <row r="552" spans="1:37">
      <c r="A552" s="492">
        <f t="shared" si="33"/>
        <v>45832</v>
      </c>
      <c r="B552" s="102" t="s">
        <v>1197</v>
      </c>
      <c r="C552" s="110" t="str">
        <f t="shared" si="32"/>
        <v>45832 1200H</v>
      </c>
      <c r="D552" s="471">
        <v>2690.5</v>
      </c>
      <c r="E552" s="472">
        <v>49.74</v>
      </c>
      <c r="F552" s="471">
        <v>1113.8699999999999</v>
      </c>
      <c r="G552" s="472">
        <v>6.2</v>
      </c>
      <c r="H552" s="471">
        <v>76679.62</v>
      </c>
      <c r="I552" s="473">
        <v>946.61</v>
      </c>
      <c r="J552" s="473">
        <v>33800.870000000003</v>
      </c>
      <c r="K552" s="472">
        <v>113.68</v>
      </c>
      <c r="L552" s="471">
        <v>7485.51</v>
      </c>
      <c r="M552" s="473">
        <v>19.05</v>
      </c>
      <c r="N552" s="473">
        <v>35034</v>
      </c>
      <c r="O552" s="473">
        <v>30.3</v>
      </c>
      <c r="P552" s="473">
        <v>739.72</v>
      </c>
      <c r="Q552" s="473">
        <v>1079.6199999999999</v>
      </c>
      <c r="R552" s="473">
        <v>11573.02</v>
      </c>
      <c r="S552" s="473">
        <v>9.0399999999999991</v>
      </c>
      <c r="T552" s="473">
        <v>38426</v>
      </c>
      <c r="U552" s="473">
        <v>69</v>
      </c>
      <c r="V552" s="473"/>
      <c r="W552" s="473"/>
      <c r="X552" s="473">
        <v>8890.91</v>
      </c>
      <c r="Y552" s="473">
        <v>0</v>
      </c>
      <c r="Z552" s="473"/>
      <c r="AA552" s="472"/>
      <c r="AB552" s="473">
        <v>278.27</v>
      </c>
      <c r="AC552" s="474">
        <v>0.49</v>
      </c>
      <c r="AD552" s="473"/>
      <c r="AE552" s="472"/>
      <c r="AF552" s="506">
        <v>574.41999999999996</v>
      </c>
      <c r="AG552" s="474">
        <v>11.9</v>
      </c>
      <c r="AH552" s="506">
        <v>67.44</v>
      </c>
      <c r="AI552" s="474">
        <v>0</v>
      </c>
      <c r="AJ552" s="506">
        <v>93.71</v>
      </c>
      <c r="AK552" s="474">
        <v>0</v>
      </c>
    </row>
    <row r="553" spans="1:37">
      <c r="A553" s="492">
        <f t="shared" si="33"/>
        <v>45833</v>
      </c>
      <c r="B553" s="102" t="s">
        <v>3267</v>
      </c>
      <c r="C553" s="110" t="str">
        <f t="shared" si="32"/>
        <v>45833 0000H</v>
      </c>
      <c r="D553" s="337">
        <v>2695.37</v>
      </c>
      <c r="E553" s="338">
        <v>49.74</v>
      </c>
      <c r="F553" s="337">
        <v>1113.8699999999999</v>
      </c>
      <c r="G553" s="338">
        <v>6.2</v>
      </c>
      <c r="H553" s="337">
        <v>76685.13</v>
      </c>
      <c r="I553" s="475">
        <v>946.67</v>
      </c>
      <c r="J553" s="475">
        <v>33803.65</v>
      </c>
      <c r="K553" s="338">
        <v>113.7</v>
      </c>
      <c r="L553" s="337">
        <v>7491.18</v>
      </c>
      <c r="M553" s="475">
        <v>19.05</v>
      </c>
      <c r="N553" s="475">
        <v>35037.4</v>
      </c>
      <c r="O553" s="475">
        <v>30.3</v>
      </c>
      <c r="P553" s="475">
        <v>739.72</v>
      </c>
      <c r="Q553" s="475">
        <v>1081.03</v>
      </c>
      <c r="R553" s="475">
        <v>11577.59</v>
      </c>
      <c r="S553" s="475">
        <v>9.0399999999999991</v>
      </c>
      <c r="T553" s="475">
        <v>38434</v>
      </c>
      <c r="U553" s="475">
        <v>69</v>
      </c>
      <c r="V553" s="475"/>
      <c r="W553" s="475"/>
      <c r="X553" s="475">
        <v>8898.35</v>
      </c>
      <c r="Y553" s="475">
        <v>0</v>
      </c>
      <c r="Z553" s="475"/>
      <c r="AA553" s="338"/>
      <c r="AB553" s="475">
        <v>278.27</v>
      </c>
      <c r="AC553" s="476">
        <v>0.49</v>
      </c>
      <c r="AD553" s="475"/>
      <c r="AE553" s="338"/>
      <c r="AF553" s="505">
        <v>583.28</v>
      </c>
      <c r="AG553" s="476">
        <v>11.19</v>
      </c>
      <c r="AH553" s="505">
        <v>68.05</v>
      </c>
      <c r="AI553" s="476">
        <v>0</v>
      </c>
      <c r="AJ553" s="505">
        <v>95.67</v>
      </c>
      <c r="AK553" s="476">
        <v>0</v>
      </c>
    </row>
    <row r="554" spans="1:37" ht="14.45" thickBot="1">
      <c r="A554" s="498">
        <f t="shared" si="33"/>
        <v>45833</v>
      </c>
      <c r="B554" s="499" t="s">
        <v>1197</v>
      </c>
      <c r="C554" s="500" t="str">
        <f t="shared" si="32"/>
        <v>45833 1200H</v>
      </c>
      <c r="D554" s="501">
        <v>2699.39</v>
      </c>
      <c r="E554" s="502">
        <v>49.74</v>
      </c>
      <c r="F554" s="501">
        <v>1113.8699999999999</v>
      </c>
      <c r="G554" s="502">
        <v>6.2</v>
      </c>
      <c r="H554" s="501">
        <v>76689.55</v>
      </c>
      <c r="I554" s="503">
        <v>947.06</v>
      </c>
      <c r="J554" s="503">
        <v>33804.5</v>
      </c>
      <c r="K554" s="502">
        <v>113.74</v>
      </c>
      <c r="L554" s="501">
        <v>7496.59</v>
      </c>
      <c r="M554" s="503">
        <v>19.05</v>
      </c>
      <c r="N554" s="503">
        <v>35039.5</v>
      </c>
      <c r="O554" s="503">
        <v>30.3</v>
      </c>
      <c r="P554" s="503">
        <v>739.72</v>
      </c>
      <c r="Q554" s="503">
        <v>1082.33</v>
      </c>
      <c r="R554" s="503">
        <v>11581.21</v>
      </c>
      <c r="S554" s="503">
        <v>9.0399999999999991</v>
      </c>
      <c r="T554" s="503">
        <v>38441</v>
      </c>
      <c r="U554" s="503">
        <v>69</v>
      </c>
      <c r="V554" s="503"/>
      <c r="W554" s="503"/>
      <c r="X554" s="503">
        <v>8904.59</v>
      </c>
      <c r="Y554" s="503">
        <v>0</v>
      </c>
      <c r="Z554" s="503"/>
      <c r="AA554" s="502"/>
      <c r="AB554" s="503">
        <v>278.27</v>
      </c>
      <c r="AC554" s="504">
        <v>0.49</v>
      </c>
      <c r="AD554" s="503"/>
      <c r="AE554" s="502"/>
      <c r="AF554" s="513">
        <v>589.58000000000004</v>
      </c>
      <c r="AG554" s="504">
        <v>11.19</v>
      </c>
      <c r="AH554" s="513">
        <v>68.05</v>
      </c>
      <c r="AI554" s="504">
        <v>0</v>
      </c>
      <c r="AJ554" s="513">
        <v>97.46</v>
      </c>
      <c r="AK554" s="504">
        <v>0</v>
      </c>
    </row>
    <row r="555" spans="1:37" ht="14.45" thickBot="1"/>
    <row r="556" spans="1:37">
      <c r="A556" s="485">
        <f>A554+1</f>
        <v>45834</v>
      </c>
      <c r="B556" s="486" t="s">
        <v>3267</v>
      </c>
      <c r="C556" s="487" t="str">
        <f t="shared" ref="C556:C615" si="34">A556 &amp; " " &amp;B556</f>
        <v>45834 0000H</v>
      </c>
      <c r="D556" s="488">
        <v>2704.18</v>
      </c>
      <c r="E556" s="489">
        <v>49.74</v>
      </c>
      <c r="F556" s="488">
        <v>1113.8699999999999</v>
      </c>
      <c r="G556" s="489">
        <v>6.2</v>
      </c>
      <c r="H556" s="488">
        <v>76700.69</v>
      </c>
      <c r="I556" s="490">
        <v>947.21</v>
      </c>
      <c r="J556" s="490">
        <v>33807.07</v>
      </c>
      <c r="K556" s="489">
        <v>113.76</v>
      </c>
      <c r="L556" s="488">
        <v>7502.05</v>
      </c>
      <c r="M556" s="490">
        <v>19.05</v>
      </c>
      <c r="N556" s="490">
        <v>35042.300000000003</v>
      </c>
      <c r="O556" s="490">
        <v>30.3</v>
      </c>
      <c r="P556" s="490">
        <v>739.74</v>
      </c>
      <c r="Q556" s="490">
        <v>1083.82</v>
      </c>
      <c r="R556" s="490">
        <v>11585.32</v>
      </c>
      <c r="S556" s="490">
        <v>9.0399999999999991</v>
      </c>
      <c r="T556" s="490">
        <v>38448</v>
      </c>
      <c r="U556" s="490">
        <v>69</v>
      </c>
      <c r="V556" s="490"/>
      <c r="W556" s="490"/>
      <c r="X556" s="490">
        <v>8911.49</v>
      </c>
      <c r="Y556" s="490">
        <v>0</v>
      </c>
      <c r="Z556" s="490"/>
      <c r="AA556" s="489"/>
      <c r="AB556" s="490"/>
      <c r="AC556" s="491"/>
      <c r="AD556" s="490"/>
      <c r="AE556" s="489"/>
      <c r="AF556" s="509">
        <v>595.62</v>
      </c>
      <c r="AG556" s="491">
        <v>11.19</v>
      </c>
      <c r="AH556" s="509">
        <v>68.05</v>
      </c>
      <c r="AI556" s="491">
        <v>0</v>
      </c>
      <c r="AJ556" s="509">
        <v>99.19</v>
      </c>
      <c r="AK556" s="491">
        <v>0</v>
      </c>
    </row>
    <row r="557" spans="1:37">
      <c r="A557" s="492">
        <f>A556</f>
        <v>45834</v>
      </c>
      <c r="B557" s="102" t="s">
        <v>1197</v>
      </c>
      <c r="C557" s="110" t="str">
        <f t="shared" si="34"/>
        <v>45834 1200H</v>
      </c>
      <c r="D557" s="471">
        <v>2707.95</v>
      </c>
      <c r="E557" s="472">
        <v>49.74</v>
      </c>
      <c r="F557" s="471">
        <v>1113.8699999999999</v>
      </c>
      <c r="G557" s="472">
        <v>6.2</v>
      </c>
      <c r="H557" s="471">
        <v>76705.279999999999</v>
      </c>
      <c r="I557" s="473">
        <v>947.61</v>
      </c>
      <c r="J557" s="473">
        <v>33807.629999999997</v>
      </c>
      <c r="K557" s="472">
        <v>113.8</v>
      </c>
      <c r="L557" s="471">
        <v>7507.83</v>
      </c>
      <c r="M557" s="473">
        <v>19.05</v>
      </c>
      <c r="N557" s="473">
        <v>35044.1</v>
      </c>
      <c r="O557" s="473">
        <v>30.4</v>
      </c>
      <c r="P557" s="473">
        <v>739.74</v>
      </c>
      <c r="Q557" s="473">
        <v>1085.25</v>
      </c>
      <c r="R557" s="473">
        <v>11588.84</v>
      </c>
      <c r="S557" s="473">
        <v>9.0399999999999991</v>
      </c>
      <c r="T557" s="473">
        <v>38454</v>
      </c>
      <c r="U557" s="473">
        <v>69</v>
      </c>
      <c r="V557" s="473"/>
      <c r="W557" s="473"/>
      <c r="X557" s="473">
        <v>8917.5</v>
      </c>
      <c r="Y557" s="473">
        <v>0</v>
      </c>
      <c r="Z557" s="473"/>
      <c r="AA557" s="472"/>
      <c r="AB557" s="473"/>
      <c r="AC557" s="474"/>
      <c r="AD557" s="473"/>
      <c r="AE557" s="472"/>
      <c r="AF557" s="506">
        <v>601.54999999999995</v>
      </c>
      <c r="AG557" s="474">
        <v>11.19</v>
      </c>
      <c r="AH557" s="506">
        <v>68.05</v>
      </c>
      <c r="AI557" s="474">
        <v>0</v>
      </c>
      <c r="AJ557" s="506">
        <v>100.88</v>
      </c>
      <c r="AK557" s="474">
        <v>0</v>
      </c>
    </row>
    <row r="558" spans="1:37">
      <c r="A558" s="492">
        <f t="shared" ref="A558:A613" si="35">A556+1</f>
        <v>45835</v>
      </c>
      <c r="B558" s="102" t="s">
        <v>3267</v>
      </c>
      <c r="C558" s="110" t="str">
        <f t="shared" si="34"/>
        <v>45835 0000H</v>
      </c>
      <c r="D558" s="337">
        <v>2712.66</v>
      </c>
      <c r="E558" s="338">
        <v>49.74</v>
      </c>
      <c r="F558" s="337">
        <v>1113.8699999999999</v>
      </c>
      <c r="G558" s="338">
        <v>6.2</v>
      </c>
      <c r="H558" s="337">
        <v>76716.97</v>
      </c>
      <c r="I558" s="475">
        <v>947.71</v>
      </c>
      <c r="J558" s="475">
        <v>33810.129999999997</v>
      </c>
      <c r="K558" s="338">
        <v>113.83</v>
      </c>
      <c r="L558" s="337">
        <v>7513.36</v>
      </c>
      <c r="M558" s="475">
        <v>19.05</v>
      </c>
      <c r="N558" s="475">
        <v>35047.199999999997</v>
      </c>
      <c r="O558" s="475">
        <v>30.4</v>
      </c>
      <c r="P558" s="475">
        <v>739.74</v>
      </c>
      <c r="Q558" s="475">
        <v>1086.78</v>
      </c>
      <c r="R558" s="475">
        <v>11593.21</v>
      </c>
      <c r="S558" s="475">
        <v>9.0399999999999991</v>
      </c>
      <c r="T558" s="475">
        <v>38461</v>
      </c>
      <c r="U558" s="475">
        <v>69</v>
      </c>
      <c r="V558" s="475"/>
      <c r="W558" s="475"/>
      <c r="X558" s="475">
        <v>8923.17</v>
      </c>
      <c r="Y558" s="475">
        <v>0</v>
      </c>
      <c r="Z558" s="475"/>
      <c r="AA558" s="338"/>
      <c r="AB558" s="475"/>
      <c r="AC558" s="476"/>
      <c r="AD558" s="475"/>
      <c r="AE558" s="338"/>
      <c r="AF558" s="505">
        <v>608.39</v>
      </c>
      <c r="AG558" s="476">
        <v>11.19</v>
      </c>
      <c r="AH558" s="505">
        <v>68.05</v>
      </c>
      <c r="AI558" s="476">
        <v>0</v>
      </c>
      <c r="AJ558" s="505">
        <v>102.86</v>
      </c>
      <c r="AK558" s="476">
        <v>0</v>
      </c>
    </row>
    <row r="559" spans="1:37">
      <c r="A559" s="492">
        <f t="shared" si="35"/>
        <v>45835</v>
      </c>
      <c r="B559" s="102" t="s">
        <v>1197</v>
      </c>
      <c r="C559" s="110" t="str">
        <f t="shared" si="34"/>
        <v>45835 1200H</v>
      </c>
      <c r="D559" s="471">
        <v>2716.37</v>
      </c>
      <c r="E559" s="472">
        <v>49.74</v>
      </c>
      <c r="F559" s="471">
        <v>1113.8699999999999</v>
      </c>
      <c r="G559" s="472">
        <v>6.2</v>
      </c>
      <c r="H559" s="471">
        <v>76720.69</v>
      </c>
      <c r="I559" s="473">
        <v>948.12</v>
      </c>
      <c r="J559" s="473">
        <v>33810.660000000003</v>
      </c>
      <c r="K559" s="472">
        <v>113.88</v>
      </c>
      <c r="L559" s="471">
        <v>7519.19</v>
      </c>
      <c r="M559" s="473">
        <v>19.05</v>
      </c>
      <c r="N559" s="473">
        <v>35048.9</v>
      </c>
      <c r="O559" s="473">
        <v>30.4</v>
      </c>
      <c r="P559" s="473">
        <v>739.74</v>
      </c>
      <c r="Q559" s="473">
        <v>1088.25</v>
      </c>
      <c r="R559" s="473">
        <v>11596.87</v>
      </c>
      <c r="S559" s="473">
        <v>9.0399999999999991</v>
      </c>
      <c r="T559" s="473">
        <v>38467</v>
      </c>
      <c r="U559" s="473">
        <v>69</v>
      </c>
      <c r="V559" s="473"/>
      <c r="W559" s="473"/>
      <c r="X559" s="473">
        <v>8929.0300000000007</v>
      </c>
      <c r="Y559" s="473">
        <v>0</v>
      </c>
      <c r="Z559" s="473"/>
      <c r="AA559" s="472"/>
      <c r="AB559" s="473"/>
      <c r="AC559" s="474"/>
      <c r="AD559" s="473"/>
      <c r="AE559" s="472"/>
      <c r="AF559" s="506">
        <v>614.51</v>
      </c>
      <c r="AG559" s="474">
        <v>11.19</v>
      </c>
      <c r="AH559" s="506">
        <v>68.05</v>
      </c>
      <c r="AI559" s="474">
        <v>0</v>
      </c>
      <c r="AJ559" s="506">
        <v>104.61</v>
      </c>
      <c r="AK559" s="474">
        <v>0</v>
      </c>
    </row>
    <row r="560" spans="1:37">
      <c r="A560" s="492">
        <f t="shared" si="35"/>
        <v>45836</v>
      </c>
      <c r="B560" s="102" t="s">
        <v>3267</v>
      </c>
      <c r="C560" s="110" t="str">
        <f t="shared" si="34"/>
        <v>45836 0000H</v>
      </c>
      <c r="D560" s="337">
        <v>2720.19</v>
      </c>
      <c r="E560" s="338">
        <v>49.74</v>
      </c>
      <c r="F560" s="337">
        <v>1113.8699999999999</v>
      </c>
      <c r="G560" s="338">
        <v>6.2</v>
      </c>
      <c r="H560" s="337">
        <v>76737</v>
      </c>
      <c r="I560" s="475">
        <v>948.12</v>
      </c>
      <c r="J560" s="475">
        <v>33814.22</v>
      </c>
      <c r="K560" s="338">
        <v>113.88</v>
      </c>
      <c r="L560" s="337">
        <v>7524.96</v>
      </c>
      <c r="M560" s="475">
        <v>19.05</v>
      </c>
      <c r="N560" s="475">
        <v>35052.400000000001</v>
      </c>
      <c r="O560" s="475">
        <v>30.4</v>
      </c>
      <c r="P560" s="475">
        <v>739.75</v>
      </c>
      <c r="Q560" s="475">
        <v>1089.8900000000001</v>
      </c>
      <c r="R560" s="475">
        <v>11601.43</v>
      </c>
      <c r="S560" s="475">
        <v>9.0399999999999991</v>
      </c>
      <c r="T560" s="475">
        <v>38475</v>
      </c>
      <c r="U560" s="475">
        <v>69</v>
      </c>
      <c r="V560" s="475"/>
      <c r="W560" s="475"/>
      <c r="X560" s="475">
        <v>8936.2099999999991</v>
      </c>
      <c r="Y560" s="475">
        <v>0</v>
      </c>
      <c r="Z560" s="475"/>
      <c r="AA560" s="338"/>
      <c r="AB560" s="475"/>
      <c r="AC560" s="476"/>
      <c r="AD560" s="475"/>
      <c r="AE560" s="338"/>
      <c r="AF560" s="505">
        <v>622.48</v>
      </c>
      <c r="AG560" s="476">
        <v>11.19</v>
      </c>
      <c r="AH560" s="505">
        <v>68.34</v>
      </c>
      <c r="AI560" s="476">
        <v>0</v>
      </c>
      <c r="AJ560" s="505">
        <v>106.6</v>
      </c>
      <c r="AK560" s="476">
        <v>0</v>
      </c>
    </row>
    <row r="561" spans="1:37">
      <c r="A561" s="492">
        <f t="shared" si="35"/>
        <v>45836</v>
      </c>
      <c r="B561" s="102" t="s">
        <v>1197</v>
      </c>
      <c r="C561" s="110" t="str">
        <f t="shared" si="34"/>
        <v>45836 1200H</v>
      </c>
      <c r="D561" s="521">
        <v>2720.19</v>
      </c>
      <c r="E561" s="522">
        <v>49.74</v>
      </c>
      <c r="F561" s="471">
        <v>1114.55</v>
      </c>
      <c r="G561" s="472">
        <v>6.2</v>
      </c>
      <c r="H561" s="471">
        <v>76754.240000000005</v>
      </c>
      <c r="I561" s="473">
        <v>948.12</v>
      </c>
      <c r="J561" s="473">
        <v>33816.81</v>
      </c>
      <c r="K561" s="472">
        <v>113.9</v>
      </c>
      <c r="L561" s="471">
        <v>7530.79</v>
      </c>
      <c r="M561" s="473">
        <v>19.05</v>
      </c>
      <c r="N561" s="473">
        <v>35055.9</v>
      </c>
      <c r="O561" s="473">
        <v>30.4</v>
      </c>
      <c r="P561" s="473">
        <v>739.87</v>
      </c>
      <c r="Q561" s="473">
        <v>1090.8599999999999</v>
      </c>
      <c r="R561" s="473">
        <v>11605.09</v>
      </c>
      <c r="S561" s="473">
        <v>9.0399999999999991</v>
      </c>
      <c r="T561" s="473">
        <v>38482</v>
      </c>
      <c r="U561" s="473">
        <v>69</v>
      </c>
      <c r="V561" s="473"/>
      <c r="W561" s="473"/>
      <c r="X561" s="473">
        <v>8942.16</v>
      </c>
      <c r="Y561" s="473">
        <v>0</v>
      </c>
      <c r="Z561" s="473"/>
      <c r="AA561" s="472"/>
      <c r="AB561" s="473"/>
      <c r="AC561" s="474"/>
      <c r="AD561" s="473"/>
      <c r="AE561" s="472"/>
      <c r="AF561" s="506">
        <v>631.11</v>
      </c>
      <c r="AG561" s="474">
        <v>11.19</v>
      </c>
      <c r="AH561" s="506">
        <v>68.75</v>
      </c>
      <c r="AI561" s="474">
        <v>0</v>
      </c>
      <c r="AJ561" s="506">
        <v>108.67</v>
      </c>
      <c r="AK561" s="474">
        <v>0</v>
      </c>
    </row>
    <row r="562" spans="1:37">
      <c r="A562" s="492">
        <f t="shared" si="35"/>
        <v>45837</v>
      </c>
      <c r="B562" s="102" t="s">
        <v>3267</v>
      </c>
      <c r="C562" s="110" t="str">
        <f t="shared" si="34"/>
        <v>45837 0000H</v>
      </c>
      <c r="D562" s="337">
        <v>2720.19</v>
      </c>
      <c r="E562" s="338">
        <v>49.74</v>
      </c>
      <c r="F562" s="337">
        <v>1120.9000000000001</v>
      </c>
      <c r="G562" s="338">
        <v>6.2</v>
      </c>
      <c r="H562" s="337">
        <v>76770.759999999995</v>
      </c>
      <c r="I562" s="475">
        <v>948.12</v>
      </c>
      <c r="J562" s="475">
        <v>33818.6</v>
      </c>
      <c r="K562" s="338">
        <v>113.95</v>
      </c>
      <c r="L562" s="337">
        <v>7536.52</v>
      </c>
      <c r="M562" s="475">
        <v>19.05</v>
      </c>
      <c r="N562" s="475">
        <v>35058.800000000003</v>
      </c>
      <c r="O562" s="475">
        <v>30.4</v>
      </c>
      <c r="P562" s="475">
        <v>739.87</v>
      </c>
      <c r="Q562" s="475">
        <v>1092.57</v>
      </c>
      <c r="R562" s="475">
        <v>11609.76</v>
      </c>
      <c r="S562" s="475">
        <v>9.0399999999999991</v>
      </c>
      <c r="T562" s="475">
        <v>38490</v>
      </c>
      <c r="U562" s="475">
        <v>69</v>
      </c>
      <c r="V562" s="475"/>
      <c r="W562" s="475"/>
      <c r="X562" s="475">
        <v>8949.3700000000008</v>
      </c>
      <c r="Y562" s="475">
        <v>0</v>
      </c>
      <c r="Z562" s="475"/>
      <c r="AA562" s="338"/>
      <c r="AB562" s="475"/>
      <c r="AC562" s="476"/>
      <c r="AD562" s="475"/>
      <c r="AE562" s="338"/>
      <c r="AF562" s="505">
        <v>637.05999999999995</v>
      </c>
      <c r="AG562" s="476">
        <v>11.2</v>
      </c>
      <c r="AH562" s="505">
        <v>68.75</v>
      </c>
      <c r="AI562" s="476">
        <v>0</v>
      </c>
      <c r="AJ562" s="505">
        <v>110.38</v>
      </c>
      <c r="AK562" s="476">
        <v>0</v>
      </c>
    </row>
    <row r="563" spans="1:37">
      <c r="A563" s="492">
        <f t="shared" si="35"/>
        <v>45837</v>
      </c>
      <c r="B563" s="102" t="s">
        <v>1197</v>
      </c>
      <c r="C563" s="110" t="str">
        <f t="shared" si="34"/>
        <v>45837 1200H</v>
      </c>
      <c r="D563" s="471">
        <v>2720.19</v>
      </c>
      <c r="E563" s="472">
        <v>49.74</v>
      </c>
      <c r="F563" s="471">
        <v>1125.76</v>
      </c>
      <c r="G563" s="472">
        <v>6.2</v>
      </c>
      <c r="H563" s="471">
        <v>76778.89</v>
      </c>
      <c r="I563" s="473">
        <v>948.2</v>
      </c>
      <c r="J563" s="473">
        <v>33818.6</v>
      </c>
      <c r="K563" s="472">
        <v>113.95</v>
      </c>
      <c r="L563" s="471">
        <v>7541.63</v>
      </c>
      <c r="M563" s="473">
        <v>19.05</v>
      </c>
      <c r="N563" s="473">
        <v>35059.9</v>
      </c>
      <c r="O563" s="473">
        <v>30.5</v>
      </c>
      <c r="P563" s="473">
        <v>739.87</v>
      </c>
      <c r="Q563" s="473">
        <v>1093.92</v>
      </c>
      <c r="R563" s="473">
        <v>11613.08</v>
      </c>
      <c r="S563" s="473">
        <v>9.0399999999999991</v>
      </c>
      <c r="T563" s="473">
        <v>38496</v>
      </c>
      <c r="U563" s="473">
        <v>69</v>
      </c>
      <c r="V563" s="473"/>
      <c r="W563" s="473"/>
      <c r="X563" s="473">
        <v>8955.36</v>
      </c>
      <c r="Y563" s="473">
        <v>0</v>
      </c>
      <c r="Z563" s="473"/>
      <c r="AA563" s="472"/>
      <c r="AB563" s="473"/>
      <c r="AC563" s="474"/>
      <c r="AD563" s="473"/>
      <c r="AE563" s="472"/>
      <c r="AF563" s="506">
        <v>637.71</v>
      </c>
      <c r="AG563" s="474">
        <v>11.26</v>
      </c>
      <c r="AH563" s="506">
        <v>68.75</v>
      </c>
      <c r="AI563" s="474">
        <v>0</v>
      </c>
      <c r="AJ563" s="506">
        <v>110.38</v>
      </c>
      <c r="AK563" s="474">
        <v>0</v>
      </c>
    </row>
    <row r="564" spans="1:37">
      <c r="A564" s="492">
        <f t="shared" si="35"/>
        <v>45838</v>
      </c>
      <c r="B564" s="102" t="s">
        <v>3267</v>
      </c>
      <c r="C564" s="110" t="str">
        <f t="shared" si="34"/>
        <v>45838 0000H</v>
      </c>
      <c r="D564" s="337">
        <v>2723.47</v>
      </c>
      <c r="E564" s="338">
        <v>49.74</v>
      </c>
      <c r="F564" s="337">
        <v>1126.79</v>
      </c>
      <c r="G564" s="338">
        <v>6.21</v>
      </c>
      <c r="H564" s="337">
        <v>76788.08</v>
      </c>
      <c r="I564" s="475">
        <v>948.28</v>
      </c>
      <c r="J564" s="475">
        <v>33819.730000000003</v>
      </c>
      <c r="K564" s="338">
        <v>114.02</v>
      </c>
      <c r="L564" s="337">
        <v>7546.53</v>
      </c>
      <c r="M564" s="475">
        <v>19.05</v>
      </c>
      <c r="N564" s="475">
        <v>35063</v>
      </c>
      <c r="O564" s="475">
        <v>30.5</v>
      </c>
      <c r="P564" s="475">
        <v>739.9</v>
      </c>
      <c r="Q564" s="475">
        <v>1095.42</v>
      </c>
      <c r="R564" s="475">
        <v>11617.76</v>
      </c>
      <c r="S564" s="475">
        <v>9.0399999999999991</v>
      </c>
      <c r="T564" s="475">
        <v>38503</v>
      </c>
      <c r="U564" s="475">
        <v>69</v>
      </c>
      <c r="V564" s="475"/>
      <c r="W564" s="475"/>
      <c r="X564" s="475">
        <v>8961.2199999999993</v>
      </c>
      <c r="Y564" s="475">
        <v>0</v>
      </c>
      <c r="Z564" s="475"/>
      <c r="AA564" s="338"/>
      <c r="AB564" s="475"/>
      <c r="AC564" s="476"/>
      <c r="AD564" s="475"/>
      <c r="AE564" s="338"/>
      <c r="AF564" s="505">
        <v>643.74</v>
      </c>
      <c r="AG564" s="476">
        <v>11.27</v>
      </c>
      <c r="AH564" s="505">
        <v>68.8</v>
      </c>
      <c r="AI564" s="476">
        <v>0</v>
      </c>
      <c r="AJ564" s="505">
        <v>112.27</v>
      </c>
      <c r="AK564" s="476">
        <v>0</v>
      </c>
    </row>
    <row r="565" spans="1:37">
      <c r="A565" s="492">
        <f t="shared" si="35"/>
        <v>45838</v>
      </c>
      <c r="B565" s="102" t="s">
        <v>1197</v>
      </c>
      <c r="C565" s="110" t="str">
        <f t="shared" si="34"/>
        <v>45838 1200H</v>
      </c>
      <c r="D565" s="471">
        <v>2727.5</v>
      </c>
      <c r="E565" s="472">
        <v>49.74</v>
      </c>
      <c r="F565" s="471">
        <v>1126.79</v>
      </c>
      <c r="G565" s="472">
        <v>6.21</v>
      </c>
      <c r="H565" s="471">
        <v>76793.649999999994</v>
      </c>
      <c r="I565" s="473">
        <v>948.5</v>
      </c>
      <c r="J565" s="473">
        <v>33820.44</v>
      </c>
      <c r="K565" s="472">
        <v>114.09</v>
      </c>
      <c r="L565" s="471">
        <v>7551.01</v>
      </c>
      <c r="M565" s="473">
        <v>19.05</v>
      </c>
      <c r="N565" s="473">
        <v>35066.199999999997</v>
      </c>
      <c r="O565" s="473">
        <v>30.5</v>
      </c>
      <c r="P565" s="473">
        <v>739.9</v>
      </c>
      <c r="Q565" s="473">
        <v>1096.72</v>
      </c>
      <c r="R565" s="473">
        <v>11621.6</v>
      </c>
      <c r="S565" s="473">
        <v>9.0399999999999991</v>
      </c>
      <c r="T565" s="473">
        <v>38508</v>
      </c>
      <c r="U565" s="473">
        <v>69</v>
      </c>
      <c r="V565" s="473"/>
      <c r="W565" s="473"/>
      <c r="X565" s="473">
        <v>8967.39</v>
      </c>
      <c r="Y565" s="473">
        <v>0</v>
      </c>
      <c r="Z565" s="473"/>
      <c r="AA565" s="472"/>
      <c r="AB565" s="473"/>
      <c r="AC565" s="474"/>
      <c r="AD565" s="473"/>
      <c r="AE565" s="472"/>
      <c r="AF565" s="506">
        <v>650.63</v>
      </c>
      <c r="AG565" s="474">
        <v>11.27</v>
      </c>
      <c r="AH565" s="506">
        <v>68.8</v>
      </c>
      <c r="AI565" s="474">
        <v>0</v>
      </c>
      <c r="AJ565" s="506">
        <v>114.23</v>
      </c>
      <c r="AK565" s="474">
        <v>0</v>
      </c>
    </row>
    <row r="566" spans="1:37">
      <c r="A566" s="492">
        <f t="shared" si="35"/>
        <v>45839</v>
      </c>
      <c r="B566" s="102" t="s">
        <v>3267</v>
      </c>
      <c r="C566" s="110" t="str">
        <f t="shared" si="34"/>
        <v>45839 0000H</v>
      </c>
      <c r="D566" s="337">
        <v>2732.27</v>
      </c>
      <c r="E566" s="338">
        <v>49.74</v>
      </c>
      <c r="F566" s="337">
        <v>1126.79</v>
      </c>
      <c r="G566" s="338">
        <v>6.21</v>
      </c>
      <c r="H566" s="337">
        <v>76802.45</v>
      </c>
      <c r="I566" s="475">
        <v>948.61</v>
      </c>
      <c r="J566" s="475">
        <v>33822.58</v>
      </c>
      <c r="K566" s="338">
        <v>114.12</v>
      </c>
      <c r="L566" s="337">
        <v>7556.25</v>
      </c>
      <c r="M566" s="475">
        <v>19.05</v>
      </c>
      <c r="N566" s="475">
        <v>35070.199999999997</v>
      </c>
      <c r="O566" s="475">
        <v>30.5</v>
      </c>
      <c r="P566" s="475">
        <v>739.95</v>
      </c>
      <c r="Q566" s="475">
        <v>1098.1400000000001</v>
      </c>
      <c r="R566" s="475">
        <v>11626.12</v>
      </c>
      <c r="S566" s="475">
        <v>9.0399999999999991</v>
      </c>
      <c r="T566" s="475">
        <v>38516</v>
      </c>
      <c r="U566" s="475">
        <v>69</v>
      </c>
      <c r="V566" s="475"/>
      <c r="W566" s="475"/>
      <c r="X566" s="475">
        <v>8973.4699999999993</v>
      </c>
      <c r="Y566" s="475">
        <v>0</v>
      </c>
      <c r="Z566" s="475"/>
      <c r="AA566" s="338"/>
      <c r="AB566" s="475"/>
      <c r="AC566" s="476"/>
      <c r="AD566" s="475"/>
      <c r="AE566" s="338"/>
      <c r="AF566" s="505">
        <v>658.96</v>
      </c>
      <c r="AG566" s="476">
        <v>11.27</v>
      </c>
      <c r="AH566" s="505">
        <v>69.34</v>
      </c>
      <c r="AI566" s="476">
        <v>0</v>
      </c>
      <c r="AJ566" s="505">
        <v>116.1</v>
      </c>
      <c r="AK566" s="476">
        <v>0</v>
      </c>
    </row>
    <row r="567" spans="1:37">
      <c r="A567" s="492">
        <f t="shared" si="35"/>
        <v>45839</v>
      </c>
      <c r="B567" s="102" t="s">
        <v>1197</v>
      </c>
      <c r="C567" s="110" t="str">
        <f t="shared" si="34"/>
        <v>45839 1200H</v>
      </c>
      <c r="D567" s="471">
        <v>2736.04</v>
      </c>
      <c r="E567" s="472">
        <v>49.74</v>
      </c>
      <c r="F567" s="471">
        <v>1126.79</v>
      </c>
      <c r="G567" s="472">
        <v>6.21</v>
      </c>
      <c r="H567" s="532" t="s">
        <v>3270</v>
      </c>
      <c r="I567" s="473">
        <v>948.96</v>
      </c>
      <c r="J567" s="473">
        <v>33823.050000000003</v>
      </c>
      <c r="K567" s="472">
        <v>114.16</v>
      </c>
      <c r="L567" s="471">
        <v>7562.05</v>
      </c>
      <c r="M567" s="473">
        <v>19.004999999999999</v>
      </c>
      <c r="N567" s="473">
        <v>35071.800000000003</v>
      </c>
      <c r="O567" s="473">
        <v>30.5</v>
      </c>
      <c r="P567" s="473">
        <v>739.95</v>
      </c>
      <c r="Q567" s="473">
        <v>1099.6500000000001</v>
      </c>
      <c r="R567" s="473">
        <v>11629.93</v>
      </c>
      <c r="S567" s="473">
        <v>9.0399999999999991</v>
      </c>
      <c r="T567" s="473">
        <v>38522</v>
      </c>
      <c r="U567" s="473">
        <v>69</v>
      </c>
      <c r="V567" s="473"/>
      <c r="W567" s="473"/>
      <c r="X567" s="473">
        <v>8979.26</v>
      </c>
      <c r="Y567" s="473">
        <v>0</v>
      </c>
      <c r="Z567" s="473"/>
      <c r="AA567" s="472"/>
      <c r="AB567" s="473"/>
      <c r="AC567" s="474"/>
      <c r="AD567" s="473"/>
      <c r="AE567" s="472"/>
      <c r="AF567" s="506">
        <v>665.49</v>
      </c>
      <c r="AG567" s="474">
        <v>11.27</v>
      </c>
      <c r="AH567" s="506">
        <v>69.34</v>
      </c>
      <c r="AI567" s="474">
        <v>0</v>
      </c>
      <c r="AJ567" s="506">
        <v>117.2</v>
      </c>
      <c r="AK567" s="474">
        <v>0</v>
      </c>
    </row>
    <row r="568" spans="1:37">
      <c r="A568" s="492">
        <f t="shared" si="35"/>
        <v>45840</v>
      </c>
      <c r="B568" s="102" t="s">
        <v>3267</v>
      </c>
      <c r="C568" s="110" t="str">
        <f t="shared" si="34"/>
        <v>45840 0000H</v>
      </c>
      <c r="D568" s="337">
        <v>2740.44</v>
      </c>
      <c r="E568" s="338">
        <v>49.74</v>
      </c>
      <c r="F568" s="337">
        <v>1126.79</v>
      </c>
      <c r="G568" s="338">
        <v>6.21</v>
      </c>
      <c r="H568" s="337">
        <v>76821.63</v>
      </c>
      <c r="I568" s="475">
        <v>948.96</v>
      </c>
      <c r="J568" s="475">
        <v>33825.96</v>
      </c>
      <c r="K568" s="338">
        <v>114.18</v>
      </c>
      <c r="L568" s="337">
        <v>7567.83</v>
      </c>
      <c r="M568" s="475">
        <v>19.05</v>
      </c>
      <c r="N568" s="475">
        <v>35074.9</v>
      </c>
      <c r="O568" s="475">
        <v>30.5</v>
      </c>
      <c r="P568" s="475">
        <v>739.95</v>
      </c>
      <c r="Q568" s="475">
        <v>1101.32</v>
      </c>
      <c r="R568" s="475">
        <v>11634.48</v>
      </c>
      <c r="S568" s="475">
        <v>9.0399999999999991</v>
      </c>
      <c r="T568" s="475">
        <v>38530</v>
      </c>
      <c r="U568" s="475">
        <v>69</v>
      </c>
      <c r="V568" s="475"/>
      <c r="W568" s="475"/>
      <c r="X568" s="475">
        <v>8986.27</v>
      </c>
      <c r="Y568" s="475">
        <v>0</v>
      </c>
      <c r="Z568" s="475"/>
      <c r="AA568" s="338"/>
      <c r="AB568" s="475"/>
      <c r="AC568" s="476"/>
      <c r="AD568" s="475"/>
      <c r="AE568" s="338"/>
      <c r="AF568" s="505">
        <v>672.53</v>
      </c>
      <c r="AG568" s="476">
        <v>11.27</v>
      </c>
      <c r="AH568" s="505">
        <v>69.34</v>
      </c>
      <c r="AI568" s="476">
        <v>0</v>
      </c>
      <c r="AJ568" s="505">
        <v>119.98</v>
      </c>
      <c r="AK568" s="476">
        <v>0</v>
      </c>
    </row>
    <row r="569" spans="1:37">
      <c r="A569" s="492">
        <f t="shared" si="35"/>
        <v>45840</v>
      </c>
      <c r="B569" s="102" t="s">
        <v>1197</v>
      </c>
      <c r="C569" s="110" t="str">
        <f t="shared" si="34"/>
        <v>45840 1200H</v>
      </c>
      <c r="D569" s="471">
        <v>2744.18</v>
      </c>
      <c r="E569" s="472">
        <v>49.74</v>
      </c>
      <c r="F569" s="471">
        <v>1126.79</v>
      </c>
      <c r="G569" s="472">
        <v>6.21</v>
      </c>
      <c r="H569" s="471">
        <v>76824.591</v>
      </c>
      <c r="I569" s="473">
        <v>949.53</v>
      </c>
      <c r="J569" s="473">
        <v>33826.69</v>
      </c>
      <c r="K569" s="472">
        <v>114.22</v>
      </c>
      <c r="L569" s="471">
        <v>7573.6</v>
      </c>
      <c r="M569" s="473">
        <v>19.05</v>
      </c>
      <c r="N569" s="473">
        <v>35076.800000000003</v>
      </c>
      <c r="O569" s="473">
        <v>30.6</v>
      </c>
      <c r="P569" s="473">
        <v>739.99</v>
      </c>
      <c r="Q569" s="473">
        <v>1102.4000000000001</v>
      </c>
      <c r="R569" s="473">
        <v>11638.25</v>
      </c>
      <c r="S569" s="473">
        <v>9.0399999999999991</v>
      </c>
      <c r="T569" s="473">
        <v>38536</v>
      </c>
      <c r="U569" s="473">
        <v>69</v>
      </c>
      <c r="V569" s="473"/>
      <c r="W569" s="473"/>
      <c r="X569" s="473">
        <v>8992.35</v>
      </c>
      <c r="Y569" s="473">
        <v>0</v>
      </c>
      <c r="Z569" s="473"/>
      <c r="AA569" s="472"/>
      <c r="AB569" s="473"/>
      <c r="AC569" s="474"/>
      <c r="AD569" s="473"/>
      <c r="AE569" s="472"/>
      <c r="AF569" s="506">
        <v>679.92</v>
      </c>
      <c r="AG569" s="474">
        <v>11.27</v>
      </c>
      <c r="AH569" s="506">
        <v>69.510000000000005</v>
      </c>
      <c r="AI569" s="474">
        <v>0</v>
      </c>
      <c r="AJ569" s="506">
        <v>121.93</v>
      </c>
      <c r="AK569" s="474">
        <v>0</v>
      </c>
    </row>
    <row r="570" spans="1:37">
      <c r="A570" s="492">
        <f t="shared" si="35"/>
        <v>45841</v>
      </c>
      <c r="B570" s="102" t="s">
        <v>3267</v>
      </c>
      <c r="C570" s="110" t="str">
        <f t="shared" si="34"/>
        <v>45841 0000H</v>
      </c>
      <c r="D570" s="337">
        <v>2748.88</v>
      </c>
      <c r="E570" s="338">
        <v>49.74</v>
      </c>
      <c r="F570" s="337">
        <v>1126.79</v>
      </c>
      <c r="G570" s="338">
        <v>6.21</v>
      </c>
      <c r="H570" s="337">
        <v>76834.44</v>
      </c>
      <c r="I570" s="475">
        <v>949.33</v>
      </c>
      <c r="J570" s="475">
        <v>33829.370000000003</v>
      </c>
      <c r="K570" s="338">
        <v>114.25</v>
      </c>
      <c r="L570" s="337">
        <v>7579.42</v>
      </c>
      <c r="M570" s="475">
        <v>19.05</v>
      </c>
      <c r="N570" s="475">
        <v>35080</v>
      </c>
      <c r="O570" s="475">
        <v>30.6</v>
      </c>
      <c r="P570" s="475">
        <v>740.01</v>
      </c>
      <c r="Q570" s="475">
        <v>1104.01</v>
      </c>
      <c r="R570" s="475">
        <v>11642.58</v>
      </c>
      <c r="S570" s="475">
        <v>9.0399999999999991</v>
      </c>
      <c r="T570" s="475">
        <v>38544</v>
      </c>
      <c r="U570" s="475">
        <v>69</v>
      </c>
      <c r="V570" s="475"/>
      <c r="W570" s="475"/>
      <c r="X570" s="475">
        <v>8999.7000000000007</v>
      </c>
      <c r="Y570" s="475">
        <v>0</v>
      </c>
      <c r="Z570" s="475"/>
      <c r="AA570" s="338"/>
      <c r="AB570" s="475"/>
      <c r="AC570" s="476"/>
      <c r="AD570" s="475"/>
      <c r="AE570" s="338"/>
      <c r="AF570" s="505">
        <v>686.96</v>
      </c>
      <c r="AG570" s="476">
        <v>11.28</v>
      </c>
      <c r="AH570" s="505">
        <v>69.75</v>
      </c>
      <c r="AI570" s="476">
        <v>0</v>
      </c>
      <c r="AJ570" s="505">
        <v>123.72</v>
      </c>
      <c r="AK570" s="476">
        <v>0</v>
      </c>
    </row>
    <row r="571" spans="1:37">
      <c r="A571" s="492">
        <f t="shared" si="35"/>
        <v>45841</v>
      </c>
      <c r="B571" s="102" t="s">
        <v>1197</v>
      </c>
      <c r="C571" s="110" t="str">
        <f t="shared" si="34"/>
        <v>45841 1200H</v>
      </c>
      <c r="D571" s="471">
        <v>2752.57</v>
      </c>
      <c r="E571" s="472">
        <v>49.74</v>
      </c>
      <c r="F571" s="471">
        <v>1126.79</v>
      </c>
      <c r="G571" s="472">
        <v>6.21</v>
      </c>
      <c r="H571" s="471">
        <v>76839.63</v>
      </c>
      <c r="I571" s="473">
        <v>949.55</v>
      </c>
      <c r="J571" s="473">
        <v>33830.47</v>
      </c>
      <c r="K571" s="472">
        <v>114.28</v>
      </c>
      <c r="L571" s="471">
        <v>7585.17</v>
      </c>
      <c r="M571" s="473">
        <v>19.05</v>
      </c>
      <c r="N571" s="473">
        <v>35085.300000000003</v>
      </c>
      <c r="O571" s="473">
        <v>30.6</v>
      </c>
      <c r="P571" s="473">
        <v>740.03</v>
      </c>
      <c r="Q571" s="473">
        <v>1105.05</v>
      </c>
      <c r="R571" s="473">
        <v>11646.27</v>
      </c>
      <c r="S571" s="473">
        <v>9.0399999999999991</v>
      </c>
      <c r="T571" s="473">
        <v>38549</v>
      </c>
      <c r="U571" s="473">
        <v>69</v>
      </c>
      <c r="V571" s="473"/>
      <c r="W571" s="473"/>
      <c r="X571" s="473">
        <v>9005.24</v>
      </c>
      <c r="Y571" s="473">
        <v>0</v>
      </c>
      <c r="Z571" s="473"/>
      <c r="AA571" s="472"/>
      <c r="AB571" s="473"/>
      <c r="AC571" s="474"/>
      <c r="AD571" s="473"/>
      <c r="AE571" s="472"/>
      <c r="AF571" s="506">
        <v>689.03</v>
      </c>
      <c r="AG571" s="474">
        <v>11.33</v>
      </c>
      <c r="AH571" s="506">
        <v>69.84</v>
      </c>
      <c r="AI571" s="474">
        <v>0</v>
      </c>
      <c r="AJ571" s="506">
        <v>124.28</v>
      </c>
      <c r="AK571" s="474">
        <v>0</v>
      </c>
    </row>
    <row r="572" spans="1:37">
      <c r="A572" s="492">
        <f t="shared" si="35"/>
        <v>45842</v>
      </c>
      <c r="B572" s="102" t="s">
        <v>3267</v>
      </c>
      <c r="C572" s="110" t="str">
        <f t="shared" si="34"/>
        <v>45842 0000H</v>
      </c>
      <c r="D572" s="337">
        <v>2757.32</v>
      </c>
      <c r="E572" s="338">
        <v>49.74</v>
      </c>
      <c r="F572" s="337">
        <v>1126.79</v>
      </c>
      <c r="G572" s="338">
        <v>6.21</v>
      </c>
      <c r="H572" s="337">
        <v>76846.92</v>
      </c>
      <c r="I572" s="475">
        <v>949.67</v>
      </c>
      <c r="J572" s="475">
        <v>33833.07</v>
      </c>
      <c r="K572" s="338">
        <v>114.3</v>
      </c>
      <c r="L572" s="337">
        <v>7590.95</v>
      </c>
      <c r="M572" s="475">
        <v>19.05</v>
      </c>
      <c r="N572" s="475">
        <v>35088.1</v>
      </c>
      <c r="O572" s="475">
        <v>30.6</v>
      </c>
      <c r="P572" s="475">
        <v>740.03</v>
      </c>
      <c r="Q572" s="475">
        <v>1106.6600000000001</v>
      </c>
      <c r="R572" s="475">
        <v>11650.8</v>
      </c>
      <c r="S572" s="475">
        <v>9.0399999999999991</v>
      </c>
      <c r="T572" s="475">
        <v>38559</v>
      </c>
      <c r="U572" s="475">
        <v>69</v>
      </c>
      <c r="V572" s="475"/>
      <c r="W572" s="475"/>
      <c r="X572" s="475">
        <v>9010.35</v>
      </c>
      <c r="Y572" s="475">
        <v>0</v>
      </c>
      <c r="Z572" s="475"/>
      <c r="AA572" s="338"/>
      <c r="AB572" s="475"/>
      <c r="AC572" s="476"/>
      <c r="AD572" s="475"/>
      <c r="AE572" s="338"/>
      <c r="AF572" s="505">
        <v>696.64</v>
      </c>
      <c r="AG572" s="476">
        <v>11.33</v>
      </c>
      <c r="AH572" s="505">
        <v>70.099999999999994</v>
      </c>
      <c r="AI572" s="476">
        <v>0</v>
      </c>
      <c r="AJ572" s="505">
        <v>126.18</v>
      </c>
      <c r="AK572" s="476">
        <v>0</v>
      </c>
    </row>
    <row r="573" spans="1:37">
      <c r="A573" s="492">
        <f t="shared" si="35"/>
        <v>45842</v>
      </c>
      <c r="B573" s="102" t="s">
        <v>1197</v>
      </c>
      <c r="C573" s="110" t="str">
        <f t="shared" si="34"/>
        <v>45842 1200H</v>
      </c>
      <c r="D573" s="471">
        <v>2760.75</v>
      </c>
      <c r="E573" s="472">
        <v>49.74</v>
      </c>
      <c r="F573" s="471">
        <v>1126.79</v>
      </c>
      <c r="G573" s="472">
        <v>6.21</v>
      </c>
      <c r="H573" s="471">
        <v>76849.5</v>
      </c>
      <c r="I573" s="473">
        <v>950.02</v>
      </c>
      <c r="J573" s="473">
        <v>33833.85</v>
      </c>
      <c r="K573" s="472">
        <v>114.33</v>
      </c>
      <c r="L573" s="471">
        <v>7596.7</v>
      </c>
      <c r="M573" s="473">
        <v>19.05</v>
      </c>
      <c r="N573" s="473">
        <v>35090.300000000003</v>
      </c>
      <c r="O573" s="473">
        <v>30.6</v>
      </c>
      <c r="P573" s="473">
        <v>740.11</v>
      </c>
      <c r="Q573" s="473">
        <v>1107.8</v>
      </c>
      <c r="R573" s="473">
        <v>11654.51</v>
      </c>
      <c r="S573" s="473">
        <v>9.0399999999999991</v>
      </c>
      <c r="T573" s="473">
        <v>38562</v>
      </c>
      <c r="U573" s="473">
        <v>69</v>
      </c>
      <c r="V573" s="473"/>
      <c r="W573" s="473"/>
      <c r="X573" s="473">
        <v>9016.3799999999992</v>
      </c>
      <c r="Y573" s="473">
        <v>0</v>
      </c>
      <c r="Z573" s="473"/>
      <c r="AA573" s="472"/>
      <c r="AB573" s="473"/>
      <c r="AC573" s="474"/>
      <c r="AD573" s="473"/>
      <c r="AE573" s="472"/>
      <c r="AF573" s="506">
        <v>703.34</v>
      </c>
      <c r="AG573" s="474">
        <v>11.34</v>
      </c>
      <c r="AH573" s="506">
        <v>70.34</v>
      </c>
      <c r="AI573" s="474">
        <v>0</v>
      </c>
      <c r="AJ573" s="506">
        <v>127.84</v>
      </c>
      <c r="AK573" s="474">
        <v>0</v>
      </c>
    </row>
    <row r="574" spans="1:37">
      <c r="A574" s="492">
        <f t="shared" si="35"/>
        <v>45843</v>
      </c>
      <c r="B574" s="102" t="s">
        <v>3267</v>
      </c>
      <c r="C574" s="110" t="str">
        <f t="shared" si="34"/>
        <v>45843 0000H</v>
      </c>
      <c r="D574" s="337">
        <v>2765.27</v>
      </c>
      <c r="E574" s="338">
        <v>49.74</v>
      </c>
      <c r="F574" s="337">
        <v>1126.79</v>
      </c>
      <c r="G574" s="338">
        <v>6.21</v>
      </c>
      <c r="H574" s="337">
        <v>76859.12</v>
      </c>
      <c r="I574" s="475">
        <v>950.02</v>
      </c>
      <c r="J574" s="475">
        <v>33837.360000000001</v>
      </c>
      <c r="K574" s="338">
        <v>114.34</v>
      </c>
      <c r="L574" s="337">
        <v>7602.51</v>
      </c>
      <c r="M574" s="475">
        <v>19.05</v>
      </c>
      <c r="N574" s="475">
        <v>35093.599999999999</v>
      </c>
      <c r="O574" s="475">
        <v>30.6</v>
      </c>
      <c r="P574" s="475">
        <v>740.12</v>
      </c>
      <c r="Q574" s="475">
        <v>1109.06</v>
      </c>
      <c r="R574" s="475">
        <v>11659.19</v>
      </c>
      <c r="S574" s="475">
        <v>9.0399999999999991</v>
      </c>
      <c r="T574" s="475">
        <v>38570</v>
      </c>
      <c r="U574" s="475">
        <v>69</v>
      </c>
      <c r="V574" s="475"/>
      <c r="W574" s="475"/>
      <c r="X574" s="475">
        <v>9023.51</v>
      </c>
      <c r="Y574" s="475">
        <v>0</v>
      </c>
      <c r="Z574" s="475"/>
      <c r="AA574" s="338"/>
      <c r="AB574" s="475"/>
      <c r="AC574" s="476"/>
      <c r="AD574" s="475"/>
      <c r="AE574" s="338"/>
      <c r="AF574" s="505">
        <v>712.5</v>
      </c>
      <c r="AG574" s="476">
        <v>11.34</v>
      </c>
      <c r="AH574" s="505">
        <v>70.849999999999994</v>
      </c>
      <c r="AI574" s="476">
        <v>0</v>
      </c>
      <c r="AJ574" s="505">
        <v>129.97</v>
      </c>
      <c r="AK574" s="476">
        <v>0</v>
      </c>
    </row>
    <row r="575" spans="1:37">
      <c r="A575" s="492">
        <f t="shared" si="35"/>
        <v>45843</v>
      </c>
      <c r="B575" s="102" t="s">
        <v>1197</v>
      </c>
      <c r="C575" s="110" t="str">
        <f t="shared" si="34"/>
        <v>45843 1200H</v>
      </c>
      <c r="D575" s="471">
        <v>2767.98</v>
      </c>
      <c r="E575" s="472">
        <v>49.74</v>
      </c>
      <c r="F575" s="471">
        <v>1126.79</v>
      </c>
      <c r="G575" s="472">
        <v>6.21</v>
      </c>
      <c r="H575" s="471">
        <v>76863.73</v>
      </c>
      <c r="I575" s="473">
        <v>950.3</v>
      </c>
      <c r="J575" s="473">
        <v>33838.19</v>
      </c>
      <c r="K575" s="472">
        <v>114.38</v>
      </c>
      <c r="L575" s="471">
        <v>7608.3</v>
      </c>
      <c r="M575" s="473">
        <v>19.05</v>
      </c>
      <c r="N575" s="473">
        <v>35096.400000000001</v>
      </c>
      <c r="O575" s="473">
        <v>30.7</v>
      </c>
      <c r="P575" s="473">
        <v>740.19</v>
      </c>
      <c r="Q575" s="473">
        <v>1110</v>
      </c>
      <c r="R575" s="473">
        <v>11663.02</v>
      </c>
      <c r="S575" s="473">
        <v>9.0399999999999991</v>
      </c>
      <c r="T575" s="473">
        <v>38576</v>
      </c>
      <c r="U575" s="473">
        <v>69</v>
      </c>
      <c r="V575" s="473"/>
      <c r="W575" s="473"/>
      <c r="X575" s="473">
        <v>9029.6</v>
      </c>
      <c r="Y575" s="473">
        <v>0</v>
      </c>
      <c r="Z575" s="473"/>
      <c r="AA575" s="472"/>
      <c r="AB575" s="473"/>
      <c r="AC575" s="474"/>
      <c r="AD575" s="473"/>
      <c r="AE575" s="472"/>
      <c r="AF575" s="506">
        <v>720.2</v>
      </c>
      <c r="AG575" s="474">
        <v>11.34</v>
      </c>
      <c r="AH575" s="506">
        <v>71.02</v>
      </c>
      <c r="AI575" s="474">
        <v>0</v>
      </c>
      <c r="AJ575" s="506">
        <v>132.02000000000001</v>
      </c>
      <c r="AK575" s="474">
        <v>0</v>
      </c>
    </row>
    <row r="576" spans="1:37">
      <c r="A576" s="492">
        <f t="shared" si="35"/>
        <v>45844</v>
      </c>
      <c r="B576" s="102" t="s">
        <v>3267</v>
      </c>
      <c r="C576" s="110" t="str">
        <f t="shared" si="34"/>
        <v>45844 0000H</v>
      </c>
      <c r="D576" s="337">
        <v>2772.84</v>
      </c>
      <c r="E576" s="338">
        <v>49.74</v>
      </c>
      <c r="F576" s="337">
        <v>1126.79</v>
      </c>
      <c r="G576" s="338">
        <v>6.21</v>
      </c>
      <c r="H576" s="337">
        <v>76872.73</v>
      </c>
      <c r="I576" s="475">
        <v>950.34</v>
      </c>
      <c r="J576" s="475">
        <v>33840.949999999997</v>
      </c>
      <c r="K576" s="338">
        <v>114.39</v>
      </c>
      <c r="L576" s="337">
        <v>7614.14</v>
      </c>
      <c r="M576" s="475">
        <v>19.05</v>
      </c>
      <c r="N576" s="475">
        <v>35099.199999999997</v>
      </c>
      <c r="O576" s="475">
        <v>30.7</v>
      </c>
      <c r="P576" s="475">
        <v>740.21</v>
      </c>
      <c r="Q576" s="475">
        <v>1111.67</v>
      </c>
      <c r="R576" s="475">
        <v>11667.74</v>
      </c>
      <c r="S576" s="475">
        <v>9.0399999999999991</v>
      </c>
      <c r="T576" s="475">
        <v>38583</v>
      </c>
      <c r="U576" s="475">
        <v>69</v>
      </c>
      <c r="V576" s="475"/>
      <c r="W576" s="475"/>
      <c r="X576" s="475">
        <v>9036.7999999999993</v>
      </c>
      <c r="Y576" s="475">
        <v>0</v>
      </c>
      <c r="Z576" s="475"/>
      <c r="AA576" s="338"/>
      <c r="AB576" s="475"/>
      <c r="AC576" s="476"/>
      <c r="AD576" s="475"/>
      <c r="AE576" s="338"/>
      <c r="AF576" s="505">
        <v>726.48</v>
      </c>
      <c r="AG576" s="476">
        <v>11.34</v>
      </c>
      <c r="AH576" s="505">
        <v>71.069999999999993</v>
      </c>
      <c r="AI576" s="476">
        <v>0</v>
      </c>
      <c r="AJ576" s="505">
        <v>133.77000000000001</v>
      </c>
      <c r="AK576" s="476">
        <v>0</v>
      </c>
    </row>
    <row r="577" spans="1:42">
      <c r="A577" s="492">
        <f t="shared" si="35"/>
        <v>45844</v>
      </c>
      <c r="B577" s="102" t="s">
        <v>1197</v>
      </c>
      <c r="C577" s="110" t="str">
        <f t="shared" si="34"/>
        <v>45844 1200H</v>
      </c>
      <c r="D577" s="471">
        <v>2776.54</v>
      </c>
      <c r="E577" s="472">
        <v>49.74</v>
      </c>
      <c r="F577" s="471">
        <v>1126.79</v>
      </c>
      <c r="G577" s="472">
        <v>6.21</v>
      </c>
      <c r="H577" s="471">
        <v>76873.23</v>
      </c>
      <c r="I577" s="473">
        <v>950.88</v>
      </c>
      <c r="J577" s="473">
        <v>33840.949999999997</v>
      </c>
      <c r="K577" s="472">
        <v>114.43</v>
      </c>
      <c r="L577" s="471">
        <v>7619.93</v>
      </c>
      <c r="M577" s="473">
        <v>19.05</v>
      </c>
      <c r="N577" s="473">
        <v>35100.6</v>
      </c>
      <c r="O577" s="473">
        <v>30.7</v>
      </c>
      <c r="P577" s="473">
        <v>740.22</v>
      </c>
      <c r="Q577" s="473">
        <v>1112.8900000000001</v>
      </c>
      <c r="R577" s="473">
        <v>11671.45</v>
      </c>
      <c r="S577" s="473">
        <v>9.0399999999999991</v>
      </c>
      <c r="T577" s="473">
        <v>38589</v>
      </c>
      <c r="U577" s="473">
        <v>69</v>
      </c>
      <c r="V577" s="473"/>
      <c r="W577" s="473"/>
      <c r="X577" s="473">
        <v>9402.91</v>
      </c>
      <c r="Y577" s="473">
        <v>0</v>
      </c>
      <c r="Z577" s="473"/>
      <c r="AA577" s="472"/>
      <c r="AB577" s="473"/>
      <c r="AC577" s="474"/>
      <c r="AD577" s="473"/>
      <c r="AE577" s="472"/>
      <c r="AF577" s="506">
        <v>732.83</v>
      </c>
      <c r="AG577" s="474">
        <v>11.34</v>
      </c>
      <c r="AH577" s="506">
        <v>71.069999999999993</v>
      </c>
      <c r="AI577" s="474">
        <v>0</v>
      </c>
      <c r="AJ577" s="506">
        <v>135.5</v>
      </c>
      <c r="AK577" s="474">
        <v>0</v>
      </c>
    </row>
    <row r="578" spans="1:42">
      <c r="A578" s="492">
        <f t="shared" si="35"/>
        <v>45845</v>
      </c>
      <c r="B578" s="102" t="s">
        <v>3267</v>
      </c>
      <c r="C578" s="110" t="str">
        <f t="shared" si="34"/>
        <v>45845 0000H</v>
      </c>
      <c r="D578" s="337">
        <v>2781.36</v>
      </c>
      <c r="E578" s="338">
        <v>49.74</v>
      </c>
      <c r="F578" s="337">
        <v>1126.79</v>
      </c>
      <c r="G578" s="338">
        <v>6.21</v>
      </c>
      <c r="H578" s="337">
        <v>76883.73</v>
      </c>
      <c r="I578" s="475">
        <v>950.9</v>
      </c>
      <c r="J578" s="475">
        <v>33840.949999999997</v>
      </c>
      <c r="K578" s="338">
        <v>114.47</v>
      </c>
      <c r="L578" s="337">
        <v>7625.78</v>
      </c>
      <c r="M578" s="475">
        <v>19.05</v>
      </c>
      <c r="N578" s="475">
        <v>35103.699999999997</v>
      </c>
      <c r="O578" s="475">
        <v>30.7</v>
      </c>
      <c r="P578" s="475">
        <v>740.24</v>
      </c>
      <c r="Q578" s="475">
        <v>1114.27</v>
      </c>
      <c r="R578" s="235">
        <v>11676.34</v>
      </c>
      <c r="S578" s="235">
        <v>9.0399999999999991</v>
      </c>
      <c r="T578" s="475">
        <v>38597</v>
      </c>
      <c r="U578" s="475">
        <v>69</v>
      </c>
      <c r="V578" s="475"/>
      <c r="W578" s="475"/>
      <c r="X578" s="475">
        <v>9048.84</v>
      </c>
      <c r="Y578" s="475">
        <v>0</v>
      </c>
      <c r="Z578" s="475"/>
      <c r="AA578" s="338"/>
      <c r="AB578" s="475"/>
      <c r="AC578" s="476"/>
      <c r="AD578" s="475"/>
      <c r="AE578" s="338"/>
      <c r="AF578" s="505">
        <v>739.7</v>
      </c>
      <c r="AG578" s="476">
        <v>11.34</v>
      </c>
      <c r="AH578" s="505">
        <v>71.069999999999993</v>
      </c>
      <c r="AI578" s="476">
        <v>0</v>
      </c>
      <c r="AJ578" s="505">
        <v>137.56</v>
      </c>
      <c r="AK578" s="476">
        <v>0</v>
      </c>
    </row>
    <row r="579" spans="1:42">
      <c r="A579" s="492">
        <f t="shared" si="35"/>
        <v>45845</v>
      </c>
      <c r="B579" s="102" t="s">
        <v>1197</v>
      </c>
      <c r="C579" s="110" t="str">
        <f t="shared" si="34"/>
        <v>45845 1200H</v>
      </c>
      <c r="D579" s="471">
        <v>2785.27</v>
      </c>
      <c r="E579" s="472">
        <v>49.74</v>
      </c>
      <c r="F579" s="471">
        <v>1126.79</v>
      </c>
      <c r="G579" s="472">
        <v>6.21</v>
      </c>
      <c r="H579" s="471">
        <v>76889.13</v>
      </c>
      <c r="I579" s="473">
        <v>951.28</v>
      </c>
      <c r="J579" s="473">
        <v>33841.49</v>
      </c>
      <c r="K579" s="472">
        <v>114.51</v>
      </c>
      <c r="L579" s="471">
        <v>7631.61</v>
      </c>
      <c r="M579" s="473">
        <v>19.05</v>
      </c>
      <c r="N579" s="473">
        <v>35105.9</v>
      </c>
      <c r="O579" s="473">
        <v>30.8</v>
      </c>
      <c r="P579" s="473">
        <v>740.25</v>
      </c>
      <c r="Q579" s="473">
        <v>1115.42</v>
      </c>
      <c r="R579" s="473">
        <v>11680.29</v>
      </c>
      <c r="S579" s="473">
        <v>9.0399999999999991</v>
      </c>
      <c r="T579" s="473">
        <v>38604</v>
      </c>
      <c r="U579" s="473">
        <v>69</v>
      </c>
      <c r="V579" s="473"/>
      <c r="W579" s="473"/>
      <c r="X579" s="473">
        <v>9054.84</v>
      </c>
      <c r="Y579" s="473">
        <v>0</v>
      </c>
      <c r="Z579" s="473"/>
      <c r="AA579" s="472"/>
      <c r="AB579" s="473"/>
      <c r="AC579" s="474"/>
      <c r="AD579" s="473"/>
      <c r="AE579" s="472"/>
      <c r="AF579" s="506">
        <v>746.3</v>
      </c>
      <c r="AG579" s="474">
        <v>11.34</v>
      </c>
      <c r="AH579" s="506">
        <v>71.069999999999993</v>
      </c>
      <c r="AI579" s="474">
        <v>0</v>
      </c>
      <c r="AJ579" s="506">
        <v>139.44</v>
      </c>
      <c r="AK579" s="474">
        <v>0</v>
      </c>
    </row>
    <row r="580" spans="1:42">
      <c r="A580" s="492">
        <f t="shared" si="35"/>
        <v>45846</v>
      </c>
      <c r="B580" s="102" t="s">
        <v>3267</v>
      </c>
      <c r="C580" s="110" t="str">
        <f t="shared" si="34"/>
        <v>45846 0000H</v>
      </c>
      <c r="D580" s="337">
        <v>2789.94</v>
      </c>
      <c r="E580" s="338">
        <v>49.74</v>
      </c>
      <c r="F580" s="337">
        <v>1126.79</v>
      </c>
      <c r="G580" s="338">
        <v>6.21</v>
      </c>
      <c r="H580" s="337">
        <v>76902.02</v>
      </c>
      <c r="I580" s="475">
        <v>951.35</v>
      </c>
      <c r="J580" s="475">
        <v>33844.39</v>
      </c>
      <c r="K580" s="338">
        <v>114.52</v>
      </c>
      <c r="L580" s="514">
        <v>7637.23</v>
      </c>
      <c r="M580" s="235">
        <v>19.05</v>
      </c>
      <c r="N580" s="475">
        <v>35109.1</v>
      </c>
      <c r="O580" s="475">
        <v>30.8</v>
      </c>
      <c r="P580" s="475">
        <v>740.25</v>
      </c>
      <c r="Q580" s="475">
        <v>1117.06</v>
      </c>
      <c r="R580" s="475">
        <v>11684.85</v>
      </c>
      <c r="S580" s="475">
        <v>9.0399999999999991</v>
      </c>
      <c r="T580" s="475">
        <v>38611</v>
      </c>
      <c r="U580" s="475">
        <v>69</v>
      </c>
      <c r="V580" s="475"/>
      <c r="W580" s="475"/>
      <c r="X580" s="475">
        <v>9062.01</v>
      </c>
      <c r="Y580" s="475">
        <v>0</v>
      </c>
      <c r="Z580" s="475"/>
      <c r="AA580" s="338"/>
      <c r="AB580" s="475"/>
      <c r="AC580" s="476"/>
      <c r="AD580" s="475"/>
      <c r="AE580" s="338"/>
      <c r="AF580" s="505">
        <v>754.22</v>
      </c>
      <c r="AG580" s="476">
        <v>11.34</v>
      </c>
      <c r="AH580" s="505">
        <v>71.319999999999993</v>
      </c>
      <c r="AI580" s="476">
        <v>0</v>
      </c>
      <c r="AJ580" s="505">
        <v>141.47</v>
      </c>
      <c r="AK580" s="476">
        <v>0</v>
      </c>
      <c r="AM580" s="530">
        <f>((AF580-AF579)-(AG580-AG579))*'EOD REPORT'!D66</f>
        <v>95040.000000000873</v>
      </c>
      <c r="AN580" s="530">
        <f>(AH580-AH579)*'EOD REPORT'!D67</f>
        <v>10936.06</v>
      </c>
      <c r="AO580" s="530">
        <f>(AJ580-AJ579)*'EOD REPORT'!D67</f>
        <v>88800.807200000039</v>
      </c>
      <c r="AP580" s="23">
        <f>AO580/(AN580+AO580)</f>
        <v>0.89035087719298256</v>
      </c>
    </row>
    <row r="581" spans="1:42">
      <c r="A581" s="492">
        <f t="shared" si="35"/>
        <v>45846</v>
      </c>
      <c r="B581" s="102" t="s">
        <v>1197</v>
      </c>
      <c r="C581" s="110" t="str">
        <f t="shared" si="34"/>
        <v>45846 1200H</v>
      </c>
      <c r="D581" s="471">
        <v>2793.72</v>
      </c>
      <c r="E581" s="472">
        <v>49.74</v>
      </c>
      <c r="F581" s="471">
        <v>1126.79</v>
      </c>
      <c r="G581" s="472">
        <v>6.21</v>
      </c>
      <c r="H581" s="471">
        <v>76906.28</v>
      </c>
      <c r="I581" s="473">
        <v>951.16</v>
      </c>
      <c r="J581" s="473">
        <v>33845.24</v>
      </c>
      <c r="K581" s="472">
        <v>114.55</v>
      </c>
      <c r="L581" s="471">
        <v>7643.04</v>
      </c>
      <c r="M581" s="473">
        <v>19.05</v>
      </c>
      <c r="N581" s="473">
        <v>35111.699999999997</v>
      </c>
      <c r="O581" s="473">
        <v>30.8</v>
      </c>
      <c r="P581" s="473">
        <v>740.28</v>
      </c>
      <c r="Q581" s="473">
        <v>1118.23</v>
      </c>
      <c r="R581" s="473">
        <v>11688.7</v>
      </c>
      <c r="S581" s="473">
        <v>9.0399999999999991</v>
      </c>
      <c r="T581" s="473">
        <v>38618</v>
      </c>
      <c r="U581" s="473">
        <v>69</v>
      </c>
      <c r="V581" s="473"/>
      <c r="W581" s="473"/>
      <c r="X581" s="473">
        <v>9068.4</v>
      </c>
      <c r="Y581" s="473">
        <v>0</v>
      </c>
      <c r="Z581" s="473"/>
      <c r="AA581" s="472"/>
      <c r="AB581" s="473"/>
      <c r="AC581" s="474"/>
      <c r="AD581" s="473"/>
      <c r="AE581" s="472"/>
      <c r="AF581" s="506">
        <v>761.27</v>
      </c>
      <c r="AG581" s="474">
        <v>11.34</v>
      </c>
      <c r="AH581" s="506">
        <v>71.459999999999994</v>
      </c>
      <c r="AI581" s="474">
        <v>0</v>
      </c>
      <c r="AJ581" s="506">
        <v>143.38</v>
      </c>
      <c r="AK581" s="474">
        <v>0</v>
      </c>
    </row>
    <row r="582" spans="1:42">
      <c r="A582" s="492">
        <f t="shared" si="35"/>
        <v>45847</v>
      </c>
      <c r="B582" s="102" t="s">
        <v>3267</v>
      </c>
      <c r="C582" s="110" t="str">
        <f t="shared" si="34"/>
        <v>45847 0000H</v>
      </c>
      <c r="D582" s="337">
        <v>2798.29</v>
      </c>
      <c r="E582" s="338">
        <v>49.74</v>
      </c>
      <c r="F582" s="337">
        <v>1126.79</v>
      </c>
      <c r="G582" s="338">
        <v>6.21</v>
      </c>
      <c r="H582" s="337">
        <v>76922.14</v>
      </c>
      <c r="I582" s="475">
        <v>951.6</v>
      </c>
      <c r="J582" s="475">
        <v>33848.879999999997</v>
      </c>
      <c r="K582" s="338">
        <v>114.55</v>
      </c>
      <c r="L582" s="337">
        <v>7648.87</v>
      </c>
      <c r="M582" s="475">
        <v>19.05</v>
      </c>
      <c r="N582" s="475">
        <v>35115.1</v>
      </c>
      <c r="O582" s="475">
        <v>30.8</v>
      </c>
      <c r="P582" s="475">
        <v>740.28</v>
      </c>
      <c r="Q582" s="475">
        <v>1119.6400000000001</v>
      </c>
      <c r="R582" s="475">
        <v>11693.37</v>
      </c>
      <c r="S582" s="475">
        <v>9.0399999999999991</v>
      </c>
      <c r="T582" s="475">
        <v>38626</v>
      </c>
      <c r="U582" s="475">
        <v>69</v>
      </c>
      <c r="V582" s="475"/>
      <c r="W582" s="475"/>
      <c r="X582" s="475">
        <v>9075.73</v>
      </c>
      <c r="Y582" s="475">
        <v>0</v>
      </c>
      <c r="Z582" s="475"/>
      <c r="AA582" s="338"/>
      <c r="AB582" s="475"/>
      <c r="AC582" s="476"/>
      <c r="AD582" s="475"/>
      <c r="AE582" s="338"/>
      <c r="AF582" s="505">
        <v>769.82</v>
      </c>
      <c r="AG582" s="476">
        <v>11.35</v>
      </c>
      <c r="AH582" s="505">
        <v>72.11</v>
      </c>
      <c r="AI582" s="476">
        <v>0</v>
      </c>
      <c r="AJ582" s="505">
        <v>145.16</v>
      </c>
      <c r="AK582" s="476">
        <v>0</v>
      </c>
    </row>
    <row r="583" spans="1:42">
      <c r="A583" s="492">
        <f t="shared" si="35"/>
        <v>45847</v>
      </c>
      <c r="B583" s="102" t="s">
        <v>1197</v>
      </c>
      <c r="C583" s="110" t="str">
        <f t="shared" si="34"/>
        <v>45847 1200H</v>
      </c>
      <c r="D583" s="471">
        <v>2802.09</v>
      </c>
      <c r="E583" s="472">
        <v>49.74</v>
      </c>
      <c r="F583" s="471">
        <v>1126.79</v>
      </c>
      <c r="G583" s="472">
        <v>6.21</v>
      </c>
      <c r="H583" s="471">
        <v>76929.5</v>
      </c>
      <c r="I583" s="473">
        <v>951.77</v>
      </c>
      <c r="J583" s="473">
        <v>33848.94</v>
      </c>
      <c r="K583" s="472">
        <v>114.6</v>
      </c>
      <c r="L583" s="471">
        <v>7654.7</v>
      </c>
      <c r="M583" s="473">
        <v>19.05</v>
      </c>
      <c r="N583" s="473">
        <v>35118.400000000001</v>
      </c>
      <c r="O583" s="473">
        <v>30.8</v>
      </c>
      <c r="P583" s="473">
        <v>740.28</v>
      </c>
      <c r="Q583" s="473">
        <v>1120.98</v>
      </c>
      <c r="R583" s="473">
        <v>11697.25</v>
      </c>
      <c r="S583" s="473">
        <v>9.0399999999999991</v>
      </c>
      <c r="T583" s="473">
        <v>38632</v>
      </c>
      <c r="U583" s="473">
        <v>69</v>
      </c>
      <c r="V583" s="473"/>
      <c r="W583" s="473"/>
      <c r="X583" s="473">
        <v>9082.14</v>
      </c>
      <c r="Y583" s="473">
        <v>0</v>
      </c>
      <c r="Z583" s="473"/>
      <c r="AA583" s="472"/>
      <c r="AB583" s="473"/>
      <c r="AC583" s="474"/>
      <c r="AD583" s="473"/>
      <c r="AE583" s="472"/>
      <c r="AF583" s="506">
        <v>776.08</v>
      </c>
      <c r="AG583" s="474">
        <v>11.36</v>
      </c>
      <c r="AH583" s="506">
        <v>72.11</v>
      </c>
      <c r="AI583" s="474">
        <v>0</v>
      </c>
      <c r="AJ583" s="506">
        <v>146.94</v>
      </c>
      <c r="AK583" s="474">
        <v>0</v>
      </c>
    </row>
    <row r="584" spans="1:42">
      <c r="A584" s="492">
        <f t="shared" si="35"/>
        <v>45848</v>
      </c>
      <c r="B584" s="102" t="s">
        <v>3267</v>
      </c>
      <c r="C584" s="110" t="str">
        <f t="shared" si="34"/>
        <v>45848 0000H</v>
      </c>
      <c r="D584" s="337">
        <v>2807</v>
      </c>
      <c r="E584" s="338">
        <v>49.74</v>
      </c>
      <c r="F584" s="337">
        <v>1126.79</v>
      </c>
      <c r="G584" s="338">
        <v>6.21</v>
      </c>
      <c r="H584" s="337">
        <v>76945.95</v>
      </c>
      <c r="I584" s="475">
        <v>951.79</v>
      </c>
      <c r="J584" s="475">
        <v>33851.660000000003</v>
      </c>
      <c r="K584" s="338">
        <v>114.62</v>
      </c>
      <c r="L584" s="337">
        <v>7660.47</v>
      </c>
      <c r="M584" s="475">
        <v>19.05</v>
      </c>
      <c r="N584" s="475">
        <v>35121.300000000003</v>
      </c>
      <c r="O584" s="475">
        <v>30.8</v>
      </c>
      <c r="P584" s="475">
        <v>740.28</v>
      </c>
      <c r="Q584" s="475">
        <v>1122.57</v>
      </c>
      <c r="R584" s="475">
        <v>11701.81</v>
      </c>
      <c r="S584" s="475">
        <v>9.0399999999999991</v>
      </c>
      <c r="T584" s="475">
        <v>38640</v>
      </c>
      <c r="U584" s="475">
        <v>69</v>
      </c>
      <c r="V584" s="475"/>
      <c r="W584" s="475"/>
      <c r="X584" s="475">
        <v>9089.33</v>
      </c>
      <c r="Y584" s="475">
        <v>0</v>
      </c>
      <c r="Z584" s="475"/>
      <c r="AA584" s="338"/>
      <c r="AB584" s="475"/>
      <c r="AC584" s="476"/>
      <c r="AD584" s="475"/>
      <c r="AE584" s="338"/>
      <c r="AF584" s="505">
        <v>783.22400000000005</v>
      </c>
      <c r="AG584" s="476">
        <v>11.36</v>
      </c>
      <c r="AH584" s="505">
        <v>72.11</v>
      </c>
      <c r="AI584" s="476">
        <v>0</v>
      </c>
      <c r="AJ584" s="505">
        <v>149.01</v>
      </c>
      <c r="AK584" s="476">
        <v>0</v>
      </c>
    </row>
    <row r="585" spans="1:42">
      <c r="A585" s="492">
        <f t="shared" si="35"/>
        <v>45848</v>
      </c>
      <c r="B585" s="102" t="s">
        <v>1197</v>
      </c>
      <c r="C585" s="110" t="str">
        <f t="shared" si="34"/>
        <v>45848 1200H</v>
      </c>
      <c r="D585" s="471">
        <v>2810.88</v>
      </c>
      <c r="E585" s="472">
        <v>49.74</v>
      </c>
      <c r="F585" s="471">
        <v>1126.79</v>
      </c>
      <c r="G585" s="472">
        <v>6.21</v>
      </c>
      <c r="H585" s="471">
        <v>76952.05</v>
      </c>
      <c r="I585" s="473">
        <v>952.05</v>
      </c>
      <c r="J585" s="473">
        <v>33852.339999999997</v>
      </c>
      <c r="K585" s="472">
        <v>114.65</v>
      </c>
      <c r="L585" s="471">
        <v>7666.3</v>
      </c>
      <c r="M585" s="473">
        <v>19.05</v>
      </c>
      <c r="N585" s="473">
        <v>35124</v>
      </c>
      <c r="O585" s="473">
        <v>30.8</v>
      </c>
      <c r="P585" s="473">
        <v>740.28</v>
      </c>
      <c r="Q585" s="473">
        <v>1123.83</v>
      </c>
      <c r="R585" s="473">
        <v>11705.55</v>
      </c>
      <c r="S585" s="473">
        <v>9.0399999999999991</v>
      </c>
      <c r="T585" s="473">
        <v>38647</v>
      </c>
      <c r="U585" s="473">
        <v>69</v>
      </c>
      <c r="V585" s="473"/>
      <c r="W585" s="473"/>
      <c r="X585" s="473">
        <v>9095.2900000000009</v>
      </c>
      <c r="Y585" s="473">
        <v>0</v>
      </c>
      <c r="Z585" s="473"/>
      <c r="AA585" s="472"/>
      <c r="AB585" s="473"/>
      <c r="AC585" s="474"/>
      <c r="AD585" s="473"/>
      <c r="AE585" s="472"/>
      <c r="AF585" s="506">
        <v>790.09</v>
      </c>
      <c r="AG585" s="474">
        <v>11.36</v>
      </c>
      <c r="AH585" s="506">
        <v>72.11</v>
      </c>
      <c r="AI585" s="474">
        <v>0.01</v>
      </c>
      <c r="AJ585" s="506">
        <v>150.97</v>
      </c>
      <c r="AK585" s="474">
        <v>0</v>
      </c>
    </row>
    <row r="586" spans="1:42">
      <c r="A586" s="492">
        <f t="shared" si="35"/>
        <v>45849</v>
      </c>
      <c r="B586" s="102" t="s">
        <v>3267</v>
      </c>
      <c r="C586" s="110" t="str">
        <f t="shared" si="34"/>
        <v>45849 0000H</v>
      </c>
      <c r="D586" s="337">
        <v>2815.61</v>
      </c>
      <c r="E586" s="338">
        <v>49.74</v>
      </c>
      <c r="F586" s="337">
        <v>1126.79</v>
      </c>
      <c r="G586" s="338">
        <v>6.21</v>
      </c>
      <c r="H586" s="337">
        <v>76968.62</v>
      </c>
      <c r="I586" s="475">
        <v>952.05</v>
      </c>
      <c r="J586" s="475">
        <v>33855.379999999997</v>
      </c>
      <c r="K586" s="338">
        <v>114.66</v>
      </c>
      <c r="L586" s="337">
        <v>7672.09</v>
      </c>
      <c r="M586" s="475">
        <v>19.05</v>
      </c>
      <c r="N586" s="475">
        <v>35127.800000000003</v>
      </c>
      <c r="O586" s="475">
        <v>30.8</v>
      </c>
      <c r="P586" s="475">
        <v>740.31</v>
      </c>
      <c r="Q586" s="475">
        <v>1125.27</v>
      </c>
      <c r="R586" s="475">
        <v>11710.08</v>
      </c>
      <c r="S586" s="475">
        <v>9.0399999999999991</v>
      </c>
      <c r="T586" s="475">
        <v>38655</v>
      </c>
      <c r="U586" s="475">
        <v>69</v>
      </c>
      <c r="V586" s="475"/>
      <c r="W586" s="475"/>
      <c r="X586" s="475">
        <v>9099.9599999999991</v>
      </c>
      <c r="Y586" s="475">
        <v>0</v>
      </c>
      <c r="Z586" s="475"/>
      <c r="AA586" s="338"/>
      <c r="AB586" s="475"/>
      <c r="AC586" s="476"/>
      <c r="AD586" s="475"/>
      <c r="AE586" s="338"/>
      <c r="AF586" s="505">
        <v>798.25</v>
      </c>
      <c r="AG586" s="476">
        <v>11.36</v>
      </c>
      <c r="AH586" s="505">
        <v>72.349999999999994</v>
      </c>
      <c r="AI586" s="476">
        <v>0.01</v>
      </c>
      <c r="AJ586" s="505">
        <v>153.08000000000001</v>
      </c>
      <c r="AK586" s="476">
        <v>0</v>
      </c>
    </row>
    <row r="587" spans="1:42">
      <c r="A587" s="492">
        <f t="shared" si="35"/>
        <v>45849</v>
      </c>
      <c r="B587" s="102" t="s">
        <v>1197</v>
      </c>
      <c r="C587" s="110" t="str">
        <f t="shared" si="34"/>
        <v>45849 1200H</v>
      </c>
      <c r="D587" s="471">
        <v>2819.31</v>
      </c>
      <c r="E587" s="472">
        <v>49.74</v>
      </c>
      <c r="F587" s="471">
        <v>1126.79</v>
      </c>
      <c r="G587" s="472">
        <v>6.21</v>
      </c>
      <c r="H587" s="471">
        <v>76975.429999999993</v>
      </c>
      <c r="I587" s="473">
        <v>952.29</v>
      </c>
      <c r="J587" s="473">
        <v>33855.69</v>
      </c>
      <c r="K587" s="472">
        <v>114.7</v>
      </c>
      <c r="L587" s="471">
        <v>7677.93</v>
      </c>
      <c r="M587" s="473">
        <v>19.05</v>
      </c>
      <c r="N587" s="473">
        <v>35130.199999999997</v>
      </c>
      <c r="O587" s="473">
        <v>30.8</v>
      </c>
      <c r="P587" s="473">
        <v>740.32</v>
      </c>
      <c r="Q587" s="473">
        <v>1126.5999999999999</v>
      </c>
      <c r="R587" s="473">
        <v>11714.03</v>
      </c>
      <c r="S587" s="473">
        <v>9.0399999999999991</v>
      </c>
      <c r="T587" s="473">
        <v>38662</v>
      </c>
      <c r="U587" s="473">
        <v>69</v>
      </c>
      <c r="V587" s="473"/>
      <c r="W587" s="473"/>
      <c r="X587" s="473">
        <v>9105.06</v>
      </c>
      <c r="Y587" s="473">
        <v>0</v>
      </c>
      <c r="Z587" s="473"/>
      <c r="AA587" s="472"/>
      <c r="AB587" s="473"/>
      <c r="AC587" s="474"/>
      <c r="AD587" s="473"/>
      <c r="AE587" s="472"/>
      <c r="AF587" s="506">
        <v>805.53</v>
      </c>
      <c r="AG587" s="474">
        <v>11.36</v>
      </c>
      <c r="AH587" s="506">
        <v>72.349999999999994</v>
      </c>
      <c r="AI587" s="474">
        <v>0.01</v>
      </c>
      <c r="AJ587" s="506">
        <v>155.15</v>
      </c>
      <c r="AK587" s="474">
        <v>0</v>
      </c>
    </row>
    <row r="588" spans="1:42">
      <c r="A588" s="492">
        <f t="shared" si="35"/>
        <v>45850</v>
      </c>
      <c r="B588" s="102" t="s">
        <v>3267</v>
      </c>
      <c r="C588" s="110" t="str">
        <f t="shared" si="34"/>
        <v>45850 0000H</v>
      </c>
      <c r="D588" s="337">
        <v>2824.08</v>
      </c>
      <c r="E588" s="338">
        <v>49.74</v>
      </c>
      <c r="F588" s="337">
        <v>1126.79</v>
      </c>
      <c r="G588" s="338">
        <v>6.21</v>
      </c>
      <c r="H588" s="337">
        <v>76987.45</v>
      </c>
      <c r="I588" s="475">
        <v>952.37</v>
      </c>
      <c r="J588" s="475">
        <v>33858.36</v>
      </c>
      <c r="K588" s="338">
        <v>114.72</v>
      </c>
      <c r="L588" s="337">
        <v>7683.72</v>
      </c>
      <c r="M588" s="475">
        <v>19.05</v>
      </c>
      <c r="N588" s="475">
        <v>35113.300000000003</v>
      </c>
      <c r="O588" s="475">
        <v>30.8</v>
      </c>
      <c r="P588" s="475">
        <v>740.32</v>
      </c>
      <c r="Q588" s="475">
        <v>1127.98</v>
      </c>
      <c r="R588" s="475">
        <v>11718.62</v>
      </c>
      <c r="S588" s="475">
        <v>9.4</v>
      </c>
      <c r="T588" s="475">
        <v>38669</v>
      </c>
      <c r="U588" s="475">
        <v>69</v>
      </c>
      <c r="V588" s="475"/>
      <c r="W588" s="475"/>
      <c r="X588" s="475">
        <v>9111.17</v>
      </c>
      <c r="Y588" s="475">
        <v>0</v>
      </c>
      <c r="Z588" s="475"/>
      <c r="AA588" s="338"/>
      <c r="AB588" s="475"/>
      <c r="AC588" s="476"/>
      <c r="AD588" s="475"/>
      <c r="AE588" s="338"/>
      <c r="AF588" s="505">
        <v>812.73</v>
      </c>
      <c r="AG588" s="476">
        <v>11.36</v>
      </c>
      <c r="AH588" s="505">
        <v>72.349999999999994</v>
      </c>
      <c r="AI588" s="476">
        <v>0.01</v>
      </c>
      <c r="AJ588" s="505">
        <v>157.19999999999999</v>
      </c>
      <c r="AK588" s="476">
        <v>0</v>
      </c>
    </row>
    <row r="589" spans="1:42">
      <c r="A589" s="492">
        <f t="shared" si="35"/>
        <v>45850</v>
      </c>
      <c r="B589" s="102" t="s">
        <v>1197</v>
      </c>
      <c r="C589" s="110" t="str">
        <f t="shared" si="34"/>
        <v>45850 1200H</v>
      </c>
      <c r="D589" s="471">
        <v>2827.29</v>
      </c>
      <c r="E589" s="472">
        <v>49.74</v>
      </c>
      <c r="F589" s="471">
        <v>1126.79</v>
      </c>
      <c r="G589" s="472">
        <v>6.21</v>
      </c>
      <c r="H589" s="471">
        <v>76990.87</v>
      </c>
      <c r="I589" s="473">
        <v>952.76</v>
      </c>
      <c r="J589" s="473">
        <v>33859.11</v>
      </c>
      <c r="K589" s="472">
        <v>114.75</v>
      </c>
      <c r="L589" s="471">
        <v>7689.64</v>
      </c>
      <c r="M589" s="473">
        <v>19.05</v>
      </c>
      <c r="N589" s="473">
        <v>35135.1</v>
      </c>
      <c r="O589" s="473">
        <v>30.8</v>
      </c>
      <c r="P589" s="473">
        <v>740.34</v>
      </c>
      <c r="Q589" s="473">
        <v>1129.21</v>
      </c>
      <c r="R589" s="473">
        <v>11722.49</v>
      </c>
      <c r="S589" s="473">
        <v>9.4</v>
      </c>
      <c r="T589" s="473">
        <v>38675</v>
      </c>
      <c r="U589" s="473">
        <v>69</v>
      </c>
      <c r="V589" s="473"/>
      <c r="W589" s="473"/>
      <c r="X589" s="473">
        <v>9117.43</v>
      </c>
      <c r="Y589" s="473">
        <v>0</v>
      </c>
      <c r="Z589" s="473"/>
      <c r="AA589" s="472"/>
      <c r="AB589" s="473"/>
      <c r="AC589" s="474"/>
      <c r="AD589" s="473"/>
      <c r="AE589" s="472"/>
      <c r="AF589" s="506">
        <v>819.43</v>
      </c>
      <c r="AG589" s="474">
        <v>11.36</v>
      </c>
      <c r="AH589" s="506">
        <v>72.349999999999994</v>
      </c>
      <c r="AI589" s="474">
        <v>0.01</v>
      </c>
      <c r="AJ589" s="506">
        <v>159.12</v>
      </c>
      <c r="AK589" s="474">
        <v>0</v>
      </c>
    </row>
    <row r="590" spans="1:42">
      <c r="A590" s="492">
        <f t="shared" si="35"/>
        <v>45851</v>
      </c>
      <c r="B590" s="102" t="s">
        <v>3267</v>
      </c>
      <c r="C590" s="110" t="str">
        <f t="shared" si="34"/>
        <v>45851 0000H</v>
      </c>
      <c r="D590" s="337">
        <v>2831.72</v>
      </c>
      <c r="E590" s="338">
        <v>49.74</v>
      </c>
      <c r="F590" s="337">
        <v>1126.79</v>
      </c>
      <c r="G590" s="338">
        <v>6.21</v>
      </c>
      <c r="H590" s="337">
        <v>77000.509999999995</v>
      </c>
      <c r="I590" s="475">
        <v>952.76</v>
      </c>
      <c r="J590" s="475">
        <v>33862.44</v>
      </c>
      <c r="K590" s="338">
        <v>114.76</v>
      </c>
      <c r="L590" s="337">
        <v>7695.31</v>
      </c>
      <c r="M590" s="475">
        <v>19.05</v>
      </c>
      <c r="N590" s="475">
        <v>35138.300000000003</v>
      </c>
      <c r="O590" s="475">
        <v>30.8</v>
      </c>
      <c r="P590" s="475">
        <v>740.34</v>
      </c>
      <c r="Q590" s="475">
        <v>1131</v>
      </c>
      <c r="R590" s="475">
        <v>11727.24</v>
      </c>
      <c r="S590" s="475">
        <v>9.0399999999999991</v>
      </c>
      <c r="T590" s="475">
        <v>38682</v>
      </c>
      <c r="U590" s="475">
        <v>69</v>
      </c>
      <c r="V590" s="475"/>
      <c r="W590" s="475"/>
      <c r="X590" s="475">
        <v>9124.08</v>
      </c>
      <c r="Y590" s="475">
        <v>0</v>
      </c>
      <c r="Z590" s="475"/>
      <c r="AA590" s="338"/>
      <c r="AB590" s="475"/>
      <c r="AC590" s="476"/>
      <c r="AD590" s="475"/>
      <c r="AE590" s="338"/>
      <c r="AF590" s="505">
        <v>826.88</v>
      </c>
      <c r="AG590" s="476">
        <v>11.36</v>
      </c>
      <c r="AH590" s="505">
        <v>72.349999999999994</v>
      </c>
      <c r="AI590" s="476">
        <v>0.01</v>
      </c>
      <c r="AJ590" s="505">
        <v>161.26</v>
      </c>
      <c r="AK590" s="476">
        <v>0</v>
      </c>
    </row>
    <row r="591" spans="1:42">
      <c r="A591" s="492">
        <f t="shared" si="35"/>
        <v>45851</v>
      </c>
      <c r="B591" s="102" t="s">
        <v>1197</v>
      </c>
      <c r="C591" s="110" t="str">
        <f t="shared" si="34"/>
        <v>45851 1200H</v>
      </c>
      <c r="D591" s="471">
        <v>2834.92</v>
      </c>
      <c r="E591" s="472">
        <v>49.74</v>
      </c>
      <c r="F591" s="471">
        <v>1126.79</v>
      </c>
      <c r="G591" s="472">
        <v>6.21</v>
      </c>
      <c r="H591" s="471">
        <v>77003.600000000006</v>
      </c>
      <c r="I591" s="473">
        <v>953.23</v>
      </c>
      <c r="J591" s="473">
        <v>33862.44</v>
      </c>
      <c r="K591" s="472">
        <v>114.8</v>
      </c>
      <c r="L591" s="471">
        <v>7701.1</v>
      </c>
      <c r="M591" s="473">
        <v>19.05</v>
      </c>
      <c r="N591" s="473">
        <v>35140.1</v>
      </c>
      <c r="O591" s="473">
        <v>30.9</v>
      </c>
      <c r="P591" s="473">
        <v>740.34</v>
      </c>
      <c r="Q591" s="473">
        <v>1132.3599999999999</v>
      </c>
      <c r="R591" s="473">
        <v>11731.09</v>
      </c>
      <c r="S591" s="473">
        <v>9.0399999999999991</v>
      </c>
      <c r="T591" s="473">
        <v>38689</v>
      </c>
      <c r="U591" s="473">
        <v>69</v>
      </c>
      <c r="V591" s="473"/>
      <c r="W591" s="473"/>
      <c r="X591" s="473">
        <v>9129.8700000000008</v>
      </c>
      <c r="Y591" s="473">
        <v>0</v>
      </c>
      <c r="Z591" s="473"/>
      <c r="AA591" s="472"/>
      <c r="AB591" s="473"/>
      <c r="AC591" s="474"/>
      <c r="AD591" s="473"/>
      <c r="AE591" s="472"/>
      <c r="AF591" s="506">
        <v>833.93</v>
      </c>
      <c r="AG591" s="474">
        <v>11.36</v>
      </c>
      <c r="AH591" s="506">
        <v>72.349999999999994</v>
      </c>
      <c r="AI591" s="474">
        <v>0.01</v>
      </c>
      <c r="AJ591" s="506">
        <v>163.28</v>
      </c>
      <c r="AK591" s="474">
        <v>0</v>
      </c>
    </row>
    <row r="592" spans="1:42">
      <c r="A592" s="492">
        <f t="shared" si="35"/>
        <v>45852</v>
      </c>
      <c r="B592" s="102" t="s">
        <v>3267</v>
      </c>
      <c r="C592" s="110" t="str">
        <f t="shared" si="34"/>
        <v>45852 0000H</v>
      </c>
      <c r="D592" s="337">
        <v>2839.29</v>
      </c>
      <c r="E592" s="338">
        <v>49.74</v>
      </c>
      <c r="F592" s="337">
        <v>1126.79</v>
      </c>
      <c r="G592" s="338">
        <v>6.21</v>
      </c>
      <c r="H592" s="337">
        <v>77013.460000000006</v>
      </c>
      <c r="I592" s="475">
        <v>953.3</v>
      </c>
      <c r="J592" s="475">
        <v>33863.599999999999</v>
      </c>
      <c r="K592" s="338">
        <v>114.83</v>
      </c>
      <c r="L592" s="337">
        <v>7706.91</v>
      </c>
      <c r="M592" s="475">
        <v>19.05</v>
      </c>
      <c r="N592" s="475">
        <v>35143.300000000003</v>
      </c>
      <c r="O592" s="475">
        <v>30.9</v>
      </c>
      <c r="P592" s="475">
        <v>740.35</v>
      </c>
      <c r="Q592" s="475">
        <v>1133.81</v>
      </c>
      <c r="R592" s="475">
        <v>11735.78</v>
      </c>
      <c r="S592" s="475">
        <v>9.0399999999999991</v>
      </c>
      <c r="T592" s="475">
        <v>38696</v>
      </c>
      <c r="U592" s="475">
        <v>69</v>
      </c>
      <c r="V592" s="475"/>
      <c r="W592" s="475"/>
      <c r="X592" s="475">
        <v>9136.9500000000007</v>
      </c>
      <c r="Y592" s="475">
        <v>0</v>
      </c>
      <c r="Z592" s="475"/>
      <c r="AA592" s="338"/>
      <c r="AB592" s="475"/>
      <c r="AC592" s="476"/>
      <c r="AD592" s="475"/>
      <c r="AE592" s="338"/>
      <c r="AF592" s="505">
        <v>841.3</v>
      </c>
      <c r="AG592" s="476">
        <v>11.36</v>
      </c>
      <c r="AH592" s="505">
        <v>72.349999999999994</v>
      </c>
      <c r="AI592" s="476">
        <v>0.01</v>
      </c>
      <c r="AJ592" s="505">
        <v>165.38</v>
      </c>
      <c r="AK592" s="476">
        <v>0</v>
      </c>
    </row>
    <row r="593" spans="1:37">
      <c r="A593" s="492">
        <f t="shared" si="35"/>
        <v>45852</v>
      </c>
      <c r="B593" s="102" t="s">
        <v>1197</v>
      </c>
      <c r="C593" s="110" t="str">
        <f t="shared" si="34"/>
        <v>45852 1200H</v>
      </c>
      <c r="D593" s="471">
        <v>2842.55</v>
      </c>
      <c r="E593" s="472">
        <v>49.74</v>
      </c>
      <c r="F593" s="471">
        <v>1126.79</v>
      </c>
      <c r="G593" s="472">
        <v>6.21</v>
      </c>
      <c r="H593" s="471">
        <v>77015.990000000005</v>
      </c>
      <c r="I593" s="473">
        <v>953.64</v>
      </c>
      <c r="J593" s="473">
        <v>33864.629999999997</v>
      </c>
      <c r="K593" s="472">
        <v>114.86</v>
      </c>
      <c r="L593" s="471">
        <v>7712.73</v>
      </c>
      <c r="M593" s="473">
        <v>19.05</v>
      </c>
      <c r="N593" s="473">
        <v>35145.699999999997</v>
      </c>
      <c r="O593" s="473">
        <v>30.9</v>
      </c>
      <c r="P593" s="473">
        <v>740.57</v>
      </c>
      <c r="Q593" s="473">
        <v>1134.8</v>
      </c>
      <c r="R593" s="473">
        <v>11739.75</v>
      </c>
      <c r="S593" s="473">
        <v>9.0399999999999991</v>
      </c>
      <c r="T593" s="473">
        <v>38703</v>
      </c>
      <c r="U593" s="473">
        <v>69</v>
      </c>
      <c r="V593" s="473"/>
      <c r="W593" s="473"/>
      <c r="X593" s="473">
        <v>9133.1200000000008</v>
      </c>
      <c r="Y593" s="473">
        <v>0</v>
      </c>
      <c r="Z593" s="473"/>
      <c r="AA593" s="472"/>
      <c r="AB593" s="473"/>
      <c r="AC593" s="474"/>
      <c r="AD593" s="473"/>
      <c r="AE593" s="472"/>
      <c r="AF593" s="506">
        <v>849.95</v>
      </c>
      <c r="AG593" s="474">
        <v>11.36</v>
      </c>
      <c r="AH593" s="506">
        <v>72.8</v>
      </c>
      <c r="AI593" s="474">
        <v>0.01</v>
      </c>
      <c r="AJ593" s="506">
        <v>167.4</v>
      </c>
      <c r="AK593" s="474">
        <v>0</v>
      </c>
    </row>
    <row r="594" spans="1:37">
      <c r="A594" s="492">
        <f t="shared" si="35"/>
        <v>45853</v>
      </c>
      <c r="B594" s="102" t="s">
        <v>3267</v>
      </c>
      <c r="C594" s="110" t="str">
        <f t="shared" si="34"/>
        <v>45853 0000H</v>
      </c>
      <c r="D594" s="337">
        <v>2845.66</v>
      </c>
      <c r="E594" s="338">
        <v>49.74</v>
      </c>
      <c r="F594" s="337">
        <v>1126.79</v>
      </c>
      <c r="G594" s="338">
        <v>6.21</v>
      </c>
      <c r="H594" s="337">
        <v>77022.277000000002</v>
      </c>
      <c r="I594" s="475">
        <v>953.65</v>
      </c>
      <c r="J594" s="475">
        <v>33868.42</v>
      </c>
      <c r="K594" s="338">
        <v>114.86</v>
      </c>
      <c r="L594" s="337">
        <v>7718.49</v>
      </c>
      <c r="M594" s="475">
        <v>19.05</v>
      </c>
      <c r="N594" s="475">
        <v>35150.300000000003</v>
      </c>
      <c r="O594" s="475">
        <v>30.9</v>
      </c>
      <c r="P594" s="475">
        <v>741.29</v>
      </c>
      <c r="Q594" s="475">
        <v>1134.98</v>
      </c>
      <c r="R594" s="475">
        <v>11744.4</v>
      </c>
      <c r="S594" s="475">
        <v>9.0399999999999991</v>
      </c>
      <c r="T594" s="475">
        <v>38711</v>
      </c>
      <c r="U594" s="475">
        <v>69</v>
      </c>
      <c r="V594" s="475"/>
      <c r="W594" s="475"/>
      <c r="X594" s="475">
        <v>9150.16</v>
      </c>
      <c r="Y594" s="475">
        <v>0</v>
      </c>
      <c r="Z594" s="475"/>
      <c r="AA594" s="338"/>
      <c r="AB594" s="475"/>
      <c r="AC594" s="476"/>
      <c r="AD594" s="475"/>
      <c r="AE594" s="338"/>
      <c r="AF594" s="505">
        <v>862.02</v>
      </c>
      <c r="AG594" s="476">
        <v>11.36</v>
      </c>
      <c r="AH594" s="505">
        <v>74.19</v>
      </c>
      <c r="AI594" s="476">
        <v>0.01</v>
      </c>
      <c r="AJ594" s="505">
        <v>169</v>
      </c>
      <c r="AK594" s="476">
        <v>0</v>
      </c>
    </row>
    <row r="595" spans="1:37">
      <c r="A595" s="492">
        <f t="shared" si="35"/>
        <v>45853</v>
      </c>
      <c r="B595" s="102" t="s">
        <v>1197</v>
      </c>
      <c r="C595" s="110" t="str">
        <f t="shared" si="34"/>
        <v>45853 1200H</v>
      </c>
      <c r="D595" s="471">
        <v>2849.05</v>
      </c>
      <c r="E595" s="472">
        <v>49.74</v>
      </c>
      <c r="F595" s="471">
        <v>1126.79</v>
      </c>
      <c r="G595" s="472">
        <v>6.21</v>
      </c>
      <c r="H595" s="471">
        <v>77025.95</v>
      </c>
      <c r="I595" s="473">
        <v>953.92</v>
      </c>
      <c r="J595" s="473">
        <v>33896.75</v>
      </c>
      <c r="K595" s="472">
        <v>114.9</v>
      </c>
      <c r="L595" s="471">
        <v>7724.3</v>
      </c>
      <c r="M595" s="473">
        <v>19.05</v>
      </c>
      <c r="N595" s="473">
        <v>35153.1</v>
      </c>
      <c r="O595" s="473">
        <v>30.9</v>
      </c>
      <c r="P595" s="473">
        <v>741.51</v>
      </c>
      <c r="Q595" s="473">
        <v>1135.97</v>
      </c>
      <c r="R595" s="473">
        <v>11748.2</v>
      </c>
      <c r="S595" s="473">
        <v>9.0399999999999991</v>
      </c>
      <c r="T595" s="473">
        <v>38718</v>
      </c>
      <c r="U595" s="473">
        <v>69</v>
      </c>
      <c r="V595" s="473"/>
      <c r="W595" s="473"/>
      <c r="X595" s="473">
        <v>9155.84</v>
      </c>
      <c r="Y595" s="473">
        <v>0</v>
      </c>
      <c r="Z595" s="473"/>
      <c r="AA595" s="472"/>
      <c r="AB595" s="473"/>
      <c r="AC595" s="474"/>
      <c r="AD595" s="473"/>
      <c r="AE595" s="472"/>
      <c r="AF595" s="506">
        <v>869.66</v>
      </c>
      <c r="AG595" s="474">
        <v>11.36</v>
      </c>
      <c r="AH595" s="506">
        <v>74.34</v>
      </c>
      <c r="AI595" s="474">
        <v>0.01</v>
      </c>
      <c r="AJ595" s="506">
        <v>171.49</v>
      </c>
      <c r="AK595" s="474">
        <v>0</v>
      </c>
    </row>
    <row r="596" spans="1:37">
      <c r="A596" s="492">
        <f t="shared" si="35"/>
        <v>45854</v>
      </c>
      <c r="B596" s="102" t="s">
        <v>3267</v>
      </c>
      <c r="C596" s="110" t="str">
        <f t="shared" si="34"/>
        <v>45854 0000H</v>
      </c>
      <c r="D596" s="337">
        <v>2852.66</v>
      </c>
      <c r="E596" s="338">
        <v>49.74</v>
      </c>
      <c r="F596" s="337">
        <v>1126.79</v>
      </c>
      <c r="G596" s="338">
        <v>6.21</v>
      </c>
      <c r="H596" s="337">
        <v>77037.23</v>
      </c>
      <c r="I596" s="475">
        <v>953.92</v>
      </c>
      <c r="J596" s="475">
        <v>33873.29</v>
      </c>
      <c r="K596" s="338">
        <v>114.91</v>
      </c>
      <c r="L596" s="337">
        <v>7730.08</v>
      </c>
      <c r="M596" s="475">
        <v>19.05</v>
      </c>
      <c r="N596" s="475">
        <v>35156.9</v>
      </c>
      <c r="O596" s="475">
        <v>30.9</v>
      </c>
      <c r="P596" s="475">
        <v>741.58</v>
      </c>
      <c r="Q596" s="475">
        <v>1136.96</v>
      </c>
      <c r="R596" s="475">
        <v>11753.04</v>
      </c>
      <c r="S596" s="475">
        <v>9.0399999999999991</v>
      </c>
      <c r="T596" s="475">
        <v>38726</v>
      </c>
      <c r="U596" s="475">
        <v>69</v>
      </c>
      <c r="V596" s="475"/>
      <c r="W596" s="475"/>
      <c r="X596" s="475">
        <v>9162.5499999999993</v>
      </c>
      <c r="Y596" s="475">
        <v>0</v>
      </c>
      <c r="Z596" s="475"/>
      <c r="AA596" s="338"/>
      <c r="AB596" s="475"/>
      <c r="AC596" s="476"/>
      <c r="AD596" s="475"/>
      <c r="AE596" s="338"/>
      <c r="AF596" s="505">
        <v>881.01</v>
      </c>
      <c r="AG596" s="476">
        <v>11.36</v>
      </c>
      <c r="AH596" s="505">
        <v>75.52</v>
      </c>
      <c r="AI596" s="476">
        <v>0.01</v>
      </c>
      <c r="AJ596" s="505">
        <v>173.54</v>
      </c>
      <c r="AK596" s="476">
        <v>0</v>
      </c>
    </row>
    <row r="597" spans="1:37">
      <c r="A597" s="492">
        <f t="shared" si="35"/>
        <v>45854</v>
      </c>
      <c r="B597" s="102" t="s">
        <v>1197</v>
      </c>
      <c r="C597" s="110" t="str">
        <f t="shared" si="34"/>
        <v>45854 1200H</v>
      </c>
      <c r="D597" s="471">
        <v>2855.89</v>
      </c>
      <c r="E597" s="472">
        <v>49.74</v>
      </c>
      <c r="F597" s="471">
        <v>1126.79</v>
      </c>
      <c r="G597" s="472">
        <v>6.21</v>
      </c>
      <c r="H597" s="471">
        <v>77042.399999999994</v>
      </c>
      <c r="I597" s="473">
        <v>954.2</v>
      </c>
      <c r="J597" s="473">
        <v>33874.32</v>
      </c>
      <c r="K597" s="472">
        <v>114.94</v>
      </c>
      <c r="L597" s="471">
        <v>7735.89</v>
      </c>
      <c r="M597" s="473">
        <v>19.05</v>
      </c>
      <c r="N597" s="473">
        <v>35159.4</v>
      </c>
      <c r="O597" s="473">
        <v>30.9</v>
      </c>
      <c r="P597" s="473">
        <v>741.58</v>
      </c>
      <c r="Q597" s="473">
        <v>1138.06</v>
      </c>
      <c r="R597" s="473">
        <v>11756.86</v>
      </c>
      <c r="S597" s="473">
        <v>9.0399999999999991</v>
      </c>
      <c r="T597" s="473">
        <v>38732</v>
      </c>
      <c r="U597" s="473">
        <v>69</v>
      </c>
      <c r="V597" s="473"/>
      <c r="W597" s="473"/>
      <c r="X597" s="473">
        <v>9167.9500000000007</v>
      </c>
      <c r="Y597" s="473">
        <v>0</v>
      </c>
      <c r="Z597" s="473"/>
      <c r="AA597" s="472"/>
      <c r="AB597" s="473"/>
      <c r="AC597" s="474"/>
      <c r="AD597" s="473"/>
      <c r="AE597" s="472"/>
      <c r="AF597" s="506">
        <v>889.07</v>
      </c>
      <c r="AG597" s="474">
        <v>11.36</v>
      </c>
      <c r="AH597" s="506">
        <v>75.77</v>
      </c>
      <c r="AI597" s="474">
        <v>0.01</v>
      </c>
      <c r="AJ597" s="506">
        <v>175.64</v>
      </c>
      <c r="AK597" s="474">
        <v>0</v>
      </c>
    </row>
    <row r="598" spans="1:37">
      <c r="A598" s="492">
        <f t="shared" si="35"/>
        <v>45855</v>
      </c>
      <c r="B598" s="102" t="s">
        <v>3267</v>
      </c>
      <c r="C598" s="110" t="str">
        <f t="shared" si="34"/>
        <v>45855 0000H</v>
      </c>
      <c r="D598" s="337">
        <v>2859.49</v>
      </c>
      <c r="E598" s="338">
        <v>49.74</v>
      </c>
      <c r="F598" s="337">
        <v>1126.79</v>
      </c>
      <c r="G598" s="338">
        <v>6.21</v>
      </c>
      <c r="H598" s="337">
        <v>77053.64</v>
      </c>
      <c r="I598" s="475">
        <v>954.34</v>
      </c>
      <c r="J598" s="475">
        <v>33876.85</v>
      </c>
      <c r="K598" s="338">
        <v>114.96</v>
      </c>
      <c r="L598" s="337">
        <v>7741.72</v>
      </c>
      <c r="M598" s="475">
        <v>19.05</v>
      </c>
      <c r="N598" s="475">
        <v>35162.400000000001</v>
      </c>
      <c r="O598" s="475">
        <v>30.9</v>
      </c>
      <c r="P598" s="475">
        <v>741.58</v>
      </c>
      <c r="Q598" s="475">
        <v>1139.55</v>
      </c>
      <c r="R598" s="475">
        <v>11761.25</v>
      </c>
      <c r="S598" s="475">
        <v>9.0399999999999991</v>
      </c>
      <c r="T598" s="475">
        <v>38737</v>
      </c>
      <c r="U598" s="475">
        <v>69</v>
      </c>
      <c r="V598" s="475"/>
      <c r="W598" s="475"/>
      <c r="X598" s="475">
        <v>9173.2800000000007</v>
      </c>
      <c r="Y598" s="475">
        <v>0</v>
      </c>
      <c r="Z598" s="475"/>
      <c r="AA598" s="338"/>
      <c r="AB598" s="475"/>
      <c r="AC598" s="476"/>
      <c r="AD598" s="475"/>
      <c r="AE598" s="338"/>
      <c r="AF598" s="505">
        <v>896.5</v>
      </c>
      <c r="AG598" s="476">
        <v>11.36</v>
      </c>
      <c r="AH598" s="505">
        <v>75.87</v>
      </c>
      <c r="AI598" s="476">
        <v>0.01</v>
      </c>
      <c r="AJ598" s="505">
        <v>177.63</v>
      </c>
      <c r="AK598" s="476">
        <v>0</v>
      </c>
    </row>
    <row r="599" spans="1:37">
      <c r="A599" s="492">
        <f t="shared" si="35"/>
        <v>45855</v>
      </c>
      <c r="B599" s="102" t="s">
        <v>1197</v>
      </c>
      <c r="C599" s="110" t="str">
        <f t="shared" si="34"/>
        <v>45855 1200H</v>
      </c>
      <c r="D599" s="471">
        <v>2863.96</v>
      </c>
      <c r="E599" s="472">
        <v>49.74</v>
      </c>
      <c r="F599" s="471">
        <v>1126.79</v>
      </c>
      <c r="G599" s="472">
        <v>6.21</v>
      </c>
      <c r="H599" s="471">
        <v>77054.899999999994</v>
      </c>
      <c r="I599" s="473">
        <v>954.83</v>
      </c>
      <c r="J599" s="473">
        <v>33876.85</v>
      </c>
      <c r="K599" s="472">
        <v>115</v>
      </c>
      <c r="L599" s="471">
        <v>7747.48</v>
      </c>
      <c r="M599" s="473">
        <v>19.05</v>
      </c>
      <c r="N599" s="473">
        <v>35163.5</v>
      </c>
      <c r="O599" s="473">
        <v>31</v>
      </c>
      <c r="P599" s="473">
        <v>741.58</v>
      </c>
      <c r="Q599" s="473">
        <v>1140.81</v>
      </c>
      <c r="R599" s="473">
        <v>11764.32</v>
      </c>
      <c r="S599" s="473">
        <v>9.0399999999999991</v>
      </c>
      <c r="T599" s="473">
        <v>38741</v>
      </c>
      <c r="U599" s="473">
        <v>69</v>
      </c>
      <c r="V599" s="473"/>
      <c r="W599" s="473"/>
      <c r="X599" s="537">
        <v>9176.58</v>
      </c>
      <c r="Y599" s="473">
        <v>0</v>
      </c>
      <c r="Z599" s="473"/>
      <c r="AA599" s="472"/>
      <c r="AB599" s="473"/>
      <c r="AC599" s="474"/>
      <c r="AD599" s="473"/>
      <c r="AE599" s="472"/>
      <c r="AF599" s="506">
        <v>902.26</v>
      </c>
      <c r="AG599" s="474">
        <v>11.36</v>
      </c>
      <c r="AH599" s="506">
        <v>75.87</v>
      </c>
      <c r="AI599" s="474">
        <v>0.01</v>
      </c>
      <c r="AJ599" s="506">
        <v>179.29</v>
      </c>
      <c r="AK599" s="474">
        <v>0</v>
      </c>
    </row>
    <row r="600" spans="1:37">
      <c r="A600" s="492">
        <f t="shared" si="35"/>
        <v>45856</v>
      </c>
      <c r="B600" s="102" t="s">
        <v>3267</v>
      </c>
      <c r="C600" s="110" t="str">
        <f t="shared" si="34"/>
        <v>45856 0000H</v>
      </c>
      <c r="D600" s="337">
        <v>2867.63</v>
      </c>
      <c r="E600" s="338">
        <v>49.74</v>
      </c>
      <c r="F600" s="337">
        <v>1126.79</v>
      </c>
      <c r="G600" s="338">
        <v>6.21</v>
      </c>
      <c r="H600" s="337">
        <v>77054.899999999994</v>
      </c>
      <c r="I600" s="475">
        <v>955.27</v>
      </c>
      <c r="J600" s="475">
        <v>33876.85</v>
      </c>
      <c r="K600" s="338">
        <v>115.03</v>
      </c>
      <c r="L600" s="337">
        <v>7753.3</v>
      </c>
      <c r="M600" s="475">
        <v>19.05</v>
      </c>
      <c r="N600" s="475">
        <v>35166.9</v>
      </c>
      <c r="O600" s="475">
        <v>31</v>
      </c>
      <c r="P600" s="475">
        <v>741.58</v>
      </c>
      <c r="Q600" s="475">
        <v>1142.0999999999999</v>
      </c>
      <c r="R600" s="475">
        <v>11768.65</v>
      </c>
      <c r="S600" s="475">
        <v>9.0399999999999991</v>
      </c>
      <c r="T600" s="475">
        <v>38747</v>
      </c>
      <c r="U600" s="475">
        <v>69</v>
      </c>
      <c r="V600" s="475"/>
      <c r="W600" s="475"/>
      <c r="X600" s="475">
        <v>9181.0300000000007</v>
      </c>
      <c r="Y600" s="475">
        <v>0</v>
      </c>
      <c r="Z600" s="475"/>
      <c r="AA600" s="338"/>
      <c r="AB600" s="475"/>
      <c r="AC600" s="476"/>
      <c r="AD600" s="475"/>
      <c r="AE600" s="338"/>
      <c r="AF600" s="505">
        <v>908.74</v>
      </c>
      <c r="AG600" s="476">
        <v>11.36</v>
      </c>
      <c r="AH600" s="505">
        <v>75.87</v>
      </c>
      <c r="AI600" s="476">
        <v>0.01</v>
      </c>
      <c r="AJ600" s="505">
        <v>181.16</v>
      </c>
      <c r="AK600" s="476">
        <v>0</v>
      </c>
    </row>
    <row r="601" spans="1:37">
      <c r="A601" s="492">
        <f t="shared" si="35"/>
        <v>45856</v>
      </c>
      <c r="B601" s="102" t="s">
        <v>1197</v>
      </c>
      <c r="C601" s="110" t="str">
        <f t="shared" si="34"/>
        <v>45856 1200H</v>
      </c>
      <c r="D601" s="471">
        <v>2871.32</v>
      </c>
      <c r="E601" s="472">
        <v>49.74</v>
      </c>
      <c r="F601" s="471">
        <v>1126.79</v>
      </c>
      <c r="G601" s="472">
        <v>6.21</v>
      </c>
      <c r="H601" s="471">
        <v>77055.19</v>
      </c>
      <c r="I601" s="473">
        <v>955.75</v>
      </c>
      <c r="J601" s="473">
        <v>33876.85</v>
      </c>
      <c r="K601" s="472">
        <v>115.07</v>
      </c>
      <c r="L601" s="471">
        <v>7758.92</v>
      </c>
      <c r="M601" s="473">
        <v>19.05</v>
      </c>
      <c r="N601" s="473">
        <v>35169.5</v>
      </c>
      <c r="O601" s="473">
        <v>31</v>
      </c>
      <c r="P601" s="473">
        <v>741.58</v>
      </c>
      <c r="Q601" s="473">
        <v>1143.23</v>
      </c>
      <c r="R601" s="473">
        <v>11772.02</v>
      </c>
      <c r="S601" s="473">
        <v>9.0399999999999991</v>
      </c>
      <c r="T601" s="473">
        <v>38752</v>
      </c>
      <c r="U601" s="473">
        <v>69</v>
      </c>
      <c r="V601" s="473"/>
      <c r="W601" s="473"/>
      <c r="X601" s="473">
        <v>9184.2900000000009</v>
      </c>
      <c r="Y601" s="473">
        <v>0</v>
      </c>
      <c r="Z601" s="473"/>
      <c r="AA601" s="472"/>
      <c r="AB601" s="473"/>
      <c r="AC601" s="474"/>
      <c r="AD601" s="473"/>
      <c r="AE601" s="472"/>
      <c r="AF601" s="506">
        <v>911.43</v>
      </c>
      <c r="AG601" s="474">
        <v>11.4</v>
      </c>
      <c r="AH601" s="506">
        <v>75.87</v>
      </c>
      <c r="AI601" s="474">
        <v>0.01</v>
      </c>
      <c r="AJ601" s="506">
        <v>181.9</v>
      </c>
      <c r="AK601" s="474">
        <v>0</v>
      </c>
    </row>
    <row r="602" spans="1:37">
      <c r="A602" s="492">
        <f t="shared" si="35"/>
        <v>45857</v>
      </c>
      <c r="B602" s="102" t="s">
        <v>3267</v>
      </c>
      <c r="C602" s="110" t="str">
        <f t="shared" si="34"/>
        <v>45857 0000H</v>
      </c>
      <c r="D602" s="337">
        <v>2874.22</v>
      </c>
      <c r="E602" s="338">
        <v>49.74</v>
      </c>
      <c r="F602" s="337">
        <v>1126.79</v>
      </c>
      <c r="G602" s="338">
        <v>6.21</v>
      </c>
      <c r="H602" s="337">
        <v>77058.22</v>
      </c>
      <c r="I602" s="475">
        <v>965.96</v>
      </c>
      <c r="J602" s="475" t="s">
        <v>3271</v>
      </c>
      <c r="K602" s="338">
        <v>115.09</v>
      </c>
      <c r="L602" s="337">
        <v>7761.41</v>
      </c>
      <c r="M602" s="475">
        <v>19.05</v>
      </c>
      <c r="N602" s="475">
        <v>35171.300000000003</v>
      </c>
      <c r="O602" s="475">
        <v>31</v>
      </c>
      <c r="P602" s="475">
        <v>741.64</v>
      </c>
      <c r="Q602" s="475">
        <v>1144.22</v>
      </c>
      <c r="R602" s="475">
        <v>11774.89</v>
      </c>
      <c r="S602" s="475">
        <v>9.0399999999999991</v>
      </c>
      <c r="T602" s="475">
        <v>38754</v>
      </c>
      <c r="U602" s="475">
        <v>69</v>
      </c>
      <c r="V602" s="475"/>
      <c r="W602" s="475"/>
      <c r="X602" s="475">
        <v>9188.74</v>
      </c>
      <c r="Y602" s="475">
        <v>0</v>
      </c>
      <c r="Z602" s="475"/>
      <c r="AA602" s="338"/>
      <c r="AB602" s="475"/>
      <c r="AC602" s="476"/>
      <c r="AD602" s="475"/>
      <c r="AE602" s="338"/>
      <c r="AF602" s="505">
        <v>916.16</v>
      </c>
      <c r="AG602" s="476">
        <v>11.4</v>
      </c>
      <c r="AH602" s="505">
        <v>75.87</v>
      </c>
      <c r="AI602" s="476">
        <v>0.01</v>
      </c>
      <c r="AJ602" s="505">
        <v>183.29</v>
      </c>
      <c r="AK602" s="476">
        <v>0</v>
      </c>
    </row>
    <row r="603" spans="1:37">
      <c r="A603" s="492">
        <f t="shared" si="35"/>
        <v>45857</v>
      </c>
      <c r="B603" s="102" t="s">
        <v>1197</v>
      </c>
      <c r="C603" s="110" t="str">
        <f t="shared" si="34"/>
        <v>45857 1200H</v>
      </c>
      <c r="D603" s="471">
        <v>2877.49</v>
      </c>
      <c r="E603" s="472">
        <v>49.74</v>
      </c>
      <c r="F603" s="471">
        <v>1126.79</v>
      </c>
      <c r="G603" s="472">
        <v>6.21</v>
      </c>
      <c r="H603" s="471">
        <v>77058.22</v>
      </c>
      <c r="I603" s="473">
        <v>956.47</v>
      </c>
      <c r="J603" s="473">
        <v>33876.85</v>
      </c>
      <c r="K603" s="472">
        <v>115.13</v>
      </c>
      <c r="L603" s="471">
        <v>7766.68</v>
      </c>
      <c r="M603" s="473">
        <v>19.05</v>
      </c>
      <c r="N603" s="473">
        <v>35172.300000000003</v>
      </c>
      <c r="O603" s="473">
        <v>31.1</v>
      </c>
      <c r="P603" s="473">
        <v>741.65</v>
      </c>
      <c r="Q603" s="473">
        <v>1145.3800000000001</v>
      </c>
      <c r="R603" s="473">
        <v>11778.23</v>
      </c>
      <c r="S603" s="473">
        <v>9.0399999999999991</v>
      </c>
      <c r="T603" s="473">
        <v>38758</v>
      </c>
      <c r="U603" s="473">
        <v>69</v>
      </c>
      <c r="V603" s="473"/>
      <c r="W603" s="473"/>
      <c r="X603" s="473">
        <v>9193</v>
      </c>
      <c r="Y603" s="473">
        <v>0</v>
      </c>
      <c r="Z603" s="473"/>
      <c r="AA603" s="472"/>
      <c r="AB603" s="473"/>
      <c r="AC603" s="474"/>
      <c r="AD603" s="473"/>
      <c r="AE603" s="472"/>
      <c r="AF603" s="506">
        <v>918.81</v>
      </c>
      <c r="AG603" s="474">
        <v>11.43</v>
      </c>
      <c r="AH603" s="506">
        <v>75.87</v>
      </c>
      <c r="AI603" s="474">
        <v>0.01</v>
      </c>
      <c r="AJ603" s="506">
        <v>184.07</v>
      </c>
      <c r="AK603" s="474">
        <v>0</v>
      </c>
    </row>
    <row r="604" spans="1:37">
      <c r="A604" s="492">
        <f t="shared" si="35"/>
        <v>45858</v>
      </c>
      <c r="B604" s="102" t="s">
        <v>3267</v>
      </c>
      <c r="C604" s="110" t="str">
        <f t="shared" si="34"/>
        <v>45858 0000H</v>
      </c>
      <c r="D604" s="337">
        <v>2881.85</v>
      </c>
      <c r="E604" s="338">
        <v>49.74</v>
      </c>
      <c r="F604" s="337">
        <v>1126.79</v>
      </c>
      <c r="G604" s="338">
        <v>6.21</v>
      </c>
      <c r="H604" s="337">
        <v>77060.11</v>
      </c>
      <c r="I604" s="541">
        <v>946.82</v>
      </c>
      <c r="J604" s="475">
        <v>33876.85</v>
      </c>
      <c r="K604" s="338">
        <v>115.16</v>
      </c>
      <c r="L604" s="337">
        <v>7772.41</v>
      </c>
      <c r="M604" s="475">
        <v>19.05</v>
      </c>
      <c r="N604" s="475">
        <v>35174.199999999997</v>
      </c>
      <c r="O604" s="475">
        <v>31.1</v>
      </c>
      <c r="P604" s="475">
        <v>741.74</v>
      </c>
      <c r="Q604" s="475">
        <v>1146.1099999999999</v>
      </c>
      <c r="R604" s="475">
        <v>11781.97</v>
      </c>
      <c r="S604" s="475">
        <v>9.0399999999999991</v>
      </c>
      <c r="T604" s="475">
        <v>38764</v>
      </c>
      <c r="U604" s="475">
        <v>69</v>
      </c>
      <c r="V604" s="475"/>
      <c r="W604" s="475"/>
      <c r="X604" s="475">
        <v>9199.6299999999992</v>
      </c>
      <c r="Y604" s="475">
        <v>0</v>
      </c>
      <c r="Z604" s="475"/>
      <c r="AA604" s="338"/>
      <c r="AB604" s="475"/>
      <c r="AC604" s="476"/>
      <c r="AD604" s="475"/>
      <c r="AE604" s="338"/>
      <c r="AF604" s="505">
        <v>926.44</v>
      </c>
      <c r="AG604" s="476">
        <v>11.43</v>
      </c>
      <c r="AH604" s="505">
        <v>76</v>
      </c>
      <c r="AI604" s="476">
        <v>0.01</v>
      </c>
      <c r="AJ604" s="505">
        <v>186.1</v>
      </c>
      <c r="AK604" s="476">
        <v>0</v>
      </c>
    </row>
    <row r="605" spans="1:37">
      <c r="A605" s="492">
        <f t="shared" si="35"/>
        <v>45858</v>
      </c>
      <c r="B605" s="102" t="s">
        <v>1197</v>
      </c>
      <c r="C605" s="110" t="str">
        <f t="shared" si="34"/>
        <v>45858 1200H</v>
      </c>
      <c r="D605" s="471">
        <v>2885.41</v>
      </c>
      <c r="E605" s="472">
        <v>49.74</v>
      </c>
      <c r="F605" s="471">
        <v>1126.79</v>
      </c>
      <c r="G605" s="472">
        <v>6.21</v>
      </c>
      <c r="H605" s="471">
        <v>77060.63</v>
      </c>
      <c r="I605" s="473">
        <v>957.14</v>
      </c>
      <c r="J605" s="473">
        <v>33876.85</v>
      </c>
      <c r="K605" s="472">
        <v>115.2</v>
      </c>
      <c r="L605" s="473">
        <v>7778.17</v>
      </c>
      <c r="M605" s="473">
        <v>19.05</v>
      </c>
      <c r="N605" s="473">
        <v>35175.4</v>
      </c>
      <c r="O605" s="473">
        <v>31.2</v>
      </c>
      <c r="P605" s="473">
        <v>741.76</v>
      </c>
      <c r="Q605" s="473">
        <v>1147.3499999999999</v>
      </c>
      <c r="R605" s="473">
        <v>11785.47</v>
      </c>
      <c r="S605" s="473">
        <v>9.0399999999999991</v>
      </c>
      <c r="T605" s="473">
        <v>38717</v>
      </c>
      <c r="U605" s="473">
        <v>69</v>
      </c>
      <c r="V605" s="473"/>
      <c r="W605" s="473"/>
      <c r="X605" s="473">
        <v>9205.16</v>
      </c>
      <c r="Y605" s="473">
        <v>0</v>
      </c>
      <c r="Z605" s="473"/>
      <c r="AA605" s="472"/>
      <c r="AB605" s="473"/>
      <c r="AC605" s="474"/>
      <c r="AD605" s="473"/>
      <c r="AE605" s="472"/>
      <c r="AF605" s="506">
        <v>932.03</v>
      </c>
      <c r="AG605" s="474">
        <v>11.43</v>
      </c>
      <c r="AH605" s="506">
        <v>76</v>
      </c>
      <c r="AI605" s="474">
        <v>0.01</v>
      </c>
      <c r="AJ605" s="506">
        <v>187.72</v>
      </c>
      <c r="AK605" s="474">
        <v>0</v>
      </c>
    </row>
    <row r="606" spans="1:37">
      <c r="A606" s="492">
        <f t="shared" si="35"/>
        <v>45859</v>
      </c>
      <c r="B606" s="102" t="s">
        <v>3267</v>
      </c>
      <c r="C606" s="110" t="str">
        <f t="shared" si="34"/>
        <v>45859 0000H</v>
      </c>
      <c r="D606" s="337">
        <v>2890.2</v>
      </c>
      <c r="E606" s="338">
        <v>49.74</v>
      </c>
      <c r="F606" s="337">
        <v>1126.79</v>
      </c>
      <c r="G606" s="338">
        <v>6.21</v>
      </c>
      <c r="H606" s="337">
        <v>77066.02</v>
      </c>
      <c r="I606" s="475">
        <v>957.23</v>
      </c>
      <c r="J606" s="475">
        <v>33877.86</v>
      </c>
      <c r="K606" s="338">
        <v>115.24</v>
      </c>
      <c r="L606" s="337">
        <v>7784</v>
      </c>
      <c r="M606" s="475">
        <v>19.05</v>
      </c>
      <c r="N606" s="475">
        <v>35178.800000000003</v>
      </c>
      <c r="O606" s="475">
        <v>31.2</v>
      </c>
      <c r="P606" s="475">
        <v>741.76</v>
      </c>
      <c r="Q606" s="475">
        <v>1149.0899999999999</v>
      </c>
      <c r="R606" s="475">
        <v>11790.15</v>
      </c>
      <c r="S606" s="475">
        <v>9.0399999999999991</v>
      </c>
      <c r="T606" s="475">
        <v>38777</v>
      </c>
      <c r="U606" s="475">
        <v>69</v>
      </c>
      <c r="V606" s="475"/>
      <c r="W606" s="475"/>
      <c r="X606" s="475">
        <v>9210.75</v>
      </c>
      <c r="Y606" s="475">
        <v>0</v>
      </c>
      <c r="Z606" s="475"/>
      <c r="AA606" s="338"/>
      <c r="AB606" s="475"/>
      <c r="AC606" s="476"/>
      <c r="AD606" s="475"/>
      <c r="AE606" s="338"/>
      <c r="AF606" s="505">
        <v>939.18</v>
      </c>
      <c r="AG606" s="476">
        <v>11.43</v>
      </c>
      <c r="AH606" s="505">
        <v>76</v>
      </c>
      <c r="AI606" s="476">
        <v>0.01</v>
      </c>
      <c r="AJ606" s="505">
        <v>189.77</v>
      </c>
      <c r="AK606" s="476">
        <v>0</v>
      </c>
    </row>
    <row r="607" spans="1:37">
      <c r="A607" s="492">
        <f t="shared" si="35"/>
        <v>45859</v>
      </c>
      <c r="B607" s="102" t="s">
        <v>1197</v>
      </c>
      <c r="C607" s="110" t="str">
        <f t="shared" si="34"/>
        <v>45859 1200H</v>
      </c>
      <c r="D607" s="471">
        <v>2893.93</v>
      </c>
      <c r="E607" s="472">
        <v>49.74</v>
      </c>
      <c r="F607" s="471">
        <v>1126.79</v>
      </c>
      <c r="G607" s="472">
        <v>6.21</v>
      </c>
      <c r="H607" s="549">
        <v>77067.539999999994</v>
      </c>
      <c r="I607" s="473">
        <v>957.58</v>
      </c>
      <c r="J607" s="473">
        <v>33878.559999999998</v>
      </c>
      <c r="K607" s="472">
        <v>115.27</v>
      </c>
      <c r="L607" s="471">
        <v>7789.69</v>
      </c>
      <c r="M607" s="473">
        <v>19.05</v>
      </c>
      <c r="N607" s="473">
        <v>35180.6</v>
      </c>
      <c r="O607" s="473">
        <v>31.3</v>
      </c>
      <c r="P607" s="473">
        <v>741.76</v>
      </c>
      <c r="Q607" s="473">
        <v>1150.3499999999999</v>
      </c>
      <c r="R607" s="473">
        <v>11794</v>
      </c>
      <c r="S607" s="473">
        <v>9.0399999999999991</v>
      </c>
      <c r="T607" s="473">
        <v>38784</v>
      </c>
      <c r="U607" s="473">
        <v>69</v>
      </c>
      <c r="V607" s="473"/>
      <c r="W607" s="473"/>
      <c r="X607" s="473">
        <v>9217.14</v>
      </c>
      <c r="Y607" s="473">
        <v>0</v>
      </c>
      <c r="Z607" s="473"/>
      <c r="AA607" s="472"/>
      <c r="AB607" s="473"/>
      <c r="AC607" s="474"/>
      <c r="AD607" s="473"/>
      <c r="AE607" s="472"/>
      <c r="AF607" s="506">
        <v>945.75</v>
      </c>
      <c r="AG607" s="474">
        <v>11.43</v>
      </c>
      <c r="AH607" s="506">
        <v>76</v>
      </c>
      <c r="AI607" s="474">
        <v>0.01</v>
      </c>
      <c r="AJ607" s="506">
        <v>191.53</v>
      </c>
      <c r="AK607" s="474">
        <v>0</v>
      </c>
    </row>
    <row r="608" spans="1:37">
      <c r="A608" s="492">
        <f t="shared" si="35"/>
        <v>45860</v>
      </c>
      <c r="B608" s="102" t="s">
        <v>3267</v>
      </c>
      <c r="C608" s="110" t="str">
        <f t="shared" si="34"/>
        <v>45860 0000H</v>
      </c>
      <c r="D608" s="337">
        <v>2898.43</v>
      </c>
      <c r="E608" s="338">
        <v>49.74</v>
      </c>
      <c r="F608" s="337">
        <v>1126.79</v>
      </c>
      <c r="G608" s="338">
        <v>6.21</v>
      </c>
      <c r="H608" s="337">
        <v>77071.86</v>
      </c>
      <c r="I608" s="475">
        <v>957.7</v>
      </c>
      <c r="J608" s="475">
        <v>33881.35</v>
      </c>
      <c r="K608" s="338">
        <v>115.28</v>
      </c>
      <c r="L608" s="337">
        <v>7795.5</v>
      </c>
      <c r="M608" s="475">
        <v>19.05</v>
      </c>
      <c r="N608" s="475">
        <v>35183.699999999997</v>
      </c>
      <c r="O608" s="475">
        <v>31.3</v>
      </c>
      <c r="P608" s="475">
        <v>741.81</v>
      </c>
      <c r="Q608" s="475">
        <v>1151.68</v>
      </c>
      <c r="R608" s="475">
        <v>11798.45</v>
      </c>
      <c r="S608" s="475">
        <v>9.0399999999999991</v>
      </c>
      <c r="T608" s="475">
        <v>38792</v>
      </c>
      <c r="U608" s="475">
        <v>69</v>
      </c>
      <c r="V608" s="475"/>
      <c r="W608" s="475"/>
      <c r="X608" s="475">
        <v>9224.16</v>
      </c>
      <c r="Y608" s="475">
        <v>0</v>
      </c>
      <c r="Z608" s="475"/>
      <c r="AA608" s="338"/>
      <c r="AB608" s="475"/>
      <c r="AC608" s="476"/>
      <c r="AD608" s="475"/>
      <c r="AE608" s="338"/>
      <c r="AF608" s="505">
        <v>953.78</v>
      </c>
      <c r="AG608" s="476">
        <v>11.43</v>
      </c>
      <c r="AH608" s="505">
        <v>76.36</v>
      </c>
      <c r="AI608" s="476">
        <v>0.01</v>
      </c>
      <c r="AJ608" s="505">
        <v>193.59</v>
      </c>
      <c r="AK608" s="476">
        <v>0</v>
      </c>
    </row>
    <row r="609" spans="1:37">
      <c r="A609" s="492">
        <f t="shared" si="35"/>
        <v>45860</v>
      </c>
      <c r="B609" s="102" t="s">
        <v>1197</v>
      </c>
      <c r="C609" s="110" t="str">
        <f t="shared" si="34"/>
        <v>45860 1200H</v>
      </c>
      <c r="D609" s="471">
        <v>2902.16</v>
      </c>
      <c r="E609" s="472">
        <v>49.74</v>
      </c>
      <c r="F609" s="471">
        <v>1126.79</v>
      </c>
      <c r="G609" s="472">
        <v>6.21</v>
      </c>
      <c r="H609" s="471">
        <v>77073.81</v>
      </c>
      <c r="I609" s="473">
        <v>958.09</v>
      </c>
      <c r="J609" s="473">
        <v>33882.25</v>
      </c>
      <c r="K609" s="472">
        <v>115.32</v>
      </c>
      <c r="L609" s="471">
        <v>7801.26</v>
      </c>
      <c r="M609" s="473">
        <v>19.05</v>
      </c>
      <c r="N609" s="473">
        <v>35185.599999999999</v>
      </c>
      <c r="O609" s="473">
        <v>31.3</v>
      </c>
      <c r="P609" s="473">
        <v>741.85</v>
      </c>
      <c r="Q609" s="473">
        <v>1152.75</v>
      </c>
      <c r="R609" s="473">
        <v>11802.21</v>
      </c>
      <c r="S609" s="473">
        <v>9.0399999999999991</v>
      </c>
      <c r="T609" s="473">
        <v>38798</v>
      </c>
      <c r="U609" s="473">
        <v>69</v>
      </c>
      <c r="V609" s="473"/>
      <c r="W609" s="473"/>
      <c r="X609" s="473">
        <v>9230.2199999999993</v>
      </c>
      <c r="Y609" s="473">
        <v>0</v>
      </c>
      <c r="Z609" s="473"/>
      <c r="AA609" s="472"/>
      <c r="AB609" s="473"/>
      <c r="AC609" s="474"/>
      <c r="AD609" s="473"/>
      <c r="AE609" s="472"/>
      <c r="AF609" s="506">
        <v>960.63</v>
      </c>
      <c r="AG609" s="474">
        <v>11.43</v>
      </c>
      <c r="AH609" s="506">
        <v>76.430000000000007</v>
      </c>
      <c r="AI609" s="474">
        <v>0.01</v>
      </c>
      <c r="AJ609" s="506">
        <v>195.43</v>
      </c>
      <c r="AK609" s="474">
        <v>0</v>
      </c>
    </row>
    <row r="610" spans="1:37">
      <c r="A610" s="492">
        <f t="shared" si="35"/>
        <v>45861</v>
      </c>
      <c r="B610" s="102" t="s">
        <v>3267</v>
      </c>
      <c r="C610" s="110" t="str">
        <f t="shared" si="34"/>
        <v>45861 0000H</v>
      </c>
      <c r="D610" s="337">
        <v>2907.03</v>
      </c>
      <c r="E610" s="338">
        <v>49.74</v>
      </c>
      <c r="F610" s="337">
        <v>1126.79</v>
      </c>
      <c r="G610" s="338">
        <v>6.21</v>
      </c>
      <c r="H610" s="337">
        <v>77079.66</v>
      </c>
      <c r="I610" s="475">
        <v>958.11</v>
      </c>
      <c r="J610" s="475">
        <v>33885.300000000003</v>
      </c>
      <c r="K610" s="338">
        <v>115.34</v>
      </c>
      <c r="L610" s="337">
        <v>7807.1</v>
      </c>
      <c r="M610" s="475">
        <v>19.05</v>
      </c>
      <c r="N610" s="475">
        <v>35188.5</v>
      </c>
      <c r="O610" s="475">
        <v>31.3</v>
      </c>
      <c r="P610" s="475">
        <v>742.03</v>
      </c>
      <c r="Q610" s="475">
        <v>1153.55</v>
      </c>
      <c r="R610" s="475">
        <v>11806.87</v>
      </c>
      <c r="S610" s="475">
        <v>9.0399999999999991</v>
      </c>
      <c r="T610" s="475">
        <v>38805</v>
      </c>
      <c r="U610" s="475">
        <v>69</v>
      </c>
      <c r="V610" s="475"/>
      <c r="W610" s="475"/>
      <c r="X610" s="475">
        <v>9237.5499999999993</v>
      </c>
      <c r="Y610" s="475">
        <v>0</v>
      </c>
      <c r="Z610" s="475"/>
      <c r="AA610" s="338"/>
      <c r="AB610" s="475"/>
      <c r="AC610" s="476"/>
      <c r="AD610" s="475"/>
      <c r="AE610" s="338"/>
      <c r="AF610" s="505">
        <v>969.71</v>
      </c>
      <c r="AG610" s="476">
        <v>11.43</v>
      </c>
      <c r="AH610" s="505">
        <v>77.03</v>
      </c>
      <c r="AI610" s="476">
        <v>0.01</v>
      </c>
      <c r="AJ610" s="505">
        <v>197.5</v>
      </c>
      <c r="AK610" s="476">
        <v>0</v>
      </c>
    </row>
    <row r="611" spans="1:37">
      <c r="A611" s="492">
        <f t="shared" si="35"/>
        <v>45861</v>
      </c>
      <c r="B611" s="102" t="s">
        <v>1197</v>
      </c>
      <c r="C611" s="110" t="str">
        <f t="shared" si="34"/>
        <v>45861 1200H</v>
      </c>
      <c r="D611" s="471">
        <v>2910.81</v>
      </c>
      <c r="E611" s="472">
        <v>49.74</v>
      </c>
      <c r="F611" s="471">
        <v>1126.79</v>
      </c>
      <c r="G611" s="472">
        <v>6.21</v>
      </c>
      <c r="H611" s="471">
        <v>77081.490000000005</v>
      </c>
      <c r="I611" s="473">
        <v>958.41</v>
      </c>
      <c r="J611" s="473">
        <v>33886.129999999997</v>
      </c>
      <c r="K611" s="472">
        <v>115.37</v>
      </c>
      <c r="L611" s="471">
        <v>7812.87</v>
      </c>
      <c r="M611" s="473">
        <v>19.05</v>
      </c>
      <c r="N611" s="473">
        <v>35191.5</v>
      </c>
      <c r="O611" s="473">
        <v>31.3</v>
      </c>
      <c r="P611" s="473">
        <v>742.04</v>
      </c>
      <c r="Q611" s="473">
        <v>1154.78</v>
      </c>
      <c r="R611" s="473">
        <v>11810.79</v>
      </c>
      <c r="S611" s="473">
        <v>9.0399999999999991</v>
      </c>
      <c r="T611" s="473">
        <v>38811</v>
      </c>
      <c r="U611" s="473">
        <v>69</v>
      </c>
      <c r="V611" s="473"/>
      <c r="W611" s="473"/>
      <c r="X611" s="473">
        <v>9243.8799999999992</v>
      </c>
      <c r="Y611" s="473">
        <v>0</v>
      </c>
      <c r="Z611" s="473"/>
      <c r="AA611" s="472"/>
      <c r="AB611" s="473"/>
      <c r="AC611" s="474"/>
      <c r="AD611" s="473"/>
      <c r="AE611" s="472"/>
      <c r="AF611" s="506">
        <v>976.51</v>
      </c>
      <c r="AG611" s="474">
        <v>11.43</v>
      </c>
      <c r="AH611" s="506">
        <v>77.03</v>
      </c>
      <c r="AI611" s="474">
        <v>0.01</v>
      </c>
      <c r="AJ611" s="506">
        <v>199.44</v>
      </c>
      <c r="AK611" s="474">
        <v>0</v>
      </c>
    </row>
    <row r="612" spans="1:37">
      <c r="A612" s="492">
        <f t="shared" si="35"/>
        <v>45862</v>
      </c>
      <c r="B612" s="102" t="s">
        <v>3267</v>
      </c>
      <c r="C612" s="110" t="str">
        <f t="shared" si="34"/>
        <v>45862 0000H</v>
      </c>
      <c r="D612" s="337">
        <v>2915.63</v>
      </c>
      <c r="E612" s="338">
        <v>49.74</v>
      </c>
      <c r="F612" s="337">
        <v>1126.79</v>
      </c>
      <c r="G612" s="338">
        <v>6.21</v>
      </c>
      <c r="H612" s="337">
        <v>77086.95</v>
      </c>
      <c r="I612" s="475">
        <v>958.5</v>
      </c>
      <c r="J612" s="475">
        <v>33889.120000000003</v>
      </c>
      <c r="K612" s="338">
        <v>115.39</v>
      </c>
      <c r="L612" s="337">
        <v>7818.67</v>
      </c>
      <c r="M612" s="475">
        <v>19.05</v>
      </c>
      <c r="N612" s="475">
        <v>35195</v>
      </c>
      <c r="O612" s="475">
        <v>31.3</v>
      </c>
      <c r="P612" s="475">
        <v>742.04</v>
      </c>
      <c r="Q612" s="475">
        <v>1156.07</v>
      </c>
      <c r="R612" s="475">
        <v>11815.26</v>
      </c>
      <c r="S612" s="475">
        <v>9.0399999999999991</v>
      </c>
      <c r="T612" s="475">
        <v>38818</v>
      </c>
      <c r="U612" s="475">
        <v>69</v>
      </c>
      <c r="V612" s="475"/>
      <c r="W612" s="475"/>
      <c r="X612" s="475">
        <v>9251.35</v>
      </c>
      <c r="Y612" s="475">
        <v>0</v>
      </c>
      <c r="Z612" s="475"/>
      <c r="AA612" s="338"/>
      <c r="AB612" s="475"/>
      <c r="AC612" s="476"/>
      <c r="AD612" s="475"/>
      <c r="AE612" s="338"/>
      <c r="AF612" s="505">
        <v>983.74</v>
      </c>
      <c r="AG612" s="476">
        <v>11.43</v>
      </c>
      <c r="AH612" s="505">
        <v>77.03</v>
      </c>
      <c r="AI612" s="476">
        <v>0.01</v>
      </c>
      <c r="AJ612" s="505">
        <v>201.5</v>
      </c>
      <c r="AK612" s="476">
        <v>0</v>
      </c>
    </row>
    <row r="613" spans="1:37">
      <c r="A613" s="492">
        <f t="shared" si="35"/>
        <v>45862</v>
      </c>
      <c r="B613" s="102" t="s">
        <v>1197</v>
      </c>
      <c r="C613" s="110" t="str">
        <f t="shared" si="34"/>
        <v>45862 1200H</v>
      </c>
      <c r="D613" s="471">
        <v>2919.57</v>
      </c>
      <c r="E613" s="472">
        <v>49.74</v>
      </c>
      <c r="F613" s="471">
        <v>1126.79</v>
      </c>
      <c r="G613" s="472">
        <v>6.21</v>
      </c>
      <c r="H613" s="471">
        <v>77088.53</v>
      </c>
      <c r="I613" s="473">
        <v>958.81</v>
      </c>
      <c r="J613" s="473">
        <v>33889.730000000003</v>
      </c>
      <c r="K613" s="566">
        <v>115.42</v>
      </c>
      <c r="L613" s="471">
        <v>7824.51</v>
      </c>
      <c r="M613" s="473">
        <v>19.05</v>
      </c>
      <c r="N613" s="473">
        <v>35197.699999999997</v>
      </c>
      <c r="O613" s="473">
        <v>31.3</v>
      </c>
      <c r="P613" s="473">
        <v>742.04</v>
      </c>
      <c r="Q613" s="473">
        <v>1157.4100000000001</v>
      </c>
      <c r="R613" s="473">
        <v>11819.53</v>
      </c>
      <c r="S613" s="473">
        <v>9.0399999999999991</v>
      </c>
      <c r="T613" s="473">
        <v>38824</v>
      </c>
      <c r="U613" s="473">
        <v>69</v>
      </c>
      <c r="V613" s="473"/>
      <c r="W613" s="473"/>
      <c r="X613" s="473">
        <v>9257.92</v>
      </c>
      <c r="Y613" s="473">
        <v>0</v>
      </c>
      <c r="Z613" s="473"/>
      <c r="AA613" s="472"/>
      <c r="AB613" s="473"/>
      <c r="AC613" s="474"/>
      <c r="AD613" s="473"/>
      <c r="AE613" s="472"/>
      <c r="AF613" s="506">
        <v>989.96</v>
      </c>
      <c r="AG613" s="474">
        <v>11.43</v>
      </c>
      <c r="AH613" s="506">
        <v>77.03</v>
      </c>
      <c r="AI613" s="474">
        <v>0.01</v>
      </c>
      <c r="AJ613" s="506">
        <v>203.28</v>
      </c>
      <c r="AK613" s="474">
        <v>0</v>
      </c>
    </row>
    <row r="614" spans="1:37">
      <c r="A614" s="492">
        <f>A612+1</f>
        <v>45863</v>
      </c>
      <c r="B614" s="102" t="s">
        <v>3267</v>
      </c>
      <c r="C614" s="110" t="str">
        <f t="shared" si="34"/>
        <v>45863 0000H</v>
      </c>
      <c r="D614" s="337">
        <v>2924.13</v>
      </c>
      <c r="E614" s="338">
        <v>49.74</v>
      </c>
      <c r="F614" s="337">
        <v>1126.79</v>
      </c>
      <c r="G614" s="338">
        <v>6.21</v>
      </c>
      <c r="H614" s="337">
        <v>77094.62</v>
      </c>
      <c r="I614" s="475">
        <v>958.84</v>
      </c>
      <c r="J614" s="475">
        <v>33893.39</v>
      </c>
      <c r="K614" s="338">
        <v>115.43</v>
      </c>
      <c r="L614" s="337">
        <v>7830.28</v>
      </c>
      <c r="M614" s="475">
        <v>19.05</v>
      </c>
      <c r="N614" s="475">
        <v>35201.5</v>
      </c>
      <c r="O614" s="475">
        <v>31.3</v>
      </c>
      <c r="P614" s="475">
        <v>742.05</v>
      </c>
      <c r="Q614" s="475">
        <v>1158.46</v>
      </c>
      <c r="R614" s="475">
        <v>11824.15</v>
      </c>
      <c r="S614" s="475">
        <v>9.0399999999999991</v>
      </c>
      <c r="T614" s="475">
        <v>38831</v>
      </c>
      <c r="U614" s="475">
        <v>69</v>
      </c>
      <c r="V614" s="475"/>
      <c r="W614" s="475"/>
      <c r="X614" s="475">
        <v>9265.0499999999993</v>
      </c>
      <c r="Y614" s="475">
        <v>0</v>
      </c>
      <c r="Z614" s="475"/>
      <c r="AA614" s="338"/>
      <c r="AB614" s="475"/>
      <c r="AC614" s="476"/>
      <c r="AD614" s="475"/>
      <c r="AE614" s="338"/>
      <c r="AF614" s="505">
        <v>997.58</v>
      </c>
      <c r="AG614" s="476">
        <v>11.43</v>
      </c>
      <c r="AH614" s="505">
        <v>77.03</v>
      </c>
      <c r="AI614" s="476">
        <v>0.01</v>
      </c>
      <c r="AJ614" s="505">
        <v>205.44</v>
      </c>
      <c r="AK614" s="476">
        <v>0</v>
      </c>
    </row>
    <row r="615" spans="1:37" ht="14.45" thickBot="1">
      <c r="A615" s="498">
        <f>A613+1</f>
        <v>45863</v>
      </c>
      <c r="B615" s="499" t="s">
        <v>1197</v>
      </c>
      <c r="C615" s="500" t="str">
        <f t="shared" si="34"/>
        <v>45863 1200H</v>
      </c>
      <c r="D615" s="501">
        <v>2927.74</v>
      </c>
      <c r="E615" s="502">
        <v>49.74</v>
      </c>
      <c r="F615" s="501">
        <v>1126.79</v>
      </c>
      <c r="G615" s="502">
        <v>6.21</v>
      </c>
      <c r="H615" s="501">
        <v>77094.62</v>
      </c>
      <c r="I615" s="503">
        <v>959.2</v>
      </c>
      <c r="J615" s="503">
        <v>33894.379999999997</v>
      </c>
      <c r="K615" s="502">
        <v>115.46</v>
      </c>
      <c r="L615" s="501">
        <v>7836.12</v>
      </c>
      <c r="M615" s="503">
        <v>19.05</v>
      </c>
      <c r="N615" s="503">
        <v>35203.4</v>
      </c>
      <c r="O615" s="503">
        <v>31.3</v>
      </c>
      <c r="P615" s="503">
        <v>742.06</v>
      </c>
      <c r="Q615" s="503">
        <v>1159.8599999999999</v>
      </c>
      <c r="R615" s="503">
        <v>11827.99</v>
      </c>
      <c r="S615" s="503">
        <v>9.0399999999999991</v>
      </c>
      <c r="T615" s="503">
        <v>38837</v>
      </c>
      <c r="U615" s="503">
        <v>69</v>
      </c>
      <c r="V615" s="503"/>
      <c r="W615" s="503"/>
      <c r="X615" s="503">
        <v>9271.32</v>
      </c>
      <c r="Y615" s="503">
        <v>0</v>
      </c>
      <c r="Z615" s="503"/>
      <c r="AA615" s="502"/>
      <c r="AB615" s="503"/>
      <c r="AC615" s="504"/>
      <c r="AD615" s="503"/>
      <c r="AE615" s="502"/>
      <c r="AF615" s="513">
        <v>1005.43</v>
      </c>
      <c r="AG615" s="504">
        <v>11.43</v>
      </c>
      <c r="AH615" s="513">
        <v>77.209999999999994</v>
      </c>
      <c r="AI615" s="504">
        <v>0.01</v>
      </c>
      <c r="AJ615" s="513">
        <v>207.53</v>
      </c>
      <c r="AK615" s="504">
        <v>0</v>
      </c>
    </row>
    <row r="616" spans="1:37" ht="14.45" thickBot="1"/>
    <row r="617" spans="1:37">
      <c r="A617" s="485">
        <f>A615+1</f>
        <v>45864</v>
      </c>
      <c r="B617" s="486" t="s">
        <v>3267</v>
      </c>
      <c r="C617" s="487" t="str">
        <f t="shared" ref="C617:C676" si="36">A617 &amp; " " &amp;B617</f>
        <v>45864 0000H</v>
      </c>
      <c r="D617" s="488">
        <v>2932.48</v>
      </c>
      <c r="E617" s="489">
        <v>49.74</v>
      </c>
      <c r="F617" s="488">
        <v>1126.79</v>
      </c>
      <c r="G617" s="489">
        <v>6.21</v>
      </c>
      <c r="H617" s="488">
        <v>77095.929999999993</v>
      </c>
      <c r="I617" s="490">
        <v>959.48</v>
      </c>
      <c r="J617" s="490">
        <v>33896.800000000003</v>
      </c>
      <c r="K617" s="491">
        <v>115.47</v>
      </c>
      <c r="L617" s="550">
        <v>7841.83</v>
      </c>
      <c r="M617" s="490">
        <v>19.05</v>
      </c>
      <c r="N617" s="490">
        <v>35205.9</v>
      </c>
      <c r="O617" s="490">
        <v>31.3</v>
      </c>
      <c r="P617" s="490">
        <v>742.06</v>
      </c>
      <c r="Q617" s="490">
        <v>1161.4100000000001</v>
      </c>
      <c r="R617" s="490">
        <v>11832.32</v>
      </c>
      <c r="S617" s="490">
        <v>9.0399999999999991</v>
      </c>
      <c r="T617" s="490">
        <v>38844</v>
      </c>
      <c r="U617" s="490">
        <v>69</v>
      </c>
      <c r="V617" s="490"/>
      <c r="W617" s="490"/>
      <c r="X617" s="490">
        <v>9278.1299999999992</v>
      </c>
      <c r="Y617" s="490">
        <v>0</v>
      </c>
      <c r="Z617" s="490"/>
      <c r="AA617" s="489"/>
      <c r="AB617" s="490"/>
      <c r="AC617" s="491"/>
      <c r="AD617" s="490"/>
      <c r="AE617" s="489"/>
      <c r="AF617" s="509">
        <v>1012.71</v>
      </c>
      <c r="AG617" s="491">
        <v>11.43</v>
      </c>
      <c r="AH617" s="509">
        <v>77.27</v>
      </c>
      <c r="AI617" s="491">
        <v>0.01</v>
      </c>
      <c r="AJ617" s="509">
        <v>209.54</v>
      </c>
      <c r="AK617" s="491">
        <v>0</v>
      </c>
    </row>
    <row r="618" spans="1:37">
      <c r="A618" s="492">
        <f>A617</f>
        <v>45864</v>
      </c>
      <c r="B618" s="102" t="s">
        <v>1197</v>
      </c>
      <c r="C618" s="110" t="str">
        <f t="shared" si="36"/>
        <v>45864 1200H</v>
      </c>
      <c r="D618" s="471">
        <v>2936.03</v>
      </c>
      <c r="E618" s="472">
        <v>49.74</v>
      </c>
      <c r="F618" s="471">
        <v>1126.79</v>
      </c>
      <c r="G618" s="472">
        <v>6.21</v>
      </c>
      <c r="H618" s="471">
        <v>77096.509999999995</v>
      </c>
      <c r="I618" s="473">
        <v>959.81</v>
      </c>
      <c r="J618" s="473">
        <v>33896.800000000003</v>
      </c>
      <c r="K618" s="474">
        <v>115.51</v>
      </c>
      <c r="L618" s="551">
        <v>7847.63</v>
      </c>
      <c r="M618" s="473">
        <v>19.05</v>
      </c>
      <c r="N618" s="473">
        <v>35207</v>
      </c>
      <c r="O618" s="473">
        <v>31.4</v>
      </c>
      <c r="P618" s="473">
        <v>742.06</v>
      </c>
      <c r="Q618" s="473">
        <v>1162.82</v>
      </c>
      <c r="R618" s="473">
        <v>11835.9</v>
      </c>
      <c r="S618" s="473">
        <v>9.0399999999999991</v>
      </c>
      <c r="T618" s="473">
        <v>38850</v>
      </c>
      <c r="U618" s="473">
        <v>69</v>
      </c>
      <c r="V618" s="473"/>
      <c r="W618" s="473"/>
      <c r="X618" s="473">
        <v>9283.5499999999993</v>
      </c>
      <c r="Y618" s="473">
        <v>0</v>
      </c>
      <c r="Z618" s="473"/>
      <c r="AA618" s="472"/>
      <c r="AB618" s="473"/>
      <c r="AC618" s="474"/>
      <c r="AD618" s="473"/>
      <c r="AE618" s="472"/>
      <c r="AF618" s="506">
        <v>1016.3</v>
      </c>
      <c r="AG618" s="474">
        <v>11.43</v>
      </c>
      <c r="AH618" s="506">
        <v>77.27</v>
      </c>
      <c r="AI618" s="474">
        <v>0.01</v>
      </c>
      <c r="AJ618" s="506">
        <v>211.15</v>
      </c>
      <c r="AK618" s="474">
        <v>0</v>
      </c>
    </row>
    <row r="619" spans="1:37">
      <c r="A619" s="492">
        <f t="shared" ref="A619:A674" si="37">A617+1</f>
        <v>45865</v>
      </c>
      <c r="B619" s="102" t="s">
        <v>3267</v>
      </c>
      <c r="C619" s="110" t="str">
        <f t="shared" si="36"/>
        <v>45865 0000H</v>
      </c>
      <c r="D619" s="337">
        <v>2940.6</v>
      </c>
      <c r="E619" s="338">
        <v>49.74</v>
      </c>
      <c r="F619" s="337">
        <v>1126.79</v>
      </c>
      <c r="G619" s="338">
        <v>6.21</v>
      </c>
      <c r="H619" s="337">
        <v>77100.039999999994</v>
      </c>
      <c r="I619" s="475">
        <v>960</v>
      </c>
      <c r="J619" s="475">
        <v>33898.050000000003</v>
      </c>
      <c r="K619" s="476">
        <v>115.55</v>
      </c>
      <c r="L619" s="552">
        <v>7853.38</v>
      </c>
      <c r="M619" s="475">
        <v>19.05</v>
      </c>
      <c r="N619" s="475">
        <v>35210.1</v>
      </c>
      <c r="O619" s="475">
        <v>31.4</v>
      </c>
      <c r="P619" s="475">
        <v>742.12</v>
      </c>
      <c r="Q619" s="475">
        <v>1164.0999999999999</v>
      </c>
      <c r="R619" s="475">
        <v>11840.55</v>
      </c>
      <c r="S619" s="475">
        <v>9.0399999999999991</v>
      </c>
      <c r="T619" s="475">
        <v>38857</v>
      </c>
      <c r="U619" s="475">
        <v>69</v>
      </c>
      <c r="V619" s="475"/>
      <c r="W619" s="475"/>
      <c r="X619" s="475">
        <v>9290.7099999999991</v>
      </c>
      <c r="Y619" s="475">
        <v>0</v>
      </c>
      <c r="Z619" s="475"/>
      <c r="AA619" s="338"/>
      <c r="AB619" s="475"/>
      <c r="AC619" s="476"/>
      <c r="AD619" s="475"/>
      <c r="AE619" s="338"/>
      <c r="AF619" s="505">
        <v>1026.45</v>
      </c>
      <c r="AG619" s="476">
        <v>11.43</v>
      </c>
      <c r="AH619" s="505">
        <v>77.459999999999994</v>
      </c>
      <c r="AI619" s="476">
        <v>0.01</v>
      </c>
      <c r="AJ619" s="505">
        <v>213.28</v>
      </c>
      <c r="AK619" s="476">
        <v>0</v>
      </c>
    </row>
    <row r="620" spans="1:37">
      <c r="A620" s="492">
        <f t="shared" si="37"/>
        <v>45865</v>
      </c>
      <c r="B620" s="102" t="s">
        <v>1197</v>
      </c>
      <c r="C620" s="110" t="str">
        <f t="shared" si="36"/>
        <v>45865 1200H</v>
      </c>
      <c r="D620" s="471">
        <v>2943.9</v>
      </c>
      <c r="E620" s="472">
        <v>49.74</v>
      </c>
      <c r="F620" s="471">
        <v>1126.79</v>
      </c>
      <c r="G620" s="472">
        <v>6.21</v>
      </c>
      <c r="H620" s="471">
        <v>77101.05</v>
      </c>
      <c r="I620" s="473">
        <v>960.26</v>
      </c>
      <c r="J620" s="473">
        <v>33898.839999999997</v>
      </c>
      <c r="K620" s="474">
        <v>115.58</v>
      </c>
      <c r="L620" s="551">
        <v>7859.23</v>
      </c>
      <c r="M620" s="473">
        <v>19.05</v>
      </c>
      <c r="N620" s="473">
        <v>35211.300000000003</v>
      </c>
      <c r="O620" s="473">
        <v>31.5</v>
      </c>
      <c r="P620" s="473">
        <v>742.12</v>
      </c>
      <c r="Q620" s="473">
        <v>1165.45</v>
      </c>
      <c r="R620" s="473">
        <v>11844.3</v>
      </c>
      <c r="S620" s="473">
        <v>9.0399999999999991</v>
      </c>
      <c r="T620" s="473">
        <v>38863</v>
      </c>
      <c r="U620" s="473">
        <v>69</v>
      </c>
      <c r="V620" s="473"/>
      <c r="W620" s="473"/>
      <c r="X620" s="473">
        <v>9296.89</v>
      </c>
      <c r="Y620" s="473">
        <v>0</v>
      </c>
      <c r="Z620" s="473"/>
      <c r="AA620" s="472"/>
      <c r="AB620" s="473"/>
      <c r="AC620" s="474"/>
      <c r="AD620" s="473"/>
      <c r="AE620" s="472"/>
      <c r="AF620" s="506">
        <v>1032.42</v>
      </c>
      <c r="AG620" s="474">
        <v>11.43</v>
      </c>
      <c r="AH620" s="506">
        <v>77.459999999999994</v>
      </c>
      <c r="AI620" s="474">
        <v>0.01</v>
      </c>
      <c r="AJ620" s="506">
        <v>215</v>
      </c>
      <c r="AK620" s="474">
        <v>0</v>
      </c>
    </row>
    <row r="621" spans="1:37">
      <c r="A621" s="492">
        <f t="shared" si="37"/>
        <v>45866</v>
      </c>
      <c r="B621" s="102" t="s">
        <v>3267</v>
      </c>
      <c r="C621" s="110" t="str">
        <f t="shared" si="36"/>
        <v>45866 0000H</v>
      </c>
      <c r="D621" s="337">
        <v>2948.76</v>
      </c>
      <c r="E621" s="338">
        <v>49.74</v>
      </c>
      <c r="F621" s="337">
        <v>1126.79</v>
      </c>
      <c r="G621" s="338">
        <v>6.21</v>
      </c>
      <c r="H621" s="337">
        <v>77103.53</v>
      </c>
      <c r="I621" s="475">
        <v>960.44</v>
      </c>
      <c r="J621" s="475">
        <v>33901.71</v>
      </c>
      <c r="K621" s="476">
        <v>115.59</v>
      </c>
      <c r="L621" s="552">
        <v>7864.99</v>
      </c>
      <c r="M621" s="475">
        <v>19.05</v>
      </c>
      <c r="N621" s="475">
        <v>35213.9</v>
      </c>
      <c r="O621" s="475">
        <v>31.5</v>
      </c>
      <c r="P621" s="475">
        <v>742.12</v>
      </c>
      <c r="Q621" s="475">
        <v>1167.25</v>
      </c>
      <c r="R621" s="475">
        <v>11848.93</v>
      </c>
      <c r="S621" s="475">
        <v>9.0399999999999991</v>
      </c>
      <c r="T621" s="475">
        <v>38871</v>
      </c>
      <c r="U621" s="475">
        <v>69</v>
      </c>
      <c r="V621" s="475"/>
      <c r="W621" s="475"/>
      <c r="X621" s="475">
        <v>9304.42</v>
      </c>
      <c r="Y621" s="475">
        <v>0</v>
      </c>
      <c r="Z621" s="475"/>
      <c r="AA621" s="338"/>
      <c r="AB621" s="475"/>
      <c r="AC621" s="476"/>
      <c r="AD621" s="475"/>
      <c r="AE621" s="338"/>
      <c r="AF621" s="505">
        <v>1039.08</v>
      </c>
      <c r="AG621" s="476">
        <v>11.43</v>
      </c>
      <c r="AH621" s="505">
        <v>77.459999999999994</v>
      </c>
      <c r="AI621" s="476">
        <v>0.01</v>
      </c>
      <c r="AJ621" s="505">
        <v>216.9</v>
      </c>
      <c r="AK621" s="476">
        <v>0</v>
      </c>
    </row>
    <row r="622" spans="1:37">
      <c r="A622" s="492">
        <f t="shared" si="37"/>
        <v>45866</v>
      </c>
      <c r="B622" s="102" t="s">
        <v>1197</v>
      </c>
      <c r="C622" s="110" t="str">
        <f t="shared" si="36"/>
        <v>45866 1200H</v>
      </c>
      <c r="D622" s="521">
        <v>2952.48</v>
      </c>
      <c r="E622" s="522">
        <v>49.74</v>
      </c>
      <c r="F622" s="471">
        <v>1126.79</v>
      </c>
      <c r="G622" s="472">
        <v>6.21</v>
      </c>
      <c r="H622" s="471">
        <v>77103.53</v>
      </c>
      <c r="I622" s="473">
        <v>960.51</v>
      </c>
      <c r="J622" s="473">
        <v>33903.18</v>
      </c>
      <c r="K622" s="474">
        <v>115.61</v>
      </c>
      <c r="L622" s="551">
        <v>7870.86</v>
      </c>
      <c r="M622" s="473">
        <v>19.05</v>
      </c>
      <c r="N622" s="473">
        <v>35218.300000000003</v>
      </c>
      <c r="O622" s="473">
        <v>31.5</v>
      </c>
      <c r="P622" s="473">
        <v>742.2</v>
      </c>
      <c r="Q622" s="473">
        <v>1168.19</v>
      </c>
      <c r="R622" s="473">
        <v>11852.81</v>
      </c>
      <c r="S622" s="473">
        <v>9.0399999999999991</v>
      </c>
      <c r="T622" s="473">
        <v>38878</v>
      </c>
      <c r="U622" s="473">
        <v>69</v>
      </c>
      <c r="V622" s="473"/>
      <c r="W622" s="473"/>
      <c r="X622" s="473">
        <v>9310.5300000000007</v>
      </c>
      <c r="Y622" s="473"/>
      <c r="Z622" s="473"/>
      <c r="AA622" s="472"/>
      <c r="AB622" s="473"/>
      <c r="AC622" s="474"/>
      <c r="AD622" s="473"/>
      <c r="AE622" s="472"/>
      <c r="AF622" s="506">
        <v>1043.24</v>
      </c>
      <c r="AG622" s="474">
        <v>11.48</v>
      </c>
      <c r="AH622" s="506">
        <v>77.72</v>
      </c>
      <c r="AI622" s="474">
        <v>0.01</v>
      </c>
      <c r="AJ622" s="506">
        <v>217.81</v>
      </c>
      <c r="AK622" s="474">
        <v>0</v>
      </c>
    </row>
    <row r="623" spans="1:37">
      <c r="A623" s="492">
        <f t="shared" si="37"/>
        <v>45867</v>
      </c>
      <c r="B623" s="102" t="s">
        <v>3267</v>
      </c>
      <c r="C623" s="110" t="str">
        <f t="shared" si="36"/>
        <v>45867 0000H</v>
      </c>
      <c r="D623" s="337">
        <v>2957.28</v>
      </c>
      <c r="E623" s="338">
        <v>49.74</v>
      </c>
      <c r="F623" s="337">
        <v>1126.79</v>
      </c>
      <c r="G623" s="338">
        <v>6.21</v>
      </c>
      <c r="H623" s="337">
        <v>77110.289999999994</v>
      </c>
      <c r="I623" s="475">
        <v>960.9</v>
      </c>
      <c r="J623" s="475">
        <v>33906.1</v>
      </c>
      <c r="K623" s="476">
        <v>115.63</v>
      </c>
      <c r="L623" s="552">
        <v>7876.63</v>
      </c>
      <c r="M623" s="475">
        <v>19.05</v>
      </c>
      <c r="N623" s="475">
        <v>35221.699999999997</v>
      </c>
      <c r="O623" s="475">
        <v>31.5</v>
      </c>
      <c r="P623" s="475">
        <v>742.43</v>
      </c>
      <c r="Q623" s="475">
        <v>1169.18</v>
      </c>
      <c r="R623" s="475">
        <v>11857.62</v>
      </c>
      <c r="S623" s="475">
        <v>9.0399999999999991</v>
      </c>
      <c r="T623" s="475">
        <v>38887</v>
      </c>
      <c r="U623" s="475">
        <v>69</v>
      </c>
      <c r="V623" s="475"/>
      <c r="W623" s="475"/>
      <c r="X623" s="475">
        <v>9318.2099999999991</v>
      </c>
      <c r="Y623" s="475">
        <v>0</v>
      </c>
      <c r="Z623" s="475"/>
      <c r="AA623" s="338"/>
      <c r="AB623" s="475"/>
      <c r="AC623" s="476"/>
      <c r="AD623" s="475"/>
      <c r="AE623" s="338"/>
      <c r="AF623" s="505">
        <v>1052.8499999999999</v>
      </c>
      <c r="AG623" s="476">
        <v>11.48</v>
      </c>
      <c r="AH623" s="505">
        <v>78.52</v>
      </c>
      <c r="AI623" s="476">
        <v>0.01</v>
      </c>
      <c r="AJ623" s="505">
        <v>219.81</v>
      </c>
      <c r="AK623" s="476">
        <v>0</v>
      </c>
    </row>
    <row r="624" spans="1:37">
      <c r="A624" s="492">
        <f t="shared" si="37"/>
        <v>45867</v>
      </c>
      <c r="B624" s="102" t="s">
        <v>1197</v>
      </c>
      <c r="C624" s="110" t="str">
        <f t="shared" si="36"/>
        <v>45867 1200H</v>
      </c>
      <c r="D624" s="471">
        <v>2961.08</v>
      </c>
      <c r="E624" s="472">
        <v>49.74</v>
      </c>
      <c r="F624" s="471">
        <v>1126.79</v>
      </c>
      <c r="G624" s="472">
        <v>6.21</v>
      </c>
      <c r="H624" s="471">
        <v>77112.52</v>
      </c>
      <c r="I624" s="473">
        <v>961.09</v>
      </c>
      <c r="J624" s="473">
        <v>33906.800000000003</v>
      </c>
      <c r="K624" s="474">
        <v>115.66</v>
      </c>
      <c r="L624" s="551">
        <v>7882.47</v>
      </c>
      <c r="M624" s="473">
        <v>19.05</v>
      </c>
      <c r="N624" s="473">
        <v>35224.199999999997</v>
      </c>
      <c r="O624" s="473">
        <v>31.5</v>
      </c>
      <c r="P624" s="473">
        <v>742.44</v>
      </c>
      <c r="Q624" s="473">
        <v>1170.3499999999999</v>
      </c>
      <c r="R624" s="473">
        <v>11861.64</v>
      </c>
      <c r="S624" s="473">
        <v>9.0399999999999991</v>
      </c>
      <c r="T624" s="473">
        <v>38894</v>
      </c>
      <c r="U624" s="473">
        <v>69</v>
      </c>
      <c r="V624" s="473"/>
      <c r="W624" s="473"/>
      <c r="X624" s="473">
        <v>9324.7900000000009</v>
      </c>
      <c r="Y624" s="473">
        <v>0</v>
      </c>
      <c r="Z624" s="473"/>
      <c r="AA624" s="472"/>
      <c r="AB624" s="473"/>
      <c r="AC624" s="474"/>
      <c r="AD624" s="473"/>
      <c r="AE624" s="472"/>
      <c r="AF624" s="506">
        <v>1060.77</v>
      </c>
      <c r="AG624" s="474">
        <v>11.48</v>
      </c>
      <c r="AH624" s="506">
        <v>78.760000000000005</v>
      </c>
      <c r="AI624" s="474">
        <v>0.01</v>
      </c>
      <c r="AJ624" s="506">
        <v>221.82</v>
      </c>
      <c r="AK624" s="474">
        <v>0</v>
      </c>
    </row>
    <row r="625" spans="1:37">
      <c r="A625" s="492">
        <f t="shared" si="37"/>
        <v>45868</v>
      </c>
      <c r="B625" s="102" t="s">
        <v>3267</v>
      </c>
      <c r="C625" s="110" t="str">
        <f t="shared" si="36"/>
        <v>45868 0000H</v>
      </c>
      <c r="D625" s="337">
        <v>2965.52</v>
      </c>
      <c r="E625" s="338">
        <v>49.74</v>
      </c>
      <c r="F625" s="337">
        <v>1126.79</v>
      </c>
      <c r="G625" s="338">
        <v>6.21</v>
      </c>
      <c r="H625" s="337">
        <v>77121.25</v>
      </c>
      <c r="I625" s="475">
        <v>961.09</v>
      </c>
      <c r="J625" s="475">
        <v>33910.160000000003</v>
      </c>
      <c r="K625" s="476">
        <v>115.67</v>
      </c>
      <c r="L625" s="552">
        <v>7888.28</v>
      </c>
      <c r="M625" s="475">
        <v>19.05</v>
      </c>
      <c r="N625" s="475">
        <v>35227.699999999997</v>
      </c>
      <c r="O625" s="475">
        <v>31.5</v>
      </c>
      <c r="P625" s="475">
        <v>742.52</v>
      </c>
      <c r="Q625" s="475">
        <v>1171.54</v>
      </c>
      <c r="R625" s="475">
        <v>11866.33</v>
      </c>
      <c r="S625" s="475">
        <v>9.0399999999999991</v>
      </c>
      <c r="T625" s="475">
        <v>38903</v>
      </c>
      <c r="U625" s="475">
        <v>69</v>
      </c>
      <c r="V625" s="475"/>
      <c r="W625" s="475"/>
      <c r="X625" s="475">
        <v>9332.5</v>
      </c>
      <c r="Y625" s="475">
        <v>0</v>
      </c>
      <c r="Z625" s="475"/>
      <c r="AA625" s="338"/>
      <c r="AB625" s="475"/>
      <c r="AC625" s="476"/>
      <c r="AD625" s="475"/>
      <c r="AE625" s="338"/>
      <c r="AF625" s="505">
        <v>1071.3499999999999</v>
      </c>
      <c r="AG625" s="476">
        <v>11.48</v>
      </c>
      <c r="AH625" s="505">
        <v>79.91</v>
      </c>
      <c r="AI625" s="476">
        <v>0.01</v>
      </c>
      <c r="AJ625" s="505">
        <v>223.72</v>
      </c>
      <c r="AK625" s="476">
        <v>0</v>
      </c>
    </row>
    <row r="626" spans="1:37">
      <c r="A626" s="492">
        <f t="shared" si="37"/>
        <v>45868</v>
      </c>
      <c r="B626" s="102" t="s">
        <v>1197</v>
      </c>
      <c r="C626" s="110" t="str">
        <f t="shared" si="36"/>
        <v>45868 1200H</v>
      </c>
      <c r="D626" s="471">
        <v>2968.71</v>
      </c>
      <c r="E626" s="472">
        <v>49.74</v>
      </c>
      <c r="F626" s="471">
        <v>1126.79</v>
      </c>
      <c r="G626" s="472">
        <v>6.21</v>
      </c>
      <c r="H626" s="471">
        <v>77124.73</v>
      </c>
      <c r="I626" s="473">
        <v>961.26</v>
      </c>
      <c r="J626" s="473">
        <v>33911.33</v>
      </c>
      <c r="K626" s="474">
        <v>115.7</v>
      </c>
      <c r="L626" s="551">
        <v>7894.1</v>
      </c>
      <c r="M626" s="473">
        <v>19.05</v>
      </c>
      <c r="N626" s="473">
        <v>35230.9</v>
      </c>
      <c r="O626" s="473">
        <v>31.5</v>
      </c>
      <c r="P626" s="473">
        <v>742.82</v>
      </c>
      <c r="Q626" s="473">
        <v>1172.47</v>
      </c>
      <c r="R626" s="473">
        <v>11869.8</v>
      </c>
      <c r="S626" s="473">
        <v>9.0399999999999991</v>
      </c>
      <c r="T626" s="473">
        <v>38910</v>
      </c>
      <c r="U626" s="473">
        <v>69</v>
      </c>
      <c r="V626" s="473"/>
      <c r="W626" s="473"/>
      <c r="X626" s="473">
        <v>9339.16</v>
      </c>
      <c r="Y626" s="473">
        <v>0</v>
      </c>
      <c r="Z626" s="473"/>
      <c r="AA626" s="472"/>
      <c r="AB626" s="473"/>
      <c r="AC626" s="474"/>
      <c r="AD626" s="473"/>
      <c r="AE626" s="472"/>
      <c r="AF626" s="506">
        <v>1079.83</v>
      </c>
      <c r="AG626" s="474">
        <v>11.48</v>
      </c>
      <c r="AH626" s="506">
        <v>80.48</v>
      </c>
      <c r="AI626" s="474">
        <v>0.01</v>
      </c>
      <c r="AJ626" s="506">
        <v>225.6</v>
      </c>
      <c r="AK626" s="474">
        <v>0</v>
      </c>
    </row>
    <row r="627" spans="1:37">
      <c r="A627" s="492">
        <f t="shared" si="37"/>
        <v>45869</v>
      </c>
      <c r="B627" s="102" t="s">
        <v>3267</v>
      </c>
      <c r="C627" s="110" t="str">
        <f t="shared" si="36"/>
        <v>45869 0000H</v>
      </c>
      <c r="D627" s="337">
        <v>2972.88</v>
      </c>
      <c r="E627" s="338">
        <v>49.74</v>
      </c>
      <c r="F627" s="337">
        <v>1126.79</v>
      </c>
      <c r="G627" s="338">
        <v>6.21</v>
      </c>
      <c r="H627" s="337">
        <v>77136.25</v>
      </c>
      <c r="I627" s="475">
        <v>961.29</v>
      </c>
      <c r="J627" s="475">
        <v>33914.18</v>
      </c>
      <c r="K627" s="476">
        <v>115.71</v>
      </c>
      <c r="L627" s="552">
        <v>7899.89</v>
      </c>
      <c r="M627" s="475">
        <v>19.05</v>
      </c>
      <c r="N627" s="475">
        <v>35235.599999999999</v>
      </c>
      <c r="O627" s="475">
        <v>31.5</v>
      </c>
      <c r="P627" s="475">
        <v>743.35</v>
      </c>
      <c r="Q627" s="475">
        <v>1173.5999999999999</v>
      </c>
      <c r="R627" s="475">
        <v>11874.17</v>
      </c>
      <c r="S627" s="475">
        <v>9.0399999999999991</v>
      </c>
      <c r="T627" s="475">
        <v>38919</v>
      </c>
      <c r="U627" s="475">
        <v>69</v>
      </c>
      <c r="V627" s="475"/>
      <c r="W627" s="475"/>
      <c r="X627" s="475">
        <v>9347.14</v>
      </c>
      <c r="Y627" s="475">
        <v>0</v>
      </c>
      <c r="Z627" s="475"/>
      <c r="AA627" s="338"/>
      <c r="AB627" s="475"/>
      <c r="AC627" s="476"/>
      <c r="AD627" s="475"/>
      <c r="AE627" s="338"/>
      <c r="AF627" s="505">
        <v>1090.74</v>
      </c>
      <c r="AG627" s="476">
        <v>11.48</v>
      </c>
      <c r="AH627" s="505">
        <v>81.66</v>
      </c>
      <c r="AI627" s="476">
        <v>0.01</v>
      </c>
      <c r="AJ627" s="505">
        <v>227.51</v>
      </c>
      <c r="AK627" s="476">
        <v>0</v>
      </c>
    </row>
    <row r="628" spans="1:37">
      <c r="A628" s="492">
        <f t="shared" si="37"/>
        <v>45869</v>
      </c>
      <c r="B628" s="102" t="s">
        <v>1197</v>
      </c>
      <c r="C628" s="110" t="str">
        <f t="shared" si="36"/>
        <v>45869 1200H</v>
      </c>
      <c r="D628" s="471">
        <v>2976.76</v>
      </c>
      <c r="E628" s="472">
        <v>49.74</v>
      </c>
      <c r="F628" s="471">
        <v>1126.79</v>
      </c>
      <c r="G628" s="472">
        <v>6.21</v>
      </c>
      <c r="H628" s="532">
        <v>77140.149999999994</v>
      </c>
      <c r="I628" s="473">
        <v>961.53</v>
      </c>
      <c r="J628" s="473">
        <v>33914.78</v>
      </c>
      <c r="K628" s="474">
        <v>115.76</v>
      </c>
      <c r="L628" s="551">
        <v>7905.66</v>
      </c>
      <c r="M628" s="473">
        <v>19.05</v>
      </c>
      <c r="N628" s="473">
        <v>35238.6</v>
      </c>
      <c r="O628" s="473">
        <v>31.5</v>
      </c>
      <c r="P628" s="473">
        <v>743.4</v>
      </c>
      <c r="Q628" s="473">
        <v>1174.6199999999999</v>
      </c>
      <c r="R628" s="473">
        <v>11878.13</v>
      </c>
      <c r="S628" s="473">
        <v>9.0399999999999991</v>
      </c>
      <c r="T628" s="473">
        <v>38926</v>
      </c>
      <c r="U628" s="473">
        <v>69</v>
      </c>
      <c r="V628" s="473"/>
      <c r="W628" s="473"/>
      <c r="X628" s="473">
        <v>9354.09</v>
      </c>
      <c r="Y628" s="473">
        <v>0</v>
      </c>
      <c r="Z628" s="473"/>
      <c r="AA628" s="472"/>
      <c r="AB628" s="473"/>
      <c r="AC628" s="474"/>
      <c r="AD628" s="473"/>
      <c r="AE628" s="472"/>
      <c r="AF628" s="506">
        <v>1098.58</v>
      </c>
      <c r="AG628" s="474">
        <v>11.48</v>
      </c>
      <c r="AH628" s="506">
        <v>81.849999999999994</v>
      </c>
      <c r="AI628" s="474">
        <v>0.01</v>
      </c>
      <c r="AJ628" s="506">
        <v>229.58</v>
      </c>
      <c r="AK628" s="474">
        <v>0</v>
      </c>
    </row>
    <row r="629" spans="1:37">
      <c r="A629" s="492">
        <f t="shared" si="37"/>
        <v>45870</v>
      </c>
      <c r="B629" s="102" t="s">
        <v>3267</v>
      </c>
      <c r="C629" s="110" t="str">
        <f t="shared" si="36"/>
        <v>45870 0000H</v>
      </c>
      <c r="D629" s="337"/>
      <c r="E629" s="338"/>
      <c r="F629" s="337"/>
      <c r="G629" s="338"/>
      <c r="H629" s="337"/>
      <c r="I629" s="475"/>
      <c r="J629" s="475"/>
      <c r="K629" s="476"/>
      <c r="L629" s="552"/>
      <c r="M629" s="475"/>
      <c r="N629" s="475"/>
      <c r="O629" s="475"/>
      <c r="P629" s="475"/>
      <c r="Q629" s="475"/>
      <c r="R629" s="475"/>
      <c r="S629" s="475"/>
      <c r="T629" s="475"/>
      <c r="U629" s="475"/>
      <c r="V629" s="475"/>
      <c r="W629" s="475"/>
      <c r="X629" s="475"/>
      <c r="Y629" s="475"/>
      <c r="Z629" s="475"/>
      <c r="AA629" s="338"/>
      <c r="AB629" s="475"/>
      <c r="AC629" s="476"/>
      <c r="AD629" s="475"/>
      <c r="AE629" s="338"/>
      <c r="AF629" s="505"/>
      <c r="AG629" s="476"/>
      <c r="AH629" s="505"/>
      <c r="AI629" s="476"/>
      <c r="AJ629" s="505"/>
      <c r="AK629" s="476"/>
    </row>
    <row r="630" spans="1:37">
      <c r="A630" s="492">
        <f t="shared" si="37"/>
        <v>45870</v>
      </c>
      <c r="B630" s="102" t="s">
        <v>1197</v>
      </c>
      <c r="C630" s="110" t="str">
        <f t="shared" si="36"/>
        <v>45870 1200H</v>
      </c>
      <c r="D630" s="471"/>
      <c r="E630" s="472"/>
      <c r="F630" s="471"/>
      <c r="G630" s="472"/>
      <c r="H630" s="471"/>
      <c r="I630" s="473"/>
      <c r="J630" s="473"/>
      <c r="K630" s="474"/>
      <c r="L630" s="551"/>
      <c r="M630" s="473"/>
      <c r="N630" s="473"/>
      <c r="O630" s="473"/>
      <c r="P630" s="473"/>
      <c r="Q630" s="473"/>
      <c r="R630" s="473"/>
      <c r="S630" s="473"/>
      <c r="T630" s="473"/>
      <c r="U630" s="473"/>
      <c r="V630" s="473"/>
      <c r="W630" s="473"/>
      <c r="X630" s="473"/>
      <c r="Y630" s="473"/>
      <c r="Z630" s="473"/>
      <c r="AA630" s="472"/>
      <c r="AB630" s="473"/>
      <c r="AC630" s="474"/>
      <c r="AD630" s="473"/>
      <c r="AE630" s="472"/>
      <c r="AF630" s="506"/>
      <c r="AG630" s="474"/>
      <c r="AH630" s="506"/>
      <c r="AI630" s="474"/>
      <c r="AJ630" s="506"/>
      <c r="AK630" s="474"/>
    </row>
    <row r="631" spans="1:37">
      <c r="A631" s="492">
        <f t="shared" si="37"/>
        <v>45871</v>
      </c>
      <c r="B631" s="102" t="s">
        <v>3267</v>
      </c>
      <c r="C631" s="110" t="str">
        <f t="shared" si="36"/>
        <v>45871 0000H</v>
      </c>
      <c r="D631" s="337"/>
      <c r="E631" s="338"/>
      <c r="F631" s="337"/>
      <c r="G631" s="338"/>
      <c r="H631" s="337"/>
      <c r="I631" s="475"/>
      <c r="J631" s="475"/>
      <c r="K631" s="476"/>
      <c r="L631" s="552"/>
      <c r="M631" s="475"/>
      <c r="N631" s="475"/>
      <c r="O631" s="475"/>
      <c r="P631" s="475"/>
      <c r="Q631" s="475"/>
      <c r="R631" s="475"/>
      <c r="S631" s="475"/>
      <c r="T631" s="475"/>
      <c r="U631" s="475"/>
      <c r="V631" s="475"/>
      <c r="W631" s="475"/>
      <c r="X631" s="475"/>
      <c r="Y631" s="475"/>
      <c r="Z631" s="475"/>
      <c r="AA631" s="338"/>
      <c r="AB631" s="475"/>
      <c r="AC631" s="476"/>
      <c r="AD631" s="475"/>
      <c r="AE631" s="338"/>
      <c r="AF631" s="505"/>
      <c r="AG631" s="476"/>
      <c r="AH631" s="505"/>
      <c r="AI631" s="476"/>
      <c r="AJ631" s="505"/>
      <c r="AK631" s="476"/>
    </row>
    <row r="632" spans="1:37">
      <c r="A632" s="492">
        <f t="shared" si="37"/>
        <v>45871</v>
      </c>
      <c r="B632" s="102" t="s">
        <v>1197</v>
      </c>
      <c r="C632" s="110" t="str">
        <f t="shared" si="36"/>
        <v>45871 1200H</v>
      </c>
      <c r="D632" s="471"/>
      <c r="E632" s="472"/>
      <c r="F632" s="471"/>
      <c r="G632" s="472"/>
      <c r="H632" s="471"/>
      <c r="I632" s="473"/>
      <c r="J632" s="473"/>
      <c r="K632" s="474"/>
      <c r="L632" s="551"/>
      <c r="M632" s="473"/>
      <c r="N632" s="473"/>
      <c r="O632" s="473"/>
      <c r="P632" s="473"/>
      <c r="Q632" s="473"/>
      <c r="R632" s="473"/>
      <c r="S632" s="473"/>
      <c r="T632" s="473"/>
      <c r="U632" s="473"/>
      <c r="V632" s="473"/>
      <c r="W632" s="473"/>
      <c r="X632" s="473"/>
      <c r="Y632" s="473"/>
      <c r="Z632" s="473"/>
      <c r="AA632" s="472"/>
      <c r="AB632" s="473"/>
      <c r="AC632" s="474"/>
      <c r="AD632" s="473"/>
      <c r="AE632" s="472"/>
      <c r="AF632" s="506"/>
      <c r="AG632" s="474"/>
      <c r="AH632" s="506"/>
      <c r="AI632" s="474"/>
      <c r="AJ632" s="506"/>
      <c r="AK632" s="474"/>
    </row>
    <row r="633" spans="1:37">
      <c r="A633" s="492">
        <f t="shared" si="37"/>
        <v>45872</v>
      </c>
      <c r="B633" s="102" t="s">
        <v>3267</v>
      </c>
      <c r="C633" s="110" t="str">
        <f t="shared" si="36"/>
        <v>45872 0000H</v>
      </c>
      <c r="D633" s="337"/>
      <c r="E633" s="338"/>
      <c r="F633" s="337"/>
      <c r="G633" s="338"/>
      <c r="H633" s="337"/>
      <c r="I633" s="475"/>
      <c r="J633" s="475"/>
      <c r="K633" s="476"/>
      <c r="L633" s="552"/>
      <c r="M633" s="475"/>
      <c r="N633" s="475"/>
      <c r="O633" s="475"/>
      <c r="P633" s="475"/>
      <c r="Q633" s="475"/>
      <c r="R633" s="475"/>
      <c r="S633" s="475"/>
      <c r="T633" s="475"/>
      <c r="U633" s="475"/>
      <c r="V633" s="475"/>
      <c r="W633" s="475"/>
      <c r="X633" s="475"/>
      <c r="Y633" s="475"/>
      <c r="Z633" s="475"/>
      <c r="AA633" s="338"/>
      <c r="AB633" s="475"/>
      <c r="AC633" s="476"/>
      <c r="AD633" s="475"/>
      <c r="AE633" s="338"/>
      <c r="AF633" s="505"/>
      <c r="AG633" s="476"/>
      <c r="AH633" s="505"/>
      <c r="AI633" s="476"/>
      <c r="AJ633" s="505"/>
      <c r="AK633" s="476"/>
    </row>
    <row r="634" spans="1:37">
      <c r="A634" s="492">
        <f t="shared" si="37"/>
        <v>45872</v>
      </c>
      <c r="B634" s="102" t="s">
        <v>1197</v>
      </c>
      <c r="C634" s="110" t="str">
        <f t="shared" si="36"/>
        <v>45872 1200H</v>
      </c>
      <c r="D634" s="471"/>
      <c r="E634" s="472"/>
      <c r="F634" s="471"/>
      <c r="G634" s="472"/>
      <c r="H634" s="471"/>
      <c r="I634" s="473"/>
      <c r="J634" s="473"/>
      <c r="K634" s="474"/>
      <c r="L634" s="551"/>
      <c r="M634" s="473"/>
      <c r="N634" s="473"/>
      <c r="O634" s="473"/>
      <c r="P634" s="473"/>
      <c r="Q634" s="473"/>
      <c r="R634" s="473"/>
      <c r="S634" s="473"/>
      <c r="T634" s="473"/>
      <c r="U634" s="473"/>
      <c r="V634" s="473"/>
      <c r="W634" s="473"/>
      <c r="X634" s="473"/>
      <c r="Y634" s="473"/>
      <c r="Z634" s="473"/>
      <c r="AA634" s="472"/>
      <c r="AB634" s="473"/>
      <c r="AC634" s="474"/>
      <c r="AD634" s="473"/>
      <c r="AE634" s="472"/>
      <c r="AF634" s="506"/>
      <c r="AG634" s="474"/>
      <c r="AH634" s="506"/>
      <c r="AI634" s="474"/>
      <c r="AJ634" s="506"/>
      <c r="AK634" s="474"/>
    </row>
    <row r="635" spans="1:37">
      <c r="A635" s="492">
        <f t="shared" si="37"/>
        <v>45873</v>
      </c>
      <c r="B635" s="102" t="s">
        <v>3267</v>
      </c>
      <c r="C635" s="110" t="str">
        <f t="shared" si="36"/>
        <v>45873 0000H</v>
      </c>
      <c r="D635" s="337"/>
      <c r="E635" s="338"/>
      <c r="F635" s="337"/>
      <c r="G635" s="338"/>
      <c r="H635" s="337"/>
      <c r="I635" s="475"/>
      <c r="J635" s="475"/>
      <c r="K635" s="476"/>
      <c r="L635" s="552"/>
      <c r="M635" s="475"/>
      <c r="N635" s="475"/>
      <c r="O635" s="475"/>
      <c r="P635" s="475"/>
      <c r="Q635" s="475"/>
      <c r="R635" s="475"/>
      <c r="S635" s="475"/>
      <c r="T635" s="475"/>
      <c r="U635" s="475"/>
      <c r="V635" s="475"/>
      <c r="W635" s="475"/>
      <c r="X635" s="475"/>
      <c r="Y635" s="475"/>
      <c r="Z635" s="475"/>
      <c r="AA635" s="338"/>
      <c r="AB635" s="475"/>
      <c r="AC635" s="476"/>
      <c r="AD635" s="475"/>
      <c r="AE635" s="338"/>
      <c r="AF635" s="505"/>
      <c r="AG635" s="476"/>
      <c r="AH635" s="505"/>
      <c r="AI635" s="476"/>
      <c r="AJ635" s="505"/>
      <c r="AK635" s="476"/>
    </row>
    <row r="636" spans="1:37">
      <c r="A636" s="492">
        <f t="shared" si="37"/>
        <v>45873</v>
      </c>
      <c r="B636" s="102" t="s">
        <v>1197</v>
      </c>
      <c r="C636" s="110" t="str">
        <f t="shared" si="36"/>
        <v>45873 1200H</v>
      </c>
      <c r="D636" s="471"/>
      <c r="E636" s="472"/>
      <c r="F636" s="471"/>
      <c r="G636" s="472"/>
      <c r="H636" s="471"/>
      <c r="I636" s="473"/>
      <c r="J636" s="473"/>
      <c r="K636" s="474"/>
      <c r="L636" s="551"/>
      <c r="M636" s="473"/>
      <c r="N636" s="473"/>
      <c r="O636" s="473"/>
      <c r="P636" s="473"/>
      <c r="Q636" s="473"/>
      <c r="R636" s="473"/>
      <c r="S636" s="473"/>
      <c r="T636" s="473"/>
      <c r="U636" s="473"/>
      <c r="V636" s="473"/>
      <c r="W636" s="473"/>
      <c r="X636" s="473"/>
      <c r="Y636" s="473"/>
      <c r="Z636" s="473"/>
      <c r="AA636" s="472"/>
      <c r="AB636" s="473"/>
      <c r="AC636" s="474"/>
      <c r="AD636" s="473"/>
      <c r="AE636" s="472"/>
      <c r="AF636" s="506"/>
      <c r="AG636" s="474"/>
      <c r="AH636" s="506"/>
      <c r="AI636" s="474"/>
      <c r="AJ636" s="506"/>
      <c r="AK636" s="474"/>
    </row>
    <row r="637" spans="1:37">
      <c r="A637" s="492">
        <f t="shared" si="37"/>
        <v>45874</v>
      </c>
      <c r="B637" s="102" t="s">
        <v>3267</v>
      </c>
      <c r="C637" s="110" t="str">
        <f t="shared" si="36"/>
        <v>45874 0000H</v>
      </c>
      <c r="D637" s="337"/>
      <c r="E637" s="338"/>
      <c r="F637" s="337"/>
      <c r="G637" s="338"/>
      <c r="H637" s="337"/>
      <c r="I637" s="475"/>
      <c r="J637" s="475"/>
      <c r="K637" s="476"/>
      <c r="L637" s="552"/>
      <c r="M637" s="475"/>
      <c r="N637" s="475"/>
      <c r="O637" s="475"/>
      <c r="P637" s="475"/>
      <c r="Q637" s="475"/>
      <c r="R637" s="475"/>
      <c r="S637" s="475"/>
      <c r="T637" s="475"/>
      <c r="U637" s="475"/>
      <c r="V637" s="475"/>
      <c r="W637" s="475"/>
      <c r="X637" s="475"/>
      <c r="Y637" s="475"/>
      <c r="Z637" s="475"/>
      <c r="AA637" s="338"/>
      <c r="AB637" s="475"/>
      <c r="AC637" s="476"/>
      <c r="AD637" s="475"/>
      <c r="AE637" s="338"/>
      <c r="AF637" s="505"/>
      <c r="AG637" s="476"/>
      <c r="AH637" s="505"/>
      <c r="AI637" s="476"/>
      <c r="AJ637" s="505"/>
      <c r="AK637" s="476"/>
    </row>
    <row r="638" spans="1:37">
      <c r="A638" s="492">
        <f t="shared" si="37"/>
        <v>45874</v>
      </c>
      <c r="B638" s="102" t="s">
        <v>1197</v>
      </c>
      <c r="C638" s="110" t="str">
        <f t="shared" si="36"/>
        <v>45874 1200H</v>
      </c>
      <c r="D638" s="471"/>
      <c r="E638" s="472"/>
      <c r="F638" s="471"/>
      <c r="G638" s="472"/>
      <c r="H638" s="471"/>
      <c r="I638" s="473"/>
      <c r="J638" s="473"/>
      <c r="K638" s="474"/>
      <c r="L638" s="551"/>
      <c r="M638" s="473"/>
      <c r="N638" s="473"/>
      <c r="O638" s="473"/>
      <c r="P638" s="473"/>
      <c r="Q638" s="473"/>
      <c r="R638" s="473"/>
      <c r="S638" s="473"/>
      <c r="T638" s="473"/>
      <c r="U638" s="473"/>
      <c r="V638" s="473"/>
      <c r="W638" s="473"/>
      <c r="X638" s="473"/>
      <c r="Y638" s="473"/>
      <c r="Z638" s="473"/>
      <c r="AA638" s="472"/>
      <c r="AB638" s="473"/>
      <c r="AC638" s="474"/>
      <c r="AD638" s="473"/>
      <c r="AE638" s="472"/>
      <c r="AF638" s="506"/>
      <c r="AG638" s="474"/>
      <c r="AH638" s="506"/>
      <c r="AI638" s="474"/>
      <c r="AJ638" s="506"/>
      <c r="AK638" s="474"/>
    </row>
    <row r="639" spans="1:37">
      <c r="A639" s="492">
        <f t="shared" si="37"/>
        <v>45875</v>
      </c>
      <c r="B639" s="102" t="s">
        <v>3267</v>
      </c>
      <c r="C639" s="110" t="str">
        <f t="shared" si="36"/>
        <v>45875 0000H</v>
      </c>
      <c r="D639" s="337"/>
      <c r="E639" s="338"/>
      <c r="F639" s="337"/>
      <c r="G639" s="338"/>
      <c r="H639" s="337"/>
      <c r="I639" s="475"/>
      <c r="J639" s="475"/>
      <c r="K639" s="476"/>
      <c r="L639" s="552"/>
      <c r="M639" s="475"/>
      <c r="N639" s="475"/>
      <c r="O639" s="475"/>
      <c r="P639" s="475"/>
      <c r="Q639" s="475"/>
      <c r="R639" s="235"/>
      <c r="S639" s="235"/>
      <c r="T639" s="475"/>
      <c r="U639" s="475"/>
      <c r="V639" s="475"/>
      <c r="W639" s="475"/>
      <c r="X639" s="475"/>
      <c r="Y639" s="475"/>
      <c r="Z639" s="475"/>
      <c r="AA639" s="338"/>
      <c r="AB639" s="475"/>
      <c r="AC639" s="476"/>
      <c r="AD639" s="475"/>
      <c r="AE639" s="338"/>
      <c r="AF639" s="505"/>
      <c r="AG639" s="476"/>
      <c r="AH639" s="505"/>
      <c r="AI639" s="476"/>
      <c r="AJ639" s="505"/>
      <c r="AK639" s="476"/>
    </row>
    <row r="640" spans="1:37">
      <c r="A640" s="492">
        <f t="shared" si="37"/>
        <v>45875</v>
      </c>
      <c r="B640" s="102" t="s">
        <v>1197</v>
      </c>
      <c r="C640" s="110" t="str">
        <f t="shared" si="36"/>
        <v>45875 1200H</v>
      </c>
      <c r="D640" s="471"/>
      <c r="E640" s="472"/>
      <c r="F640" s="471"/>
      <c r="G640" s="472"/>
      <c r="H640" s="471"/>
      <c r="I640" s="473"/>
      <c r="J640" s="473"/>
      <c r="K640" s="474"/>
      <c r="L640" s="551"/>
      <c r="M640" s="473"/>
      <c r="N640" s="473"/>
      <c r="O640" s="473"/>
      <c r="P640" s="473"/>
      <c r="Q640" s="473"/>
      <c r="R640" s="473"/>
      <c r="S640" s="473"/>
      <c r="T640" s="473"/>
      <c r="U640" s="473"/>
      <c r="V640" s="473"/>
      <c r="W640" s="473"/>
      <c r="X640" s="473"/>
      <c r="Y640" s="473"/>
      <c r="Z640" s="473"/>
      <c r="AA640" s="472"/>
      <c r="AB640" s="473"/>
      <c r="AC640" s="474"/>
      <c r="AD640" s="473"/>
      <c r="AE640" s="472"/>
      <c r="AF640" s="506"/>
      <c r="AG640" s="474"/>
      <c r="AH640" s="506"/>
      <c r="AI640" s="474"/>
      <c r="AJ640" s="506"/>
      <c r="AK640" s="474"/>
    </row>
    <row r="641" spans="1:42">
      <c r="A641" s="492">
        <f t="shared" si="37"/>
        <v>45876</v>
      </c>
      <c r="B641" s="102" t="s">
        <v>3267</v>
      </c>
      <c r="C641" s="110" t="str">
        <f t="shared" si="36"/>
        <v>45876 0000H</v>
      </c>
      <c r="D641" s="337"/>
      <c r="E641" s="338"/>
      <c r="F641" s="337"/>
      <c r="G641" s="338"/>
      <c r="H641" s="337"/>
      <c r="I641" s="475"/>
      <c r="J641" s="475"/>
      <c r="K641" s="476"/>
      <c r="L641" s="553"/>
      <c r="M641" s="235"/>
      <c r="N641" s="475"/>
      <c r="O641" s="475"/>
      <c r="P641" s="475"/>
      <c r="Q641" s="475"/>
      <c r="R641" s="475"/>
      <c r="S641" s="475"/>
      <c r="T641" s="475"/>
      <c r="U641" s="475"/>
      <c r="V641" s="475"/>
      <c r="W641" s="475"/>
      <c r="X641" s="475"/>
      <c r="Y641" s="475"/>
      <c r="Z641" s="475"/>
      <c r="AA641" s="338"/>
      <c r="AB641" s="475"/>
      <c r="AC641" s="476"/>
      <c r="AD641" s="475"/>
      <c r="AE641" s="338"/>
      <c r="AF641" s="505"/>
      <c r="AG641" s="476"/>
      <c r="AH641" s="505"/>
      <c r="AI641" s="476"/>
      <c r="AJ641" s="505"/>
      <c r="AK641" s="476"/>
      <c r="AM641" s="530">
        <f>((AF641-AF640)-(AG641-AG640))*'EOD REPORT'!D127</f>
        <v>0</v>
      </c>
      <c r="AN641" s="530">
        <f>(AH641-AH640)*'EOD REPORT'!D128</f>
        <v>0</v>
      </c>
      <c r="AO641" s="530">
        <f>(AJ641-AJ640)*'EOD REPORT'!D128</f>
        <v>0</v>
      </c>
      <c r="AP641" s="23" t="e">
        <f>AO641/(AN641+AO641)</f>
        <v>#DIV/0!</v>
      </c>
    </row>
    <row r="642" spans="1:42">
      <c r="A642" s="492">
        <f t="shared" si="37"/>
        <v>45876</v>
      </c>
      <c r="B642" s="102" t="s">
        <v>1197</v>
      </c>
      <c r="C642" s="110" t="str">
        <f t="shared" si="36"/>
        <v>45876 1200H</v>
      </c>
      <c r="D642" s="471"/>
      <c r="E642" s="472"/>
      <c r="F642" s="471"/>
      <c r="G642" s="472"/>
      <c r="H642" s="471"/>
      <c r="I642" s="473"/>
      <c r="J642" s="473"/>
      <c r="K642" s="474"/>
      <c r="L642" s="551"/>
      <c r="M642" s="473"/>
      <c r="N642" s="473"/>
      <c r="O642" s="473"/>
      <c r="P642" s="473"/>
      <c r="Q642" s="473"/>
      <c r="R642" s="473"/>
      <c r="S642" s="473"/>
      <c r="T642" s="473"/>
      <c r="U642" s="473"/>
      <c r="V642" s="473"/>
      <c r="W642" s="473"/>
      <c r="X642" s="473"/>
      <c r="Y642" s="473"/>
      <c r="Z642" s="473"/>
      <c r="AA642" s="472"/>
      <c r="AB642" s="473"/>
      <c r="AC642" s="474"/>
      <c r="AD642" s="473"/>
      <c r="AE642" s="472"/>
      <c r="AF642" s="506"/>
      <c r="AG642" s="474"/>
      <c r="AH642" s="506"/>
      <c r="AI642" s="474"/>
      <c r="AJ642" s="506"/>
      <c r="AK642" s="474"/>
    </row>
    <row r="643" spans="1:42">
      <c r="A643" s="492">
        <f t="shared" si="37"/>
        <v>45877</v>
      </c>
      <c r="B643" s="102" t="s">
        <v>3267</v>
      </c>
      <c r="C643" s="110" t="str">
        <f t="shared" si="36"/>
        <v>45877 0000H</v>
      </c>
      <c r="D643" s="337"/>
      <c r="E643" s="338"/>
      <c r="F643" s="337"/>
      <c r="G643" s="338"/>
      <c r="H643" s="337"/>
      <c r="I643" s="475"/>
      <c r="J643" s="475"/>
      <c r="K643" s="476"/>
      <c r="L643" s="552"/>
      <c r="M643" s="475"/>
      <c r="N643" s="475"/>
      <c r="O643" s="475"/>
      <c r="P643" s="475"/>
      <c r="Q643" s="475"/>
      <c r="R643" s="475"/>
      <c r="S643" s="475"/>
      <c r="T643" s="475"/>
      <c r="U643" s="475"/>
      <c r="V643" s="475"/>
      <c r="W643" s="475"/>
      <c r="X643" s="475"/>
      <c r="Y643" s="475"/>
      <c r="Z643" s="475"/>
      <c r="AA643" s="338"/>
      <c r="AB643" s="475"/>
      <c r="AC643" s="476"/>
      <c r="AD643" s="475"/>
      <c r="AE643" s="338"/>
      <c r="AF643" s="505"/>
      <c r="AG643" s="476"/>
      <c r="AH643" s="505"/>
      <c r="AI643" s="476"/>
      <c r="AJ643" s="505"/>
      <c r="AK643" s="476"/>
    </row>
    <row r="644" spans="1:42">
      <c r="A644" s="492">
        <f t="shared" si="37"/>
        <v>45877</v>
      </c>
      <c r="B644" s="102" t="s">
        <v>1197</v>
      </c>
      <c r="C644" s="110" t="str">
        <f t="shared" si="36"/>
        <v>45877 1200H</v>
      </c>
      <c r="D644" s="471"/>
      <c r="E644" s="472"/>
      <c r="F644" s="471"/>
      <c r="G644" s="472"/>
      <c r="H644" s="471"/>
      <c r="I644" s="473"/>
      <c r="J644" s="473"/>
      <c r="K644" s="474"/>
      <c r="L644" s="551"/>
      <c r="M644" s="473"/>
      <c r="N644" s="473"/>
      <c r="O644" s="473"/>
      <c r="P644" s="473"/>
      <c r="Q644" s="473"/>
      <c r="R644" s="473"/>
      <c r="S644" s="473"/>
      <c r="T644" s="473"/>
      <c r="U644" s="473"/>
      <c r="V644" s="473"/>
      <c r="W644" s="473"/>
      <c r="X644" s="473"/>
      <c r="Y644" s="473"/>
      <c r="Z644" s="473"/>
      <c r="AA644" s="472"/>
      <c r="AB644" s="473"/>
      <c r="AC644" s="474"/>
      <c r="AD644" s="473"/>
      <c r="AE644" s="472"/>
      <c r="AF644" s="506"/>
      <c r="AG644" s="474"/>
      <c r="AH644" s="506"/>
      <c r="AI644" s="474"/>
      <c r="AJ644" s="506"/>
      <c r="AK644" s="474"/>
    </row>
    <row r="645" spans="1:42">
      <c r="A645" s="492">
        <f t="shared" si="37"/>
        <v>45878</v>
      </c>
      <c r="B645" s="102" t="s">
        <v>3267</v>
      </c>
      <c r="C645" s="110" t="str">
        <f t="shared" si="36"/>
        <v>45878 0000H</v>
      </c>
      <c r="D645" s="337"/>
      <c r="E645" s="338"/>
      <c r="F645" s="337"/>
      <c r="G645" s="338"/>
      <c r="H645" s="337"/>
      <c r="I645" s="475"/>
      <c r="J645" s="475"/>
      <c r="K645" s="476"/>
      <c r="L645" s="552"/>
      <c r="M645" s="475"/>
      <c r="N645" s="475"/>
      <c r="O645" s="475"/>
      <c r="P645" s="475"/>
      <c r="Q645" s="475"/>
      <c r="R645" s="475"/>
      <c r="S645" s="475"/>
      <c r="T645" s="475"/>
      <c r="U645" s="475"/>
      <c r="V645" s="475"/>
      <c r="W645" s="475"/>
      <c r="X645" s="475"/>
      <c r="Y645" s="475"/>
      <c r="Z645" s="475"/>
      <c r="AA645" s="338"/>
      <c r="AB645" s="475"/>
      <c r="AC645" s="476"/>
      <c r="AD645" s="475"/>
      <c r="AE645" s="338"/>
      <c r="AF645" s="505"/>
      <c r="AG645" s="476"/>
      <c r="AH645" s="505"/>
      <c r="AI645" s="476"/>
      <c r="AJ645" s="505"/>
      <c r="AK645" s="476"/>
    </row>
    <row r="646" spans="1:42">
      <c r="A646" s="492">
        <f t="shared" si="37"/>
        <v>45878</v>
      </c>
      <c r="B646" s="102" t="s">
        <v>1197</v>
      </c>
      <c r="C646" s="110" t="str">
        <f t="shared" si="36"/>
        <v>45878 1200H</v>
      </c>
      <c r="D646" s="471"/>
      <c r="E646" s="472"/>
      <c r="F646" s="471"/>
      <c r="G646" s="472"/>
      <c r="H646" s="471"/>
      <c r="I646" s="473"/>
      <c r="J646" s="473"/>
      <c r="K646" s="474"/>
      <c r="L646" s="551"/>
      <c r="M646" s="473"/>
      <c r="N646" s="473"/>
      <c r="O646" s="473"/>
      <c r="P646" s="473"/>
      <c r="Q646" s="473"/>
      <c r="R646" s="473"/>
      <c r="S646" s="473"/>
      <c r="T646" s="473"/>
      <c r="U646" s="473"/>
      <c r="V646" s="473"/>
      <c r="W646" s="473"/>
      <c r="X646" s="473"/>
      <c r="Y646" s="473"/>
      <c r="Z646" s="473"/>
      <c r="AA646" s="472"/>
      <c r="AB646" s="473"/>
      <c r="AC646" s="474"/>
      <c r="AD646" s="473"/>
      <c r="AE646" s="472"/>
      <c r="AF646" s="506"/>
      <c r="AG646" s="474"/>
      <c r="AH646" s="506"/>
      <c r="AI646" s="474"/>
      <c r="AJ646" s="506"/>
      <c r="AK646" s="474"/>
    </row>
    <row r="647" spans="1:42">
      <c r="A647" s="492">
        <f t="shared" si="37"/>
        <v>45879</v>
      </c>
      <c r="B647" s="102" t="s">
        <v>3267</v>
      </c>
      <c r="C647" s="110" t="str">
        <f t="shared" si="36"/>
        <v>45879 0000H</v>
      </c>
      <c r="D647" s="337"/>
      <c r="E647" s="338"/>
      <c r="F647" s="337"/>
      <c r="G647" s="338"/>
      <c r="H647" s="337"/>
      <c r="I647" s="475"/>
      <c r="J647" s="475"/>
      <c r="K647" s="476"/>
      <c r="L647" s="552"/>
      <c r="M647" s="475"/>
      <c r="N647" s="475"/>
      <c r="O647" s="475"/>
      <c r="P647" s="475"/>
      <c r="Q647" s="475"/>
      <c r="R647" s="475"/>
      <c r="S647" s="475"/>
      <c r="T647" s="475"/>
      <c r="U647" s="475"/>
      <c r="V647" s="475"/>
      <c r="W647" s="475"/>
      <c r="X647" s="475"/>
      <c r="Y647" s="475"/>
      <c r="Z647" s="475"/>
      <c r="AA647" s="338"/>
      <c r="AB647" s="475"/>
      <c r="AC647" s="476"/>
      <c r="AD647" s="475"/>
      <c r="AE647" s="338"/>
      <c r="AF647" s="505"/>
      <c r="AG647" s="476"/>
      <c r="AH647" s="505"/>
      <c r="AI647" s="476"/>
      <c r="AJ647" s="505"/>
      <c r="AK647" s="476"/>
    </row>
    <row r="648" spans="1:42">
      <c r="A648" s="492">
        <f t="shared" si="37"/>
        <v>45879</v>
      </c>
      <c r="B648" s="102" t="s">
        <v>1197</v>
      </c>
      <c r="C648" s="110" t="str">
        <f t="shared" si="36"/>
        <v>45879 1200H</v>
      </c>
      <c r="D648" s="471"/>
      <c r="E648" s="472"/>
      <c r="F648" s="471"/>
      <c r="G648" s="472"/>
      <c r="H648" s="471"/>
      <c r="I648" s="473"/>
      <c r="J648" s="473"/>
      <c r="K648" s="474"/>
      <c r="L648" s="551"/>
      <c r="M648" s="473"/>
      <c r="N648" s="473"/>
      <c r="O648" s="473"/>
      <c r="P648" s="473"/>
      <c r="Q648" s="473"/>
      <c r="R648" s="473"/>
      <c r="S648" s="473"/>
      <c r="T648" s="473"/>
      <c r="U648" s="473"/>
      <c r="V648" s="473"/>
      <c r="W648" s="473"/>
      <c r="X648" s="473"/>
      <c r="Y648" s="473"/>
      <c r="Z648" s="473"/>
      <c r="AA648" s="472"/>
      <c r="AB648" s="473"/>
      <c r="AC648" s="474"/>
      <c r="AD648" s="473"/>
      <c r="AE648" s="472"/>
      <c r="AF648" s="506"/>
      <c r="AG648" s="474"/>
      <c r="AH648" s="506"/>
      <c r="AI648" s="474"/>
      <c r="AJ648" s="506"/>
      <c r="AK648" s="474"/>
    </row>
    <row r="649" spans="1:42">
      <c r="A649" s="492">
        <f t="shared" si="37"/>
        <v>45880</v>
      </c>
      <c r="B649" s="102" t="s">
        <v>3267</v>
      </c>
      <c r="C649" s="110" t="str">
        <f t="shared" si="36"/>
        <v>45880 0000H</v>
      </c>
      <c r="D649" s="337"/>
      <c r="E649" s="338"/>
      <c r="F649" s="337"/>
      <c r="G649" s="338"/>
      <c r="H649" s="337"/>
      <c r="I649" s="475"/>
      <c r="J649" s="475"/>
      <c r="K649" s="476"/>
      <c r="L649" s="552"/>
      <c r="M649" s="475"/>
      <c r="N649" s="475"/>
      <c r="O649" s="475"/>
      <c r="P649" s="475"/>
      <c r="Q649" s="475"/>
      <c r="R649" s="475"/>
      <c r="S649" s="475"/>
      <c r="T649" s="475"/>
      <c r="U649" s="475"/>
      <c r="V649" s="475"/>
      <c r="W649" s="475"/>
      <c r="X649" s="475"/>
      <c r="Y649" s="475"/>
      <c r="Z649" s="475"/>
      <c r="AA649" s="338"/>
      <c r="AB649" s="475"/>
      <c r="AC649" s="476"/>
      <c r="AD649" s="475"/>
      <c r="AE649" s="338"/>
      <c r="AF649" s="505"/>
      <c r="AG649" s="476"/>
      <c r="AH649" s="505"/>
      <c r="AI649" s="476"/>
      <c r="AJ649" s="505"/>
      <c r="AK649" s="476"/>
    </row>
    <row r="650" spans="1:42">
      <c r="A650" s="492">
        <f t="shared" si="37"/>
        <v>45880</v>
      </c>
      <c r="B650" s="102" t="s">
        <v>1197</v>
      </c>
      <c r="C650" s="110" t="str">
        <f t="shared" si="36"/>
        <v>45880 1200H</v>
      </c>
      <c r="D650" s="471"/>
      <c r="E650" s="472"/>
      <c r="F650" s="471"/>
      <c r="G650" s="472"/>
      <c r="H650" s="471"/>
      <c r="I650" s="473"/>
      <c r="J650" s="473"/>
      <c r="K650" s="474"/>
      <c r="L650" s="551"/>
      <c r="M650" s="473"/>
      <c r="N650" s="473"/>
      <c r="O650" s="473"/>
      <c r="P650" s="473"/>
      <c r="Q650" s="473"/>
      <c r="R650" s="473"/>
      <c r="S650" s="473"/>
      <c r="T650" s="473"/>
      <c r="U650" s="473"/>
      <c r="V650" s="473"/>
      <c r="W650" s="473"/>
      <c r="X650" s="473"/>
      <c r="Y650" s="473"/>
      <c r="Z650" s="473"/>
      <c r="AA650" s="472"/>
      <c r="AB650" s="473"/>
      <c r="AC650" s="474"/>
      <c r="AD650" s="473"/>
      <c r="AE650" s="472"/>
      <c r="AF650" s="506"/>
      <c r="AG650" s="474"/>
      <c r="AH650" s="506"/>
      <c r="AI650" s="474"/>
      <c r="AJ650" s="506"/>
      <c r="AK650" s="474"/>
    </row>
    <row r="651" spans="1:42">
      <c r="A651" s="492">
        <f t="shared" si="37"/>
        <v>45881</v>
      </c>
      <c r="B651" s="102" t="s">
        <v>3267</v>
      </c>
      <c r="C651" s="110" t="str">
        <f t="shared" si="36"/>
        <v>45881 0000H</v>
      </c>
      <c r="D651" s="337"/>
      <c r="E651" s="338"/>
      <c r="F651" s="337"/>
      <c r="G651" s="338"/>
      <c r="H651" s="337"/>
      <c r="I651" s="475"/>
      <c r="J651" s="475"/>
      <c r="K651" s="476"/>
      <c r="L651" s="552"/>
      <c r="M651" s="475"/>
      <c r="N651" s="475"/>
      <c r="O651" s="475"/>
      <c r="P651" s="475"/>
      <c r="Q651" s="475"/>
      <c r="R651" s="475"/>
      <c r="S651" s="475"/>
      <c r="T651" s="475"/>
      <c r="U651" s="475"/>
      <c r="V651" s="475"/>
      <c r="W651" s="475"/>
      <c r="X651" s="475"/>
      <c r="Y651" s="475"/>
      <c r="Z651" s="475"/>
      <c r="AA651" s="338"/>
      <c r="AB651" s="475"/>
      <c r="AC651" s="476"/>
      <c r="AD651" s="475"/>
      <c r="AE651" s="338"/>
      <c r="AF651" s="505"/>
      <c r="AG651" s="476"/>
      <c r="AH651" s="505"/>
      <c r="AI651" s="476"/>
      <c r="AJ651" s="505"/>
      <c r="AK651" s="476"/>
    </row>
    <row r="652" spans="1:42">
      <c r="A652" s="492">
        <f t="shared" si="37"/>
        <v>45881</v>
      </c>
      <c r="B652" s="102" t="s">
        <v>1197</v>
      </c>
      <c r="C652" s="110" t="str">
        <f t="shared" si="36"/>
        <v>45881 1200H</v>
      </c>
      <c r="D652" s="471"/>
      <c r="E652" s="472"/>
      <c r="F652" s="471"/>
      <c r="G652" s="472"/>
      <c r="H652" s="471"/>
      <c r="I652" s="473"/>
      <c r="J652" s="473"/>
      <c r="K652" s="474"/>
      <c r="L652" s="551"/>
      <c r="M652" s="473"/>
      <c r="N652" s="473"/>
      <c r="O652" s="473"/>
      <c r="P652" s="473"/>
      <c r="Q652" s="473"/>
      <c r="R652" s="473"/>
      <c r="S652" s="473"/>
      <c r="T652" s="473"/>
      <c r="U652" s="473"/>
      <c r="V652" s="473"/>
      <c r="W652" s="473"/>
      <c r="X652" s="473"/>
      <c r="Y652" s="473"/>
      <c r="Z652" s="473"/>
      <c r="AA652" s="472"/>
      <c r="AB652" s="473"/>
      <c r="AC652" s="474"/>
      <c r="AD652" s="473"/>
      <c r="AE652" s="472"/>
      <c r="AF652" s="506"/>
      <c r="AG652" s="474"/>
      <c r="AH652" s="506"/>
      <c r="AI652" s="474"/>
      <c r="AJ652" s="506"/>
      <c r="AK652" s="474"/>
    </row>
    <row r="653" spans="1:42">
      <c r="A653" s="492">
        <f t="shared" si="37"/>
        <v>45882</v>
      </c>
      <c r="B653" s="102" t="s">
        <v>3267</v>
      </c>
      <c r="C653" s="110" t="str">
        <f t="shared" si="36"/>
        <v>45882 0000H</v>
      </c>
      <c r="D653" s="337"/>
      <c r="E653" s="338"/>
      <c r="F653" s="337"/>
      <c r="G653" s="338"/>
      <c r="H653" s="337"/>
      <c r="I653" s="475"/>
      <c r="J653" s="475"/>
      <c r="K653" s="476"/>
      <c r="L653" s="552"/>
      <c r="M653" s="475"/>
      <c r="N653" s="475"/>
      <c r="O653" s="475"/>
      <c r="P653" s="475"/>
      <c r="Q653" s="475"/>
      <c r="R653" s="475"/>
      <c r="S653" s="475"/>
      <c r="T653" s="475"/>
      <c r="U653" s="475"/>
      <c r="V653" s="475"/>
      <c r="W653" s="475"/>
      <c r="X653" s="475"/>
      <c r="Y653" s="475"/>
      <c r="Z653" s="475"/>
      <c r="AA653" s="338"/>
      <c r="AB653" s="475"/>
      <c r="AC653" s="476"/>
      <c r="AD653" s="475"/>
      <c r="AE653" s="338"/>
      <c r="AF653" s="505"/>
      <c r="AG653" s="476"/>
      <c r="AH653" s="505"/>
      <c r="AI653" s="476"/>
      <c r="AJ653" s="505"/>
      <c r="AK653" s="476"/>
    </row>
    <row r="654" spans="1:42">
      <c r="A654" s="492">
        <f t="shared" si="37"/>
        <v>45882</v>
      </c>
      <c r="B654" s="102" t="s">
        <v>1197</v>
      </c>
      <c r="C654" s="110" t="str">
        <f t="shared" si="36"/>
        <v>45882 1200H</v>
      </c>
      <c r="D654" s="471"/>
      <c r="E654" s="472"/>
      <c r="F654" s="471"/>
      <c r="G654" s="472"/>
      <c r="H654" s="471"/>
      <c r="I654" s="473"/>
      <c r="J654" s="473"/>
      <c r="K654" s="474"/>
      <c r="L654" s="551"/>
      <c r="M654" s="473"/>
      <c r="N654" s="473"/>
      <c r="O654" s="473"/>
      <c r="P654" s="473"/>
      <c r="Q654" s="473"/>
      <c r="R654" s="473"/>
      <c r="S654" s="473"/>
      <c r="T654" s="473"/>
      <c r="U654" s="473"/>
      <c r="V654" s="473"/>
      <c r="W654" s="473"/>
      <c r="X654" s="473"/>
      <c r="Y654" s="473"/>
      <c r="Z654" s="473"/>
      <c r="AA654" s="472"/>
      <c r="AB654" s="473"/>
      <c r="AC654" s="474"/>
      <c r="AD654" s="473"/>
      <c r="AE654" s="472"/>
      <c r="AF654" s="506"/>
      <c r="AG654" s="474"/>
      <c r="AH654" s="506"/>
      <c r="AI654" s="474"/>
      <c r="AJ654" s="506"/>
      <c r="AK654" s="474"/>
    </row>
    <row r="655" spans="1:42">
      <c r="A655" s="492">
        <f t="shared" si="37"/>
        <v>45883</v>
      </c>
      <c r="B655" s="102" t="s">
        <v>3267</v>
      </c>
      <c r="C655" s="110" t="str">
        <f t="shared" si="36"/>
        <v>45883 0000H</v>
      </c>
      <c r="D655" s="337"/>
      <c r="E655" s="338"/>
      <c r="F655" s="337"/>
      <c r="G655" s="338"/>
      <c r="H655" s="337"/>
      <c r="I655" s="475"/>
      <c r="J655" s="475"/>
      <c r="K655" s="476"/>
      <c r="L655" s="552"/>
      <c r="M655" s="475"/>
      <c r="N655" s="475"/>
      <c r="O655" s="475"/>
      <c r="P655" s="475"/>
      <c r="Q655" s="475"/>
      <c r="R655" s="475"/>
      <c r="S655" s="475"/>
      <c r="T655" s="475"/>
      <c r="U655" s="475"/>
      <c r="V655" s="475"/>
      <c r="W655" s="475"/>
      <c r="X655" s="475"/>
      <c r="Y655" s="475"/>
      <c r="Z655" s="475"/>
      <c r="AA655" s="338"/>
      <c r="AB655" s="475"/>
      <c r="AC655" s="476"/>
      <c r="AD655" s="475"/>
      <c r="AE655" s="338"/>
      <c r="AF655" s="505"/>
      <c r="AG655" s="476"/>
      <c r="AH655" s="505"/>
      <c r="AI655" s="476"/>
      <c r="AJ655" s="505"/>
      <c r="AK655" s="476"/>
    </row>
    <row r="656" spans="1:42">
      <c r="A656" s="492">
        <f t="shared" si="37"/>
        <v>45883</v>
      </c>
      <c r="B656" s="102" t="s">
        <v>1197</v>
      </c>
      <c r="C656" s="110" t="str">
        <f t="shared" si="36"/>
        <v>45883 1200H</v>
      </c>
      <c r="D656" s="471"/>
      <c r="E656" s="472"/>
      <c r="F656" s="471"/>
      <c r="G656" s="472"/>
      <c r="H656" s="471"/>
      <c r="I656" s="473"/>
      <c r="J656" s="473"/>
      <c r="K656" s="474"/>
      <c r="L656" s="551"/>
      <c r="M656" s="473"/>
      <c r="N656" s="473"/>
      <c r="O656" s="473"/>
      <c r="P656" s="473"/>
      <c r="Q656" s="473"/>
      <c r="R656" s="473"/>
      <c r="S656" s="473"/>
      <c r="T656" s="473"/>
      <c r="U656" s="473"/>
      <c r="V656" s="473"/>
      <c r="W656" s="473"/>
      <c r="X656" s="473"/>
      <c r="Y656" s="473"/>
      <c r="Z656" s="473"/>
      <c r="AA656" s="472"/>
      <c r="AB656" s="473"/>
      <c r="AC656" s="474"/>
      <c r="AD656" s="473"/>
      <c r="AE656" s="472"/>
      <c r="AF656" s="506"/>
      <c r="AG656" s="474"/>
      <c r="AH656" s="506"/>
      <c r="AI656" s="474"/>
      <c r="AJ656" s="506"/>
      <c r="AK656" s="474"/>
    </row>
    <row r="657" spans="1:37">
      <c r="A657" s="492">
        <f t="shared" si="37"/>
        <v>45884</v>
      </c>
      <c r="B657" s="102" t="s">
        <v>3267</v>
      </c>
      <c r="C657" s="110" t="str">
        <f t="shared" si="36"/>
        <v>45884 0000H</v>
      </c>
      <c r="D657" s="337"/>
      <c r="E657" s="338"/>
      <c r="F657" s="337"/>
      <c r="G657" s="338"/>
      <c r="H657" s="337"/>
      <c r="I657" s="475"/>
      <c r="J657" s="475"/>
      <c r="K657" s="476"/>
      <c r="L657" s="552"/>
      <c r="M657" s="475"/>
      <c r="N657" s="475"/>
      <c r="O657" s="475"/>
      <c r="P657" s="475"/>
      <c r="Q657" s="475"/>
      <c r="R657" s="475"/>
      <c r="S657" s="475"/>
      <c r="T657" s="475"/>
      <c r="U657" s="475"/>
      <c r="V657" s="475"/>
      <c r="W657" s="475"/>
      <c r="X657" s="475"/>
      <c r="Y657" s="475"/>
      <c r="Z657" s="475"/>
      <c r="AA657" s="338"/>
      <c r="AB657" s="475"/>
      <c r="AC657" s="476"/>
      <c r="AD657" s="475"/>
      <c r="AE657" s="338"/>
      <c r="AF657" s="505"/>
      <c r="AG657" s="476"/>
      <c r="AH657" s="505"/>
      <c r="AI657" s="476"/>
      <c r="AJ657" s="505"/>
      <c r="AK657" s="476"/>
    </row>
    <row r="658" spans="1:37">
      <c r="A658" s="492">
        <f t="shared" si="37"/>
        <v>45884</v>
      </c>
      <c r="B658" s="102" t="s">
        <v>1197</v>
      </c>
      <c r="C658" s="110" t="str">
        <f t="shared" si="36"/>
        <v>45884 1200H</v>
      </c>
      <c r="D658" s="471"/>
      <c r="E658" s="472"/>
      <c r="F658" s="471"/>
      <c r="G658" s="472"/>
      <c r="H658" s="471"/>
      <c r="I658" s="473"/>
      <c r="J658" s="473"/>
      <c r="K658" s="474"/>
      <c r="L658" s="551"/>
      <c r="M658" s="473"/>
      <c r="N658" s="473"/>
      <c r="O658" s="473"/>
      <c r="P658" s="473"/>
      <c r="Q658" s="473"/>
      <c r="R658" s="473"/>
      <c r="S658" s="473"/>
      <c r="T658" s="473"/>
      <c r="U658" s="473"/>
      <c r="V658" s="473"/>
      <c r="W658" s="473"/>
      <c r="X658" s="473"/>
      <c r="Y658" s="473"/>
      <c r="Z658" s="473"/>
      <c r="AA658" s="472"/>
      <c r="AB658" s="473"/>
      <c r="AC658" s="474"/>
      <c r="AD658" s="473"/>
      <c r="AE658" s="472"/>
      <c r="AF658" s="506"/>
      <c r="AG658" s="474"/>
      <c r="AH658" s="506"/>
      <c r="AI658" s="474"/>
      <c r="AJ658" s="506"/>
      <c r="AK658" s="474"/>
    </row>
    <row r="659" spans="1:37">
      <c r="A659" s="492">
        <f t="shared" si="37"/>
        <v>45885</v>
      </c>
      <c r="B659" s="102" t="s">
        <v>3267</v>
      </c>
      <c r="C659" s="110" t="str">
        <f t="shared" si="36"/>
        <v>45885 0000H</v>
      </c>
      <c r="D659" s="337"/>
      <c r="E659" s="338"/>
      <c r="F659" s="337"/>
      <c r="G659" s="338"/>
      <c r="H659" s="337"/>
      <c r="I659" s="475"/>
      <c r="J659" s="475"/>
      <c r="K659" s="476"/>
      <c r="L659" s="552"/>
      <c r="M659" s="475"/>
      <c r="N659" s="475"/>
      <c r="O659" s="475"/>
      <c r="P659" s="475"/>
      <c r="Q659" s="475"/>
      <c r="R659" s="475"/>
      <c r="S659" s="475"/>
      <c r="T659" s="475"/>
      <c r="U659" s="475"/>
      <c r="V659" s="475"/>
      <c r="W659" s="475"/>
      <c r="X659" s="475"/>
      <c r="Y659" s="475"/>
      <c r="Z659" s="475"/>
      <c r="AA659" s="338"/>
      <c r="AB659" s="475"/>
      <c r="AC659" s="476"/>
      <c r="AD659" s="475"/>
      <c r="AE659" s="338"/>
      <c r="AF659" s="505"/>
      <c r="AG659" s="476"/>
      <c r="AH659" s="505"/>
      <c r="AI659" s="476"/>
      <c r="AJ659" s="505"/>
      <c r="AK659" s="476"/>
    </row>
    <row r="660" spans="1:37">
      <c r="A660" s="492">
        <f t="shared" si="37"/>
        <v>45885</v>
      </c>
      <c r="B660" s="102" t="s">
        <v>1197</v>
      </c>
      <c r="C660" s="110" t="str">
        <f t="shared" si="36"/>
        <v>45885 1200H</v>
      </c>
      <c r="D660" s="471"/>
      <c r="E660" s="472"/>
      <c r="F660" s="471"/>
      <c r="G660" s="472"/>
      <c r="H660" s="471"/>
      <c r="I660" s="473"/>
      <c r="J660" s="473"/>
      <c r="K660" s="474"/>
      <c r="L660" s="551"/>
      <c r="M660" s="473"/>
      <c r="N660" s="473"/>
      <c r="O660" s="473"/>
      <c r="P660" s="473"/>
      <c r="Q660" s="473"/>
      <c r="R660" s="473"/>
      <c r="S660" s="473"/>
      <c r="T660" s="473"/>
      <c r="U660" s="473"/>
      <c r="V660" s="473"/>
      <c r="W660" s="473"/>
      <c r="X660" s="537"/>
      <c r="Y660" s="473"/>
      <c r="Z660" s="473"/>
      <c r="AA660" s="472"/>
      <c r="AB660" s="473"/>
      <c r="AC660" s="474"/>
      <c r="AD660" s="473"/>
      <c r="AE660" s="472"/>
      <c r="AF660" s="506"/>
      <c r="AG660" s="474"/>
      <c r="AH660" s="506"/>
      <c r="AI660" s="474"/>
      <c r="AJ660" s="506"/>
      <c r="AK660" s="474"/>
    </row>
    <row r="661" spans="1:37">
      <c r="A661" s="492">
        <f t="shared" si="37"/>
        <v>45886</v>
      </c>
      <c r="B661" s="102" t="s">
        <v>3267</v>
      </c>
      <c r="C661" s="110" t="str">
        <f t="shared" si="36"/>
        <v>45886 0000H</v>
      </c>
      <c r="D661" s="337"/>
      <c r="E661" s="338"/>
      <c r="F661" s="337"/>
      <c r="G661" s="338"/>
      <c r="H661" s="337"/>
      <c r="I661" s="475"/>
      <c r="J661" s="475"/>
      <c r="K661" s="476"/>
      <c r="L661" s="552"/>
      <c r="M661" s="475"/>
      <c r="N661" s="475"/>
      <c r="O661" s="475"/>
      <c r="P661" s="475"/>
      <c r="Q661" s="475"/>
      <c r="R661" s="475"/>
      <c r="S661" s="475"/>
      <c r="T661" s="475"/>
      <c r="U661" s="475"/>
      <c r="V661" s="475"/>
      <c r="W661" s="475"/>
      <c r="X661" s="475"/>
      <c r="Y661" s="475"/>
      <c r="Z661" s="475"/>
      <c r="AA661" s="338"/>
      <c r="AB661" s="475"/>
      <c r="AC661" s="476"/>
      <c r="AD661" s="475"/>
      <c r="AE661" s="338"/>
      <c r="AF661" s="505"/>
      <c r="AG661" s="476"/>
      <c r="AH661" s="505"/>
      <c r="AI661" s="476"/>
      <c r="AJ661" s="505"/>
      <c r="AK661" s="476"/>
    </row>
    <row r="662" spans="1:37">
      <c r="A662" s="492">
        <f t="shared" si="37"/>
        <v>45886</v>
      </c>
      <c r="B662" s="102" t="s">
        <v>1197</v>
      </c>
      <c r="C662" s="110" t="str">
        <f t="shared" si="36"/>
        <v>45886 1200H</v>
      </c>
      <c r="D662" s="471"/>
      <c r="E662" s="472"/>
      <c r="F662" s="471"/>
      <c r="G662" s="472"/>
      <c r="H662" s="471"/>
      <c r="I662" s="473"/>
      <c r="J662" s="473"/>
      <c r="K662" s="474"/>
      <c r="L662" s="551"/>
      <c r="M662" s="473"/>
      <c r="N662" s="473"/>
      <c r="O662" s="473"/>
      <c r="P662" s="473"/>
      <c r="Q662" s="473"/>
      <c r="R662" s="473"/>
      <c r="S662" s="473"/>
      <c r="T662" s="473"/>
      <c r="U662" s="473"/>
      <c r="V662" s="473"/>
      <c r="W662" s="473"/>
      <c r="X662" s="473"/>
      <c r="Y662" s="473"/>
      <c r="Z662" s="473"/>
      <c r="AA662" s="472"/>
      <c r="AB662" s="473"/>
      <c r="AC662" s="474"/>
      <c r="AD662" s="473"/>
      <c r="AE662" s="472"/>
      <c r="AF662" s="506"/>
      <c r="AG662" s="474"/>
      <c r="AH662" s="506"/>
      <c r="AI662" s="474"/>
      <c r="AJ662" s="506"/>
      <c r="AK662" s="474"/>
    </row>
    <row r="663" spans="1:37">
      <c r="A663" s="492">
        <f t="shared" si="37"/>
        <v>45887</v>
      </c>
      <c r="B663" s="102" t="s">
        <v>3267</v>
      </c>
      <c r="C663" s="110" t="str">
        <f t="shared" si="36"/>
        <v>45887 0000H</v>
      </c>
      <c r="D663" s="337"/>
      <c r="E663" s="338"/>
      <c r="F663" s="337"/>
      <c r="G663" s="338"/>
      <c r="H663" s="337"/>
      <c r="I663" s="475"/>
      <c r="J663" s="475"/>
      <c r="K663" s="476"/>
      <c r="L663" s="552"/>
      <c r="M663" s="475"/>
      <c r="N663" s="475"/>
      <c r="O663" s="475"/>
      <c r="P663" s="475"/>
      <c r="Q663" s="475"/>
      <c r="R663" s="475"/>
      <c r="S663" s="475"/>
      <c r="T663" s="475"/>
      <c r="U663" s="475"/>
      <c r="V663" s="475"/>
      <c r="W663" s="475"/>
      <c r="X663" s="475"/>
      <c r="Y663" s="475"/>
      <c r="Z663" s="475"/>
      <c r="AA663" s="338"/>
      <c r="AB663" s="475"/>
      <c r="AC663" s="476"/>
      <c r="AD663" s="475"/>
      <c r="AE663" s="338"/>
      <c r="AF663" s="505"/>
      <c r="AG663" s="476"/>
      <c r="AH663" s="505"/>
      <c r="AI663" s="476"/>
      <c r="AJ663" s="505"/>
      <c r="AK663" s="476"/>
    </row>
    <row r="664" spans="1:37">
      <c r="A664" s="492">
        <f t="shared" si="37"/>
        <v>45887</v>
      </c>
      <c r="B664" s="102" t="s">
        <v>1197</v>
      </c>
      <c r="C664" s="110" t="str">
        <f t="shared" si="36"/>
        <v>45887 1200H</v>
      </c>
      <c r="D664" s="471"/>
      <c r="E664" s="472"/>
      <c r="F664" s="471"/>
      <c r="G664" s="472"/>
      <c r="H664" s="471"/>
      <c r="I664" s="473"/>
      <c r="J664" s="473"/>
      <c r="K664" s="474"/>
      <c r="L664" s="551"/>
      <c r="M664" s="473"/>
      <c r="N664" s="473"/>
      <c r="O664" s="473"/>
      <c r="P664" s="473"/>
      <c r="Q664" s="473"/>
      <c r="R664" s="473"/>
      <c r="S664" s="473"/>
      <c r="T664" s="473"/>
      <c r="U664" s="473"/>
      <c r="V664" s="473"/>
      <c r="W664" s="473"/>
      <c r="X664" s="473"/>
      <c r="Y664" s="473"/>
      <c r="Z664" s="473"/>
      <c r="AA664" s="472"/>
      <c r="AB664" s="473"/>
      <c r="AC664" s="474"/>
      <c r="AD664" s="473"/>
      <c r="AE664" s="472"/>
      <c r="AF664" s="506"/>
      <c r="AG664" s="474"/>
      <c r="AH664" s="506"/>
      <c r="AI664" s="474"/>
      <c r="AJ664" s="506"/>
      <c r="AK664" s="474"/>
    </row>
    <row r="665" spans="1:37">
      <c r="A665" s="492">
        <f t="shared" si="37"/>
        <v>45888</v>
      </c>
      <c r="B665" s="102" t="s">
        <v>3267</v>
      </c>
      <c r="C665" s="110" t="str">
        <f t="shared" si="36"/>
        <v>45888 0000H</v>
      </c>
      <c r="D665" s="337"/>
      <c r="E665" s="338"/>
      <c r="F665" s="337"/>
      <c r="G665" s="338"/>
      <c r="H665" s="337"/>
      <c r="I665" s="475"/>
      <c r="J665" s="475"/>
      <c r="K665" s="476"/>
      <c r="L665" s="552"/>
      <c r="M665" s="475"/>
      <c r="N665" s="475"/>
      <c r="O665" s="475"/>
      <c r="P665" s="475"/>
      <c r="Q665" s="475"/>
      <c r="R665" s="475"/>
      <c r="S665" s="475"/>
      <c r="T665" s="475"/>
      <c r="U665" s="475"/>
      <c r="V665" s="475"/>
      <c r="W665" s="475"/>
      <c r="X665" s="475"/>
      <c r="Y665" s="475"/>
      <c r="Z665" s="475"/>
      <c r="AA665" s="338"/>
      <c r="AB665" s="475"/>
      <c r="AC665" s="476"/>
      <c r="AD665" s="475"/>
      <c r="AE665" s="338"/>
      <c r="AF665" s="505"/>
      <c r="AG665" s="476"/>
      <c r="AH665" s="505"/>
      <c r="AI665" s="476"/>
      <c r="AJ665" s="505"/>
      <c r="AK665" s="476"/>
    </row>
    <row r="666" spans="1:37">
      <c r="A666" s="492">
        <f t="shared" si="37"/>
        <v>45888</v>
      </c>
      <c r="B666" s="102" t="s">
        <v>1197</v>
      </c>
      <c r="C666" s="110" t="str">
        <f t="shared" si="36"/>
        <v>45888 1200H</v>
      </c>
      <c r="D666" s="471"/>
      <c r="E666" s="472"/>
      <c r="F666" s="471"/>
      <c r="G666" s="472"/>
      <c r="H666" s="471"/>
      <c r="I666" s="473"/>
      <c r="J666" s="473"/>
      <c r="K666" s="474"/>
      <c r="L666" s="551"/>
      <c r="M666" s="473"/>
      <c r="N666" s="473"/>
      <c r="O666" s="473"/>
      <c r="P666" s="473"/>
      <c r="Q666" s="473"/>
      <c r="R666" s="473"/>
      <c r="S666" s="473"/>
      <c r="T666" s="473"/>
      <c r="U666" s="473"/>
      <c r="V666" s="473"/>
      <c r="W666" s="473"/>
      <c r="X666" s="473"/>
      <c r="Y666" s="473"/>
      <c r="Z666" s="473"/>
      <c r="AA666" s="472"/>
      <c r="AB666" s="473"/>
      <c r="AC666" s="474"/>
      <c r="AD666" s="473"/>
      <c r="AE666" s="472"/>
      <c r="AF666" s="506"/>
      <c r="AG666" s="474"/>
      <c r="AH666" s="506"/>
      <c r="AI666" s="474"/>
      <c r="AJ666" s="506"/>
      <c r="AK666" s="474"/>
    </row>
    <row r="667" spans="1:37">
      <c r="A667" s="492">
        <f t="shared" si="37"/>
        <v>45889</v>
      </c>
      <c r="B667" s="102" t="s">
        <v>3267</v>
      </c>
      <c r="C667" s="110" t="str">
        <f t="shared" si="36"/>
        <v>45889 0000H</v>
      </c>
      <c r="D667" s="337"/>
      <c r="E667" s="338"/>
      <c r="F667" s="337"/>
      <c r="G667" s="338"/>
      <c r="H667" s="337"/>
      <c r="I667" s="475"/>
      <c r="J667" s="475"/>
      <c r="K667" s="476"/>
      <c r="L667" s="552"/>
      <c r="M667" s="475"/>
      <c r="N667" s="475"/>
      <c r="O667" s="475"/>
      <c r="P667" s="475"/>
      <c r="Q667" s="475"/>
      <c r="R667" s="475"/>
      <c r="S667" s="475"/>
      <c r="T667" s="475"/>
      <c r="U667" s="475"/>
      <c r="V667" s="475"/>
      <c r="W667" s="475"/>
      <c r="X667" s="475"/>
      <c r="Y667" s="475"/>
      <c r="Z667" s="475"/>
      <c r="AA667" s="338"/>
      <c r="AB667" s="475"/>
      <c r="AC667" s="476"/>
      <c r="AD667" s="475"/>
      <c r="AE667" s="338"/>
      <c r="AF667" s="505"/>
      <c r="AG667" s="476"/>
      <c r="AH667" s="505"/>
      <c r="AI667" s="476"/>
      <c r="AJ667" s="505"/>
      <c r="AK667" s="476"/>
    </row>
    <row r="668" spans="1:37">
      <c r="A668" s="492">
        <f t="shared" si="37"/>
        <v>45889</v>
      </c>
      <c r="B668" s="102" t="s">
        <v>1197</v>
      </c>
      <c r="C668" s="110" t="str">
        <f t="shared" si="36"/>
        <v>45889 1200H</v>
      </c>
      <c r="D668" s="471"/>
      <c r="E668" s="472"/>
      <c r="F668" s="471"/>
      <c r="G668" s="472"/>
      <c r="H668" s="549"/>
      <c r="I668" s="473"/>
      <c r="J668" s="473"/>
      <c r="K668" s="474"/>
      <c r="L668" s="551"/>
      <c r="M668" s="473"/>
      <c r="N668" s="473"/>
      <c r="O668" s="473"/>
      <c r="P668" s="473"/>
      <c r="Q668" s="473"/>
      <c r="R668" s="473"/>
      <c r="S668" s="473"/>
      <c r="T668" s="473"/>
      <c r="U668" s="473"/>
      <c r="V668" s="473"/>
      <c r="W668" s="473"/>
      <c r="X668" s="473"/>
      <c r="Y668" s="473"/>
      <c r="Z668" s="473"/>
      <c r="AA668" s="472"/>
      <c r="AB668" s="473"/>
      <c r="AC668" s="474"/>
      <c r="AD668" s="473"/>
      <c r="AE668" s="472"/>
      <c r="AF668" s="506"/>
      <c r="AG668" s="474"/>
      <c r="AH668" s="506"/>
      <c r="AI668" s="474"/>
      <c r="AJ668" s="506"/>
      <c r="AK668" s="474"/>
    </row>
    <row r="669" spans="1:37">
      <c r="A669" s="492">
        <f t="shared" si="37"/>
        <v>45890</v>
      </c>
      <c r="B669" s="102" t="s">
        <v>3267</v>
      </c>
      <c r="C669" s="110" t="str">
        <f t="shared" si="36"/>
        <v>45890 0000H</v>
      </c>
      <c r="D669" s="337"/>
      <c r="E669" s="338"/>
      <c r="F669" s="337"/>
      <c r="G669" s="338"/>
      <c r="H669" s="337"/>
      <c r="I669" s="475"/>
      <c r="J669" s="475"/>
      <c r="K669" s="476"/>
      <c r="L669" s="552"/>
      <c r="M669" s="475"/>
      <c r="N669" s="475"/>
      <c r="O669" s="475"/>
      <c r="P669" s="475"/>
      <c r="Q669" s="475"/>
      <c r="R669" s="475"/>
      <c r="S669" s="475"/>
      <c r="T669" s="475"/>
      <c r="U669" s="475"/>
      <c r="V669" s="475"/>
      <c r="W669" s="475"/>
      <c r="X669" s="475"/>
      <c r="Y669" s="475"/>
      <c r="Z669" s="475"/>
      <c r="AA669" s="338"/>
      <c r="AB669" s="475"/>
      <c r="AC669" s="476"/>
      <c r="AD669" s="475"/>
      <c r="AE669" s="338"/>
      <c r="AF669" s="505"/>
      <c r="AG669" s="476"/>
      <c r="AH669" s="505"/>
      <c r="AI669" s="476"/>
      <c r="AJ669" s="505"/>
      <c r="AK669" s="476"/>
    </row>
    <row r="670" spans="1:37">
      <c r="A670" s="492">
        <f t="shared" si="37"/>
        <v>45890</v>
      </c>
      <c r="B670" s="102" t="s">
        <v>1197</v>
      </c>
      <c r="C670" s="110" t="str">
        <f t="shared" si="36"/>
        <v>45890 1200H</v>
      </c>
      <c r="D670" s="471"/>
      <c r="E670" s="472"/>
      <c r="F670" s="471"/>
      <c r="G670" s="472"/>
      <c r="H670" s="471"/>
      <c r="I670" s="473"/>
      <c r="J670" s="473"/>
      <c r="K670" s="474"/>
      <c r="L670" s="551"/>
      <c r="M670" s="473"/>
      <c r="N670" s="473"/>
      <c r="O670" s="473"/>
      <c r="P670" s="473"/>
      <c r="Q670" s="473"/>
      <c r="R670" s="473"/>
      <c r="S670" s="473"/>
      <c r="T670" s="473"/>
      <c r="U670" s="473"/>
      <c r="V670" s="473"/>
      <c r="W670" s="473"/>
      <c r="X670" s="473"/>
      <c r="Y670" s="473"/>
      <c r="Z670" s="473"/>
      <c r="AA670" s="472"/>
      <c r="AB670" s="473"/>
      <c r="AC670" s="474"/>
      <c r="AD670" s="473"/>
      <c r="AE670" s="472"/>
      <c r="AF670" s="506"/>
      <c r="AG670" s="474"/>
      <c r="AH670" s="506"/>
      <c r="AI670" s="474"/>
      <c r="AJ670" s="506"/>
      <c r="AK670" s="474"/>
    </row>
    <row r="671" spans="1:37">
      <c r="A671" s="492">
        <f t="shared" si="37"/>
        <v>45891</v>
      </c>
      <c r="B671" s="102" t="s">
        <v>3267</v>
      </c>
      <c r="C671" s="110" t="str">
        <f t="shared" si="36"/>
        <v>45891 0000H</v>
      </c>
      <c r="D671" s="337"/>
      <c r="E671" s="338"/>
      <c r="F671" s="337"/>
      <c r="G671" s="338"/>
      <c r="H671" s="337"/>
      <c r="I671" s="475"/>
      <c r="J671" s="475"/>
      <c r="K671" s="476"/>
      <c r="L671" s="552"/>
      <c r="M671" s="475"/>
      <c r="N671" s="475"/>
      <c r="O671" s="475"/>
      <c r="P671" s="475"/>
      <c r="Q671" s="475"/>
      <c r="R671" s="475"/>
      <c r="S671" s="475"/>
      <c r="T671" s="475"/>
      <c r="U671" s="475"/>
      <c r="V671" s="475"/>
      <c r="W671" s="475"/>
      <c r="X671" s="475"/>
      <c r="Y671" s="475"/>
      <c r="Z671" s="475"/>
      <c r="AA671" s="338"/>
      <c r="AB671" s="475"/>
      <c r="AC671" s="476"/>
      <c r="AD671" s="475"/>
      <c r="AE671" s="338"/>
      <c r="AF671" s="505"/>
      <c r="AG671" s="476"/>
      <c r="AH671" s="505"/>
      <c r="AI671" s="476"/>
      <c r="AJ671" s="505"/>
      <c r="AK671" s="476"/>
    </row>
    <row r="672" spans="1:37">
      <c r="A672" s="492">
        <f t="shared" si="37"/>
        <v>45891</v>
      </c>
      <c r="B672" s="102" t="s">
        <v>1197</v>
      </c>
      <c r="C672" s="110" t="str">
        <f t="shared" si="36"/>
        <v>45891 1200H</v>
      </c>
      <c r="D672" s="471"/>
      <c r="E672" s="472"/>
      <c r="F672" s="471"/>
      <c r="G672" s="472"/>
      <c r="H672" s="471"/>
      <c r="I672" s="473"/>
      <c r="J672" s="473"/>
      <c r="K672" s="474"/>
      <c r="L672" s="551"/>
      <c r="M672" s="473"/>
      <c r="N672" s="473"/>
      <c r="O672" s="473"/>
      <c r="P672" s="473"/>
      <c r="Q672" s="473"/>
      <c r="R672" s="473"/>
      <c r="S672" s="473"/>
      <c r="T672" s="473"/>
      <c r="U672" s="473"/>
      <c r="V672" s="473"/>
      <c r="W672" s="473"/>
      <c r="X672" s="473"/>
      <c r="Y672" s="473"/>
      <c r="Z672" s="473"/>
      <c r="AA672" s="472"/>
      <c r="AB672" s="473"/>
      <c r="AC672" s="474"/>
      <c r="AD672" s="473"/>
      <c r="AE672" s="472"/>
      <c r="AF672" s="506"/>
      <c r="AG672" s="474"/>
      <c r="AH672" s="506"/>
      <c r="AI672" s="474"/>
      <c r="AJ672" s="506"/>
      <c r="AK672" s="474"/>
    </row>
    <row r="673" spans="1:37">
      <c r="A673" s="492">
        <f t="shared" si="37"/>
        <v>45892</v>
      </c>
      <c r="B673" s="102" t="s">
        <v>3267</v>
      </c>
      <c r="C673" s="110" t="str">
        <f t="shared" si="36"/>
        <v>45892 0000H</v>
      </c>
      <c r="D673" s="337"/>
      <c r="E673" s="338"/>
      <c r="F673" s="337"/>
      <c r="G673" s="338"/>
      <c r="H673" s="337"/>
      <c r="I673" s="475"/>
      <c r="J673" s="475"/>
      <c r="K673" s="476"/>
      <c r="L673" s="552"/>
      <c r="M673" s="475"/>
      <c r="N673" s="475"/>
      <c r="O673" s="475"/>
      <c r="P673" s="475"/>
      <c r="Q673" s="475"/>
      <c r="R673" s="475"/>
      <c r="S673" s="475"/>
      <c r="T673" s="475"/>
      <c r="U673" s="475"/>
      <c r="V673" s="475"/>
      <c r="W673" s="475"/>
      <c r="X673" s="475"/>
      <c r="Y673" s="475"/>
      <c r="Z673" s="475"/>
      <c r="AA673" s="338"/>
      <c r="AB673" s="475"/>
      <c r="AC673" s="476"/>
      <c r="AD673" s="475"/>
      <c r="AE673" s="338"/>
      <c r="AF673" s="505"/>
      <c r="AG673" s="476"/>
      <c r="AH673" s="505"/>
      <c r="AI673" s="476"/>
      <c r="AJ673" s="505"/>
      <c r="AK673" s="476"/>
    </row>
    <row r="674" spans="1:37">
      <c r="A674" s="492">
        <f t="shared" si="37"/>
        <v>45892</v>
      </c>
      <c r="B674" s="102" t="s">
        <v>1197</v>
      </c>
      <c r="C674" s="110" t="str">
        <f t="shared" si="36"/>
        <v>45892 1200H</v>
      </c>
      <c r="D674" s="471"/>
      <c r="E674" s="472"/>
      <c r="F674" s="471"/>
      <c r="G674" s="472"/>
      <c r="H674" s="471"/>
      <c r="I674" s="473"/>
      <c r="J674" s="473"/>
      <c r="K674" s="555"/>
      <c r="L674" s="551"/>
      <c r="M674" s="473"/>
      <c r="N674" s="473"/>
      <c r="O674" s="473"/>
      <c r="P674" s="473"/>
      <c r="Q674" s="473"/>
      <c r="R674" s="473"/>
      <c r="S674" s="473"/>
      <c r="T674" s="473"/>
      <c r="U674" s="473"/>
      <c r="V674" s="473"/>
      <c r="W674" s="473"/>
      <c r="X674" s="473"/>
      <c r="Y674" s="473"/>
      <c r="Z674" s="473"/>
      <c r="AA674" s="472"/>
      <c r="AB674" s="473"/>
      <c r="AC674" s="474"/>
      <c r="AD674" s="473"/>
      <c r="AE674" s="472"/>
      <c r="AF674" s="506"/>
      <c r="AG674" s="474"/>
      <c r="AH674" s="506"/>
      <c r="AI674" s="474"/>
      <c r="AJ674" s="506"/>
      <c r="AK674" s="474"/>
    </row>
    <row r="675" spans="1:37">
      <c r="A675" s="492">
        <f>A673+1</f>
        <v>45893</v>
      </c>
      <c r="B675" s="102" t="s">
        <v>3267</v>
      </c>
      <c r="C675" s="110" t="str">
        <f t="shared" si="36"/>
        <v>45893 0000H</v>
      </c>
      <c r="D675" s="337"/>
      <c r="E675" s="338"/>
      <c r="F675" s="337"/>
      <c r="G675" s="338"/>
      <c r="H675" s="337"/>
      <c r="I675" s="475"/>
      <c r="J675" s="475"/>
      <c r="K675" s="476"/>
      <c r="L675" s="552"/>
      <c r="M675" s="475"/>
      <c r="N675" s="475"/>
      <c r="O675" s="475"/>
      <c r="P675" s="475"/>
      <c r="Q675" s="475"/>
      <c r="R675" s="475"/>
      <c r="S675" s="475"/>
      <c r="T675" s="475"/>
      <c r="U675" s="475"/>
      <c r="V675" s="475"/>
      <c r="W675" s="475"/>
      <c r="X675" s="475"/>
      <c r="Y675" s="475"/>
      <c r="Z675" s="475"/>
      <c r="AA675" s="338"/>
      <c r="AB675" s="475"/>
      <c r="AC675" s="476"/>
      <c r="AD675" s="475"/>
      <c r="AE675" s="338"/>
      <c r="AF675" s="505"/>
      <c r="AG675" s="476"/>
      <c r="AH675" s="505"/>
      <c r="AI675" s="476"/>
      <c r="AJ675" s="505"/>
      <c r="AK675" s="476"/>
    </row>
    <row r="676" spans="1:37">
      <c r="A676" s="492">
        <f>A674+1</f>
        <v>45893</v>
      </c>
      <c r="B676" s="102" t="s">
        <v>1197</v>
      </c>
      <c r="C676" s="565" t="str">
        <f t="shared" si="36"/>
        <v>45893 1200H</v>
      </c>
      <c r="D676" s="471"/>
      <c r="E676" s="472"/>
      <c r="F676" s="471"/>
      <c r="G676" s="472"/>
      <c r="H676" s="471"/>
      <c r="I676" s="473"/>
      <c r="J676" s="473"/>
      <c r="K676" s="474"/>
      <c r="L676" s="551"/>
      <c r="M676" s="473"/>
      <c r="N676" s="473"/>
      <c r="O676" s="473"/>
      <c r="P676" s="473"/>
      <c r="Q676" s="473"/>
      <c r="R676" s="473"/>
      <c r="S676" s="473"/>
      <c r="T676" s="473"/>
      <c r="U676" s="473"/>
      <c r="V676" s="473"/>
      <c r="W676" s="473"/>
      <c r="X676" s="473"/>
      <c r="Y676" s="473"/>
      <c r="Z676" s="473"/>
      <c r="AA676" s="472"/>
      <c r="AB676" s="473"/>
      <c r="AC676" s="474"/>
      <c r="AD676" s="473"/>
      <c r="AE676" s="472"/>
      <c r="AF676" s="506"/>
      <c r="AG676" s="474"/>
      <c r="AH676" s="506"/>
      <c r="AI676" s="474"/>
      <c r="AJ676" s="506"/>
      <c r="AK676" s="474"/>
    </row>
    <row r="677" spans="1:37">
      <c r="A677" s="556">
        <f>A675+1</f>
        <v>45894</v>
      </c>
      <c r="B677" s="557" t="s">
        <v>3267</v>
      </c>
      <c r="C677" s="558" t="str">
        <f t="shared" ref="C677:C678" si="38">A677 &amp; " " &amp;B677</f>
        <v>45894 0000H</v>
      </c>
      <c r="D677" s="559"/>
      <c r="E677" s="560"/>
      <c r="F677" s="559"/>
      <c r="G677" s="560"/>
      <c r="H677" s="559"/>
      <c r="I677" s="561"/>
      <c r="J677" s="561"/>
      <c r="K677" s="562"/>
      <c r="L677" s="563"/>
      <c r="M677" s="561"/>
      <c r="N677" s="561"/>
      <c r="O677" s="561"/>
      <c r="P677" s="561"/>
      <c r="Q677" s="561"/>
      <c r="R677" s="561"/>
      <c r="S677" s="561"/>
      <c r="T677" s="561"/>
      <c r="U677" s="561"/>
      <c r="V677" s="561"/>
      <c r="W677" s="561"/>
      <c r="X677" s="561"/>
      <c r="Y677" s="561"/>
      <c r="Z677" s="561"/>
      <c r="AA677" s="560"/>
      <c r="AB677" s="561"/>
      <c r="AC677" s="562"/>
      <c r="AD677" s="561"/>
      <c r="AE677" s="560"/>
      <c r="AF677" s="564"/>
      <c r="AG677" s="562"/>
      <c r="AH677" s="564"/>
      <c r="AI677" s="562"/>
      <c r="AJ677" s="564"/>
      <c r="AK677" s="562"/>
    </row>
    <row r="678" spans="1:37" ht="14.45" thickBot="1">
      <c r="A678" s="547">
        <f>A676+1</f>
        <v>45894</v>
      </c>
      <c r="B678" s="548" t="s">
        <v>1197</v>
      </c>
      <c r="C678" s="500" t="str">
        <f t="shared" si="38"/>
        <v>45894 1200H</v>
      </c>
      <c r="D678" s="542"/>
      <c r="E678" s="543"/>
      <c r="F678" s="542"/>
      <c r="G678" s="543"/>
      <c r="H678" s="542"/>
      <c r="I678" s="544"/>
      <c r="J678" s="544"/>
      <c r="K678" s="545"/>
      <c r="L678" s="554"/>
      <c r="M678" s="544"/>
      <c r="N678" s="544"/>
      <c r="O678" s="544"/>
      <c r="P678" s="544"/>
      <c r="Q678" s="544"/>
      <c r="R678" s="544"/>
      <c r="S678" s="544"/>
      <c r="T678" s="544"/>
      <c r="U678" s="544"/>
      <c r="V678" s="544"/>
      <c r="W678" s="544"/>
      <c r="X678" s="544"/>
      <c r="Y678" s="544"/>
      <c r="Z678" s="544"/>
      <c r="AA678" s="543"/>
      <c r="AB678" s="544"/>
      <c r="AC678" s="545"/>
      <c r="AD678" s="544"/>
      <c r="AE678" s="543"/>
      <c r="AF678" s="546"/>
      <c r="AG678" s="545"/>
      <c r="AH678" s="546"/>
      <c r="AI678" s="545"/>
      <c r="AJ678" s="546"/>
      <c r="AK678" s="545"/>
    </row>
  </sheetData>
  <mergeCells count="21">
    <mergeCell ref="AH2:AI2"/>
    <mergeCell ref="AJ2:AK2"/>
    <mergeCell ref="L1:AK1"/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AF2:AG2"/>
    <mergeCell ref="Z2:AA2"/>
    <mergeCell ref="P2:Q2"/>
    <mergeCell ref="T2:U2"/>
    <mergeCell ref="AD2:AE2"/>
    <mergeCell ref="V2:W2"/>
    <mergeCell ref="X2:Y2"/>
    <mergeCell ref="R2:S2"/>
    <mergeCell ref="AB2:AC2"/>
  </mergeCell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62" zoomScaleNormal="62" workbookViewId="0">
      <selection activeCell="V52" sqref="V52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0" width="12.28515625" style="79" hidden="1" customWidth="1"/>
    <col min="11" max="11" width="11.42578125" style="79" hidden="1" customWidth="1"/>
    <col min="12" max="12" width="12.28515625" style="79" hidden="1" customWidth="1"/>
    <col min="13" max="15" width="11.42578125" style="79" hidden="1" customWidth="1"/>
    <col min="16" max="16" width="12.28515625" style="79" hidden="1" customWidth="1"/>
    <col min="17" max="17" width="11.42578125" style="79" hidden="1" customWidth="1"/>
    <col min="18" max="18" width="12.28515625" style="79" bestFit="1" customWidth="1"/>
    <col min="19" max="19" width="10.5703125" style="79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>
      <c r="B3" s="130"/>
      <c r="C3" s="651" t="s">
        <v>3272</v>
      </c>
      <c r="D3" s="651" t="s">
        <v>3273</v>
      </c>
      <c r="E3" s="652" t="s">
        <v>3274</v>
      </c>
      <c r="F3" s="648" t="s">
        <v>3275</v>
      </c>
      <c r="G3" s="648" t="s">
        <v>3276</v>
      </c>
      <c r="H3" s="648" t="s">
        <v>3277</v>
      </c>
      <c r="I3" s="653" t="s">
        <v>3278</v>
      </c>
      <c r="J3" s="653" t="s">
        <v>3279</v>
      </c>
      <c r="K3" s="656"/>
      <c r="L3" s="653" t="s">
        <v>3280</v>
      </c>
      <c r="M3" s="656"/>
      <c r="N3" s="651" t="s">
        <v>3281</v>
      </c>
      <c r="O3" s="651"/>
      <c r="P3" s="651" t="s">
        <v>3282</v>
      </c>
      <c r="Q3" s="651"/>
      <c r="R3" s="659" t="s">
        <v>3283</v>
      </c>
      <c r="S3" s="660"/>
      <c r="T3" s="665" t="s">
        <v>3284</v>
      </c>
      <c r="U3" s="660"/>
      <c r="V3" s="668" t="s">
        <v>3285</v>
      </c>
      <c r="W3" s="669" t="s">
        <v>3286</v>
      </c>
      <c r="X3" s="672" t="s">
        <v>3287</v>
      </c>
      <c r="Y3" s="669" t="s">
        <v>3288</v>
      </c>
      <c r="Z3" s="668" t="s">
        <v>3289</v>
      </c>
      <c r="AA3" s="652" t="s">
        <v>3290</v>
      </c>
      <c r="AB3" s="652" t="s">
        <v>3291</v>
      </c>
      <c r="AC3" s="652" t="s">
        <v>3292</v>
      </c>
      <c r="AD3" s="130"/>
      <c r="AE3" s="130"/>
      <c r="AF3" s="130"/>
      <c r="AG3" s="155"/>
      <c r="AH3" s="674" t="s">
        <v>119</v>
      </c>
      <c r="AI3" s="676">
        <f ca="1">TODAY()</f>
        <v>45938</v>
      </c>
      <c r="AJ3" s="677"/>
      <c r="AK3" s="130"/>
    </row>
    <row r="4" spans="1:39" ht="15" customHeight="1">
      <c r="B4" s="130"/>
      <c r="C4" s="651"/>
      <c r="D4" s="651"/>
      <c r="E4" s="651"/>
      <c r="F4" s="649"/>
      <c r="G4" s="649"/>
      <c r="H4" s="649"/>
      <c r="I4" s="654"/>
      <c r="J4" s="654"/>
      <c r="K4" s="657"/>
      <c r="L4" s="654"/>
      <c r="M4" s="657"/>
      <c r="N4" s="651"/>
      <c r="O4" s="651"/>
      <c r="P4" s="651"/>
      <c r="Q4" s="651"/>
      <c r="R4" s="661"/>
      <c r="S4" s="662"/>
      <c r="T4" s="666"/>
      <c r="U4" s="662"/>
      <c r="V4" s="649"/>
      <c r="W4" s="670"/>
      <c r="X4" s="673"/>
      <c r="Y4" s="670"/>
      <c r="Z4" s="649"/>
      <c r="AA4" s="651"/>
      <c r="AB4" s="651"/>
      <c r="AC4" s="651"/>
      <c r="AD4" s="130"/>
      <c r="AE4" s="130"/>
      <c r="AF4" s="130"/>
      <c r="AG4" s="164" t="s">
        <v>3293</v>
      </c>
      <c r="AH4" s="675"/>
      <c r="AI4" s="678"/>
      <c r="AJ4" s="679"/>
      <c r="AK4" s="130"/>
    </row>
    <row r="5" spans="1:39" ht="15" customHeight="1">
      <c r="B5" s="130"/>
      <c r="C5" s="651"/>
      <c r="D5" s="651"/>
      <c r="E5" s="651"/>
      <c r="F5" s="649"/>
      <c r="G5" s="649"/>
      <c r="H5" s="649"/>
      <c r="I5" s="654"/>
      <c r="J5" s="655"/>
      <c r="K5" s="658"/>
      <c r="L5" s="655"/>
      <c r="M5" s="658"/>
      <c r="N5" s="651"/>
      <c r="O5" s="651"/>
      <c r="P5" s="651"/>
      <c r="Q5" s="651"/>
      <c r="R5" s="663"/>
      <c r="S5" s="664"/>
      <c r="T5" s="667"/>
      <c r="U5" s="664"/>
      <c r="V5" s="649"/>
      <c r="W5" s="670"/>
      <c r="X5" s="673"/>
      <c r="Y5" s="670"/>
      <c r="Z5" s="649"/>
      <c r="AA5" s="651"/>
      <c r="AB5" s="651"/>
      <c r="AC5" s="651"/>
      <c r="AD5" s="130"/>
      <c r="AE5" s="130"/>
      <c r="AF5" s="130"/>
      <c r="AG5" s="155"/>
      <c r="AH5" s="674" t="s">
        <v>3294</v>
      </c>
      <c r="AI5" s="680" t="str">
        <f ca="1">IF(_xlfn.NUMBERVALUE(TEXT(NOW(), "H")) &lt; 12,"0000h","1200h")</f>
        <v>1200h</v>
      </c>
      <c r="AJ5" s="681"/>
      <c r="AK5" s="130"/>
      <c r="AL5" s="75"/>
    </row>
    <row r="6" spans="1:39">
      <c r="B6" s="130"/>
      <c r="C6" s="651"/>
      <c r="D6" s="651"/>
      <c r="E6" s="651"/>
      <c r="F6" s="650"/>
      <c r="G6" s="650"/>
      <c r="H6" s="650"/>
      <c r="I6" s="655"/>
      <c r="J6" s="153" t="s">
        <v>3295</v>
      </c>
      <c r="K6" s="153" t="s">
        <v>3296</v>
      </c>
      <c r="L6" s="153" t="s">
        <v>3295</v>
      </c>
      <c r="M6" s="153" t="s">
        <v>3296</v>
      </c>
      <c r="N6" s="153"/>
      <c r="O6" s="153"/>
      <c r="P6" s="153" t="s">
        <v>3295</v>
      </c>
      <c r="Q6" s="153" t="s">
        <v>3296</v>
      </c>
      <c r="R6" s="174" t="s">
        <v>3295</v>
      </c>
      <c r="S6" s="153" t="s">
        <v>3296</v>
      </c>
      <c r="T6" s="153" t="s">
        <v>3295</v>
      </c>
      <c r="U6" s="153" t="s">
        <v>3296</v>
      </c>
      <c r="V6" s="650"/>
      <c r="W6" s="671"/>
      <c r="X6" s="673"/>
      <c r="Y6" s="671"/>
      <c r="Z6" s="650"/>
      <c r="AA6" s="651"/>
      <c r="AB6" s="651"/>
      <c r="AC6" s="651"/>
      <c r="AD6" s="130"/>
      <c r="AE6" s="130"/>
      <c r="AF6" s="130"/>
      <c r="AG6" s="130"/>
      <c r="AH6" s="675"/>
      <c r="AI6" s="682"/>
      <c r="AJ6" s="683"/>
      <c r="AK6" s="130"/>
      <c r="AM6" s="171"/>
    </row>
    <row r="7" spans="1:39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>
      <c r="A9" s="119"/>
      <c r="B9" s="130"/>
      <c r="C9" s="149" t="s">
        <v>3297</v>
      </c>
      <c r="D9" s="183">
        <f>11896.56</f>
        <v>11896.56</v>
      </c>
      <c r="E9" s="391">
        <f>D9*11+(20*24*24)</f>
        <v>142382.15999999997</v>
      </c>
      <c r="F9" s="146">
        <v>45863</v>
      </c>
      <c r="G9" s="147" t="s">
        <v>1197</v>
      </c>
      <c r="H9" s="184">
        <f ca="1" xml:space="preserve"> NOW() - (F9 + TIME(LEFT($G$9, 2), MID($G$9, 3, 2), 0))</f>
        <v>75.193138078706397</v>
      </c>
      <c r="I9" s="185">
        <f ca="1">((DATE(YEAR(F9),MONTH(F9)+1,25)) + TIME(LEFT("1200H", 2), MID("1200H", 3, 2), 0)) - ($AI$3 + TIME(LEFT(NOW(), 2), MID(NOW(), 3, 2), 0))</f>
        <v>-44.439583333332848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2927.74</v>
      </c>
      <c r="S9" s="192">
        <f>INDEX(BILLING!$E:$E,MATCH($F9&amp;" "&amp;$G9,BILLING!$C:$C,0))</f>
        <v>49.74</v>
      </c>
      <c r="T9" s="192">
        <f>INDEX(BILLING!$F:$F,MATCH($F9&amp;" "&amp;$G9,BILLING!$C:$C,0))</f>
        <v>1126.79</v>
      </c>
      <c r="U9" s="192">
        <f>INDEX(BILLING!$G:$G,MATCH($F9&amp;" "&amp;$G9,BILLING!$C:$C,0))</f>
        <v>6.21</v>
      </c>
      <c r="V9" s="186">
        <f>D9/30/24</f>
        <v>16.523</v>
      </c>
      <c r="W9" s="413" cm="1">
        <f t="array" aca="1" ref="W9" ca="1">INDIRECT(TEXT(DAY(TODAY()),"0")&amp;"!AI12")</f>
        <v>420.59999999999997</v>
      </c>
      <c r="X9" s="183" t="e">
        <f ca="1">AC9+W9</f>
        <v>#N/A</v>
      </c>
      <c r="Y9" s="188" t="e">
        <f ca="1">X9/H9/24</f>
        <v>#N/A</v>
      </c>
      <c r="Z9" s="189" t="e">
        <f ca="1">AC9/H9/24</f>
        <v>#N/A</v>
      </c>
      <c r="AA9" s="191"/>
      <c r="AB9" s="361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92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30"/>
      <c r="AE9" s="129" t="s">
        <v>3298</v>
      </c>
      <c r="AF9" s="684" t="e">
        <f ca="1">$AB$9/$E$9</f>
        <v>#N/A</v>
      </c>
      <c r="AG9" s="685"/>
      <c r="AH9" s="685"/>
      <c r="AI9" s="686"/>
      <c r="AJ9" s="122"/>
      <c r="AK9" s="130"/>
    </row>
    <row r="10" spans="1:39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386"/>
      <c r="Y10" s="136"/>
      <c r="Z10" s="190"/>
      <c r="AA10" s="136"/>
      <c r="AB10" s="372"/>
      <c r="AC10" s="366"/>
      <c r="AD10" s="130"/>
      <c r="AE10" s="129"/>
      <c r="AF10" s="687"/>
      <c r="AG10" s="688"/>
      <c r="AH10" s="688"/>
      <c r="AI10" s="689"/>
      <c r="AJ10" s="122"/>
      <c r="AK10" s="130"/>
    </row>
    <row r="11" spans="1:39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386"/>
      <c r="Y11" s="136"/>
      <c r="Z11" s="190"/>
      <c r="AA11" s="136"/>
      <c r="AB11" s="372"/>
      <c r="AC11" s="366"/>
      <c r="AD11" s="130"/>
      <c r="AE11" s="129"/>
      <c r="AF11" s="121"/>
      <c r="AG11" s="121"/>
      <c r="AH11" s="121"/>
      <c r="AI11" s="121"/>
      <c r="AJ11" s="122"/>
      <c r="AK11" s="130"/>
    </row>
    <row r="12" spans="1:39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66"/>
      <c r="AD12" s="130"/>
      <c r="AE12" s="129" t="s">
        <v>3299</v>
      </c>
      <c r="AF12" s="684" t="e">
        <f ca="1">$AC$9/$D$9</f>
        <v>#N/A</v>
      </c>
      <c r="AG12" s="685"/>
      <c r="AH12" s="685"/>
      <c r="AI12" s="686"/>
      <c r="AJ12" s="122"/>
      <c r="AK12" s="130"/>
    </row>
    <row r="13" spans="1:39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386"/>
      <c r="Y13" s="136"/>
      <c r="Z13" s="190"/>
      <c r="AA13" s="136"/>
      <c r="AB13" s="372"/>
      <c r="AC13" s="366"/>
      <c r="AD13" s="130"/>
      <c r="AE13" s="120"/>
      <c r="AF13" s="687"/>
      <c r="AG13" s="688"/>
      <c r="AH13" s="688"/>
      <c r="AI13" s="689"/>
      <c r="AJ13" s="122"/>
      <c r="AK13" s="130"/>
    </row>
    <row r="14" spans="1:39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387"/>
      <c r="Y14" s="139"/>
      <c r="Z14" s="160"/>
      <c r="AA14" s="139"/>
      <c r="AB14" s="373"/>
      <c r="AC14" s="367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388"/>
      <c r="Y15" s="131"/>
      <c r="Z15" s="161"/>
      <c r="AA15" s="131"/>
      <c r="AB15" s="368"/>
      <c r="AC15" s="368"/>
      <c r="AD15" s="130"/>
      <c r="AE15" s="130"/>
      <c r="AF15" s="130"/>
      <c r="AG15" s="130"/>
      <c r="AH15" s="130"/>
      <c r="AI15" s="130"/>
      <c r="AJ15" s="130"/>
      <c r="AK15" s="130"/>
    </row>
    <row r="16" spans="1:39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389"/>
      <c r="Y16" s="141"/>
      <c r="Z16" s="162"/>
      <c r="AA16" s="197"/>
      <c r="AB16" s="412" t="s">
        <v>3300</v>
      </c>
      <c r="AC16" s="369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>
      <c r="B17" s="130"/>
      <c r="C17" s="149" t="s">
        <v>3301</v>
      </c>
      <c r="D17" s="394">
        <f>56696/365*30</f>
        <v>4659.9452054794519</v>
      </c>
      <c r="E17" s="394">
        <f>56696</f>
        <v>56696</v>
      </c>
      <c r="F17" s="146">
        <v>45863</v>
      </c>
      <c r="G17" s="147" t="s">
        <v>1197</v>
      </c>
      <c r="H17" s="184">
        <f ca="1" xml:space="preserve"> NOW() - (F17 + TIME(LEFT($G$17, 2), MID($G$17, 3, 2), 0))</f>
        <v>75.193138078706397</v>
      </c>
      <c r="I17" s="185">
        <f ca="1">((DATE(YEAR(F17),MONTH(F17)+1,25)) + TIME(LEFT("1200H", 2), MID("1200H", 3, 2), 0)) - ($AI$3 + TIME(LEFT(NOW(), 2), MID(NOW(), 3, 2), 0))</f>
        <v>-44.439583333332848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141.99999999999997</v>
      </c>
      <c r="X17" s="183" t="e">
        <f ca="1">AC17+W17</f>
        <v>#N/A</v>
      </c>
      <c r="Y17" s="188" t="e">
        <f ca="1">X17/H17/24</f>
        <v>#N/A</v>
      </c>
      <c r="Z17" s="189" t="e">
        <f ca="1">AC17/H17/24</f>
        <v>#N/A</v>
      </c>
      <c r="AA17" s="198"/>
      <c r="AB17" s="375" t="e">
        <f ca="1">AB20+AB21</f>
        <v>#N/A</v>
      </c>
      <c r="AC17" s="392" t="e">
        <f ca="1">AC20+AC21</f>
        <v>#N/A</v>
      </c>
      <c r="AD17" s="130"/>
      <c r="AE17" s="129" t="s">
        <v>3298</v>
      </c>
      <c r="AF17" s="684" t="e">
        <f ca="1">$AB$17/$E$17</f>
        <v>#N/A</v>
      </c>
      <c r="AG17" s="685"/>
      <c r="AH17" s="685"/>
      <c r="AI17" s="686"/>
      <c r="AJ17" s="122"/>
      <c r="AK17" s="130"/>
    </row>
    <row r="18" spans="2:39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167</v>
      </c>
      <c r="R18" s="183"/>
      <c r="S18" s="183"/>
      <c r="T18" s="183"/>
      <c r="U18" s="183"/>
      <c r="V18" s="190"/>
      <c r="W18" s="136"/>
      <c r="X18" s="386"/>
      <c r="Y18" s="136"/>
      <c r="Z18" s="190"/>
      <c r="AA18" s="136"/>
      <c r="AB18" s="376"/>
      <c r="AC18" s="370"/>
      <c r="AD18" s="130"/>
      <c r="AE18" s="129"/>
      <c r="AF18" s="687"/>
      <c r="AG18" s="688"/>
      <c r="AH18" s="688"/>
      <c r="AI18" s="689"/>
      <c r="AJ18" s="122"/>
      <c r="AK18" s="130"/>
    </row>
    <row r="19" spans="2:39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386"/>
      <c r="Y19" s="136"/>
      <c r="Z19" s="190"/>
      <c r="AA19" s="136"/>
      <c r="AB19" s="376"/>
      <c r="AC19" s="370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>
      <c r="B20" s="130"/>
      <c r="C20" s="129" t="s">
        <v>139</v>
      </c>
      <c r="D20" s="136"/>
      <c r="E20" s="136"/>
      <c r="F20" s="194"/>
      <c r="G20" s="195"/>
      <c r="H20" s="196"/>
      <c r="I20" s="196"/>
      <c r="J20" s="136"/>
      <c r="K20" s="136"/>
      <c r="L20" s="361">
        <v>73997.59</v>
      </c>
      <c r="M20" s="361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77094.62</v>
      </c>
      <c r="U20" s="192">
        <f>INDEX(BILLING!$I:$I,MATCH($F17&amp;" "&amp;$G17,BILLING!$C:$C,0))</f>
        <v>959.2</v>
      </c>
      <c r="V20" s="190"/>
      <c r="W20" s="413" cm="1">
        <f t="array" aca="1" ref="W20" ca="1">INDIRECT(TEXT(DAY(TODAY()),"0")&amp;"!AI18")</f>
        <v>91.59999999999998</v>
      </c>
      <c r="X20" s="183"/>
      <c r="Y20" s="187"/>
      <c r="Z20" s="190"/>
      <c r="AA20" s="181"/>
      <c r="AB20" s="377" t="e">
        <f ca="1">(((((INDEX(BILLING!$H:$H,MATCH($AI$3&amp;" "&amp;$AI$5,BILLING!$C:$C,0))-P20)*$D$61)-
((INDEX(BILLING!$I:$I,MATCH($AI$3&amp;" "&amp;$AI$5,BILLING!$C:$C,0))-Q20)*$D$61))))/1000</f>
        <v>#N/A</v>
      </c>
      <c r="AC20" s="365" t="e">
        <f ca="1">(((((INDEX(BILLING!$H:$H,MATCH($AI$3&amp;" "&amp;$AI$5,BILLING!$C:$C,0))-T20)*$D$61)-
((INDEX(BILLING!$I:$I,MATCH($AI$3&amp;" "&amp;$AI$5,BILLING!$C:$C,0))-U20)*$D$61))))/1000</f>
        <v>#N/A</v>
      </c>
      <c r="AD20" s="130"/>
      <c r="AE20" s="129" t="s">
        <v>3299</v>
      </c>
      <c r="AF20" s="684" t="e">
        <f ca="1">$AC$17/$D$17</f>
        <v>#N/A</v>
      </c>
      <c r="AG20" s="685"/>
      <c r="AH20" s="685"/>
      <c r="AI20" s="686"/>
      <c r="AJ20" s="122"/>
      <c r="AK20" s="130"/>
    </row>
    <row r="21" spans="2:39" ht="15.75" customHeight="1" thickBot="1">
      <c r="B21" s="130"/>
      <c r="C21" s="129" t="s">
        <v>140</v>
      </c>
      <c r="D21" s="136"/>
      <c r="E21" s="136"/>
      <c r="F21" s="194"/>
      <c r="G21" s="195"/>
      <c r="H21" s="196"/>
      <c r="I21" s="196"/>
      <c r="J21" s="136"/>
      <c r="K21" s="136"/>
      <c r="L21" s="361">
        <v>33090.730000000003</v>
      </c>
      <c r="M21" s="361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33894.379999999997</v>
      </c>
      <c r="U21" s="192">
        <f>INDEX(BILLING!$K:$K,MATCH($F17&amp;" "&amp;$G17,BILLING!$C:$C,0))</f>
        <v>115.46</v>
      </c>
      <c r="V21" s="190"/>
      <c r="W21" s="413" cm="1">
        <f t="array" aca="1" ref="W21" ca="1">INDIRECT(TEXT(DAY(TODAY()),"0")&amp;"!AI23")</f>
        <v>50.4</v>
      </c>
      <c r="X21" s="183"/>
      <c r="Y21" s="187"/>
      <c r="Z21" s="190"/>
      <c r="AA21" s="181"/>
      <c r="AB21" s="377" t="e">
        <f ca="1">(((((INDEX(BILLING!$J:$J,MATCH($AI$3&amp;" "&amp;$AI$5,BILLING!$C:$C,0))-P21)*$D$62)-
((INDEX(BILLING!$K:$K,MATCH($AI$3&amp;" "&amp;$AI$5,BILLING!$C:$C,0))-Q21)*$D$62))))/1000</f>
        <v>#N/A</v>
      </c>
      <c r="AC21" s="365" t="e">
        <f ca="1">(((((INDEX(BILLING!$J:$J,MATCH($AI$3&amp;" "&amp;$AI$5,BILLING!$C:$C,0))-T21)*$D$62)-
((INDEX(BILLING!$K:$K,MATCH($AI$3&amp;" "&amp;$AI$5,BILLING!$C:$C,0))-U21)*$D$62))))/1000</f>
        <v>#N/A</v>
      </c>
      <c r="AD21" s="130"/>
      <c r="AE21" s="129"/>
      <c r="AF21" s="687"/>
      <c r="AG21" s="688"/>
      <c r="AH21" s="688"/>
      <c r="AI21" s="689"/>
      <c r="AJ21" s="122"/>
      <c r="AK21" s="130"/>
    </row>
    <row r="22" spans="2:39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387"/>
      <c r="Y22" s="139"/>
      <c r="Z22" s="160"/>
      <c r="AA22" s="139"/>
      <c r="AB22" s="373"/>
      <c r="AC22" s="367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390"/>
      <c r="Y23" s="143"/>
      <c r="Z23" s="163"/>
      <c r="AA23" s="143"/>
      <c r="AB23" s="371"/>
      <c r="AC23" s="371"/>
      <c r="AD23" s="130"/>
      <c r="AE23" s="130"/>
      <c r="AF23" s="130"/>
      <c r="AG23" s="130"/>
      <c r="AH23" s="130"/>
      <c r="AI23" s="130"/>
      <c r="AJ23" s="130"/>
      <c r="AK23" s="130"/>
    </row>
    <row r="24" spans="2:39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389"/>
      <c r="Y24" s="141"/>
      <c r="Z24" s="162"/>
      <c r="AA24" s="141"/>
      <c r="AB24" s="374"/>
      <c r="AC24" s="369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>
      <c r="B25" s="130"/>
      <c r="C25" s="149" t="s">
        <v>3302</v>
      </c>
      <c r="D25" s="193">
        <f>E25/12</f>
        <v>15000</v>
      </c>
      <c r="E25" s="183">
        <v>180000</v>
      </c>
      <c r="F25" s="146">
        <v>45863</v>
      </c>
      <c r="G25" s="147" t="s">
        <v>1197</v>
      </c>
      <c r="H25" s="184">
        <f ca="1" xml:space="preserve"> NOW() - (F25 + TIME(LEFT($G$25, 2), MID($G$25, 3, 2), 0))</f>
        <v>75.193138078706397</v>
      </c>
      <c r="I25" s="185">
        <f ca="1">((DATE(YEAR(F25),MONTH(F25)+1,25)) + TIME(LEFT("1200H", 2), MID("1200H", 3, 2), 0)) - ($AI$3 + TIME(LEFT(NOW(), 2), MID(NOW(), 3, 2), 0))</f>
        <v>-44.439583333332848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417.83</v>
      </c>
      <c r="X25" s="183" t="e">
        <f ca="1">AC25+W25</f>
        <v>#N/A</v>
      </c>
      <c r="Y25" s="188" t="e">
        <f ca="1">X25/H25/24</f>
        <v>#N/A</v>
      </c>
      <c r="Z25" s="189" t="e">
        <f ca="1">AC25/H25/24</f>
        <v>#N/A</v>
      </c>
      <c r="AA25" s="198" t="e">
        <f ca="1">SUM(AA28:AA29)</f>
        <v>#N/A</v>
      </c>
      <c r="AB25" s="375" t="e">
        <f ca="1">SUM(AB28:AB31)</f>
        <v>#N/A</v>
      </c>
      <c r="AC25" s="392" t="e">
        <f ca="1">SUM(AC28:AC31)</f>
        <v>#N/A</v>
      </c>
      <c r="AD25" s="130"/>
      <c r="AE25" s="129" t="s">
        <v>3298</v>
      </c>
      <c r="AF25" s="684" t="e">
        <f ca="1">AB25/$E$25</f>
        <v>#N/A</v>
      </c>
      <c r="AG25" s="685"/>
      <c r="AH25" s="685"/>
      <c r="AI25" s="686"/>
      <c r="AJ25" s="122"/>
      <c r="AK25" s="130"/>
      <c r="AM25" s="203" t="e">
        <f ca="1">(E25-AB25)/67/24</f>
        <v>#N/A</v>
      </c>
    </row>
    <row r="26" spans="2:39" ht="15.75" customHeight="1" thickBot="1">
      <c r="B26" s="130"/>
      <c r="C26" s="129" t="s">
        <v>3303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386"/>
      <c r="Y26" s="136"/>
      <c r="Z26" s="190"/>
      <c r="AA26" s="136"/>
      <c r="AB26" s="376"/>
      <c r="AC26" s="370"/>
      <c r="AD26" s="130"/>
      <c r="AE26" s="129"/>
      <c r="AF26" s="687"/>
      <c r="AG26" s="688"/>
      <c r="AH26" s="688"/>
      <c r="AI26" s="689"/>
      <c r="AJ26" s="122"/>
      <c r="AK26" s="130"/>
    </row>
    <row r="27" spans="2:39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386"/>
      <c r="Y27" s="136"/>
      <c r="Z27" s="190"/>
      <c r="AA27" s="136"/>
      <c r="AB27" s="376"/>
      <c r="AC27" s="370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>
      <c r="B28" s="130"/>
      <c r="C28" s="129" t="s">
        <v>3251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35203.4</v>
      </c>
      <c r="S28" s="192">
        <f>INDEX(BILLING!$O:$O,MATCH($F25&amp;" "&amp;$G25,BILLING!$C:$C,0))</f>
        <v>31.3</v>
      </c>
      <c r="T28" s="183"/>
      <c r="U28" s="183"/>
      <c r="V28" s="190"/>
      <c r="W28" s="413" cm="1">
        <f t="array" aca="1" ref="W28" ca="1">INDIRECT(TEXT(DAY(TODAY()),"0")&amp;"!AI26")</f>
        <v>75.199999999999989</v>
      </c>
      <c r="X28" s="183"/>
      <c r="Y28" s="187"/>
      <c r="Z28" s="190"/>
      <c r="AA28" s="181" t="e">
        <f ca="1">(((((INDEX(BILLING!$N:$N,MATCH($AI$3&amp;" "&amp;$AI$5,BILLING!$C:$C,0))-P28)*$D$60)-
((INDEX(BILLING!$O:$O,MATCH($AI$3&amp;" "&amp;$AI$5,BILLING!$C:$C,0))-Q28)*$D$60))))/1000</f>
        <v>#N/A</v>
      </c>
      <c r="AB28" s="377" t="e">
        <f ca="1">(((((INDEX(BILLING!$N:$N,MATCH($AI$3&amp;" "&amp;$AI$5,BILLING!$C:$C,0))-J28)*$D$60)-
((INDEX(BILLING!$O:$O,MATCH($AI$3&amp;" "&amp;$AI$5,BILLING!$C:$C,0))-K28)*$D$60))))/1000</f>
        <v>#N/A</v>
      </c>
      <c r="AC28" s="365" t="e">
        <f ca="1">(((((INDEX(BILLING!$N:$N,MATCH($AI$3&amp;" "&amp;$AI$5,BILLING!$C:$C,0))-R28)*$D$60)-
((INDEX(BILLING!$O:$O,MATCH($AI$3&amp;" "&amp;$AI$5,BILLING!$C:$C,0))-S28)*$D$60))))/1000</f>
        <v>#N/A</v>
      </c>
      <c r="AD28" s="130"/>
      <c r="AE28" s="129" t="s">
        <v>3299</v>
      </c>
      <c r="AF28" s="684" t="e">
        <f ca="1">$AC$25/$D$25</f>
        <v>#N/A</v>
      </c>
      <c r="AG28" s="685"/>
      <c r="AH28" s="685"/>
      <c r="AI28" s="686"/>
      <c r="AJ28" s="122"/>
      <c r="AK28" s="130"/>
    </row>
    <row r="29" spans="2:39" ht="15.75" customHeight="1" thickBot="1">
      <c r="B29" s="130"/>
      <c r="C29" s="129" t="s">
        <v>124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7836.12</v>
      </c>
      <c r="S29" s="192">
        <f>INDEX(BILLING!$M:$M,MATCH($F25&amp;" "&amp;$G25,BILLING!$C:$C,0))</f>
        <v>19.05</v>
      </c>
      <c r="T29" s="183"/>
      <c r="U29" s="183"/>
      <c r="V29" s="190"/>
      <c r="W29" s="413" cm="1">
        <f t="array" aca="1" ref="W29" ca="1">INDIRECT(TEXT(DAY(TODAY()),"0")&amp;"!AI32")</f>
        <v>342.63</v>
      </c>
      <c r="X29" s="183"/>
      <c r="Y29" s="187"/>
      <c r="Z29" s="190"/>
      <c r="AA29" s="181" t="e">
        <f ca="1">(((((INDEX(BILLING!$L:$L,MATCH($AI$3&amp;" "&amp;$AI$5,BILLING!$C:$C,0))-P29)*$D$59)-
((INDEX(BILLING!$M:$M,MATCH($AI$3&amp;" "&amp;$AI$5,BILLING!$C:$C,0))-Q29)*$D$59))))/1000</f>
        <v>#N/A</v>
      </c>
      <c r="AB29" s="377" t="e">
        <f ca="1">(((((INDEX(BILLING!$L:$L,MATCH($AI$3&amp;" "&amp;$AI$5,BILLING!$C:$C,0))-J29)*$D$59)-
((INDEX(BILLING!$M:$M,MATCH($AI$3&amp;" "&amp;$AI$5,BILLING!$C:$C,0))-K29)*$D$59))))/1000</f>
        <v>#N/A</v>
      </c>
      <c r="AC29" s="365" t="e">
        <f ca="1">(((((INDEX(BILLING!$L:$L,MATCH($AI$3&amp;" "&amp;$AI$5,BILLING!$C:$C,0))-R29)*$D$59)-
((INDEX(BILLING!$M:$M,MATCH($AI$3&amp;" "&amp;$AI$5,BILLING!$C:$C,0))-S29)*$D$59))))/1000</f>
        <v>#N/A</v>
      </c>
      <c r="AD29" s="130"/>
      <c r="AE29" s="129"/>
      <c r="AF29" s="687"/>
      <c r="AG29" s="688"/>
      <c r="AH29" s="688"/>
      <c r="AI29" s="689"/>
      <c r="AJ29" s="122"/>
      <c r="AK29" s="130"/>
    </row>
    <row r="30" spans="2:39" ht="15.75" customHeight="1">
      <c r="B30" s="130"/>
      <c r="C30" s="129" t="s">
        <v>3304</v>
      </c>
      <c r="D30" s="136"/>
      <c r="E30" s="136"/>
      <c r="F30" s="194"/>
      <c r="G30" s="195"/>
      <c r="H30" s="196"/>
      <c r="I30" s="196"/>
      <c r="J30" s="183"/>
      <c r="K30" s="183"/>
      <c r="L30" s="361">
        <v>54159</v>
      </c>
      <c r="M30" s="361">
        <v>79</v>
      </c>
      <c r="N30" s="183"/>
      <c r="O30" s="183"/>
      <c r="P30" s="183"/>
      <c r="Q30" s="183"/>
      <c r="R30" s="183"/>
      <c r="S30" s="183"/>
      <c r="T30" s="362">
        <v>54169</v>
      </c>
      <c r="U30" s="362">
        <v>79</v>
      </c>
      <c r="V30" s="190"/>
      <c r="W30" s="413"/>
      <c r="X30" s="183"/>
      <c r="Y30" s="187"/>
      <c r="Z30" s="190"/>
      <c r="AA30" s="181"/>
      <c r="AB30" s="377">
        <f>(((((T30-L30)*$D$65)-
((U30-M30)*$D$65))))/1000</f>
        <v>42</v>
      </c>
      <c r="AC30" s="364"/>
      <c r="AD30" s="130"/>
      <c r="AE30" s="129"/>
      <c r="AF30" s="379"/>
      <c r="AG30" s="379"/>
      <c r="AH30" s="379"/>
      <c r="AI30" s="379"/>
      <c r="AJ30" s="122"/>
      <c r="AK30" s="130"/>
    </row>
    <row r="31" spans="2:39" ht="15.75" customHeight="1">
      <c r="B31" s="130"/>
      <c r="C31" s="129" t="s">
        <v>34</v>
      </c>
      <c r="D31" s="136"/>
      <c r="E31" s="136"/>
      <c r="F31" s="136"/>
      <c r="G31" s="136"/>
      <c r="H31" s="136"/>
      <c r="I31" s="136"/>
      <c r="J31" s="183"/>
      <c r="K31" s="183"/>
      <c r="L31" s="361">
        <v>0</v>
      </c>
      <c r="M31" s="361">
        <v>0</v>
      </c>
      <c r="N31" s="183"/>
      <c r="O31" s="183"/>
      <c r="P31" s="136"/>
      <c r="Q31" s="136"/>
      <c r="R31" s="183"/>
      <c r="S31" s="183"/>
      <c r="T31" s="362">
        <v>278.27</v>
      </c>
      <c r="U31" s="362">
        <v>0.49</v>
      </c>
      <c r="V31" s="190"/>
      <c r="W31" s="413" cm="1">
        <f t="array" aca="1" ref="W31" ca="1">INDIRECT(TEXT(DAY(TODAY()),"0")&amp;"!AI35")</f>
        <v>0</v>
      </c>
      <c r="X31" s="183"/>
      <c r="Y31" s="187"/>
      <c r="Z31" s="190"/>
      <c r="AA31" s="181"/>
      <c r="AB31" s="377" t="e">
        <f ca="1">(((((INDEX(BILLING!$AB:$AB,MATCH($AI$3&amp;" "&amp;$AI$5,BILLING!$C:$C,0))-L31)*$D$64)-
((INDEX(BILLING!$AC:$AC,MATCH($AI$3&amp;" "&amp;$AI$5,BILLING!$C:$C,0))-M31)*$D$64))))/1000</f>
        <v>#N/A</v>
      </c>
      <c r="AC31" s="365"/>
      <c r="AD31" s="130"/>
      <c r="AE31" s="129"/>
      <c r="AF31" s="158"/>
      <c r="AG31" s="158"/>
      <c r="AH31" s="158"/>
      <c r="AI31" s="158"/>
      <c r="AJ31" s="122"/>
      <c r="AK31" s="130"/>
    </row>
    <row r="32" spans="2:39" ht="15.75" customHeight="1">
      <c r="B32" s="130"/>
      <c r="C32" s="129" t="s">
        <v>31</v>
      </c>
      <c r="D32" s="136"/>
      <c r="E32" s="136"/>
      <c r="F32" s="136"/>
      <c r="G32" s="136"/>
      <c r="H32" s="136"/>
      <c r="I32" s="136"/>
      <c r="J32" s="183"/>
      <c r="K32" s="183"/>
      <c r="L32" s="361"/>
      <c r="M32" s="361"/>
      <c r="N32" s="183"/>
      <c r="O32" s="183"/>
      <c r="P32" s="136"/>
      <c r="Q32" s="136"/>
      <c r="R32" s="192">
        <f>INDEX(BILLING!$AF:$AF,MATCH($F25&amp;" "&amp;$G25,BILLING!$C:$C,0))</f>
        <v>1005.43</v>
      </c>
      <c r="S32" s="192">
        <f>INDEX(BILLING!$AG:$AG,MATCH($F25&amp;" "&amp;$G25,BILLING!$C:$C,0))</f>
        <v>11.43</v>
      </c>
      <c r="T32" s="362"/>
      <c r="U32" s="362"/>
      <c r="V32" s="190"/>
      <c r="W32" s="413"/>
      <c r="X32" s="183"/>
      <c r="Y32" s="187"/>
      <c r="Z32" s="190"/>
      <c r="AA32" s="181"/>
      <c r="AB32" s="377"/>
      <c r="AC32" s="365" t="e">
        <f ca="1">(((((INDEX(BILLING!$AF:$AF,MATCH($AI$3&amp;" "&amp;$AI$5,BILLING!$C:$C,0))-R32)*$D$66)-
((INDEX(BILLING!$AG:$AG,MATCH($AI$3&amp;" "&amp;$AI$5,BILLING!$C:$C,0))-S32)*$D$66))))/1000</f>
        <v>#N/A</v>
      </c>
      <c r="AD32" s="130"/>
      <c r="AE32" s="129"/>
      <c r="AF32" s="158"/>
      <c r="AG32" s="158"/>
      <c r="AH32" s="158"/>
      <c r="AI32" s="158"/>
      <c r="AJ32" s="122"/>
      <c r="AK32" s="130"/>
    </row>
    <row r="33" spans="2:39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65"/>
      <c r="S33" s="165"/>
      <c r="T33" s="165"/>
      <c r="U33" s="165"/>
      <c r="V33" s="160"/>
      <c r="W33" s="139"/>
      <c r="X33" s="387"/>
      <c r="Y33" s="139"/>
      <c r="Z33" s="160"/>
      <c r="AA33" s="139"/>
      <c r="AB33" s="373"/>
      <c r="AC33" s="367"/>
      <c r="AD33" s="130"/>
      <c r="AE33" s="123"/>
      <c r="AF33" s="124"/>
      <c r="AG33" s="124"/>
      <c r="AH33" s="124"/>
      <c r="AI33" s="124"/>
      <c r="AJ33" s="125"/>
      <c r="AK33" s="130"/>
    </row>
    <row r="34" spans="2:39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68"/>
      <c r="S34" s="168"/>
      <c r="T34" s="168"/>
      <c r="U34" s="168"/>
      <c r="V34" s="163"/>
      <c r="W34" s="143"/>
      <c r="X34" s="390"/>
      <c r="Y34" s="143"/>
      <c r="Z34" s="163"/>
      <c r="AA34" s="143"/>
      <c r="AB34" s="371"/>
      <c r="AC34" s="371"/>
      <c r="AD34" s="130"/>
      <c r="AE34" s="130"/>
      <c r="AF34" s="130"/>
      <c r="AG34" s="130"/>
      <c r="AH34" s="130"/>
      <c r="AI34" s="130"/>
      <c r="AJ34" s="130"/>
      <c r="AK34" s="130"/>
    </row>
    <row r="35" spans="2:39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67"/>
      <c r="S35" s="167"/>
      <c r="T35" s="167"/>
      <c r="U35" s="167"/>
      <c r="V35" s="162"/>
      <c r="W35" s="141"/>
      <c r="X35" s="389"/>
      <c r="Y35" s="141"/>
      <c r="Z35" s="162"/>
      <c r="AA35" s="141"/>
      <c r="AB35" s="412" t="s">
        <v>3300</v>
      </c>
      <c r="AC35" s="369"/>
      <c r="AD35" s="130"/>
      <c r="AE35" s="126"/>
      <c r="AF35" s="127"/>
      <c r="AG35" s="127"/>
      <c r="AH35" s="127"/>
      <c r="AI35" s="127"/>
      <c r="AJ35" s="128"/>
      <c r="AK35" s="130"/>
    </row>
    <row r="36" spans="2:39" ht="19.899999999999999" customHeight="1">
      <c r="B36" s="130"/>
      <c r="C36" s="149" t="s">
        <v>3305</v>
      </c>
      <c r="D36" s="183">
        <f>4686</f>
        <v>4686</v>
      </c>
      <c r="E36" s="183">
        <f>D36*12</f>
        <v>56232</v>
      </c>
      <c r="F36" s="146">
        <v>45863</v>
      </c>
      <c r="G36" s="147" t="s">
        <v>1197</v>
      </c>
      <c r="H36" s="184">
        <f ca="1" xml:space="preserve"> NOW() - (F36 + TIME(LEFT($G$36, 2), MID($G$36, 3, 2), 0))</f>
        <v>75.193138078706397</v>
      </c>
      <c r="I36" s="185">
        <f ca="1">((DATE(YEAR(F36),MONTH(F36)+1,25)) + TIME(LEFT("1200H", 2), MID("1200H", 3, 2), 0)) - ($AI$3 + TIME(LEFT(NOW(), 2), MID(NOW(), 3, 2), 0))</f>
        <v>-44.439583333332848</v>
      </c>
      <c r="J36" s="157"/>
      <c r="K36" s="157"/>
      <c r="L36" s="157"/>
      <c r="M36" s="157"/>
      <c r="N36" s="157"/>
      <c r="O36" s="157"/>
      <c r="P36" s="157"/>
      <c r="Q36" s="157"/>
      <c r="R36" s="183"/>
      <c r="S36" s="183"/>
      <c r="T36" s="183"/>
      <c r="U36" s="183"/>
      <c r="V36" s="186">
        <f>D36/30/24</f>
        <v>6.5083333333333329</v>
      </c>
      <c r="W36" s="187">
        <f ca="1">SUM(W39:W42)</f>
        <v>251.83500000000001</v>
      </c>
      <c r="X36" s="183" t="e">
        <f ca="1">AC36+W36</f>
        <v>#N/A</v>
      </c>
      <c r="Y36" s="188" t="e">
        <f ca="1">X36/H36/24</f>
        <v>#N/A</v>
      </c>
      <c r="Z36" s="189" t="e">
        <f ca="1">AC36/H36/24</f>
        <v>#N/A</v>
      </c>
      <c r="AA36" s="198"/>
      <c r="AB36" s="375" t="e">
        <f ca="1">SUM(AB39:AB41)</f>
        <v>#N/A</v>
      </c>
      <c r="AC36" s="392" t="e">
        <f ca="1">SUM(AC39:AC41)</f>
        <v>#N/A</v>
      </c>
      <c r="AD36" s="130"/>
      <c r="AE36" s="129" t="s">
        <v>3298</v>
      </c>
      <c r="AF36" s="684" t="e">
        <f ca="1">AB36/$E$36</f>
        <v>#N/A</v>
      </c>
      <c r="AG36" s="685"/>
      <c r="AH36" s="685"/>
      <c r="AI36" s="686"/>
      <c r="AJ36" s="122"/>
      <c r="AK36" s="130"/>
      <c r="AM36" s="203" t="e">
        <f ca="1">(E36-AB36)/67/24</f>
        <v>#N/A</v>
      </c>
    </row>
    <row r="37" spans="2:39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83"/>
      <c r="S37" s="183"/>
      <c r="T37" s="183"/>
      <c r="U37" s="183"/>
      <c r="V37" s="190"/>
      <c r="W37" s="136"/>
      <c r="X37" s="136"/>
      <c r="Y37" s="136"/>
      <c r="Z37" s="190"/>
      <c r="AA37" s="136"/>
      <c r="AB37" s="376"/>
      <c r="AC37" s="370"/>
      <c r="AD37" s="130"/>
      <c r="AE37" s="129"/>
      <c r="AF37" s="687"/>
      <c r="AG37" s="688"/>
      <c r="AH37" s="688"/>
      <c r="AI37" s="689"/>
      <c r="AJ37" s="122"/>
      <c r="AK37" s="130"/>
    </row>
    <row r="38" spans="2:39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90"/>
      <c r="W38" s="136"/>
      <c r="X38" s="136"/>
      <c r="Y38" s="136"/>
      <c r="Z38" s="190"/>
      <c r="AA38" s="136"/>
      <c r="AB38" s="376"/>
      <c r="AC38" s="370"/>
      <c r="AD38" s="130"/>
      <c r="AE38" s="129"/>
      <c r="AF38" s="121"/>
      <c r="AG38" s="121"/>
      <c r="AH38" s="121"/>
      <c r="AI38" s="121"/>
      <c r="AJ38" s="122"/>
      <c r="AK38" s="130"/>
    </row>
    <row r="39" spans="2:39" ht="15" customHeight="1">
      <c r="B39" s="130"/>
      <c r="C39" s="129" t="s">
        <v>125</v>
      </c>
      <c r="D39" s="136"/>
      <c r="E39" s="136"/>
      <c r="F39" s="136"/>
      <c r="G39" s="136"/>
      <c r="H39" s="136"/>
      <c r="I39" s="136"/>
      <c r="J39" s="361">
        <v>618.5</v>
      </c>
      <c r="K39" s="361">
        <v>690.33</v>
      </c>
      <c r="L39" s="361">
        <v>10051.18</v>
      </c>
      <c r="M39" s="361">
        <v>9.0399999999999991</v>
      </c>
      <c r="N39" s="361">
        <v>710.67</v>
      </c>
      <c r="O39" s="361">
        <v>777.87</v>
      </c>
      <c r="P39" s="361">
        <v>10490.23</v>
      </c>
      <c r="Q39" s="361">
        <v>9.0399999999999991</v>
      </c>
      <c r="R39" s="192">
        <f>INDEX(BILLING!$P:$P,MATCH($F36&amp;" "&amp;$G36,BILLING!$C:$C,0))</f>
        <v>742.06</v>
      </c>
      <c r="S39" s="192">
        <f>INDEX(BILLING!$Q:$Q,MATCH($F36&amp;" "&amp;$G36,BILLING!$C:$C,0))</f>
        <v>1159.8599999999999</v>
      </c>
      <c r="T39" s="192">
        <f>INDEX(BILLING!$R:$R,MATCH($F36&amp;" "&amp;$G36,BILLING!$C:$C,0))</f>
        <v>11827.99</v>
      </c>
      <c r="U39" s="192">
        <f>INDEX(BILLING!$S:$S,MATCH($F36&amp;" "&amp;$G36,BILLING!$C:$C,0))</f>
        <v>9.0399999999999991</v>
      </c>
      <c r="V39" s="190"/>
      <c r="W39" s="413" cm="1">
        <f t="array" aca="1" ref="W39" ca="1">INDIRECT(TEXT(DAY(TODAY()),"0")&amp;"!AI36")</f>
        <v>20.525000000000002</v>
      </c>
      <c r="X39" s="187"/>
      <c r="Y39" s="187"/>
      <c r="Z39" s="190"/>
      <c r="AA39" s="181"/>
      <c r="AB39" s="377" t="e">
        <f ca="1">(((((INDEX(BILLING!$P:$P,MATCH($AI$3&amp;" "&amp;$AI$5,BILLING!$C:$C,0))-N39)*$D$56)-
((INDEX(BILLING!$Q:$Q,MATCH($AI$3&amp;" "&amp;$AI$5,BILLING!$C:$C,0))-O39)*$D$56)))+
((((INDEX(BILLING!$R:$R,MATCH($AI$3&amp;" "&amp;$AI$5,BILLING!$C:$C,0))-P39)*$D$55)-
((INDEX(BILLING!$S:$S,MATCH($AI$3&amp;" "&amp;$AI$5,BILLING!$C:$C,0))-Q39)*$D$55))))/1000</f>
        <v>#N/A</v>
      </c>
      <c r="AC39" s="365" t="e">
        <f ca="1">(((((INDEX(BILLING!$P:$P,MATCH($AI$3&amp;" "&amp;$AI$5,BILLING!$C:$C,0))-R39)*$D$56)-
((INDEX(BILLING!$Q:$Q,MATCH($AI$3&amp;" "&amp;$AI$5,BILLING!$C:$C,0))-S39)*$D$56)))+
((((INDEX(BILLING!$R:$R,MATCH($AI$3&amp;" "&amp;$AI$5,BILLING!$C:$C,0))-T39)*$D$55)-
((INDEX(BILLING!$S:$S,MATCH($AI$3&amp;" "&amp;$AI$5,BILLING!$C:$C,0))-U39)*$D$55))))/1000</f>
        <v>#N/A</v>
      </c>
      <c r="AD39" s="130"/>
      <c r="AE39" s="129" t="s">
        <v>3299</v>
      </c>
      <c r="AF39" s="684" t="e">
        <f ca="1">$AC$36/$D$36</f>
        <v>#N/A</v>
      </c>
      <c r="AG39" s="685"/>
      <c r="AH39" s="685"/>
      <c r="AI39" s="686"/>
      <c r="AJ39" s="122"/>
      <c r="AK39" s="130"/>
    </row>
    <row r="40" spans="2:39" ht="15.75" customHeight="1" thickBot="1">
      <c r="B40" s="130"/>
      <c r="C40" s="129" t="s">
        <v>127</v>
      </c>
      <c r="D40" s="136"/>
      <c r="E40" s="136"/>
      <c r="F40" s="136"/>
      <c r="G40" s="136"/>
      <c r="H40" s="136"/>
      <c r="I40" s="136"/>
      <c r="J40" s="136"/>
      <c r="K40" s="136"/>
      <c r="L40" s="361">
        <v>6636.53</v>
      </c>
      <c r="M40" s="361">
        <v>0</v>
      </c>
      <c r="N40" s="157"/>
      <c r="O40" s="157"/>
      <c r="P40" s="361">
        <v>7324.66</v>
      </c>
      <c r="Q40" s="361">
        <v>0</v>
      </c>
      <c r="R40" s="157"/>
      <c r="S40" s="157"/>
      <c r="T40" s="192">
        <f>INDEX(BILLING!$X:$X,MATCH($F36&amp;" "&amp;$G36,BILLING!$C:$C,0))</f>
        <v>9271.32</v>
      </c>
      <c r="U40" s="192">
        <f>INDEX(BILLING!$Y:$Y,MATCH($F36&amp;" "&amp;$G36,BILLING!$C:$C,0))</f>
        <v>0</v>
      </c>
      <c r="V40" s="190"/>
      <c r="W40" s="413" cm="1">
        <f t="array" aca="1" ref="W40" ca="1">INDIRECT(TEXT(DAY(TODAY()),"0")&amp;"!AI77")</f>
        <v>19.87</v>
      </c>
      <c r="X40" s="187"/>
      <c r="Y40" s="187"/>
      <c r="Z40" s="190"/>
      <c r="AA40" s="182"/>
      <c r="AB40" s="377" t="e">
        <f ca="1">(((((INDEX(BILLING!$X:$X,MATCH($AI$3&amp;" "&amp;$AI$5,BILLING!$C:$C,0))-P40)*$D$58)-
((INDEX(BILLING!$Y:$Y,MATCH($AI$3&amp;" "&amp;$AI$5,BILLING!$C:$C,0))-Q40)*$D$58))))/1000</f>
        <v>#N/A</v>
      </c>
      <c r="AC40" s="365" t="e">
        <f ca="1">(((((INDEX(BILLING!$X:$X,MATCH($AI$3&amp;" "&amp;$AI$5,BILLING!$C:$C,0))-T40)*$D$58)-
((INDEX(BILLING!$Y:$Y,MATCH($AI$3&amp;" "&amp;$AI$5,BILLING!$C:$C,0))-U40)*$D$58))))/1000</f>
        <v>#N/A</v>
      </c>
      <c r="AD40" s="130"/>
      <c r="AE40" s="129"/>
      <c r="AF40" s="687"/>
      <c r="AG40" s="688"/>
      <c r="AH40" s="688"/>
      <c r="AI40" s="689"/>
      <c r="AJ40" s="122"/>
      <c r="AK40" s="130"/>
    </row>
    <row r="41" spans="2:39" ht="15.75" customHeight="1" thickBot="1">
      <c r="B41" s="130"/>
      <c r="C41" s="415" t="s">
        <v>126</v>
      </c>
      <c r="D41" s="416"/>
      <c r="E41" s="416"/>
      <c r="F41" s="416"/>
      <c r="G41" s="416"/>
      <c r="H41" s="416"/>
      <c r="I41" s="416"/>
      <c r="J41" s="416"/>
      <c r="K41" s="416"/>
      <c r="L41" s="417">
        <v>36029.69</v>
      </c>
      <c r="M41" s="417">
        <v>69</v>
      </c>
      <c r="N41" s="418"/>
      <c r="O41" s="418"/>
      <c r="P41" s="419">
        <v>36745</v>
      </c>
      <c r="Q41" s="419">
        <v>69</v>
      </c>
      <c r="R41" s="418"/>
      <c r="S41" s="418"/>
      <c r="T41" s="420">
        <f>INDEX(BILLING!$T:$T,MATCH($F36&amp;" "&amp;$G36,BILLING!$C:$C,0))</f>
        <v>38837</v>
      </c>
      <c r="U41" s="420">
        <f>INDEX(BILLING!$U:$U,MATCH($F36&amp;" "&amp;$G36,BILLING!$C:$C,0))</f>
        <v>69</v>
      </c>
      <c r="V41" s="421"/>
      <c r="W41" s="422" cm="1">
        <f t="array" aca="1" ref="W41" ca="1">INDIRECT(TEXT(DAY(TODAY()),"0")&amp;"!AI61")</f>
        <v>28.58</v>
      </c>
      <c r="X41" s="418"/>
      <c r="Y41" s="423"/>
      <c r="Z41" s="421"/>
      <c r="AA41" s="424" t="e">
        <f ca="1">(((((INDEX(BILLING!$T:$T,MATCH($AI$3&amp;" "&amp;$AI$5,BILLING!$C:$C,0))-P41)*$D$57)-
((INDEX(BILLING!$U:$U,MATCH($AI$3&amp;" "&amp;$AI$5,BILLING!$C:$C,0))-Q41)*$D$57))))/1000</f>
        <v>#N/A</v>
      </c>
      <c r="AB41" s="425" t="e">
        <f ca="1">(((((INDEX(BILLING!$T:$T,MATCH($AI$3&amp;" "&amp;$AI$5,BILLING!$C:$C,0))-P41)*$D$57)-
((INDEX(BILLING!$U:$U,MATCH($AI$3&amp;" "&amp;$AI$5,BILLING!$C:$C,0))-Q41)*$D$57))))/1000</f>
        <v>#N/A</v>
      </c>
      <c r="AC41" s="426" t="e">
        <f ca="1">(((((INDEX(BILLING!$T:$T,MATCH($AI$3&amp;" "&amp;$AI$5,BILLING!$C:$C,0))-T41)*$D$57)-
((INDEX(BILLING!$U:$U,MATCH($AI$3&amp;" "&amp;$AI$5,BILLING!$C:$C,0))-U41)*$D$57))))/1000</f>
        <v>#N/A</v>
      </c>
      <c r="AD41" s="130"/>
      <c r="AE41" s="129"/>
      <c r="AF41" s="379"/>
      <c r="AG41" s="379"/>
      <c r="AH41" s="379"/>
      <c r="AI41" s="379"/>
      <c r="AJ41" s="122"/>
      <c r="AK41" s="130"/>
    </row>
    <row r="42" spans="2:39" ht="15.75" customHeight="1" thickTop="1">
      <c r="B42" s="130"/>
      <c r="C42" s="129" t="s">
        <v>30</v>
      </c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361">
        <v>0</v>
      </c>
      <c r="O42" s="361">
        <v>0</v>
      </c>
      <c r="P42" s="157"/>
      <c r="Q42" s="157"/>
      <c r="R42" s="192">
        <f>INDEX(BILLING!$AF:$AF,MATCH($F36&amp;" "&amp;$G36,BILLING!$C:$C,0))</f>
        <v>1005.43</v>
      </c>
      <c r="S42" s="192">
        <f>INDEX(BILLING!$AG:$AG,MATCH($F36&amp;" "&amp;$G36,BILLING!$C:$C,0))</f>
        <v>11.43</v>
      </c>
      <c r="T42" s="157"/>
      <c r="U42" s="157"/>
      <c r="V42" s="190"/>
      <c r="W42" s="413" cm="1">
        <f t="array" aca="1" ref="W42" ca="1">INDIRECT(TEXT(DAY(TODAY()),"0")&amp;"!AI28")</f>
        <v>182.86</v>
      </c>
      <c r="X42" s="187"/>
      <c r="Y42" s="187"/>
      <c r="Z42" s="190"/>
      <c r="AA42" s="182"/>
      <c r="AB42" s="377" t="e">
        <f ca="1">(((((INDEX(BILLING!$AF:$AF,MATCH($AI$3&amp;" "&amp;$AI$5,BILLING!$C:$C,0))-N42)*$D$66)-
((INDEX(BILLING!$AG:$AG,MATCH($AI$3&amp;" "&amp;$AI$5,BILLING!$C:$C,0))-O42)*$D$66))))/1000</f>
        <v>#N/A</v>
      </c>
      <c r="AC42" s="365" t="e">
        <f ca="1">(((((INDEX(BILLING!$AF:$AF,MATCH($AI$3&amp;" "&amp;$AI$5,BILLING!$C:$C,0))-R42)*$D$66)-
((INDEX(BILLING!$AG:$AG,MATCH($AI$3&amp;" "&amp;$AI$5,BILLING!$C:$C,0))-S42)*$D$66))))/1000</f>
        <v>#N/A</v>
      </c>
      <c r="AD42" s="130"/>
      <c r="AE42" s="129"/>
      <c r="AF42" s="379"/>
      <c r="AG42" s="379"/>
      <c r="AH42" s="379"/>
      <c r="AI42" s="379"/>
      <c r="AJ42" s="122"/>
      <c r="AK42" s="130"/>
    </row>
    <row r="43" spans="2:39" ht="15.75" hidden="1" customHeight="1">
      <c r="B43" s="130"/>
      <c r="C43" s="411" t="s">
        <v>3306</v>
      </c>
      <c r="D43" s="136"/>
      <c r="E43" s="136"/>
      <c r="F43" s="136"/>
      <c r="G43" s="136"/>
      <c r="H43" s="136"/>
      <c r="I43" s="136"/>
      <c r="J43" s="136"/>
      <c r="K43" s="136"/>
      <c r="L43" s="361"/>
      <c r="M43" s="361"/>
      <c r="N43" s="361"/>
      <c r="O43" s="361"/>
      <c r="P43" s="191"/>
      <c r="Q43" s="191"/>
      <c r="R43" s="192"/>
      <c r="S43" s="192"/>
      <c r="T43" s="192"/>
      <c r="U43" s="192"/>
      <c r="V43" s="190"/>
      <c r="W43" s="187"/>
      <c r="X43" s="187"/>
      <c r="Y43" s="187"/>
      <c r="Z43" s="190"/>
      <c r="AA43" s="182"/>
      <c r="AB43" s="378"/>
      <c r="AC43" s="364"/>
      <c r="AD43" s="130"/>
      <c r="AE43" s="129"/>
      <c r="AF43" s="379"/>
      <c r="AG43" s="379"/>
      <c r="AH43" s="379"/>
      <c r="AI43" s="379"/>
      <c r="AJ43" s="122"/>
      <c r="AK43" s="130"/>
    </row>
    <row r="44" spans="2:39">
      <c r="B44" s="130"/>
      <c r="C44" s="138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60"/>
      <c r="W44" s="139"/>
      <c r="X44" s="139"/>
      <c r="Y44" s="139"/>
      <c r="Z44" s="160"/>
      <c r="AA44" s="139"/>
      <c r="AB44" s="139"/>
      <c r="AC44" s="140"/>
      <c r="AD44" s="130"/>
      <c r="AE44" s="123"/>
      <c r="AF44" s="124"/>
      <c r="AG44" s="124"/>
      <c r="AH44" s="124"/>
      <c r="AI44" s="124"/>
      <c r="AJ44" s="125"/>
      <c r="AK44" s="130"/>
    </row>
    <row r="45" spans="2:39" ht="8.1" customHeight="1">
      <c r="B45" s="130"/>
      <c r="C45" s="130"/>
      <c r="D45" s="131"/>
      <c r="E45" s="130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</row>
    <row r="46" spans="2:39">
      <c r="V46" s="79"/>
      <c r="W46" s="79"/>
      <c r="X46" s="79"/>
      <c r="Y46" s="79"/>
      <c r="Z46" s="79"/>
      <c r="AA46" s="79"/>
      <c r="AB46" s="79"/>
    </row>
    <row r="47" spans="2:39">
      <c r="R47"/>
      <c r="S47"/>
      <c r="T47"/>
      <c r="U47"/>
    </row>
    <row r="48" spans="2:39">
      <c r="R48"/>
      <c r="S48"/>
      <c r="T48"/>
      <c r="U48"/>
    </row>
    <row r="49" spans="3:21">
      <c r="C49" t="s">
        <v>3307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3308</v>
      </c>
      <c r="D52" s="381">
        <v>42000</v>
      </c>
      <c r="F52" s="67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3309</v>
      </c>
      <c r="D53" s="381">
        <v>36000</v>
      </c>
      <c r="F53" s="67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3310</v>
      </c>
      <c r="D54" s="381">
        <v>48000</v>
      </c>
      <c r="F54" s="67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3311</v>
      </c>
      <c r="D55" s="381">
        <v>8400</v>
      </c>
      <c r="F55" s="152">
        <v>8400</v>
      </c>
      <c r="G55" s="106"/>
      <c r="H55" s="106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3312</v>
      </c>
      <c r="D56" s="381">
        <v>21000</v>
      </c>
      <c r="F56" s="67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52</v>
      </c>
      <c r="D57" s="382">
        <v>2100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71" t="s">
        <v>3313</v>
      </c>
      <c r="D58" s="381">
        <v>1400</v>
      </c>
      <c r="F58" s="67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7" t="s">
        <v>32</v>
      </c>
      <c r="D59" s="381">
        <v>30000</v>
      </c>
      <c r="F59" s="152">
        <v>30000</v>
      </c>
      <c r="G59" s="106"/>
      <c r="H59" s="106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7" t="s">
        <v>3314</v>
      </c>
      <c r="D60" s="381">
        <v>12000</v>
      </c>
      <c r="F60" s="67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7" t="s">
        <v>3315</v>
      </c>
      <c r="D61" s="383">
        <v>4200</v>
      </c>
      <c r="F61" s="150">
        <v>4200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107" t="s">
        <v>3316</v>
      </c>
      <c r="D62" s="383">
        <v>11200</v>
      </c>
      <c r="F62" s="150">
        <v>11200</v>
      </c>
      <c r="G62" s="145"/>
      <c r="H62" s="145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>
      <c r="C63" s="385" t="s">
        <v>3317</v>
      </c>
      <c r="D63" s="384">
        <v>7000</v>
      </c>
      <c r="F63" s="150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63" t="s">
        <v>3318</v>
      </c>
      <c r="D64" s="384">
        <v>4200</v>
      </c>
      <c r="F64" s="150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28.9">
      <c r="C65" s="363" t="s">
        <v>3319</v>
      </c>
      <c r="D65" s="384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C66" t="s">
        <v>3320</v>
      </c>
      <c r="D66" s="384">
        <v>12000</v>
      </c>
      <c r="F66"/>
      <c r="H66" s="15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C67" t="s">
        <v>3321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BAE6C-C58B-4F5C-9C63-29DD6275B995}">
  <sheetPr codeName="Sheet17"/>
  <dimension ref="A1:P33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1" bestFit="1" customWidth="1"/>
    <col min="7" max="7" width="17.85546875" customWidth="1"/>
    <col min="8" max="8" width="82.28515625" customWidth="1"/>
  </cols>
  <sheetData>
    <row r="1" spans="1:8">
      <c r="A1" s="95" t="s">
        <v>3322</v>
      </c>
      <c r="B1" s="234" t="s">
        <v>173</v>
      </c>
      <c r="C1" s="95" t="s">
        <v>174</v>
      </c>
      <c r="D1" s="95" t="s">
        <v>3322</v>
      </c>
      <c r="E1" s="234" t="s">
        <v>175</v>
      </c>
      <c r="F1" s="430" t="s">
        <v>176</v>
      </c>
      <c r="G1" s="99" t="s">
        <v>177</v>
      </c>
      <c r="H1" s="90" t="s">
        <v>179</v>
      </c>
    </row>
    <row r="2" spans="1:8">
      <c r="A2" s="445" t="s">
        <v>3323</v>
      </c>
      <c r="B2" s="446">
        <v>45772</v>
      </c>
      <c r="C2" s="447" t="s">
        <v>1197</v>
      </c>
      <c r="D2" s="445" t="s">
        <v>3324</v>
      </c>
      <c r="E2" s="446">
        <v>45772</v>
      </c>
      <c r="F2" s="445" t="s">
        <v>1014</v>
      </c>
      <c r="G2" s="437">
        <f t="shared" ref="G2:G23" si="0">(E2 + TIME(LEFT(F2, 2), MID(F2, 3, 2), 0)) - (B2 + TIME(LEFT(C2, 2), MID(C2, 3, 2), 0))</f>
        <v>0.40972222221898846</v>
      </c>
      <c r="H2" s="310" t="s">
        <v>3325</v>
      </c>
    </row>
    <row r="3" spans="1:8" s="385" customFormat="1">
      <c r="A3" s="445" t="s">
        <v>3323</v>
      </c>
      <c r="B3" s="446">
        <v>45773</v>
      </c>
      <c r="C3" s="447" t="s">
        <v>366</v>
      </c>
      <c r="D3" s="445" t="s">
        <v>3324</v>
      </c>
      <c r="E3" s="446">
        <v>45773</v>
      </c>
      <c r="F3" s="445" t="s">
        <v>578</v>
      </c>
      <c r="G3" s="437">
        <f t="shared" si="0"/>
        <v>0.51874999999563443</v>
      </c>
      <c r="H3" s="310"/>
    </row>
    <row r="4" spans="1:8" s="385" customFormat="1">
      <c r="A4" s="445" t="s">
        <v>3326</v>
      </c>
      <c r="B4" s="446">
        <v>45775</v>
      </c>
      <c r="C4" s="447" t="s">
        <v>3327</v>
      </c>
      <c r="D4" s="445" t="s">
        <v>3323</v>
      </c>
      <c r="E4" s="446">
        <v>45775</v>
      </c>
      <c r="F4" s="445" t="s">
        <v>3328</v>
      </c>
      <c r="G4" s="437">
        <f t="shared" si="0"/>
        <v>0.24027777777519077</v>
      </c>
      <c r="H4" s="310"/>
    </row>
    <row r="5" spans="1:8" s="385" customFormat="1">
      <c r="A5" s="445" t="s">
        <v>3326</v>
      </c>
      <c r="B5" s="446">
        <v>45776</v>
      </c>
      <c r="C5" s="447" t="s">
        <v>252</v>
      </c>
      <c r="D5" s="445" t="s">
        <v>3324</v>
      </c>
      <c r="E5" s="446">
        <v>45776</v>
      </c>
      <c r="F5" s="445" t="s">
        <v>922</v>
      </c>
      <c r="G5" s="437">
        <f t="shared" si="0"/>
        <v>0.5118055555576575</v>
      </c>
      <c r="H5" s="310"/>
    </row>
    <row r="6" spans="1:8">
      <c r="A6" s="313" t="s">
        <v>3329</v>
      </c>
      <c r="B6" s="446">
        <v>45777</v>
      </c>
      <c r="C6" s="313" t="s">
        <v>483</v>
      </c>
      <c r="D6" s="313" t="s">
        <v>3323</v>
      </c>
      <c r="E6" s="446">
        <v>45777</v>
      </c>
      <c r="F6" s="406" t="s">
        <v>939</v>
      </c>
      <c r="G6" s="437">
        <f t="shared" si="0"/>
        <v>0.46736111110658385</v>
      </c>
      <c r="H6" s="310"/>
    </row>
    <row r="7" spans="1:8">
      <c r="A7" s="313" t="s">
        <v>3326</v>
      </c>
      <c r="B7" s="446">
        <v>45778</v>
      </c>
      <c r="C7" s="313" t="s">
        <v>308</v>
      </c>
      <c r="D7" s="313" t="s">
        <v>3323</v>
      </c>
      <c r="E7" s="327">
        <v>45778</v>
      </c>
      <c r="F7" s="406" t="s">
        <v>980</v>
      </c>
      <c r="G7" s="437">
        <f t="shared" si="0"/>
        <v>0.45486111110949423</v>
      </c>
      <c r="H7" s="310"/>
    </row>
    <row r="8" spans="1:8">
      <c r="A8" s="327" t="s">
        <v>3323</v>
      </c>
      <c r="B8" s="446">
        <v>45779</v>
      </c>
      <c r="C8" s="23" t="s">
        <v>244</v>
      </c>
      <c r="D8" s="313" t="s">
        <v>3324</v>
      </c>
      <c r="E8" s="446">
        <v>45779</v>
      </c>
      <c r="F8" s="406" t="s">
        <v>838</v>
      </c>
      <c r="G8" s="437">
        <f t="shared" si="0"/>
        <v>0.55972222222044365</v>
      </c>
      <c r="H8" s="310"/>
    </row>
    <row r="9" spans="1:8">
      <c r="A9" s="313" t="s">
        <v>3324</v>
      </c>
      <c r="B9" s="446">
        <v>45780</v>
      </c>
      <c r="C9" s="404" t="s">
        <v>1149</v>
      </c>
      <c r="D9" s="313" t="s">
        <v>3324</v>
      </c>
      <c r="E9" s="446">
        <v>45780</v>
      </c>
      <c r="F9" s="404" t="s">
        <v>3330</v>
      </c>
      <c r="G9" s="437">
        <f t="shared" si="0"/>
        <v>4.0972222224809229E-2</v>
      </c>
      <c r="H9" s="310"/>
    </row>
    <row r="10" spans="1:8">
      <c r="A10" s="327" t="s">
        <v>3323</v>
      </c>
      <c r="B10" s="446">
        <v>45782</v>
      </c>
      <c r="C10" s="404" t="s">
        <v>880</v>
      </c>
      <c r="D10" s="452" t="s">
        <v>3326</v>
      </c>
      <c r="E10" s="446">
        <v>45782</v>
      </c>
      <c r="F10" s="404" t="s">
        <v>3331</v>
      </c>
      <c r="G10" s="437">
        <f t="shared" si="0"/>
        <v>0.56180555555329192</v>
      </c>
      <c r="H10" s="310"/>
    </row>
    <row r="11" spans="1:8">
      <c r="A11" s="327" t="s">
        <v>3323</v>
      </c>
      <c r="B11" s="446">
        <v>45783</v>
      </c>
      <c r="C11" s="404" t="s">
        <v>412</v>
      </c>
      <c r="D11" s="452" t="s">
        <v>3326</v>
      </c>
      <c r="E11" s="446">
        <v>45783</v>
      </c>
      <c r="F11" s="404" t="s">
        <v>1036</v>
      </c>
      <c r="G11" s="437">
        <f t="shared" si="0"/>
        <v>0.59375</v>
      </c>
      <c r="H11" s="310"/>
    </row>
    <row r="12" spans="1:8">
      <c r="A12" s="327" t="s">
        <v>3323</v>
      </c>
      <c r="B12" s="446">
        <v>45784</v>
      </c>
      <c r="C12" s="37" t="s">
        <v>928</v>
      </c>
      <c r="D12" s="327" t="s">
        <v>3323</v>
      </c>
      <c r="E12" s="446">
        <v>45784</v>
      </c>
      <c r="F12" s="327" t="s">
        <v>183</v>
      </c>
      <c r="G12" s="403">
        <f t="shared" si="0"/>
        <v>0.22361111111240461</v>
      </c>
      <c r="H12" s="310"/>
    </row>
    <row r="13" spans="1:8">
      <c r="A13" s="452" t="s">
        <v>3326</v>
      </c>
      <c r="B13" s="446">
        <v>45784</v>
      </c>
      <c r="C13" s="327" t="s">
        <v>3332</v>
      </c>
      <c r="D13" s="452" t="s">
        <v>3326</v>
      </c>
      <c r="E13" s="446">
        <v>45784</v>
      </c>
      <c r="F13" s="406" t="s">
        <v>205</v>
      </c>
      <c r="G13" s="403">
        <f t="shared" si="0"/>
        <v>0.320138888884685</v>
      </c>
      <c r="H13" s="310"/>
    </row>
    <row r="14" spans="1:8">
      <c r="A14" s="313" t="s">
        <v>3324</v>
      </c>
      <c r="B14" s="446">
        <v>45785</v>
      </c>
      <c r="C14" s="402" t="s">
        <v>315</v>
      </c>
      <c r="D14" s="313" t="s">
        <v>3324</v>
      </c>
      <c r="E14" s="446">
        <v>45785</v>
      </c>
      <c r="F14" s="402" t="s">
        <v>477</v>
      </c>
      <c r="G14" s="403">
        <f t="shared" si="0"/>
        <v>0.51666666667006211</v>
      </c>
      <c r="H14" s="310"/>
    </row>
    <row r="15" spans="1:8">
      <c r="A15" s="313" t="s">
        <v>3323</v>
      </c>
      <c r="B15" s="446">
        <v>45786</v>
      </c>
      <c r="C15" s="402" t="s">
        <v>1013</v>
      </c>
      <c r="D15" s="313" t="s">
        <v>3329</v>
      </c>
      <c r="E15" s="446">
        <v>45786</v>
      </c>
      <c r="F15" s="402" t="s">
        <v>3333</v>
      </c>
      <c r="G15" s="403">
        <f t="shared" si="0"/>
        <v>0.62569444444670808</v>
      </c>
      <c r="H15" s="403"/>
    </row>
    <row r="16" spans="1:8">
      <c r="A16" s="452" t="s">
        <v>3326</v>
      </c>
      <c r="B16" s="446">
        <v>45787</v>
      </c>
      <c r="C16" s="461" t="s">
        <v>1044</v>
      </c>
      <c r="D16" s="313" t="s">
        <v>3329</v>
      </c>
      <c r="E16" s="446">
        <v>45787</v>
      </c>
      <c r="F16" s="402" t="s">
        <v>704</v>
      </c>
      <c r="G16" s="403">
        <f t="shared" si="0"/>
        <v>0.51875000000291038</v>
      </c>
      <c r="H16" s="403"/>
    </row>
    <row r="17" spans="1:16">
      <c r="A17" s="452" t="s">
        <v>3326</v>
      </c>
      <c r="B17" s="446">
        <v>45788</v>
      </c>
      <c r="C17" s="402" t="s">
        <v>1124</v>
      </c>
      <c r="D17" s="452" t="s">
        <v>3326</v>
      </c>
      <c r="E17" s="446">
        <v>45788</v>
      </c>
      <c r="F17" s="402" t="s">
        <v>3334</v>
      </c>
      <c r="G17" s="403">
        <f t="shared" si="0"/>
        <v>0.15694444444670808</v>
      </c>
      <c r="H17" s="403"/>
    </row>
    <row r="18" spans="1:16">
      <c r="A18" s="327" t="s">
        <v>3323</v>
      </c>
      <c r="B18" s="446">
        <v>45789</v>
      </c>
      <c r="C18" s="402" t="s">
        <v>799</v>
      </c>
      <c r="D18" s="313" t="s">
        <v>3324</v>
      </c>
      <c r="E18" s="446">
        <v>45789</v>
      </c>
      <c r="F18" s="402" t="s">
        <v>205</v>
      </c>
      <c r="G18" s="403">
        <f t="shared" si="0"/>
        <v>0.20555555554892635</v>
      </c>
      <c r="H18" s="403"/>
      <c r="P18">
        <f>9.83+12.45+5.73+12.28+11.22+10.98+13.43</f>
        <v>75.919999999999987</v>
      </c>
    </row>
    <row r="19" spans="1:16">
      <c r="A19" s="452" t="s">
        <v>3326</v>
      </c>
      <c r="B19" s="446">
        <v>45790</v>
      </c>
      <c r="C19" s="402" t="s">
        <v>299</v>
      </c>
      <c r="D19" s="313" t="s">
        <v>3329</v>
      </c>
      <c r="E19" s="446">
        <v>45790</v>
      </c>
      <c r="F19" s="402" t="s">
        <v>676</v>
      </c>
      <c r="G19" s="403">
        <f t="shared" si="0"/>
        <v>0.61458333333575865</v>
      </c>
      <c r="H19" s="403"/>
    </row>
    <row r="20" spans="1:16">
      <c r="A20" s="313" t="s">
        <v>3324</v>
      </c>
      <c r="B20" s="446">
        <v>45791</v>
      </c>
      <c r="C20" s="402" t="s">
        <v>363</v>
      </c>
      <c r="D20" s="327" t="s">
        <v>3323</v>
      </c>
      <c r="E20" s="446">
        <v>45791</v>
      </c>
      <c r="F20" s="402" t="s">
        <v>549</v>
      </c>
      <c r="G20" s="403">
        <f t="shared" si="0"/>
        <v>0.52986111111385981</v>
      </c>
      <c r="H20" s="403"/>
    </row>
    <row r="21" spans="1:16">
      <c r="A21" s="327" t="s">
        <v>3323</v>
      </c>
      <c r="B21" s="446">
        <v>45792</v>
      </c>
      <c r="C21" s="402" t="s">
        <v>1203</v>
      </c>
      <c r="D21" s="452" t="s">
        <v>3326</v>
      </c>
      <c r="E21" s="446">
        <v>45792</v>
      </c>
      <c r="F21" s="402" t="s">
        <v>3335</v>
      </c>
      <c r="G21" s="403">
        <f t="shared" si="0"/>
        <v>0.52361111110803904</v>
      </c>
      <c r="H21" s="310"/>
    </row>
    <row r="22" spans="1:16">
      <c r="A22" s="452" t="s">
        <v>3326</v>
      </c>
      <c r="B22" s="446">
        <v>45793</v>
      </c>
      <c r="C22" s="402" t="s">
        <v>1062</v>
      </c>
      <c r="D22" s="313" t="s">
        <v>3329</v>
      </c>
      <c r="E22" s="446">
        <v>45793</v>
      </c>
      <c r="F22" s="402" t="s">
        <v>3336</v>
      </c>
      <c r="G22" s="403">
        <f t="shared" si="0"/>
        <v>0.66041666666569654</v>
      </c>
      <c r="H22" s="310"/>
    </row>
    <row r="23" spans="1:16">
      <c r="A23" s="452" t="s">
        <v>3326</v>
      </c>
      <c r="B23" s="446">
        <v>45794</v>
      </c>
      <c r="C23" s="402" t="s">
        <v>429</v>
      </c>
      <c r="D23" s="327" t="s">
        <v>3323</v>
      </c>
      <c r="E23" s="446">
        <v>45794</v>
      </c>
      <c r="F23" s="402" t="s">
        <v>3337</v>
      </c>
      <c r="G23" s="403">
        <f t="shared" si="0"/>
        <v>0.54097222221753327</v>
      </c>
      <c r="H23" s="310"/>
    </row>
    <row r="24" spans="1:16">
      <c r="A24" s="313"/>
      <c r="B24" s="327"/>
      <c r="C24" s="402"/>
      <c r="D24" s="327"/>
      <c r="E24" s="327"/>
      <c r="F24" s="406"/>
      <c r="G24" s="403"/>
      <c r="H24" s="310"/>
    </row>
    <row r="25" spans="1:16">
      <c r="A25" s="313"/>
      <c r="B25" s="327"/>
      <c r="C25" s="402"/>
      <c r="D25" s="327"/>
      <c r="E25" s="327"/>
      <c r="F25" s="406"/>
      <c r="G25" s="403"/>
      <c r="H25" s="310"/>
    </row>
    <row r="26" spans="1:16">
      <c r="A26" s="313"/>
      <c r="B26" s="327"/>
      <c r="C26" s="402"/>
      <c r="D26" s="327"/>
      <c r="E26" s="327"/>
      <c r="F26" s="406"/>
      <c r="G26" s="403"/>
      <c r="H26" s="310"/>
    </row>
    <row r="27" spans="1:16">
      <c r="G27" s="229">
        <f>SUM(G2:G26)</f>
        <v>9.795833333315386</v>
      </c>
    </row>
    <row r="28" spans="1:16" ht="28.9">
      <c r="F28" s="432" t="s">
        <v>3338</v>
      </c>
      <c r="G28" s="229">
        <f>H28-G27</f>
        <v>-7.295833333315386</v>
      </c>
      <c r="H28" s="229">
        <v>2.5</v>
      </c>
    </row>
    <row r="29" spans="1:16">
      <c r="D29" s="233"/>
      <c r="F29" s="432"/>
    </row>
    <row r="33" spans="2:2">
      <c r="B33" s="84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33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style="431" bestFit="1" customWidth="1"/>
    <col min="7" max="7" width="11.28515625" customWidth="1"/>
    <col min="8" max="8" width="82.28515625" customWidth="1"/>
  </cols>
  <sheetData>
    <row r="1" spans="1:8">
      <c r="A1" s="95" t="s">
        <v>3322</v>
      </c>
      <c r="B1" s="234" t="s">
        <v>173</v>
      </c>
      <c r="C1" s="95" t="s">
        <v>174</v>
      </c>
      <c r="D1" s="95" t="s">
        <v>3322</v>
      </c>
      <c r="E1" s="234" t="s">
        <v>175</v>
      </c>
      <c r="F1" s="430" t="s">
        <v>176</v>
      </c>
      <c r="G1" s="99" t="s">
        <v>177</v>
      </c>
      <c r="H1" s="90" t="s">
        <v>179</v>
      </c>
    </row>
    <row r="2" spans="1:8">
      <c r="A2" s="445" t="s">
        <v>3323</v>
      </c>
      <c r="B2" s="446">
        <v>45741</v>
      </c>
      <c r="C2" s="447" t="s">
        <v>1197</v>
      </c>
      <c r="D2" s="445" t="s">
        <v>3323</v>
      </c>
      <c r="E2" s="446">
        <v>45741</v>
      </c>
      <c r="F2" s="445" t="s">
        <v>984</v>
      </c>
      <c r="G2" s="437">
        <f>(E2 + TIME(LEFT(F2, 2), MID(F2, 3, 2), 0)) - (B2 + TIME(LEFT(C2, 2), MID(C2, 3, 2), 0))</f>
        <v>0.41041666666569654</v>
      </c>
      <c r="H2" s="310"/>
    </row>
    <row r="3" spans="1:8" s="385" customFormat="1">
      <c r="A3" s="445" t="s">
        <v>3326</v>
      </c>
      <c r="B3" s="446">
        <v>45742</v>
      </c>
      <c r="C3" s="447" t="s">
        <v>258</v>
      </c>
      <c r="D3" s="439" t="s">
        <v>3326</v>
      </c>
      <c r="E3" s="438">
        <v>45742</v>
      </c>
      <c r="F3" s="439" t="s">
        <v>1204</v>
      </c>
      <c r="G3" s="437">
        <f>(E3 + TIME(LEFT(F3, 2), MID(F3, 3, 2), 0)) - (B3 + TIME(LEFT(C3, 2), MID(C3, 3, 2), 0))</f>
        <v>0.17916666666133096</v>
      </c>
      <c r="H3" s="310" t="s">
        <v>3339</v>
      </c>
    </row>
    <row r="4" spans="1:8" s="385" customFormat="1">
      <c r="A4" s="445" t="s">
        <v>3326</v>
      </c>
      <c r="B4" s="446">
        <v>45742</v>
      </c>
      <c r="C4" s="447" t="s">
        <v>3340</v>
      </c>
      <c r="D4" s="445" t="s">
        <v>3329</v>
      </c>
      <c r="E4" s="446">
        <v>45742</v>
      </c>
      <c r="F4" s="445" t="s">
        <v>3341</v>
      </c>
      <c r="G4" s="437">
        <f>(E4 + TIME(LEFT(F4, 2), MID(F4, 3, 2), 0)) - (B4 + TIME(LEFT(C4, 2), MID(C4, 3, 2), 0))</f>
        <v>0.15902777777228039</v>
      </c>
      <c r="H4" s="310"/>
    </row>
    <row r="5" spans="1:8" s="385" customFormat="1">
      <c r="A5" s="445" t="s">
        <v>3326</v>
      </c>
      <c r="B5" s="446">
        <v>45743</v>
      </c>
      <c r="C5" s="447" t="s">
        <v>382</v>
      </c>
      <c r="D5" s="445" t="s">
        <v>3323</v>
      </c>
      <c r="E5" s="446">
        <v>45743</v>
      </c>
      <c r="F5" s="445" t="s">
        <v>1014</v>
      </c>
      <c r="G5" s="437">
        <f>(E5 + TIME(LEFT(F5, 2), MID(F5, 3, 2), 0)) - (B5 + TIME(LEFT(C5, 2), MID(C5, 3, 2), 0))</f>
        <v>0.42916666666133096</v>
      </c>
      <c r="H5" s="310"/>
    </row>
    <row r="6" spans="1:8">
      <c r="A6" s="313" t="s">
        <v>3324</v>
      </c>
      <c r="B6" s="446">
        <v>45744</v>
      </c>
      <c r="C6" s="313" t="s">
        <v>652</v>
      </c>
      <c r="D6" s="313" t="s">
        <v>3324</v>
      </c>
      <c r="E6" s="446">
        <v>45744</v>
      </c>
      <c r="F6" s="406" t="s">
        <v>3342</v>
      </c>
      <c r="G6" s="403">
        <f>(E6 + TIME(LEFT(F6, 2), MID(F6, 3, 2), 0)) - (B6 + TIME(LEFT(C6, 2), MID(C6, 3, 2), 0))</f>
        <v>0.55000000000291038</v>
      </c>
      <c r="H6" s="310"/>
    </row>
    <row r="7" spans="1:8">
      <c r="A7" s="313" t="s">
        <v>3323</v>
      </c>
      <c r="B7" s="446">
        <v>45745</v>
      </c>
      <c r="C7" s="313" t="s">
        <v>3343</v>
      </c>
      <c r="D7" s="313" t="s">
        <v>3324</v>
      </c>
      <c r="E7" s="327">
        <v>45745</v>
      </c>
      <c r="F7" s="406" t="s">
        <v>3344</v>
      </c>
      <c r="G7" s="403">
        <f t="shared" ref="G7:G11" si="0">(E7 + TIME(LEFT(F7, 2), MID(F7, 3, 2), 0)) - (B7 + TIME(LEFT(C7, 2), MID(C7, 3, 2), 0))</f>
        <v>0.34097222222044365</v>
      </c>
      <c r="H7" s="310"/>
    </row>
    <row r="8" spans="1:8">
      <c r="A8" s="327" t="s">
        <v>3324</v>
      </c>
      <c r="B8" s="446">
        <v>45747</v>
      </c>
      <c r="C8" s="23" t="s">
        <v>761</v>
      </c>
      <c r="D8" s="313" t="s">
        <v>3323</v>
      </c>
      <c r="E8" s="446">
        <v>45747</v>
      </c>
      <c r="F8" s="406" t="s">
        <v>1055</v>
      </c>
      <c r="G8" s="403">
        <f t="shared" si="0"/>
        <v>0.43263888889487134</v>
      </c>
      <c r="H8" s="310"/>
    </row>
    <row r="9" spans="1:8">
      <c r="A9" s="313" t="s">
        <v>3323</v>
      </c>
      <c r="B9" s="448">
        <v>45748</v>
      </c>
      <c r="C9" s="404" t="s">
        <v>391</v>
      </c>
      <c r="D9" s="313" t="s">
        <v>3324</v>
      </c>
      <c r="E9" s="451">
        <v>45748</v>
      </c>
      <c r="F9" s="404" t="s">
        <v>3342</v>
      </c>
      <c r="G9" s="403">
        <f>(E9 + TIME(LEFT(F9, 2), MID(F9, 3, 2), 0)) - (B9 + TIME(LEFT(C9, 2), MID(C9, 3, 2), 0))</f>
        <v>0.37083333333430346</v>
      </c>
      <c r="H9" s="310"/>
    </row>
    <row r="10" spans="1:8">
      <c r="A10" s="313" t="s">
        <v>3323</v>
      </c>
      <c r="B10" s="449">
        <v>45749</v>
      </c>
      <c r="C10" s="450" t="s">
        <v>189</v>
      </c>
      <c r="D10" s="452" t="s">
        <v>3324</v>
      </c>
      <c r="E10" s="449">
        <v>45749</v>
      </c>
      <c r="F10" s="406" t="s">
        <v>657</v>
      </c>
      <c r="G10" s="403">
        <f t="shared" si="0"/>
        <v>0.5194444444423425</v>
      </c>
      <c r="H10" s="310" t="s">
        <v>3345</v>
      </c>
    </row>
    <row r="11" spans="1:8">
      <c r="A11" s="327" t="s">
        <v>3324</v>
      </c>
      <c r="B11" s="327">
        <v>45750</v>
      </c>
      <c r="C11" s="404" t="s">
        <v>304</v>
      </c>
      <c r="D11" s="327" t="s">
        <v>3323</v>
      </c>
      <c r="E11" s="327">
        <v>45750</v>
      </c>
      <c r="F11" s="406" t="s">
        <v>3346</v>
      </c>
      <c r="G11" s="403">
        <f t="shared" si="0"/>
        <v>0.42638888888905058</v>
      </c>
      <c r="H11" s="310" t="s">
        <v>3347</v>
      </c>
    </row>
    <row r="12" spans="1:8">
      <c r="A12" s="313" t="s">
        <v>3323</v>
      </c>
      <c r="B12" s="327">
        <v>45751</v>
      </c>
      <c r="C12" s="404" t="s">
        <v>261</v>
      </c>
      <c r="D12" s="327" t="s">
        <v>3324</v>
      </c>
      <c r="E12" s="327">
        <v>45751</v>
      </c>
      <c r="F12" s="327" t="s">
        <v>630</v>
      </c>
      <c r="G12" s="403">
        <f>(E12 + TIME(LEFT(F12, 2), MID(F12, 3, 2), 0)) - (B12 + TIME(LEFT(C12, 2), MID(C12, 3, 2), 0))</f>
        <v>0.38680555555038154</v>
      </c>
      <c r="H12" s="310"/>
    </row>
    <row r="13" spans="1:8">
      <c r="A13" s="440" t="s">
        <v>3323</v>
      </c>
      <c r="B13" s="441">
        <v>45752</v>
      </c>
      <c r="C13" s="442" t="s">
        <v>751</v>
      </c>
      <c r="D13" s="313" t="s">
        <v>3329</v>
      </c>
      <c r="E13" s="449">
        <v>45752</v>
      </c>
      <c r="F13" s="406" t="s">
        <v>1153</v>
      </c>
      <c r="G13" s="403">
        <f>(E13 + TIME(LEFT(F13, 2), MID(F13, 3, 2), 0)) - (B13 + TIME(LEFT(C13, 2), MID(C13, 3, 2), 0))</f>
        <v>0.51458333332993789</v>
      </c>
      <c r="H13" s="310" t="s">
        <v>3348</v>
      </c>
    </row>
    <row r="14" spans="1:8">
      <c r="A14" s="327" t="s">
        <v>3326</v>
      </c>
      <c r="B14" s="327">
        <v>45754</v>
      </c>
      <c r="C14" s="402" t="s">
        <v>495</v>
      </c>
      <c r="D14" s="402" t="s">
        <v>3326</v>
      </c>
      <c r="E14" s="327">
        <v>45754</v>
      </c>
      <c r="F14" s="404" t="s">
        <v>3344</v>
      </c>
      <c r="G14" s="403">
        <f>(E14 + TIME(LEFT(F14, 2), MID(F14, 3, 2), 0)) - (B14 + TIME(LEFT(C14, 2), MID(C14, 3, 2), 0))</f>
        <v>0.50555555555183673</v>
      </c>
      <c r="H14" s="310"/>
    </row>
    <row r="15" spans="1:8">
      <c r="A15" s="327" t="s">
        <v>3323</v>
      </c>
      <c r="B15" s="429">
        <v>45873</v>
      </c>
      <c r="C15" s="402" t="s">
        <v>655</v>
      </c>
      <c r="D15" s="402" t="s">
        <v>3326</v>
      </c>
      <c r="E15" s="429">
        <v>45873</v>
      </c>
      <c r="F15" s="404" t="s">
        <v>3349</v>
      </c>
      <c r="G15" s="403">
        <f t="shared" ref="G15:G19" si="1">(E15 + TIME(LEFT(F15, 2), MID(F15, 3, 2), 0)) - (B15 + TIME(LEFT(C15, 2), MID(C15, 3, 2), 0))</f>
        <v>0.43541666666715173</v>
      </c>
      <c r="H15" s="403" t="s">
        <v>3350</v>
      </c>
    </row>
    <row r="16" spans="1:8">
      <c r="A16" s="327" t="s">
        <v>3323</v>
      </c>
      <c r="B16" s="429">
        <v>45904</v>
      </c>
      <c r="C16" s="402" t="s">
        <v>1105</v>
      </c>
      <c r="D16" s="443" t="s">
        <v>3324</v>
      </c>
      <c r="E16" s="444">
        <v>45904</v>
      </c>
      <c r="F16" s="442" t="s">
        <v>535</v>
      </c>
      <c r="G16" s="403">
        <f t="shared" si="1"/>
        <v>0.26388888889050577</v>
      </c>
      <c r="H16" s="403" t="s">
        <v>3351</v>
      </c>
    </row>
    <row r="17" spans="1:8">
      <c r="A17" s="453" t="s">
        <v>3324</v>
      </c>
      <c r="B17" s="414">
        <v>45756</v>
      </c>
      <c r="C17" s="454" t="s">
        <v>3352</v>
      </c>
      <c r="D17" s="440" t="s">
        <v>3326</v>
      </c>
      <c r="E17" s="455">
        <v>45756</v>
      </c>
      <c r="F17" s="440" t="s">
        <v>3353</v>
      </c>
      <c r="G17" s="403">
        <f t="shared" si="1"/>
        <v>1.1111111110949423E-2</v>
      </c>
      <c r="H17" s="403" t="s">
        <v>3354</v>
      </c>
    </row>
    <row r="18" spans="1:8">
      <c r="A18" s="327" t="s">
        <v>3323</v>
      </c>
      <c r="B18" s="314">
        <v>45757</v>
      </c>
      <c r="C18" s="313" t="s">
        <v>967</v>
      </c>
      <c r="D18" s="327"/>
      <c r="E18" s="429"/>
      <c r="F18" s="404"/>
      <c r="G18" s="403" t="e">
        <f t="shared" si="1"/>
        <v>#VALUE!</v>
      </c>
      <c r="H18" s="403"/>
    </row>
    <row r="19" spans="1:8">
      <c r="A19" s="327" t="s">
        <v>3326</v>
      </c>
      <c r="B19" s="314">
        <v>45758</v>
      </c>
      <c r="C19" s="404" t="s">
        <v>3355</v>
      </c>
      <c r="D19" s="327" t="s">
        <v>3323</v>
      </c>
      <c r="E19" s="314">
        <v>45758</v>
      </c>
      <c r="F19" s="404" t="s">
        <v>3356</v>
      </c>
      <c r="G19" s="403">
        <f t="shared" si="1"/>
        <v>0.32569444444379769</v>
      </c>
      <c r="H19" s="403"/>
    </row>
    <row r="20" spans="1:8">
      <c r="A20" s="327" t="s">
        <v>3324</v>
      </c>
      <c r="B20" s="314">
        <v>45768</v>
      </c>
      <c r="C20" s="402" t="s">
        <v>3357</v>
      </c>
      <c r="D20" s="327"/>
      <c r="E20" s="314"/>
      <c r="F20" s="404"/>
      <c r="G20" s="403"/>
      <c r="H20" s="403"/>
    </row>
    <row r="21" spans="1:8">
      <c r="A21" s="327" t="s">
        <v>3324</v>
      </c>
      <c r="B21" s="314">
        <v>45769</v>
      </c>
      <c r="C21" s="402" t="s">
        <v>778</v>
      </c>
      <c r="D21" s="313"/>
      <c r="E21" s="327"/>
      <c r="F21" s="404"/>
      <c r="G21" s="403"/>
      <c r="H21" s="310"/>
    </row>
    <row r="22" spans="1:8">
      <c r="A22" s="313"/>
      <c r="B22" s="327"/>
      <c r="C22" s="402"/>
      <c r="D22" s="327"/>
      <c r="E22" s="327"/>
      <c r="F22" s="406"/>
      <c r="G22" s="403"/>
      <c r="H22" s="310"/>
    </row>
    <row r="23" spans="1:8">
      <c r="A23" s="313"/>
      <c r="B23" s="327"/>
      <c r="C23" s="402"/>
      <c r="D23" s="327"/>
      <c r="E23" s="327"/>
      <c r="F23" s="406"/>
      <c r="G23" s="403"/>
      <c r="H23" s="310"/>
    </row>
    <row r="24" spans="1:8">
      <c r="A24" s="313"/>
      <c r="B24" s="327"/>
      <c r="C24" s="402"/>
      <c r="D24" s="327"/>
      <c r="E24" s="327"/>
      <c r="F24" s="406"/>
      <c r="G24" s="403"/>
      <c r="H24" s="310"/>
    </row>
    <row r="25" spans="1:8">
      <c r="A25" s="313"/>
      <c r="B25" s="327"/>
      <c r="C25" s="402"/>
      <c r="D25" s="327"/>
      <c r="E25" s="327"/>
      <c r="F25" s="406"/>
      <c r="G25" s="403"/>
      <c r="H25" s="310"/>
    </row>
    <row r="26" spans="1:8">
      <c r="A26" s="313"/>
      <c r="B26" s="327"/>
      <c r="C26" s="402"/>
      <c r="D26" s="327"/>
      <c r="E26" s="327"/>
      <c r="F26" s="406"/>
      <c r="G26" s="403"/>
      <c r="H26" s="310"/>
    </row>
    <row r="27" spans="1:8">
      <c r="G27" s="229" t="e">
        <f>SUM(G2:G26)</f>
        <v>#VALUE!</v>
      </c>
    </row>
    <row r="28" spans="1:8" ht="28.9">
      <c r="F28" s="432" t="s">
        <v>3338</v>
      </c>
      <c r="G28" s="229" t="e">
        <f>H28-G27</f>
        <v>#VALUE!</v>
      </c>
      <c r="H28" s="229">
        <v>2.5</v>
      </c>
    </row>
    <row r="29" spans="1:8">
      <c r="D29" s="233"/>
      <c r="F29" s="432"/>
    </row>
    <row r="33" spans="2:2">
      <c r="B33" s="84"/>
    </row>
  </sheetData>
  <phoneticPr fontId="19" type="noConversion"/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3322</v>
      </c>
      <c r="B1" s="234" t="s">
        <v>173</v>
      </c>
      <c r="C1" s="95" t="s">
        <v>174</v>
      </c>
      <c r="D1" s="95" t="s">
        <v>3322</v>
      </c>
      <c r="E1" s="234" t="s">
        <v>175</v>
      </c>
      <c r="F1" s="90" t="s">
        <v>176</v>
      </c>
      <c r="G1" s="99" t="s">
        <v>177</v>
      </c>
      <c r="H1" s="90" t="s">
        <v>179</v>
      </c>
    </row>
    <row r="2" spans="1:8">
      <c r="A2" s="313" t="s">
        <v>23</v>
      </c>
      <c r="B2" s="314">
        <v>45715</v>
      </c>
      <c r="C2" s="313" t="s">
        <v>852</v>
      </c>
      <c r="D2" s="313" t="s">
        <v>23</v>
      </c>
      <c r="E2" s="314">
        <v>45715</v>
      </c>
      <c r="F2" s="313" t="s">
        <v>725</v>
      </c>
      <c r="G2" s="403">
        <f t="shared" ref="G2:G16" si="0">(E2 + TIME(LEFT(F2, 2), MID(F2, 3, 2), 0)) - (B2 + TIME(LEFT(C2, 2), MID(C2, 3, 2), 0))</f>
        <v>0.40625</v>
      </c>
      <c r="H2" s="310"/>
    </row>
    <row r="3" spans="1:8">
      <c r="A3" s="313" t="s">
        <v>24</v>
      </c>
      <c r="B3" s="314">
        <v>45717</v>
      </c>
      <c r="C3" s="313" t="s">
        <v>568</v>
      </c>
      <c r="D3" s="313" t="s">
        <v>24</v>
      </c>
      <c r="E3" s="314">
        <v>45717</v>
      </c>
      <c r="F3" s="313" t="s">
        <v>3331</v>
      </c>
      <c r="G3" s="403">
        <f t="shared" si="0"/>
        <v>0.42291666667006211</v>
      </c>
      <c r="H3" s="310"/>
    </row>
    <row r="4" spans="1:8">
      <c r="A4" s="327" t="s">
        <v>24</v>
      </c>
      <c r="B4" s="314">
        <v>45719</v>
      </c>
      <c r="C4" s="313" t="s">
        <v>726</v>
      </c>
      <c r="D4" s="313" t="s">
        <v>24</v>
      </c>
      <c r="E4" s="314">
        <v>45719</v>
      </c>
      <c r="F4" s="313" t="s">
        <v>798</v>
      </c>
      <c r="G4" s="403">
        <f t="shared" si="0"/>
        <v>0.37013888889487134</v>
      </c>
      <c r="H4" s="310"/>
    </row>
    <row r="5" spans="1:8">
      <c r="A5" s="327" t="s">
        <v>24</v>
      </c>
      <c r="B5" s="314">
        <v>45720</v>
      </c>
      <c r="C5" s="23" t="s">
        <v>325</v>
      </c>
      <c r="D5" s="313" t="s">
        <v>25</v>
      </c>
      <c r="E5" s="314">
        <v>45720</v>
      </c>
      <c r="F5" s="313" t="s">
        <v>1097</v>
      </c>
      <c r="G5" s="403">
        <f t="shared" si="0"/>
        <v>0.28888888889196096</v>
      </c>
      <c r="H5" s="310"/>
    </row>
    <row r="6" spans="1:8">
      <c r="A6" s="313" t="s">
        <v>23</v>
      </c>
      <c r="B6" s="314">
        <v>45721</v>
      </c>
      <c r="C6" s="405" t="s">
        <v>1133</v>
      </c>
      <c r="D6" s="313" t="s">
        <v>25</v>
      </c>
      <c r="E6" s="327">
        <v>45721</v>
      </c>
      <c r="F6" s="402" t="s">
        <v>3358</v>
      </c>
      <c r="G6" s="403">
        <f t="shared" si="0"/>
        <v>0.48819444444961846</v>
      </c>
      <c r="H6" s="310" t="s">
        <v>3359</v>
      </c>
    </row>
    <row r="7" spans="1:8">
      <c r="A7" s="313" t="s">
        <v>23</v>
      </c>
      <c r="B7" s="327">
        <v>45722</v>
      </c>
      <c r="C7" s="402" t="s">
        <v>425</v>
      </c>
      <c r="D7" s="313" t="s">
        <v>24</v>
      </c>
      <c r="E7" s="327">
        <v>45722</v>
      </c>
      <c r="F7" s="313" t="s">
        <v>889</v>
      </c>
      <c r="G7" s="403">
        <f t="shared" si="0"/>
        <v>0.16597222222480923</v>
      </c>
      <c r="H7" s="310" t="s">
        <v>3360</v>
      </c>
    </row>
    <row r="8" spans="1:8">
      <c r="A8" s="327" t="s">
        <v>24</v>
      </c>
      <c r="B8" s="327">
        <v>45722</v>
      </c>
      <c r="C8" s="402" t="s">
        <v>3361</v>
      </c>
      <c r="D8" s="327" t="s">
        <v>24</v>
      </c>
      <c r="E8" s="327">
        <v>45722</v>
      </c>
      <c r="F8" s="313" t="s">
        <v>873</v>
      </c>
      <c r="G8" s="403">
        <f t="shared" si="0"/>
        <v>4.7222222223354038E-2</v>
      </c>
      <c r="H8" s="310"/>
    </row>
    <row r="9" spans="1:8">
      <c r="A9" s="327" t="s">
        <v>24</v>
      </c>
      <c r="B9" s="327">
        <v>45722</v>
      </c>
      <c r="C9" s="404" t="s">
        <v>3362</v>
      </c>
      <c r="D9" s="327" t="s">
        <v>23</v>
      </c>
      <c r="E9" s="327">
        <v>45722</v>
      </c>
      <c r="F9" s="406" t="s">
        <v>899</v>
      </c>
      <c r="G9" s="403">
        <f t="shared" si="0"/>
        <v>9.3055555553291924E-2</v>
      </c>
      <c r="H9" s="310" t="s">
        <v>868</v>
      </c>
    </row>
    <row r="10" spans="1:8">
      <c r="A10" s="327" t="s">
        <v>22</v>
      </c>
      <c r="B10" s="314">
        <v>45723</v>
      </c>
      <c r="C10" s="23" t="s">
        <v>656</v>
      </c>
      <c r="D10" s="327" t="s">
        <v>22</v>
      </c>
      <c r="E10" s="327">
        <v>45723</v>
      </c>
      <c r="F10" s="313" t="s">
        <v>330</v>
      </c>
      <c r="G10" s="403">
        <f t="shared" si="0"/>
        <v>0.32361111111094942</v>
      </c>
      <c r="H10" s="310"/>
    </row>
    <row r="11" spans="1:8">
      <c r="A11" s="327" t="s">
        <v>23</v>
      </c>
      <c r="B11" s="314">
        <v>45724</v>
      </c>
      <c r="C11" s="402" t="s">
        <v>3363</v>
      </c>
      <c r="D11" s="327" t="s">
        <v>25</v>
      </c>
      <c r="E11" s="327">
        <v>45724</v>
      </c>
      <c r="F11" s="327" t="s">
        <v>514</v>
      </c>
      <c r="G11" s="403">
        <f t="shared" si="0"/>
        <v>0.21736111110658385</v>
      </c>
      <c r="H11" s="403"/>
    </row>
    <row r="12" spans="1:8">
      <c r="A12" s="327" t="s">
        <v>23</v>
      </c>
      <c r="B12" s="314">
        <v>45725</v>
      </c>
      <c r="C12" s="402" t="s">
        <v>699</v>
      </c>
      <c r="D12" s="327" t="s">
        <v>22</v>
      </c>
      <c r="E12" s="314">
        <v>45725</v>
      </c>
      <c r="F12" s="327" t="s">
        <v>1096</v>
      </c>
      <c r="G12" s="403">
        <f t="shared" si="0"/>
        <v>0.26875000000291038</v>
      </c>
      <c r="H12" s="403"/>
    </row>
    <row r="13" spans="1:8">
      <c r="A13" s="327" t="s">
        <v>24</v>
      </c>
      <c r="B13" s="314">
        <v>45726</v>
      </c>
      <c r="C13" s="402" t="s">
        <v>378</v>
      </c>
      <c r="D13" s="327" t="s">
        <v>25</v>
      </c>
      <c r="E13" s="314">
        <v>45726</v>
      </c>
      <c r="F13" s="327" t="s">
        <v>983</v>
      </c>
      <c r="G13" s="403">
        <f t="shared" si="0"/>
        <v>0.48611111110949423</v>
      </c>
      <c r="H13" s="403"/>
    </row>
    <row r="14" spans="1:8">
      <c r="A14" s="327" t="s">
        <v>22</v>
      </c>
      <c r="B14" s="314">
        <v>45727</v>
      </c>
      <c r="C14" s="402" t="s">
        <v>457</v>
      </c>
      <c r="D14" s="327" t="s">
        <v>24</v>
      </c>
      <c r="E14" s="314">
        <v>45727</v>
      </c>
      <c r="F14" s="327" t="s">
        <v>985</v>
      </c>
      <c r="G14" s="403">
        <f t="shared" si="0"/>
        <v>0.56805555555183673</v>
      </c>
      <c r="H14" s="403"/>
    </row>
    <row r="15" spans="1:8">
      <c r="A15" s="327" t="s">
        <v>24</v>
      </c>
      <c r="B15" s="314">
        <v>45728</v>
      </c>
      <c r="C15" s="402" t="s">
        <v>674</v>
      </c>
      <c r="D15" s="327" t="s">
        <v>24</v>
      </c>
      <c r="E15" s="314">
        <v>45729</v>
      </c>
      <c r="F15" s="327" t="s">
        <v>872</v>
      </c>
      <c r="G15" s="403">
        <f t="shared" si="0"/>
        <v>0.93194444444816327</v>
      </c>
      <c r="H15" s="403"/>
    </row>
    <row r="16" spans="1:8">
      <c r="A16" s="327" t="s">
        <v>25</v>
      </c>
      <c r="B16" s="314">
        <v>45729</v>
      </c>
      <c r="C16" s="402" t="s">
        <v>359</v>
      </c>
      <c r="D16" s="327" t="s">
        <v>24</v>
      </c>
      <c r="E16" s="314">
        <v>45729</v>
      </c>
      <c r="F16" s="327" t="s">
        <v>1076</v>
      </c>
      <c r="G16" s="403">
        <f t="shared" si="0"/>
        <v>0.5430555555576575</v>
      </c>
      <c r="H16" s="403"/>
    </row>
    <row r="17" spans="1:8">
      <c r="A17" s="313" t="s">
        <v>23</v>
      </c>
      <c r="B17" s="327">
        <v>45736</v>
      </c>
      <c r="C17" s="402" t="s">
        <v>648</v>
      </c>
      <c r="D17" s="313" t="s">
        <v>22</v>
      </c>
      <c r="E17" s="327">
        <v>45736</v>
      </c>
      <c r="F17" s="327" t="s">
        <v>368</v>
      </c>
      <c r="G17" s="403">
        <f t="shared" ref="G17:G21" si="1">(E17 + TIME(LEFT(F17, 2), MID(F17, 3, 2), 0)) - (B17 + TIME(LEFT(C17, 2), MID(C17, 3, 2), 0))</f>
        <v>0.53541666666569654</v>
      </c>
      <c r="H17" s="310" t="s">
        <v>3364</v>
      </c>
    </row>
    <row r="18" spans="1:8">
      <c r="A18" s="313" t="s">
        <v>22</v>
      </c>
      <c r="B18" s="327">
        <v>45737</v>
      </c>
      <c r="C18" s="402" t="s">
        <v>501</v>
      </c>
      <c r="D18" s="313" t="s">
        <v>22</v>
      </c>
      <c r="E18" s="327">
        <v>45737</v>
      </c>
      <c r="F18" s="313" t="s">
        <v>770</v>
      </c>
      <c r="G18" s="403">
        <f t="shared" si="1"/>
        <v>0.44236111111240461</v>
      </c>
      <c r="H18" s="310"/>
    </row>
    <row r="19" spans="1:8">
      <c r="A19" s="313" t="s">
        <v>22</v>
      </c>
      <c r="B19" s="327">
        <v>45739</v>
      </c>
      <c r="C19" s="402" t="s">
        <v>1045</v>
      </c>
      <c r="D19" s="327" t="s">
        <v>25</v>
      </c>
      <c r="E19" s="327">
        <v>45739</v>
      </c>
      <c r="F19" s="313" t="s">
        <v>3365</v>
      </c>
      <c r="G19" s="403">
        <f t="shared" si="1"/>
        <v>0.13194444444525288</v>
      </c>
      <c r="H19" s="310"/>
    </row>
    <row r="20" spans="1:8">
      <c r="A20" s="313" t="s">
        <v>23</v>
      </c>
      <c r="B20" s="327">
        <v>45741</v>
      </c>
      <c r="C20" s="402" t="s">
        <v>652</v>
      </c>
      <c r="D20" s="313" t="s">
        <v>23</v>
      </c>
      <c r="E20" s="327">
        <v>45741</v>
      </c>
      <c r="F20" s="313" t="s">
        <v>1197</v>
      </c>
      <c r="G20" s="403">
        <f t="shared" si="1"/>
        <v>0.11458333333575865</v>
      </c>
      <c r="H20" s="310"/>
    </row>
    <row r="21" spans="1:8" hidden="1">
      <c r="A21" s="313"/>
      <c r="B21" s="327"/>
      <c r="C21" s="402"/>
      <c r="D21" s="327"/>
      <c r="E21" s="327"/>
      <c r="F21" s="313"/>
      <c r="G21" s="403" t="e">
        <f t="shared" si="1"/>
        <v>#VALUE!</v>
      </c>
      <c r="H21" s="310"/>
    </row>
    <row r="22" spans="1:8" hidden="1">
      <c r="A22" s="313"/>
      <c r="B22" s="327"/>
      <c r="C22" s="402"/>
      <c r="D22" s="327"/>
      <c r="E22" s="327"/>
      <c r="F22" s="313"/>
      <c r="G22" s="403" t="e">
        <f t="shared" ref="G22" si="2">(E22 + TIME(LEFT(F22, 2), MID(F22, 3, 2), 0)) - (B22 + TIME(LEFT(C22, 2), MID(C22, 3, 2), 0))</f>
        <v>#VALUE!</v>
      </c>
      <c r="H22" s="310"/>
    </row>
    <row r="23" spans="1:8">
      <c r="G23" s="229">
        <f>SUM(G2:G17)</f>
        <v>6.15694444446126</v>
      </c>
    </row>
    <row r="24" spans="1:8" ht="28.9">
      <c r="F24" s="232" t="s">
        <v>3338</v>
      </c>
      <c r="G24" s="229">
        <f>H24-G23</f>
        <v>-3.65694444446126</v>
      </c>
      <c r="H24" s="229">
        <v>2.5</v>
      </c>
    </row>
    <row r="25" spans="1:8">
      <c r="D25" s="233"/>
      <c r="F25" s="232"/>
    </row>
    <row r="29" spans="1:8">
      <c r="B29" s="84"/>
    </row>
  </sheetData>
  <phoneticPr fontId="1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651" t="s">
        <v>3272</v>
      </c>
      <c r="D3" s="651" t="s">
        <v>3273</v>
      </c>
      <c r="E3" s="652" t="s">
        <v>3274</v>
      </c>
      <c r="F3" s="648" t="s">
        <v>3275</v>
      </c>
      <c r="G3" s="648" t="s">
        <v>3276</v>
      </c>
      <c r="H3" s="648" t="s">
        <v>3277</v>
      </c>
      <c r="I3" s="653" t="s">
        <v>3278</v>
      </c>
      <c r="J3" s="653" t="s">
        <v>3366</v>
      </c>
      <c r="K3" s="656"/>
      <c r="L3" s="653" t="s">
        <v>3367</v>
      </c>
      <c r="M3" s="656"/>
      <c r="N3" s="651" t="s">
        <v>3368</v>
      </c>
      <c r="O3" s="651"/>
      <c r="P3" s="659" t="s">
        <v>3283</v>
      </c>
      <c r="Q3" s="660"/>
      <c r="R3" s="665" t="s">
        <v>3284</v>
      </c>
      <c r="S3" s="660"/>
      <c r="T3" s="668" t="s">
        <v>3285</v>
      </c>
      <c r="U3" s="669" t="s">
        <v>3286</v>
      </c>
      <c r="V3" s="672" t="s">
        <v>3287</v>
      </c>
      <c r="W3" s="669" t="s">
        <v>3288</v>
      </c>
      <c r="X3" s="668" t="s">
        <v>3289</v>
      </c>
      <c r="Y3" s="652" t="s">
        <v>3290</v>
      </c>
      <c r="Z3" s="652" t="s">
        <v>3291</v>
      </c>
      <c r="AA3" s="652" t="s">
        <v>3292</v>
      </c>
      <c r="AB3" s="130"/>
      <c r="AC3" s="130"/>
      <c r="AD3" s="130"/>
      <c r="AE3" s="155"/>
      <c r="AF3" s="674" t="s">
        <v>119</v>
      </c>
      <c r="AG3" s="676">
        <f ca="1">TODAY()</f>
        <v>45938</v>
      </c>
      <c r="AH3" s="677"/>
      <c r="AI3" s="130"/>
    </row>
    <row r="4" spans="1:37" ht="15" customHeight="1">
      <c r="B4" s="130"/>
      <c r="C4" s="651"/>
      <c r="D4" s="651"/>
      <c r="E4" s="651"/>
      <c r="F4" s="649"/>
      <c r="G4" s="649"/>
      <c r="H4" s="649"/>
      <c r="I4" s="654"/>
      <c r="J4" s="654"/>
      <c r="K4" s="657"/>
      <c r="L4" s="654"/>
      <c r="M4" s="657"/>
      <c r="N4" s="651"/>
      <c r="O4" s="651"/>
      <c r="P4" s="661"/>
      <c r="Q4" s="662"/>
      <c r="R4" s="666"/>
      <c r="S4" s="662"/>
      <c r="T4" s="649"/>
      <c r="U4" s="670"/>
      <c r="V4" s="673"/>
      <c r="W4" s="670"/>
      <c r="X4" s="649"/>
      <c r="Y4" s="651"/>
      <c r="Z4" s="651"/>
      <c r="AA4" s="651"/>
      <c r="AB4" s="130"/>
      <c r="AC4" s="130"/>
      <c r="AD4" s="130"/>
      <c r="AE4" s="164" t="s">
        <v>3293</v>
      </c>
      <c r="AF4" s="675"/>
      <c r="AG4" s="678"/>
      <c r="AH4" s="679"/>
      <c r="AI4" s="130"/>
    </row>
    <row r="5" spans="1:37" ht="15" customHeight="1">
      <c r="B5" s="130"/>
      <c r="C5" s="651"/>
      <c r="D5" s="651"/>
      <c r="E5" s="651"/>
      <c r="F5" s="649"/>
      <c r="G5" s="649"/>
      <c r="H5" s="649"/>
      <c r="I5" s="654"/>
      <c r="J5" s="655"/>
      <c r="K5" s="658"/>
      <c r="L5" s="655"/>
      <c r="M5" s="658"/>
      <c r="N5" s="651"/>
      <c r="O5" s="651"/>
      <c r="P5" s="663"/>
      <c r="Q5" s="664"/>
      <c r="R5" s="667"/>
      <c r="S5" s="664"/>
      <c r="T5" s="649"/>
      <c r="U5" s="670"/>
      <c r="V5" s="673"/>
      <c r="W5" s="670"/>
      <c r="X5" s="649"/>
      <c r="Y5" s="651"/>
      <c r="Z5" s="651"/>
      <c r="AA5" s="651"/>
      <c r="AB5" s="130"/>
      <c r="AC5" s="130"/>
      <c r="AD5" s="130"/>
      <c r="AE5" s="155"/>
      <c r="AF5" s="674" t="s">
        <v>3294</v>
      </c>
      <c r="AG5" s="680" t="str">
        <f ca="1">IF(_xlfn.NUMBERVALUE(TEXT(NOW(), "H")) &lt; 12,"0000h","1200h")</f>
        <v>1200h</v>
      </c>
      <c r="AH5" s="681"/>
      <c r="AI5" s="130"/>
      <c r="AJ5" s="75"/>
    </row>
    <row r="6" spans="1:37">
      <c r="B6" s="130"/>
      <c r="C6" s="651"/>
      <c r="D6" s="651"/>
      <c r="E6" s="651"/>
      <c r="F6" s="650"/>
      <c r="G6" s="650"/>
      <c r="H6" s="650"/>
      <c r="I6" s="655"/>
      <c r="J6" s="153" t="s">
        <v>3295</v>
      </c>
      <c r="K6" s="153" t="s">
        <v>3296</v>
      </c>
      <c r="L6" s="153" t="s">
        <v>3295</v>
      </c>
      <c r="M6" s="153" t="s">
        <v>3296</v>
      </c>
      <c r="N6" s="153" t="s">
        <v>3295</v>
      </c>
      <c r="O6" s="153" t="s">
        <v>3296</v>
      </c>
      <c r="P6" s="174" t="s">
        <v>3295</v>
      </c>
      <c r="Q6" s="153" t="s">
        <v>3296</v>
      </c>
      <c r="R6" s="153" t="s">
        <v>3295</v>
      </c>
      <c r="S6" s="153" t="s">
        <v>3296</v>
      </c>
      <c r="T6" s="650"/>
      <c r="U6" s="671"/>
      <c r="V6" s="673"/>
      <c r="W6" s="671"/>
      <c r="X6" s="650"/>
      <c r="Y6" s="651"/>
      <c r="Z6" s="651"/>
      <c r="AA6" s="651"/>
      <c r="AB6" s="130"/>
      <c r="AC6" s="130"/>
      <c r="AD6" s="130"/>
      <c r="AE6" s="130"/>
      <c r="AF6" s="675"/>
      <c r="AG6" s="682"/>
      <c r="AH6" s="683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3369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1197</v>
      </c>
      <c r="H9" s="184">
        <f ca="1" xml:space="preserve"> NOW() - (F9 + TIME(LEFT($G$9, 2), MID($G$9, 3, 2), 0))</f>
        <v>287.19317974537262</v>
      </c>
      <c r="I9" s="185">
        <f ca="1">((DATE(YEAR(F9),MONTH(F9)+1,25)) + TIME(LEFT("1200H", 2), MID("1200H", 3, 2), 0)) - ($AG$3 + TIME(LEFT(NOW(), 2), MID(NOW(), 3, 2), 0))</f>
        <v>-256.43958333333285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420.59999999999997</v>
      </c>
      <c r="V9" s="216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191"/>
      <c r="AA9" s="148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0"/>
      <c r="AC9" s="129" t="s">
        <v>3298</v>
      </c>
      <c r="AD9" s="684" t="e">
        <f ca="1">$AA$9/$E$9</f>
        <v>#N/A</v>
      </c>
      <c r="AE9" s="685"/>
      <c r="AF9" s="685"/>
      <c r="AG9" s="686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687"/>
      <c r="AE10" s="688"/>
      <c r="AF10" s="688"/>
      <c r="AG10" s="689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3299</v>
      </c>
      <c r="AD12" s="684" t="e">
        <f ca="1">$AA$9/$D$9</f>
        <v>#N/A</v>
      </c>
      <c r="AE12" s="685"/>
      <c r="AF12" s="685"/>
      <c r="AG12" s="686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687"/>
      <c r="AE13" s="688"/>
      <c r="AF13" s="688"/>
      <c r="AG13" s="689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3370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1197</v>
      </c>
      <c r="H17" s="184">
        <f ca="1" xml:space="preserve"> NOW() - (F17 + TIME(LEFT($G$17, 2), MID($G$17, 3, 2), 0))</f>
        <v>287.19317881944153</v>
      </c>
      <c r="I17" s="185">
        <f ca="1">((DATE(YEAR(F17),MONTH(F17)+1,25)) + TIME(LEFT("1200H", 2), MID("1200H", 3, 2), 0)) - ($AG$3 + TIME(LEFT(NOW(), 2), MID(NOW(), 3, 2), 0))</f>
        <v>-256.43958333333285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141.99999999999997</v>
      </c>
      <c r="V17" s="187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198" t="e">
        <f ca="1">Z20+Z21</f>
        <v>#N/A</v>
      </c>
      <c r="AA17" s="148" t="e">
        <f ca="1">AA20+AA21</f>
        <v>#N/A</v>
      </c>
      <c r="AB17" s="130"/>
      <c r="AC17" s="129" t="s">
        <v>3298</v>
      </c>
      <c r="AD17" s="684" t="e">
        <f ca="1">$Z$17/$E$17</f>
        <v>#N/A</v>
      </c>
      <c r="AE17" s="685"/>
      <c r="AF17" s="685"/>
      <c r="AG17" s="686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167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687"/>
      <c r="AE18" s="688"/>
      <c r="AF18" s="688"/>
      <c r="AG18" s="689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139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91.59999999999998</v>
      </c>
      <c r="V20" s="187"/>
      <c r="W20" s="187"/>
      <c r="X20" s="190"/>
      <c r="Y20" s="181"/>
      <c r="Z20" s="181" t="e">
        <f ca="1">(((((INDEX(BILLING!$H:$H,MATCH($AG$3&amp;" "&amp;$AG$5,BILLING!$C:$C,0))-L20)*$D$58)-
((INDEX(BILLING!$I:$I,MATCH($AG$3&amp;" "&amp;$AG$5,BILLING!$C:$C,0))-M20)*$D$58))))/1000</f>
        <v>#N/A</v>
      </c>
      <c r="AA20" s="148" t="e">
        <f ca="1">(((((INDEX(BILLING!$H:$H,MATCH($AG$3&amp;" "&amp;$AG$5,BILLING!$C:$C,0))-R20)*$D$58)-
((INDEX(BILLING!$I:$I,MATCH($AG$3&amp;" "&amp;$AG$5,BILLING!$C:$C,0))-S20)*$D$58))))/1000</f>
        <v>#N/A</v>
      </c>
      <c r="AB20" s="130"/>
      <c r="AC20" s="129" t="s">
        <v>3299</v>
      </c>
      <c r="AD20" s="684" t="e">
        <f ca="1">$AA$17/$D$17</f>
        <v>#N/A</v>
      </c>
      <c r="AE20" s="685"/>
      <c r="AF20" s="685"/>
      <c r="AG20" s="686"/>
      <c r="AH20" s="122"/>
      <c r="AI20" s="130"/>
    </row>
    <row r="21" spans="2:37" ht="15.75" customHeight="1" thickBot="1">
      <c r="B21" s="130"/>
      <c r="C21" s="129" t="s">
        <v>140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50.4</v>
      </c>
      <c r="V21" s="187"/>
      <c r="W21" s="187"/>
      <c r="X21" s="190"/>
      <c r="Y21" s="181"/>
      <c r="Z21" s="181" t="e">
        <f ca="1">(((((INDEX(BILLING!$J:$J,MATCH($AG$3&amp;" "&amp;$AG$5,BILLING!$C:$C,0))-L21)*$D$59)-
((INDEX(BILLING!$K:$K,MATCH($AG$3&amp;" "&amp;$AG$5,BILLING!$C:$C,0))-M21)*$D$59))))/1000</f>
        <v>#N/A</v>
      </c>
      <c r="AA21" s="148" t="e">
        <f ca="1">(((((INDEX(BILLING!$J:$J,MATCH($AG$3&amp;" "&amp;$AG$5,BILLING!$C:$C,0))-R21)*$D$59)-
((INDEX(BILLING!$K:$K,MATCH($AG$3&amp;" "&amp;$AG$5,BILLING!$C:$C,0))-S21)*$D$59))))/1000</f>
        <v>#N/A</v>
      </c>
      <c r="AB21" s="130"/>
      <c r="AC21" s="129"/>
      <c r="AD21" s="687"/>
      <c r="AE21" s="688"/>
      <c r="AF21" s="688"/>
      <c r="AG21" s="689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3302</v>
      </c>
      <c r="D25" s="193">
        <f>E25/12</f>
        <v>15000</v>
      </c>
      <c r="E25" s="183">
        <v>180000</v>
      </c>
      <c r="F25" s="146">
        <v>45651</v>
      </c>
      <c r="G25" s="147" t="s">
        <v>1197</v>
      </c>
      <c r="H25" s="184">
        <f ca="1" xml:space="preserve"> NOW() - (F25 + TIME(LEFT($G$25, 2), MID($G$25, 3, 2), 0))</f>
        <v>287.19317881944153</v>
      </c>
      <c r="I25" s="185">
        <f ca="1">((DATE(YEAR(F25),MONTH(F25)+1,25)) + TIME(LEFT("1200H", 2), MID("1200H", 3, 2), 0)) - ($AG$3 + TIME(LEFT(NOW(), 2), MID(NOW(), 3, 2), 0))</f>
        <v>-256.43958333333285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166.79999999999995</v>
      </c>
      <c r="V25" s="187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198" t="e">
        <f ca="1">SUM(Z28:Z31)</f>
        <v>#N/A</v>
      </c>
      <c r="AA25" s="148" t="e">
        <f ca="1">SUM(AA28:AA31)</f>
        <v>#N/A</v>
      </c>
      <c r="AB25" s="130"/>
      <c r="AC25" s="129" t="s">
        <v>3298</v>
      </c>
      <c r="AD25" s="684" t="e">
        <f ca="1">Z25/$E$25</f>
        <v>#N/A</v>
      </c>
      <c r="AE25" s="685"/>
      <c r="AF25" s="685"/>
      <c r="AG25" s="686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3303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687"/>
      <c r="AE26" s="688"/>
      <c r="AF26" s="688"/>
      <c r="AG26" s="689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3251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75.199999999999989</v>
      </c>
      <c r="V28" s="187"/>
      <c r="W28" s="187"/>
      <c r="X28" s="190"/>
      <c r="Y28" s="181" t="e">
        <f ca="1">(((((INDEX(BILLING!$N:$N,MATCH($AG$3&amp;" "&amp;$AG$5,BILLING!$C:$C,0))-N28)*$D$57)-
((INDEX(BILLING!$O:$O,MATCH($AG$3&amp;" "&amp;$AG$5,BILLING!$C:$C,0))-O28)*$D$57))))/1000</f>
        <v>#N/A</v>
      </c>
      <c r="Z28" s="181" t="e">
        <f ca="1">(((((INDEX(BILLING!$N:$N,MATCH($AG$3&amp;" "&amp;$AG$5,BILLING!$C:$C,0))-J28)*$D$57)-
((INDEX(BILLING!$O:$O,MATCH($AG$3&amp;" "&amp;$AG$5,BILLING!$C:$C,0))-K28)*$D$57))))/1000</f>
        <v>#N/A</v>
      </c>
      <c r="AA28" s="148" t="e">
        <f ca="1">(((((INDEX(BILLING!$N:$N,MATCH($AG$3&amp;" "&amp;$AG$5,BILLING!$C:$C,0))-P28)*$D$57)-
((INDEX(BILLING!$O:$O,MATCH($AG$3&amp;" "&amp;$AG$5,BILLING!$C:$C,0))-Q28)*$D$57))))/1000</f>
        <v>#N/A</v>
      </c>
      <c r="AB28" s="130"/>
      <c r="AC28" s="129" t="s">
        <v>3299</v>
      </c>
      <c r="AD28" s="684" t="e">
        <f ca="1">$AA$25/$D$25</f>
        <v>#N/A</v>
      </c>
      <c r="AE28" s="685"/>
      <c r="AF28" s="685"/>
      <c r="AG28" s="686"/>
      <c r="AH28" s="122"/>
      <c r="AI28" s="130"/>
    </row>
    <row r="29" spans="2:37" ht="15.75" customHeight="1" thickBot="1">
      <c r="B29" s="130"/>
      <c r="C29" s="129" t="s">
        <v>124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 t="e">
        <f ca="1">(((((INDEX(BILLING!$L:$L,MATCH($AG$3&amp;" "&amp;$AG$5,BILLING!$C:$C,0))-N29)*$D$56)-
((INDEX(BILLING!$M:$M,MATCH($AG$3&amp;" "&amp;$AG$5,BILLING!$C:$C,0))-O29)*$D$56))))/1000</f>
        <v>#N/A</v>
      </c>
      <c r="Z29" s="181" t="e">
        <f ca="1">(((((INDEX(BILLING!$L:$L,MATCH($AG$3&amp;" "&amp;$AG$5,BILLING!$C:$C,0))-J29)*$D$56)-
((INDEX(BILLING!$M:$M,MATCH($AG$3&amp;" "&amp;$AG$5,BILLING!$C:$C,0))-K29)*$D$56))))/1000</f>
        <v>#N/A</v>
      </c>
      <c r="AA29" s="148" t="e">
        <f ca="1">(((((INDEX(BILLING!$L:$L,MATCH($AG$3&amp;" "&amp;$AG$5,BILLING!$C:$C,0))-P29)*$D$56)-
((INDEX(BILLING!$M:$M,MATCH($AG$3&amp;" "&amp;$AG$5,BILLING!$C:$C,0))-Q29)*$D$56))))/1000</f>
        <v>#N/A</v>
      </c>
      <c r="AB29" s="130"/>
      <c r="AC29" s="129"/>
      <c r="AD29" s="687"/>
      <c r="AE29" s="688"/>
      <c r="AF29" s="688"/>
      <c r="AG29" s="689"/>
      <c r="AH29" s="122"/>
      <c r="AI29" s="130"/>
    </row>
    <row r="30" spans="2:37" ht="15.75" customHeight="1">
      <c r="B30" s="130"/>
      <c r="C30" s="129" t="s">
        <v>3371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 t="e">
        <f ca="1">(((((INDEX(BILLING!$V:$V,MATCH($AG$3&amp;" "&amp;$AG$5,BILLING!$C:$C,0))-N30)*$D$60)-
((INDEX(BILLING!$W:$W,MATCH($AG$3&amp;" "&amp;$AG$5,BILLING!$C:$C,0))-O30)*$D$60))))/1000</f>
        <v>#N/A</v>
      </c>
      <c r="Z30" s="181" t="e">
        <f ca="1">(((((INDEX(BILLING!$V:$V,MATCH($AG$3&amp;" "&amp;$AG$5,BILLING!$C:$C,0))-N30)*$D$60)-
((INDEX(BILLING!$W:$W,MATCH($AG$3&amp;" "&amp;$AG$5,BILLING!$C:$C,0))-O30)*$D$60))))/1000</f>
        <v>#N/A</v>
      </c>
      <c r="AA30" s="148" t="e">
        <f ca="1">(((((INDEX(BILLING!$V:$V,MATCH($AG$3&amp;" "&amp;$AG$5,BILLING!$C:$C,0))-R30)*$D$60)-
((INDEX(BILLING!$W:$W,MATCH($AG$3&amp;" "&amp;$AG$5,BILLING!$C:$C,0))-S30)*$D$60))))/1000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126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91.59999999999998</v>
      </c>
      <c r="V31" s="187"/>
      <c r="W31" s="187"/>
      <c r="X31" s="190"/>
      <c r="Y31" s="181" t="e">
        <f ca="1">(((((INDEX(BILLING!$T:$T,MATCH($AG$3&amp;" "&amp;$AG$5,BILLING!$C:$C,0))-N31)*$D$54)-
((INDEX(BILLING!$U:$U,MATCH($AG$3&amp;" "&amp;$AG$5,BILLING!$C:$C,0))-O31)*$D$54))))/1000</f>
        <v>#N/A</v>
      </c>
      <c r="Z31" s="181" t="e">
        <f ca="1">(((((INDEX(BILLING!$T:$T,MATCH($AG$3&amp;" "&amp;$AG$5,BILLING!$C:$C,0))-L31)*$D$54)-
((INDEX(BILLING!$U:$U,MATCH($AG$3&amp;" "&amp;$AG$5,BILLING!$C:$C,0))-M31)*$D$54))))/1000</f>
        <v>#N/A</v>
      </c>
      <c r="AA31" s="148" t="e">
        <f ca="1">(((((INDEX(BILLING!$T:$T,MATCH($AG$3&amp;" "&amp;$AG$5,BILLING!$C:$C,0))-R31)*$D$54)-
((INDEX(BILLING!$U:$U,MATCH($AG$3&amp;" "&amp;$AG$5,BILLING!$C:$C,0))-S31)*$D$54))))/1000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 t="e">
        <f ca="1">(((((INDEX(BILLING!$T:$T,MATCH($AG$3&amp;" "&amp;$AG$5,BILLING!$C:$C,0))-L32)*$D$54)-
((INDEX(BILLING!$U:$U,MATCH($AG$3&amp;" "&amp;$AG$5,BILLING!$C:$C,0))-M32)*$D$54))))/1000</f>
        <v>#N/A</v>
      </c>
      <c r="AA32" s="148" t="e">
        <f ca="1">(((((INDEX(BILLING!$Z:$Z,MATCH($AG$3&amp;" "&amp;$AG$5,BILLING!$C:$C,0))-R32)*$D$52)-
((INDEX(BILLING!$AA:$AA,MATCH($AG$3&amp;" "&amp;$AG$5,BILLING!$C:$C,0))-S32)*$D$52))))/1000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>
      <c r="B36" s="130"/>
      <c r="C36" s="149" t="s">
        <v>3372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1197</v>
      </c>
      <c r="H36" s="184">
        <f ca="1" xml:space="preserve"> NOW() - (F36 + TIME(LEFT($G$36, 2), MID($G$36, 3, 2), 0))</f>
        <v>287.19317881944153</v>
      </c>
      <c r="I36" s="185">
        <f ca="1">((DATE(YEAR(F36),MONTH(F36)+1,25)) + TIME(LEFT("1200H", 2), MID("1200H", 3, 2), 0)) - ($AG$3 + TIME(LEFT(NOW(), 2), MID(NOW(), 3, 2), 0))</f>
        <v>-256.43958333333285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 t="e">
        <f ca="1">AA36+U36</f>
        <v>#N/A</v>
      </c>
      <c r="W36" s="188" t="e">
        <f ca="1">V36/H36/24</f>
        <v>#N/A</v>
      </c>
      <c r="X36" s="189" t="e">
        <f ca="1">AA36/H36/24</f>
        <v>#N/A</v>
      </c>
      <c r="Y36" s="198"/>
      <c r="Z36" s="198" t="e">
        <f ca="1">SUM(Z39:Z40)</f>
        <v>#N/A</v>
      </c>
      <c r="AA36" s="148" t="e">
        <f ca="1">SUM(AA39:AA40)</f>
        <v>#N/A</v>
      </c>
      <c r="AB36" s="130"/>
      <c r="AC36" s="129" t="s">
        <v>3298</v>
      </c>
      <c r="AD36" s="684" t="e">
        <f ca="1">Z36/$E$36</f>
        <v>#N/A</v>
      </c>
      <c r="AE36" s="685"/>
      <c r="AF36" s="685"/>
      <c r="AG36" s="686"/>
      <c r="AH36" s="122"/>
      <c r="AI36" s="130"/>
      <c r="AK36" s="203" t="e">
        <f ca="1">(E36-Z36)/67/24</f>
        <v>#N/A</v>
      </c>
    </row>
    <row r="37" spans="2:37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687"/>
      <c r="AE37" s="688"/>
      <c r="AF37" s="688"/>
      <c r="AG37" s="689"/>
      <c r="AH37" s="122"/>
      <c r="AI37" s="130"/>
    </row>
    <row r="38" spans="2:37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>
      <c r="B39" s="130"/>
      <c r="C39" s="129" t="s">
        <v>125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8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0"/>
      <c r="AC39" s="129" t="s">
        <v>3299</v>
      </c>
      <c r="AD39" s="684" t="e">
        <f ca="1">$AA$36/$D$36</f>
        <v>#N/A</v>
      </c>
      <c r="AE39" s="685"/>
      <c r="AF39" s="685"/>
      <c r="AG39" s="686"/>
      <c r="AH39" s="122"/>
      <c r="AI39" s="130"/>
    </row>
    <row r="40" spans="2:37" ht="15.75" customHeight="1" thickBot="1">
      <c r="B40" s="130"/>
      <c r="C40" s="129" t="s">
        <v>127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 t="e">
        <f ca="1">(((((INDEX(BILLING!$X:$X,MATCH($AG$3&amp;" "&amp;$AG$5,BILLING!$C:$C,0))-L40)*$D$55)-
((INDEX(BILLING!$Y:$Y,MATCH($AG$3&amp;" "&amp;$AG$5,BILLING!$C:$C,0))-M40)*$D$55))))/1000</f>
        <v>#N/A</v>
      </c>
      <c r="AA40" s="172" t="e">
        <f ca="1">(((((INDEX(BILLING!$X:$X,MATCH($AG$3&amp;" "&amp;$AG$5,BILLING!$C:$C,0))-R40)*$D$55)-
((INDEX(BILLING!$Y:$Y,MATCH($AG$3&amp;" "&amp;$AG$5,BILLING!$C:$C,0))-S40)*$D$55))))/1000</f>
        <v>#N/A</v>
      </c>
      <c r="AB40" s="130"/>
      <c r="AC40" s="129"/>
      <c r="AD40" s="687"/>
      <c r="AE40" s="688"/>
      <c r="AF40" s="688"/>
      <c r="AG40" s="689"/>
      <c r="AH40" s="122"/>
      <c r="AI40" s="130"/>
    </row>
    <row r="41" spans="2:37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>
      <c r="T43" s="79"/>
      <c r="U43" s="79"/>
      <c r="V43" s="79"/>
      <c r="W43" s="79"/>
      <c r="X43" s="79"/>
      <c r="Y43" s="79"/>
      <c r="Z43" s="79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3307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3308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3309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3310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3311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>
      <c r="C53" s="71" t="s">
        <v>3312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52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3313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7" t="s">
        <v>32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>
      <c r="C57" s="107" t="s">
        <v>3314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7" t="s">
        <v>3315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>
      <c r="C59" s="107" t="s">
        <v>3316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>
      <c r="C60" s="67" t="s">
        <v>3317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>
      <c r="C62" s="107" t="s">
        <v>3373</v>
      </c>
      <c r="D62" s="146">
        <v>45560</v>
      </c>
      <c r="F62" s="147" t="s">
        <v>1197</v>
      </c>
      <c r="H62" s="156"/>
    </row>
    <row r="63" spans="3:19">
      <c r="C63" s="107" t="s">
        <v>3374</v>
      </c>
      <c r="D63" s="156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workbookViewId="0"/>
  </sheetViews>
  <sheetFormatPr defaultColWidth="9.140625" defaultRowHeight="32.450000000000003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>
      <c r="A1" s="207" t="s">
        <v>119</v>
      </c>
      <c r="B1" s="208" t="s">
        <v>3375</v>
      </c>
      <c r="C1" s="209"/>
      <c r="D1" s="208" t="s">
        <v>119</v>
      </c>
      <c r="E1" s="208" t="s">
        <v>3375</v>
      </c>
    </row>
    <row r="2" spans="1:5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3376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3315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3377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3378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3316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3254</v>
      </c>
    </row>
    <row r="28" spans="1:26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3379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/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8" t="s">
        <v>3322</v>
      </c>
      <c r="B1" s="230" t="s">
        <v>173</v>
      </c>
      <c r="C1" s="219" t="s">
        <v>174</v>
      </c>
      <c r="D1" s="219" t="s">
        <v>3322</v>
      </c>
      <c r="E1" s="230" t="s">
        <v>175</v>
      </c>
      <c r="F1" s="220" t="s">
        <v>176</v>
      </c>
      <c r="G1" s="221" t="s">
        <v>177</v>
      </c>
      <c r="H1" s="222" t="s">
        <v>179</v>
      </c>
      <c r="J1" s="218" t="s">
        <v>3322</v>
      </c>
      <c r="K1" s="230" t="s">
        <v>173</v>
      </c>
      <c r="L1" s="219" t="s">
        <v>174</v>
      </c>
      <c r="M1" s="219" t="s">
        <v>3322</v>
      </c>
      <c r="N1" s="230" t="s">
        <v>175</v>
      </c>
      <c r="O1" s="220" t="s">
        <v>176</v>
      </c>
      <c r="P1" s="221" t="s">
        <v>177</v>
      </c>
      <c r="Q1" s="222" t="s">
        <v>179</v>
      </c>
    </row>
    <row r="2" spans="1:17">
      <c r="A2" s="315" t="s">
        <v>23</v>
      </c>
      <c r="B2" s="316">
        <v>45663</v>
      </c>
      <c r="C2" s="317" t="s">
        <v>726</v>
      </c>
      <c r="D2" s="315" t="s">
        <v>22</v>
      </c>
      <c r="E2" s="316">
        <v>45663</v>
      </c>
      <c r="F2" s="328" t="s">
        <v>830</v>
      </c>
      <c r="G2" s="329">
        <f>(E2 + TIME(LEFT(F2, 2), MID(F2, 3, 2), 0)) - (B2 + TIME(LEFT(C2, 2), MID(C2, 3, 2), 0))</f>
        <v>0.30416666666860692</v>
      </c>
      <c r="H2" s="330" t="s">
        <v>3380</v>
      </c>
      <c r="J2" s="223" t="s">
        <v>23</v>
      </c>
      <c r="K2" s="224">
        <v>45682</v>
      </c>
      <c r="L2" s="225" t="s">
        <v>1197</v>
      </c>
      <c r="M2" s="223" t="s">
        <v>23</v>
      </c>
      <c r="N2" s="224">
        <v>45682</v>
      </c>
      <c r="O2" s="225" t="s">
        <v>3381</v>
      </c>
      <c r="P2" s="226">
        <f t="shared" ref="P2:P7" si="0">(N2 + TIME(LEFT(O2, 2), MID(O2, 3, 2), 0)) - (K2 + TIME(LEFT(L2, 2), MID(L2, 3, 2), 0))</f>
        <v>0.46597222222044365</v>
      </c>
      <c r="Q2" s="330"/>
    </row>
    <row r="3" spans="1:17">
      <c r="A3" s="311" t="s">
        <v>22</v>
      </c>
      <c r="B3" s="312">
        <v>45663</v>
      </c>
      <c r="C3" s="318" t="s">
        <v>977</v>
      </c>
      <c r="D3" s="223" t="s">
        <v>22</v>
      </c>
      <c r="E3" s="312">
        <v>45663</v>
      </c>
      <c r="F3" s="326" t="s">
        <v>629</v>
      </c>
      <c r="G3" s="226">
        <f t="shared" ref="G3:G9" si="1">(E3 + TIME(LEFT(F3, 2), MID(F3, 3, 2), 0)) - (B3 + TIME(LEFT(C3, 2), MID(C3, 3, 2), 0))</f>
        <v>6.5972222226264421E-2</v>
      </c>
      <c r="H3" s="227" t="s">
        <v>3380</v>
      </c>
      <c r="J3" s="223" t="s">
        <v>23</v>
      </c>
      <c r="K3" s="224">
        <v>45683</v>
      </c>
      <c r="L3" s="321" t="s">
        <v>385</v>
      </c>
      <c r="M3" s="223" t="s">
        <v>25</v>
      </c>
      <c r="N3" s="224">
        <v>45683</v>
      </c>
      <c r="O3" s="225" t="s">
        <v>456</v>
      </c>
      <c r="P3" s="226">
        <f t="shared" si="0"/>
        <v>0.48263888888322981</v>
      </c>
      <c r="Q3" s="227"/>
    </row>
    <row r="4" spans="1:17">
      <c r="A4" s="319" t="s">
        <v>23</v>
      </c>
      <c r="B4" s="314">
        <v>45664</v>
      </c>
      <c r="C4" s="320" t="s">
        <v>994</v>
      </c>
      <c r="D4" s="331" t="s">
        <v>25</v>
      </c>
      <c r="E4" s="314">
        <v>45664</v>
      </c>
      <c r="F4" s="313" t="s">
        <v>954</v>
      </c>
      <c r="G4" s="325">
        <f t="shared" si="1"/>
        <v>0.46250000000145519</v>
      </c>
      <c r="H4" s="228"/>
      <c r="J4" s="223" t="s">
        <v>23</v>
      </c>
      <c r="K4" s="224">
        <v>45684</v>
      </c>
      <c r="L4" s="321" t="s">
        <v>825</v>
      </c>
      <c r="M4" s="223" t="s">
        <v>23</v>
      </c>
      <c r="N4" s="224">
        <v>45684</v>
      </c>
      <c r="O4" s="343" t="s">
        <v>939</v>
      </c>
      <c r="P4" s="226">
        <f t="shared" si="0"/>
        <v>0.47499999999854481</v>
      </c>
      <c r="Q4" s="228"/>
    </row>
    <row r="5" spans="1:17">
      <c r="A5" s="223" t="s">
        <v>22</v>
      </c>
      <c r="B5" s="224">
        <v>45670</v>
      </c>
      <c r="C5" s="321" t="s">
        <v>1106</v>
      </c>
      <c r="D5" s="331" t="s">
        <v>22</v>
      </c>
      <c r="E5" s="327">
        <v>45670</v>
      </c>
      <c r="F5" s="313" t="s">
        <v>1178</v>
      </c>
      <c r="G5" s="325">
        <f t="shared" si="1"/>
        <v>0.25347222222626442</v>
      </c>
      <c r="H5" s="228"/>
      <c r="J5" s="223" t="s">
        <v>23</v>
      </c>
      <c r="K5" s="224">
        <v>45685</v>
      </c>
      <c r="L5" s="321" t="s">
        <v>425</v>
      </c>
      <c r="M5" s="223" t="s">
        <v>23</v>
      </c>
      <c r="N5" s="224">
        <v>45685</v>
      </c>
      <c r="O5" s="225" t="s">
        <v>3365</v>
      </c>
      <c r="P5" s="226">
        <f t="shared" si="0"/>
        <v>0.49791666666715173</v>
      </c>
      <c r="Q5" s="228"/>
    </row>
    <row r="6" spans="1:17">
      <c r="A6" s="223" t="s">
        <v>23</v>
      </c>
      <c r="B6" s="224">
        <v>45673</v>
      </c>
      <c r="C6" s="321" t="s">
        <v>381</v>
      </c>
      <c r="D6" s="223" t="s">
        <v>23</v>
      </c>
      <c r="E6" s="224">
        <v>45673</v>
      </c>
      <c r="F6" s="225" t="s">
        <v>3340</v>
      </c>
      <c r="G6" s="325">
        <f t="shared" si="1"/>
        <v>0.34305555556056788</v>
      </c>
      <c r="H6" s="228"/>
      <c r="J6" s="223" t="s">
        <v>24</v>
      </c>
      <c r="K6" s="224">
        <v>45686</v>
      </c>
      <c r="L6" s="321" t="s">
        <v>761</v>
      </c>
      <c r="M6" s="223" t="s">
        <v>23</v>
      </c>
      <c r="N6" s="224">
        <v>45686</v>
      </c>
      <c r="O6" s="225" t="s">
        <v>840</v>
      </c>
      <c r="P6" s="226">
        <f t="shared" si="0"/>
        <v>0.47916666667151731</v>
      </c>
      <c r="Q6" s="228"/>
    </row>
    <row r="7" spans="1:17">
      <c r="A7" s="223" t="s">
        <v>24</v>
      </c>
      <c r="B7" s="224">
        <v>45674</v>
      </c>
      <c r="C7" s="321" t="s">
        <v>316</v>
      </c>
      <c r="D7" s="223" t="s">
        <v>23</v>
      </c>
      <c r="E7" s="224">
        <v>45674</v>
      </c>
      <c r="F7" s="225" t="s">
        <v>1088</v>
      </c>
      <c r="G7" s="325">
        <f t="shared" si="1"/>
        <v>0.28611111111240461</v>
      </c>
      <c r="H7" s="228"/>
      <c r="J7" s="223" t="s">
        <v>23</v>
      </c>
      <c r="K7" s="224">
        <v>45687</v>
      </c>
      <c r="L7" s="321" t="s">
        <v>296</v>
      </c>
      <c r="M7" s="223" t="s">
        <v>23</v>
      </c>
      <c r="N7" s="224">
        <v>45688</v>
      </c>
      <c r="O7" s="225" t="s">
        <v>1161</v>
      </c>
      <c r="P7" s="226">
        <f t="shared" si="0"/>
        <v>0.65416666666715173</v>
      </c>
      <c r="Q7" s="228"/>
    </row>
    <row r="8" spans="1:17">
      <c r="A8" s="223" t="s">
        <v>23</v>
      </c>
      <c r="B8" s="224">
        <v>45677</v>
      </c>
      <c r="C8" s="321" t="s">
        <v>728</v>
      </c>
      <c r="D8" s="223" t="s">
        <v>24</v>
      </c>
      <c r="E8" s="224">
        <v>45677</v>
      </c>
      <c r="F8" s="225" t="s">
        <v>3382</v>
      </c>
      <c r="G8" s="325">
        <f t="shared" si="1"/>
        <v>0.46250000000145519</v>
      </c>
      <c r="H8" s="228"/>
      <c r="J8" s="223" t="s">
        <v>23</v>
      </c>
      <c r="K8" s="224">
        <v>45688</v>
      </c>
      <c r="L8" s="321" t="s">
        <v>1062</v>
      </c>
      <c r="M8" s="223" t="s">
        <v>25</v>
      </c>
      <c r="N8" s="224">
        <v>45691</v>
      </c>
      <c r="O8" s="225" t="s">
        <v>1002</v>
      </c>
      <c r="P8" s="325">
        <f>(N8 + TIME(LEFT(O8, 2), MID(O8, 3, 2), 0)) - (K8 + TIME(LEFT(L8, 2), MID(L8, 3, 2), 0))</f>
        <v>2.8041666666686069</v>
      </c>
      <c r="Q8" s="228"/>
    </row>
    <row r="9" spans="1:17">
      <c r="A9" s="223" t="s">
        <v>25</v>
      </c>
      <c r="B9" s="224">
        <v>45682</v>
      </c>
      <c r="C9" s="335" t="s">
        <v>825</v>
      </c>
      <c r="D9" s="223" t="s">
        <v>23</v>
      </c>
      <c r="E9" s="224">
        <v>45682</v>
      </c>
      <c r="F9" s="225" t="s">
        <v>1197</v>
      </c>
      <c r="G9" s="226">
        <f t="shared" si="1"/>
        <v>0.10069444444525288</v>
      </c>
      <c r="H9" s="228"/>
      <c r="J9" s="223"/>
      <c r="K9" s="224"/>
      <c r="L9" s="335"/>
      <c r="M9" s="223"/>
      <c r="N9" s="224"/>
      <c r="O9" s="225"/>
      <c r="P9" s="226"/>
      <c r="Q9" s="228"/>
    </row>
    <row r="10" spans="1:17">
      <c r="A10" s="223"/>
      <c r="B10" s="224"/>
      <c r="C10" s="335"/>
      <c r="D10" s="223"/>
      <c r="E10" s="224"/>
      <c r="F10" s="225"/>
      <c r="G10" s="226"/>
      <c r="H10" s="228"/>
      <c r="J10" s="223"/>
      <c r="K10" s="224"/>
      <c r="L10" s="335"/>
      <c r="M10" s="223"/>
      <c r="N10" s="224"/>
      <c r="O10" s="225"/>
      <c r="P10" s="226"/>
      <c r="Q10" s="228"/>
    </row>
    <row r="11" spans="1:17">
      <c r="B11" s="223"/>
      <c r="C11" s="224"/>
      <c r="D11" s="321"/>
      <c r="E11" s="223"/>
      <c r="F11" s="224"/>
      <c r="G11" s="225"/>
      <c r="H11" s="226"/>
      <c r="I11" s="228"/>
      <c r="K11"/>
      <c r="N11"/>
    </row>
    <row r="12" spans="1:17">
      <c r="B12" s="223"/>
      <c r="C12" s="224"/>
      <c r="D12" s="321"/>
      <c r="E12" s="223"/>
      <c r="F12" s="224"/>
      <c r="G12" s="343"/>
      <c r="H12" s="226"/>
      <c r="I12" s="228"/>
      <c r="K12"/>
      <c r="N12"/>
    </row>
    <row r="13" spans="1:17">
      <c r="B13" s="223"/>
      <c r="C13" s="224"/>
      <c r="D13" s="321"/>
      <c r="E13" s="223"/>
      <c r="F13" s="224"/>
      <c r="G13" s="225"/>
      <c r="H13" s="226"/>
      <c r="I13" s="228"/>
      <c r="K13"/>
      <c r="N13"/>
    </row>
    <row r="14" spans="1:17">
      <c r="B14" s="223"/>
      <c r="C14" s="224"/>
      <c r="D14" s="321"/>
      <c r="E14" s="223"/>
      <c r="F14" s="224"/>
      <c r="G14" s="225"/>
      <c r="H14" s="226"/>
      <c r="I14" s="228"/>
      <c r="K14"/>
      <c r="N14"/>
    </row>
    <row r="15" spans="1:17">
      <c r="B15" s="223"/>
      <c r="C15" s="224"/>
      <c r="D15" s="321"/>
      <c r="E15" s="223"/>
      <c r="F15" s="224"/>
      <c r="G15" s="225"/>
      <c r="H15" s="226"/>
      <c r="I15" s="228"/>
      <c r="K15"/>
      <c r="N15"/>
    </row>
    <row r="16" spans="1:17" ht="15" thickBot="1">
      <c r="B16" s="322"/>
      <c r="C16" s="323"/>
      <c r="D16" s="324"/>
      <c r="E16" s="322"/>
      <c r="F16" s="323"/>
      <c r="G16" s="332"/>
      <c r="H16" s="333"/>
      <c r="I16" s="334"/>
      <c r="K16"/>
      <c r="N16"/>
    </row>
    <row r="17" spans="2:17">
      <c r="G17" s="229">
        <f>SUM(G1:G10)</f>
        <v>2.2784722222422715</v>
      </c>
      <c r="P17" s="229">
        <f>SUM(P1:P16)</f>
        <v>5.859027777776646</v>
      </c>
    </row>
    <row r="18" spans="2:17" ht="28.9">
      <c r="F18" s="232" t="s">
        <v>3338</v>
      </c>
      <c r="G18" s="229">
        <f>H18-G17</f>
        <v>0.22152777775772847</v>
      </c>
      <c r="H18" s="229">
        <v>2.5</v>
      </c>
      <c r="O18" s="232" t="s">
        <v>3338</v>
      </c>
      <c r="P18" s="229">
        <f>Q18-P17</f>
        <v>-3.359027777776646</v>
      </c>
      <c r="Q18" s="229">
        <v>2.5</v>
      </c>
    </row>
    <row r="19" spans="2:17" ht="28.9">
      <c r="E19"/>
      <c r="F19" s="232" t="s">
        <v>3383</v>
      </c>
      <c r="G19" s="229">
        <f>G18/3</f>
        <v>7.3842592585909486E-2</v>
      </c>
      <c r="N19"/>
      <c r="O19" s="232" t="s">
        <v>3383</v>
      </c>
      <c r="P19" s="229">
        <f>P18/3</f>
        <v>-1.1196759259255487</v>
      </c>
    </row>
    <row r="20" spans="2:17">
      <c r="D20" s="233"/>
      <c r="F20" s="232"/>
      <c r="M20" s="233"/>
      <c r="O20" s="232"/>
    </row>
    <row r="24" spans="2:17">
      <c r="B24" s="84">
        <v>45664</v>
      </c>
      <c r="K24" s="84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651" t="s">
        <v>3272</v>
      </c>
      <c r="D3" s="651" t="s">
        <v>3273</v>
      </c>
      <c r="E3" s="652" t="s">
        <v>3274</v>
      </c>
      <c r="F3" s="648" t="s">
        <v>3275</v>
      </c>
      <c r="G3" s="648" t="s">
        <v>3276</v>
      </c>
      <c r="H3" s="648" t="s">
        <v>3277</v>
      </c>
      <c r="I3" s="653" t="s">
        <v>3278</v>
      </c>
      <c r="J3" s="653" t="s">
        <v>3279</v>
      </c>
      <c r="K3" s="656"/>
      <c r="L3" s="653" t="s">
        <v>3280</v>
      </c>
      <c r="M3" s="656"/>
      <c r="N3" s="651" t="s">
        <v>3368</v>
      </c>
      <c r="O3" s="651"/>
      <c r="P3" s="659" t="s">
        <v>3283</v>
      </c>
      <c r="Q3" s="660"/>
      <c r="R3" s="665" t="s">
        <v>3284</v>
      </c>
      <c r="S3" s="660"/>
      <c r="T3" s="668" t="s">
        <v>3285</v>
      </c>
      <c r="U3" s="669" t="s">
        <v>3286</v>
      </c>
      <c r="V3" s="672" t="s">
        <v>3287</v>
      </c>
      <c r="W3" s="669" t="s">
        <v>3288</v>
      </c>
      <c r="X3" s="668" t="s">
        <v>3289</v>
      </c>
      <c r="Y3" s="652" t="s">
        <v>3290</v>
      </c>
      <c r="Z3" s="652" t="s">
        <v>3291</v>
      </c>
      <c r="AA3" s="652" t="s">
        <v>3292</v>
      </c>
      <c r="AB3" s="130"/>
      <c r="AC3" s="130"/>
      <c r="AD3" s="130"/>
      <c r="AE3" s="155"/>
      <c r="AF3" s="674" t="s">
        <v>119</v>
      </c>
      <c r="AG3" s="676">
        <f ca="1">TODAY()</f>
        <v>45938</v>
      </c>
      <c r="AH3" s="677"/>
      <c r="AI3" s="130"/>
    </row>
    <row r="4" spans="1:37" ht="15" customHeight="1">
      <c r="B4" s="130"/>
      <c r="C4" s="651"/>
      <c r="D4" s="651"/>
      <c r="E4" s="651"/>
      <c r="F4" s="649"/>
      <c r="G4" s="649"/>
      <c r="H4" s="649"/>
      <c r="I4" s="654"/>
      <c r="J4" s="654"/>
      <c r="K4" s="657"/>
      <c r="L4" s="654"/>
      <c r="M4" s="657"/>
      <c r="N4" s="651"/>
      <c r="O4" s="651"/>
      <c r="P4" s="661"/>
      <c r="Q4" s="662"/>
      <c r="R4" s="666"/>
      <c r="S4" s="662"/>
      <c r="T4" s="649"/>
      <c r="U4" s="670"/>
      <c r="V4" s="673"/>
      <c r="W4" s="670"/>
      <c r="X4" s="649"/>
      <c r="Y4" s="651"/>
      <c r="Z4" s="651"/>
      <c r="AA4" s="651"/>
      <c r="AB4" s="130"/>
      <c r="AC4" s="130"/>
      <c r="AD4" s="130"/>
      <c r="AE4" s="164" t="s">
        <v>3293</v>
      </c>
      <c r="AF4" s="675"/>
      <c r="AG4" s="678"/>
      <c r="AH4" s="679"/>
      <c r="AI4" s="130"/>
    </row>
    <row r="5" spans="1:37" ht="15" customHeight="1">
      <c r="B5" s="130"/>
      <c r="C5" s="651"/>
      <c r="D5" s="651"/>
      <c r="E5" s="651"/>
      <c r="F5" s="649"/>
      <c r="G5" s="649"/>
      <c r="H5" s="649"/>
      <c r="I5" s="654"/>
      <c r="J5" s="655"/>
      <c r="K5" s="658"/>
      <c r="L5" s="655"/>
      <c r="M5" s="658"/>
      <c r="N5" s="651"/>
      <c r="O5" s="651"/>
      <c r="P5" s="663"/>
      <c r="Q5" s="664"/>
      <c r="R5" s="667"/>
      <c r="S5" s="664"/>
      <c r="T5" s="649"/>
      <c r="U5" s="670"/>
      <c r="V5" s="673"/>
      <c r="W5" s="670"/>
      <c r="X5" s="649"/>
      <c r="Y5" s="651"/>
      <c r="Z5" s="651"/>
      <c r="AA5" s="651"/>
      <c r="AB5" s="130"/>
      <c r="AC5" s="130"/>
      <c r="AD5" s="130"/>
      <c r="AE5" s="155"/>
      <c r="AF5" s="674" t="s">
        <v>3294</v>
      </c>
      <c r="AG5" s="680" t="str">
        <f ca="1">IF(_xlfn.NUMBERVALUE(TEXT(NOW(), "H")) &lt; 12,"0000h","1200h")</f>
        <v>1200h</v>
      </c>
      <c r="AH5" s="681"/>
      <c r="AI5" s="130"/>
      <c r="AJ5" s="75"/>
    </row>
    <row r="6" spans="1:37">
      <c r="B6" s="130"/>
      <c r="C6" s="651"/>
      <c r="D6" s="651"/>
      <c r="E6" s="651"/>
      <c r="F6" s="650"/>
      <c r="G6" s="650"/>
      <c r="H6" s="650"/>
      <c r="I6" s="655"/>
      <c r="J6" s="153" t="s">
        <v>3295</v>
      </c>
      <c r="K6" s="153" t="s">
        <v>3296</v>
      </c>
      <c r="L6" s="153" t="s">
        <v>3295</v>
      </c>
      <c r="M6" s="153" t="s">
        <v>3296</v>
      </c>
      <c r="N6" s="153" t="s">
        <v>3295</v>
      </c>
      <c r="O6" s="153" t="s">
        <v>3296</v>
      </c>
      <c r="P6" s="174" t="s">
        <v>3295</v>
      </c>
      <c r="Q6" s="153" t="s">
        <v>3296</v>
      </c>
      <c r="R6" s="153" t="s">
        <v>3295</v>
      </c>
      <c r="S6" s="153" t="s">
        <v>3296</v>
      </c>
      <c r="T6" s="650"/>
      <c r="U6" s="671"/>
      <c r="V6" s="673"/>
      <c r="W6" s="671"/>
      <c r="X6" s="650"/>
      <c r="Y6" s="651"/>
      <c r="Z6" s="651"/>
      <c r="AA6" s="651"/>
      <c r="AB6" s="130"/>
      <c r="AC6" s="130"/>
      <c r="AD6" s="130"/>
      <c r="AE6" s="130"/>
      <c r="AF6" s="675"/>
      <c r="AG6" s="682"/>
      <c r="AH6" s="683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3297</v>
      </c>
      <c r="D9" s="183">
        <f>11896</f>
        <v>11896</v>
      </c>
      <c r="E9" s="391">
        <f>D9*11+(20*24*24)</f>
        <v>142376</v>
      </c>
      <c r="F9" s="146">
        <v>45713</v>
      </c>
      <c r="G9" s="147" t="s">
        <v>1197</v>
      </c>
      <c r="H9" s="184">
        <f ca="1" xml:space="preserve"> NOW() - (F9 + TIME(LEFT($G$9, 2), MID($G$9, 3, 2), 0))</f>
        <v>225.1931380787064</v>
      </c>
      <c r="I9" s="185">
        <f ca="1">((DATE(YEAR(F9),MONTH(F9)+1,25)) + TIME(LEFT("1200H", 2), MID("1200H", 3, 2), 0)) - ($AG$3 + TIME(LEFT(NOW(), 2), MID(NOW(), 3, 2), 0))</f>
        <v>-197.43958333333285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420.59999999999997</v>
      </c>
      <c r="V9" s="183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361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92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0"/>
      <c r="AC9" s="129" t="s">
        <v>3298</v>
      </c>
      <c r="AD9" s="684" t="e">
        <f ca="1">$Z$9/$E$9</f>
        <v>#N/A</v>
      </c>
      <c r="AE9" s="685"/>
      <c r="AF9" s="685"/>
      <c r="AG9" s="686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386"/>
      <c r="W10" s="136"/>
      <c r="X10" s="190"/>
      <c r="Y10" s="136"/>
      <c r="Z10" s="372"/>
      <c r="AA10" s="366"/>
      <c r="AB10" s="130"/>
      <c r="AC10" s="129"/>
      <c r="AD10" s="687"/>
      <c r="AE10" s="688"/>
      <c r="AF10" s="688"/>
      <c r="AG10" s="689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386"/>
      <c r="W11" s="136"/>
      <c r="X11" s="190"/>
      <c r="Y11" s="136"/>
      <c r="Z11" s="372"/>
      <c r="AA11" s="366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66"/>
      <c r="AB12" s="130"/>
      <c r="AC12" s="129" t="s">
        <v>3299</v>
      </c>
      <c r="AD12" s="684" t="e">
        <f ca="1">$AA$9/$D$9</f>
        <v>#N/A</v>
      </c>
      <c r="AE12" s="685"/>
      <c r="AF12" s="685"/>
      <c r="AG12" s="686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386"/>
      <c r="W13" s="136"/>
      <c r="X13" s="190"/>
      <c r="Y13" s="136"/>
      <c r="Z13" s="372"/>
      <c r="AA13" s="366"/>
      <c r="AB13" s="130"/>
      <c r="AC13" s="120"/>
      <c r="AD13" s="687"/>
      <c r="AE13" s="688"/>
      <c r="AF13" s="688"/>
      <c r="AG13" s="689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387"/>
      <c r="W14" s="139"/>
      <c r="X14" s="160"/>
      <c r="Y14" s="139"/>
      <c r="Z14" s="373"/>
      <c r="AA14" s="367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388"/>
      <c r="W15" s="131"/>
      <c r="X15" s="161"/>
      <c r="Y15" s="131"/>
      <c r="Z15" s="368"/>
      <c r="AA15" s="368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389"/>
      <c r="W16" s="141"/>
      <c r="X16" s="162"/>
      <c r="Y16" s="197"/>
      <c r="Z16" s="374"/>
      <c r="AA16" s="369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3301</v>
      </c>
      <c r="D17" s="394">
        <f>56696/365*30</f>
        <v>4659.9452054794519</v>
      </c>
      <c r="E17" s="394">
        <f>56696</f>
        <v>56696</v>
      </c>
      <c r="F17" s="146">
        <v>45713</v>
      </c>
      <c r="G17" s="147" t="s">
        <v>1197</v>
      </c>
      <c r="H17" s="184">
        <f ca="1" xml:space="preserve"> NOW() - (F17 + TIME(LEFT($G$17, 2), MID($G$17, 3, 2), 0))</f>
        <v>225.1931380787064</v>
      </c>
      <c r="I17" s="185">
        <f ca="1">((DATE(YEAR(F17),MONTH(F17)+1,25)) + TIME(LEFT("1200H", 2), MID("1200H", 3, 2), 0)) - ($AG$3 + TIME(LEFT(NOW(), 2), MID(NOW(), 3, 2), 0))</f>
        <v>-197.43958333333285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141.99999999999997</v>
      </c>
      <c r="V17" s="183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375" t="e">
        <f ca="1">Z20+Z21</f>
        <v>#N/A</v>
      </c>
      <c r="AA17" s="392" t="e">
        <f ca="1">AA20+AA21</f>
        <v>#N/A</v>
      </c>
      <c r="AB17" s="130"/>
      <c r="AC17" s="129" t="s">
        <v>3298</v>
      </c>
      <c r="AD17" s="684" t="e">
        <f ca="1">$Z$17/$E$17</f>
        <v>#N/A</v>
      </c>
      <c r="AE17" s="685"/>
      <c r="AF17" s="685"/>
      <c r="AG17" s="686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167</v>
      </c>
      <c r="P18" s="183"/>
      <c r="Q18" s="183"/>
      <c r="R18" s="183"/>
      <c r="S18" s="183"/>
      <c r="T18" s="190"/>
      <c r="U18" s="136"/>
      <c r="V18" s="386"/>
      <c r="W18" s="136"/>
      <c r="X18" s="190"/>
      <c r="Y18" s="136"/>
      <c r="Z18" s="376"/>
      <c r="AA18" s="370"/>
      <c r="AB18" s="130"/>
      <c r="AC18" s="129"/>
      <c r="AD18" s="687"/>
      <c r="AE18" s="688"/>
      <c r="AF18" s="688"/>
      <c r="AG18" s="689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386"/>
      <c r="W19" s="136"/>
      <c r="X19" s="190"/>
      <c r="Y19" s="136"/>
      <c r="Z19" s="376"/>
      <c r="AA19" s="370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139</v>
      </c>
      <c r="D20" s="136"/>
      <c r="E20" s="136"/>
      <c r="F20" s="194"/>
      <c r="G20" s="195"/>
      <c r="H20" s="196"/>
      <c r="I20" s="196"/>
      <c r="J20" s="361">
        <v>73997.59</v>
      </c>
      <c r="K20" s="361">
        <v>901.18</v>
      </c>
      <c r="L20" s="361">
        <v>73997.59</v>
      </c>
      <c r="M20" s="361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91.59999999999998</v>
      </c>
      <c r="V20" s="183"/>
      <c r="W20" s="187"/>
      <c r="X20" s="190"/>
      <c r="Y20" s="181"/>
      <c r="Z20" s="377" t="e">
        <f ca="1">(((((INDEX(BILLING!$H:$H,MATCH($AG$3&amp;" "&amp;$AG$5,BILLING!$C:$C,0))-L20)*$D$60)-
((INDEX(BILLING!$I:$I,MATCH($AG$3&amp;" "&amp;$AG$5,BILLING!$C:$C,0))-M20)*$D$60))))/1000</f>
        <v>#N/A</v>
      </c>
      <c r="AA20" s="365" t="e">
        <f ca="1">(((((INDEX(BILLING!$H:$H,MATCH($AG$3&amp;" "&amp;$AG$5,BILLING!$C:$C,0))-R20)*$D$60)-
((INDEX(BILLING!$I:$I,MATCH($AG$3&amp;" "&amp;$AG$5,BILLING!$C:$C,0))-S20)*$D$60))))/1000</f>
        <v>#N/A</v>
      </c>
      <c r="AB20" s="130"/>
      <c r="AC20" s="129" t="s">
        <v>3299</v>
      </c>
      <c r="AD20" s="684" t="e">
        <f ca="1">$AA$17/$D$17</f>
        <v>#N/A</v>
      </c>
      <c r="AE20" s="685"/>
      <c r="AF20" s="685"/>
      <c r="AG20" s="686"/>
      <c r="AH20" s="122"/>
      <c r="AI20" s="130"/>
    </row>
    <row r="21" spans="2:37" ht="15.75" customHeight="1" thickBot="1">
      <c r="B21" s="130"/>
      <c r="C21" s="129" t="s">
        <v>140</v>
      </c>
      <c r="D21" s="136"/>
      <c r="E21" s="136"/>
      <c r="F21" s="194"/>
      <c r="G21" s="195"/>
      <c r="H21" s="196"/>
      <c r="I21" s="196"/>
      <c r="J21" s="361">
        <v>33090.730000000003</v>
      </c>
      <c r="K21" s="361">
        <v>104.01</v>
      </c>
      <c r="L21" s="361">
        <v>33090.730000000003</v>
      </c>
      <c r="M21" s="361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50.4</v>
      </c>
      <c r="V21" s="183"/>
      <c r="W21" s="187"/>
      <c r="X21" s="190"/>
      <c r="Y21" s="181"/>
      <c r="Z21" s="377" t="e">
        <f ca="1">(((((INDEX(BILLING!$J:$J,MATCH($AG$3&amp;" "&amp;$AG$5,BILLING!$C:$C,0))-L21)*$D$61)-
((INDEX(BILLING!$K:$K,MATCH($AG$3&amp;" "&amp;$AG$5,BILLING!$C:$C,0))-M21)*$D$61))))/1000</f>
        <v>#N/A</v>
      </c>
      <c r="AA21" s="365" t="e">
        <f ca="1">(((((INDEX(BILLING!$J:$J,MATCH($AG$3&amp;" "&amp;$AG$5,BILLING!$C:$C,0))-R21)*$D$61)-
((INDEX(BILLING!$K:$K,MATCH($AG$3&amp;" "&amp;$AG$5,BILLING!$C:$C,0))-S21)*$D$61))))/1000</f>
        <v>#N/A</v>
      </c>
      <c r="AB21" s="130"/>
      <c r="AC21" s="129"/>
      <c r="AD21" s="687"/>
      <c r="AE21" s="688"/>
      <c r="AF21" s="688"/>
      <c r="AG21" s="689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387"/>
      <c r="W22" s="139"/>
      <c r="X22" s="160"/>
      <c r="Y22" s="139"/>
      <c r="Z22" s="373"/>
      <c r="AA22" s="367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390"/>
      <c r="W23" s="143"/>
      <c r="X23" s="163"/>
      <c r="Y23" s="143"/>
      <c r="Z23" s="371"/>
      <c r="AA23" s="371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389"/>
      <c r="W24" s="141"/>
      <c r="X24" s="162"/>
      <c r="Y24" s="141"/>
      <c r="Z24" s="374"/>
      <c r="AA24" s="369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3302</v>
      </c>
      <c r="D25" s="193">
        <f>E25/12</f>
        <v>15000</v>
      </c>
      <c r="E25" s="183">
        <v>180000</v>
      </c>
      <c r="F25" s="146">
        <v>45713</v>
      </c>
      <c r="G25" s="147" t="s">
        <v>1197</v>
      </c>
      <c r="H25" s="184">
        <f ca="1" xml:space="preserve"> NOW() - (F25 + TIME(LEFT($G$25, 2), MID($G$25, 3, 2), 0))</f>
        <v>225.1931380787064</v>
      </c>
      <c r="I25" s="185">
        <f ca="1">((DATE(YEAR(F25),MONTH(F25)+1,25)) + TIME(LEFT("1200H", 2), MID("1200H", 3, 2), 0)) - ($AG$3 + TIME(LEFT(NOW(), 2), MID(NOW(), 3, 2), 0))</f>
        <v>-197.43958333333285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166.79999999999995</v>
      </c>
      <c r="V25" s="183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375" t="e">
        <f ca="1">SUM(Z28:Z33)</f>
        <v>#N/A</v>
      </c>
      <c r="AA25" s="392" t="e">
        <f ca="1">SUM(AA28:AA33)</f>
        <v>#N/A</v>
      </c>
      <c r="AB25" s="130"/>
      <c r="AC25" s="129" t="s">
        <v>3298</v>
      </c>
      <c r="AD25" s="684" t="e">
        <f ca="1">Z25/$E$25</f>
        <v>#N/A</v>
      </c>
      <c r="AE25" s="685"/>
      <c r="AF25" s="685"/>
      <c r="AG25" s="686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3303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386"/>
      <c r="W26" s="136"/>
      <c r="X26" s="190"/>
      <c r="Y26" s="136"/>
      <c r="Z26" s="376"/>
      <c r="AA26" s="370"/>
      <c r="AB26" s="130"/>
      <c r="AC26" s="129"/>
      <c r="AD26" s="687"/>
      <c r="AE26" s="688"/>
      <c r="AF26" s="688"/>
      <c r="AG26" s="689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386"/>
      <c r="W27" s="136"/>
      <c r="X27" s="190"/>
      <c r="Y27" s="136"/>
      <c r="Z27" s="376"/>
      <c r="AA27" s="370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3251</v>
      </c>
      <c r="D28" s="136"/>
      <c r="E28" s="136"/>
      <c r="F28" s="194"/>
      <c r="G28" s="195"/>
      <c r="H28" s="196"/>
      <c r="I28" s="196"/>
      <c r="J28" s="361">
        <v>33080.6</v>
      </c>
      <c r="K28" s="361">
        <v>28.9</v>
      </c>
      <c r="L28" s="183"/>
      <c r="M28" s="183"/>
      <c r="N28" s="360">
        <v>29305.9</v>
      </c>
      <c r="O28" s="360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75.199999999999989</v>
      </c>
      <c r="V28" s="183"/>
      <c r="W28" s="187"/>
      <c r="X28" s="190"/>
      <c r="Y28" s="181" t="e">
        <f ca="1">(((((INDEX(BILLING!$N:$N,MATCH($AG$3&amp;" "&amp;$AG$5,BILLING!$C:$C,0))-N28)*$D$59)-
((INDEX(BILLING!$O:$O,MATCH($AG$3&amp;" "&amp;$AG$5,BILLING!$C:$C,0))-O28)*$D$59))))/1000</f>
        <v>#N/A</v>
      </c>
      <c r="Z28" s="377" t="e">
        <f ca="1">(((((INDEX(BILLING!$N:$N,MATCH($AG$3&amp;" "&amp;$AG$5,BILLING!$C:$C,0))-J28)*$D$59)-
((INDEX(BILLING!$O:$O,MATCH($AG$3&amp;" "&amp;$AG$5,BILLING!$C:$C,0))-K28)*$D$59))))/1000</f>
        <v>#N/A</v>
      </c>
      <c r="AA28" s="365" t="e">
        <f ca="1">(((((INDEX(BILLING!$N:$N,MATCH($AG$3&amp;" "&amp;$AG$5,BILLING!$C:$C,0))-P28)*$D$59)-
((INDEX(BILLING!$O:$O,MATCH($AG$3&amp;" "&amp;$AG$5,BILLING!$C:$C,0))-Q28)*$D$59))))/1000</f>
        <v>#N/A</v>
      </c>
      <c r="AB28" s="130"/>
      <c r="AC28" s="129" t="s">
        <v>3299</v>
      </c>
      <c r="AD28" s="684" t="e">
        <f ca="1">$AA$25/$D$25</f>
        <v>#N/A</v>
      </c>
      <c r="AE28" s="685"/>
      <c r="AF28" s="685"/>
      <c r="AG28" s="686"/>
      <c r="AH28" s="122"/>
      <c r="AI28" s="130"/>
    </row>
    <row r="29" spans="2:37" ht="15.75" customHeight="1" thickBot="1">
      <c r="B29" s="130"/>
      <c r="C29" s="129" t="s">
        <v>124</v>
      </c>
      <c r="D29" s="136"/>
      <c r="E29" s="136"/>
      <c r="F29" s="194"/>
      <c r="G29" s="195"/>
      <c r="H29" s="196"/>
      <c r="I29" s="196"/>
      <c r="J29" s="361">
        <v>5715.03</v>
      </c>
      <c r="K29" s="361">
        <v>15.78</v>
      </c>
      <c r="L29" s="183"/>
      <c r="M29" s="183"/>
      <c r="N29" s="360">
        <v>1943.35</v>
      </c>
      <c r="O29" s="360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0</v>
      </c>
      <c r="V29" s="183"/>
      <c r="W29" s="187"/>
      <c r="X29" s="190"/>
      <c r="Y29" s="181" t="e">
        <f ca="1">(((((INDEX(BILLING!$L:$L,MATCH($AG$3&amp;" "&amp;$AG$5,BILLING!$C:$C,0))-N29)*$D$58)-
((INDEX(BILLING!$M:$M,MATCH($AG$3&amp;" "&amp;$AG$5,BILLING!$C:$C,0))-O29)*$D$58))))/1000</f>
        <v>#N/A</v>
      </c>
      <c r="Z29" s="377" t="e">
        <f ca="1">(((((INDEX(BILLING!$L:$L,MATCH($AG$3&amp;" "&amp;$AG$5,BILLING!$C:$C,0))-J29)*$D$58)-
((INDEX(BILLING!$M:$M,MATCH($AG$3&amp;" "&amp;$AG$5,BILLING!$C:$C,0))-K29)*$D$58))))/1000</f>
        <v>#N/A</v>
      </c>
      <c r="AA29" s="365" t="e">
        <f ca="1">(((((INDEX(BILLING!$L:$L,MATCH($AG$3&amp;" "&amp;$AG$5,BILLING!$C:$C,0))-P29)*$D$58)-
((INDEX(BILLING!$M:$M,MATCH($AG$3&amp;" "&amp;$AG$5,BILLING!$C:$C,0))-Q29)*$D$58))))/1000</f>
        <v>#N/A</v>
      </c>
      <c r="AB29" s="130"/>
      <c r="AC29" s="129"/>
      <c r="AD29" s="687"/>
      <c r="AE29" s="688"/>
      <c r="AF29" s="688"/>
      <c r="AG29" s="689"/>
      <c r="AH29" s="122"/>
      <c r="AI29" s="130"/>
    </row>
    <row r="30" spans="2:37" ht="15.75" customHeight="1">
      <c r="B30" s="130"/>
      <c r="C30" s="129" t="s">
        <v>3371</v>
      </c>
      <c r="D30" s="136"/>
      <c r="E30" s="136"/>
      <c r="F30" s="136"/>
      <c r="G30" s="136"/>
      <c r="H30" s="136"/>
      <c r="I30" s="136"/>
      <c r="J30" s="183"/>
      <c r="K30" s="183"/>
      <c r="L30" s="361">
        <v>256.12</v>
      </c>
      <c r="M30" s="361">
        <v>0.15</v>
      </c>
      <c r="N30" s="360">
        <v>0</v>
      </c>
      <c r="O30" s="360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 t="e">
        <f ca="1">(((((INDEX(BILLING!$V:$V,MATCH($AG$3&amp;" "&amp;$AG$5,BILLING!$C:$C,0))-N30)*$D$62)-
((INDEX(BILLING!$W:$W,MATCH($AG$3&amp;" "&amp;$AG$5,BILLING!$C:$C,0))-O30)*$D$62))))/1000</f>
        <v>#N/A</v>
      </c>
      <c r="Z30" s="182" t="e">
        <f ca="1">(((((INDEX(BILLING!$V:$V,MATCH($AG$3&amp;" "&amp;$AG$5,BILLING!$C:$C,0))-L30)*$D$62)-
((INDEX(BILLING!$W:$W,MATCH($AG$3&amp;" "&amp;$AG$5,BILLING!$C:$C,0))-M30)*$D$62))))/1000</f>
        <v>#N/A</v>
      </c>
      <c r="AA30" s="172" t="e">
        <f ca="1">(((((INDEX(BILLING!$V:$V,MATCH($AG$3&amp;" "&amp;$AG$5,BILLING!$C:$C,0))-R30)*$D$62)-
((INDEX(BILLING!$W:$W,MATCH($AG$3&amp;" "&amp;$AG$5,BILLING!$C:$C,0))-S30)*$D$62))))/1000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126</v>
      </c>
      <c r="D31" s="136"/>
      <c r="E31" s="136"/>
      <c r="F31" s="136"/>
      <c r="G31" s="136"/>
      <c r="H31" s="136"/>
      <c r="I31" s="136"/>
      <c r="J31" s="183"/>
      <c r="K31" s="183"/>
      <c r="L31" s="361">
        <v>36029.69</v>
      </c>
      <c r="M31" s="361">
        <v>69</v>
      </c>
      <c r="N31" s="360">
        <v>31295</v>
      </c>
      <c r="O31" s="360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91.59999999999998</v>
      </c>
      <c r="V31" s="183"/>
      <c r="W31" s="187"/>
      <c r="X31" s="190"/>
      <c r="Y31" s="181" t="e">
        <f ca="1">(((((INDEX(BILLING!$T:$T,MATCH($AG$3&amp;" "&amp;$AG$5,BILLING!$C:$C,0))-N31)*$D$56)-
((INDEX(BILLING!$U:$U,MATCH($AG$3&amp;" "&amp;$AG$5,BILLING!$C:$C,0))-O31)*$D$56))))/1000</f>
        <v>#N/A</v>
      </c>
      <c r="Z31" s="377" t="e">
        <f ca="1">(((((INDEX(BILLING!$T:$T,MATCH($AG$3&amp;" "&amp;$AG$5,BILLING!$C:$C,0))-L31)*$D$56)-
((INDEX(BILLING!$U:$U,MATCH($AG$3&amp;" "&amp;$AG$5,BILLING!$C:$C,0))-M31)*$D$56))))/1000</f>
        <v>#N/A</v>
      </c>
      <c r="AA31" s="365" t="e">
        <f ca="1">(((((INDEX(BILLING!$T:$T,MATCH($AG$3&amp;" "&amp;$AG$5,BILLING!$C:$C,0))-R31)*$D$56)-
((INDEX(BILLING!$U:$U,MATCH($AG$3&amp;" "&amp;$AG$5,BILLING!$C:$C,0))-S31)*$D$56))))/1000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34</v>
      </c>
      <c r="D32" s="136"/>
      <c r="E32" s="136"/>
      <c r="F32" s="136"/>
      <c r="G32" s="136"/>
      <c r="H32" s="136"/>
      <c r="I32" s="136"/>
      <c r="J32" s="183"/>
      <c r="K32" s="183"/>
      <c r="L32" s="361">
        <v>54159</v>
      </c>
      <c r="M32" s="361">
        <v>79</v>
      </c>
      <c r="N32" s="136"/>
      <c r="O32" s="136"/>
      <c r="P32" s="183"/>
      <c r="Q32" s="183"/>
      <c r="R32" s="362">
        <f>INDEX(BILLING!$Z:$Z,MATCH($F25&amp;" "&amp;$G25,BILLING!$C:$C,0))</f>
        <v>54169</v>
      </c>
      <c r="S32" s="362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77" t="e">
        <f ca="1">(((((INDEX(BILLING!$Z:$Z,MATCH($AG$3&amp;" "&amp;$AG$5,BILLING!$C:$C,0))-L32)*$D$64)-
((INDEX(BILLING!$AA:$AA,MATCH($AG$3&amp;" "&amp;$AG$5,BILLING!$C:$C,0))-M32)*$D$64))))/1000</f>
        <v>#N/A</v>
      </c>
      <c r="AA32" s="365" t="e">
        <f ca="1">(((((INDEX(BILLING!$Z:$Z,MATCH($AG$3&amp;" "&amp;$AG$5,BILLING!$C:$C,0))-R32)*$D$64)-
((INDEX(BILLING!$AA:$AA,MATCH($AG$3&amp;" "&amp;$AG$5,BILLING!$C:$C,0))-S32)*$D$64))))/1000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>
      <c r="B33" s="130"/>
      <c r="C33" s="129" t="s">
        <v>3384</v>
      </c>
      <c r="D33" s="136"/>
      <c r="E33" s="136"/>
      <c r="F33" s="136"/>
      <c r="G33" s="136"/>
      <c r="H33" s="136"/>
      <c r="I33" s="136"/>
      <c r="J33" s="183"/>
      <c r="K33" s="183"/>
      <c r="L33" s="361">
        <v>0</v>
      </c>
      <c r="M33" s="361">
        <v>0</v>
      </c>
      <c r="N33" s="136"/>
      <c r="O33" s="136"/>
      <c r="P33" s="183"/>
      <c r="Q33" s="183"/>
      <c r="R33" s="362">
        <f>INDEX(BILLING!$AB:$AB,MATCH($F25&amp;" "&amp;$G25,BILLING!$C:$C,0))</f>
        <v>153.58000000000001</v>
      </c>
      <c r="S33" s="362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77" t="e">
        <f ca="1">(((((INDEX(BILLING!$AB:$AB,MATCH($AG$3&amp;" "&amp;$AG$5,BILLING!$C:$C,0))-L33)*$D$63)-
((INDEX(BILLING!$AC:$AC,MATCH($AG$3&amp;" "&amp;$AG$5,BILLING!$C:$C,0))-M33)*$D$63))))/1000</f>
        <v>#N/A</v>
      </c>
      <c r="AA33" s="365" t="e">
        <f ca="1">(((((INDEX(BILLING!$AB:$AB,MATCH($AG$3&amp;" "&amp;$AG$5,BILLING!$C:$C,0))-R33)*$D$63)-
((INDEX(BILLING!$AC:$AC,MATCH($AG$3&amp;" "&amp;$AG$5,BILLING!$C:$C,0))-S33)*$D$63))))/1000</f>
        <v>#N/A</v>
      </c>
      <c r="AB33" s="130"/>
      <c r="AC33" s="129"/>
      <c r="AD33" s="158"/>
      <c r="AE33" s="158"/>
      <c r="AF33" s="158"/>
      <c r="AG33" s="158"/>
      <c r="AH33" s="122"/>
      <c r="AI33" s="130"/>
    </row>
    <row r="34" spans="2:37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387"/>
      <c r="W34" s="139"/>
      <c r="X34" s="160"/>
      <c r="Y34" s="139"/>
      <c r="Z34" s="373"/>
      <c r="AA34" s="367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390"/>
      <c r="W35" s="143"/>
      <c r="X35" s="163"/>
      <c r="Y35" s="143"/>
      <c r="Z35" s="371"/>
      <c r="AA35" s="371"/>
      <c r="AB35" s="130"/>
      <c r="AC35" s="130"/>
      <c r="AD35" s="130"/>
      <c r="AE35" s="130"/>
      <c r="AF35" s="130"/>
      <c r="AG35" s="130"/>
      <c r="AH35" s="130"/>
      <c r="AI35" s="130"/>
    </row>
    <row r="36" spans="2:37" ht="15" thickBot="1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389"/>
      <c r="W36" s="141"/>
      <c r="X36" s="162"/>
      <c r="Y36" s="141"/>
      <c r="Z36" s="374"/>
      <c r="AA36" s="369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>
      <c r="B37" s="130"/>
      <c r="C37" s="149" t="s">
        <v>3305</v>
      </c>
      <c r="D37" s="183">
        <f>4686</f>
        <v>4686</v>
      </c>
      <c r="E37" s="183">
        <f>D37*12</f>
        <v>56232</v>
      </c>
      <c r="F37" s="146">
        <v>45713</v>
      </c>
      <c r="G37" s="147" t="s">
        <v>1197</v>
      </c>
      <c r="H37" s="184">
        <f ca="1" xml:space="preserve"> NOW() - (F37 + TIME(LEFT($G$37, 2), MID($G$37, 3, 2), 0))</f>
        <v>225.1931380787064</v>
      </c>
      <c r="I37" s="185">
        <f ca="1">((DATE(YEAR(F37),MONTH(F37)+1,25)) + TIME(LEFT("1200H", 2), MID("1200H", 3, 2), 0)) - ($AG$3 + TIME(LEFT(NOW(), 2), MID(NOW(), 3, 2), 0))</f>
        <v>-197.43958333333285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0</v>
      </c>
      <c r="V37" s="183" t="e">
        <f ca="1">AA37+U37</f>
        <v>#N/A</v>
      </c>
      <c r="W37" s="188" t="e">
        <f ca="1">V37/H37/24</f>
        <v>#N/A</v>
      </c>
      <c r="X37" s="189" t="e">
        <f ca="1">AA37/H37/24</f>
        <v>#N/A</v>
      </c>
      <c r="Y37" s="198"/>
      <c r="Z37" s="375" t="e">
        <f ca="1">SUM(Z40:Z42)</f>
        <v>#N/A</v>
      </c>
      <c r="AA37" s="392" t="e">
        <f ca="1">SUM(AA40:AA42)</f>
        <v>#N/A</v>
      </c>
      <c r="AB37" s="130"/>
      <c r="AC37" s="129" t="s">
        <v>3298</v>
      </c>
      <c r="AD37" s="684" t="e">
        <f ca="1">Z37/$E$37</f>
        <v>#N/A</v>
      </c>
      <c r="AE37" s="685"/>
      <c r="AF37" s="685"/>
      <c r="AG37" s="686"/>
      <c r="AH37" s="122"/>
      <c r="AI37" s="130"/>
      <c r="AK37" s="203" t="e">
        <f ca="1">(E37-Z37)/67/24</f>
        <v>#N/A</v>
      </c>
    </row>
    <row r="38" spans="2:37" ht="15.75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76"/>
      <c r="AA38" s="370"/>
      <c r="AB38" s="130"/>
      <c r="AC38" s="129"/>
      <c r="AD38" s="687"/>
      <c r="AE38" s="688"/>
      <c r="AF38" s="688"/>
      <c r="AG38" s="689"/>
      <c r="AH38" s="122"/>
      <c r="AI38" s="130"/>
    </row>
    <row r="39" spans="2:37" ht="8.1" customHeight="1" thickBot="1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76"/>
      <c r="AA39" s="370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>
      <c r="B40" s="130"/>
      <c r="C40" s="129" t="s">
        <v>125</v>
      </c>
      <c r="D40" s="136"/>
      <c r="E40" s="136"/>
      <c r="F40" s="136"/>
      <c r="G40" s="136"/>
      <c r="H40" s="136"/>
      <c r="I40" s="136"/>
      <c r="J40" s="361">
        <v>618.5</v>
      </c>
      <c r="K40" s="361">
        <v>690.33</v>
      </c>
      <c r="L40" s="361">
        <v>10051.18</v>
      </c>
      <c r="M40" s="361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0</v>
      </c>
      <c r="V40" s="187"/>
      <c r="W40" s="187"/>
      <c r="X40" s="190"/>
      <c r="Y40" s="181"/>
      <c r="Z40" s="377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365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0"/>
      <c r="AC40" s="129" t="s">
        <v>3299</v>
      </c>
      <c r="AD40" s="684" t="e">
        <f ca="1">$AA$37/$D$37</f>
        <v>#N/A</v>
      </c>
      <c r="AE40" s="685"/>
      <c r="AF40" s="685"/>
      <c r="AG40" s="686"/>
      <c r="AH40" s="122"/>
      <c r="AI40" s="130"/>
    </row>
    <row r="41" spans="2:37" ht="15.75" customHeight="1" thickBot="1">
      <c r="B41" s="130"/>
      <c r="C41" s="129" t="s">
        <v>127</v>
      </c>
      <c r="D41" s="136"/>
      <c r="E41" s="136"/>
      <c r="F41" s="136"/>
      <c r="G41" s="136"/>
      <c r="H41" s="136"/>
      <c r="I41" s="136"/>
      <c r="J41" s="360"/>
      <c r="K41" s="360"/>
      <c r="L41" s="361">
        <v>6636.53</v>
      </c>
      <c r="M41" s="361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0</v>
      </c>
      <c r="V41" s="187"/>
      <c r="W41" s="187"/>
      <c r="X41" s="190"/>
      <c r="Y41" s="182"/>
      <c r="Z41" s="377" t="e">
        <f ca="1">(((((INDEX(BILLING!$X:$X,MATCH($AG$3&amp;" "&amp;$AG$5,BILLING!$C:$C,0))-L41)*$D$57)-
((INDEX(BILLING!$Y:$Y,MATCH($AG$3&amp;" "&amp;$AG$5,BILLING!$C:$C,0))-M41)*$D$57))))/1000</f>
        <v>#N/A</v>
      </c>
      <c r="AA41" s="365" t="e">
        <f ca="1">(((((INDEX(BILLING!$X:$X,MATCH($AG$3&amp;" "&amp;$AG$5,BILLING!$C:$C,0))-R41)*$D$57)-
((INDEX(BILLING!$Y:$Y,MATCH($AG$3&amp;" "&amp;$AG$5,BILLING!$C:$C,0))-S41)*$D$57))))/1000</f>
        <v>#N/A</v>
      </c>
      <c r="AB41" s="130"/>
      <c r="AC41" s="129"/>
      <c r="AD41" s="687"/>
      <c r="AE41" s="688"/>
      <c r="AF41" s="688"/>
      <c r="AG41" s="689"/>
      <c r="AH41" s="122"/>
      <c r="AI41" s="130"/>
    </row>
    <row r="42" spans="2:37" ht="15.75" hidden="1" customHeight="1">
      <c r="B42" s="130"/>
      <c r="C42" s="380" t="s">
        <v>3306</v>
      </c>
      <c r="D42" s="136"/>
      <c r="E42" s="136"/>
      <c r="F42" s="136"/>
      <c r="G42" s="136"/>
      <c r="H42" s="136"/>
      <c r="I42" s="136"/>
      <c r="J42" s="360"/>
      <c r="K42" s="360"/>
      <c r="L42" s="361"/>
      <c r="M42" s="361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78"/>
      <c r="AA42" s="364"/>
      <c r="AB42" s="130"/>
      <c r="AC42" s="129"/>
      <c r="AD42" s="379"/>
      <c r="AE42" s="379"/>
      <c r="AF42" s="379"/>
      <c r="AG42" s="379"/>
      <c r="AH42" s="122"/>
      <c r="AI42" s="130"/>
    </row>
    <row r="43" spans="2:37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>
      <c r="T45" s="79"/>
      <c r="U45" s="79"/>
      <c r="V45" s="79"/>
      <c r="W45" s="79"/>
      <c r="X45" s="79"/>
      <c r="Y45" s="79"/>
      <c r="Z45" s="79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3307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3308</v>
      </c>
      <c r="D51" s="381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3309</v>
      </c>
      <c r="D52" s="381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3310</v>
      </c>
      <c r="D53" s="381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3311</v>
      </c>
      <c r="D54" s="381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3312</v>
      </c>
      <c r="D55" s="381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52</v>
      </c>
      <c r="D56" s="382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3313</v>
      </c>
      <c r="D57" s="381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7" t="s">
        <v>32</v>
      </c>
      <c r="D58" s="381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>
      <c r="C59" s="107" t="s">
        <v>3314</v>
      </c>
      <c r="D59" s="381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7" t="s">
        <v>3315</v>
      </c>
      <c r="D60" s="383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>
      <c r="C61" s="107" t="s">
        <v>3316</v>
      </c>
      <c r="D61" s="383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>
      <c r="C62" s="385" t="s">
        <v>3317</v>
      </c>
      <c r="D62" s="384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63" t="s">
        <v>3318</v>
      </c>
      <c r="D63" s="384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63" t="s">
        <v>3319</v>
      </c>
      <c r="D64" s="384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workbookViewId="0"/>
  </sheetViews>
  <sheetFormatPr defaultRowHeight="14.45"/>
  <cols>
    <col min="1" max="1" width="24.7109375" bestFit="1" customWidth="1"/>
    <col min="2" max="2" width="16.5703125" bestFit="1" customWidth="1"/>
    <col min="3" max="3" width="19.140625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27.6">
      <c r="A1" s="395" t="s">
        <v>172</v>
      </c>
      <c r="B1" s="169" t="s">
        <v>3385</v>
      </c>
      <c r="C1" s="169" t="s">
        <v>3386</v>
      </c>
      <c r="D1" s="401" t="s">
        <v>3387</v>
      </c>
      <c r="E1" s="401" t="s">
        <v>3388</v>
      </c>
      <c r="F1" s="399" t="s">
        <v>3389</v>
      </c>
      <c r="G1" s="399" t="s">
        <v>3390</v>
      </c>
      <c r="H1" s="400"/>
    </row>
    <row r="2" spans="1:8">
      <c r="A2" s="37" t="s">
        <v>188</v>
      </c>
      <c r="B2" s="100">
        <f>SUMIFS('GEN SWITCHING LOGS'!$F:$F,'GEN SWITCHING LOGS'!$A:$A,$A2,'GEN SWITCHING LOGS'!$G:$G,"")</f>
        <v>0</v>
      </c>
      <c r="C2" s="100">
        <f>SUMIFS('GEN SWITCHING LOGS'!$F:$F,'GEN SWITCHING LOGS'!$A:$A,$A2,'GEN SWITCHING LOGS'!$G:$G,"CMS")+SUMIFS('GEN SWITCHING LOGS'!$F:$F,'GEN SWITCHING LOGS'!$A:$A,$A2,'GEN SWITCHING LOGS'!$G:$G,"PMS")</f>
        <v>0</v>
      </c>
      <c r="D2" s="398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407" cm="1">
        <f t="array" aca="1" ref="E2" ca="1">SUMPRODUCT((NOW() - ($F$2 + IFERROR(TIME(VALUE(LEFT('GEN SWITCHING LOGS'!$C$2:$C$94867, 2)),VALUE(MID('GEN SWITCHING LOGS'!$C$2:$C$94867, 3, 2)), 0), 0))),
            ('GEN SWITCHING LOGS'!$A$2:$A$94867=$A2) *
            ('GEN SWITCHING LOGS'!$G$2:$G$94867="CMS") *
            ('GEN SWITCHING LOGS'!$B$2:$B$94867 &lt; $F$2) *
            ('GEN SWITCHING LOGS'!$E$2:$E$94867=""))</f>
        <v>0</v>
      </c>
      <c r="F2" s="84">
        <v>45717</v>
      </c>
      <c r="G2" s="84">
        <v>45741</v>
      </c>
    </row>
    <row r="3" spans="1:8">
      <c r="A3" s="37" t="s">
        <v>200</v>
      </c>
      <c r="B3" s="100">
        <f>SUMIFS('GEN SWITCHING LOGS'!$F:$F,'GEN SWITCHING LOGS'!$A:$A,$A3,'GEN SWITCHING LOGS'!$G:$G,"")</f>
        <v>26.05138888892543</v>
      </c>
      <c r="C3" s="100">
        <f>SUMIFS('GEN SWITCHING LOGS'!$F:$F,'GEN SWITCHING LOGS'!$A:$A,$A3,'GEN SWITCHING LOGS'!$G:$G,"CMS")+SUMIFS('GEN SWITCHING LOGS'!$F:$F,'GEN SWITCHING LOGS'!$A:$A,$A3,'GEN SWITCHING LOGS'!$G:$G,"PMS")</f>
        <v>3.4972222221913398</v>
      </c>
      <c r="D3" s="398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407" cm="1">
        <f t="array" aca="1" ref="E3" ca="1">SUMPRODUCT((NOW() - ($F$2 + IFERROR(TIME(VALUE(LEFT('GEN SWITCHING LOGS'!$C$2:$C$94867, 2)),VALUE(MID('GEN SWITCHING LOGS'!$C$2:$C$94867, 3, 2)), 0), 0))),
            ('GEN SWITCHING LOGS'!$A$2:$A$94867=$A3) *
            ('GEN SWITCHING LOGS'!$G$2:$G$94867="CMS") *
            ('GEN SWITCHING LOGS'!$B$2:$B$94867 &lt; $F$2) *
            ('GEN SWITCHING LOGS'!$E$2:$E$94867=""))</f>
        <v>0</v>
      </c>
      <c r="F3" s="396"/>
      <c r="G3" s="396"/>
    </row>
    <row r="4" spans="1:8">
      <c r="A4" s="37" t="s">
        <v>197</v>
      </c>
      <c r="B4" s="100">
        <f>SUMIFS('GEN SWITCHING LOGS'!$F:$F,'GEN SWITCHING LOGS'!$A:$A,$A4,'GEN SWITCHING LOGS'!$G:$G,"")</f>
        <v>26.068055555530009</v>
      </c>
      <c r="C4" s="100">
        <f>SUMIFS('GEN SWITCHING LOGS'!$F:$F,'GEN SWITCHING LOGS'!$A:$A,$A4,'GEN SWITCHING LOGS'!$G:$G,"CMS")+SUMIFS('GEN SWITCHING LOGS'!$F:$F,'GEN SWITCHING LOGS'!$A:$A,$A4,'GEN SWITCHING LOGS'!$G:$G,"PMS")</f>
        <v>1.4215277777839219</v>
      </c>
      <c r="D4" s="398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407" cm="1">
        <f t="array" aca="1" ref="E4" ca="1">SUMPRODUCT((NOW() - ($F$2 + IFERROR(TIME(VALUE(LEFT('GEN SWITCHING LOGS'!$C$2:$C$94867, 2)),VALUE(MID('GEN SWITCHING LOGS'!$C$2:$C$94867, 3, 2)), 0), 0))),
            ('GEN SWITCHING LOGS'!$A$2:$A$94867=$A4) *
            ('GEN SWITCHING LOGS'!$G$2:$G$94867="CMS") *
            ('GEN SWITCHING LOGS'!$B$2:$B$94867 &lt; $F$2) *
            ('GEN SWITCHING LOGS'!$E$2:$E$94867=""))</f>
        <v>0</v>
      </c>
      <c r="F4" s="397"/>
      <c r="G4" s="396"/>
    </row>
    <row r="5" spans="1:8">
      <c r="A5" s="37" t="s">
        <v>203</v>
      </c>
      <c r="B5" s="100">
        <f>SUMIFS('GEN SWITCHING LOGS'!$F:$F,'GEN SWITCHING LOGS'!$A:$A,$A5,'GEN SWITCHING LOGS'!$G:$G,"")</f>
        <v>27.482638888854126</v>
      </c>
      <c r="C5" s="100">
        <f>SUMIFS('GEN SWITCHING LOGS'!$F:$F,'GEN SWITCHING LOGS'!$A:$A,$A5,'GEN SWITCHING LOGS'!$G:$G,"CMS")+SUMIFS('GEN SWITCHING LOGS'!$F:$F,'GEN SWITCHING LOGS'!$A:$A,$A5,'GEN SWITCHING LOGS'!$G:$G,"PMS")</f>
        <v>1.6194444444481633</v>
      </c>
      <c r="D5" s="398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07" cm="1">
        <f t="array" aca="1" ref="E5" ca="1">SUMPRODUCT((NOW() - ($F$2 + IFERROR(TIME(VALUE(LEFT('GEN SWITCHING LOGS'!$C$2:$C$94867, 2)),VALUE(MID('GEN SWITCHING LOGS'!$C$2:$C$94867, 3, 2)), 0), 0))),
            ('GEN SWITCHING LOGS'!$A$2:$A$94867=$A5) *
            ('GEN SWITCHING LOGS'!$G$2:$G$94867="CMS") *
            ('GEN SWITCHING LOGS'!$B$2:$B$94867 &lt; $F$2) *
            ('GEN SWITCHING LOGS'!$E$2:$E$94867=""))</f>
        <v>0</v>
      </c>
      <c r="F5" s="396"/>
      <c r="G5" s="396"/>
    </row>
    <row r="6" spans="1:8">
      <c r="A6" s="37" t="s">
        <v>251</v>
      </c>
      <c r="B6" s="100">
        <f>SUMIFS('GEN SWITCHING LOGS'!$F:$F,'GEN SWITCHING LOGS'!$A:$A,$A6,'GEN SWITCHING LOGS'!$G:$G,"")</f>
        <v>9.6868055555605679</v>
      </c>
      <c r="C6" s="100">
        <f>SUMIFS('GEN SWITCHING LOGS'!$F:$F,'GEN SWITCHING LOGS'!$A:$A,$A6,'GEN SWITCHING LOGS'!$G:$G,"CMS")+SUMIFS('GEN SWITCHING LOGS'!$F:$F,'GEN SWITCHING LOGS'!$A:$A,$A6,'GEN SWITCHING LOGS'!$G:$G,"PMS")</f>
        <v>10.629861111097853</v>
      </c>
      <c r="D6" s="398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407" cm="1">
        <f t="array" aca="1" ref="E6" ca="1">SUMPRODUCT((NOW() - ($F$2 + IFERROR(TIME(VALUE(LEFT('GEN SWITCHING LOGS'!$C$2:$C$94867, 2)),VALUE(MID('GEN SWITCHING LOGS'!$C$2:$C$94867, 3, 2)), 0), 0))),
            ('GEN SWITCHING LOGS'!$A$2:$A$94867=$A6) *
            ('GEN SWITCHING LOGS'!$G$2:$G$94867="CMS") *
            ('GEN SWITCHING LOGS'!$B$2:$B$94867 &lt; $F$2) *
            ('GEN SWITCHING LOGS'!$E$2:$E$94867=""))</f>
        <v>0</v>
      </c>
      <c r="F6" s="396"/>
      <c r="G6" s="396"/>
    </row>
    <row r="7" spans="1:8">
      <c r="A7" s="37" t="s">
        <v>326</v>
      </c>
      <c r="B7" s="100">
        <f>SUMIFS('GEN SWITCHING LOGS'!$F:$F,'GEN SWITCHING LOGS'!$A:$A,$A7,'GEN SWITCHING LOGS'!$G:$G,"")</f>
        <v>5.1125000000101863</v>
      </c>
      <c r="C7" s="100">
        <f>SUMIFS('GEN SWITCHING LOGS'!$F:$F,'GEN SWITCHING LOGS'!$A:$A,$A7,'GEN SWITCHING LOGS'!$G:$G,"CMS")+SUMIFS('GEN SWITCHING LOGS'!$F:$F,'GEN SWITCHING LOGS'!$A:$A,$A7,'GEN SWITCHING LOGS'!$G:$G,"PMS")</f>
        <v>19.536111111097853</v>
      </c>
      <c r="D7" s="398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07" cm="1">
        <f t="array" aca="1" ref="E7" ca="1">SUMPRODUCT((NOW() - ($F$2 + IFERROR(TIME(VALUE(LEFT('GEN SWITCHING LOGS'!$C$2:$C$94867, 2)),VALUE(MID('GEN SWITCHING LOGS'!$C$2:$C$94867, 3, 2)), 0), 0))),
            ('GEN SWITCHING LOGS'!$A$2:$A$94867=$A7) *
            ('GEN SWITCHING LOGS'!$G$2:$G$94867="CMS") *
            ('GEN SWITCHING LOGS'!$B$2:$B$94867 &lt; $F$2) *
            ('GEN SWITCHING LOGS'!$E$2:$E$94867=""))</f>
        <v>0</v>
      </c>
      <c r="F7" s="396"/>
      <c r="G7" s="396"/>
    </row>
    <row r="8" spans="1:8">
      <c r="A8" s="37" t="s">
        <v>209</v>
      </c>
      <c r="B8" s="100">
        <f>SUMIFS('GEN SWITCHING LOGS'!$F:$F,'GEN SWITCHING LOGS'!$A:$A,$A8,'GEN SWITCHING LOGS'!$G:$G,"")</f>
        <v>8.4763888889065129</v>
      </c>
      <c r="C8" s="100">
        <f>SUMIFS('GEN SWITCHING LOGS'!$F:$F,'GEN SWITCHING LOGS'!$A:$A,$A8,'GEN SWITCHING LOGS'!$G:$G,"CMS")+SUMIFS('GEN SWITCHING LOGS'!$F:$F,'GEN SWITCHING LOGS'!$A:$A,$A8,'GEN SWITCHING LOGS'!$G:$G,"PMS")</f>
        <v>5.9069444444321562</v>
      </c>
      <c r="D8" s="398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407" cm="1">
        <f t="array" aca="1" ref="E8" ca="1">SUMPRODUCT((NOW() - ($F$2 + IFERROR(TIME(VALUE(LEFT('GEN SWITCHING LOGS'!$C$2:$C$94867, 2)),VALUE(MID('GEN SWITCHING LOGS'!$C$2:$C$94867, 3, 2)), 0), 0))),
            ('GEN SWITCHING LOGS'!$A$2:$A$94867=$A8) *
            ('GEN SWITCHING LOGS'!$G$2:$G$94867="CMS") *
            ('GEN SWITCHING LOGS'!$B$2:$B$94867 &lt; $F$2) *
            ('GEN SWITCHING LOGS'!$E$2:$E$94867=""))</f>
        <v>0</v>
      </c>
      <c r="F8" s="396"/>
      <c r="G8" s="396"/>
    </row>
    <row r="9" spans="1:8">
      <c r="A9" s="37" t="s">
        <v>254</v>
      </c>
      <c r="B9" s="100">
        <f>SUMIFS('GEN SWITCHING LOGS'!$F:$F,'GEN SWITCHING LOGS'!$A:$A,$A9,'GEN SWITCHING LOGS'!$G:$G,"")</f>
        <v>12.915277777799929</v>
      </c>
      <c r="C9" s="100">
        <f>SUMIFS('GEN SWITCHING LOGS'!$F:$F,'GEN SWITCHING LOGS'!$A:$A,$A9,'GEN SWITCHING LOGS'!$G:$G,"CMS")+SUMIFS('GEN SWITCHING LOGS'!$F:$F,'GEN SWITCHING LOGS'!$A:$A,$A9,'GEN SWITCHING LOGS'!$G:$G,"PMS")</f>
        <v>0.99930555556056788</v>
      </c>
      <c r="D9" s="398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407" cm="1">
        <f t="array" aca="1" ref="E9" ca="1">SUMPRODUCT((NOW() - ($F$2 + IFERROR(TIME(VALUE(LEFT('GEN SWITCHING LOGS'!$C$2:$C$94867, 2)),VALUE(MID('GEN SWITCHING LOGS'!$C$2:$C$94867, 3, 2)), 0), 0))),
            ('GEN SWITCHING LOGS'!$A$2:$A$94867=$A9) *
            ('GEN SWITCHING LOGS'!$G$2:$G$94867="CMS") *
            ('GEN SWITCHING LOGS'!$B$2:$B$94867 &lt; $F$2) *
            ('GEN SWITCHING LOGS'!$E$2:$E$94867=""))</f>
        <v>0</v>
      </c>
      <c r="F9" s="396"/>
      <c r="G9" s="396"/>
    </row>
    <row r="10" spans="1:8">
      <c r="A10" s="37" t="s">
        <v>233</v>
      </c>
      <c r="B10" s="100">
        <f>SUMIFS('GEN SWITCHING LOGS'!$F:$F,'GEN SWITCHING LOGS'!$A:$A,$A10,'GEN SWITCHING LOGS'!$G:$G,"")</f>
        <v>9.7770833333197515</v>
      </c>
      <c r="C10" s="100">
        <f>SUMIFS('GEN SWITCHING LOGS'!$F:$F,'GEN SWITCHING LOGS'!$A:$A,$A10,'GEN SWITCHING LOGS'!$G:$G,"CMS")+SUMIFS('GEN SWITCHING LOGS'!$F:$F,'GEN SWITCHING LOGS'!$A:$A,$A10,'GEN SWITCHING LOGS'!$G:$G,"PMS")</f>
        <v>0</v>
      </c>
      <c r="D10" s="398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407" cm="1">
        <f t="array" aca="1" ref="E10" ca="1">SUMPRODUCT((NOW() - ($F$2 + IFERROR(TIME(VALUE(LEFT('GEN SWITCHING LOGS'!$C$2:$C$94867, 2)),VALUE(MID('GEN SWITCHING LOGS'!$C$2:$C$94867, 3, 2)), 0), 0))),
            ('GEN SWITCHING LOGS'!$A$2:$A$94867=$A10) *
            ('GEN SWITCHING LOGS'!$G$2:$G$94867="CMS") *
            ('GEN SWITCHING LOGS'!$B$2:$B$94867 &lt; $F$2) *
            ('GEN SWITCHING LOGS'!$E$2:$E$94867=""))</f>
        <v>0</v>
      </c>
      <c r="F10" s="396"/>
      <c r="G10" s="396"/>
    </row>
    <row r="11" spans="1:8">
      <c r="A11" s="37" t="s">
        <v>206</v>
      </c>
      <c r="B11" s="100">
        <f>SUMIFS('GEN SWITCHING LOGS'!$F:$F,'GEN SWITCHING LOGS'!$A:$A,$A11,'GEN SWITCHING LOGS'!$G:$G,"")</f>
        <v>19.12222222222772</v>
      </c>
      <c r="C11" s="100">
        <f>SUMIFS('GEN SWITCHING LOGS'!$F:$F,'GEN SWITCHING LOGS'!$A:$A,$A11,'GEN SWITCHING LOGS'!$G:$G,"CMS")+SUMIFS('GEN SWITCHING LOGS'!$F:$F,'GEN SWITCHING LOGS'!$A:$A,$A11,'GEN SWITCHING LOGS'!$G:$G,"PMS")</f>
        <v>0</v>
      </c>
      <c r="D11" s="398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407" cm="1">
        <f t="array" aca="1" ref="E11" ca="1">SUMPRODUCT((NOW() - ($F$2 + IFERROR(TIME(VALUE(LEFT('GEN SWITCHING LOGS'!$C$2:$C$94867, 2)),VALUE(MID('GEN SWITCHING LOGS'!$C$2:$C$94867, 3, 2)), 0), 0))),
            ('GEN SWITCHING LOGS'!$A$2:$A$94867=$A11) *
            ('GEN SWITCHING LOGS'!$G$2:$G$94867="CMS") *
            ('GEN SWITCHING LOGS'!$B$2:$B$94867 &lt; $F$2) *
            ('GEN SWITCHING LOGS'!$E$2:$E$94867=""))</f>
        <v>0</v>
      </c>
      <c r="F11" s="396"/>
      <c r="G11" s="396"/>
    </row>
    <row r="12" spans="1:8">
      <c r="A12" s="37" t="s">
        <v>191</v>
      </c>
      <c r="B12" s="100">
        <f>SUMIFS('GEN SWITCHING LOGS'!$F:$F,'GEN SWITCHING LOGS'!$A:$A,$A12,'GEN SWITCHING LOGS'!$G:$G,"")</f>
        <v>35.006944444437977</v>
      </c>
      <c r="C12" s="100">
        <f>SUMIFS('GEN SWITCHING LOGS'!$F:$F,'GEN SWITCHING LOGS'!$A:$A,$A12,'GEN SWITCHING LOGS'!$G:$G,"CMS")+SUMIFS('GEN SWITCHING LOGS'!$F:$F,'GEN SWITCHING LOGS'!$A:$A,$A12,'GEN SWITCHING LOGS'!$G:$G,"PMS")</f>
        <v>0</v>
      </c>
      <c r="D12" s="398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07" cm="1">
        <f t="array" aca="1" ref="E12" ca="1">SUMPRODUCT((NOW() - ($F$2 + IFERROR(TIME(VALUE(LEFT('GEN SWITCHING LOGS'!$C$2:$C$94867, 2)),VALUE(MID('GEN SWITCHING LOGS'!$C$2:$C$94867, 3, 2)), 0), 0))),
            ('GEN SWITCHING LOGS'!$A$2:$A$94867=$A12) *
            ('GEN SWITCHING LOGS'!$G$2:$G$94867="CMS") *
            ('GEN SWITCHING LOGS'!$B$2:$B$94867 &lt; $F$2) *
            ('GEN SWITCHING LOGS'!$E$2:$E$94867=""))</f>
        <v>0</v>
      </c>
      <c r="F12" s="396"/>
      <c r="G12" s="396"/>
    </row>
    <row r="13" spans="1:8">
      <c r="A13" s="37" t="s">
        <v>180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398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07" cm="1">
        <f t="array" aca="1" ref="E13" ca="1">SUMPRODUCT((NOW() - ($F$2 + IFERROR(TIME(VALUE(LEFT('GEN SWITCHING LOGS'!$C$2:$C$94867, 2)),VALUE(MID('GEN SWITCHING LOGS'!$C$2:$C$94867, 3, 2)), 0), 0))),
            ('GEN SWITCHING LOGS'!$A$2:$A$94867=$A13) *
            ('GEN SWITCHING LOGS'!$G$2:$G$94867="CMS") *
            ('GEN SWITCHING LOGS'!$B$2:$B$94867 &lt; $F$2) *
            ('GEN SWITCHING LOGS'!$E$2:$E$94867=""))</f>
        <v>221.08898298611166</v>
      </c>
      <c r="F13" s="396"/>
      <c r="G13" s="396"/>
    </row>
    <row r="14" spans="1:8">
      <c r="A14" s="37" t="s">
        <v>3391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398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07" cm="1">
        <f t="array" aca="1" ref="E14" ca="1">SUMPRODUCT((NOW() - ($F$2 + IFERROR(TIME(VALUE(LEFT('GEN SWITCHING LOGS'!$C$2:$C$94867, 2)),VALUE(MID('GEN SWITCHING LOGS'!$C$2:$C$94867, 3, 2)), 0), 0))),
            ('GEN SWITCHING LOGS'!$A$2:$A$94867=$A14) *
            ('GEN SWITCHING LOGS'!$G$2:$G$94867="CMS") *
            ('GEN SWITCHING LOGS'!$B$2:$B$94867 &lt; $F$2) *
            ('GEN SWITCHING LOGS'!$E$2:$E$94867=""))</f>
        <v>0</v>
      </c>
      <c r="F14" s="396"/>
      <c r="G14" s="396"/>
    </row>
    <row r="15" spans="1:8">
      <c r="A15" s="37" t="s">
        <v>185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398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07" cm="1">
        <f t="array" aca="1" ref="E15" ca="1">SUMPRODUCT((NOW() - ($F$2 + IFERROR(TIME(VALUE(LEFT('GEN SWITCHING LOGS'!$C$2:$C$94867, 2)),VALUE(MID('GEN SWITCHING LOGS'!$C$2:$C$94867, 3, 2)), 0), 0))),
            ('GEN SWITCHING LOGS'!$A$2:$A$94867=$A15) *
            ('GEN SWITCHING LOGS'!$G$2:$G$94867="CMS") *
            ('GEN SWITCHING LOGS'!$B$2:$B$94867 &lt; $F$2) *
            ('GEN SWITCHING LOGS'!$E$2:$E$94867=""))</f>
        <v>221.14870706018701</v>
      </c>
      <c r="F15" s="396"/>
      <c r="G15" s="396"/>
    </row>
    <row r="16" spans="1:8">
      <c r="A16" s="101" t="s">
        <v>3392</v>
      </c>
      <c r="B16" s="100">
        <f>SUMIFS('GEN SWITCHING LOGS'!$F:$F,'GEN SWITCHING LOGS'!$A:$A,$A16,'GEN SWITCHING LOGS'!$G:$G,"")</f>
        <v>0</v>
      </c>
      <c r="C16" s="100">
        <f>SUMIFS('GEN SWITCHING LOGS'!$F:$F,'GEN SWITCHING LOGS'!$A:$A,$A16,'GEN SWITCHING LOGS'!$G:$G,"CMS")+SUMIFS('GEN SWITCHING LOGS'!$F:$F,'GEN SWITCHING LOGS'!$A:$A,$A16,'GEN SWITCHING LOGS'!$G:$G,"PMS")</f>
        <v>0</v>
      </c>
      <c r="D16" s="398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07" cm="1">
        <f t="array" aca="1" ref="E16" ca="1">SUMPRODUCT((NOW() - ($F$2 + IFERROR(TIME(VALUE(LEFT('GEN SWITCHING LOGS'!$C$2:$C$94867, 2)),VALUE(MID('GEN SWITCHING LOGS'!$C$2:$C$94867, 3, 2)), 0), 0))),
            ('GEN SWITCHING LOGS'!$A$2:$A$94867=$A16) *
            ('GEN SWITCHING LOGS'!$G$2:$G$94867="CMS") *
            ('GEN SWITCHING LOGS'!$B$2:$B$94867 &lt; $F$2) *
            ('GEN SWITCHING LOGS'!$E$2:$E$94867=""))</f>
        <v>0</v>
      </c>
      <c r="F16" s="396"/>
      <c r="G16" s="396"/>
    </row>
    <row r="17" spans="1:7">
      <c r="A17" s="101" t="s">
        <v>297</v>
      </c>
      <c r="B17" s="100">
        <f>SUMIFS('GEN SWITCHING LOGS'!$F:$F,'GEN SWITCHING LOGS'!$A:$A,$A17,'GEN SWITCHING LOGS'!$G:$G,"")</f>
        <v>2.2145833333270275</v>
      </c>
      <c r="C17" s="100">
        <f>SUMIFS('GEN SWITCHING LOGS'!$F:$F,'GEN SWITCHING LOGS'!$A:$A,$A17,'GEN SWITCHING LOGS'!$G:$G,"CMS")+SUMIFS('GEN SWITCHING LOGS'!$F:$F,'GEN SWITCHING LOGS'!$A:$A,$A17,'GEN SWITCHING LOGS'!$G:$G,"PMS")</f>
        <v>0</v>
      </c>
      <c r="D17" s="398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07" cm="1">
        <f t="array" aca="1" ref="E17" ca="1">SUMPRODUCT((NOW() - ($F$2 + IFERROR(TIME(VALUE(LEFT('GEN SWITCHING LOGS'!$C$2:$C$94867, 2)),VALUE(MID('GEN SWITCHING LOGS'!$C$2:$C$94867, 3, 2)), 0), 0))),
            ('GEN SWITCHING LOGS'!$A$2:$A$94867=$A17) *
            ('GEN SWITCHING LOGS'!$G$2:$G$94867="CMS") *
            ('GEN SWITCHING LOGS'!$B$2:$B$94867 &lt; $F$2) *
            ('GEN SWITCHING LOGS'!$E$2:$E$94867=""))</f>
        <v>0</v>
      </c>
      <c r="F17" s="396"/>
      <c r="G17" s="396"/>
    </row>
    <row r="18" spans="1:7">
      <c r="A18" s="101" t="s">
        <v>3393</v>
      </c>
      <c r="B18" s="100">
        <f>SUMIFS('GEN SWITCHING LOGS'!$F:$F,'GEN SWITCHING LOGS'!$A:$A,$A18,'GEN SWITCHING LOGS'!$G:$G,"")</f>
        <v>0</v>
      </c>
      <c r="C18" s="100">
        <f>SUMIFS('GEN SWITCHING LOGS'!$F:$F,'GEN SWITCHING LOGS'!$A:$A,$A18,'GEN SWITCHING LOGS'!$G:$G,"CMS")+SUMIFS('GEN SWITCHING LOGS'!$F:$F,'GEN SWITCHING LOGS'!$A:$A,$A18,'GEN SWITCHING LOGS'!$G:$G,"PMS")</f>
        <v>0</v>
      </c>
      <c r="D18" s="398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07" cm="1">
        <f t="array" aca="1" ref="E18" ca="1">SUMPRODUCT((NOW() - ($F$2 + IFERROR(TIME(VALUE(LEFT('GEN SWITCHING LOGS'!$C$2:$C$94867, 2)),VALUE(MID('GEN SWITCHING LOGS'!$C$2:$C$94867, 3, 2)), 0), 0))),
            ('GEN SWITCHING LOGS'!$A$2:$A$94867=$A18) *
            ('GEN SWITCHING LOGS'!$G$2:$G$94867="CMS") *
            ('GEN SWITCHING LOGS'!$B$2:$B$94867 &lt; $F$2) *
            ('GEN SWITCHING LOGS'!$E$2:$E$94867=""))</f>
        <v>0</v>
      </c>
      <c r="F18" s="396"/>
      <c r="G18" s="396"/>
    </row>
    <row r="19" spans="1:7">
      <c r="A19" s="101" t="s">
        <v>828</v>
      </c>
      <c r="B19" s="100">
        <f>SUMIFS('GEN SWITCHING LOGS'!$F:$F,'GEN SWITCHING LOGS'!$A:$A,$A19,'GEN SWITCHING LOGS'!$G:$G,"")</f>
        <v>0.46736111111385981</v>
      </c>
      <c r="C19" s="100">
        <f>SUMIFS('GEN SWITCHING LOGS'!$F:$F,'GEN SWITCHING LOGS'!$A:$A,$A19,'GEN SWITCHING LOGS'!$G:$G,"CMS")+SUMIFS('GEN SWITCHING LOGS'!$F:$F,'GEN SWITCHING LOGS'!$A:$A,$A19,'GEN SWITCHING LOGS'!$G:$G,"PMS")</f>
        <v>0.625</v>
      </c>
      <c r="D19" s="398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07" cm="1">
        <f t="array" aca="1" ref="E19" ca="1">SUMPRODUCT((NOW() - ($F$2 + IFERROR(TIME(VALUE(LEFT('GEN SWITCHING LOGS'!$C$2:$C$94867, 2)),VALUE(MID('GEN SWITCHING LOGS'!$C$2:$C$94867, 3, 2)), 0), 0))),
            ('GEN SWITCHING LOGS'!$A$2:$A$94867=$A19) *
            ('GEN SWITCHING LOGS'!$G$2:$G$94867="CMS") *
            ('GEN SWITCHING LOGS'!$B$2:$B$94867 &lt; $F$2) *
            ('GEN SWITCHING LOGS'!$E$2:$E$94867=""))</f>
        <v>0</v>
      </c>
      <c r="F19" s="396"/>
      <c r="G19" s="396"/>
    </row>
    <row r="20" spans="1:7">
      <c r="A20" s="101" t="s">
        <v>3394</v>
      </c>
      <c r="B20" s="100">
        <f>SUMIFS('GEN SWITCHING LOGS'!$F:$F,'GEN SWITCHING LOGS'!$A:$A,$A20,'GEN SWITCHING LOGS'!$G:$G,"")</f>
        <v>0</v>
      </c>
      <c r="C20" s="100">
        <f>SUMIFS('GEN SWITCHING LOGS'!$F:$F,'GEN SWITCHING LOGS'!$A:$A,$A20,'GEN SWITCHING LOGS'!$G:$G,"CMS")+SUMIFS('GEN SWITCHING LOGS'!$F:$F,'GEN SWITCHING LOGS'!$A:$A,$A20,'GEN SWITCHING LOGS'!$G:$G,"PMS")</f>
        <v>0</v>
      </c>
      <c r="D20" s="398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07" cm="1">
        <f t="array" aca="1" ref="E20" ca="1">SUMPRODUCT((NOW() - ($F$2 + IFERROR(TIME(VALUE(LEFT('GEN SWITCHING LOGS'!$C$2:$C$94867, 2)),VALUE(MID('GEN SWITCHING LOGS'!$C$2:$C$94867, 3, 2)), 0), 0))),
            ('GEN SWITCHING LOGS'!$A$2:$A$94867=$A20) *
            ('GEN SWITCHING LOGS'!$G$2:$G$94867="CMS") *
            ('GEN SWITCHING LOGS'!$B$2:$B$94867 &lt; $F$2) *
            ('GEN SWITCHING LOGS'!$E$2:$E$94867=""))</f>
        <v>0</v>
      </c>
      <c r="F20" s="396"/>
      <c r="G20" s="396"/>
    </row>
    <row r="21" spans="1:7">
      <c r="A21" s="101" t="s">
        <v>182</v>
      </c>
      <c r="B21" s="100">
        <f>SUMIFS('GEN SWITCHING LOGS'!$F:$F,'GEN SWITCHING LOGS'!$A:$A,$A21,'GEN SWITCHING LOGS'!$G:$G,"")</f>
        <v>5.5555555591126904E-3</v>
      </c>
      <c r="C21" s="100">
        <f>SUMIFS('GEN SWITCHING LOGS'!$F:$F,'GEN SWITCHING LOGS'!$A:$A,$A21,'GEN SWITCHING LOGS'!$G:$G,"CMS")+SUMIFS('GEN SWITCHING LOGS'!$F:$F,'GEN SWITCHING LOGS'!$A:$A,$A21,'GEN SWITCHING LOGS'!$G:$G,"PMS")</f>
        <v>54.001388888893416</v>
      </c>
      <c r="D21" s="398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07" cm="1">
        <f t="array" aca="1" ref="E21" ca="1">SUMPRODUCT((NOW() - ($F$2 + IFERROR(TIME(VALUE(LEFT('GEN SWITCHING LOGS'!$C$2:$C$94867, 2)),VALUE(MID('GEN SWITCHING LOGS'!$C$2:$C$94867, 3, 2)), 0), 0))),
            ('GEN SWITCHING LOGS'!$A$2:$A$94867=$A21) *
            ('GEN SWITCHING LOGS'!$G$2:$G$94867="CMS") *
            ('GEN SWITCHING LOGS'!$B$2:$B$94867 &lt; $F$2) *
            ('GEN SWITCHING LOGS'!$E$2:$E$94867=""))</f>
        <v>0</v>
      </c>
      <c r="F21" s="396"/>
      <c r="G21" s="396"/>
    </row>
    <row r="22" spans="1:7">
      <c r="A22" s="37" t="s">
        <v>3395</v>
      </c>
      <c r="B22" s="100">
        <f>SUMIFS('GEN SWITCHING LOGS'!$F:$F,'GEN SWITCHING LOGS'!$A:$A,$A22,'GEN SWITCHING LOGS'!$G:$G,"")</f>
        <v>0</v>
      </c>
      <c r="C22" s="100">
        <f>SUMIFS('GEN SWITCHING LOGS'!$F:$F,'GEN SWITCHING LOGS'!$A:$A,$A22,'GEN SWITCHING LOGS'!$G:$G,"CMS")+SUMIFS('GEN SWITCHING LOGS'!$F:$F,'GEN SWITCHING LOGS'!$A:$A,$A22,'GEN SWITCHING LOGS'!$G:$G,"PMS")</f>
        <v>0</v>
      </c>
      <c r="D22" s="398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407" cm="1">
        <f t="array" aca="1" ref="E22" ca="1">SUMPRODUCT((NOW() - ($F$2 + IFERROR(TIME(VALUE(LEFT('GEN SWITCHING LOGS'!$C$2:$C$94867, 2)),VALUE(MID('GEN SWITCHING LOGS'!$C$2:$C$94867, 3, 2)), 0), 0))),
            ('GEN SWITCHING LOGS'!$A$2:$A$94867=$A22) *
            ('GEN SWITCHING LOGS'!$G$2:$G$94867="CMS") *
            ('GEN SWITCHING LOGS'!$B$2:$B$94867 &lt; $F$2) *
            ('GEN SWITCHING LOGS'!$E$2:$E$94867=""))</f>
        <v>0</v>
      </c>
      <c r="F22" s="396"/>
      <c r="G22" s="396"/>
    </row>
    <row r="23" spans="1:7">
      <c r="A23" s="37" t="s">
        <v>3396</v>
      </c>
      <c r="B23" s="100">
        <f>SUMIFS('GEN SWITCHING LOGS'!$F:$F,'GEN SWITCHING LOGS'!$A:$A,$A23,'GEN SWITCHING LOGS'!$G:$G,"")</f>
        <v>0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398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07" cm="1">
        <f t="array" aca="1" ref="E23" ca="1">SUMPRODUCT((NOW() - ($F$2 + IFERROR(TIME(VALUE(LEFT('GEN SWITCHING LOGS'!$C$2:$C$94867, 2)),VALUE(MID('GEN SWITCHING LOGS'!$C$2:$C$94867, 3, 2)), 0), 0))),
            ('GEN SWITCHING LOGS'!$A$2:$A$94867=$A23) *
            ('GEN SWITCHING LOGS'!$G$2:$G$94867="CMS") *
            ('GEN SWITCHING LOGS'!$B$2:$B$94867 &lt; $F$2) *
            ('GEN SWITCHING LOGS'!$E$2:$E$94867=""))</f>
        <v>0</v>
      </c>
      <c r="F23" s="396"/>
      <c r="G23" s="396"/>
    </row>
    <row r="24" spans="1:7">
      <c r="A24" s="37" t="s">
        <v>240</v>
      </c>
      <c r="B24" s="100">
        <f>SUMIFS('GEN SWITCHING LOGS'!$F:$F,'GEN SWITCHING LOGS'!$A:$A,$A24,'GEN SWITCHING LOGS'!$G:$G,"")</f>
        <v>6.5138888889778173</v>
      </c>
      <c r="C24" s="100">
        <f>SUMIFS('GEN SWITCHING LOGS'!$F:$F,'GEN SWITCHING LOGS'!$A:$A,$A24,'GEN SWITCHING LOGS'!$G:$G,"CMS")+SUMIFS('GEN SWITCHING LOGS'!$F:$F,'GEN SWITCHING LOGS'!$A:$A,$A24,'GEN SWITCHING LOGS'!$G:$G,"PMS")</f>
        <v>0.74722222222044365</v>
      </c>
      <c r="D24" s="398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07" cm="1">
        <f t="array" aca="1" ref="E24" ca="1">SUMPRODUCT((NOW() - ($F$2 + IFERROR(TIME(VALUE(LEFT('GEN SWITCHING LOGS'!$C$2:$C$94867, 2)),VALUE(MID('GEN SWITCHING LOGS'!$C$2:$C$94867, 3, 2)), 0), 0))),
            ('GEN SWITCHING LOGS'!$A$2:$A$94867=$A24) *
            ('GEN SWITCHING LOGS'!$G$2:$G$94867="CMS") *
            ('GEN SWITCHING LOGS'!$B$2:$B$94867 &lt; $F$2) *
            ('GEN SWITCHING LOGS'!$E$2:$E$94867=""))</f>
        <v>0</v>
      </c>
      <c r="F24" s="396"/>
      <c r="G24" s="396"/>
    </row>
    <row r="25" spans="1:7">
      <c r="A25" s="37" t="s">
        <v>227</v>
      </c>
      <c r="B25" s="100">
        <f>SUMIFS('GEN SWITCHING LOGS'!$F:$F,'GEN SWITCHING LOGS'!$A:$A,$A25,'GEN SWITCHING LOGS'!$G:$G,"")</f>
        <v>6.6124999999810825</v>
      </c>
      <c r="C25" s="100">
        <f>SUMIFS('GEN SWITCHING LOGS'!$F:$F,'GEN SWITCHING LOGS'!$A:$A,$A25,'GEN SWITCHING LOGS'!$G:$G,"CMS")+SUMIFS('GEN SWITCHING LOGS'!$F:$F,'GEN SWITCHING LOGS'!$A:$A,$A25,'GEN SWITCHING LOGS'!$G:$G,"PMS")</f>
        <v>0.55972222222044365</v>
      </c>
      <c r="D25" s="398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07" cm="1">
        <f t="array" aca="1" ref="E25" ca="1">SUMPRODUCT((NOW() - ($F$2 + IFERROR(TIME(VALUE(LEFT('GEN SWITCHING LOGS'!$C$2:$C$94867, 2)),VALUE(MID('GEN SWITCHING LOGS'!$C$2:$C$94867, 3, 2)), 0), 0))),
            ('GEN SWITCHING LOGS'!$A$2:$A$94867=$A25) *
            ('GEN SWITCHING LOGS'!$G$2:$G$94867="CMS") *
            ('GEN SWITCHING LOGS'!$B$2:$B$94867 &lt; $F$2) *
            ('GEN SWITCHING LOGS'!$E$2:$E$94867=""))</f>
        <v>0</v>
      </c>
      <c r="F25" s="396"/>
      <c r="G25" s="396"/>
    </row>
    <row r="26" spans="1:7">
      <c r="A26" s="37" t="s">
        <v>3397</v>
      </c>
      <c r="B26" s="100">
        <f>SUMIFS('GEN SWITCHING LOGS'!$F:$F,'GEN SWITCHING LOGS'!$A:$A,$A26,'GEN SWITCHING LOGS'!$G:$G,"")</f>
        <v>0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398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07" cm="1">
        <f t="array" aca="1" ref="E26" ca="1">SUMPRODUCT((NOW() - ($F$2 + IFERROR(TIME(VALUE(LEFT('GEN SWITCHING LOGS'!$C$2:$C$94867, 2)),VALUE(MID('GEN SWITCHING LOGS'!$C$2:$C$94867, 3, 2)), 0), 0))),
            ('GEN SWITCHING LOGS'!$A$2:$A$94867=$A26) *
            ('GEN SWITCHING LOGS'!$G$2:$G$94867="CMS") *
            ('GEN SWITCHING LOGS'!$B$2:$B$94867 &lt; $F$2) *
            ('GEN SWITCHING LOGS'!$E$2:$E$94867=""))</f>
        <v>0</v>
      </c>
      <c r="F26" s="396"/>
      <c r="G26" s="396"/>
    </row>
    <row r="27" spans="1:7">
      <c r="A27" s="37" t="s">
        <v>243</v>
      </c>
      <c r="B27" s="100">
        <f>SUMIFS('GEN SWITCHING LOGS'!$F:$F,'GEN SWITCHING LOGS'!$A:$A,$A27,'GEN SWITCHING LOGS'!$G:$G,"")</f>
        <v>6.030555555546016</v>
      </c>
      <c r="C27" s="100">
        <f>SUMIFS('GEN SWITCHING LOGS'!$F:$F,'GEN SWITCHING LOGS'!$A:$A,$A27,'GEN SWITCHING LOGS'!$G:$G,"CMS")+SUMIFS('GEN SWITCHING LOGS'!$F:$F,'GEN SWITCHING LOGS'!$A:$A,$A27,'GEN SWITCHING LOGS'!$G:$G,"PMS")</f>
        <v>6.4076388888934162</v>
      </c>
      <c r="D27" s="398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407" cm="1">
        <f t="array" aca="1" ref="E27" ca="1">SUMPRODUCT((NOW() - ($F$2 + IFERROR(TIME(VALUE(LEFT('GEN SWITCHING LOGS'!$C$2:$C$94867, 2)),VALUE(MID('GEN SWITCHING LOGS'!$C$2:$C$94867, 3, 2)), 0), 0))),
            ('GEN SWITCHING LOGS'!$A$2:$A$94867=$A27) *
            ('GEN SWITCHING LOGS'!$G$2:$G$94867="CMS") *
            ('GEN SWITCHING LOGS'!$B$2:$B$94867 &lt; $F$2) *
            ('GEN SWITCHING LOGS'!$E$2:$E$94867=""))</f>
        <v>0</v>
      </c>
      <c r="F27" s="396"/>
      <c r="G27" s="396"/>
    </row>
    <row r="28" spans="1:7">
      <c r="A28" s="37" t="s">
        <v>230</v>
      </c>
      <c r="B28" s="100">
        <f>SUMIFS('GEN SWITCHING LOGS'!$F:$F,'GEN SWITCHING LOGS'!$A:$A,$A28,'GEN SWITCHING LOGS'!$G:$G,"")</f>
        <v>7.5506944444277906</v>
      </c>
      <c r="C28" s="100">
        <f>SUMIFS('GEN SWITCHING LOGS'!$F:$F,'GEN SWITCHING LOGS'!$A:$A,$A28,'GEN SWITCHING LOGS'!$G:$G,"CMS")+SUMIFS('GEN SWITCHING LOGS'!$F:$F,'GEN SWITCHING LOGS'!$A:$A,$A28,'GEN SWITCHING LOGS'!$G:$G,"PMS")</f>
        <v>0</v>
      </c>
      <c r="D28" s="398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07" cm="1">
        <f t="array" aca="1" ref="E28" ca="1">SUMPRODUCT((NOW() - ($F$2 + IFERROR(TIME(VALUE(LEFT('GEN SWITCHING LOGS'!$C$2:$C$94867, 2)),VALUE(MID('GEN SWITCHING LOGS'!$C$2:$C$94867, 3, 2)), 0), 0))),
            ('GEN SWITCHING LOGS'!$A$2:$A$94867=$A28) *
            ('GEN SWITCHING LOGS'!$G$2:$G$94867="CMS") *
            ('GEN SWITCHING LOGS'!$B$2:$B$94867 &lt; $F$2) *
            ('GEN SWITCHING LOGS'!$E$2:$E$94867=""))</f>
        <v>0</v>
      </c>
      <c r="F28" s="396"/>
      <c r="G28" s="396"/>
    </row>
    <row r="29" spans="1:7">
      <c r="A29" s="37" t="s">
        <v>3398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0</v>
      </c>
      <c r="D29" s="398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07" cm="1">
        <f t="array" aca="1" ref="E29" ca="1">SUMPRODUCT((NOW() - ($F$2 + IFERROR(TIME(VALUE(LEFT('GEN SWITCHING LOGS'!$C$2:$C$94867, 2)),VALUE(MID('GEN SWITCHING LOGS'!$C$2:$C$94867, 3, 2)), 0), 0))),
            ('GEN SWITCHING LOGS'!$A$2:$A$94867=$A29) *
            ('GEN SWITCHING LOGS'!$G$2:$G$94867="CMS") *
            ('GEN SWITCHING LOGS'!$B$2:$B$94867 &lt; $F$2) *
            ('GEN SWITCHING LOGS'!$E$2:$E$94867=""))</f>
        <v>0</v>
      </c>
      <c r="F29" s="396"/>
      <c r="G29" s="396"/>
    </row>
    <row r="30" spans="1:7">
      <c r="A30" s="23" t="s">
        <v>3399</v>
      </c>
      <c r="B30" s="100">
        <f>SUMIFS('GEN SWITCHING LOGS'!$F:$F,'GEN SWITCHING LOGS'!$A:$A,$A30,'GEN SWITCHING LOGS'!$G:$G,"")</f>
        <v>0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398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07" cm="1">
        <f t="array" aca="1" ref="E30" ca="1">SUMPRODUCT((NOW() - ($F$2 + IFERROR(TIME(VALUE(LEFT('GEN SWITCHING LOGS'!$C$2:$C$94867, 2)),VALUE(MID('GEN SWITCHING LOGS'!$C$2:$C$94867, 3, 2)), 0), 0))),
            ('GEN SWITCHING LOGS'!$A$2:$A$94867=$A30) *
            ('GEN SWITCHING LOGS'!$G$2:$G$94867="CMS") *
            ('GEN SWITCHING LOGS'!$B$2:$B$94867 &lt; $F$2) *
            ('GEN SWITCHING LOGS'!$E$2:$E$94867=""))</f>
        <v>0</v>
      </c>
      <c r="F30" s="396"/>
      <c r="G30" s="396"/>
    </row>
    <row r="31" spans="1:7">
      <c r="A31" s="37" t="s">
        <v>3400</v>
      </c>
      <c r="B31" s="100">
        <f>SUMIFS('GEN SWITCHING LOGS'!$F:$F,'GEN SWITCHING LOGS'!$A:$A,$A31,'GEN SWITCHING LOGS'!$G:$G,"")</f>
        <v>0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398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07" cm="1">
        <f t="array" aca="1" ref="E31" ca="1">SUMPRODUCT((NOW() - ($F$2 + IFERROR(TIME(VALUE(LEFT('GEN SWITCHING LOGS'!$C$2:$C$94867, 2)),VALUE(MID('GEN SWITCHING LOGS'!$C$2:$C$94867, 3, 2)), 0), 0))),
            ('GEN SWITCHING LOGS'!$A$2:$A$94867=$A31) *
            ('GEN SWITCHING LOGS'!$G$2:$G$94867="CMS") *
            ('GEN SWITCHING LOGS'!$B$2:$B$94867 &lt; $F$2) *
            ('GEN SWITCHING LOGS'!$E$2:$E$94867=""))</f>
        <v>0</v>
      </c>
      <c r="F31" s="396"/>
      <c r="G31" s="396"/>
    </row>
    <row r="32" spans="1:7">
      <c r="A32" s="37" t="s">
        <v>3401</v>
      </c>
      <c r="B32" s="100">
        <f>SUMIFS('GEN SWITCHING LOGS'!$F:$F,'GEN SWITCHING LOGS'!$A:$A,$A32,'GEN SWITCHING LOGS'!$G:$G,"")</f>
        <v>0</v>
      </c>
      <c r="C32" s="100">
        <f>SUMIFS('GEN SWITCHING LOGS'!$F:$F,'GEN SWITCHING LOGS'!$A:$A,$A32,'GEN SWITCHING LOGS'!$G:$G,"CMS")+SUMIFS('GEN SWITCHING LOGS'!$F:$F,'GEN SWITCHING LOGS'!$A:$A,$A32,'GEN SWITCHING LOGS'!$G:$G,"PMS")</f>
        <v>0</v>
      </c>
      <c r="D32" s="398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407" cm="1">
        <f t="array" aca="1" ref="E32" ca="1">SUMPRODUCT((NOW() - ($F$2 + IFERROR(TIME(VALUE(LEFT('GEN SWITCHING LOGS'!$C$2:$C$94867, 2)),VALUE(MID('GEN SWITCHING LOGS'!$C$2:$C$94867, 3, 2)), 0), 0))),
            ('GEN SWITCHING LOGS'!$A$2:$A$94867=$A32) *
            ('GEN SWITCHING LOGS'!$G$2:$G$94867="CMS") *
            ('GEN SWITCHING LOGS'!$B$2:$B$94867 &lt; $F$2) *
            ('GEN SWITCHING LOGS'!$E$2:$E$94867=""))</f>
        <v>0</v>
      </c>
      <c r="F32" s="396"/>
      <c r="G32" s="396"/>
    </row>
    <row r="33" spans="1:7">
      <c r="A33" s="37" t="s">
        <v>246</v>
      </c>
      <c r="B33" s="100">
        <f>SUMIFS('GEN SWITCHING LOGS'!$F:$F,'GEN SWITCHING LOGS'!$A:$A,$A33,'GEN SWITCHING LOGS'!$G:$G,"")</f>
        <v>7.4763888889283407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398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07" cm="1">
        <f t="array" aca="1" ref="E33" ca="1">SUMPRODUCT((NOW() - ($F$2 + IFERROR(TIME(VALUE(LEFT('GEN SWITCHING LOGS'!$C$2:$C$94867, 2)),VALUE(MID('GEN SWITCHING LOGS'!$C$2:$C$94867, 3, 2)), 0), 0))),
            ('GEN SWITCHING LOGS'!$A$2:$A$94867=$A33) *
            ('GEN SWITCHING LOGS'!$G$2:$G$94867="CMS") *
            ('GEN SWITCHING LOGS'!$B$2:$B$94867 &lt; $F$2) *
            ('GEN SWITCHING LOGS'!$E$2:$E$94867=""))</f>
        <v>0</v>
      </c>
      <c r="F33" s="396"/>
      <c r="G33" s="396"/>
    </row>
    <row r="34" spans="1:7">
      <c r="A34" s="37" t="s">
        <v>3402</v>
      </c>
      <c r="B34" s="100">
        <f>SUMIFS('GEN SWITCHING LOGS'!$F:$F,'GEN SWITCHING LOGS'!$A:$A,$A34,'GEN SWITCHING LOGS'!$G:$G,"")</f>
        <v>0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398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07" cm="1">
        <f t="array" aca="1" ref="E34" ca="1">SUMPRODUCT((NOW() - ($F$2 + IFERROR(TIME(VALUE(LEFT('GEN SWITCHING LOGS'!$C$2:$C$94867, 2)),VALUE(MID('GEN SWITCHING LOGS'!$C$2:$C$94867, 3, 2)), 0), 0))),
            ('GEN SWITCHING LOGS'!$A$2:$A$94867=$A34) *
            ('GEN SWITCHING LOGS'!$G$2:$G$94867="CMS") *
            ('GEN SWITCHING LOGS'!$B$2:$B$94867 &lt; $F$2) *
            ('GEN SWITCHING LOGS'!$E$2:$E$94867=""))</f>
        <v>0</v>
      </c>
      <c r="F34" s="396"/>
      <c r="G34" s="396"/>
    </row>
    <row r="35" spans="1:7">
      <c r="A35" s="37" t="s">
        <v>3403</v>
      </c>
      <c r="B35" s="100">
        <f>SUMIFS('GEN SWITCHING LOGS'!$F:$F,'GEN SWITCHING LOGS'!$A:$A,$A35,'GEN SWITCHING LOGS'!$G:$G,"")</f>
        <v>0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398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07" cm="1">
        <f t="array" aca="1" ref="E35" ca="1">SUMPRODUCT((NOW() - ($F$2 + IFERROR(TIME(VALUE(LEFT('GEN SWITCHING LOGS'!$C$2:$C$94867, 2)),VALUE(MID('GEN SWITCHING LOGS'!$C$2:$C$94867, 3, 2)), 0), 0))),
            ('GEN SWITCHING LOGS'!$A$2:$A$94867=$A35) *
            ('GEN SWITCHING LOGS'!$G$2:$G$94867="CMS") *
            ('GEN SWITCHING LOGS'!$B$2:$B$94867 &lt; $F$2) *
            ('GEN SWITCHING LOGS'!$E$2:$E$94867=""))</f>
        <v>0</v>
      </c>
      <c r="F35" s="396"/>
      <c r="G35" s="396"/>
    </row>
    <row r="36" spans="1:7">
      <c r="A36" s="37" t="s">
        <v>3404</v>
      </c>
      <c r="B36" s="100">
        <f>SUMIFS('GEN SWITCHING LOGS'!$F:$F,'GEN SWITCHING LOGS'!$A:$A,$A36,'GEN SWITCHING LOGS'!$G:$G,"")</f>
        <v>0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398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07" cm="1">
        <f t="array" aca="1" ref="E36" ca="1">SUMPRODUCT((NOW() - ($F$2 + IFERROR(TIME(VALUE(LEFT('GEN SWITCHING LOGS'!$C$2:$C$94867, 2)),VALUE(MID('GEN SWITCHING LOGS'!$C$2:$C$94867, 3, 2)), 0), 0))),
            ('GEN SWITCHING LOGS'!$A$2:$A$94867=$A36) *
            ('GEN SWITCHING LOGS'!$G$2:$G$94867="CMS") *
            ('GEN SWITCHING LOGS'!$B$2:$B$94867 &lt; $F$2) *
            ('GEN SWITCHING LOGS'!$E$2:$E$94867=""))</f>
        <v>0</v>
      </c>
      <c r="F36" s="396"/>
      <c r="G36" s="396"/>
    </row>
    <row r="37" spans="1:7">
      <c r="A37" s="37" t="s">
        <v>219</v>
      </c>
      <c r="B37" s="100">
        <f>SUMIFS('GEN SWITCHING LOGS'!$F:$F,'GEN SWITCHING LOGS'!$A:$A,$A37,'GEN SWITCHING LOGS'!$G:$G,"")</f>
        <v>20.465972222147684</v>
      </c>
      <c r="C37" s="100">
        <f>SUMIFS('GEN SWITCHING LOGS'!$F:$F,'GEN SWITCHING LOGS'!$A:$A,$A37,'GEN SWITCHING LOGS'!$G:$G,"CMS")+SUMIFS('GEN SWITCHING LOGS'!$F:$F,'GEN SWITCHING LOGS'!$A:$A,$A37,'GEN SWITCHING LOGS'!$G:$G,"PMS")</f>
        <v>0</v>
      </c>
      <c r="D37" s="398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07" cm="1">
        <f t="array" aca="1" ref="E37" ca="1">SUMPRODUCT((NOW() - ($F$2 + IFERROR(TIME(VALUE(LEFT('GEN SWITCHING LOGS'!$C$2:$C$94867, 2)),VALUE(MID('GEN SWITCHING LOGS'!$C$2:$C$94867, 3, 2)), 0), 0))),
            ('GEN SWITCHING LOGS'!$A$2:$A$94867=$A37) *
            ('GEN SWITCHING LOGS'!$G$2:$G$94867="CMS") *
            ('GEN SWITCHING LOGS'!$B$2:$B$94867 &lt; $F$2) *
            ('GEN SWITCHING LOGS'!$E$2:$E$94867=""))</f>
        <v>0</v>
      </c>
      <c r="F37" s="396"/>
      <c r="G37" s="396"/>
    </row>
    <row r="38" spans="1:7">
      <c r="A38" s="37" t="s">
        <v>3405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398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07" cm="1">
        <f t="array" aca="1" ref="E38" ca="1">SUMPRODUCT((NOW() - ($F$2 + IFERROR(TIME(VALUE(LEFT('GEN SWITCHING LOGS'!$C$2:$C$94867, 2)),VALUE(MID('GEN SWITCHING LOGS'!$C$2:$C$94867, 3, 2)), 0), 0))),
            ('GEN SWITCHING LOGS'!$A$2:$A$94867=$A38) *
            ('GEN SWITCHING LOGS'!$G$2:$G$94867="CMS") *
            ('GEN SWITCHING LOGS'!$B$2:$B$94867 &lt; $F$2) *
            ('GEN SWITCHING LOGS'!$E$2:$E$94867=""))</f>
        <v>0</v>
      </c>
      <c r="F38" s="396"/>
      <c r="G38" s="396"/>
    </row>
    <row r="39" spans="1:7">
      <c r="A39" s="37" t="s">
        <v>216</v>
      </c>
      <c r="B39" s="100">
        <f>SUMIFS('GEN SWITCHING LOGS'!$F:$F,'GEN SWITCHING LOGS'!$A:$A,$A39,'GEN SWITCHING LOGS'!$G:$G,"")</f>
        <v>20.752777777692245</v>
      </c>
      <c r="C39" s="100">
        <f>SUMIFS('GEN SWITCHING LOGS'!$F:$F,'GEN SWITCHING LOGS'!$A:$A,$A39,'GEN SWITCHING LOGS'!$G:$G,"CMS")+SUMIFS('GEN SWITCHING LOGS'!$F:$F,'GEN SWITCHING LOGS'!$A:$A,$A39,'GEN SWITCHING LOGS'!$G:$G,"PMS")</f>
        <v>0</v>
      </c>
      <c r="D39" s="398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07" cm="1">
        <f t="array" aca="1" ref="E39" ca="1">SUMPRODUCT((NOW() - ($F$2 + IFERROR(TIME(VALUE(LEFT('GEN SWITCHING LOGS'!$C$2:$C$94867, 2)),VALUE(MID('GEN SWITCHING LOGS'!$C$2:$C$94867, 3, 2)), 0), 0))),
            ('GEN SWITCHING LOGS'!$A$2:$A$94867=$A39) *
            ('GEN SWITCHING LOGS'!$G$2:$G$94867="CMS") *
            ('GEN SWITCHING LOGS'!$B$2:$B$94867 &lt; $F$2) *
            ('GEN SWITCHING LOGS'!$E$2:$E$94867=""))</f>
        <v>0</v>
      </c>
      <c r="F39" s="396"/>
      <c r="G39" s="396"/>
    </row>
    <row r="40" spans="1:7">
      <c r="A40" s="37" t="s">
        <v>3406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398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07" cm="1">
        <f t="array" aca="1" ref="E40" ca="1">SUMPRODUCT((NOW() - ($F$2 + IFERROR(TIME(VALUE(LEFT('GEN SWITCHING LOGS'!$C$2:$C$94867, 2)),VALUE(MID('GEN SWITCHING LOGS'!$C$2:$C$94867, 3, 2)), 0), 0))),
            ('GEN SWITCHING LOGS'!$A$2:$A$94867=$A40) *
            ('GEN SWITCHING LOGS'!$G$2:$G$94867="CMS") *
            ('GEN SWITCHING LOGS'!$B$2:$B$94867 &lt; $F$2) *
            ('GEN SWITCHING LOGS'!$E$2:$E$94867=""))</f>
        <v>0</v>
      </c>
      <c r="F40" s="396"/>
      <c r="G40" s="396"/>
    </row>
    <row r="41" spans="1:7">
      <c r="A41" s="37" t="s">
        <v>3407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398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07" cm="1">
        <f t="array" aca="1" ref="E41" ca="1">SUMPRODUCT((NOW() - ($F$2 + IFERROR(TIME(VALUE(LEFT('GEN SWITCHING LOGS'!$C$2:$C$94867, 2)),VALUE(MID('GEN SWITCHING LOGS'!$C$2:$C$94867, 3, 2)), 0), 0))),
            ('GEN SWITCHING LOGS'!$A$2:$A$94867=$A41) *
            ('GEN SWITCHING LOGS'!$G$2:$G$94867="CMS") *
            ('GEN SWITCHING LOGS'!$B$2:$B$94867 &lt; $F$2) *
            ('GEN SWITCHING LOGS'!$E$2:$E$94867=""))</f>
        <v>0</v>
      </c>
      <c r="F41" s="396"/>
      <c r="G41" s="396"/>
    </row>
    <row r="42" spans="1:7">
      <c r="A42" s="37" t="s">
        <v>3408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398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07" cm="1">
        <f t="array" aca="1" ref="E42" ca="1">SUMPRODUCT((NOW() - ($F$2 + IFERROR(TIME(VALUE(LEFT('GEN SWITCHING LOGS'!$C$2:$C$94867, 2)),VALUE(MID('GEN SWITCHING LOGS'!$C$2:$C$94867, 3, 2)), 0), 0))),
            ('GEN SWITCHING LOGS'!$A$2:$A$94867=$A42) *
            ('GEN SWITCHING LOGS'!$G$2:$G$94867="CMS") *
            ('GEN SWITCHING LOGS'!$B$2:$B$94867 &lt; $F$2) *
            ('GEN SWITCHING LOGS'!$E$2:$E$94867=""))</f>
        <v>0</v>
      </c>
      <c r="F42" s="396"/>
      <c r="G42" s="396"/>
    </row>
    <row r="43" spans="1:7">
      <c r="A43" s="37" t="s">
        <v>3409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398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07" cm="1">
        <f t="array" aca="1" ref="E43" ca="1">SUMPRODUCT((NOW() - ($F$2 + IFERROR(TIME(VALUE(LEFT('GEN SWITCHING LOGS'!$C$2:$C$94867, 2)),VALUE(MID('GEN SWITCHING LOGS'!$C$2:$C$94867, 3, 2)), 0), 0))),
            ('GEN SWITCHING LOGS'!$A$2:$A$94867=$A43) *
            ('GEN SWITCHING LOGS'!$G$2:$G$94867="CMS") *
            ('GEN SWITCHING LOGS'!$B$2:$B$94867 &lt; $F$2) *
            ('GEN SWITCHING LOGS'!$E$2:$E$94867=""))</f>
        <v>0</v>
      </c>
      <c r="F43" s="396"/>
      <c r="G43" s="396"/>
    </row>
    <row r="44" spans="1:7">
      <c r="A44" s="37" t="s">
        <v>3410</v>
      </c>
      <c r="B44" s="100">
        <f>SUMIFS('GEN SWITCHING LOGS'!$F:$F,'GEN SWITCHING LOGS'!$A:$A,$A44,'GEN SWITCHING LOGS'!$G:$G,"")</f>
        <v>0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398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07" cm="1">
        <f t="array" aca="1" ref="E44" ca="1">SUMPRODUCT((NOW() - ($F$2 + IFERROR(TIME(VALUE(LEFT('GEN SWITCHING LOGS'!$C$2:$C$94867, 2)),VALUE(MID('GEN SWITCHING LOGS'!$C$2:$C$94867, 3, 2)), 0), 0))),
            ('GEN SWITCHING LOGS'!$A$2:$A$94867=$A44) *
            ('GEN SWITCHING LOGS'!$G$2:$G$94867="CMS") *
            ('GEN SWITCHING LOGS'!$B$2:$B$94867 &lt; $F$2) *
            ('GEN SWITCHING LOGS'!$E$2:$E$94867=""))</f>
        <v>0</v>
      </c>
      <c r="F44" s="396"/>
      <c r="G44" s="396"/>
    </row>
    <row r="45" spans="1:7">
      <c r="A45" s="37" t="s">
        <v>3411</v>
      </c>
      <c r="B45" s="100">
        <f>SUMIFS('GEN SWITCHING LOGS'!$F:$F,'GEN SWITCHING LOGS'!$A:$A,$A45,'GEN SWITCHING LOGS'!$G:$G,"")</f>
        <v>0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398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07" cm="1">
        <f t="array" aca="1" ref="E45" ca="1">SUMPRODUCT((NOW() - ($F$2 + IFERROR(TIME(VALUE(LEFT('GEN SWITCHING LOGS'!$C$2:$C$94867, 2)),VALUE(MID('GEN SWITCHING LOGS'!$C$2:$C$94867, 3, 2)), 0), 0))),
            ('GEN SWITCHING LOGS'!$A$2:$A$94867=$A45) *
            ('GEN SWITCHING LOGS'!$G$2:$G$94867="CMS") *
            ('GEN SWITCHING LOGS'!$B$2:$B$94867 &lt; $F$2) *
            ('GEN SWITCHING LOGS'!$E$2:$E$94867=""))</f>
        <v>0</v>
      </c>
      <c r="F45" s="396"/>
      <c r="G45" s="396"/>
    </row>
    <row r="46" spans="1:7">
      <c r="A46" s="37" t="s">
        <v>3412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398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07" cm="1">
        <f t="array" aca="1" ref="E46" ca="1">SUMPRODUCT((NOW() - ($F$2 + IFERROR(TIME(VALUE(LEFT('GEN SWITCHING LOGS'!$C$2:$C$94867, 2)),VALUE(MID('GEN SWITCHING LOGS'!$C$2:$C$94867, 3, 2)), 0), 0))),
            ('GEN SWITCHING LOGS'!$A$2:$A$94867=$A46) *
            ('GEN SWITCHING LOGS'!$G$2:$G$94867="CMS") *
            ('GEN SWITCHING LOGS'!$B$2:$B$94867 &lt; $F$2) *
            ('GEN SWITCHING LOGS'!$E$2:$E$94867=""))</f>
        <v>0</v>
      </c>
      <c r="F46" s="396"/>
      <c r="G46" s="396"/>
    </row>
    <row r="47" spans="1:7">
      <c r="A47" s="37" t="s">
        <v>3413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398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07" cm="1">
        <f t="array" aca="1" ref="E47" ca="1">SUMPRODUCT((NOW() - ($F$2 + IFERROR(TIME(VALUE(LEFT('GEN SWITCHING LOGS'!$C$2:$C$94867, 2)),VALUE(MID('GEN SWITCHING LOGS'!$C$2:$C$94867, 3, 2)), 0), 0))),
            ('GEN SWITCHING LOGS'!$A$2:$A$94867=$A47) *
            ('GEN SWITCHING LOGS'!$G$2:$G$94867="CMS") *
            ('GEN SWITCHING LOGS'!$B$2:$B$94867 &lt; $F$2) *
            ('GEN SWITCHING LOGS'!$E$2:$E$94867=""))</f>
        <v>0</v>
      </c>
      <c r="F47" s="396"/>
      <c r="G47" s="396"/>
    </row>
    <row r="48" spans="1:7">
      <c r="A48" s="37" t="s">
        <v>3414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398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07" cm="1">
        <f t="array" aca="1" ref="E48" ca="1">SUMPRODUCT((NOW() - ($F$2 + IFERROR(TIME(VALUE(LEFT('GEN SWITCHING LOGS'!$C$2:$C$94867, 2)),VALUE(MID('GEN SWITCHING LOGS'!$C$2:$C$94867, 3, 2)), 0), 0))),
            ('GEN SWITCHING LOGS'!$A$2:$A$94867=$A48) *
            ('GEN SWITCHING LOGS'!$G$2:$G$94867="CMS") *
            ('GEN SWITCHING LOGS'!$B$2:$B$94867 &lt; $F$2) *
            ('GEN SWITCHING LOGS'!$E$2:$E$94867=""))</f>
        <v>0</v>
      </c>
      <c r="F48" s="396"/>
      <c r="G48" s="396"/>
    </row>
    <row r="49" spans="1:7">
      <c r="A49" s="37" t="s">
        <v>235</v>
      </c>
      <c r="B49" s="100">
        <f>SUMIFS('GEN SWITCHING LOGS'!$F:$F,'GEN SWITCHING LOGS'!$A:$A,$A49,'GEN SWITCHING LOGS'!$G:$G,"")</f>
        <v>14.35694444431283</v>
      </c>
      <c r="C49" s="100">
        <f>SUMIFS('GEN SWITCHING LOGS'!$F:$F,'GEN SWITCHING LOGS'!$A:$A,$A49,'GEN SWITCHING LOGS'!$G:$G,"CMS")+SUMIFS('GEN SWITCHING LOGS'!$F:$F,'GEN SWITCHING LOGS'!$A:$A,$A49,'GEN SWITCHING LOGS'!$G:$G,"PMS")</f>
        <v>0</v>
      </c>
      <c r="D49" s="398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07" cm="1">
        <f t="array" aca="1" ref="E49" ca="1">SUMPRODUCT((NOW() - ($F$2 + IFERROR(TIME(VALUE(LEFT('GEN SWITCHING LOGS'!$C$2:$C$94867, 2)),VALUE(MID('GEN SWITCHING LOGS'!$C$2:$C$94867, 3, 2)), 0), 0))),
            ('GEN SWITCHING LOGS'!$A$2:$A$94867=$A49) *
            ('GEN SWITCHING LOGS'!$G$2:$G$94867="CMS") *
            ('GEN SWITCHING LOGS'!$B$2:$B$94867 &lt; $F$2) *
            ('GEN SWITCHING LOGS'!$E$2:$E$94867=""))</f>
        <v>0</v>
      </c>
      <c r="F49" s="396"/>
      <c r="G49" s="396"/>
    </row>
    <row r="50" spans="1:7">
      <c r="A50" s="37" t="s">
        <v>213</v>
      </c>
      <c r="B50" s="100">
        <f>SUMIFS('GEN SWITCHING LOGS'!$F:$F,'GEN SWITCHING LOGS'!$A:$A,$A50,'GEN SWITCHING LOGS'!$G:$G,"")</f>
        <v>16.070833333244082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398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07" cm="1">
        <f t="array" aca="1" ref="E50" ca="1">SUMPRODUCT((NOW() - ($F$2 + IFERROR(TIME(VALUE(LEFT('GEN SWITCHING LOGS'!$C$2:$C$94867, 2)),VALUE(MID('GEN SWITCHING LOGS'!$C$2:$C$94867, 3, 2)), 0), 0))),
            ('GEN SWITCHING LOGS'!$A$2:$A$94867=$A50) *
            ('GEN SWITCHING LOGS'!$G$2:$G$94867="CMS") *
            ('GEN SWITCHING LOGS'!$B$2:$B$94867 &lt; $F$2) *
            ('GEN SWITCHING LOGS'!$E$2:$E$94867=""))</f>
        <v>0</v>
      </c>
      <c r="F50" s="396"/>
      <c r="G50" s="396"/>
    </row>
  </sheetData>
  <autoFilter ref="A1:H50" xr:uid="{BF4B4F86-B745-45F7-9FE3-6E55334769A4}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/>
  </sheetViews>
  <sheetFormatPr defaultRowHeight="14.45"/>
  <cols>
    <col min="1" max="1" width="16.140625" bestFit="1" customWidth="1"/>
  </cols>
  <sheetData>
    <row r="1" spans="1:4" ht="16.149999999999999" thickBot="1">
      <c r="B1" s="238">
        <v>4.1666666666666664E-2</v>
      </c>
      <c r="C1" s="238">
        <v>8.3333333333333329E-2</v>
      </c>
      <c r="D1" s="238">
        <v>0.125</v>
      </c>
    </row>
    <row r="2" spans="1:4">
      <c r="A2" s="241" t="s">
        <v>3251</v>
      </c>
      <c r="B2" s="237">
        <v>8</v>
      </c>
      <c r="C2" s="237">
        <v>8</v>
      </c>
      <c r="D2" s="237">
        <v>8</v>
      </c>
    </row>
    <row r="3" spans="1:4">
      <c r="A3" s="242" t="s">
        <v>3415</v>
      </c>
      <c r="B3" s="237">
        <v>12.5</v>
      </c>
      <c r="C3" s="237">
        <v>12.5</v>
      </c>
      <c r="D3" s="237">
        <v>12.5</v>
      </c>
    </row>
    <row r="4" spans="1:4">
      <c r="A4" s="242" t="s">
        <v>3250</v>
      </c>
      <c r="B4" s="237">
        <v>15</v>
      </c>
      <c r="C4" s="237">
        <v>15</v>
      </c>
      <c r="D4" s="237">
        <v>15</v>
      </c>
    </row>
    <row r="5" spans="1:4" ht="15" thickBot="1">
      <c r="A5" s="243" t="s">
        <v>3416</v>
      </c>
      <c r="B5" s="237">
        <v>3.8</v>
      </c>
      <c r="C5" s="237">
        <v>3.8</v>
      </c>
      <c r="D5" s="237">
        <v>3.8</v>
      </c>
    </row>
    <row r="6" spans="1:4" ht="15" thickBot="1">
      <c r="A6" s="244" t="s">
        <v>3417</v>
      </c>
      <c r="B6" s="237">
        <v>3.8</v>
      </c>
      <c r="C6" s="237">
        <v>3.8</v>
      </c>
      <c r="D6" s="237">
        <v>3.8</v>
      </c>
    </row>
    <row r="7" spans="1:4">
      <c r="A7" s="245"/>
      <c r="B7" s="237"/>
      <c r="C7" s="237"/>
      <c r="D7" s="237"/>
    </row>
    <row r="8" spans="1:4">
      <c r="A8" s="246" t="s">
        <v>3418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>
      <c r="A9" s="247" t="s">
        <v>3419</v>
      </c>
      <c r="B9" s="240">
        <v>36.03</v>
      </c>
      <c r="C9" s="240">
        <v>34.21</v>
      </c>
      <c r="D9" s="240">
        <v>33.35</v>
      </c>
    </row>
    <row r="10" spans="1:4" ht="15" thickBot="1">
      <c r="A10" s="248" t="s">
        <v>3420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>
      <c r="A12" t="s">
        <v>3421</v>
      </c>
      <c r="B12" t="s">
        <v>3422</v>
      </c>
    </row>
    <row r="13" spans="1:4">
      <c r="A13" t="s">
        <v>3423</v>
      </c>
      <c r="B13" t="s">
        <v>3424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f74796d497735f6bbcf3489a7fd5f00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0c3e9021e5fe320bb6320675bb87724d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A1601C96-A3B0-4F2C-B3A6-4F658437C271}"/>
</file>

<file path=customXml/itemProps3.xml><?xml version="1.0" encoding="utf-8"?>
<ds:datastoreItem xmlns:ds="http://schemas.openxmlformats.org/officeDocument/2006/customXml" ds:itemID="{8E637272-78BF-4153-88F4-A33A6682A65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PANGANIBAN, NESTOR JR.</cp:lastModifiedBy>
  <cp:revision/>
  <dcterms:created xsi:type="dcterms:W3CDTF">2023-03-31T14:14:01Z</dcterms:created>
  <dcterms:modified xsi:type="dcterms:W3CDTF">2025-10-08T08:38:33Z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